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827"/>
  <workbookPr codeName="ThisWorkbook"/>
  <mc:AlternateContent xmlns:mc="http://schemas.openxmlformats.org/markup-compatibility/2006">
    <mc:Choice Requires="x15">
      <x15ac:absPath xmlns:x15ac="http://schemas.microsoft.com/office/spreadsheetml/2010/11/ac" url="Y:\11.ปี 2566\1.รายงานแผนงาน-ผลงาน ปี66\2.ข้อมูล Export จาก Google Sheet\2. 29 ธ.ค. 65\"/>
    </mc:Choice>
  </mc:AlternateContent>
  <xr:revisionPtr revIDLastSave="0" documentId="13_ncr:1_{12EB3D4E-3929-4A38-9866-E6005E027ADB}" xr6:coauthVersionLast="37" xr6:coauthVersionMax="37" xr10:uidLastSave="{00000000-0000-0000-0000-000000000000}"/>
  <bookViews>
    <workbookView xWindow="0" yWindow="0" windowWidth="24000" windowHeight="9225" xr2:uid="{00000000-000D-0000-FFFF-FFFF00000000}"/>
  </bookViews>
  <sheets>
    <sheet name="รวมกลาง" sheetId="1" r:id="rId1"/>
    <sheet name="กาญจนบุรี" sheetId="2" r:id="rId2"/>
    <sheet name="จันทบุรี" sheetId="3" r:id="rId3"/>
    <sheet name="ฉะเชิงเทรา" sheetId="4" r:id="rId4"/>
    <sheet name="ชลบุรี" sheetId="5" r:id="rId5"/>
    <sheet name="ชัยนาท" sheetId="6" r:id="rId6"/>
    <sheet name="ตราด" sheetId="7" r:id="rId7"/>
    <sheet name="นครนายก" sheetId="8" r:id="rId8"/>
    <sheet name="นครปฐม" sheetId="9" r:id="rId9"/>
    <sheet name="ปทุมธานี" sheetId="10" r:id="rId10"/>
    <sheet name="ประจวบคีรีขันธ์" sheetId="11" r:id="rId11"/>
    <sheet name="ปราจีนบุรี" sheetId="12" r:id="rId12"/>
    <sheet name="พระนครศรีอยุธยา" sheetId="13" r:id="rId13"/>
    <sheet name="เพชรบุรี" sheetId="14" r:id="rId14"/>
    <sheet name="ระยอง" sheetId="15" r:id="rId15"/>
    <sheet name="ราชบุรี" sheetId="16" r:id="rId16"/>
    <sheet name="ลพบุรี" sheetId="17" r:id="rId17"/>
    <sheet name="สระแก้ว" sheetId="18" r:id="rId18"/>
    <sheet name="สระบุรี" sheetId="19" r:id="rId19"/>
    <sheet name="สิงห์บุรี" sheetId="20" r:id="rId20"/>
    <sheet name="สุพรรณบุรี" sheetId="21" r:id="rId21"/>
    <sheet name="อ่างทอง" sheetId="22" r:id="rId22"/>
  </sheets>
  <definedNames>
    <definedName name="_xlnm.Print_Area" localSheetId="1">กาญจนบุรี!$A$1:$P$828</definedName>
    <definedName name="_xlnm.Print_Area" localSheetId="2">จันทบุรี!$A$1:$P$828</definedName>
    <definedName name="_xlnm.Print_Area" localSheetId="3">ฉะเชิงเทรา!$A$1:$P$828</definedName>
    <definedName name="_xlnm.Print_Area" localSheetId="4">ชลบุรี!$A$1:$P$828</definedName>
    <definedName name="_xlnm.Print_Area" localSheetId="5">ชัยนาท!$A$1:$P$828</definedName>
    <definedName name="_xlnm.Print_Area" localSheetId="6">ตราด!$A$1:$P$828</definedName>
    <definedName name="_xlnm.Print_Area" localSheetId="7">นครนายก!$A$1:$P$828</definedName>
    <definedName name="_xlnm.Print_Area" localSheetId="8">นครปฐม!$A$1:$P$828</definedName>
    <definedName name="_xlnm.Print_Area" localSheetId="9">ปทุมธานี!$A$1:$P$828</definedName>
    <definedName name="_xlnm.Print_Area" localSheetId="10">ประจวบคีรีขันธ์!$A$1:$P$828</definedName>
    <definedName name="_xlnm.Print_Area" localSheetId="11">ปราจีนบุรี!$A$1:$P$828</definedName>
    <definedName name="_xlnm.Print_Area" localSheetId="12">พระนครศรีอยุธยา!$A$1:$P$828</definedName>
    <definedName name="_xlnm.Print_Area" localSheetId="13">เพชรบุรี!$A$1:$P$828</definedName>
    <definedName name="_xlnm.Print_Area" localSheetId="0">รวมกลาง!$A$1:$P$828</definedName>
    <definedName name="_xlnm.Print_Area" localSheetId="14">ระยอง!$A$1:$P$828</definedName>
    <definedName name="_xlnm.Print_Area" localSheetId="15">ราชบุรี!$A$1:$P$828</definedName>
    <definedName name="_xlnm.Print_Area" localSheetId="16">ลพบุรี!$A$1:$P$828</definedName>
    <definedName name="_xlnm.Print_Area" localSheetId="17">สระแก้ว!$A$1:$P$828</definedName>
    <definedName name="_xlnm.Print_Area" localSheetId="18">สระบุรี!$A$1:$P$828</definedName>
    <definedName name="_xlnm.Print_Area" localSheetId="19">สิงห์บุรี!$A$1:$P$828</definedName>
    <definedName name="_xlnm.Print_Area" localSheetId="20">สุพรรณบุรี!$A$1:$P$828</definedName>
    <definedName name="_xlnm.Print_Area" localSheetId="21">อ่างทอง!$A$1:$P$828</definedName>
    <definedName name="_xlnm.Print_Titles" localSheetId="1">กาญจนบุรี!$1:$6</definedName>
    <definedName name="_xlnm.Print_Titles" localSheetId="2">จันทบุรี!$1:$6</definedName>
    <definedName name="_xlnm.Print_Titles" localSheetId="3">ฉะเชิงเทรา!$1:$6</definedName>
    <definedName name="_xlnm.Print_Titles" localSheetId="4">ชลบุรี!$1:$6</definedName>
    <definedName name="_xlnm.Print_Titles" localSheetId="5">ชัยนาท!$1:$6</definedName>
    <definedName name="_xlnm.Print_Titles" localSheetId="6">ตราด!$1:$6</definedName>
    <definedName name="_xlnm.Print_Titles" localSheetId="7">นครนายก!$1:$6</definedName>
    <definedName name="_xlnm.Print_Titles" localSheetId="8">นครปฐม!$1:$6</definedName>
    <definedName name="_xlnm.Print_Titles" localSheetId="9">ปทุมธานี!$1:$6</definedName>
    <definedName name="_xlnm.Print_Titles" localSheetId="10">ประจวบคีรีขันธ์!$1:$6</definedName>
    <definedName name="_xlnm.Print_Titles" localSheetId="11">ปราจีนบุรี!$1:$6</definedName>
    <definedName name="_xlnm.Print_Titles" localSheetId="12">พระนครศรีอยุธยา!$1:$6</definedName>
    <definedName name="_xlnm.Print_Titles" localSheetId="13">เพชรบุรี!$1:$6</definedName>
    <definedName name="_xlnm.Print_Titles" localSheetId="0">รวมกลาง!$1:$6</definedName>
    <definedName name="_xlnm.Print_Titles" localSheetId="14">ระยอง!$1:$6</definedName>
    <definedName name="_xlnm.Print_Titles" localSheetId="15">ราชบุรี!$1:$6</definedName>
    <definedName name="_xlnm.Print_Titles" localSheetId="16">ลพบุรี!$1:$6</definedName>
    <definedName name="_xlnm.Print_Titles" localSheetId="17">สระแก้ว!$1:$6</definedName>
    <definedName name="_xlnm.Print_Titles" localSheetId="18">สระบุรี!$1:$6</definedName>
    <definedName name="_xlnm.Print_Titles" localSheetId="19">สิงห์บุรี!$1:$6</definedName>
    <definedName name="_xlnm.Print_Titles" localSheetId="20">สุพรรณบุรี!$1:$6</definedName>
    <definedName name="_xlnm.Print_Titles" localSheetId="21">อ่างทอง!$1:$6</definedName>
  </definedNames>
  <calcPr calcId="179021"/>
</workbook>
</file>

<file path=xl/calcChain.xml><?xml version="1.0" encoding="utf-8"?>
<calcChain xmlns="http://schemas.openxmlformats.org/spreadsheetml/2006/main">
  <c r="L690" i="5" l="1"/>
  <c r="L660" i="5"/>
  <c r="I255" i="5"/>
  <c r="I255" i="6"/>
  <c r="L690" i="7"/>
  <c r="L660" i="7"/>
  <c r="I255" i="7"/>
  <c r="I255" i="8"/>
  <c r="I255" i="9"/>
  <c r="I255" i="10"/>
  <c r="L660" i="11"/>
  <c r="L690" i="11"/>
  <c r="I255" i="11" l="1"/>
  <c r="I255" i="12"/>
  <c r="I255" i="13"/>
  <c r="I255" i="14"/>
  <c r="L690" i="15"/>
  <c r="L660" i="15"/>
  <c r="I255" i="15"/>
  <c r="I255" i="16" l="1"/>
  <c r="K255" i="16" s="1"/>
  <c r="I255" i="17"/>
  <c r="I255" i="19"/>
  <c r="I255" i="20"/>
  <c r="I255" i="21"/>
  <c r="K255" i="21" s="1"/>
  <c r="I255" i="22"/>
  <c r="I248" i="22" s="1"/>
  <c r="K248" i="22" s="1"/>
  <c r="J828" i="22"/>
  <c r="I828" i="22"/>
  <c r="J827" i="22"/>
  <c r="I827" i="22"/>
  <c r="J826" i="22"/>
  <c r="I826" i="22"/>
  <c r="K826" i="22" s="1"/>
  <c r="J825" i="22"/>
  <c r="I825" i="22"/>
  <c r="K825" i="22" s="1"/>
  <c r="J824" i="22"/>
  <c r="I824" i="22"/>
  <c r="J823" i="22"/>
  <c r="I823" i="22"/>
  <c r="J822" i="22"/>
  <c r="I822" i="22"/>
  <c r="K822" i="22" s="1"/>
  <c r="J821" i="22"/>
  <c r="I821" i="22"/>
  <c r="K821" i="22" s="1"/>
  <c r="P817" i="22"/>
  <c r="O817" i="22"/>
  <c r="P816" i="22"/>
  <c r="O816" i="22"/>
  <c r="N815" i="22"/>
  <c r="M815" i="22"/>
  <c r="P815" i="22" s="1"/>
  <c r="L815" i="22"/>
  <c r="O815" i="22" s="1"/>
  <c r="P810" i="22"/>
  <c r="O810" i="22"/>
  <c r="N810" i="22"/>
  <c r="N808" i="22" s="1"/>
  <c r="P809" i="22"/>
  <c r="O809" i="22"/>
  <c r="P808" i="22"/>
  <c r="O808" i="22"/>
  <c r="M808" i="22"/>
  <c r="L808" i="22"/>
  <c r="P807" i="22"/>
  <c r="O807" i="22"/>
  <c r="N807" i="22"/>
  <c r="M807" i="22"/>
  <c r="L807" i="22"/>
  <c r="O806" i="22"/>
  <c r="N806" i="22"/>
  <c r="N805" i="22" s="1"/>
  <c r="M806" i="22"/>
  <c r="P806" i="22" s="1"/>
  <c r="L806" i="22"/>
  <c r="M805" i="22"/>
  <c r="P805" i="22" s="1"/>
  <c r="L805" i="22"/>
  <c r="O805" i="22" s="1"/>
  <c r="K804" i="22"/>
  <c r="J804" i="22"/>
  <c r="K802" i="22"/>
  <c r="J801" i="22"/>
  <c r="J800" i="22"/>
  <c r="J785" i="22" s="1"/>
  <c r="I800" i="22"/>
  <c r="K800" i="22" s="1"/>
  <c r="P798" i="22"/>
  <c r="O798" i="22"/>
  <c r="P797" i="22"/>
  <c r="O797" i="22"/>
  <c r="P796" i="22"/>
  <c r="N796" i="22"/>
  <c r="M796" i="22"/>
  <c r="L796" i="22"/>
  <c r="O796" i="22" s="1"/>
  <c r="P791" i="22"/>
  <c r="N791" i="22"/>
  <c r="L791" i="22"/>
  <c r="L789" i="22" s="1"/>
  <c r="O789" i="22" s="1"/>
  <c r="P790" i="22"/>
  <c r="O790" i="22"/>
  <c r="P789" i="22"/>
  <c r="N789" i="22"/>
  <c r="M789" i="22"/>
  <c r="P788" i="22"/>
  <c r="N788" i="22"/>
  <c r="M788" i="22"/>
  <c r="O787" i="22"/>
  <c r="N787" i="22"/>
  <c r="N786" i="22" s="1"/>
  <c r="M787" i="22"/>
  <c r="P787" i="22" s="1"/>
  <c r="L787" i="22"/>
  <c r="P782" i="22"/>
  <c r="O782" i="22"/>
  <c r="P781" i="22"/>
  <c r="O781" i="22"/>
  <c r="N780" i="22"/>
  <c r="M780" i="22"/>
  <c r="P780" i="22" s="1"/>
  <c r="L780" i="22"/>
  <c r="O780" i="22" s="1"/>
  <c r="P775" i="22"/>
  <c r="O775" i="22"/>
  <c r="N775" i="22"/>
  <c r="N772" i="22" s="1"/>
  <c r="P774" i="22"/>
  <c r="O774" i="22"/>
  <c r="P773" i="22"/>
  <c r="M773" i="22"/>
  <c r="L773" i="22"/>
  <c r="O773" i="22" s="1"/>
  <c r="P772" i="22"/>
  <c r="O772" i="22"/>
  <c r="M772" i="22"/>
  <c r="L772" i="22"/>
  <c r="P771" i="22"/>
  <c r="O771" i="22"/>
  <c r="N771" i="22"/>
  <c r="N770" i="22" s="1"/>
  <c r="M771" i="22"/>
  <c r="L771" i="22"/>
  <c r="L770" i="22" s="1"/>
  <c r="O770" i="22" s="1"/>
  <c r="M770" i="22"/>
  <c r="P770" i="22" s="1"/>
  <c r="K769" i="22"/>
  <c r="J769" i="22"/>
  <c r="P766" i="22"/>
  <c r="O766" i="22"/>
  <c r="P765" i="22"/>
  <c r="O765" i="22"/>
  <c r="N764" i="22"/>
  <c r="M764" i="22"/>
  <c r="P764" i="22" s="1"/>
  <c r="L764" i="22"/>
  <c r="O764" i="22" s="1"/>
  <c r="P759" i="22"/>
  <c r="O759" i="22"/>
  <c r="N759" i="22"/>
  <c r="N756" i="22" s="1"/>
  <c r="P758" i="22"/>
  <c r="O758" i="22"/>
  <c r="P757" i="22"/>
  <c r="M757" i="22"/>
  <c r="L757" i="22"/>
  <c r="O757" i="22" s="1"/>
  <c r="P756" i="22"/>
  <c r="O756" i="22"/>
  <c r="M756" i="22"/>
  <c r="L756" i="22"/>
  <c r="P755" i="22"/>
  <c r="O755" i="22"/>
  <c r="N755" i="22"/>
  <c r="N754" i="22" s="1"/>
  <c r="M755" i="22"/>
  <c r="L755" i="22"/>
  <c r="L754" i="22" s="1"/>
  <c r="O754" i="22" s="1"/>
  <c r="M754" i="22"/>
  <c r="P754" i="22" s="1"/>
  <c r="K753" i="22"/>
  <c r="J753" i="22"/>
  <c r="P749" i="22"/>
  <c r="O749" i="22"/>
  <c r="P748" i="22"/>
  <c r="O748" i="22"/>
  <c r="N747" i="22"/>
  <c r="M747" i="22"/>
  <c r="P747" i="22" s="1"/>
  <c r="L747" i="22"/>
  <c r="O747" i="22" s="1"/>
  <c r="P742" i="22"/>
  <c r="O742" i="22"/>
  <c r="N742" i="22"/>
  <c r="N739" i="22" s="1"/>
  <c r="P741" i="22"/>
  <c r="O741" i="22"/>
  <c r="P740" i="22"/>
  <c r="M740" i="22"/>
  <c r="L740" i="22"/>
  <c r="O740" i="22" s="1"/>
  <c r="P739" i="22"/>
  <c r="O739" i="22"/>
  <c r="M739" i="22"/>
  <c r="L739" i="22"/>
  <c r="P738" i="22"/>
  <c r="O738" i="22"/>
  <c r="N738" i="22"/>
  <c r="N737" i="22" s="1"/>
  <c r="M738" i="22"/>
  <c r="L738" i="22"/>
  <c r="L737" i="22" s="1"/>
  <c r="O737" i="22" s="1"/>
  <c r="M737" i="22"/>
  <c r="P737" i="22" s="1"/>
  <c r="K736" i="22"/>
  <c r="J736" i="22"/>
  <c r="J729" i="22"/>
  <c r="I729" i="22"/>
  <c r="K729" i="22" s="1"/>
  <c r="J728" i="22"/>
  <c r="I728" i="22"/>
  <c r="K728" i="22" s="1"/>
  <c r="J727" i="22"/>
  <c r="J726" i="22"/>
  <c r="I726" i="22"/>
  <c r="K726" i="22" s="1"/>
  <c r="J725" i="22"/>
  <c r="I725" i="22"/>
  <c r="J724" i="22"/>
  <c r="J723" i="22"/>
  <c r="I723" i="22"/>
  <c r="I722" i="22"/>
  <c r="I721" i="22"/>
  <c r="J720" i="22"/>
  <c r="I720" i="22"/>
  <c r="K720" i="22" s="1"/>
  <c r="J719" i="22"/>
  <c r="J718" i="22"/>
  <c r="J708" i="22"/>
  <c r="I708" i="22"/>
  <c r="K708" i="22" s="1"/>
  <c r="I707" i="22"/>
  <c r="I704" i="22"/>
  <c r="J701" i="22"/>
  <c r="I701" i="22"/>
  <c r="K701" i="22" s="1"/>
  <c r="J700" i="22"/>
  <c r="I700" i="22"/>
  <c r="J699" i="22"/>
  <c r="I699" i="22"/>
  <c r="P697" i="22"/>
  <c r="O697" i="22"/>
  <c r="P696" i="22"/>
  <c r="O696" i="22"/>
  <c r="N695" i="22"/>
  <c r="M695" i="22"/>
  <c r="P695" i="22" s="1"/>
  <c r="L695" i="22"/>
  <c r="O695" i="22" s="1"/>
  <c r="P690" i="22"/>
  <c r="N690" i="22"/>
  <c r="N688" i="22" s="1"/>
  <c r="L690" i="22"/>
  <c r="L688" i="22" s="1"/>
  <c r="O688" i="22" s="1"/>
  <c r="P688" i="22"/>
  <c r="M688" i="22"/>
  <c r="P687" i="22"/>
  <c r="N687" i="22"/>
  <c r="M687" i="22"/>
  <c r="O686" i="22"/>
  <c r="N686" i="22"/>
  <c r="N685" i="22" s="1"/>
  <c r="M686" i="22"/>
  <c r="P686" i="22" s="1"/>
  <c r="L686" i="22"/>
  <c r="J679" i="22"/>
  <c r="J678" i="22"/>
  <c r="I678" i="22"/>
  <c r="K678" i="22" s="1"/>
  <c r="J675" i="22"/>
  <c r="J669" i="22" s="1"/>
  <c r="J654" i="22" s="1"/>
  <c r="I671" i="22"/>
  <c r="K671" i="22" s="1"/>
  <c r="I670" i="22"/>
  <c r="K670" i="22" s="1"/>
  <c r="I669" i="22"/>
  <c r="K672" i="22" s="1"/>
  <c r="P667" i="22"/>
  <c r="O667" i="22"/>
  <c r="P666" i="22"/>
  <c r="O666" i="22"/>
  <c r="O665" i="22"/>
  <c r="N665" i="22"/>
  <c r="M665" i="22"/>
  <c r="P665" i="22" s="1"/>
  <c r="L665" i="22"/>
  <c r="P660" i="22"/>
  <c r="N660" i="22"/>
  <c r="N657" i="22" s="1"/>
  <c r="L660" i="22"/>
  <c r="O660" i="22" s="1"/>
  <c r="P659" i="22"/>
  <c r="O659" i="22"/>
  <c r="N658" i="22"/>
  <c r="M658" i="22"/>
  <c r="P658" i="22" s="1"/>
  <c r="M657" i="22"/>
  <c r="P657" i="22" s="1"/>
  <c r="P656" i="22"/>
  <c r="N656" i="22"/>
  <c r="M656" i="22"/>
  <c r="M655" i="22" s="1"/>
  <c r="P655" i="22" s="1"/>
  <c r="L656" i="22"/>
  <c r="K652" i="22"/>
  <c r="J652" i="22"/>
  <c r="J651" i="22"/>
  <c r="J628" i="22" s="1"/>
  <c r="I651" i="22"/>
  <c r="K651" i="22" s="1"/>
  <c r="K650" i="22"/>
  <c r="J650" i="22"/>
  <c r="J649" i="22"/>
  <c r="I649" i="22"/>
  <c r="K649" i="22" s="1"/>
  <c r="K648" i="22"/>
  <c r="J648" i="22"/>
  <c r="J647" i="22"/>
  <c r="I647" i="22"/>
  <c r="K647" i="22" s="1"/>
  <c r="K646" i="22"/>
  <c r="J646" i="22"/>
  <c r="K645" i="22"/>
  <c r="J645" i="22"/>
  <c r="I644" i="22"/>
  <c r="K644" i="22" s="1"/>
  <c r="I643" i="22"/>
  <c r="K643" i="22" s="1"/>
  <c r="P641" i="22"/>
  <c r="L641" i="22"/>
  <c r="O641" i="22" s="1"/>
  <c r="P640" i="22"/>
  <c r="O640" i="22"/>
  <c r="P639" i="22"/>
  <c r="N639" i="22"/>
  <c r="M639" i="22"/>
  <c r="P634" i="22"/>
  <c r="N634" i="22"/>
  <c r="N631" i="22" s="1"/>
  <c r="L634" i="22"/>
  <c r="O634" i="22" s="1"/>
  <c r="P633" i="22"/>
  <c r="O633" i="22"/>
  <c r="P632" i="22"/>
  <c r="N632" i="22"/>
  <c r="M632" i="22"/>
  <c r="L632" i="22"/>
  <c r="O632" i="22" s="1"/>
  <c r="M631" i="22"/>
  <c r="P631" i="22" s="1"/>
  <c r="N630" i="22"/>
  <c r="N629" i="22" s="1"/>
  <c r="M630" i="22"/>
  <c r="M629" i="22" s="1"/>
  <c r="P629" i="22" s="1"/>
  <c r="L630" i="22"/>
  <c r="O630" i="22" s="1"/>
  <c r="J621" i="22"/>
  <c r="I621" i="22"/>
  <c r="K621" i="22" s="1"/>
  <c r="J620" i="22"/>
  <c r="I620" i="22"/>
  <c r="K620" i="22" s="1"/>
  <c r="K613" i="22"/>
  <c r="J613" i="22"/>
  <c r="K612" i="22"/>
  <c r="J612" i="22"/>
  <c r="K611" i="22"/>
  <c r="J611" i="22"/>
  <c r="J604" i="22"/>
  <c r="J603" i="22"/>
  <c r="J596" i="22"/>
  <c r="J594" i="22" s="1"/>
  <c r="J595" i="22"/>
  <c r="J593" i="22" s="1"/>
  <c r="J592" i="22" s="1"/>
  <c r="I594" i="22"/>
  <c r="K594" i="22" s="1"/>
  <c r="I593" i="22"/>
  <c r="I592" i="22" s="1"/>
  <c r="K592" i="22" s="1"/>
  <c r="J583" i="22"/>
  <c r="J577" i="22" s="1"/>
  <c r="J582" i="22"/>
  <c r="J576" i="22" s="1"/>
  <c r="J559" i="22" s="1"/>
  <c r="J543" i="22" s="1"/>
  <c r="I577" i="22"/>
  <c r="K577" i="22" s="1"/>
  <c r="I576" i="22"/>
  <c r="K576" i="22" s="1"/>
  <c r="J569" i="22"/>
  <c r="I569" i="22"/>
  <c r="K569" i="22" s="1"/>
  <c r="J568" i="22"/>
  <c r="I568" i="22"/>
  <c r="K568" i="22" s="1"/>
  <c r="J561" i="22"/>
  <c r="I561" i="22"/>
  <c r="K561" i="22" s="1"/>
  <c r="J560" i="22"/>
  <c r="I560" i="22"/>
  <c r="K560" i="22" s="1"/>
  <c r="P557" i="22"/>
  <c r="L557" i="22"/>
  <c r="O557" i="22" s="1"/>
  <c r="P556" i="22"/>
  <c r="O556" i="22"/>
  <c r="N555" i="22"/>
  <c r="N545" i="22" s="1"/>
  <c r="M555" i="22"/>
  <c r="P555" i="22" s="1"/>
  <c r="P549" i="22"/>
  <c r="N549" i="22"/>
  <c r="N546" i="22" s="1"/>
  <c r="L549" i="22"/>
  <c r="O549" i="22" s="1"/>
  <c r="P548" i="22"/>
  <c r="O548" i="22"/>
  <c r="N547" i="22"/>
  <c r="M547" i="22"/>
  <c r="P547" i="22" s="1"/>
  <c r="P546" i="22"/>
  <c r="M546" i="22"/>
  <c r="O545" i="22"/>
  <c r="L545" i="22"/>
  <c r="I542" i="22"/>
  <c r="K542" i="22" s="1"/>
  <c r="I541" i="22"/>
  <c r="K541" i="22" s="1"/>
  <c r="I540" i="22"/>
  <c r="K540" i="22" s="1"/>
  <c r="I539" i="22"/>
  <c r="K539" i="22" s="1"/>
  <c r="I538" i="22"/>
  <c r="K538" i="22" s="1"/>
  <c r="I537" i="22"/>
  <c r="I522" i="22" s="1"/>
  <c r="K522" i="22" s="1"/>
  <c r="P535" i="22"/>
  <c r="L535" i="22"/>
  <c r="O535" i="22" s="1"/>
  <c r="P534" i="22"/>
  <c r="O534" i="22"/>
  <c r="P533" i="22"/>
  <c r="N533" i="22"/>
  <c r="M533" i="22"/>
  <c r="P528" i="22"/>
  <c r="N528" i="22"/>
  <c r="L528" i="22"/>
  <c r="L526" i="22" s="1"/>
  <c r="O526" i="22" s="1"/>
  <c r="P527" i="22"/>
  <c r="O527" i="22"/>
  <c r="P526" i="22"/>
  <c r="N526" i="22"/>
  <c r="M526" i="22"/>
  <c r="P525" i="22"/>
  <c r="N525" i="22"/>
  <c r="M525" i="22"/>
  <c r="O524" i="22"/>
  <c r="N524" i="22"/>
  <c r="N523" i="22" s="1"/>
  <c r="M524" i="22"/>
  <c r="P524" i="22" s="1"/>
  <c r="L524" i="22"/>
  <c r="M523" i="22"/>
  <c r="P523" i="22" s="1"/>
  <c r="K517" i="22"/>
  <c r="J517" i="22"/>
  <c r="K516" i="22"/>
  <c r="P514" i="22"/>
  <c r="O514" i="22"/>
  <c r="P513" i="22"/>
  <c r="O513" i="22"/>
  <c r="P512" i="22"/>
  <c r="O512" i="22"/>
  <c r="N512" i="22"/>
  <c r="M512" i="22"/>
  <c r="L512" i="22"/>
  <c r="P507" i="22"/>
  <c r="O507" i="22"/>
  <c r="N507" i="22"/>
  <c r="N504" i="22" s="1"/>
  <c r="P506" i="22"/>
  <c r="O506" i="22"/>
  <c r="O505" i="22"/>
  <c r="N505" i="22"/>
  <c r="M505" i="22"/>
  <c r="P505" i="22" s="1"/>
  <c r="L505" i="22"/>
  <c r="M504" i="22"/>
  <c r="P504" i="22" s="1"/>
  <c r="L504" i="22"/>
  <c r="O504" i="22" s="1"/>
  <c r="N503" i="22"/>
  <c r="N502" i="22" s="1"/>
  <c r="M503" i="22"/>
  <c r="M502" i="22" s="1"/>
  <c r="P502" i="22" s="1"/>
  <c r="L503" i="22"/>
  <c r="L502" i="22" s="1"/>
  <c r="O502" i="22" s="1"/>
  <c r="K501" i="22"/>
  <c r="J501" i="22"/>
  <c r="K500" i="22"/>
  <c r="J500" i="22"/>
  <c r="I498" i="22"/>
  <c r="K498" i="22" s="1"/>
  <c r="I495" i="22"/>
  <c r="K495" i="22" s="1"/>
  <c r="I492" i="22"/>
  <c r="K492" i="22" s="1"/>
  <c r="I489" i="22"/>
  <c r="K489" i="22" s="1"/>
  <c r="I487" i="22"/>
  <c r="K487" i="22" s="1"/>
  <c r="I485" i="22"/>
  <c r="K485" i="22" s="1"/>
  <c r="I483" i="22"/>
  <c r="K483" i="22" s="1"/>
  <c r="P479" i="22"/>
  <c r="L479" i="22"/>
  <c r="P478" i="22"/>
  <c r="O478" i="22"/>
  <c r="P477" i="22"/>
  <c r="N477" i="22"/>
  <c r="M477" i="22"/>
  <c r="P472" i="22"/>
  <c r="N472" i="22"/>
  <c r="N469" i="22" s="1"/>
  <c r="L472" i="22"/>
  <c r="O472" i="22" s="1"/>
  <c r="P471" i="22"/>
  <c r="O471" i="22"/>
  <c r="N470" i="22"/>
  <c r="M470" i="22"/>
  <c r="P470" i="22" s="1"/>
  <c r="M469" i="22"/>
  <c r="P469" i="22" s="1"/>
  <c r="N468" i="22"/>
  <c r="N467" i="22" s="1"/>
  <c r="M468" i="22"/>
  <c r="M467" i="22" s="1"/>
  <c r="P467" i="22" s="1"/>
  <c r="L468" i="22"/>
  <c r="J466" i="22"/>
  <c r="I466" i="22"/>
  <c r="K466" i="22" s="1"/>
  <c r="J465" i="22"/>
  <c r="I465" i="22"/>
  <c r="K465" i="22" s="1"/>
  <c r="I464" i="22"/>
  <c r="I463" i="22"/>
  <c r="I462" i="22"/>
  <c r="I443" i="22" s="1"/>
  <c r="K443" i="22" s="1"/>
  <c r="I460" i="22"/>
  <c r="K460" i="22" s="1"/>
  <c r="K458" i="22"/>
  <c r="P456" i="22"/>
  <c r="L456" i="22"/>
  <c r="L454" i="22" s="1"/>
  <c r="O454" i="22" s="1"/>
  <c r="P455" i="22"/>
  <c r="O455" i="22"/>
  <c r="P454" i="22"/>
  <c r="N454" i="22"/>
  <c r="M454" i="22"/>
  <c r="N450" i="22"/>
  <c r="N449" i="22" s="1"/>
  <c r="P449" i="22"/>
  <c r="L449" i="22"/>
  <c r="L447" i="22" s="1"/>
  <c r="P448" i="22"/>
  <c r="O448" i="22"/>
  <c r="P447" i="22"/>
  <c r="M447" i="22"/>
  <c r="P446" i="22"/>
  <c r="M446" i="22"/>
  <c r="O445" i="22"/>
  <c r="N445" i="22"/>
  <c r="M445" i="22"/>
  <c r="P445" i="22" s="1"/>
  <c r="L445" i="22"/>
  <c r="M444" i="22"/>
  <c r="P444" i="22" s="1"/>
  <c r="J443" i="22"/>
  <c r="J442" i="22"/>
  <c r="I441" i="22"/>
  <c r="K441" i="22" s="1"/>
  <c r="I440" i="22"/>
  <c r="K440" i="22" s="1"/>
  <c r="I439" i="22"/>
  <c r="K439" i="22" s="1"/>
  <c r="I438" i="22"/>
  <c r="K438" i="22" s="1"/>
  <c r="I437" i="22"/>
  <c r="K437" i="22" s="1"/>
  <c r="I435" i="22"/>
  <c r="K435" i="22" s="1"/>
  <c r="J434" i="22"/>
  <c r="P431" i="22"/>
  <c r="L431" i="22"/>
  <c r="O431" i="22" s="1"/>
  <c r="P430" i="22"/>
  <c r="O430" i="22"/>
  <c r="P429" i="22"/>
  <c r="N429" i="22"/>
  <c r="M429" i="22"/>
  <c r="P424" i="22"/>
  <c r="N424" i="22"/>
  <c r="L424" i="22"/>
  <c r="L422" i="22" s="1"/>
  <c r="O422" i="22" s="1"/>
  <c r="P423" i="22"/>
  <c r="O423" i="22"/>
  <c r="P422" i="22"/>
  <c r="N422" i="22"/>
  <c r="M422" i="22"/>
  <c r="P421" i="22"/>
  <c r="N421" i="22"/>
  <c r="M421" i="22"/>
  <c r="O420" i="22"/>
  <c r="N420" i="22"/>
  <c r="N419" i="22" s="1"/>
  <c r="M420" i="22"/>
  <c r="P420" i="22" s="1"/>
  <c r="L420" i="22"/>
  <c r="M419" i="22"/>
  <c r="J418" i="22"/>
  <c r="K413" i="22"/>
  <c r="K412" i="22"/>
  <c r="N410" i="22"/>
  <c r="N408" i="22" s="1"/>
  <c r="M410" i="22"/>
  <c r="P410" i="22" s="1"/>
  <c r="L410" i="22"/>
  <c r="O410" i="22" s="1"/>
  <c r="P409" i="22"/>
  <c r="O409" i="22"/>
  <c r="N407" i="22"/>
  <c r="M407" i="22"/>
  <c r="P407" i="22" s="1"/>
  <c r="L407" i="22"/>
  <c r="O407" i="22" s="1"/>
  <c r="P406" i="22"/>
  <c r="O406" i="22"/>
  <c r="N403" i="22"/>
  <c r="M403" i="22"/>
  <c r="L403" i="22"/>
  <c r="K401" i="22"/>
  <c r="J401" i="22"/>
  <c r="I401" i="22"/>
  <c r="K400" i="22"/>
  <c r="K399" i="22"/>
  <c r="N397" i="22"/>
  <c r="N395" i="22" s="1"/>
  <c r="M397" i="22"/>
  <c r="P397" i="22" s="1"/>
  <c r="L397" i="22"/>
  <c r="O397" i="22" s="1"/>
  <c r="P396" i="22"/>
  <c r="O396" i="22"/>
  <c r="N394" i="22"/>
  <c r="N392" i="22" s="1"/>
  <c r="M394" i="22"/>
  <c r="P394" i="22" s="1"/>
  <c r="L394" i="22"/>
  <c r="P393" i="22"/>
  <c r="O393" i="22"/>
  <c r="O390" i="22"/>
  <c r="N390" i="22"/>
  <c r="M390" i="22"/>
  <c r="L390" i="22"/>
  <c r="J388" i="22"/>
  <c r="I388" i="22"/>
  <c r="K388" i="22" s="1"/>
  <c r="J385" i="22"/>
  <c r="I385" i="22"/>
  <c r="K385" i="22" s="1"/>
  <c r="K382" i="22"/>
  <c r="J382" i="22"/>
  <c r="J381" i="22"/>
  <c r="J374" i="22" s="1"/>
  <c r="I381" i="22"/>
  <c r="K381" i="22" s="1"/>
  <c r="K380" i="22"/>
  <c r="J380" i="22"/>
  <c r="J379" i="22"/>
  <c r="I379" i="22"/>
  <c r="K379" i="22" s="1"/>
  <c r="J378" i="22"/>
  <c r="I378" i="22"/>
  <c r="K378" i="22" s="1"/>
  <c r="K377" i="22"/>
  <c r="J377" i="22"/>
  <c r="I374" i="22"/>
  <c r="K374" i="22" s="1"/>
  <c r="K373" i="22"/>
  <c r="J373" i="22"/>
  <c r="J372" i="22"/>
  <c r="J365" i="22" s="1"/>
  <c r="I372" i="22"/>
  <c r="K372" i="22" s="1"/>
  <c r="K371" i="22"/>
  <c r="J371" i="22"/>
  <c r="J370" i="22"/>
  <c r="I370" i="22"/>
  <c r="K370" i="22" s="1"/>
  <c r="J369" i="22"/>
  <c r="I369" i="22"/>
  <c r="K369" i="22" s="1"/>
  <c r="K368" i="22"/>
  <c r="J368" i="22"/>
  <c r="I365" i="22"/>
  <c r="K363" i="22"/>
  <c r="J363" i="22"/>
  <c r="J362" i="22"/>
  <c r="J355" i="22" s="1"/>
  <c r="I362" i="22"/>
  <c r="K362" i="22" s="1"/>
  <c r="K361" i="22"/>
  <c r="J361" i="22"/>
  <c r="J360" i="22"/>
  <c r="I360" i="22"/>
  <c r="K360" i="22" s="1"/>
  <c r="J359" i="22"/>
  <c r="I359" i="22"/>
  <c r="K359" i="22" s="1"/>
  <c r="K358" i="22"/>
  <c r="J358" i="22"/>
  <c r="I355" i="22"/>
  <c r="K355" i="22" s="1"/>
  <c r="N353" i="22"/>
  <c r="M353" i="22"/>
  <c r="M351" i="22" s="1"/>
  <c r="L353" i="22"/>
  <c r="P352" i="22"/>
  <c r="O352" i="22"/>
  <c r="N350" i="22"/>
  <c r="M350" i="22"/>
  <c r="L350" i="22"/>
  <c r="P349" i="22"/>
  <c r="O349" i="22"/>
  <c r="O346" i="22"/>
  <c r="N346" i="22"/>
  <c r="M346" i="22"/>
  <c r="P346" i="22" s="1"/>
  <c r="L346" i="22"/>
  <c r="J343" i="22"/>
  <c r="J342" i="22"/>
  <c r="J341" i="22"/>
  <c r="J340" i="22"/>
  <c r="I340" i="22"/>
  <c r="J338" i="22"/>
  <c r="I338" i="22"/>
  <c r="N336" i="22"/>
  <c r="N334" i="22" s="1"/>
  <c r="M336" i="22"/>
  <c r="M334" i="22" s="1"/>
  <c r="P334" i="22" s="1"/>
  <c r="L336" i="22"/>
  <c r="L334" i="22" s="1"/>
  <c r="O334" i="22" s="1"/>
  <c r="P335" i="22"/>
  <c r="O335" i="22"/>
  <c r="N333" i="22"/>
  <c r="M333" i="22"/>
  <c r="M331" i="22" s="1"/>
  <c r="L333" i="22"/>
  <c r="L331" i="22" s="1"/>
  <c r="P332" i="22"/>
  <c r="O332" i="22"/>
  <c r="O329" i="22"/>
  <c r="N329" i="22"/>
  <c r="M329" i="22"/>
  <c r="P329" i="22" s="1"/>
  <c r="L329" i="22"/>
  <c r="I327" i="22"/>
  <c r="I325" i="22"/>
  <c r="K325" i="22" s="1"/>
  <c r="N323" i="22"/>
  <c r="N321" i="22" s="1"/>
  <c r="M323" i="22"/>
  <c r="P323" i="22" s="1"/>
  <c r="L323" i="22"/>
  <c r="O323" i="22" s="1"/>
  <c r="P322" i="22"/>
  <c r="O322" i="22"/>
  <c r="N320" i="22"/>
  <c r="N318" i="22" s="1"/>
  <c r="M320" i="22"/>
  <c r="L320" i="22"/>
  <c r="O320" i="22" s="1"/>
  <c r="P319" i="22"/>
  <c r="O319" i="22"/>
  <c r="P316" i="22"/>
  <c r="O316" i="22"/>
  <c r="N316" i="22"/>
  <c r="M316" i="22"/>
  <c r="L316" i="22"/>
  <c r="J314" i="22"/>
  <c r="I312" i="22"/>
  <c r="K312" i="22" s="1"/>
  <c r="I311" i="22"/>
  <c r="K311" i="22" s="1"/>
  <c r="I310" i="22"/>
  <c r="K310" i="22" s="1"/>
  <c r="I309" i="22"/>
  <c r="K309" i="22" s="1"/>
  <c r="N306" i="22"/>
  <c r="N304" i="22" s="1"/>
  <c r="M306" i="22"/>
  <c r="P306" i="22" s="1"/>
  <c r="L306" i="22"/>
  <c r="P305" i="22"/>
  <c r="O305" i="22"/>
  <c r="N303" i="22"/>
  <c r="N301" i="22" s="1"/>
  <c r="M303" i="22"/>
  <c r="P303" i="22" s="1"/>
  <c r="L303" i="22"/>
  <c r="P302" i="22"/>
  <c r="O302" i="22"/>
  <c r="N299" i="22"/>
  <c r="M299" i="22"/>
  <c r="P299" i="22" s="1"/>
  <c r="L299" i="22"/>
  <c r="O299" i="22" s="1"/>
  <c r="J297" i="22"/>
  <c r="I294" i="22"/>
  <c r="K294" i="22" s="1"/>
  <c r="I293" i="22"/>
  <c r="K293" i="22" s="1"/>
  <c r="I291" i="22"/>
  <c r="K291" i="22" s="1"/>
  <c r="I290" i="22"/>
  <c r="K290" i="22" s="1"/>
  <c r="I288" i="22"/>
  <c r="J288" i="22" s="1"/>
  <c r="J275" i="22" s="1"/>
  <c r="I287" i="22"/>
  <c r="K287" i="22" s="1"/>
  <c r="N285" i="22"/>
  <c r="N283" i="22" s="1"/>
  <c r="M285" i="22"/>
  <c r="P285" i="22" s="1"/>
  <c r="L285" i="22"/>
  <c r="O285" i="22" s="1"/>
  <c r="P284" i="22"/>
  <c r="O284" i="22"/>
  <c r="N282" i="22"/>
  <c r="M282" i="22"/>
  <c r="P282" i="22" s="1"/>
  <c r="L282" i="22"/>
  <c r="O282" i="22" s="1"/>
  <c r="P281" i="22"/>
  <c r="O281" i="22"/>
  <c r="P278" i="22"/>
  <c r="O278" i="22"/>
  <c r="N278" i="22"/>
  <c r="M278" i="22"/>
  <c r="L278" i="22"/>
  <c r="J276" i="22"/>
  <c r="I271" i="22"/>
  <c r="K271" i="22" s="1"/>
  <c r="N269" i="22"/>
  <c r="N267" i="22" s="1"/>
  <c r="M269" i="22"/>
  <c r="M267" i="22" s="1"/>
  <c r="P267" i="22" s="1"/>
  <c r="L269" i="22"/>
  <c r="O269" i="22" s="1"/>
  <c r="P268" i="22"/>
  <c r="O268" i="22"/>
  <c r="N266" i="22"/>
  <c r="N264" i="22" s="1"/>
  <c r="M266" i="22"/>
  <c r="M264" i="22" s="1"/>
  <c r="L266" i="22"/>
  <c r="L264" i="22" s="1"/>
  <c r="P265" i="22"/>
  <c r="O265" i="22"/>
  <c r="O262" i="22"/>
  <c r="N262" i="22"/>
  <c r="M262" i="22"/>
  <c r="P262" i="22" s="1"/>
  <c r="L262" i="22"/>
  <c r="J260" i="22"/>
  <c r="K258" i="22"/>
  <c r="K257" i="22"/>
  <c r="L253" i="22"/>
  <c r="L252" i="22"/>
  <c r="L251" i="22"/>
  <c r="L250" i="22"/>
  <c r="P249" i="22"/>
  <c r="N249" i="22"/>
  <c r="J248" i="22"/>
  <c r="K247" i="22"/>
  <c r="K246" i="22"/>
  <c r="I244" i="22"/>
  <c r="I237" i="22" s="1"/>
  <c r="L242" i="22"/>
  <c r="L241" i="22"/>
  <c r="L240" i="22"/>
  <c r="L239" i="22"/>
  <c r="P238" i="22"/>
  <c r="N238" i="22"/>
  <c r="J237" i="22"/>
  <c r="J236" i="22"/>
  <c r="I236" i="22"/>
  <c r="K236" i="22" s="1"/>
  <c r="J235" i="22"/>
  <c r="I235" i="22"/>
  <c r="K235" i="22" s="1"/>
  <c r="J233" i="22"/>
  <c r="N231" i="22"/>
  <c r="N230" i="22"/>
  <c r="N229" i="22"/>
  <c r="N228" i="22"/>
  <c r="J226" i="22"/>
  <c r="J180" i="22" s="1"/>
  <c r="I225" i="22"/>
  <c r="K225" i="22" s="1"/>
  <c r="I224" i="22"/>
  <c r="I216" i="22" s="1"/>
  <c r="K216" i="22" s="1"/>
  <c r="I223" i="22"/>
  <c r="K223" i="22" s="1"/>
  <c r="L220" i="22"/>
  <c r="L219" i="22"/>
  <c r="L218" i="22"/>
  <c r="P217" i="22"/>
  <c r="N217" i="22"/>
  <c r="J216" i="22"/>
  <c r="I215" i="22"/>
  <c r="K215" i="22" s="1"/>
  <c r="I214" i="22"/>
  <c r="K214" i="22" s="1"/>
  <c r="L212" i="22"/>
  <c r="L211" i="22"/>
  <c r="L210" i="22"/>
  <c r="P209" i="22"/>
  <c r="N209" i="22"/>
  <c r="J208" i="22"/>
  <c r="I204" i="22"/>
  <c r="K204" i="22" s="1"/>
  <c r="L202" i="22"/>
  <c r="L201" i="22"/>
  <c r="L200" i="22"/>
  <c r="L199" i="22"/>
  <c r="P198" i="22"/>
  <c r="N198" i="22"/>
  <c r="J197" i="22"/>
  <c r="J194" i="22"/>
  <c r="I193" i="22"/>
  <c r="K193" i="22" s="1"/>
  <c r="P191" i="22"/>
  <c r="L191" i="22"/>
  <c r="O191" i="22" s="1"/>
  <c r="J190" i="22"/>
  <c r="N189" i="22"/>
  <c r="N187" i="22" s="1"/>
  <c r="M189" i="22"/>
  <c r="L189" i="22"/>
  <c r="O189" i="22" s="1"/>
  <c r="P188" i="22"/>
  <c r="O188" i="22"/>
  <c r="N186" i="22"/>
  <c r="N184" i="22" s="1"/>
  <c r="M186" i="22"/>
  <c r="M184" i="22" s="1"/>
  <c r="L186" i="22"/>
  <c r="L184" i="22" s="1"/>
  <c r="P185" i="22"/>
  <c r="O185" i="22"/>
  <c r="N182" i="22"/>
  <c r="M182" i="22"/>
  <c r="P182" i="22" s="1"/>
  <c r="L182" i="22"/>
  <c r="O182" i="22" s="1"/>
  <c r="J177" i="22"/>
  <c r="I176" i="22"/>
  <c r="K176" i="22" s="1"/>
  <c r="J174" i="22"/>
  <c r="N173" i="22"/>
  <c r="N171" i="22" s="1"/>
  <c r="M173" i="22"/>
  <c r="P173" i="22" s="1"/>
  <c r="L173" i="22"/>
  <c r="O173" i="22" s="1"/>
  <c r="P172" i="22"/>
  <c r="O172" i="22"/>
  <c r="N170" i="22"/>
  <c r="M170" i="22"/>
  <c r="M168" i="22" s="1"/>
  <c r="P168" i="22" s="1"/>
  <c r="L170" i="22"/>
  <c r="O170" i="22" s="1"/>
  <c r="P169" i="22"/>
  <c r="O169" i="22"/>
  <c r="N166" i="22"/>
  <c r="M166" i="22"/>
  <c r="L166" i="22"/>
  <c r="J164" i="22"/>
  <c r="I159" i="22"/>
  <c r="I148" i="22" s="1"/>
  <c r="K148" i="22" s="1"/>
  <c r="N157" i="22"/>
  <c r="N155" i="22" s="1"/>
  <c r="M157" i="22"/>
  <c r="P157" i="22" s="1"/>
  <c r="L157" i="22"/>
  <c r="L155" i="22" s="1"/>
  <c r="O155" i="22" s="1"/>
  <c r="P156" i="22"/>
  <c r="O156" i="22"/>
  <c r="N154" i="22"/>
  <c r="M154" i="22"/>
  <c r="M152" i="22" s="1"/>
  <c r="P152" i="22" s="1"/>
  <c r="L154" i="22"/>
  <c r="L152" i="22" s="1"/>
  <c r="O152" i="22" s="1"/>
  <c r="P153" i="22"/>
  <c r="O153" i="22"/>
  <c r="O150" i="22"/>
  <c r="N150" i="22"/>
  <c r="M150" i="22"/>
  <c r="P150" i="22" s="1"/>
  <c r="L150" i="22"/>
  <c r="J148" i="22"/>
  <c r="I146" i="22"/>
  <c r="I130" i="22" s="1"/>
  <c r="K130" i="22" s="1"/>
  <c r="I145" i="22"/>
  <c r="I143" i="22" s="1"/>
  <c r="I144" i="22"/>
  <c r="K144" i="22" s="1"/>
  <c r="N140" i="22"/>
  <c r="N138" i="22" s="1"/>
  <c r="M140" i="22"/>
  <c r="P140" i="22" s="1"/>
  <c r="L140" i="22"/>
  <c r="O140" i="22" s="1"/>
  <c r="P139" i="22"/>
  <c r="O139" i="22"/>
  <c r="N137" i="22"/>
  <c r="N135" i="22" s="1"/>
  <c r="M137" i="22"/>
  <c r="L137" i="22"/>
  <c r="O137" i="22" s="1"/>
  <c r="P136" i="22"/>
  <c r="O136" i="22"/>
  <c r="P133" i="22"/>
  <c r="O133" i="22"/>
  <c r="N133" i="22"/>
  <c r="M133" i="22"/>
  <c r="L133" i="22"/>
  <c r="J130" i="22"/>
  <c r="N127" i="22"/>
  <c r="N125" i="22" s="1"/>
  <c r="M127" i="22"/>
  <c r="M125" i="22" s="1"/>
  <c r="P125" i="22" s="1"/>
  <c r="L127" i="22"/>
  <c r="L125" i="22" s="1"/>
  <c r="O125" i="22" s="1"/>
  <c r="P126" i="22"/>
  <c r="O126" i="22"/>
  <c r="N124" i="22"/>
  <c r="M124" i="22"/>
  <c r="P124" i="22" s="1"/>
  <c r="L124" i="22"/>
  <c r="L122" i="22" s="1"/>
  <c r="O122" i="22" s="1"/>
  <c r="P123" i="22"/>
  <c r="O123" i="22"/>
  <c r="O120" i="22"/>
  <c r="N120" i="22"/>
  <c r="M120" i="22"/>
  <c r="P120" i="22" s="1"/>
  <c r="L120" i="22"/>
  <c r="I116" i="22"/>
  <c r="I115" i="22"/>
  <c r="K115" i="22" s="1"/>
  <c r="I114" i="22"/>
  <c r="K114" i="22" s="1"/>
  <c r="I113" i="22"/>
  <c r="K113" i="22" s="1"/>
  <c r="J112" i="22"/>
  <c r="J111" i="22"/>
  <c r="I111" i="22"/>
  <c r="K111" i="22" s="1"/>
  <c r="I110" i="22"/>
  <c r="K110" i="22" s="1"/>
  <c r="I109" i="22"/>
  <c r="K109" i="22" s="1"/>
  <c r="I107" i="22"/>
  <c r="K107" i="22" s="1"/>
  <c r="I106" i="22"/>
  <c r="K106" i="22" s="1"/>
  <c r="I104" i="22"/>
  <c r="K104" i="22" s="1"/>
  <c r="I103" i="22"/>
  <c r="K103" i="22" s="1"/>
  <c r="I102" i="22"/>
  <c r="K102" i="22" s="1"/>
  <c r="J100" i="22"/>
  <c r="I100" i="22"/>
  <c r="J99" i="22"/>
  <c r="I99" i="22"/>
  <c r="I87" i="22" s="1"/>
  <c r="K87" i="22" s="1"/>
  <c r="J98" i="22"/>
  <c r="J86" i="22" s="1"/>
  <c r="I98" i="22"/>
  <c r="K98" i="22" s="1"/>
  <c r="N96" i="22"/>
  <c r="N94" i="22" s="1"/>
  <c r="M96" i="22"/>
  <c r="L96" i="22"/>
  <c r="O96" i="22" s="1"/>
  <c r="P95" i="22"/>
  <c r="O95" i="22"/>
  <c r="N93" i="22"/>
  <c r="M93" i="22"/>
  <c r="M91" i="22" s="1"/>
  <c r="L93" i="22"/>
  <c r="L91" i="22" s="1"/>
  <c r="P92" i="22"/>
  <c r="O92" i="22"/>
  <c r="N89" i="22"/>
  <c r="M89" i="22"/>
  <c r="P89" i="22" s="1"/>
  <c r="L89" i="22"/>
  <c r="O89" i="22" s="1"/>
  <c r="J87" i="22"/>
  <c r="I84" i="22"/>
  <c r="K84" i="22" s="1"/>
  <c r="I83" i="22"/>
  <c r="K83" i="22" s="1"/>
  <c r="I82" i="22"/>
  <c r="K82" i="22" s="1"/>
  <c r="I81" i="22"/>
  <c r="K81" i="22" s="1"/>
  <c r="I80" i="22"/>
  <c r="K80" i="22" s="1"/>
  <c r="I79" i="22"/>
  <c r="I78" i="22"/>
  <c r="K78" i="22" s="1"/>
  <c r="J77" i="22"/>
  <c r="J76" i="22"/>
  <c r="N74" i="22"/>
  <c r="N72" i="22" s="1"/>
  <c r="M74" i="22"/>
  <c r="P74" i="22" s="1"/>
  <c r="L74" i="22"/>
  <c r="O74" i="22" s="1"/>
  <c r="P73" i="22"/>
  <c r="O73" i="22"/>
  <c r="N71" i="22"/>
  <c r="N69" i="22" s="1"/>
  <c r="M71" i="22"/>
  <c r="P71" i="22" s="1"/>
  <c r="L71" i="22"/>
  <c r="O71" i="22" s="1"/>
  <c r="P70" i="22"/>
  <c r="O70" i="22"/>
  <c r="P67" i="22"/>
  <c r="N67" i="22"/>
  <c r="M67" i="22"/>
  <c r="L67" i="22"/>
  <c r="J65" i="22"/>
  <c r="J64" i="22"/>
  <c r="N61" i="22"/>
  <c r="N59" i="22" s="1"/>
  <c r="M61" i="22"/>
  <c r="P61" i="22" s="1"/>
  <c r="L61" i="22"/>
  <c r="L59" i="22" s="1"/>
  <c r="O59" i="22" s="1"/>
  <c r="P60" i="22"/>
  <c r="O60" i="22"/>
  <c r="N58" i="22"/>
  <c r="M58" i="22"/>
  <c r="L58" i="22"/>
  <c r="L56" i="22" s="1"/>
  <c r="P57" i="22"/>
  <c r="O57" i="22"/>
  <c r="O54" i="22"/>
  <c r="N54" i="22"/>
  <c r="M54" i="22"/>
  <c r="P54" i="22" s="1"/>
  <c r="L54" i="22"/>
  <c r="N49" i="22"/>
  <c r="N47" i="22" s="1"/>
  <c r="M49" i="22"/>
  <c r="L49" i="22"/>
  <c r="O49" i="22" s="1"/>
  <c r="P48" i="22"/>
  <c r="O48" i="22"/>
  <c r="N46" i="22"/>
  <c r="N44" i="22" s="1"/>
  <c r="M46" i="22"/>
  <c r="L46" i="22"/>
  <c r="L44" i="22" s="1"/>
  <c r="P45" i="22"/>
  <c r="O45" i="22"/>
  <c r="P42" i="22"/>
  <c r="O42" i="22"/>
  <c r="N42" i="22"/>
  <c r="M42" i="22"/>
  <c r="L42" i="22"/>
  <c r="N36" i="22"/>
  <c r="M36" i="22"/>
  <c r="P36" i="22" s="1"/>
  <c r="P35" i="22"/>
  <c r="N35" i="22"/>
  <c r="N34" i="22" s="1"/>
  <c r="M35" i="22"/>
  <c r="M29" i="22" s="1"/>
  <c r="L35" i="22"/>
  <c r="O35" i="22" s="1"/>
  <c r="M34" i="22"/>
  <c r="P34" i="22" s="1"/>
  <c r="P33" i="22"/>
  <c r="N33" i="22"/>
  <c r="M33" i="22"/>
  <c r="P32" i="22"/>
  <c r="O32" i="22"/>
  <c r="N32" i="22"/>
  <c r="N29" i="22" s="1"/>
  <c r="N28" i="22" s="1"/>
  <c r="M32" i="22"/>
  <c r="L32" i="22"/>
  <c r="P31" i="22"/>
  <c r="N31" i="22"/>
  <c r="M31" i="22"/>
  <c r="N30" i="22"/>
  <c r="M30" i="22"/>
  <c r="P30" i="22" s="1"/>
  <c r="L29" i="22"/>
  <c r="O29" i="22" s="1"/>
  <c r="O25" i="22"/>
  <c r="N25" i="22"/>
  <c r="M25" i="22"/>
  <c r="L25" i="22"/>
  <c r="N22" i="22"/>
  <c r="N19" i="22" s="1"/>
  <c r="M22" i="22"/>
  <c r="P22" i="22" s="1"/>
  <c r="L22" i="22"/>
  <c r="O15" i="22"/>
  <c r="N15" i="22"/>
  <c r="L15" i="22"/>
  <c r="O12" i="22"/>
  <c r="N12" i="22"/>
  <c r="M12" i="22"/>
  <c r="P12" i="22" s="1"/>
  <c r="L12" i="22"/>
  <c r="L9" i="22"/>
  <c r="O9" i="22" s="1"/>
  <c r="J828" i="21"/>
  <c r="I828" i="21"/>
  <c r="J827" i="21"/>
  <c r="I827" i="21"/>
  <c r="J826" i="21"/>
  <c r="I826" i="21"/>
  <c r="J825" i="21"/>
  <c r="I825" i="21"/>
  <c r="J824" i="21"/>
  <c r="I824" i="21"/>
  <c r="J823" i="21"/>
  <c r="I823" i="21"/>
  <c r="J822" i="21"/>
  <c r="I822" i="21"/>
  <c r="J821" i="21"/>
  <c r="I821" i="21"/>
  <c r="P817" i="21"/>
  <c r="O817" i="21"/>
  <c r="P816" i="21"/>
  <c r="O816" i="21"/>
  <c r="N815" i="21"/>
  <c r="M815" i="21"/>
  <c r="P815" i="21" s="1"/>
  <c r="L815" i="21"/>
  <c r="O815" i="21" s="1"/>
  <c r="P810" i="21"/>
  <c r="O810" i="21"/>
  <c r="N810" i="21"/>
  <c r="P809" i="21"/>
  <c r="O809" i="21"/>
  <c r="P808" i="21"/>
  <c r="O808" i="21"/>
  <c r="N808" i="21"/>
  <c r="M808" i="21"/>
  <c r="L808" i="21"/>
  <c r="P807" i="21"/>
  <c r="O807" i="21"/>
  <c r="N807" i="21"/>
  <c r="M807" i="21"/>
  <c r="L807" i="21"/>
  <c r="N806" i="21"/>
  <c r="N805" i="21" s="1"/>
  <c r="M806" i="21"/>
  <c r="P806" i="21" s="1"/>
  <c r="L806" i="21"/>
  <c r="O806" i="21" s="1"/>
  <c r="K804" i="21"/>
  <c r="J804" i="21"/>
  <c r="K802" i="21"/>
  <c r="J801" i="21"/>
  <c r="J800" i="21"/>
  <c r="J785" i="21" s="1"/>
  <c r="I800" i="21"/>
  <c r="I785" i="21" s="1"/>
  <c r="K785" i="21" s="1"/>
  <c r="P798" i="21"/>
  <c r="O798" i="21"/>
  <c r="P797" i="21"/>
  <c r="O797" i="21"/>
  <c r="P796" i="21"/>
  <c r="O796" i="21"/>
  <c r="N796" i="21"/>
  <c r="M796" i="21"/>
  <c r="L796" i="21"/>
  <c r="P791" i="21"/>
  <c r="N791" i="21"/>
  <c r="N788" i="21" s="1"/>
  <c r="N786" i="21" s="1"/>
  <c r="L791" i="21"/>
  <c r="L789" i="21" s="1"/>
  <c r="O789" i="21" s="1"/>
  <c r="P790" i="21"/>
  <c r="O790" i="21"/>
  <c r="P789" i="21"/>
  <c r="N789" i="21"/>
  <c r="M789" i="21"/>
  <c r="M788" i="21"/>
  <c r="M786" i="21" s="1"/>
  <c r="P786" i="21" s="1"/>
  <c r="O787" i="21"/>
  <c r="N787" i="21"/>
  <c r="M787" i="21"/>
  <c r="P787" i="21" s="1"/>
  <c r="L787" i="21"/>
  <c r="P782" i="21"/>
  <c r="O782" i="21"/>
  <c r="P781" i="21"/>
  <c r="O781" i="21"/>
  <c r="N780" i="21"/>
  <c r="M780" i="21"/>
  <c r="P780" i="21" s="1"/>
  <c r="L780" i="21"/>
  <c r="O780" i="21" s="1"/>
  <c r="P775" i="21"/>
  <c r="O775" i="21"/>
  <c r="N775" i="21"/>
  <c r="N773" i="21" s="1"/>
  <c r="P774" i="21"/>
  <c r="O774" i="21"/>
  <c r="P773" i="21"/>
  <c r="O773" i="21"/>
  <c r="M773" i="21"/>
  <c r="L773" i="21"/>
  <c r="P772" i="21"/>
  <c r="O772" i="21"/>
  <c r="N772" i="21"/>
  <c r="M772" i="21"/>
  <c r="L772" i="21"/>
  <c r="P771" i="21"/>
  <c r="O771" i="21"/>
  <c r="N771" i="21"/>
  <c r="M771" i="21"/>
  <c r="L771" i="21"/>
  <c r="O770" i="21"/>
  <c r="N770" i="21"/>
  <c r="M770" i="21"/>
  <c r="P770" i="21" s="1"/>
  <c r="L770" i="21"/>
  <c r="K769" i="21"/>
  <c r="J769" i="21"/>
  <c r="P766" i="21"/>
  <c r="O766" i="21"/>
  <c r="P765" i="21"/>
  <c r="O765" i="21"/>
  <c r="N764" i="21"/>
  <c r="M764" i="21"/>
  <c r="P764" i="21" s="1"/>
  <c r="L764" i="21"/>
  <c r="O764" i="21" s="1"/>
  <c r="P759" i="21"/>
  <c r="O759" i="21"/>
  <c r="N759" i="21"/>
  <c r="N757" i="21" s="1"/>
  <c r="P758" i="21"/>
  <c r="O758" i="21"/>
  <c r="P757" i="21"/>
  <c r="O757" i="21"/>
  <c r="M757" i="21"/>
  <c r="L757" i="21"/>
  <c r="P756" i="21"/>
  <c r="O756" i="21"/>
  <c r="N756" i="21"/>
  <c r="M756" i="21"/>
  <c r="L756" i="21"/>
  <c r="O755" i="21"/>
  <c r="N755" i="21"/>
  <c r="N754" i="21" s="1"/>
  <c r="M755" i="21"/>
  <c r="M754" i="21" s="1"/>
  <c r="P754" i="21" s="1"/>
  <c r="L755" i="21"/>
  <c r="L754" i="21"/>
  <c r="O754" i="21" s="1"/>
  <c r="K753" i="21"/>
  <c r="J753" i="21"/>
  <c r="P749" i="21"/>
  <c r="O749" i="21"/>
  <c r="P748" i="21"/>
  <c r="O748" i="21"/>
  <c r="N747" i="21"/>
  <c r="M747" i="21"/>
  <c r="P747" i="21" s="1"/>
  <c r="L747" i="21"/>
  <c r="O747" i="21" s="1"/>
  <c r="P742" i="21"/>
  <c r="O742" i="21"/>
  <c r="N742" i="21"/>
  <c r="N740" i="21" s="1"/>
  <c r="P741" i="21"/>
  <c r="O741" i="21"/>
  <c r="P740" i="21"/>
  <c r="M740" i="21"/>
  <c r="L740" i="21"/>
  <c r="O740" i="21" s="1"/>
  <c r="P739" i="21"/>
  <c r="O739" i="21"/>
  <c r="N739" i="21"/>
  <c r="N737" i="21" s="1"/>
  <c r="M739" i="21"/>
  <c r="L739" i="21"/>
  <c r="O738" i="21"/>
  <c r="N738" i="21"/>
  <c r="M738" i="21"/>
  <c r="P738" i="21" s="1"/>
  <c r="L738" i="21"/>
  <c r="M737" i="21"/>
  <c r="P737" i="21" s="1"/>
  <c r="L737" i="21"/>
  <c r="O737" i="21" s="1"/>
  <c r="K736" i="21"/>
  <c r="J736" i="21"/>
  <c r="J729" i="21"/>
  <c r="I729" i="21"/>
  <c r="K729" i="21" s="1"/>
  <c r="J728" i="21"/>
  <c r="I728" i="21"/>
  <c r="J727" i="21"/>
  <c r="J726" i="21"/>
  <c r="I726" i="21"/>
  <c r="J725" i="21"/>
  <c r="I725" i="21"/>
  <c r="J724" i="21"/>
  <c r="J723" i="21"/>
  <c r="I723" i="21"/>
  <c r="I722" i="21"/>
  <c r="I721" i="21"/>
  <c r="J720" i="21"/>
  <c r="I720" i="21"/>
  <c r="J719" i="21"/>
  <c r="J718" i="21"/>
  <c r="J708" i="21"/>
  <c r="I708" i="21"/>
  <c r="K708" i="21" s="1"/>
  <c r="I707" i="21"/>
  <c r="I704" i="21"/>
  <c r="J701" i="21"/>
  <c r="I701" i="21"/>
  <c r="J700" i="21"/>
  <c r="I700" i="21"/>
  <c r="K700" i="21" s="1"/>
  <c r="J699" i="21"/>
  <c r="I699" i="21"/>
  <c r="K699" i="21" s="1"/>
  <c r="P697" i="21"/>
  <c r="O697" i="21"/>
  <c r="P696" i="21"/>
  <c r="O696" i="21"/>
  <c r="N695" i="21"/>
  <c r="M695" i="21"/>
  <c r="P695" i="21" s="1"/>
  <c r="L695" i="21"/>
  <c r="O695" i="21" s="1"/>
  <c r="P690" i="21"/>
  <c r="N690" i="21"/>
  <c r="L690" i="21"/>
  <c r="P688" i="21"/>
  <c r="N688" i="21"/>
  <c r="M688" i="21"/>
  <c r="P687" i="21"/>
  <c r="N687" i="21"/>
  <c r="M687" i="21"/>
  <c r="O686" i="21"/>
  <c r="N686" i="21"/>
  <c r="N685" i="21" s="1"/>
  <c r="M686" i="21"/>
  <c r="P686" i="21" s="1"/>
  <c r="L686" i="21"/>
  <c r="J679" i="21"/>
  <c r="J678" i="21" s="1"/>
  <c r="I678" i="21"/>
  <c r="K678" i="21" s="1"/>
  <c r="J675" i="21"/>
  <c r="J669" i="21" s="1"/>
  <c r="J654" i="21" s="1"/>
  <c r="I671" i="21"/>
  <c r="K671" i="21" s="1"/>
  <c r="I670" i="21"/>
  <c r="K670" i="21" s="1"/>
  <c r="I669" i="21"/>
  <c r="P667" i="21"/>
  <c r="O667" i="21"/>
  <c r="P666" i="21"/>
  <c r="O666" i="21"/>
  <c r="N665" i="21"/>
  <c r="M665" i="21"/>
  <c r="P665" i="21" s="1"/>
  <c r="L665" i="21"/>
  <c r="O665" i="21" s="1"/>
  <c r="P660" i="21"/>
  <c r="N660" i="21"/>
  <c r="N657" i="21" s="1"/>
  <c r="N655" i="21" s="1"/>
  <c r="L660" i="21"/>
  <c r="L657" i="21" s="1"/>
  <c r="P659" i="21"/>
  <c r="O659" i="21"/>
  <c r="N658" i="21"/>
  <c r="M658" i="21"/>
  <c r="P658" i="21" s="1"/>
  <c r="M657" i="21"/>
  <c r="P657" i="21" s="1"/>
  <c r="P656" i="21"/>
  <c r="O656" i="21"/>
  <c r="N656" i="21"/>
  <c r="M656" i="21"/>
  <c r="L656" i="21"/>
  <c r="K652" i="21"/>
  <c r="J652" i="21"/>
  <c r="J651" i="21"/>
  <c r="J628" i="21" s="1"/>
  <c r="I651" i="21"/>
  <c r="K650" i="21"/>
  <c r="J650" i="21"/>
  <c r="J649" i="21"/>
  <c r="I649" i="21"/>
  <c r="K648" i="21"/>
  <c r="J648" i="21"/>
  <c r="J647" i="21"/>
  <c r="I647" i="21"/>
  <c r="K646" i="21"/>
  <c r="J646" i="21"/>
  <c r="K645" i="21"/>
  <c r="J645" i="21"/>
  <c r="I644" i="21"/>
  <c r="K644" i="21" s="1"/>
  <c r="I643" i="21"/>
  <c r="K643" i="21" s="1"/>
  <c r="P641" i="21"/>
  <c r="L641" i="21"/>
  <c r="O641" i="21" s="1"/>
  <c r="P640" i="21"/>
  <c r="O640" i="21"/>
  <c r="P639" i="21"/>
  <c r="N639" i="21"/>
  <c r="M639" i="21"/>
  <c r="N638" i="21"/>
  <c r="P634" i="21"/>
  <c r="N634" i="21"/>
  <c r="L634" i="21"/>
  <c r="P633" i="21"/>
  <c r="O633" i="21"/>
  <c r="P632" i="21"/>
  <c r="N632" i="21"/>
  <c r="M632" i="21"/>
  <c r="L632" i="21"/>
  <c r="M631" i="21"/>
  <c r="P631" i="21" s="1"/>
  <c r="N630" i="21"/>
  <c r="M630" i="21"/>
  <c r="P630" i="21" s="1"/>
  <c r="L630" i="21"/>
  <c r="O630" i="21" s="1"/>
  <c r="J621" i="21"/>
  <c r="I621" i="21"/>
  <c r="K621" i="21" s="1"/>
  <c r="J620" i="21"/>
  <c r="I620" i="21"/>
  <c r="K620" i="21" s="1"/>
  <c r="K613" i="21"/>
  <c r="J613" i="21"/>
  <c r="K612" i="21"/>
  <c r="J612" i="21"/>
  <c r="K611" i="21"/>
  <c r="J611" i="21"/>
  <c r="J604" i="21"/>
  <c r="J603" i="21"/>
  <c r="J596" i="21"/>
  <c r="J594" i="21" s="1"/>
  <c r="J595" i="21"/>
  <c r="I594" i="21"/>
  <c r="J593" i="21"/>
  <c r="J592" i="21" s="1"/>
  <c r="I593" i="21"/>
  <c r="J583" i="21"/>
  <c r="J577" i="21" s="1"/>
  <c r="J582" i="21"/>
  <c r="I577" i="21"/>
  <c r="K577" i="21" s="1"/>
  <c r="J576" i="21"/>
  <c r="J559" i="21" s="1"/>
  <c r="J543" i="21" s="1"/>
  <c r="I576" i="21"/>
  <c r="I559" i="21" s="1"/>
  <c r="K559" i="21" s="1"/>
  <c r="J569" i="21"/>
  <c r="I569" i="21"/>
  <c r="K569" i="21" s="1"/>
  <c r="J568" i="21"/>
  <c r="I568" i="21"/>
  <c r="K568" i="21" s="1"/>
  <c r="J561" i="21"/>
  <c r="I561" i="21"/>
  <c r="K561" i="21" s="1"/>
  <c r="J560" i="21"/>
  <c r="I560" i="21"/>
  <c r="K560" i="21" s="1"/>
  <c r="P557" i="21"/>
  <c r="L557" i="21"/>
  <c r="O557" i="21" s="1"/>
  <c r="P556" i="21"/>
  <c r="O556" i="21"/>
  <c r="N555" i="21"/>
  <c r="N545" i="21" s="1"/>
  <c r="M555" i="21"/>
  <c r="P555" i="21" s="1"/>
  <c r="N553" i="21"/>
  <c r="P549" i="21"/>
  <c r="N549" i="21"/>
  <c r="N547" i="21" s="1"/>
  <c r="L549" i="21"/>
  <c r="O549" i="21" s="1"/>
  <c r="P548" i="21"/>
  <c r="O548" i="21"/>
  <c r="M547" i="21"/>
  <c r="P547" i="21" s="1"/>
  <c r="N546" i="21"/>
  <c r="M546" i="21"/>
  <c r="P546" i="21" s="1"/>
  <c r="L545" i="21"/>
  <c r="O545" i="21" s="1"/>
  <c r="I542" i="21"/>
  <c r="K542" i="21" s="1"/>
  <c r="I541" i="21"/>
  <c r="K541" i="21" s="1"/>
  <c r="I540" i="21"/>
  <c r="K540" i="21" s="1"/>
  <c r="I539" i="21"/>
  <c r="K539" i="21" s="1"/>
  <c r="I538" i="21"/>
  <c r="I537" i="21"/>
  <c r="I522" i="21" s="1"/>
  <c r="K522" i="21" s="1"/>
  <c r="P535" i="21"/>
  <c r="L535" i="21"/>
  <c r="O535" i="21" s="1"/>
  <c r="P534" i="21"/>
  <c r="O534" i="21"/>
  <c r="N533" i="21"/>
  <c r="M533" i="21"/>
  <c r="P533" i="21" s="1"/>
  <c r="P528" i="21"/>
  <c r="N528" i="21"/>
  <c r="N525" i="21" s="1"/>
  <c r="L528" i="21"/>
  <c r="L526" i="21" s="1"/>
  <c r="O526" i="21" s="1"/>
  <c r="P527" i="21"/>
  <c r="O527" i="21"/>
  <c r="P526" i="21"/>
  <c r="N526" i="21"/>
  <c r="M526" i="21"/>
  <c r="P525" i="21"/>
  <c r="M525" i="21"/>
  <c r="P524" i="21"/>
  <c r="O524" i="21"/>
  <c r="N524" i="21"/>
  <c r="N523" i="21" s="1"/>
  <c r="M524" i="21"/>
  <c r="L524" i="21"/>
  <c r="P523" i="21"/>
  <c r="M523" i="21"/>
  <c r="K517" i="21"/>
  <c r="J517" i="21"/>
  <c r="J501" i="21" s="1"/>
  <c r="K516" i="21"/>
  <c r="P514" i="21"/>
  <c r="O514" i="21"/>
  <c r="P513" i="21"/>
  <c r="O513" i="21"/>
  <c r="N512" i="21"/>
  <c r="M512" i="21"/>
  <c r="P512" i="21" s="1"/>
  <c r="L512" i="21"/>
  <c r="O512" i="21" s="1"/>
  <c r="P507" i="21"/>
  <c r="O507" i="21"/>
  <c r="N507" i="21"/>
  <c r="P506" i="21"/>
  <c r="O506" i="21"/>
  <c r="P505" i="21"/>
  <c r="O505" i="21"/>
  <c r="N505" i="21"/>
  <c r="M505" i="21"/>
  <c r="L505" i="21"/>
  <c r="O504" i="21"/>
  <c r="N504" i="21"/>
  <c r="M504" i="21"/>
  <c r="P504" i="21" s="1"/>
  <c r="L504" i="21"/>
  <c r="N503" i="21"/>
  <c r="M503" i="21"/>
  <c r="P503" i="21" s="1"/>
  <c r="L503" i="21"/>
  <c r="O503" i="21" s="1"/>
  <c r="N502" i="21"/>
  <c r="K501" i="21"/>
  <c r="K500" i="21"/>
  <c r="J500" i="21"/>
  <c r="I498" i="21"/>
  <c r="K498" i="21" s="1"/>
  <c r="I495" i="21"/>
  <c r="K495" i="21" s="1"/>
  <c r="I492" i="21"/>
  <c r="K492" i="21" s="1"/>
  <c r="I489" i="21"/>
  <c r="K489" i="21" s="1"/>
  <c r="I487" i="21"/>
  <c r="K487" i="21" s="1"/>
  <c r="I485" i="21"/>
  <c r="K485" i="21" s="1"/>
  <c r="I483" i="21"/>
  <c r="K483" i="21" s="1"/>
  <c r="P479" i="21"/>
  <c r="L479" i="21"/>
  <c r="L477" i="21" s="1"/>
  <c r="O477" i="21" s="1"/>
  <c r="P478" i="21"/>
  <c r="O478" i="21"/>
  <c r="P477" i="21"/>
  <c r="N477" i="21"/>
  <c r="M477" i="21"/>
  <c r="N476" i="21"/>
  <c r="N472" i="21" s="1"/>
  <c r="N470" i="21" s="1"/>
  <c r="P472" i="21"/>
  <c r="L472" i="21"/>
  <c r="O472" i="21" s="1"/>
  <c r="P471" i="21"/>
  <c r="O471" i="21"/>
  <c r="P470" i="21"/>
  <c r="M470" i="21"/>
  <c r="P469" i="21"/>
  <c r="N469" i="21"/>
  <c r="M469" i="21"/>
  <c r="P468" i="21"/>
  <c r="O468" i="21"/>
  <c r="N468" i="21"/>
  <c r="M468" i="21"/>
  <c r="M467" i="21" s="1"/>
  <c r="P467" i="21" s="1"/>
  <c r="L468" i="21"/>
  <c r="N467" i="21"/>
  <c r="J466" i="21"/>
  <c r="I466" i="21"/>
  <c r="K466" i="21" s="1"/>
  <c r="J465" i="21"/>
  <c r="I465" i="21"/>
  <c r="I464" i="21"/>
  <c r="I463" i="21"/>
  <c r="I462" i="21"/>
  <c r="I443" i="21" s="1"/>
  <c r="K443" i="21" s="1"/>
  <c r="I460" i="21"/>
  <c r="I442" i="21" s="1"/>
  <c r="K442" i="21" s="1"/>
  <c r="K458" i="21"/>
  <c r="P456" i="21"/>
  <c r="L456" i="21"/>
  <c r="O456" i="21" s="1"/>
  <c r="P455" i="21"/>
  <c r="O455" i="21"/>
  <c r="N454" i="21"/>
  <c r="M454" i="21"/>
  <c r="P454" i="21" s="1"/>
  <c r="N453" i="21"/>
  <c r="N449" i="21" s="1"/>
  <c r="P449" i="21"/>
  <c r="L449" i="21"/>
  <c r="L447" i="21" s="1"/>
  <c r="P448" i="21"/>
  <c r="O448" i="21"/>
  <c r="M447" i="21"/>
  <c r="P447" i="21" s="1"/>
  <c r="M446" i="21"/>
  <c r="P446" i="21" s="1"/>
  <c r="P445" i="21"/>
  <c r="O445" i="21"/>
  <c r="N445" i="21"/>
  <c r="M445" i="21"/>
  <c r="L445" i="21"/>
  <c r="J443" i="21"/>
  <c r="J442" i="21"/>
  <c r="I441" i="21"/>
  <c r="K441" i="21" s="1"/>
  <c r="I440" i="21"/>
  <c r="K440" i="21" s="1"/>
  <c r="I439" i="21"/>
  <c r="K439" i="21" s="1"/>
  <c r="I438" i="21"/>
  <c r="I437" i="21"/>
  <c r="K437" i="21" s="1"/>
  <c r="I435" i="21"/>
  <c r="K435" i="21" s="1"/>
  <c r="J434" i="21"/>
  <c r="J418" i="21" s="1"/>
  <c r="P431" i="21"/>
  <c r="L431" i="21"/>
  <c r="O431" i="21" s="1"/>
  <c r="P430" i="21"/>
  <c r="O430" i="21"/>
  <c r="N429" i="21"/>
  <c r="M429" i="21"/>
  <c r="P429" i="21" s="1"/>
  <c r="N428" i="21"/>
  <c r="P424" i="21"/>
  <c r="N424" i="21"/>
  <c r="N421" i="21" s="1"/>
  <c r="L424" i="21"/>
  <c r="P423" i="21"/>
  <c r="O423" i="21"/>
  <c r="N422" i="21"/>
  <c r="M422" i="21"/>
  <c r="P422" i="21" s="1"/>
  <c r="M421" i="21"/>
  <c r="P421" i="21" s="1"/>
  <c r="N420" i="21"/>
  <c r="M420" i="21"/>
  <c r="P420" i="21" s="1"/>
  <c r="L420" i="21"/>
  <c r="O420" i="21" s="1"/>
  <c r="K413" i="21"/>
  <c r="K412" i="21"/>
  <c r="N410" i="21"/>
  <c r="N408" i="21" s="1"/>
  <c r="M410" i="21"/>
  <c r="P410" i="21" s="1"/>
  <c r="L410" i="21"/>
  <c r="O410" i="21" s="1"/>
  <c r="P409" i="21"/>
  <c r="O409" i="21"/>
  <c r="N407" i="21"/>
  <c r="N405" i="21" s="1"/>
  <c r="M407" i="21"/>
  <c r="P407" i="21" s="1"/>
  <c r="L407" i="21"/>
  <c r="L405" i="21" s="1"/>
  <c r="O405" i="21" s="1"/>
  <c r="P406" i="21"/>
  <c r="O406" i="21"/>
  <c r="P403" i="21"/>
  <c r="N403" i="21"/>
  <c r="M403" i="21"/>
  <c r="L403" i="21"/>
  <c r="K401" i="21"/>
  <c r="J401" i="21"/>
  <c r="I401" i="21"/>
  <c r="K400" i="21"/>
  <c r="K399" i="21"/>
  <c r="N397" i="21"/>
  <c r="N395" i="21" s="1"/>
  <c r="M397" i="21"/>
  <c r="P397" i="21" s="1"/>
  <c r="L397" i="21"/>
  <c r="P396" i="21"/>
  <c r="O396" i="21"/>
  <c r="N394" i="21"/>
  <c r="M394" i="21"/>
  <c r="L394" i="21"/>
  <c r="O394" i="21" s="1"/>
  <c r="P393" i="21"/>
  <c r="O393" i="21"/>
  <c r="P390" i="21"/>
  <c r="N390" i="21"/>
  <c r="M390" i="21"/>
  <c r="L390" i="21"/>
  <c r="O390" i="21" s="1"/>
  <c r="J388" i="21"/>
  <c r="I388" i="21"/>
  <c r="K388" i="21" s="1"/>
  <c r="J385" i="21"/>
  <c r="I385" i="21"/>
  <c r="K382" i="21"/>
  <c r="J382" i="21"/>
  <c r="J381" i="21"/>
  <c r="J374" i="21" s="1"/>
  <c r="I381" i="21"/>
  <c r="K380" i="21"/>
  <c r="J380" i="21"/>
  <c r="J379" i="21"/>
  <c r="I379" i="21"/>
  <c r="J378" i="21"/>
  <c r="I378" i="21"/>
  <c r="K377" i="21"/>
  <c r="J377" i="21"/>
  <c r="I374" i="21"/>
  <c r="K373" i="21"/>
  <c r="J373" i="21"/>
  <c r="J372" i="21"/>
  <c r="J365" i="21" s="1"/>
  <c r="I372" i="21"/>
  <c r="K371" i="21"/>
  <c r="J371" i="21"/>
  <c r="J370" i="21"/>
  <c r="I370" i="21"/>
  <c r="J369" i="21"/>
  <c r="I369" i="21"/>
  <c r="K368" i="21"/>
  <c r="J368" i="21"/>
  <c r="I365" i="21"/>
  <c r="K363" i="21"/>
  <c r="J363" i="21"/>
  <c r="J362" i="21"/>
  <c r="J355" i="21" s="1"/>
  <c r="I362" i="21"/>
  <c r="K361" i="21"/>
  <c r="J361" i="21"/>
  <c r="J360" i="21"/>
  <c r="I360" i="21"/>
  <c r="J359" i="21"/>
  <c r="I359" i="21"/>
  <c r="K358" i="21"/>
  <c r="J358" i="21"/>
  <c r="I355" i="21"/>
  <c r="N353" i="21"/>
  <c r="N351" i="21" s="1"/>
  <c r="M353" i="21"/>
  <c r="M351" i="21" s="1"/>
  <c r="L353" i="21"/>
  <c r="P352" i="21"/>
  <c r="O352" i="21"/>
  <c r="N350" i="21"/>
  <c r="M350" i="21"/>
  <c r="L350" i="21"/>
  <c r="L348" i="21" s="1"/>
  <c r="P349" i="21"/>
  <c r="O349" i="21"/>
  <c r="N346" i="21"/>
  <c r="M346" i="21"/>
  <c r="P346" i="21" s="1"/>
  <c r="L346" i="21"/>
  <c r="O346" i="21" s="1"/>
  <c r="J343" i="21"/>
  <c r="J342" i="21"/>
  <c r="J341" i="21"/>
  <c r="J340" i="21"/>
  <c r="I340" i="21"/>
  <c r="J338" i="21"/>
  <c r="I338" i="21"/>
  <c r="N336" i="21"/>
  <c r="N334" i="21" s="1"/>
  <c r="M336" i="21"/>
  <c r="P336" i="21" s="1"/>
  <c r="L336" i="21"/>
  <c r="P335" i="21"/>
  <c r="O335" i="21"/>
  <c r="N333" i="21"/>
  <c r="M333" i="21"/>
  <c r="L333" i="21"/>
  <c r="L331" i="21" s="1"/>
  <c r="P332" i="21"/>
  <c r="O332" i="21"/>
  <c r="P329" i="21"/>
  <c r="N329" i="21"/>
  <c r="M329" i="21"/>
  <c r="L329" i="21"/>
  <c r="O329" i="21" s="1"/>
  <c r="I327" i="21"/>
  <c r="I325" i="21"/>
  <c r="K325" i="21" s="1"/>
  <c r="N323" i="21"/>
  <c r="M323" i="21"/>
  <c r="L323" i="21"/>
  <c r="L321" i="21" s="1"/>
  <c r="O321" i="21" s="1"/>
  <c r="P322" i="21"/>
  <c r="O322" i="21"/>
  <c r="N320" i="21"/>
  <c r="N318" i="21" s="1"/>
  <c r="M320" i="21"/>
  <c r="M318" i="21" s="1"/>
  <c r="P318" i="21" s="1"/>
  <c r="L320" i="21"/>
  <c r="L318" i="21" s="1"/>
  <c r="O318" i="21" s="1"/>
  <c r="P319" i="21"/>
  <c r="O319" i="21"/>
  <c r="N316" i="21"/>
  <c r="M316" i="21"/>
  <c r="L316" i="21"/>
  <c r="O316" i="21" s="1"/>
  <c r="J314" i="21"/>
  <c r="I312" i="21"/>
  <c r="K312" i="21" s="1"/>
  <c r="I311" i="21"/>
  <c r="K311" i="21" s="1"/>
  <c r="I310" i="21"/>
  <c r="K310" i="21" s="1"/>
  <c r="I309" i="21"/>
  <c r="K309" i="21" s="1"/>
  <c r="N306" i="21"/>
  <c r="N304" i="21" s="1"/>
  <c r="M306" i="21"/>
  <c r="P306" i="21" s="1"/>
  <c r="L306" i="21"/>
  <c r="P305" i="21"/>
  <c r="O305" i="21"/>
  <c r="N303" i="21"/>
  <c r="M303" i="21"/>
  <c r="L303" i="21"/>
  <c r="P302" i="21"/>
  <c r="O302" i="21"/>
  <c r="N299" i="21"/>
  <c r="M299" i="21"/>
  <c r="P299" i="21" s="1"/>
  <c r="L299" i="21"/>
  <c r="O299" i="21" s="1"/>
  <c r="J297" i="21"/>
  <c r="I294" i="21"/>
  <c r="K294" i="21" s="1"/>
  <c r="I293" i="21"/>
  <c r="K293" i="21" s="1"/>
  <c r="I291" i="21"/>
  <c r="K291" i="21" s="1"/>
  <c r="I290" i="21"/>
  <c r="K290" i="21" s="1"/>
  <c r="I288" i="21"/>
  <c r="J288" i="21" s="1"/>
  <c r="K288" i="21" s="1"/>
  <c r="I287" i="21"/>
  <c r="N285" i="21"/>
  <c r="N283" i="21" s="1"/>
  <c r="M285" i="21"/>
  <c r="L285" i="21"/>
  <c r="O285" i="21" s="1"/>
  <c r="P284" i="21"/>
  <c r="O284" i="21"/>
  <c r="N282" i="21"/>
  <c r="M282" i="21"/>
  <c r="M280" i="21" s="1"/>
  <c r="L282" i="21"/>
  <c r="L280" i="21" s="1"/>
  <c r="P281" i="21"/>
  <c r="O281" i="21"/>
  <c r="O278" i="21"/>
  <c r="N278" i="21"/>
  <c r="M278" i="21"/>
  <c r="P278" i="21" s="1"/>
  <c r="L278" i="21"/>
  <c r="J276" i="21"/>
  <c r="I271" i="21"/>
  <c r="K271" i="21" s="1"/>
  <c r="N269" i="21"/>
  <c r="N267" i="21" s="1"/>
  <c r="M269" i="21"/>
  <c r="P269" i="21" s="1"/>
  <c r="L269" i="21"/>
  <c r="O269" i="21" s="1"/>
  <c r="P268" i="21"/>
  <c r="O268" i="21"/>
  <c r="N266" i="21"/>
  <c r="N264" i="21" s="1"/>
  <c r="M266" i="21"/>
  <c r="P266" i="21" s="1"/>
  <c r="L266" i="21"/>
  <c r="P265" i="21"/>
  <c r="O265" i="21"/>
  <c r="N262" i="21"/>
  <c r="M262" i="21"/>
  <c r="P262" i="21" s="1"/>
  <c r="L262" i="21"/>
  <c r="O262" i="21" s="1"/>
  <c r="J260" i="21"/>
  <c r="K258" i="21"/>
  <c r="K257" i="21"/>
  <c r="L253" i="21"/>
  <c r="L252" i="21"/>
  <c r="L251" i="21"/>
  <c r="L250" i="21"/>
  <c r="P249" i="21"/>
  <c r="N249" i="21"/>
  <c r="J248" i="21"/>
  <c r="J226" i="21" s="1"/>
  <c r="J180" i="21" s="1"/>
  <c r="K247" i="21"/>
  <c r="K246" i="21"/>
  <c r="I244" i="21"/>
  <c r="I237" i="21" s="1"/>
  <c r="L242" i="21"/>
  <c r="L241" i="21"/>
  <c r="L240" i="21"/>
  <c r="L239" i="21"/>
  <c r="P238" i="21"/>
  <c r="N238" i="21"/>
  <c r="J237" i="21"/>
  <c r="J236" i="21"/>
  <c r="I236" i="21"/>
  <c r="K236" i="21" s="1"/>
  <c r="J235" i="21"/>
  <c r="I235" i="21"/>
  <c r="K235" i="21" s="1"/>
  <c r="J233" i="21"/>
  <c r="N231" i="21"/>
  <c r="N230" i="21"/>
  <c r="N229" i="21"/>
  <c r="N228" i="21"/>
  <c r="I225" i="21"/>
  <c r="I224" i="21"/>
  <c r="K224" i="21" s="1"/>
  <c r="I223" i="21"/>
  <c r="K223" i="21" s="1"/>
  <c r="L220" i="21"/>
  <c r="L219" i="21"/>
  <c r="L218" i="21"/>
  <c r="P217" i="21"/>
  <c r="N217" i="21"/>
  <c r="J216" i="21"/>
  <c r="I215" i="21"/>
  <c r="I214" i="21"/>
  <c r="K214" i="21" s="1"/>
  <c r="L212" i="21"/>
  <c r="L211" i="21"/>
  <c r="L210" i="21"/>
  <c r="P209" i="21"/>
  <c r="N209" i="21"/>
  <c r="J208" i="21"/>
  <c r="K207" i="21"/>
  <c r="K206" i="21"/>
  <c r="I204" i="21"/>
  <c r="I197" i="21" s="1"/>
  <c r="K197" i="21" s="1"/>
  <c r="L202" i="21"/>
  <c r="L201" i="21"/>
  <c r="L200" i="21"/>
  <c r="L199" i="21"/>
  <c r="P198" i="21"/>
  <c r="N198" i="21"/>
  <c r="J197" i="21"/>
  <c r="J194" i="21"/>
  <c r="I193" i="21"/>
  <c r="P191" i="21"/>
  <c r="L191" i="21"/>
  <c r="O191" i="21" s="1"/>
  <c r="J190" i="21"/>
  <c r="N189" i="21"/>
  <c r="N187" i="21" s="1"/>
  <c r="M189" i="21"/>
  <c r="P189" i="21" s="1"/>
  <c r="L189" i="21"/>
  <c r="P188" i="21"/>
  <c r="O188" i="21"/>
  <c r="N186" i="21"/>
  <c r="N184" i="21" s="1"/>
  <c r="M186" i="21"/>
  <c r="M184" i="21" s="1"/>
  <c r="L186" i="21"/>
  <c r="P185" i="21"/>
  <c r="O185" i="21"/>
  <c r="P182" i="21"/>
  <c r="N182" i="21"/>
  <c r="M182" i="21"/>
  <c r="L182" i="21"/>
  <c r="O182" i="21" s="1"/>
  <c r="J177" i="21"/>
  <c r="I176" i="21"/>
  <c r="J174" i="21"/>
  <c r="N173" i="21"/>
  <c r="N171" i="21" s="1"/>
  <c r="M173" i="21"/>
  <c r="P173" i="21" s="1"/>
  <c r="L173" i="21"/>
  <c r="P172" i="21"/>
  <c r="O172" i="21"/>
  <c r="N170" i="21"/>
  <c r="M170" i="21"/>
  <c r="L170" i="21"/>
  <c r="P169" i="21"/>
  <c r="O169" i="21"/>
  <c r="P166" i="21"/>
  <c r="N166" i="21"/>
  <c r="M166" i="21"/>
  <c r="L166" i="21"/>
  <c r="O166" i="21" s="1"/>
  <c r="J164" i="21"/>
  <c r="I159" i="21"/>
  <c r="K159" i="21" s="1"/>
  <c r="N157" i="21"/>
  <c r="N155" i="21" s="1"/>
  <c r="M157" i="21"/>
  <c r="P157" i="21" s="1"/>
  <c r="L157" i="21"/>
  <c r="P156" i="21"/>
  <c r="O156" i="21"/>
  <c r="N154" i="21"/>
  <c r="N152" i="21" s="1"/>
  <c r="M154" i="21"/>
  <c r="L154" i="21"/>
  <c r="P153" i="21"/>
  <c r="O153" i="21"/>
  <c r="P150" i="21"/>
  <c r="N150" i="21"/>
  <c r="M150" i="21"/>
  <c r="L150" i="21"/>
  <c r="O150" i="21" s="1"/>
  <c r="J148" i="21"/>
  <c r="I146" i="21"/>
  <c r="K146" i="21" s="1"/>
  <c r="I145" i="21"/>
  <c r="K145" i="21" s="1"/>
  <c r="I144" i="21"/>
  <c r="N140" i="21"/>
  <c r="N138" i="21" s="1"/>
  <c r="M140" i="21"/>
  <c r="M138" i="21" s="1"/>
  <c r="P138" i="21" s="1"/>
  <c r="L140" i="21"/>
  <c r="O140" i="21" s="1"/>
  <c r="P139" i="21"/>
  <c r="O139" i="21"/>
  <c r="N137" i="21"/>
  <c r="N135" i="21" s="1"/>
  <c r="M137" i="21"/>
  <c r="M135" i="21" s="1"/>
  <c r="P135" i="21" s="1"/>
  <c r="L137" i="21"/>
  <c r="P136" i="21"/>
  <c r="O136" i="21"/>
  <c r="O133" i="21"/>
  <c r="N133" i="21"/>
  <c r="M133" i="21"/>
  <c r="L133" i="21"/>
  <c r="J130" i="21"/>
  <c r="N127" i="21"/>
  <c r="N125" i="21" s="1"/>
  <c r="M127" i="21"/>
  <c r="P127" i="21" s="1"/>
  <c r="L127" i="21"/>
  <c r="P126" i="21"/>
  <c r="O126" i="21"/>
  <c r="N124" i="21"/>
  <c r="M124" i="21"/>
  <c r="L124" i="21"/>
  <c r="P123" i="21"/>
  <c r="O123" i="21"/>
  <c r="P120" i="21"/>
  <c r="N120" i="21"/>
  <c r="M120" i="21"/>
  <c r="L120" i="21"/>
  <c r="O120" i="21" s="1"/>
  <c r="I116" i="21"/>
  <c r="K116" i="21" s="1"/>
  <c r="I115" i="21"/>
  <c r="K115" i="21" s="1"/>
  <c r="I114" i="21"/>
  <c r="K114" i="21" s="1"/>
  <c r="I113" i="21"/>
  <c r="K113" i="21" s="1"/>
  <c r="J112" i="21"/>
  <c r="J111" i="21"/>
  <c r="I111" i="21"/>
  <c r="I110" i="21"/>
  <c r="K110" i="21" s="1"/>
  <c r="I109" i="21"/>
  <c r="K109" i="21" s="1"/>
  <c r="I107" i="21"/>
  <c r="K107" i="21" s="1"/>
  <c r="I106" i="21"/>
  <c r="K106" i="21" s="1"/>
  <c r="I104" i="21"/>
  <c r="K104" i="21" s="1"/>
  <c r="I103" i="21"/>
  <c r="K103" i="21" s="1"/>
  <c r="I102" i="21"/>
  <c r="K102" i="21" s="1"/>
  <c r="J100" i="21"/>
  <c r="I100" i="21"/>
  <c r="K100" i="21" s="1"/>
  <c r="J99" i="21"/>
  <c r="J87" i="21" s="1"/>
  <c r="I99" i="21"/>
  <c r="K99" i="21" s="1"/>
  <c r="J98" i="21"/>
  <c r="I98" i="21"/>
  <c r="I86" i="21" s="1"/>
  <c r="K86" i="21" s="1"/>
  <c r="N96" i="21"/>
  <c r="N94" i="21" s="1"/>
  <c r="M96" i="21"/>
  <c r="P96" i="21" s="1"/>
  <c r="L96" i="21"/>
  <c r="P95" i="21"/>
  <c r="O95" i="21"/>
  <c r="N93" i="21"/>
  <c r="M93" i="21"/>
  <c r="M91" i="21" s="1"/>
  <c r="L93" i="21"/>
  <c r="L91" i="21" s="1"/>
  <c r="P92" i="21"/>
  <c r="O92" i="21"/>
  <c r="P89" i="21"/>
  <c r="N89" i="21"/>
  <c r="M89" i="21"/>
  <c r="L89" i="21"/>
  <c r="O89" i="21" s="1"/>
  <c r="J86" i="21"/>
  <c r="I84" i="21"/>
  <c r="K84" i="21" s="1"/>
  <c r="I83" i="21"/>
  <c r="K83" i="21" s="1"/>
  <c r="I82" i="21"/>
  <c r="K82" i="21" s="1"/>
  <c r="I81" i="21"/>
  <c r="I80" i="21"/>
  <c r="K80" i="21" s="1"/>
  <c r="I79" i="21"/>
  <c r="K79" i="21" s="1"/>
  <c r="I78" i="21"/>
  <c r="J77" i="21"/>
  <c r="J76" i="21"/>
  <c r="J64" i="21" s="1"/>
  <c r="N74" i="21"/>
  <c r="N72" i="21" s="1"/>
  <c r="M74" i="21"/>
  <c r="L74" i="21"/>
  <c r="O74" i="21" s="1"/>
  <c r="P73" i="21"/>
  <c r="O73" i="21"/>
  <c r="N71" i="21"/>
  <c r="M71" i="21"/>
  <c r="M69" i="21" s="1"/>
  <c r="L71" i="21"/>
  <c r="L69" i="21" s="1"/>
  <c r="P70" i="21"/>
  <c r="O70" i="21"/>
  <c r="P67" i="21"/>
  <c r="O67" i="21"/>
  <c r="N67" i="21"/>
  <c r="M67" i="21"/>
  <c r="L67" i="21"/>
  <c r="J65" i="21"/>
  <c r="N61" i="21"/>
  <c r="M61" i="21"/>
  <c r="L61" i="21"/>
  <c r="L59" i="21" s="1"/>
  <c r="P60" i="21"/>
  <c r="O60" i="21"/>
  <c r="N58" i="21"/>
  <c r="N56" i="21" s="1"/>
  <c r="M58" i="21"/>
  <c r="M56" i="21" s="1"/>
  <c r="L58" i="21"/>
  <c r="P57" i="21"/>
  <c r="O57" i="21"/>
  <c r="N54" i="21"/>
  <c r="M54" i="21"/>
  <c r="P54" i="21" s="1"/>
  <c r="L54" i="21"/>
  <c r="O54" i="21" s="1"/>
  <c r="N49" i="21"/>
  <c r="N47" i="21" s="1"/>
  <c r="M49" i="21"/>
  <c r="P49" i="21" s="1"/>
  <c r="L49" i="21"/>
  <c r="O49" i="21" s="1"/>
  <c r="P48" i="21"/>
  <c r="O48" i="21"/>
  <c r="N46" i="21"/>
  <c r="N44" i="21" s="1"/>
  <c r="M46" i="21"/>
  <c r="L46" i="21"/>
  <c r="P45" i="21"/>
  <c r="O45" i="21"/>
  <c r="P42" i="21"/>
  <c r="O42" i="21"/>
  <c r="N42" i="21"/>
  <c r="M42" i="21"/>
  <c r="L42" i="21"/>
  <c r="P36" i="21"/>
  <c r="N36" i="21"/>
  <c r="M36" i="21"/>
  <c r="O35" i="21"/>
  <c r="N35" i="21"/>
  <c r="N29" i="21" s="1"/>
  <c r="M35" i="21"/>
  <c r="P35" i="21" s="1"/>
  <c r="L35" i="21"/>
  <c r="M34" i="21"/>
  <c r="P34" i="21" s="1"/>
  <c r="M33" i="21"/>
  <c r="P33" i="21" s="1"/>
  <c r="P32" i="21"/>
  <c r="O32" i="21"/>
  <c r="N32" i="21"/>
  <c r="M32" i="21"/>
  <c r="L32" i="21"/>
  <c r="M30" i="21"/>
  <c r="P30" i="21" s="1"/>
  <c r="M29" i="21"/>
  <c r="P29" i="21" s="1"/>
  <c r="P25" i="21"/>
  <c r="N25" i="21"/>
  <c r="M25" i="21"/>
  <c r="L25" i="21"/>
  <c r="N22" i="21"/>
  <c r="M22" i="21"/>
  <c r="L22" i="21"/>
  <c r="L12" i="21" s="1"/>
  <c r="N19" i="21"/>
  <c r="L19" i="21"/>
  <c r="M15" i="21"/>
  <c r="P15" i="21" s="1"/>
  <c r="N12" i="21"/>
  <c r="J828" i="20"/>
  <c r="I828" i="20"/>
  <c r="J827" i="20"/>
  <c r="I827" i="20"/>
  <c r="J826" i="20"/>
  <c r="I826" i="20"/>
  <c r="J825" i="20"/>
  <c r="I825" i="20"/>
  <c r="J824" i="20"/>
  <c r="I824" i="20"/>
  <c r="K824" i="20" s="1"/>
  <c r="J823" i="20"/>
  <c r="I823" i="20"/>
  <c r="K823" i="20" s="1"/>
  <c r="J822" i="20"/>
  <c r="I822" i="20"/>
  <c r="J821" i="20"/>
  <c r="I821" i="20"/>
  <c r="P817" i="20"/>
  <c r="O817" i="20"/>
  <c r="P816" i="20"/>
  <c r="O816" i="20"/>
  <c r="O815" i="20"/>
  <c r="N815" i="20"/>
  <c r="M815" i="20"/>
  <c r="P815" i="20" s="1"/>
  <c r="L815" i="20"/>
  <c r="P810" i="20"/>
  <c r="O810" i="20"/>
  <c r="N810" i="20"/>
  <c r="P809" i="20"/>
  <c r="O809" i="20"/>
  <c r="O808" i="20"/>
  <c r="M808" i="20"/>
  <c r="P808" i="20" s="1"/>
  <c r="L808" i="20"/>
  <c r="P807" i="20"/>
  <c r="M807" i="20"/>
  <c r="L807" i="20"/>
  <c r="O806" i="20"/>
  <c r="N806" i="20"/>
  <c r="M806" i="20"/>
  <c r="P806" i="20" s="1"/>
  <c r="L806" i="20"/>
  <c r="K804" i="20"/>
  <c r="J804" i="20"/>
  <c r="K802" i="20"/>
  <c r="J801" i="20"/>
  <c r="J800" i="20"/>
  <c r="J785" i="20" s="1"/>
  <c r="I800" i="20"/>
  <c r="P798" i="20"/>
  <c r="O798" i="20"/>
  <c r="P797" i="20"/>
  <c r="O797" i="20"/>
  <c r="P796" i="20"/>
  <c r="N796" i="20"/>
  <c r="M796" i="20"/>
  <c r="L796" i="20"/>
  <c r="O796" i="20" s="1"/>
  <c r="P791" i="20"/>
  <c r="N791" i="20"/>
  <c r="L791" i="20"/>
  <c r="L788" i="20" s="1"/>
  <c r="P790" i="20"/>
  <c r="O790" i="20"/>
  <c r="N789" i="20"/>
  <c r="M789" i="20"/>
  <c r="P789" i="20" s="1"/>
  <c r="P788" i="20"/>
  <c r="N788" i="20"/>
  <c r="N786" i="20" s="1"/>
  <c r="M788" i="20"/>
  <c r="O787" i="20"/>
  <c r="N787" i="20"/>
  <c r="M787" i="20"/>
  <c r="P787" i="20" s="1"/>
  <c r="L787" i="20"/>
  <c r="P782" i="20"/>
  <c r="O782" i="20"/>
  <c r="P781" i="20"/>
  <c r="O781" i="20"/>
  <c r="P780" i="20"/>
  <c r="N780" i="20"/>
  <c r="M780" i="20"/>
  <c r="L780" i="20"/>
  <c r="O780" i="20" s="1"/>
  <c r="P775" i="20"/>
  <c r="O775" i="20"/>
  <c r="N775" i="20"/>
  <c r="N772" i="20" s="1"/>
  <c r="P774" i="20"/>
  <c r="O774" i="20"/>
  <c r="P773" i="20"/>
  <c r="N773" i="20"/>
  <c r="M773" i="20"/>
  <c r="L773" i="20"/>
  <c r="O773" i="20" s="1"/>
  <c r="O772" i="20"/>
  <c r="M772" i="20"/>
  <c r="L772" i="20"/>
  <c r="P771" i="20"/>
  <c r="N771" i="20"/>
  <c r="M771" i="20"/>
  <c r="L771" i="20"/>
  <c r="K769" i="20"/>
  <c r="J769" i="20"/>
  <c r="P766" i="20"/>
  <c r="O766" i="20"/>
  <c r="P765" i="20"/>
  <c r="O765" i="20"/>
  <c r="P764" i="20"/>
  <c r="N764" i="20"/>
  <c r="M764" i="20"/>
  <c r="L764" i="20"/>
  <c r="O764" i="20" s="1"/>
  <c r="P759" i="20"/>
  <c r="O759" i="20"/>
  <c r="N759" i="20"/>
  <c r="N756" i="20" s="1"/>
  <c r="P758" i="20"/>
  <c r="O758" i="20"/>
  <c r="P757" i="20"/>
  <c r="N757" i="20"/>
  <c r="M757" i="20"/>
  <c r="L757" i="20"/>
  <c r="O757" i="20" s="1"/>
  <c r="O756" i="20"/>
  <c r="M756" i="20"/>
  <c r="L756" i="20"/>
  <c r="P755" i="20"/>
  <c r="N755" i="20"/>
  <c r="N754" i="20" s="1"/>
  <c r="M755" i="20"/>
  <c r="L755" i="20"/>
  <c r="K753" i="20"/>
  <c r="J753" i="20"/>
  <c r="P749" i="20"/>
  <c r="O749" i="20"/>
  <c r="P748" i="20"/>
  <c r="O748" i="20"/>
  <c r="P747" i="20"/>
  <c r="N747" i="20"/>
  <c r="M747" i="20"/>
  <c r="L747" i="20"/>
  <c r="O747" i="20" s="1"/>
  <c r="P742" i="20"/>
  <c r="O742" i="20"/>
  <c r="N742" i="20"/>
  <c r="N739" i="20" s="1"/>
  <c r="P741" i="20"/>
  <c r="O741" i="20"/>
  <c r="P740" i="20"/>
  <c r="N740" i="20"/>
  <c r="M740" i="20"/>
  <c r="L740" i="20"/>
  <c r="O740" i="20" s="1"/>
  <c r="O739" i="20"/>
  <c r="M739" i="20"/>
  <c r="L739" i="20"/>
  <c r="P738" i="20"/>
  <c r="N738" i="20"/>
  <c r="M738" i="20"/>
  <c r="L738" i="20"/>
  <c r="K736" i="20"/>
  <c r="J736" i="20"/>
  <c r="J729" i="20"/>
  <c r="I729" i="20"/>
  <c r="K729" i="20" s="1"/>
  <c r="J728" i="20"/>
  <c r="I728" i="20"/>
  <c r="K728" i="20" s="1"/>
  <c r="J727" i="20"/>
  <c r="J726" i="20"/>
  <c r="I726" i="20"/>
  <c r="K726" i="20" s="1"/>
  <c r="J725" i="20"/>
  <c r="I725" i="20"/>
  <c r="J724" i="20"/>
  <c r="J723" i="20"/>
  <c r="I723" i="20"/>
  <c r="I722" i="20"/>
  <c r="I721" i="20"/>
  <c r="J720" i="20"/>
  <c r="I720" i="20"/>
  <c r="K720" i="20" s="1"/>
  <c r="J719" i="20"/>
  <c r="J718" i="20"/>
  <c r="J708" i="20"/>
  <c r="I708" i="20"/>
  <c r="K708" i="20" s="1"/>
  <c r="I707" i="20"/>
  <c r="I704" i="20"/>
  <c r="J701" i="20"/>
  <c r="I701" i="20"/>
  <c r="K701" i="20" s="1"/>
  <c r="J700" i="20"/>
  <c r="I700" i="20"/>
  <c r="J699" i="20"/>
  <c r="I699" i="20"/>
  <c r="K699" i="20" s="1"/>
  <c r="P697" i="20"/>
  <c r="O697" i="20"/>
  <c r="P696" i="20"/>
  <c r="O696" i="20"/>
  <c r="P695" i="20"/>
  <c r="N695" i="20"/>
  <c r="M695" i="20"/>
  <c r="L695" i="20"/>
  <c r="O695" i="20" s="1"/>
  <c r="P690" i="20"/>
  <c r="N690" i="20"/>
  <c r="N688" i="20" s="1"/>
  <c r="L690" i="20"/>
  <c r="M688" i="20"/>
  <c r="P688" i="20" s="1"/>
  <c r="P687" i="20"/>
  <c r="N687" i="20"/>
  <c r="N685" i="20" s="1"/>
  <c r="M687" i="20"/>
  <c r="O686" i="20"/>
  <c r="N686" i="20"/>
  <c r="M686" i="20"/>
  <c r="P686" i="20" s="1"/>
  <c r="L686" i="20"/>
  <c r="J679" i="20"/>
  <c r="J678" i="20"/>
  <c r="I678" i="20"/>
  <c r="K678" i="20" s="1"/>
  <c r="J675" i="20"/>
  <c r="J669" i="20" s="1"/>
  <c r="J654" i="20" s="1"/>
  <c r="I671" i="20"/>
  <c r="K671" i="20" s="1"/>
  <c r="I670" i="20"/>
  <c r="K670" i="20" s="1"/>
  <c r="I669" i="20"/>
  <c r="K672" i="20" s="1"/>
  <c r="P667" i="20"/>
  <c r="O667" i="20"/>
  <c r="P666" i="20"/>
  <c r="O666" i="20"/>
  <c r="O665" i="20"/>
  <c r="N665" i="20"/>
  <c r="M665" i="20"/>
  <c r="P665" i="20" s="1"/>
  <c r="L665" i="20"/>
  <c r="P660" i="20"/>
  <c r="N660" i="20"/>
  <c r="L660" i="20"/>
  <c r="L657" i="20" s="1"/>
  <c r="P659" i="20"/>
  <c r="O659" i="20"/>
  <c r="P658" i="20"/>
  <c r="N658" i="20"/>
  <c r="M658" i="20"/>
  <c r="L658" i="20"/>
  <c r="O658" i="20" s="1"/>
  <c r="M657" i="20"/>
  <c r="P657" i="20" s="1"/>
  <c r="P656" i="20"/>
  <c r="N656" i="20"/>
  <c r="M656" i="20"/>
  <c r="L656" i="20"/>
  <c r="M655" i="20"/>
  <c r="P655" i="20" s="1"/>
  <c r="K652" i="20"/>
  <c r="J652" i="20"/>
  <c r="J651" i="20"/>
  <c r="J628" i="20" s="1"/>
  <c r="I651" i="20"/>
  <c r="K650" i="20"/>
  <c r="J650" i="20"/>
  <c r="J649" i="20"/>
  <c r="I649" i="20"/>
  <c r="K649" i="20" s="1"/>
  <c r="K648" i="20"/>
  <c r="J648" i="20"/>
  <c r="J647" i="20"/>
  <c r="I647" i="20"/>
  <c r="K647" i="20" s="1"/>
  <c r="K646" i="20"/>
  <c r="J646" i="20"/>
  <c r="K645" i="20"/>
  <c r="J645" i="20"/>
  <c r="I644" i="20"/>
  <c r="K644" i="20" s="1"/>
  <c r="I643" i="20"/>
  <c r="K643" i="20" s="1"/>
  <c r="P641" i="20"/>
  <c r="L641" i="20"/>
  <c r="P640" i="20"/>
  <c r="O640" i="20"/>
  <c r="N639" i="20"/>
  <c r="M639" i="20"/>
  <c r="P639" i="20" s="1"/>
  <c r="P634" i="20"/>
  <c r="N634" i="20"/>
  <c r="N631" i="20" s="1"/>
  <c r="L634" i="20"/>
  <c r="O634" i="20" s="1"/>
  <c r="P633" i="20"/>
  <c r="O633" i="20"/>
  <c r="P632" i="20"/>
  <c r="N632" i="20"/>
  <c r="M632" i="20"/>
  <c r="L632" i="20"/>
  <c r="O632" i="20" s="1"/>
  <c r="M631" i="20"/>
  <c r="P631" i="20" s="1"/>
  <c r="P630" i="20"/>
  <c r="N630" i="20"/>
  <c r="N629" i="20" s="1"/>
  <c r="M630" i="20"/>
  <c r="L630" i="20"/>
  <c r="O630" i="20" s="1"/>
  <c r="J621" i="20"/>
  <c r="I621" i="20"/>
  <c r="K621" i="20" s="1"/>
  <c r="J620" i="20"/>
  <c r="I620" i="20"/>
  <c r="K620" i="20" s="1"/>
  <c r="K613" i="20"/>
  <c r="J613" i="20"/>
  <c r="K612" i="20"/>
  <c r="J612" i="20"/>
  <c r="K611" i="20"/>
  <c r="J611" i="20"/>
  <c r="J604" i="20"/>
  <c r="J603" i="20"/>
  <c r="J596" i="20"/>
  <c r="J595" i="20"/>
  <c r="J593" i="20" s="1"/>
  <c r="J594" i="20"/>
  <c r="I594" i="20"/>
  <c r="K594" i="20" s="1"/>
  <c r="I593" i="20"/>
  <c r="I592" i="20" s="1"/>
  <c r="K592" i="20" s="1"/>
  <c r="J592" i="20"/>
  <c r="J583" i="20"/>
  <c r="J577" i="20" s="1"/>
  <c r="J582" i="20"/>
  <c r="I577" i="20"/>
  <c r="K577" i="20" s="1"/>
  <c r="J576" i="20"/>
  <c r="J559" i="20" s="1"/>
  <c r="J543" i="20" s="1"/>
  <c r="I576" i="20"/>
  <c r="J569" i="20"/>
  <c r="I569" i="20"/>
  <c r="K569" i="20" s="1"/>
  <c r="J568" i="20"/>
  <c r="I568" i="20"/>
  <c r="K568" i="20" s="1"/>
  <c r="J561" i="20"/>
  <c r="I561" i="20"/>
  <c r="K561" i="20" s="1"/>
  <c r="J560" i="20"/>
  <c r="I560" i="20"/>
  <c r="K560" i="20" s="1"/>
  <c r="P557" i="20"/>
  <c r="L557" i="20"/>
  <c r="O557" i="20" s="1"/>
  <c r="P556" i="20"/>
  <c r="O556" i="20"/>
  <c r="P555" i="20"/>
  <c r="N555" i="20"/>
  <c r="N545" i="20" s="1"/>
  <c r="M555" i="20"/>
  <c r="P549" i="20"/>
  <c r="N549" i="20"/>
  <c r="L549" i="20"/>
  <c r="L547" i="20" s="1"/>
  <c r="O547" i="20" s="1"/>
  <c r="P548" i="20"/>
  <c r="O548" i="20"/>
  <c r="N547" i="20"/>
  <c r="M547" i="20"/>
  <c r="P547" i="20" s="1"/>
  <c r="P546" i="20"/>
  <c r="N546" i="20"/>
  <c r="M546" i="20"/>
  <c r="O545" i="20"/>
  <c r="M545" i="20"/>
  <c r="L545" i="20"/>
  <c r="I542" i="20"/>
  <c r="K542" i="20" s="1"/>
  <c r="I541" i="20"/>
  <c r="K541" i="20" s="1"/>
  <c r="I540" i="20"/>
  <c r="K540" i="20" s="1"/>
  <c r="I539" i="20"/>
  <c r="K539" i="20" s="1"/>
  <c r="I538" i="20"/>
  <c r="I537" i="20"/>
  <c r="I522" i="20" s="1"/>
  <c r="K522" i="20" s="1"/>
  <c r="P535" i="20"/>
  <c r="L535" i="20"/>
  <c r="O535" i="20" s="1"/>
  <c r="P534" i="20"/>
  <c r="O534" i="20"/>
  <c r="P533" i="20"/>
  <c r="N533" i="20"/>
  <c r="M533" i="20"/>
  <c r="P528" i="20"/>
  <c r="N528" i="20"/>
  <c r="L528" i="20"/>
  <c r="P527" i="20"/>
  <c r="O527" i="20"/>
  <c r="N526" i="20"/>
  <c r="M526" i="20"/>
  <c r="P526" i="20" s="1"/>
  <c r="P525" i="20"/>
  <c r="N525" i="20"/>
  <c r="M525" i="20"/>
  <c r="O524" i="20"/>
  <c r="N524" i="20"/>
  <c r="M524" i="20"/>
  <c r="P524" i="20" s="1"/>
  <c r="L524" i="20"/>
  <c r="N523" i="20"/>
  <c r="K517" i="20"/>
  <c r="J517" i="20"/>
  <c r="K516" i="20"/>
  <c r="P514" i="20"/>
  <c r="O514" i="20"/>
  <c r="P513" i="20"/>
  <c r="O513" i="20"/>
  <c r="O512" i="20"/>
  <c r="N512" i="20"/>
  <c r="M512" i="20"/>
  <c r="P512" i="20" s="1"/>
  <c r="L512" i="20"/>
  <c r="P507" i="20"/>
  <c r="O507" i="20"/>
  <c r="N507" i="20"/>
  <c r="N505" i="20" s="1"/>
  <c r="P506" i="20"/>
  <c r="O506" i="20"/>
  <c r="O505" i="20"/>
  <c r="M505" i="20"/>
  <c r="P505" i="20" s="1"/>
  <c r="L505" i="20"/>
  <c r="P504" i="20"/>
  <c r="N504" i="20"/>
  <c r="M504" i="20"/>
  <c r="L504" i="20"/>
  <c r="O504" i="20" s="1"/>
  <c r="O503" i="20"/>
  <c r="N503" i="20"/>
  <c r="M503" i="20"/>
  <c r="M502" i="20" s="1"/>
  <c r="P502" i="20" s="1"/>
  <c r="L503" i="20"/>
  <c r="N502" i="20"/>
  <c r="L502" i="20"/>
  <c r="O502" i="20" s="1"/>
  <c r="K501" i="20"/>
  <c r="J501" i="20"/>
  <c r="K500" i="20"/>
  <c r="J500" i="20"/>
  <c r="I498" i="20"/>
  <c r="K498" i="20" s="1"/>
  <c r="I495" i="20"/>
  <c r="K495" i="20" s="1"/>
  <c r="I492" i="20"/>
  <c r="K492" i="20" s="1"/>
  <c r="I489" i="20"/>
  <c r="K489" i="20" s="1"/>
  <c r="I487" i="20"/>
  <c r="K487" i="20" s="1"/>
  <c r="I485" i="20"/>
  <c r="K485" i="20" s="1"/>
  <c r="I483" i="20"/>
  <c r="K483" i="20" s="1"/>
  <c r="P479" i="20"/>
  <c r="L479" i="20"/>
  <c r="O479" i="20" s="1"/>
  <c r="P478" i="20"/>
  <c r="O478" i="20"/>
  <c r="P477" i="20"/>
  <c r="N477" i="20"/>
  <c r="M477" i="20"/>
  <c r="P472" i="20"/>
  <c r="N472" i="20"/>
  <c r="L472" i="20"/>
  <c r="P471" i="20"/>
  <c r="O471" i="20"/>
  <c r="N470" i="20"/>
  <c r="M470" i="20"/>
  <c r="P470" i="20" s="1"/>
  <c r="P469" i="20"/>
  <c r="N469" i="20"/>
  <c r="M469" i="20"/>
  <c r="O468" i="20"/>
  <c r="N468" i="20"/>
  <c r="M468" i="20"/>
  <c r="M467" i="20" s="1"/>
  <c r="P467" i="20" s="1"/>
  <c r="L468" i="20"/>
  <c r="N467" i="20"/>
  <c r="J466" i="20"/>
  <c r="I466" i="20"/>
  <c r="K466" i="20" s="1"/>
  <c r="J465" i="20"/>
  <c r="I465" i="20"/>
  <c r="K465" i="20" s="1"/>
  <c r="I464" i="20"/>
  <c r="I463" i="20"/>
  <c r="I462" i="20"/>
  <c r="K462" i="20" s="1"/>
  <c r="I460" i="20"/>
  <c r="K460" i="20" s="1"/>
  <c r="K458" i="20"/>
  <c r="P456" i="20"/>
  <c r="L456" i="20"/>
  <c r="P455" i="20"/>
  <c r="O455" i="20"/>
  <c r="N454" i="20"/>
  <c r="M454" i="20"/>
  <c r="P454" i="20" s="1"/>
  <c r="P449" i="20"/>
  <c r="N449" i="20"/>
  <c r="N446" i="20" s="1"/>
  <c r="L449" i="20"/>
  <c r="O449" i="20" s="1"/>
  <c r="P448" i="20"/>
  <c r="O448" i="20"/>
  <c r="P447" i="20"/>
  <c r="N447" i="20"/>
  <c r="M447" i="20"/>
  <c r="M446" i="20"/>
  <c r="P446" i="20" s="1"/>
  <c r="P445" i="20"/>
  <c r="N445" i="20"/>
  <c r="M445" i="20"/>
  <c r="L445" i="20"/>
  <c r="O445" i="20" s="1"/>
  <c r="M444" i="20"/>
  <c r="P444" i="20" s="1"/>
  <c r="J443" i="20"/>
  <c r="J442" i="20"/>
  <c r="I441" i="20"/>
  <c r="K441" i="20" s="1"/>
  <c r="I440" i="20"/>
  <c r="K440" i="20" s="1"/>
  <c r="I439" i="20"/>
  <c r="K439" i="20" s="1"/>
  <c r="I438" i="20"/>
  <c r="K438" i="20" s="1"/>
  <c r="I437" i="20"/>
  <c r="K437" i="20" s="1"/>
  <c r="I435" i="20"/>
  <c r="K435" i="20" s="1"/>
  <c r="J434" i="20"/>
  <c r="P431" i="20"/>
  <c r="L431" i="20"/>
  <c r="P430" i="20"/>
  <c r="O430" i="20"/>
  <c r="N429" i="20"/>
  <c r="M429" i="20"/>
  <c r="P429" i="20" s="1"/>
  <c r="P424" i="20"/>
  <c r="N424" i="20"/>
  <c r="L424" i="20"/>
  <c r="L422" i="20" s="1"/>
  <c r="O422" i="20" s="1"/>
  <c r="P423" i="20"/>
  <c r="O423" i="20"/>
  <c r="P422" i="20"/>
  <c r="N422" i="20"/>
  <c r="M422" i="20"/>
  <c r="M421" i="20"/>
  <c r="P421" i="20" s="1"/>
  <c r="P420" i="20"/>
  <c r="N420" i="20"/>
  <c r="M420" i="20"/>
  <c r="L420" i="20"/>
  <c r="O420" i="20" s="1"/>
  <c r="M419" i="20"/>
  <c r="J418" i="20"/>
  <c r="K413" i="20"/>
  <c r="K412" i="20"/>
  <c r="N410" i="20"/>
  <c r="N408" i="20" s="1"/>
  <c r="M410" i="20"/>
  <c r="L410" i="20"/>
  <c r="O410" i="20" s="1"/>
  <c r="P409" i="20"/>
  <c r="O409" i="20"/>
  <c r="N407" i="20"/>
  <c r="N405" i="20" s="1"/>
  <c r="M407" i="20"/>
  <c r="L407" i="20"/>
  <c r="P406" i="20"/>
  <c r="O406" i="20"/>
  <c r="P403" i="20"/>
  <c r="N403" i="20"/>
  <c r="M403" i="20"/>
  <c r="L403" i="20"/>
  <c r="J401" i="20"/>
  <c r="I401" i="20"/>
  <c r="K401" i="20" s="1"/>
  <c r="K400" i="20"/>
  <c r="K399" i="20"/>
  <c r="N397" i="20"/>
  <c r="N395" i="20" s="1"/>
  <c r="M397" i="20"/>
  <c r="L397" i="20"/>
  <c r="L395" i="20" s="1"/>
  <c r="O395" i="20" s="1"/>
  <c r="P396" i="20"/>
  <c r="O396" i="20"/>
  <c r="N394" i="20"/>
  <c r="M394" i="20"/>
  <c r="L394" i="20"/>
  <c r="O394" i="20" s="1"/>
  <c r="P393" i="20"/>
  <c r="O393" i="20"/>
  <c r="P390" i="20"/>
  <c r="N390" i="20"/>
  <c r="M390" i="20"/>
  <c r="L390" i="20"/>
  <c r="K388" i="20"/>
  <c r="J388" i="20"/>
  <c r="I388" i="20"/>
  <c r="J385" i="20"/>
  <c r="I385" i="20"/>
  <c r="K385" i="20" s="1"/>
  <c r="K382" i="20"/>
  <c r="J382" i="20"/>
  <c r="J381" i="20"/>
  <c r="J374" i="20" s="1"/>
  <c r="I381" i="20"/>
  <c r="K381" i="20" s="1"/>
  <c r="K380" i="20"/>
  <c r="J380" i="20"/>
  <c r="J379" i="20"/>
  <c r="I379" i="20"/>
  <c r="K379" i="20" s="1"/>
  <c r="J378" i="20"/>
  <c r="I378" i="20"/>
  <c r="K378" i="20" s="1"/>
  <c r="K377" i="20"/>
  <c r="J377" i="20"/>
  <c r="I374" i="20"/>
  <c r="K374" i="20" s="1"/>
  <c r="K373" i="20"/>
  <c r="J373" i="20"/>
  <c r="J372" i="20"/>
  <c r="J365" i="20" s="1"/>
  <c r="I372" i="20"/>
  <c r="K372" i="20" s="1"/>
  <c r="K371" i="20"/>
  <c r="J371" i="20"/>
  <c r="J370" i="20"/>
  <c r="I370" i="20"/>
  <c r="K370" i="20" s="1"/>
  <c r="J369" i="20"/>
  <c r="I369" i="20"/>
  <c r="K369" i="20" s="1"/>
  <c r="K368" i="20"/>
  <c r="J368" i="20"/>
  <c r="I365" i="20"/>
  <c r="K363" i="20"/>
  <c r="J363" i="20"/>
  <c r="J362" i="20"/>
  <c r="J355" i="20" s="1"/>
  <c r="I362" i="20"/>
  <c r="K362" i="20" s="1"/>
  <c r="K361" i="20"/>
  <c r="J361" i="20"/>
  <c r="J360" i="20"/>
  <c r="I360" i="20"/>
  <c r="K360" i="20" s="1"/>
  <c r="J359" i="20"/>
  <c r="I359" i="20"/>
  <c r="K359" i="20" s="1"/>
  <c r="K358" i="20"/>
  <c r="J358" i="20"/>
  <c r="I355" i="20"/>
  <c r="K355" i="20" s="1"/>
  <c r="N353" i="20"/>
  <c r="N351" i="20" s="1"/>
  <c r="M353" i="20"/>
  <c r="L353" i="20"/>
  <c r="L351" i="20" s="1"/>
  <c r="P352" i="20"/>
  <c r="O352" i="20"/>
  <c r="N350" i="20"/>
  <c r="M350" i="20"/>
  <c r="L350" i="20"/>
  <c r="L348" i="20" s="1"/>
  <c r="P349" i="20"/>
  <c r="O349" i="20"/>
  <c r="P346" i="20"/>
  <c r="N346" i="20"/>
  <c r="M346" i="20"/>
  <c r="L346" i="20"/>
  <c r="J343" i="20"/>
  <c r="J342" i="20"/>
  <c r="J341" i="20"/>
  <c r="J340" i="20"/>
  <c r="I340" i="20"/>
  <c r="J338" i="20"/>
  <c r="I338" i="20"/>
  <c r="N336" i="20"/>
  <c r="N334" i="20" s="1"/>
  <c r="M336" i="20"/>
  <c r="L336" i="20"/>
  <c r="L334" i="20" s="1"/>
  <c r="O334" i="20" s="1"/>
  <c r="P335" i="20"/>
  <c r="O335" i="20"/>
  <c r="N333" i="20"/>
  <c r="M333" i="20"/>
  <c r="L333" i="20"/>
  <c r="L331" i="20" s="1"/>
  <c r="P332" i="20"/>
  <c r="O332" i="20"/>
  <c r="P329" i="20"/>
  <c r="N329" i="20"/>
  <c r="M329" i="20"/>
  <c r="L329" i="20"/>
  <c r="I327" i="20"/>
  <c r="I325" i="20"/>
  <c r="N323" i="20"/>
  <c r="N321" i="20" s="1"/>
  <c r="M323" i="20"/>
  <c r="L323" i="20"/>
  <c r="P322" i="20"/>
  <c r="O322" i="20"/>
  <c r="N320" i="20"/>
  <c r="M320" i="20"/>
  <c r="L320" i="20"/>
  <c r="O320" i="20" s="1"/>
  <c r="P319" i="20"/>
  <c r="O319" i="20"/>
  <c r="P316" i="20"/>
  <c r="N316" i="20"/>
  <c r="M316" i="20"/>
  <c r="L316" i="20"/>
  <c r="J314" i="20"/>
  <c r="I312" i="20"/>
  <c r="K312" i="20" s="1"/>
  <c r="I311" i="20"/>
  <c r="K311" i="20" s="1"/>
  <c r="I310" i="20"/>
  <c r="K310" i="20" s="1"/>
  <c r="I309" i="20"/>
  <c r="N306" i="20"/>
  <c r="N304" i="20" s="1"/>
  <c r="M306" i="20"/>
  <c r="L306" i="20"/>
  <c r="L304" i="20" s="1"/>
  <c r="O304" i="20" s="1"/>
  <c r="P305" i="20"/>
  <c r="O305" i="20"/>
  <c r="N303" i="20"/>
  <c r="N301" i="20" s="1"/>
  <c r="M303" i="20"/>
  <c r="L303" i="20"/>
  <c r="P302" i="20"/>
  <c r="O302" i="20"/>
  <c r="N299" i="20"/>
  <c r="M299" i="20"/>
  <c r="L299" i="20"/>
  <c r="O299" i="20" s="1"/>
  <c r="J297" i="20"/>
  <c r="I294" i="20"/>
  <c r="K294" i="20" s="1"/>
  <c r="I293" i="20"/>
  <c r="K293" i="20" s="1"/>
  <c r="I291" i="20"/>
  <c r="K291" i="20" s="1"/>
  <c r="I290" i="20"/>
  <c r="K290" i="20" s="1"/>
  <c r="I288" i="20"/>
  <c r="I287" i="20"/>
  <c r="I276" i="20" s="1"/>
  <c r="K276" i="20" s="1"/>
  <c r="N285" i="20"/>
  <c r="M285" i="20"/>
  <c r="P285" i="20" s="1"/>
  <c r="L285" i="20"/>
  <c r="P284" i="20"/>
  <c r="O284" i="20"/>
  <c r="N282" i="20"/>
  <c r="N280" i="20" s="1"/>
  <c r="M282" i="20"/>
  <c r="L282" i="20"/>
  <c r="P281" i="20"/>
  <c r="O281" i="20"/>
  <c r="N278" i="20"/>
  <c r="M278" i="20"/>
  <c r="L278" i="20"/>
  <c r="J276" i="20"/>
  <c r="I271" i="20"/>
  <c r="N269" i="20"/>
  <c r="N267" i="20" s="1"/>
  <c r="M269" i="20"/>
  <c r="P269" i="20" s="1"/>
  <c r="L269" i="20"/>
  <c r="L267" i="20" s="1"/>
  <c r="O267" i="20" s="1"/>
  <c r="P268" i="20"/>
  <c r="O268" i="20"/>
  <c r="N266" i="20"/>
  <c r="N264" i="20" s="1"/>
  <c r="M266" i="20"/>
  <c r="M264" i="20" s="1"/>
  <c r="L266" i="20"/>
  <c r="P265" i="20"/>
  <c r="O265" i="20"/>
  <c r="P262" i="20"/>
  <c r="N262" i="20"/>
  <c r="M262" i="20"/>
  <c r="L262" i="20"/>
  <c r="J260" i="20"/>
  <c r="K258" i="20"/>
  <c r="K257" i="20"/>
  <c r="L253" i="20"/>
  <c r="L252" i="20"/>
  <c r="L251" i="20"/>
  <c r="L250" i="20"/>
  <c r="P249" i="20"/>
  <c r="N249" i="20"/>
  <c r="J248" i="20"/>
  <c r="K247" i="20"/>
  <c r="K246" i="20"/>
  <c r="I244" i="20"/>
  <c r="I237" i="20" s="1"/>
  <c r="K237" i="20" s="1"/>
  <c r="L242" i="20"/>
  <c r="L241" i="20"/>
  <c r="L240" i="20"/>
  <c r="L239" i="20"/>
  <c r="P238" i="20"/>
  <c r="N238" i="20"/>
  <c r="J237" i="20"/>
  <c r="J226" i="20" s="1"/>
  <c r="J180" i="20" s="1"/>
  <c r="J236" i="20"/>
  <c r="I236" i="20"/>
  <c r="K236" i="20" s="1"/>
  <c r="J235" i="20"/>
  <c r="I235" i="20"/>
  <c r="K235" i="20" s="1"/>
  <c r="J233" i="20"/>
  <c r="N231" i="20"/>
  <c r="N230" i="20"/>
  <c r="N229" i="20"/>
  <c r="N228" i="20"/>
  <c r="I225" i="20"/>
  <c r="K225" i="20" s="1"/>
  <c r="I224" i="20"/>
  <c r="K224" i="20" s="1"/>
  <c r="I223" i="20"/>
  <c r="K223" i="20" s="1"/>
  <c r="L220" i="20"/>
  <c r="L219" i="20"/>
  <c r="L218" i="20"/>
  <c r="P217" i="20"/>
  <c r="N217" i="20"/>
  <c r="J216" i="20"/>
  <c r="I215" i="20"/>
  <c r="K215" i="20" s="1"/>
  <c r="I214" i="20"/>
  <c r="K214" i="20" s="1"/>
  <c r="L212" i="20"/>
  <c r="L211" i="20"/>
  <c r="L210" i="20"/>
  <c r="P209" i="20"/>
  <c r="N209" i="20"/>
  <c r="J208" i="20"/>
  <c r="I204" i="20"/>
  <c r="K204" i="20" s="1"/>
  <c r="L202" i="20"/>
  <c r="L201" i="20"/>
  <c r="L200" i="20"/>
  <c r="L199" i="20"/>
  <c r="P198" i="20"/>
  <c r="N198" i="20"/>
  <c r="J197" i="20"/>
  <c r="J194" i="20"/>
  <c r="I193" i="20"/>
  <c r="K193" i="20" s="1"/>
  <c r="P191" i="20"/>
  <c r="L191" i="20"/>
  <c r="O191" i="20" s="1"/>
  <c r="J190" i="20"/>
  <c r="N189" i="20"/>
  <c r="N187" i="20" s="1"/>
  <c r="M189" i="20"/>
  <c r="L189" i="20"/>
  <c r="L187" i="20" s="1"/>
  <c r="O187" i="20" s="1"/>
  <c r="P188" i="20"/>
  <c r="O188" i="20"/>
  <c r="N186" i="20"/>
  <c r="N184" i="20" s="1"/>
  <c r="M186" i="20"/>
  <c r="L186" i="20"/>
  <c r="P185" i="20"/>
  <c r="O185" i="20"/>
  <c r="N182" i="20"/>
  <c r="M182" i="20"/>
  <c r="L182" i="20"/>
  <c r="O182" i="20" s="1"/>
  <c r="J177" i="20"/>
  <c r="I176" i="20"/>
  <c r="I174" i="20" s="1"/>
  <c r="J174" i="20"/>
  <c r="N173" i="20"/>
  <c r="N171" i="20" s="1"/>
  <c r="M173" i="20"/>
  <c r="L173" i="20"/>
  <c r="L171" i="20" s="1"/>
  <c r="O171" i="20" s="1"/>
  <c r="P172" i="20"/>
  <c r="O172" i="20"/>
  <c r="N170" i="20"/>
  <c r="M170" i="20"/>
  <c r="L170" i="20"/>
  <c r="L168" i="20" s="1"/>
  <c r="P169" i="20"/>
  <c r="O169" i="20"/>
  <c r="P166" i="20"/>
  <c r="N166" i="20"/>
  <c r="M166" i="20"/>
  <c r="L166" i="20"/>
  <c r="O166" i="20" s="1"/>
  <c r="J164" i="20"/>
  <c r="I159" i="20"/>
  <c r="K159" i="20" s="1"/>
  <c r="N157" i="20"/>
  <c r="N155" i="20" s="1"/>
  <c r="M157" i="20"/>
  <c r="M155" i="20" s="1"/>
  <c r="P155" i="20" s="1"/>
  <c r="L157" i="20"/>
  <c r="P156" i="20"/>
  <c r="O156" i="20"/>
  <c r="N154" i="20"/>
  <c r="M154" i="20"/>
  <c r="M152" i="20" s="1"/>
  <c r="P152" i="20" s="1"/>
  <c r="L154" i="20"/>
  <c r="O154" i="20" s="1"/>
  <c r="P153" i="20"/>
  <c r="O153" i="20"/>
  <c r="P150" i="20"/>
  <c r="N150" i="20"/>
  <c r="M150" i="20"/>
  <c r="L150" i="20"/>
  <c r="J148" i="20"/>
  <c r="I146" i="20"/>
  <c r="I130" i="20" s="1"/>
  <c r="K130" i="20" s="1"/>
  <c r="I145" i="20"/>
  <c r="I144" i="20"/>
  <c r="K144" i="20" s="1"/>
  <c r="N140" i="20"/>
  <c r="N138" i="20" s="1"/>
  <c r="M140" i="20"/>
  <c r="L140" i="20"/>
  <c r="P139" i="20"/>
  <c r="O139" i="20"/>
  <c r="N137" i="20"/>
  <c r="N135" i="20" s="1"/>
  <c r="M137" i="20"/>
  <c r="M135" i="20" s="1"/>
  <c r="P135" i="20" s="1"/>
  <c r="L137" i="20"/>
  <c r="P136" i="20"/>
  <c r="O136" i="20"/>
  <c r="N133" i="20"/>
  <c r="M133" i="20"/>
  <c r="L133" i="20"/>
  <c r="O133" i="20" s="1"/>
  <c r="J130" i="20"/>
  <c r="N127" i="20"/>
  <c r="N125" i="20" s="1"/>
  <c r="M127" i="20"/>
  <c r="M125" i="20" s="1"/>
  <c r="P125" i="20" s="1"/>
  <c r="L127" i="20"/>
  <c r="O127" i="20" s="1"/>
  <c r="P126" i="20"/>
  <c r="O126" i="20"/>
  <c r="N124" i="20"/>
  <c r="N122" i="20" s="1"/>
  <c r="M124" i="20"/>
  <c r="M122" i="20" s="1"/>
  <c r="P122" i="20" s="1"/>
  <c r="L124" i="20"/>
  <c r="P123" i="20"/>
  <c r="O123" i="20"/>
  <c r="P120" i="20"/>
  <c r="O120" i="20"/>
  <c r="N120" i="20"/>
  <c r="M120" i="20"/>
  <c r="L120" i="20"/>
  <c r="I116" i="20"/>
  <c r="K116" i="20" s="1"/>
  <c r="I115" i="20"/>
  <c r="K115" i="20" s="1"/>
  <c r="I114" i="20"/>
  <c r="K114" i="20" s="1"/>
  <c r="I113" i="20"/>
  <c r="K113" i="20" s="1"/>
  <c r="J112" i="20"/>
  <c r="J111" i="20"/>
  <c r="I111" i="20"/>
  <c r="K111" i="20" s="1"/>
  <c r="I110" i="20"/>
  <c r="K110" i="20" s="1"/>
  <c r="I109" i="20"/>
  <c r="K109" i="20" s="1"/>
  <c r="I107" i="20"/>
  <c r="K107" i="20" s="1"/>
  <c r="I106" i="20"/>
  <c r="K106" i="20" s="1"/>
  <c r="I104" i="20"/>
  <c r="K104" i="20" s="1"/>
  <c r="I103" i="20"/>
  <c r="K103" i="20" s="1"/>
  <c r="I102" i="20"/>
  <c r="K102" i="20" s="1"/>
  <c r="J100" i="20"/>
  <c r="I100" i="20"/>
  <c r="K100" i="20" s="1"/>
  <c r="J99" i="20"/>
  <c r="J87" i="20" s="1"/>
  <c r="I99" i="20"/>
  <c r="K99" i="20" s="1"/>
  <c r="J98" i="20"/>
  <c r="I98" i="20"/>
  <c r="N96" i="20"/>
  <c r="N94" i="20" s="1"/>
  <c r="M96" i="20"/>
  <c r="L96" i="20"/>
  <c r="P95" i="20"/>
  <c r="O95" i="20"/>
  <c r="N93" i="20"/>
  <c r="M93" i="20"/>
  <c r="L93" i="20"/>
  <c r="L91" i="20" s="1"/>
  <c r="P92" i="20"/>
  <c r="O92" i="20"/>
  <c r="P89" i="20"/>
  <c r="N89" i="20"/>
  <c r="M89" i="20"/>
  <c r="L89" i="20"/>
  <c r="O89" i="20" s="1"/>
  <c r="J86" i="20"/>
  <c r="I84" i="20"/>
  <c r="K84" i="20" s="1"/>
  <c r="I83" i="20"/>
  <c r="K83" i="20" s="1"/>
  <c r="I82" i="20"/>
  <c r="I81" i="20"/>
  <c r="K81" i="20" s="1"/>
  <c r="I80" i="20"/>
  <c r="K80" i="20" s="1"/>
  <c r="I79" i="20"/>
  <c r="K79" i="20" s="1"/>
  <c r="I78" i="20"/>
  <c r="K78" i="20" s="1"/>
  <c r="J77" i="20"/>
  <c r="J76" i="20"/>
  <c r="J64" i="20" s="1"/>
  <c r="N74" i="20"/>
  <c r="N72" i="20" s="1"/>
  <c r="M74" i="20"/>
  <c r="P74" i="20" s="1"/>
  <c r="L74" i="20"/>
  <c r="P73" i="20"/>
  <c r="O73" i="20"/>
  <c r="N71" i="20"/>
  <c r="M71" i="20"/>
  <c r="L71" i="20"/>
  <c r="P70" i="20"/>
  <c r="O70" i="20"/>
  <c r="O67" i="20"/>
  <c r="N67" i="20"/>
  <c r="M67" i="20"/>
  <c r="L67" i="20"/>
  <c r="J65" i="20"/>
  <c r="N61" i="20"/>
  <c r="N59" i="20" s="1"/>
  <c r="M61" i="20"/>
  <c r="M59" i="20" s="1"/>
  <c r="P59" i="20" s="1"/>
  <c r="L61" i="20"/>
  <c r="L59" i="20" s="1"/>
  <c r="O59" i="20" s="1"/>
  <c r="P60" i="20"/>
  <c r="O60" i="20"/>
  <c r="N58" i="20"/>
  <c r="M58" i="20"/>
  <c r="M56" i="20" s="1"/>
  <c r="L58" i="20"/>
  <c r="L56" i="20" s="1"/>
  <c r="P57" i="20"/>
  <c r="O57" i="20"/>
  <c r="P54" i="20"/>
  <c r="O54" i="20"/>
  <c r="N54" i="20"/>
  <c r="M54" i="20"/>
  <c r="L54" i="20"/>
  <c r="N49" i="20"/>
  <c r="N47" i="20" s="1"/>
  <c r="M49" i="20"/>
  <c r="P49" i="20" s="1"/>
  <c r="L49" i="20"/>
  <c r="P48" i="20"/>
  <c r="O48" i="20"/>
  <c r="N46" i="20"/>
  <c r="N44" i="20" s="1"/>
  <c r="M46" i="20"/>
  <c r="M44" i="20" s="1"/>
  <c r="L46" i="20"/>
  <c r="P45" i="20"/>
  <c r="O45" i="20"/>
  <c r="O42" i="20"/>
  <c r="N42" i="20"/>
  <c r="M42" i="20"/>
  <c r="L42" i="20"/>
  <c r="P36" i="20"/>
  <c r="N36" i="20"/>
  <c r="N34" i="20" s="1"/>
  <c r="M36" i="20"/>
  <c r="N35" i="20"/>
  <c r="M35" i="20"/>
  <c r="P35" i="20" s="1"/>
  <c r="L35" i="20"/>
  <c r="O35" i="20" s="1"/>
  <c r="P34" i="20"/>
  <c r="M34" i="20"/>
  <c r="N33" i="20"/>
  <c r="M33" i="20"/>
  <c r="P33" i="20" s="1"/>
  <c r="N32" i="20"/>
  <c r="N29" i="20" s="1"/>
  <c r="M32" i="20"/>
  <c r="L32" i="20"/>
  <c r="O32" i="20" s="1"/>
  <c r="N25" i="20"/>
  <c r="N15" i="20" s="1"/>
  <c r="M25" i="20"/>
  <c r="L25" i="20"/>
  <c r="O25" i="20" s="1"/>
  <c r="P22" i="20"/>
  <c r="O22" i="20"/>
  <c r="N22" i="20"/>
  <c r="M22" i="20"/>
  <c r="L22" i="20"/>
  <c r="N19" i="20"/>
  <c r="L19" i="20"/>
  <c r="O19" i="20" s="1"/>
  <c r="N12" i="20"/>
  <c r="N9" i="20" s="1"/>
  <c r="L12" i="20"/>
  <c r="O12" i="20" s="1"/>
  <c r="J828" i="19"/>
  <c r="I828" i="19"/>
  <c r="J827" i="19"/>
  <c r="I827" i="19"/>
  <c r="J826" i="19"/>
  <c r="I826" i="19"/>
  <c r="J825" i="19"/>
  <c r="I825" i="19"/>
  <c r="J824" i="19"/>
  <c r="I824" i="19"/>
  <c r="J823" i="19"/>
  <c r="I823" i="19"/>
  <c r="J822" i="19"/>
  <c r="I822" i="19"/>
  <c r="J821" i="19"/>
  <c r="I821" i="19"/>
  <c r="P817" i="19"/>
  <c r="O817" i="19"/>
  <c r="P816" i="19"/>
  <c r="O816" i="19"/>
  <c r="N815" i="19"/>
  <c r="M815" i="19"/>
  <c r="P815" i="19" s="1"/>
  <c r="L815" i="19"/>
  <c r="O815" i="19" s="1"/>
  <c r="P810" i="19"/>
  <c r="O810" i="19"/>
  <c r="N810" i="19"/>
  <c r="P809" i="19"/>
  <c r="O809" i="19"/>
  <c r="P808" i="19"/>
  <c r="O808" i="19"/>
  <c r="N808" i="19"/>
  <c r="M808" i="19"/>
  <c r="L808" i="19"/>
  <c r="P807" i="19"/>
  <c r="O807" i="19"/>
  <c r="N807" i="19"/>
  <c r="M807" i="19"/>
  <c r="L807" i="19"/>
  <c r="O806" i="19"/>
  <c r="N806" i="19"/>
  <c r="M806" i="19"/>
  <c r="P806" i="19" s="1"/>
  <c r="L806" i="19"/>
  <c r="L805" i="19" s="1"/>
  <c r="O805" i="19" s="1"/>
  <c r="N805" i="19"/>
  <c r="M805" i="19"/>
  <c r="P805" i="19" s="1"/>
  <c r="K804" i="19"/>
  <c r="J804" i="19"/>
  <c r="K802" i="19"/>
  <c r="J801" i="19"/>
  <c r="J800" i="19"/>
  <c r="J785" i="19" s="1"/>
  <c r="I800" i="19"/>
  <c r="I785" i="19" s="1"/>
  <c r="K785" i="19" s="1"/>
  <c r="P798" i="19"/>
  <c r="O798" i="19"/>
  <c r="P797" i="19"/>
  <c r="O797" i="19"/>
  <c r="P796" i="19"/>
  <c r="N796" i="19"/>
  <c r="M796" i="19"/>
  <c r="L796" i="19"/>
  <c r="O796" i="19" s="1"/>
  <c r="P791" i="19"/>
  <c r="N791" i="19"/>
  <c r="N788" i="19" s="1"/>
  <c r="N786" i="19" s="1"/>
  <c r="L791" i="19"/>
  <c r="L789" i="19" s="1"/>
  <c r="O789" i="19" s="1"/>
  <c r="P790" i="19"/>
  <c r="O790" i="19"/>
  <c r="P789" i="19"/>
  <c r="N789" i="19"/>
  <c r="M789" i="19"/>
  <c r="M788" i="19"/>
  <c r="P788" i="19" s="1"/>
  <c r="O787" i="19"/>
  <c r="N787" i="19"/>
  <c r="M787" i="19"/>
  <c r="P787" i="19" s="1"/>
  <c r="L787" i="19"/>
  <c r="P782" i="19"/>
  <c r="O782" i="19"/>
  <c r="P781" i="19"/>
  <c r="O781" i="19"/>
  <c r="N780" i="19"/>
  <c r="M780" i="19"/>
  <c r="P780" i="19" s="1"/>
  <c r="L780" i="19"/>
  <c r="O780" i="19" s="1"/>
  <c r="P775" i="19"/>
  <c r="O775" i="19"/>
  <c r="N775" i="19"/>
  <c r="N773" i="19" s="1"/>
  <c r="P774" i="19"/>
  <c r="O774" i="19"/>
  <c r="P773" i="19"/>
  <c r="M773" i="19"/>
  <c r="L773" i="19"/>
  <c r="O773" i="19" s="1"/>
  <c r="P772" i="19"/>
  <c r="O772" i="19"/>
  <c r="N772" i="19"/>
  <c r="N770" i="19" s="1"/>
  <c r="M772" i="19"/>
  <c r="L772" i="19"/>
  <c r="O771" i="19"/>
  <c r="N771" i="19"/>
  <c r="M771" i="19"/>
  <c r="P771" i="19" s="1"/>
  <c r="L771" i="19"/>
  <c r="L770" i="19"/>
  <c r="O770" i="19" s="1"/>
  <c r="K769" i="19"/>
  <c r="J769" i="19"/>
  <c r="P766" i="19"/>
  <c r="O766" i="19"/>
  <c r="P765" i="19"/>
  <c r="O765" i="19"/>
  <c r="N764" i="19"/>
  <c r="M764" i="19"/>
  <c r="P764" i="19" s="1"/>
  <c r="L764" i="19"/>
  <c r="O764" i="19" s="1"/>
  <c r="P759" i="19"/>
  <c r="O759" i="19"/>
  <c r="N759" i="19"/>
  <c r="N757" i="19" s="1"/>
  <c r="P758" i="19"/>
  <c r="O758" i="19"/>
  <c r="P757" i="19"/>
  <c r="O757" i="19"/>
  <c r="M757" i="19"/>
  <c r="L757" i="19"/>
  <c r="P756" i="19"/>
  <c r="O756" i="19"/>
  <c r="N756" i="19"/>
  <c r="N754" i="19" s="1"/>
  <c r="M756" i="19"/>
  <c r="L756" i="19"/>
  <c r="O755" i="19"/>
  <c r="N755" i="19"/>
  <c r="M755" i="19"/>
  <c r="P755" i="19" s="1"/>
  <c r="L755" i="19"/>
  <c r="L754" i="19"/>
  <c r="O754" i="19" s="1"/>
  <c r="K753" i="19"/>
  <c r="J753" i="19"/>
  <c r="P749" i="19"/>
  <c r="O749" i="19"/>
  <c r="P748" i="19"/>
  <c r="O748" i="19"/>
  <c r="N747" i="19"/>
  <c r="M747" i="19"/>
  <c r="P747" i="19" s="1"/>
  <c r="L747" i="19"/>
  <c r="O747" i="19" s="1"/>
  <c r="P742" i="19"/>
  <c r="O742" i="19"/>
  <c r="N742" i="19"/>
  <c r="N740" i="19" s="1"/>
  <c r="P741" i="19"/>
  <c r="O741" i="19"/>
  <c r="P740" i="19"/>
  <c r="O740" i="19"/>
  <c r="M740" i="19"/>
  <c r="L740" i="19"/>
  <c r="P739" i="19"/>
  <c r="O739" i="19"/>
  <c r="N739" i="19"/>
  <c r="M739" i="19"/>
  <c r="L739" i="19"/>
  <c r="O738" i="19"/>
  <c r="N738" i="19"/>
  <c r="M738" i="19"/>
  <c r="P738" i="19" s="1"/>
  <c r="L738" i="19"/>
  <c r="N737" i="19"/>
  <c r="L737" i="19"/>
  <c r="O737" i="19" s="1"/>
  <c r="K736" i="19"/>
  <c r="J736" i="19"/>
  <c r="J729" i="19"/>
  <c r="I729" i="19"/>
  <c r="K729" i="19" s="1"/>
  <c r="J728" i="19"/>
  <c r="I728" i="19"/>
  <c r="K728" i="19" s="1"/>
  <c r="J727" i="19"/>
  <c r="J726" i="19"/>
  <c r="I726" i="19"/>
  <c r="K726" i="19" s="1"/>
  <c r="J725" i="19"/>
  <c r="I725" i="19"/>
  <c r="J724" i="19"/>
  <c r="J723" i="19"/>
  <c r="I723" i="19"/>
  <c r="I722" i="19"/>
  <c r="I721" i="19"/>
  <c r="J720" i="19"/>
  <c r="I720" i="19"/>
  <c r="J719" i="19"/>
  <c r="J718" i="19"/>
  <c r="J708" i="19"/>
  <c r="I708" i="19"/>
  <c r="K708" i="19" s="1"/>
  <c r="I707" i="19"/>
  <c r="I704" i="19"/>
  <c r="J701" i="19"/>
  <c r="I701" i="19"/>
  <c r="J700" i="19"/>
  <c r="I700" i="19"/>
  <c r="K700" i="19" s="1"/>
  <c r="J699" i="19"/>
  <c r="I699" i="19"/>
  <c r="K699" i="19" s="1"/>
  <c r="P697" i="19"/>
  <c r="O697" i="19"/>
  <c r="P696" i="19"/>
  <c r="O696" i="19"/>
  <c r="N695" i="19"/>
  <c r="M695" i="19"/>
  <c r="P695" i="19" s="1"/>
  <c r="L695" i="19"/>
  <c r="O695" i="19" s="1"/>
  <c r="P690" i="19"/>
  <c r="N690" i="19"/>
  <c r="L690" i="19"/>
  <c r="L688" i="19" s="1"/>
  <c r="O688" i="19" s="1"/>
  <c r="P688" i="19"/>
  <c r="N688" i="19"/>
  <c r="M688" i="19"/>
  <c r="N687" i="19"/>
  <c r="M687" i="19"/>
  <c r="P687" i="19" s="1"/>
  <c r="N686" i="19"/>
  <c r="M686" i="19"/>
  <c r="P686" i="19" s="1"/>
  <c r="L686" i="19"/>
  <c r="O686" i="19" s="1"/>
  <c r="N685" i="19"/>
  <c r="M685" i="19"/>
  <c r="P685" i="19" s="1"/>
  <c r="J679" i="19"/>
  <c r="J678" i="19" s="1"/>
  <c r="I678" i="19"/>
  <c r="K678" i="19" s="1"/>
  <c r="J675" i="19"/>
  <c r="J669" i="19" s="1"/>
  <c r="J654" i="19" s="1"/>
  <c r="I671" i="19"/>
  <c r="K671" i="19" s="1"/>
  <c r="I670" i="19"/>
  <c r="K670" i="19" s="1"/>
  <c r="I669" i="19"/>
  <c r="P667" i="19"/>
  <c r="O667" i="19"/>
  <c r="P666" i="19"/>
  <c r="O666" i="19"/>
  <c r="O665" i="19"/>
  <c r="N665" i="19"/>
  <c r="M665" i="19"/>
  <c r="P665" i="19" s="1"/>
  <c r="L665" i="19"/>
  <c r="P660" i="19"/>
  <c r="N660" i="19"/>
  <c r="N657" i="19" s="1"/>
  <c r="N655" i="19" s="1"/>
  <c r="L660" i="19"/>
  <c r="O660" i="19" s="1"/>
  <c r="P659" i="19"/>
  <c r="O659" i="19"/>
  <c r="N658" i="19"/>
  <c r="M658" i="19"/>
  <c r="P658" i="19" s="1"/>
  <c r="M657" i="19"/>
  <c r="P657" i="19" s="1"/>
  <c r="P656" i="19"/>
  <c r="N656" i="19"/>
  <c r="M656" i="19"/>
  <c r="L656" i="19"/>
  <c r="K652" i="19"/>
  <c r="J652" i="19"/>
  <c r="J651" i="19"/>
  <c r="J628" i="19" s="1"/>
  <c r="I651" i="19"/>
  <c r="K650" i="19"/>
  <c r="J650" i="19"/>
  <c r="J649" i="19"/>
  <c r="I649" i="19"/>
  <c r="K648" i="19"/>
  <c r="J648" i="19"/>
  <c r="J647" i="19"/>
  <c r="I647" i="19"/>
  <c r="K646" i="19"/>
  <c r="J646" i="19"/>
  <c r="K645" i="19"/>
  <c r="J645" i="19"/>
  <c r="I644" i="19"/>
  <c r="K644" i="19" s="1"/>
  <c r="I643" i="19"/>
  <c r="K643" i="19" s="1"/>
  <c r="P641" i="19"/>
  <c r="L641" i="19"/>
  <c r="L639" i="19" s="1"/>
  <c r="O639" i="19" s="1"/>
  <c r="P640" i="19"/>
  <c r="O640" i="19"/>
  <c r="P639" i="19"/>
  <c r="N639" i="19"/>
  <c r="M639" i="19"/>
  <c r="P634" i="19"/>
  <c r="N634" i="19"/>
  <c r="N631" i="19" s="1"/>
  <c r="L634" i="19"/>
  <c r="O634" i="19" s="1"/>
  <c r="P633" i="19"/>
  <c r="O633" i="19"/>
  <c r="P632" i="19"/>
  <c r="N632" i="19"/>
  <c r="M632" i="19"/>
  <c r="M631" i="19"/>
  <c r="P631" i="19" s="1"/>
  <c r="N630" i="19"/>
  <c r="M630" i="19"/>
  <c r="P630" i="19" s="1"/>
  <c r="L630" i="19"/>
  <c r="O630" i="19" s="1"/>
  <c r="M629" i="19"/>
  <c r="P629" i="19" s="1"/>
  <c r="J621" i="19"/>
  <c r="I621" i="19"/>
  <c r="K621" i="19" s="1"/>
  <c r="J620" i="19"/>
  <c r="I620" i="19"/>
  <c r="K620" i="19" s="1"/>
  <c r="K613" i="19"/>
  <c r="J613" i="19"/>
  <c r="K612" i="19"/>
  <c r="J612" i="19"/>
  <c r="K611" i="19"/>
  <c r="J611" i="19"/>
  <c r="J604" i="19"/>
  <c r="J603" i="19"/>
  <c r="J593" i="19" s="1"/>
  <c r="J596" i="19"/>
  <c r="J594" i="19" s="1"/>
  <c r="J595" i="19"/>
  <c r="I594" i="19"/>
  <c r="I593" i="19"/>
  <c r="I592" i="19" s="1"/>
  <c r="J583" i="19"/>
  <c r="J582" i="19"/>
  <c r="J577" i="19"/>
  <c r="I577" i="19"/>
  <c r="K577" i="19" s="1"/>
  <c r="J576" i="19"/>
  <c r="I576" i="19"/>
  <c r="K576" i="19" s="1"/>
  <c r="J569" i="19"/>
  <c r="I569" i="19"/>
  <c r="K569" i="19" s="1"/>
  <c r="J568" i="19"/>
  <c r="I568" i="19"/>
  <c r="K568" i="19" s="1"/>
  <c r="J561" i="19"/>
  <c r="I561" i="19"/>
  <c r="K561" i="19" s="1"/>
  <c r="J560" i="19"/>
  <c r="I560" i="19"/>
  <c r="K560" i="19" s="1"/>
  <c r="J559" i="19"/>
  <c r="P557" i="19"/>
  <c r="L557" i="19"/>
  <c r="L555" i="19" s="1"/>
  <c r="O555" i="19" s="1"/>
  <c r="P556" i="19"/>
  <c r="O556" i="19"/>
  <c r="N555" i="19"/>
  <c r="N545" i="19" s="1"/>
  <c r="N544" i="19" s="1"/>
  <c r="M555" i="19"/>
  <c r="P555" i="19" s="1"/>
  <c r="P549" i="19"/>
  <c r="N549" i="19"/>
  <c r="L549" i="19"/>
  <c r="L547" i="19" s="1"/>
  <c r="O547" i="19" s="1"/>
  <c r="P548" i="19"/>
  <c r="O548" i="19"/>
  <c r="N547" i="19"/>
  <c r="M547" i="19"/>
  <c r="P547" i="19" s="1"/>
  <c r="P546" i="19"/>
  <c r="N546" i="19"/>
  <c r="M546" i="19"/>
  <c r="O545" i="19"/>
  <c r="L545" i="19"/>
  <c r="J543" i="19"/>
  <c r="I542" i="19"/>
  <c r="K542" i="19" s="1"/>
  <c r="I541" i="19"/>
  <c r="K541" i="19" s="1"/>
  <c r="I540" i="19"/>
  <c r="K540" i="19" s="1"/>
  <c r="I539" i="19"/>
  <c r="I538" i="19"/>
  <c r="K538" i="19" s="1"/>
  <c r="I537" i="19"/>
  <c r="P535" i="19"/>
  <c r="L535" i="19"/>
  <c r="O535" i="19" s="1"/>
  <c r="P534" i="19"/>
  <c r="O534" i="19"/>
  <c r="P533" i="19"/>
  <c r="N533" i="19"/>
  <c r="M533" i="19"/>
  <c r="L533" i="19"/>
  <c r="O533" i="19" s="1"/>
  <c r="P528" i="19"/>
  <c r="N528" i="19"/>
  <c r="N525" i="19" s="1"/>
  <c r="N523" i="19" s="1"/>
  <c r="L528" i="19"/>
  <c r="L526" i="19" s="1"/>
  <c r="O526" i="19" s="1"/>
  <c r="P527" i="19"/>
  <c r="O527" i="19"/>
  <c r="P526" i="19"/>
  <c r="N526" i="19"/>
  <c r="M526" i="19"/>
  <c r="M525" i="19"/>
  <c r="P525" i="19" s="1"/>
  <c r="N524" i="19"/>
  <c r="M524" i="19"/>
  <c r="P524" i="19" s="1"/>
  <c r="L524" i="19"/>
  <c r="O524" i="19" s="1"/>
  <c r="K517" i="19"/>
  <c r="J517" i="19"/>
  <c r="K516" i="19"/>
  <c r="P514" i="19"/>
  <c r="O514" i="19"/>
  <c r="P513" i="19"/>
  <c r="O513" i="19"/>
  <c r="P512" i="19"/>
  <c r="O512" i="19"/>
  <c r="N512" i="19"/>
  <c r="M512" i="19"/>
  <c r="L512" i="19"/>
  <c r="P507" i="19"/>
  <c r="O507" i="19"/>
  <c r="N507" i="19"/>
  <c r="N505" i="19" s="1"/>
  <c r="P506" i="19"/>
  <c r="O506" i="19"/>
  <c r="M505" i="19"/>
  <c r="P505" i="19" s="1"/>
  <c r="L505" i="19"/>
  <c r="O505" i="19" s="1"/>
  <c r="N504" i="19"/>
  <c r="M504" i="19"/>
  <c r="P504" i="19" s="1"/>
  <c r="L504" i="19"/>
  <c r="O504" i="19" s="1"/>
  <c r="N503" i="19"/>
  <c r="N502" i="19" s="1"/>
  <c r="M503" i="19"/>
  <c r="M502" i="19" s="1"/>
  <c r="P502" i="19" s="1"/>
  <c r="L503" i="19"/>
  <c r="O503" i="19" s="1"/>
  <c r="L502" i="19"/>
  <c r="O502" i="19" s="1"/>
  <c r="K501" i="19"/>
  <c r="J501" i="19"/>
  <c r="K500" i="19"/>
  <c r="J500" i="19"/>
  <c r="I498" i="19"/>
  <c r="K498" i="19" s="1"/>
  <c r="I495" i="19"/>
  <c r="K495" i="19" s="1"/>
  <c r="I492" i="19"/>
  <c r="K492" i="19" s="1"/>
  <c r="I489" i="19"/>
  <c r="K489" i="19" s="1"/>
  <c r="I487" i="19"/>
  <c r="K487" i="19" s="1"/>
  <c r="I485" i="19"/>
  <c r="K485" i="19" s="1"/>
  <c r="I483" i="19"/>
  <c r="K483" i="19" s="1"/>
  <c r="P479" i="19"/>
  <c r="L479" i="19"/>
  <c r="O479" i="19" s="1"/>
  <c r="P478" i="19"/>
  <c r="O478" i="19"/>
  <c r="N477" i="19"/>
  <c r="M477" i="19"/>
  <c r="P477" i="19" s="1"/>
  <c r="P472" i="19"/>
  <c r="N472" i="19"/>
  <c r="L472" i="19"/>
  <c r="P471" i="19"/>
  <c r="O471" i="19"/>
  <c r="N470" i="19"/>
  <c r="M470" i="19"/>
  <c r="P470" i="19" s="1"/>
  <c r="N469" i="19"/>
  <c r="N467" i="19" s="1"/>
  <c r="M469" i="19"/>
  <c r="P469" i="19" s="1"/>
  <c r="N468" i="19"/>
  <c r="M468" i="19"/>
  <c r="M467" i="19" s="1"/>
  <c r="P467" i="19" s="1"/>
  <c r="L468" i="19"/>
  <c r="O468" i="19" s="1"/>
  <c r="J466" i="19"/>
  <c r="I466" i="19"/>
  <c r="K466" i="19" s="1"/>
  <c r="J465" i="19"/>
  <c r="I465" i="19"/>
  <c r="K465" i="19" s="1"/>
  <c r="I464" i="19"/>
  <c r="I463" i="19"/>
  <c r="I462" i="19"/>
  <c r="I460" i="19"/>
  <c r="K460" i="19" s="1"/>
  <c r="K458" i="19"/>
  <c r="P456" i="19"/>
  <c r="L456" i="19"/>
  <c r="O456" i="19" s="1"/>
  <c r="P455" i="19"/>
  <c r="O455" i="19"/>
  <c r="P454" i="19"/>
  <c r="N454" i="19"/>
  <c r="M454" i="19"/>
  <c r="P449" i="19"/>
  <c r="N449" i="19"/>
  <c r="N446" i="19" s="1"/>
  <c r="L449" i="19"/>
  <c r="P448" i="19"/>
  <c r="O448" i="19"/>
  <c r="P447" i="19"/>
  <c r="N447" i="19"/>
  <c r="M447" i="19"/>
  <c r="M446" i="19"/>
  <c r="P446" i="19" s="1"/>
  <c r="N445" i="19"/>
  <c r="N444" i="19" s="1"/>
  <c r="M445" i="19"/>
  <c r="P445" i="19" s="1"/>
  <c r="L445" i="19"/>
  <c r="O445" i="19" s="1"/>
  <c r="M444" i="19"/>
  <c r="P444" i="19" s="1"/>
  <c r="J443" i="19"/>
  <c r="J442" i="19"/>
  <c r="I441" i="19"/>
  <c r="K441" i="19" s="1"/>
  <c r="I440" i="19"/>
  <c r="K440" i="19" s="1"/>
  <c r="I439" i="19"/>
  <c r="K439" i="19" s="1"/>
  <c r="I438" i="19"/>
  <c r="I437" i="19"/>
  <c r="K437" i="19" s="1"/>
  <c r="I435" i="19"/>
  <c r="J434" i="19"/>
  <c r="P431" i="19"/>
  <c r="L431" i="19"/>
  <c r="P430" i="19"/>
  <c r="O430" i="19"/>
  <c r="P429" i="19"/>
  <c r="N429" i="19"/>
  <c r="M429" i="19"/>
  <c r="P424" i="19"/>
  <c r="N424" i="19"/>
  <c r="N421" i="19" s="1"/>
  <c r="L424" i="19"/>
  <c r="P423" i="19"/>
  <c r="O423" i="19"/>
  <c r="P422" i="19"/>
  <c r="N422" i="19"/>
  <c r="M422" i="19"/>
  <c r="M421" i="19"/>
  <c r="P421" i="19" s="1"/>
  <c r="N420" i="19"/>
  <c r="N419" i="19" s="1"/>
  <c r="M420" i="19"/>
  <c r="P420" i="19" s="1"/>
  <c r="L420" i="19"/>
  <c r="O420" i="19" s="1"/>
  <c r="M419" i="19"/>
  <c r="J418" i="19"/>
  <c r="K413" i="19"/>
  <c r="K412" i="19"/>
  <c r="N410" i="19"/>
  <c r="M410" i="19"/>
  <c r="L410" i="19"/>
  <c r="O410" i="19" s="1"/>
  <c r="P409" i="19"/>
  <c r="O409" i="19"/>
  <c r="N407" i="19"/>
  <c r="N405" i="19" s="1"/>
  <c r="M407" i="19"/>
  <c r="M405" i="19" s="1"/>
  <c r="P405" i="19" s="1"/>
  <c r="L407" i="19"/>
  <c r="L405" i="19" s="1"/>
  <c r="O405" i="19" s="1"/>
  <c r="P406" i="19"/>
  <c r="O406" i="19"/>
  <c r="P403" i="19"/>
  <c r="N403" i="19"/>
  <c r="M403" i="19"/>
  <c r="L403" i="19"/>
  <c r="K401" i="19"/>
  <c r="J401" i="19"/>
  <c r="I401" i="19"/>
  <c r="K400" i="19"/>
  <c r="K399" i="19"/>
  <c r="N397" i="19"/>
  <c r="N395" i="19" s="1"/>
  <c r="M397" i="19"/>
  <c r="L397" i="19"/>
  <c r="O397" i="19" s="1"/>
  <c r="P396" i="19"/>
  <c r="O396" i="19"/>
  <c r="N394" i="19"/>
  <c r="N392" i="19" s="1"/>
  <c r="M394" i="19"/>
  <c r="L394" i="19"/>
  <c r="O394" i="19" s="1"/>
  <c r="P393" i="19"/>
  <c r="O393" i="19"/>
  <c r="N390" i="19"/>
  <c r="M390" i="19"/>
  <c r="P390" i="19" s="1"/>
  <c r="L390" i="19"/>
  <c r="O390" i="19" s="1"/>
  <c r="K388" i="19"/>
  <c r="J388" i="19"/>
  <c r="I388" i="19"/>
  <c r="J385" i="19"/>
  <c r="I385" i="19"/>
  <c r="K385" i="19" s="1"/>
  <c r="K382" i="19"/>
  <c r="J382" i="19"/>
  <c r="J381" i="19"/>
  <c r="J374" i="19" s="1"/>
  <c r="I381" i="19"/>
  <c r="K380" i="19"/>
  <c r="J380" i="19"/>
  <c r="J379" i="19"/>
  <c r="I379" i="19"/>
  <c r="J378" i="19"/>
  <c r="I378" i="19"/>
  <c r="K377" i="19"/>
  <c r="J377" i="19"/>
  <c r="I374" i="19"/>
  <c r="K373" i="19"/>
  <c r="J373" i="19"/>
  <c r="J372" i="19"/>
  <c r="J365" i="19" s="1"/>
  <c r="I372" i="19"/>
  <c r="K371" i="19"/>
  <c r="J371" i="19"/>
  <c r="J370" i="19"/>
  <c r="I370" i="19"/>
  <c r="J369" i="19"/>
  <c r="I369" i="19"/>
  <c r="K368" i="19"/>
  <c r="J368" i="19"/>
  <c r="I365" i="19"/>
  <c r="K363" i="19"/>
  <c r="J363" i="19"/>
  <c r="J362" i="19"/>
  <c r="J355" i="19" s="1"/>
  <c r="I362" i="19"/>
  <c r="K361" i="19"/>
  <c r="J361" i="19"/>
  <c r="J360" i="19"/>
  <c r="I360" i="19"/>
  <c r="J359" i="19"/>
  <c r="I359" i="19"/>
  <c r="K358" i="19"/>
  <c r="J358" i="19"/>
  <c r="I355" i="19"/>
  <c r="N353" i="19"/>
  <c r="M353" i="19"/>
  <c r="L353" i="19"/>
  <c r="L351" i="19" s="1"/>
  <c r="P352" i="19"/>
  <c r="O352" i="19"/>
  <c r="N350" i="19"/>
  <c r="N348" i="19" s="1"/>
  <c r="M350" i="19"/>
  <c r="L350" i="19"/>
  <c r="P349" i="19"/>
  <c r="O349" i="19"/>
  <c r="N346" i="19"/>
  <c r="M346" i="19"/>
  <c r="L346" i="19"/>
  <c r="O346" i="19" s="1"/>
  <c r="J343" i="19"/>
  <c r="J342" i="19"/>
  <c r="J341" i="19"/>
  <c r="J340" i="19"/>
  <c r="I340" i="19"/>
  <c r="J338" i="19"/>
  <c r="I338" i="19"/>
  <c r="N336" i="19"/>
  <c r="N334" i="19" s="1"/>
  <c r="M336" i="19"/>
  <c r="P336" i="19" s="1"/>
  <c r="L336" i="19"/>
  <c r="P335" i="19"/>
  <c r="O335" i="19"/>
  <c r="N333" i="19"/>
  <c r="N331" i="19" s="1"/>
  <c r="M333" i="19"/>
  <c r="M331" i="19" s="1"/>
  <c r="L333" i="19"/>
  <c r="L331" i="19" s="1"/>
  <c r="P332" i="19"/>
  <c r="O332" i="19"/>
  <c r="N329" i="19"/>
  <c r="M329" i="19"/>
  <c r="P329" i="19" s="1"/>
  <c r="L329" i="19"/>
  <c r="O329" i="19" s="1"/>
  <c r="I327" i="19"/>
  <c r="I325" i="19"/>
  <c r="K325" i="19" s="1"/>
  <c r="N323" i="19"/>
  <c r="N321" i="19" s="1"/>
  <c r="M323" i="19"/>
  <c r="L323" i="19"/>
  <c r="L321" i="19" s="1"/>
  <c r="O321" i="19" s="1"/>
  <c r="P322" i="19"/>
  <c r="O322" i="19"/>
  <c r="N320" i="19"/>
  <c r="N318" i="19" s="1"/>
  <c r="M320" i="19"/>
  <c r="L320" i="19"/>
  <c r="L318" i="19" s="1"/>
  <c r="O318" i="19" s="1"/>
  <c r="P319" i="19"/>
  <c r="O319" i="19"/>
  <c r="N316" i="19"/>
  <c r="M316" i="19"/>
  <c r="P316" i="19" s="1"/>
  <c r="L316" i="19"/>
  <c r="O316" i="19" s="1"/>
  <c r="J314" i="19"/>
  <c r="I312" i="19"/>
  <c r="K312" i="19" s="1"/>
  <c r="I311" i="19"/>
  <c r="K311" i="19" s="1"/>
  <c r="I310" i="19"/>
  <c r="K310" i="19" s="1"/>
  <c r="I309" i="19"/>
  <c r="I297" i="19" s="1"/>
  <c r="K297" i="19" s="1"/>
  <c r="N306" i="19"/>
  <c r="N304" i="19" s="1"/>
  <c r="M306" i="19"/>
  <c r="P306" i="19" s="1"/>
  <c r="L306" i="19"/>
  <c r="O306" i="19" s="1"/>
  <c r="P305" i="19"/>
  <c r="O305" i="19"/>
  <c r="N303" i="19"/>
  <c r="M303" i="19"/>
  <c r="M301" i="19" s="1"/>
  <c r="L303" i="19"/>
  <c r="P302" i="19"/>
  <c r="O302" i="19"/>
  <c r="O299" i="19"/>
  <c r="N299" i="19"/>
  <c r="M299" i="19"/>
  <c r="P299" i="19" s="1"/>
  <c r="L299" i="19"/>
  <c r="J297" i="19"/>
  <c r="I294" i="19"/>
  <c r="K294" i="19" s="1"/>
  <c r="I293" i="19"/>
  <c r="K293" i="19" s="1"/>
  <c r="I291" i="19"/>
  <c r="K291" i="19" s="1"/>
  <c r="I290" i="19"/>
  <c r="K290" i="19" s="1"/>
  <c r="I288" i="19"/>
  <c r="J288" i="19" s="1"/>
  <c r="J275" i="19" s="1"/>
  <c r="I287" i="19"/>
  <c r="K287" i="19" s="1"/>
  <c r="N285" i="19"/>
  <c r="M285" i="19"/>
  <c r="P285" i="19" s="1"/>
  <c r="L285" i="19"/>
  <c r="L283" i="19" s="1"/>
  <c r="O283" i="19" s="1"/>
  <c r="P284" i="19"/>
  <c r="O284" i="19"/>
  <c r="N282" i="19"/>
  <c r="N280" i="19" s="1"/>
  <c r="M282" i="19"/>
  <c r="P282" i="19" s="1"/>
  <c r="L282" i="19"/>
  <c r="L280" i="19" s="1"/>
  <c r="O280" i="19" s="1"/>
  <c r="P281" i="19"/>
  <c r="O281" i="19"/>
  <c r="P278" i="19"/>
  <c r="O278" i="19"/>
  <c r="N278" i="19"/>
  <c r="M278" i="19"/>
  <c r="L278" i="19"/>
  <c r="J276" i="19"/>
  <c r="I271" i="19"/>
  <c r="K271" i="19" s="1"/>
  <c r="N269" i="19"/>
  <c r="N267" i="19" s="1"/>
  <c r="M269" i="19"/>
  <c r="P269" i="19" s="1"/>
  <c r="L269" i="19"/>
  <c r="P268" i="19"/>
  <c r="O268" i="19"/>
  <c r="N266" i="19"/>
  <c r="M266" i="19"/>
  <c r="M264" i="19" s="1"/>
  <c r="P264" i="19" s="1"/>
  <c r="L266" i="19"/>
  <c r="L264" i="19" s="1"/>
  <c r="P265" i="19"/>
  <c r="O265" i="19"/>
  <c r="N262" i="19"/>
  <c r="M262" i="19"/>
  <c r="P262" i="19" s="1"/>
  <c r="L262" i="19"/>
  <c r="O262" i="19" s="1"/>
  <c r="J260" i="19"/>
  <c r="K258" i="19"/>
  <c r="K257" i="19"/>
  <c r="I248" i="19"/>
  <c r="K248" i="19" s="1"/>
  <c r="L253" i="19"/>
  <c r="L252" i="19"/>
  <c r="L251" i="19"/>
  <c r="L250" i="19"/>
  <c r="P249" i="19"/>
  <c r="N249" i="19"/>
  <c r="J248" i="19"/>
  <c r="K247" i="19"/>
  <c r="K246" i="19"/>
  <c r="I244" i="19"/>
  <c r="I237" i="19" s="1"/>
  <c r="K237" i="19" s="1"/>
  <c r="L242" i="19"/>
  <c r="L241" i="19"/>
  <c r="L240" i="19"/>
  <c r="L239" i="19"/>
  <c r="P238" i="19"/>
  <c r="N238" i="19"/>
  <c r="J237" i="19"/>
  <c r="J236" i="19"/>
  <c r="I236" i="19"/>
  <c r="K236" i="19" s="1"/>
  <c r="J235" i="19"/>
  <c r="I235" i="19"/>
  <c r="K235" i="19" s="1"/>
  <c r="J233" i="19"/>
  <c r="N231" i="19"/>
  <c r="N230" i="19"/>
  <c r="N229" i="19"/>
  <c r="N228" i="19"/>
  <c r="J226" i="19"/>
  <c r="J180" i="19" s="1"/>
  <c r="I225" i="19"/>
  <c r="K225" i="19" s="1"/>
  <c r="I224" i="19"/>
  <c r="K224" i="19" s="1"/>
  <c r="I223" i="19"/>
  <c r="K223" i="19" s="1"/>
  <c r="L220" i="19"/>
  <c r="L219" i="19"/>
  <c r="L218" i="19"/>
  <c r="P217" i="19"/>
  <c r="N217" i="19"/>
  <c r="J216" i="19"/>
  <c r="I215" i="19"/>
  <c r="I208" i="19" s="1"/>
  <c r="K208" i="19" s="1"/>
  <c r="I214" i="19"/>
  <c r="K214" i="19" s="1"/>
  <c r="L212" i="19"/>
  <c r="L211" i="19"/>
  <c r="L210" i="19"/>
  <c r="P209" i="19"/>
  <c r="N209" i="19"/>
  <c r="J208" i="19"/>
  <c r="I204" i="19"/>
  <c r="K204" i="19" s="1"/>
  <c r="L202" i="19"/>
  <c r="L201" i="19"/>
  <c r="L200" i="19"/>
  <c r="L199" i="19"/>
  <c r="P198" i="19"/>
  <c r="N198" i="19"/>
  <c r="J197" i="19"/>
  <c r="J194" i="19"/>
  <c r="I193" i="19"/>
  <c r="P191" i="19"/>
  <c r="L191" i="19"/>
  <c r="O191" i="19" s="1"/>
  <c r="J190" i="19"/>
  <c r="N189" i="19"/>
  <c r="M189" i="19"/>
  <c r="M187" i="19" s="1"/>
  <c r="P187" i="19" s="1"/>
  <c r="L189" i="19"/>
  <c r="O189" i="19" s="1"/>
  <c r="P188" i="19"/>
  <c r="O188" i="19"/>
  <c r="N186" i="19"/>
  <c r="N184" i="19" s="1"/>
  <c r="M186" i="19"/>
  <c r="M184" i="19" s="1"/>
  <c r="L186" i="19"/>
  <c r="P185" i="19"/>
  <c r="O185" i="19"/>
  <c r="P182" i="19"/>
  <c r="O182" i="19"/>
  <c r="N182" i="19"/>
  <c r="M182" i="19"/>
  <c r="L182" i="19"/>
  <c r="J177" i="19"/>
  <c r="J164" i="19" s="1"/>
  <c r="I176" i="19"/>
  <c r="J174" i="19"/>
  <c r="N173" i="19"/>
  <c r="N171" i="19" s="1"/>
  <c r="M173" i="19"/>
  <c r="M171" i="19" s="1"/>
  <c r="P171" i="19" s="1"/>
  <c r="L173" i="19"/>
  <c r="O173" i="19" s="1"/>
  <c r="P172" i="19"/>
  <c r="O172" i="19"/>
  <c r="N170" i="19"/>
  <c r="M170" i="19"/>
  <c r="M168" i="19" s="1"/>
  <c r="L170" i="19"/>
  <c r="L168" i="19" s="1"/>
  <c r="P169" i="19"/>
  <c r="O169" i="19"/>
  <c r="P166" i="19"/>
  <c r="O166" i="19"/>
  <c r="N166" i="19"/>
  <c r="M166" i="19"/>
  <c r="L166" i="19"/>
  <c r="I159" i="19"/>
  <c r="K159" i="19" s="1"/>
  <c r="N157" i="19"/>
  <c r="N155" i="19" s="1"/>
  <c r="M157" i="19"/>
  <c r="P157" i="19" s="1"/>
  <c r="L157" i="19"/>
  <c r="O157" i="19" s="1"/>
  <c r="P156" i="19"/>
  <c r="O156" i="19"/>
  <c r="N154" i="19"/>
  <c r="N152" i="19" s="1"/>
  <c r="M154" i="19"/>
  <c r="L154" i="19"/>
  <c r="P153" i="19"/>
  <c r="O153" i="19"/>
  <c r="N150" i="19"/>
  <c r="M150" i="19"/>
  <c r="P150" i="19" s="1"/>
  <c r="L150" i="19"/>
  <c r="O150" i="19" s="1"/>
  <c r="J148" i="19"/>
  <c r="I146" i="19"/>
  <c r="I130" i="19" s="1"/>
  <c r="K130" i="19" s="1"/>
  <c r="I145" i="19"/>
  <c r="K145" i="19" s="1"/>
  <c r="I144" i="19"/>
  <c r="N140" i="19"/>
  <c r="N138" i="19" s="1"/>
  <c r="M140" i="19"/>
  <c r="P140" i="19" s="1"/>
  <c r="L140" i="19"/>
  <c r="L138" i="19" s="1"/>
  <c r="O138" i="19" s="1"/>
  <c r="P139" i="19"/>
  <c r="O139" i="19"/>
  <c r="N137" i="19"/>
  <c r="N135" i="19" s="1"/>
  <c r="M137" i="19"/>
  <c r="P137" i="19" s="1"/>
  <c r="L137" i="19"/>
  <c r="L135" i="19" s="1"/>
  <c r="O135" i="19" s="1"/>
  <c r="P136" i="19"/>
  <c r="O136" i="19"/>
  <c r="N133" i="19"/>
  <c r="M133" i="19"/>
  <c r="P133" i="19" s="1"/>
  <c r="L133" i="19"/>
  <c r="O133" i="19" s="1"/>
  <c r="J130" i="19"/>
  <c r="N127" i="19"/>
  <c r="N125" i="19" s="1"/>
  <c r="M127" i="19"/>
  <c r="L127" i="19"/>
  <c r="O127" i="19" s="1"/>
  <c r="P126" i="19"/>
  <c r="O126" i="19"/>
  <c r="N124" i="19"/>
  <c r="N122" i="19" s="1"/>
  <c r="M124" i="19"/>
  <c r="L124" i="19"/>
  <c r="O124" i="19" s="1"/>
  <c r="P123" i="19"/>
  <c r="O123" i="19"/>
  <c r="N120" i="19"/>
  <c r="M120" i="19"/>
  <c r="L120" i="19"/>
  <c r="O120" i="19" s="1"/>
  <c r="I116" i="19"/>
  <c r="I115" i="19"/>
  <c r="K115" i="19" s="1"/>
  <c r="I114" i="19"/>
  <c r="K114" i="19" s="1"/>
  <c r="I113" i="19"/>
  <c r="K113" i="19" s="1"/>
  <c r="J112" i="19"/>
  <c r="J111" i="19"/>
  <c r="I111" i="19"/>
  <c r="K111" i="19" s="1"/>
  <c r="I110" i="19"/>
  <c r="K110" i="19" s="1"/>
  <c r="I109" i="19"/>
  <c r="K109" i="19" s="1"/>
  <c r="I107" i="19"/>
  <c r="K107" i="19" s="1"/>
  <c r="I106" i="19"/>
  <c r="K106" i="19" s="1"/>
  <c r="I104" i="19"/>
  <c r="K104" i="19" s="1"/>
  <c r="I103" i="19"/>
  <c r="K103" i="19" s="1"/>
  <c r="I102" i="19"/>
  <c r="K102" i="19" s="1"/>
  <c r="J100" i="19"/>
  <c r="I100" i="19"/>
  <c r="K100" i="19" s="1"/>
  <c r="J99" i="19"/>
  <c r="I99" i="19"/>
  <c r="K99" i="19" s="1"/>
  <c r="J98" i="19"/>
  <c r="I98" i="19"/>
  <c r="N96" i="19"/>
  <c r="N94" i="19" s="1"/>
  <c r="M96" i="19"/>
  <c r="M94" i="19" s="1"/>
  <c r="P94" i="19" s="1"/>
  <c r="L96" i="19"/>
  <c r="O96" i="19" s="1"/>
  <c r="P95" i="19"/>
  <c r="O95" i="19"/>
  <c r="N93" i="19"/>
  <c r="N91" i="19" s="1"/>
  <c r="M93" i="19"/>
  <c r="L93" i="19"/>
  <c r="P92" i="19"/>
  <c r="O92" i="19"/>
  <c r="O89" i="19"/>
  <c r="N89" i="19"/>
  <c r="M89" i="19"/>
  <c r="P89" i="19" s="1"/>
  <c r="L89" i="19"/>
  <c r="J87" i="19"/>
  <c r="J86" i="19"/>
  <c r="I84" i="19"/>
  <c r="K84" i="19" s="1"/>
  <c r="I83" i="19"/>
  <c r="K83" i="19" s="1"/>
  <c r="I82" i="19"/>
  <c r="K82" i="19" s="1"/>
  <c r="I81" i="19"/>
  <c r="K81" i="19" s="1"/>
  <c r="I80" i="19"/>
  <c r="I79" i="19"/>
  <c r="K79" i="19" s="1"/>
  <c r="I78" i="19"/>
  <c r="K78" i="19" s="1"/>
  <c r="J77" i="19"/>
  <c r="J65" i="19" s="1"/>
  <c r="J76" i="19"/>
  <c r="N74" i="19"/>
  <c r="N72" i="19" s="1"/>
  <c r="M74" i="19"/>
  <c r="P74" i="19" s="1"/>
  <c r="L74" i="19"/>
  <c r="O74" i="19" s="1"/>
  <c r="P73" i="19"/>
  <c r="O73" i="19"/>
  <c r="N71" i="19"/>
  <c r="N69" i="19" s="1"/>
  <c r="M71" i="19"/>
  <c r="P71" i="19" s="1"/>
  <c r="L71" i="19"/>
  <c r="P70" i="19"/>
  <c r="O70" i="19"/>
  <c r="N67" i="19"/>
  <c r="M67" i="19"/>
  <c r="P67" i="19" s="1"/>
  <c r="L67" i="19"/>
  <c r="O67" i="19" s="1"/>
  <c r="J64" i="19"/>
  <c r="N61" i="19"/>
  <c r="N59" i="19" s="1"/>
  <c r="M61" i="19"/>
  <c r="P61" i="19" s="1"/>
  <c r="L61" i="19"/>
  <c r="O61" i="19" s="1"/>
  <c r="P60" i="19"/>
  <c r="O60" i="19"/>
  <c r="N58" i="19"/>
  <c r="M58" i="19"/>
  <c r="L58" i="19"/>
  <c r="P57" i="19"/>
  <c r="O57" i="19"/>
  <c r="N54" i="19"/>
  <c r="M54" i="19"/>
  <c r="P54" i="19" s="1"/>
  <c r="L54" i="19"/>
  <c r="O54" i="19" s="1"/>
  <c r="N49" i="19"/>
  <c r="N47" i="19" s="1"/>
  <c r="M49" i="19"/>
  <c r="L49" i="19"/>
  <c r="O49" i="19" s="1"/>
  <c r="P48" i="19"/>
  <c r="O48" i="19"/>
  <c r="N46" i="19"/>
  <c r="M46" i="19"/>
  <c r="M44" i="19" s="1"/>
  <c r="L46" i="19"/>
  <c r="P45" i="19"/>
  <c r="O45" i="19"/>
  <c r="N42" i="19"/>
  <c r="M42" i="19"/>
  <c r="P42" i="19" s="1"/>
  <c r="L42" i="19"/>
  <c r="O42" i="19" s="1"/>
  <c r="N36" i="19"/>
  <c r="M36" i="19"/>
  <c r="P36" i="19" s="1"/>
  <c r="P35" i="19"/>
  <c r="N35" i="19"/>
  <c r="N34" i="19" s="1"/>
  <c r="M35" i="19"/>
  <c r="M34" i="19" s="1"/>
  <c r="P34" i="19" s="1"/>
  <c r="L35" i="19"/>
  <c r="O35" i="19" s="1"/>
  <c r="P33" i="19"/>
  <c r="N33" i="19"/>
  <c r="N30" i="19" s="1"/>
  <c r="M33" i="19"/>
  <c r="O32" i="19"/>
  <c r="N32" i="19"/>
  <c r="M32" i="19"/>
  <c r="P32" i="19" s="1"/>
  <c r="L32" i="19"/>
  <c r="M30" i="19"/>
  <c r="P30" i="19" s="1"/>
  <c r="N29" i="19"/>
  <c r="L29" i="19"/>
  <c r="N25" i="19"/>
  <c r="N15" i="19" s="1"/>
  <c r="M25" i="19"/>
  <c r="P25" i="19" s="1"/>
  <c r="L25" i="19"/>
  <c r="O25" i="19" s="1"/>
  <c r="N22" i="19"/>
  <c r="M22" i="19"/>
  <c r="P22" i="19" s="1"/>
  <c r="L22" i="19"/>
  <c r="O22" i="19" s="1"/>
  <c r="O15" i="19"/>
  <c r="L15" i="19"/>
  <c r="M12" i="19"/>
  <c r="P12" i="19" s="1"/>
  <c r="J828" i="18"/>
  <c r="I828" i="18"/>
  <c r="J827" i="18"/>
  <c r="I827" i="18"/>
  <c r="J826" i="18"/>
  <c r="I826" i="18"/>
  <c r="K826" i="18" s="1"/>
  <c r="J825" i="18"/>
  <c r="I825" i="18"/>
  <c r="K825" i="18" s="1"/>
  <c r="J824" i="18"/>
  <c r="I824" i="18"/>
  <c r="J823" i="18"/>
  <c r="I823" i="18"/>
  <c r="J822" i="18"/>
  <c r="I822" i="18"/>
  <c r="J821" i="18"/>
  <c r="I821" i="18"/>
  <c r="P817" i="18"/>
  <c r="O817" i="18"/>
  <c r="P816" i="18"/>
  <c r="O816" i="18"/>
  <c r="O815" i="18"/>
  <c r="N815" i="18"/>
  <c r="M815" i="18"/>
  <c r="P815" i="18" s="1"/>
  <c r="L815" i="18"/>
  <c r="P810" i="18"/>
  <c r="O810" i="18"/>
  <c r="N810" i="18"/>
  <c r="P809" i="18"/>
  <c r="O809" i="18"/>
  <c r="O808" i="18"/>
  <c r="M808" i="18"/>
  <c r="P808" i="18" s="1"/>
  <c r="L808" i="18"/>
  <c r="P807" i="18"/>
  <c r="M807" i="18"/>
  <c r="L807" i="18"/>
  <c r="O806" i="18"/>
  <c r="N806" i="18"/>
  <c r="M806" i="18"/>
  <c r="P806" i="18" s="1"/>
  <c r="L806" i="18"/>
  <c r="K804" i="18"/>
  <c r="J804" i="18"/>
  <c r="K802" i="18"/>
  <c r="J801" i="18"/>
  <c r="J800" i="18"/>
  <c r="J785" i="18" s="1"/>
  <c r="I800" i="18"/>
  <c r="I785" i="18" s="1"/>
  <c r="P798" i="18"/>
  <c r="O798" i="18"/>
  <c r="P797" i="18"/>
  <c r="O797" i="18"/>
  <c r="P796" i="18"/>
  <c r="N796" i="18"/>
  <c r="M796" i="18"/>
  <c r="L796" i="18"/>
  <c r="O796" i="18" s="1"/>
  <c r="P791" i="18"/>
  <c r="N791" i="18"/>
  <c r="L791" i="18"/>
  <c r="L788" i="18" s="1"/>
  <c r="P790" i="18"/>
  <c r="O790" i="18"/>
  <c r="N789" i="18"/>
  <c r="M789" i="18"/>
  <c r="P789" i="18" s="1"/>
  <c r="P788" i="18"/>
  <c r="N788" i="18"/>
  <c r="N786" i="18" s="1"/>
  <c r="M788" i="18"/>
  <c r="O787" i="18"/>
  <c r="N787" i="18"/>
  <c r="M787" i="18"/>
  <c r="P787" i="18" s="1"/>
  <c r="L787" i="18"/>
  <c r="P782" i="18"/>
  <c r="O782" i="18"/>
  <c r="P781" i="18"/>
  <c r="O781" i="18"/>
  <c r="P780" i="18"/>
  <c r="N780" i="18"/>
  <c r="M780" i="18"/>
  <c r="L780" i="18"/>
  <c r="O780" i="18" s="1"/>
  <c r="P775" i="18"/>
  <c r="O775" i="18"/>
  <c r="N775" i="18"/>
  <c r="N772" i="18" s="1"/>
  <c r="P774" i="18"/>
  <c r="O774" i="18"/>
  <c r="P773" i="18"/>
  <c r="N773" i="18"/>
  <c r="M773" i="18"/>
  <c r="L773" i="18"/>
  <c r="O773" i="18" s="1"/>
  <c r="O772" i="18"/>
  <c r="M772" i="18"/>
  <c r="L772" i="18"/>
  <c r="P771" i="18"/>
  <c r="N771" i="18"/>
  <c r="N770" i="18" s="1"/>
  <c r="M771" i="18"/>
  <c r="L771" i="18"/>
  <c r="K769" i="18"/>
  <c r="J769" i="18"/>
  <c r="P766" i="18"/>
  <c r="O766" i="18"/>
  <c r="P765" i="18"/>
  <c r="O765" i="18"/>
  <c r="P764" i="18"/>
  <c r="N764" i="18"/>
  <c r="M764" i="18"/>
  <c r="L764" i="18"/>
  <c r="O764" i="18" s="1"/>
  <c r="P759" i="18"/>
  <c r="O759" i="18"/>
  <c r="N759" i="18"/>
  <c r="N756" i="18" s="1"/>
  <c r="P758" i="18"/>
  <c r="O758" i="18"/>
  <c r="P757" i="18"/>
  <c r="N757" i="18"/>
  <c r="M757" i="18"/>
  <c r="L757" i="18"/>
  <c r="O757" i="18" s="1"/>
  <c r="O756" i="18"/>
  <c r="M756" i="18"/>
  <c r="L756" i="18"/>
  <c r="P755" i="18"/>
  <c r="N755" i="18"/>
  <c r="M755" i="18"/>
  <c r="L755" i="18"/>
  <c r="K753" i="18"/>
  <c r="J753" i="18"/>
  <c r="P749" i="18"/>
  <c r="O749" i="18"/>
  <c r="P748" i="18"/>
  <c r="O748" i="18"/>
  <c r="P747" i="18"/>
  <c r="N747" i="18"/>
  <c r="M747" i="18"/>
  <c r="L747" i="18"/>
  <c r="O747" i="18" s="1"/>
  <c r="P742" i="18"/>
  <c r="O742" i="18"/>
  <c r="N742" i="18"/>
  <c r="N739" i="18" s="1"/>
  <c r="P741" i="18"/>
  <c r="O741" i="18"/>
  <c r="P740" i="18"/>
  <c r="N740" i="18"/>
  <c r="M740" i="18"/>
  <c r="L740" i="18"/>
  <c r="O740" i="18" s="1"/>
  <c r="O739" i="18"/>
  <c r="M739" i="18"/>
  <c r="P739" i="18" s="1"/>
  <c r="L739" i="18"/>
  <c r="P738" i="18"/>
  <c r="N738" i="18"/>
  <c r="M738" i="18"/>
  <c r="L738" i="18"/>
  <c r="M737" i="18"/>
  <c r="P737" i="18" s="1"/>
  <c r="K736" i="18"/>
  <c r="J736" i="18"/>
  <c r="J729" i="18"/>
  <c r="I729" i="18"/>
  <c r="K729" i="18" s="1"/>
  <c r="J728" i="18"/>
  <c r="I728" i="18"/>
  <c r="K728" i="18" s="1"/>
  <c r="J727" i="18"/>
  <c r="J726" i="18"/>
  <c r="I726" i="18"/>
  <c r="K726" i="18" s="1"/>
  <c r="J725" i="18"/>
  <c r="I725" i="18"/>
  <c r="K725" i="18" s="1"/>
  <c r="J724" i="18"/>
  <c r="J723" i="18"/>
  <c r="I723" i="18"/>
  <c r="K723" i="18" s="1"/>
  <c r="I722" i="18"/>
  <c r="K722" i="18" s="1"/>
  <c r="I721" i="18"/>
  <c r="K721" i="18" s="1"/>
  <c r="J720" i="18"/>
  <c r="I720" i="18"/>
  <c r="K720" i="18" s="1"/>
  <c r="J719" i="18"/>
  <c r="J718" i="18"/>
  <c r="J708" i="18"/>
  <c r="I708" i="18"/>
  <c r="K708" i="18" s="1"/>
  <c r="I707" i="18"/>
  <c r="I704" i="18"/>
  <c r="J701" i="18"/>
  <c r="I701" i="18"/>
  <c r="K701" i="18" s="1"/>
  <c r="J700" i="18"/>
  <c r="I700" i="18"/>
  <c r="K700" i="18" s="1"/>
  <c r="J699" i="18"/>
  <c r="I699" i="18"/>
  <c r="K699" i="18" s="1"/>
  <c r="P697" i="18"/>
  <c r="O697" i="18"/>
  <c r="P696" i="18"/>
  <c r="O696" i="18"/>
  <c r="P695" i="18"/>
  <c r="N695" i="18"/>
  <c r="M695" i="18"/>
  <c r="L695" i="18"/>
  <c r="O695" i="18" s="1"/>
  <c r="P690" i="18"/>
  <c r="N690" i="18"/>
  <c r="N688" i="18" s="1"/>
  <c r="L690" i="18"/>
  <c r="L688" i="18" s="1"/>
  <c r="O688" i="18" s="1"/>
  <c r="M688" i="18"/>
  <c r="P688" i="18" s="1"/>
  <c r="P687" i="18"/>
  <c r="N687" i="18"/>
  <c r="N685" i="18" s="1"/>
  <c r="M687" i="18"/>
  <c r="O686" i="18"/>
  <c r="N686" i="18"/>
  <c r="M686" i="18"/>
  <c r="L686" i="18"/>
  <c r="J679" i="18"/>
  <c r="J678" i="18"/>
  <c r="I678" i="18"/>
  <c r="K678" i="18" s="1"/>
  <c r="J675" i="18"/>
  <c r="J669" i="18" s="1"/>
  <c r="J654" i="18" s="1"/>
  <c r="I671" i="18"/>
  <c r="K671" i="18" s="1"/>
  <c r="I670" i="18"/>
  <c r="K670" i="18" s="1"/>
  <c r="I669" i="18"/>
  <c r="K672" i="18" s="1"/>
  <c r="P667" i="18"/>
  <c r="O667" i="18"/>
  <c r="P666" i="18"/>
  <c r="O666" i="18"/>
  <c r="O665" i="18"/>
  <c r="N665" i="18"/>
  <c r="M665" i="18"/>
  <c r="P665" i="18" s="1"/>
  <c r="L665" i="18"/>
  <c r="P660" i="18"/>
  <c r="N660" i="18"/>
  <c r="L660" i="18"/>
  <c r="L657" i="18" s="1"/>
  <c r="L655" i="18" s="1"/>
  <c r="P659" i="18"/>
  <c r="O659" i="18"/>
  <c r="P658" i="18"/>
  <c r="N658" i="18"/>
  <c r="M658" i="18"/>
  <c r="L658" i="18"/>
  <c r="M657" i="18"/>
  <c r="P657" i="18" s="1"/>
  <c r="P656" i="18"/>
  <c r="N656" i="18"/>
  <c r="M656" i="18"/>
  <c r="L656" i="18"/>
  <c r="O656" i="18" s="1"/>
  <c r="M655" i="18"/>
  <c r="P655" i="18" s="1"/>
  <c r="K652" i="18"/>
  <c r="J652" i="18"/>
  <c r="J651" i="18"/>
  <c r="I651" i="18"/>
  <c r="I628" i="18" s="1"/>
  <c r="K650" i="18"/>
  <c r="J650" i="18"/>
  <c r="J649" i="18"/>
  <c r="I649" i="18"/>
  <c r="K648" i="18"/>
  <c r="J648" i="18"/>
  <c r="J647" i="18"/>
  <c r="I647" i="18"/>
  <c r="K646" i="18"/>
  <c r="J646" i="18"/>
  <c r="K645" i="18"/>
  <c r="J645" i="18"/>
  <c r="I644" i="18"/>
  <c r="K644" i="18" s="1"/>
  <c r="I643" i="18"/>
  <c r="K643" i="18" s="1"/>
  <c r="P641" i="18"/>
  <c r="L641" i="18"/>
  <c r="P640" i="18"/>
  <c r="O640" i="18"/>
  <c r="P639" i="18"/>
  <c r="N639" i="18"/>
  <c r="M639" i="18"/>
  <c r="L639" i="18"/>
  <c r="O639" i="18" s="1"/>
  <c r="P634" i="18"/>
  <c r="N634" i="18"/>
  <c r="L634" i="18"/>
  <c r="L632" i="18" s="1"/>
  <c r="P633" i="18"/>
  <c r="O633" i="18"/>
  <c r="P632" i="18"/>
  <c r="N632" i="18"/>
  <c r="M632" i="18"/>
  <c r="N631" i="18"/>
  <c r="M631" i="18"/>
  <c r="P630" i="18"/>
  <c r="N630" i="18"/>
  <c r="M630" i="18"/>
  <c r="L630" i="18"/>
  <c r="N629" i="18"/>
  <c r="J621" i="18"/>
  <c r="I621" i="18"/>
  <c r="K621" i="18" s="1"/>
  <c r="J620" i="18"/>
  <c r="I620" i="18"/>
  <c r="K620" i="18" s="1"/>
  <c r="K613" i="18"/>
  <c r="J613" i="18"/>
  <c r="K612" i="18"/>
  <c r="J612" i="18"/>
  <c r="K611" i="18"/>
  <c r="J611" i="18"/>
  <c r="J604" i="18"/>
  <c r="J603" i="18"/>
  <c r="J593" i="18" s="1"/>
  <c r="J592" i="18" s="1"/>
  <c r="J596" i="18"/>
  <c r="J594" i="18" s="1"/>
  <c r="J595" i="18"/>
  <c r="I594" i="18"/>
  <c r="I593" i="18"/>
  <c r="I592" i="18" s="1"/>
  <c r="J583" i="18"/>
  <c r="J577" i="18" s="1"/>
  <c r="J582" i="18"/>
  <c r="J576" i="18" s="1"/>
  <c r="J559" i="18" s="1"/>
  <c r="I577" i="18"/>
  <c r="I576" i="18"/>
  <c r="I559" i="18" s="1"/>
  <c r="I543" i="18" s="1"/>
  <c r="J569" i="18"/>
  <c r="I569" i="18"/>
  <c r="K569" i="18" s="1"/>
  <c r="J568" i="18"/>
  <c r="I568" i="18"/>
  <c r="K568" i="18" s="1"/>
  <c r="J561" i="18"/>
  <c r="I561" i="18"/>
  <c r="K561" i="18" s="1"/>
  <c r="J560" i="18"/>
  <c r="I560" i="18"/>
  <c r="K560" i="18" s="1"/>
  <c r="P557" i="18"/>
  <c r="L557" i="18"/>
  <c r="O557" i="18" s="1"/>
  <c r="P556" i="18"/>
  <c r="O556" i="18"/>
  <c r="P555" i="18"/>
  <c r="N555" i="18"/>
  <c r="N545" i="18" s="1"/>
  <c r="M555" i="18"/>
  <c r="P549" i="18"/>
  <c r="N549" i="18"/>
  <c r="L549" i="18"/>
  <c r="O549" i="18" s="1"/>
  <c r="P548" i="18"/>
  <c r="O548" i="18"/>
  <c r="N547" i="18"/>
  <c r="M547" i="18"/>
  <c r="P547" i="18" s="1"/>
  <c r="N546" i="18"/>
  <c r="M546" i="18"/>
  <c r="P546" i="18" s="1"/>
  <c r="P545" i="18"/>
  <c r="M545" i="18"/>
  <c r="L545" i="18"/>
  <c r="I542" i="18"/>
  <c r="K542" i="18" s="1"/>
  <c r="I541" i="18"/>
  <c r="K541" i="18" s="1"/>
  <c r="I540" i="18"/>
  <c r="K540" i="18" s="1"/>
  <c r="I539" i="18"/>
  <c r="K539" i="18" s="1"/>
  <c r="I538" i="18"/>
  <c r="I537" i="18"/>
  <c r="I522" i="18" s="1"/>
  <c r="P535" i="18"/>
  <c r="L535" i="18"/>
  <c r="P534" i="18"/>
  <c r="O534" i="18"/>
  <c r="P533" i="18"/>
  <c r="N533" i="18"/>
  <c r="M533" i="18"/>
  <c r="L533" i="18"/>
  <c r="O533" i="18" s="1"/>
  <c r="P528" i="18"/>
  <c r="N528" i="18"/>
  <c r="L528" i="18"/>
  <c r="O528" i="18" s="1"/>
  <c r="P527" i="18"/>
  <c r="O527" i="18"/>
  <c r="P526" i="18"/>
  <c r="N526" i="18"/>
  <c r="M526" i="18"/>
  <c r="P525" i="18"/>
  <c r="N525" i="18"/>
  <c r="M525" i="18"/>
  <c r="O524" i="18"/>
  <c r="N524" i="18"/>
  <c r="N523" i="18" s="1"/>
  <c r="M524" i="18"/>
  <c r="L524" i="18"/>
  <c r="K517" i="18"/>
  <c r="J517" i="18"/>
  <c r="K516" i="18"/>
  <c r="P514" i="18"/>
  <c r="O514" i="18"/>
  <c r="P513" i="18"/>
  <c r="O513" i="18"/>
  <c r="O512" i="18"/>
  <c r="N512" i="18"/>
  <c r="M512" i="18"/>
  <c r="P512" i="18" s="1"/>
  <c r="L512" i="18"/>
  <c r="P507" i="18"/>
  <c r="O507" i="18"/>
  <c r="N507" i="18"/>
  <c r="P506" i="18"/>
  <c r="O506" i="18"/>
  <c r="O505" i="18"/>
  <c r="M505" i="18"/>
  <c r="P505" i="18" s="1"/>
  <c r="L505" i="18"/>
  <c r="P504" i="18"/>
  <c r="M504" i="18"/>
  <c r="L504" i="18"/>
  <c r="O504" i="18" s="1"/>
  <c r="O503" i="18"/>
  <c r="N503" i="18"/>
  <c r="M503" i="18"/>
  <c r="P503" i="18" s="1"/>
  <c r="L503" i="18"/>
  <c r="M502" i="18"/>
  <c r="P502" i="18" s="1"/>
  <c r="L502" i="18"/>
  <c r="O502" i="18" s="1"/>
  <c r="K501" i="18"/>
  <c r="J501" i="18"/>
  <c r="K500" i="18"/>
  <c r="J500" i="18"/>
  <c r="I498" i="18"/>
  <c r="K498" i="18" s="1"/>
  <c r="I495" i="18"/>
  <c r="K495" i="18" s="1"/>
  <c r="I492" i="18"/>
  <c r="K492" i="18" s="1"/>
  <c r="I489" i="18"/>
  <c r="K489" i="18" s="1"/>
  <c r="I487" i="18"/>
  <c r="K487" i="18" s="1"/>
  <c r="I485" i="18"/>
  <c r="K485" i="18" s="1"/>
  <c r="I483" i="18"/>
  <c r="K483" i="18" s="1"/>
  <c r="P479" i="18"/>
  <c r="L479" i="18"/>
  <c r="P478" i="18"/>
  <c r="O478" i="18"/>
  <c r="P477" i="18"/>
  <c r="N477" i="18"/>
  <c r="M477" i="18"/>
  <c r="L477" i="18"/>
  <c r="O477" i="18" s="1"/>
  <c r="P472" i="18"/>
  <c r="N472" i="18"/>
  <c r="N469" i="18" s="1"/>
  <c r="N467" i="18" s="1"/>
  <c r="L472" i="18"/>
  <c r="P471" i="18"/>
  <c r="O471" i="18"/>
  <c r="M470" i="18"/>
  <c r="P470" i="18" s="1"/>
  <c r="M469" i="18"/>
  <c r="O468" i="18"/>
  <c r="N468" i="18"/>
  <c r="M468" i="18"/>
  <c r="P468" i="18" s="1"/>
  <c r="L468" i="18"/>
  <c r="J466" i="18"/>
  <c r="I466" i="18"/>
  <c r="K466" i="18" s="1"/>
  <c r="J465" i="18"/>
  <c r="I465" i="18"/>
  <c r="K465" i="18" s="1"/>
  <c r="I464" i="18"/>
  <c r="I463" i="18"/>
  <c r="I462" i="18"/>
  <c r="I460" i="18"/>
  <c r="K460" i="18" s="1"/>
  <c r="K458" i="18"/>
  <c r="P456" i="18"/>
  <c r="L456" i="18"/>
  <c r="L454" i="18" s="1"/>
  <c r="O454" i="18" s="1"/>
  <c r="P455" i="18"/>
  <c r="O455" i="18"/>
  <c r="P454" i="18"/>
  <c r="N454" i="18"/>
  <c r="M454" i="18"/>
  <c r="P449" i="18"/>
  <c r="N449" i="18"/>
  <c r="L449" i="18"/>
  <c r="O449" i="18" s="1"/>
  <c r="P448" i="18"/>
  <c r="O448" i="18"/>
  <c r="P447" i="18"/>
  <c r="N447" i="18"/>
  <c r="M447" i="18"/>
  <c r="P446" i="18"/>
  <c r="N446" i="18"/>
  <c r="M446" i="18"/>
  <c r="N445" i="18"/>
  <c r="M445" i="18"/>
  <c r="L445" i="18"/>
  <c r="O445" i="18" s="1"/>
  <c r="J443" i="18"/>
  <c r="J442" i="18"/>
  <c r="I441" i="18"/>
  <c r="K441" i="18" s="1"/>
  <c r="I440" i="18"/>
  <c r="I439" i="18"/>
  <c r="K439" i="18" s="1"/>
  <c r="I438" i="18"/>
  <c r="K438" i="18" s="1"/>
  <c r="I437" i="18"/>
  <c r="K437" i="18" s="1"/>
  <c r="I435" i="18"/>
  <c r="I433" i="18" s="1"/>
  <c r="J434" i="18"/>
  <c r="P431" i="18"/>
  <c r="L431" i="18"/>
  <c r="P430" i="18"/>
  <c r="O430" i="18"/>
  <c r="N429" i="18"/>
  <c r="M429" i="18"/>
  <c r="P429" i="18" s="1"/>
  <c r="P424" i="18"/>
  <c r="N424" i="18"/>
  <c r="L424" i="18"/>
  <c r="L422" i="18" s="1"/>
  <c r="P423" i="18"/>
  <c r="O423" i="18"/>
  <c r="P422" i="18"/>
  <c r="N422" i="18"/>
  <c r="M422" i="18"/>
  <c r="M421" i="18"/>
  <c r="P421" i="18" s="1"/>
  <c r="P420" i="18"/>
  <c r="O420" i="18"/>
  <c r="N420" i="18"/>
  <c r="M420" i="18"/>
  <c r="L420" i="18"/>
  <c r="J418" i="18"/>
  <c r="K413" i="18"/>
  <c r="K412" i="18"/>
  <c r="N410" i="18"/>
  <c r="N408" i="18" s="1"/>
  <c r="M410" i="18"/>
  <c r="P410" i="18" s="1"/>
  <c r="L410" i="18"/>
  <c r="O410" i="18" s="1"/>
  <c r="P409" i="18"/>
  <c r="O409" i="18"/>
  <c r="N407" i="18"/>
  <c r="M407" i="18"/>
  <c r="P407" i="18" s="1"/>
  <c r="L407" i="18"/>
  <c r="L405" i="18" s="1"/>
  <c r="O405" i="18" s="1"/>
  <c r="P406" i="18"/>
  <c r="O406" i="18"/>
  <c r="P403" i="18"/>
  <c r="N403" i="18"/>
  <c r="M403" i="18"/>
  <c r="L403" i="18"/>
  <c r="O403" i="18" s="1"/>
  <c r="J401" i="18"/>
  <c r="I401" i="18"/>
  <c r="K401" i="18" s="1"/>
  <c r="K400" i="18"/>
  <c r="K399" i="18"/>
  <c r="N397" i="18"/>
  <c r="N395" i="18" s="1"/>
  <c r="M397" i="18"/>
  <c r="M395" i="18" s="1"/>
  <c r="P395" i="18" s="1"/>
  <c r="L397" i="18"/>
  <c r="O397" i="18" s="1"/>
  <c r="P396" i="18"/>
  <c r="O396" i="18"/>
  <c r="N394" i="18"/>
  <c r="N392" i="18" s="1"/>
  <c r="M394" i="18"/>
  <c r="M392" i="18" s="1"/>
  <c r="P392" i="18" s="1"/>
  <c r="L394" i="18"/>
  <c r="P393" i="18"/>
  <c r="O393" i="18"/>
  <c r="N390" i="18"/>
  <c r="M390" i="18"/>
  <c r="L390" i="18"/>
  <c r="O390" i="18" s="1"/>
  <c r="K388" i="18"/>
  <c r="J388" i="18"/>
  <c r="I388" i="18"/>
  <c r="J385" i="18"/>
  <c r="I385" i="18"/>
  <c r="K382" i="18"/>
  <c r="J382" i="18"/>
  <c r="J381" i="18"/>
  <c r="I381" i="18"/>
  <c r="K380" i="18"/>
  <c r="J380" i="18"/>
  <c r="J379" i="18"/>
  <c r="I379" i="18"/>
  <c r="J378" i="18"/>
  <c r="I378" i="18"/>
  <c r="K377" i="18"/>
  <c r="J377" i="18"/>
  <c r="I374" i="18"/>
  <c r="K373" i="18"/>
  <c r="J373" i="18"/>
  <c r="J372" i="18"/>
  <c r="I372" i="18"/>
  <c r="K371" i="18"/>
  <c r="J371" i="18"/>
  <c r="J370" i="18"/>
  <c r="I370" i="18"/>
  <c r="J369" i="18"/>
  <c r="I369" i="18"/>
  <c r="K368" i="18"/>
  <c r="J368" i="18"/>
  <c r="I365" i="18"/>
  <c r="K363" i="18"/>
  <c r="J363" i="18"/>
  <c r="J362" i="18"/>
  <c r="I362" i="18"/>
  <c r="K361" i="18"/>
  <c r="J361" i="18"/>
  <c r="J360" i="18"/>
  <c r="I360" i="18"/>
  <c r="J359" i="18"/>
  <c r="I359" i="18"/>
  <c r="K358" i="18"/>
  <c r="J358" i="18"/>
  <c r="I355" i="18"/>
  <c r="N353" i="18"/>
  <c r="N351" i="18" s="1"/>
  <c r="M353" i="18"/>
  <c r="L353" i="18"/>
  <c r="P352" i="18"/>
  <c r="O352" i="18"/>
  <c r="N350" i="18"/>
  <c r="N348" i="18" s="1"/>
  <c r="M350" i="18"/>
  <c r="L350" i="18"/>
  <c r="L348" i="18" s="1"/>
  <c r="P349" i="18"/>
  <c r="O349" i="18"/>
  <c r="P346" i="18"/>
  <c r="N346" i="18"/>
  <c r="M346" i="18"/>
  <c r="L346" i="18"/>
  <c r="O346" i="18" s="1"/>
  <c r="J343" i="18"/>
  <c r="J342" i="18"/>
  <c r="J341" i="18"/>
  <c r="J340" i="18"/>
  <c r="I340" i="18"/>
  <c r="J338" i="18"/>
  <c r="I338" i="18"/>
  <c r="N336" i="18"/>
  <c r="N334" i="18" s="1"/>
  <c r="M336" i="18"/>
  <c r="M334" i="18" s="1"/>
  <c r="P334" i="18" s="1"/>
  <c r="L336" i="18"/>
  <c r="O336" i="18" s="1"/>
  <c r="P335" i="18"/>
  <c r="O335" i="18"/>
  <c r="N333" i="18"/>
  <c r="M333" i="18"/>
  <c r="L333" i="18"/>
  <c r="L331" i="18" s="1"/>
  <c r="P332" i="18"/>
  <c r="O332" i="18"/>
  <c r="O329" i="18"/>
  <c r="N329" i="18"/>
  <c r="M329" i="18"/>
  <c r="P329" i="18" s="1"/>
  <c r="L329" i="18"/>
  <c r="I327" i="18"/>
  <c r="I325" i="18"/>
  <c r="K325" i="18" s="1"/>
  <c r="N323" i="18"/>
  <c r="N321" i="18" s="1"/>
  <c r="M323" i="18"/>
  <c r="P323" i="18" s="1"/>
  <c r="L323" i="18"/>
  <c r="P322" i="18"/>
  <c r="O322" i="18"/>
  <c r="N320" i="18"/>
  <c r="M320" i="18"/>
  <c r="M318" i="18" s="1"/>
  <c r="L320" i="18"/>
  <c r="L318" i="18" s="1"/>
  <c r="P319" i="18"/>
  <c r="O319" i="18"/>
  <c r="P316" i="18"/>
  <c r="N316" i="18"/>
  <c r="M316" i="18"/>
  <c r="L316" i="18"/>
  <c r="J314" i="18"/>
  <c r="I312" i="18"/>
  <c r="K312" i="18" s="1"/>
  <c r="I311" i="18"/>
  <c r="K311" i="18" s="1"/>
  <c r="I310" i="18"/>
  <c r="K310" i="18" s="1"/>
  <c r="I309" i="18"/>
  <c r="N306" i="18"/>
  <c r="N304" i="18" s="1"/>
  <c r="M306" i="18"/>
  <c r="P306" i="18" s="1"/>
  <c r="L306" i="18"/>
  <c r="O306" i="18" s="1"/>
  <c r="P305" i="18"/>
  <c r="O305" i="18"/>
  <c r="N303" i="18"/>
  <c r="M303" i="18"/>
  <c r="P303" i="18" s="1"/>
  <c r="L303" i="18"/>
  <c r="P302" i="18"/>
  <c r="O302" i="18"/>
  <c r="P299" i="18"/>
  <c r="N299" i="18"/>
  <c r="M299" i="18"/>
  <c r="L299" i="18"/>
  <c r="O299" i="18" s="1"/>
  <c r="J297" i="18"/>
  <c r="I294" i="18"/>
  <c r="K294" i="18" s="1"/>
  <c r="I293" i="18"/>
  <c r="K293" i="18" s="1"/>
  <c r="I291" i="18"/>
  <c r="K291" i="18" s="1"/>
  <c r="I290" i="18"/>
  <c r="K290" i="18" s="1"/>
  <c r="I288" i="18"/>
  <c r="I287" i="18"/>
  <c r="K287" i="18" s="1"/>
  <c r="N285" i="18"/>
  <c r="N283" i="18" s="1"/>
  <c r="M285" i="18"/>
  <c r="P285" i="18" s="1"/>
  <c r="L285" i="18"/>
  <c r="P284" i="18"/>
  <c r="O284" i="18"/>
  <c r="N282" i="18"/>
  <c r="N280" i="18" s="1"/>
  <c r="M282" i="18"/>
  <c r="M280" i="18" s="1"/>
  <c r="L282" i="18"/>
  <c r="L280" i="18" s="1"/>
  <c r="P281" i="18"/>
  <c r="O281" i="18"/>
  <c r="O278" i="18"/>
  <c r="N278" i="18"/>
  <c r="M278" i="18"/>
  <c r="L278" i="18"/>
  <c r="J276" i="18"/>
  <c r="I271" i="18"/>
  <c r="K271" i="18" s="1"/>
  <c r="N269" i="18"/>
  <c r="N267" i="18" s="1"/>
  <c r="M269" i="18"/>
  <c r="L269" i="18"/>
  <c r="O269" i="18" s="1"/>
  <c r="P268" i="18"/>
  <c r="O268" i="18"/>
  <c r="N266" i="18"/>
  <c r="M266" i="18"/>
  <c r="M264" i="18" s="1"/>
  <c r="P264" i="18" s="1"/>
  <c r="L266" i="18"/>
  <c r="L264" i="18" s="1"/>
  <c r="P265" i="18"/>
  <c r="O265" i="18"/>
  <c r="P262" i="18"/>
  <c r="O262" i="18"/>
  <c r="N262" i="18"/>
  <c r="M262" i="18"/>
  <c r="L262" i="18"/>
  <c r="J260" i="18"/>
  <c r="K258" i="18"/>
  <c r="K257" i="18"/>
  <c r="I255" i="18"/>
  <c r="L253" i="18"/>
  <c r="L252" i="18"/>
  <c r="L251" i="18"/>
  <c r="L250" i="18"/>
  <c r="P249" i="18"/>
  <c r="N249" i="18"/>
  <c r="J248" i="18"/>
  <c r="J226" i="18" s="1"/>
  <c r="J180" i="18" s="1"/>
  <c r="K247" i="18"/>
  <c r="K246" i="18"/>
  <c r="I244" i="18"/>
  <c r="L242" i="18"/>
  <c r="L241" i="18"/>
  <c r="L240" i="18"/>
  <c r="L239" i="18"/>
  <c r="P238" i="18"/>
  <c r="N238" i="18"/>
  <c r="J237" i="18"/>
  <c r="J236" i="18"/>
  <c r="K236" i="18" s="1"/>
  <c r="I236" i="18"/>
  <c r="J235" i="18"/>
  <c r="I235" i="18"/>
  <c r="K235" i="18" s="1"/>
  <c r="J233" i="18"/>
  <c r="N231" i="18"/>
  <c r="N230" i="18"/>
  <c r="N229" i="18"/>
  <c r="N228" i="18"/>
  <c r="N227" i="18"/>
  <c r="I225" i="18"/>
  <c r="K225" i="18" s="1"/>
  <c r="I224" i="18"/>
  <c r="K224" i="18" s="1"/>
  <c r="I223" i="18"/>
  <c r="K223" i="18" s="1"/>
  <c r="L220" i="18"/>
  <c r="L219" i="18"/>
  <c r="L218" i="18"/>
  <c r="P217" i="18"/>
  <c r="N217" i="18"/>
  <c r="J216" i="18"/>
  <c r="I215" i="18"/>
  <c r="I214" i="18"/>
  <c r="K214" i="18" s="1"/>
  <c r="L212" i="18"/>
  <c r="L211" i="18"/>
  <c r="L210" i="18"/>
  <c r="P209" i="18"/>
  <c r="N209" i="18"/>
  <c r="J208" i="18"/>
  <c r="K207" i="18"/>
  <c r="K206" i="18"/>
  <c r="I204" i="18"/>
  <c r="K204" i="18" s="1"/>
  <c r="L202" i="18"/>
  <c r="L201" i="18"/>
  <c r="L200" i="18"/>
  <c r="L199" i="18"/>
  <c r="P198" i="18"/>
  <c r="N198" i="18"/>
  <c r="J197" i="18"/>
  <c r="J194" i="18"/>
  <c r="I193" i="18"/>
  <c r="K193" i="18" s="1"/>
  <c r="P191" i="18"/>
  <c r="L191" i="18"/>
  <c r="O191" i="18" s="1"/>
  <c r="J190" i="18"/>
  <c r="N189" i="18"/>
  <c r="N187" i="18" s="1"/>
  <c r="M189" i="18"/>
  <c r="L189" i="18"/>
  <c r="P188" i="18"/>
  <c r="O188" i="18"/>
  <c r="N186" i="18"/>
  <c r="M186" i="18"/>
  <c r="L186" i="18"/>
  <c r="L184" i="18" s="1"/>
  <c r="P185" i="18"/>
  <c r="O185" i="18"/>
  <c r="P182" i="18"/>
  <c r="N182" i="18"/>
  <c r="M182" i="18"/>
  <c r="L182" i="18"/>
  <c r="O182" i="18" s="1"/>
  <c r="J177" i="18"/>
  <c r="I176" i="18"/>
  <c r="I174" i="18" s="1"/>
  <c r="J174" i="18"/>
  <c r="N173" i="18"/>
  <c r="N171" i="18" s="1"/>
  <c r="M173" i="18"/>
  <c r="P173" i="18" s="1"/>
  <c r="L173" i="18"/>
  <c r="L171" i="18" s="1"/>
  <c r="O171" i="18" s="1"/>
  <c r="P172" i="18"/>
  <c r="O172" i="18"/>
  <c r="N170" i="18"/>
  <c r="M170" i="18"/>
  <c r="M168" i="18" s="1"/>
  <c r="L170" i="18"/>
  <c r="L168" i="18" s="1"/>
  <c r="P169" i="18"/>
  <c r="O169" i="18"/>
  <c r="P166" i="18"/>
  <c r="N166" i="18"/>
  <c r="M166" i="18"/>
  <c r="L166" i="18"/>
  <c r="O166" i="18" s="1"/>
  <c r="J164" i="18"/>
  <c r="I159" i="18"/>
  <c r="N157" i="18"/>
  <c r="N155" i="18" s="1"/>
  <c r="M157" i="18"/>
  <c r="M155" i="18" s="1"/>
  <c r="P155" i="18" s="1"/>
  <c r="L157" i="18"/>
  <c r="O157" i="18" s="1"/>
  <c r="P156" i="18"/>
  <c r="O156" i="18"/>
  <c r="N154" i="18"/>
  <c r="N152" i="18" s="1"/>
  <c r="M154" i="18"/>
  <c r="M152" i="18" s="1"/>
  <c r="P152" i="18" s="1"/>
  <c r="L154" i="18"/>
  <c r="P153" i="18"/>
  <c r="O153" i="18"/>
  <c r="N150" i="18"/>
  <c r="M150" i="18"/>
  <c r="P150" i="18" s="1"/>
  <c r="L150" i="18"/>
  <c r="O150" i="18" s="1"/>
  <c r="J148" i="18"/>
  <c r="I146" i="18"/>
  <c r="I130" i="18" s="1"/>
  <c r="K130" i="18" s="1"/>
  <c r="I145" i="18"/>
  <c r="K145" i="18" s="1"/>
  <c r="I144" i="18"/>
  <c r="K144" i="18" s="1"/>
  <c r="N140" i="18"/>
  <c r="N138" i="18" s="1"/>
  <c r="M140" i="18"/>
  <c r="P140" i="18" s="1"/>
  <c r="L140" i="18"/>
  <c r="O140" i="18" s="1"/>
  <c r="P139" i="18"/>
  <c r="O139" i="18"/>
  <c r="N137" i="18"/>
  <c r="N135" i="18" s="1"/>
  <c r="M137" i="18"/>
  <c r="P137" i="18" s="1"/>
  <c r="L137" i="18"/>
  <c r="O137" i="18" s="1"/>
  <c r="P136" i="18"/>
  <c r="O136" i="18"/>
  <c r="P133" i="18"/>
  <c r="N133" i="18"/>
  <c r="M133" i="18"/>
  <c r="L133" i="18"/>
  <c r="O133" i="18" s="1"/>
  <c r="J130" i="18"/>
  <c r="N127" i="18"/>
  <c r="N125" i="18" s="1"/>
  <c r="M127" i="18"/>
  <c r="M125" i="18" s="1"/>
  <c r="L127" i="18"/>
  <c r="L125" i="18" s="1"/>
  <c r="P126" i="18"/>
  <c r="O126" i="18"/>
  <c r="N124" i="18"/>
  <c r="M124" i="18"/>
  <c r="P124" i="18" s="1"/>
  <c r="L124" i="18"/>
  <c r="L122" i="18" s="1"/>
  <c r="O122" i="18" s="1"/>
  <c r="P123" i="18"/>
  <c r="O123" i="18"/>
  <c r="O120" i="18"/>
  <c r="N120" i="18"/>
  <c r="M120" i="18"/>
  <c r="P120" i="18" s="1"/>
  <c r="L120" i="18"/>
  <c r="I116" i="18"/>
  <c r="I115" i="18"/>
  <c r="K115" i="18" s="1"/>
  <c r="I114" i="18"/>
  <c r="K114" i="18" s="1"/>
  <c r="I113" i="18"/>
  <c r="K113" i="18" s="1"/>
  <c r="J112" i="18"/>
  <c r="J111" i="18"/>
  <c r="I111" i="18"/>
  <c r="K111" i="18" s="1"/>
  <c r="I110" i="18"/>
  <c r="K110" i="18" s="1"/>
  <c r="I109" i="18"/>
  <c r="K109" i="18" s="1"/>
  <c r="I107" i="18"/>
  <c r="K107" i="18" s="1"/>
  <c r="I106" i="18"/>
  <c r="K106" i="18" s="1"/>
  <c r="I104" i="18"/>
  <c r="K104" i="18" s="1"/>
  <c r="I103" i="18"/>
  <c r="K103" i="18" s="1"/>
  <c r="I102" i="18"/>
  <c r="K102" i="18" s="1"/>
  <c r="J100" i="18"/>
  <c r="I100" i="18"/>
  <c r="K100" i="18" s="1"/>
  <c r="J99" i="18"/>
  <c r="I99" i="18"/>
  <c r="I87" i="18" s="1"/>
  <c r="K87" i="18" s="1"/>
  <c r="J98" i="18"/>
  <c r="J86" i="18" s="1"/>
  <c r="I98" i="18"/>
  <c r="I86" i="18" s="1"/>
  <c r="K86" i="18" s="1"/>
  <c r="N96" i="18"/>
  <c r="N94" i="18" s="1"/>
  <c r="M96" i="18"/>
  <c r="P96" i="18" s="1"/>
  <c r="L96" i="18"/>
  <c r="O96" i="18" s="1"/>
  <c r="P95" i="18"/>
  <c r="O95" i="18"/>
  <c r="N93" i="18"/>
  <c r="M93" i="18"/>
  <c r="L93" i="18"/>
  <c r="L91" i="18" s="1"/>
  <c r="P92" i="18"/>
  <c r="O92" i="18"/>
  <c r="O89" i="18"/>
  <c r="N89" i="18"/>
  <c r="M89" i="18"/>
  <c r="L89" i="18"/>
  <c r="J87" i="18"/>
  <c r="I84" i="18"/>
  <c r="K84" i="18" s="1"/>
  <c r="I83" i="18"/>
  <c r="K83" i="18" s="1"/>
  <c r="I82" i="18"/>
  <c r="K82" i="18" s="1"/>
  <c r="I81" i="18"/>
  <c r="K81" i="18" s="1"/>
  <c r="I80" i="18"/>
  <c r="K80" i="18" s="1"/>
  <c r="I79" i="18"/>
  <c r="I78" i="18"/>
  <c r="J77" i="18"/>
  <c r="J65" i="18" s="1"/>
  <c r="J76" i="18"/>
  <c r="N74" i="18"/>
  <c r="N72" i="18" s="1"/>
  <c r="M74" i="18"/>
  <c r="L74" i="18"/>
  <c r="O74" i="18" s="1"/>
  <c r="P73" i="18"/>
  <c r="O73" i="18"/>
  <c r="N71" i="18"/>
  <c r="M71" i="18"/>
  <c r="L71" i="18"/>
  <c r="P70" i="18"/>
  <c r="O70" i="18"/>
  <c r="P67" i="18"/>
  <c r="N67" i="18"/>
  <c r="M67" i="18"/>
  <c r="L67" i="18"/>
  <c r="J64" i="18"/>
  <c r="N61" i="18"/>
  <c r="M61" i="18"/>
  <c r="L61" i="18"/>
  <c r="L59" i="18" s="1"/>
  <c r="P60" i="18"/>
  <c r="O60" i="18"/>
  <c r="N58" i="18"/>
  <c r="M58" i="18"/>
  <c r="M56" i="18" s="1"/>
  <c r="L58" i="18"/>
  <c r="L56" i="18" s="1"/>
  <c r="P57" i="18"/>
  <c r="O57" i="18"/>
  <c r="O54" i="18"/>
  <c r="N54" i="18"/>
  <c r="M54" i="18"/>
  <c r="P54" i="18" s="1"/>
  <c r="L54" i="18"/>
  <c r="N49" i="18"/>
  <c r="N47" i="18" s="1"/>
  <c r="M49" i="18"/>
  <c r="L49" i="18"/>
  <c r="O49" i="18" s="1"/>
  <c r="P48" i="18"/>
  <c r="O48" i="18"/>
  <c r="N46" i="18"/>
  <c r="M46" i="18"/>
  <c r="M44" i="18" s="1"/>
  <c r="L46" i="18"/>
  <c r="P45" i="18"/>
  <c r="O45" i="18"/>
  <c r="P42" i="18"/>
  <c r="O42" i="18"/>
  <c r="N42" i="18"/>
  <c r="M42" i="18"/>
  <c r="L42" i="18"/>
  <c r="N36" i="18"/>
  <c r="M36" i="18"/>
  <c r="P36" i="18" s="1"/>
  <c r="P35" i="18"/>
  <c r="O35" i="18"/>
  <c r="N35" i="18"/>
  <c r="M35" i="18"/>
  <c r="M34" i="18" s="1"/>
  <c r="P34" i="18" s="1"/>
  <c r="L35" i="18"/>
  <c r="N34" i="18"/>
  <c r="N33" i="18"/>
  <c r="N30" i="18" s="1"/>
  <c r="M33" i="18"/>
  <c r="P33" i="18" s="1"/>
  <c r="N32" i="18"/>
  <c r="N29" i="18" s="1"/>
  <c r="N28" i="18" s="1"/>
  <c r="M32" i="18"/>
  <c r="P32" i="18" s="1"/>
  <c r="L32" i="18"/>
  <c r="O32" i="18" s="1"/>
  <c r="N25" i="18"/>
  <c r="N15" i="18" s="1"/>
  <c r="M25" i="18"/>
  <c r="P25" i="18" s="1"/>
  <c r="L25" i="18"/>
  <c r="O25" i="18" s="1"/>
  <c r="P22" i="18"/>
  <c r="O22" i="18"/>
  <c r="N22" i="18"/>
  <c r="M22" i="18"/>
  <c r="L22" i="18"/>
  <c r="N19" i="18"/>
  <c r="M19" i="18"/>
  <c r="P19" i="18" s="1"/>
  <c r="L19" i="18"/>
  <c r="O19" i="18" s="1"/>
  <c r="N12" i="18"/>
  <c r="M12" i="18"/>
  <c r="P12" i="18" s="1"/>
  <c r="L12" i="18"/>
  <c r="O12" i="18" s="1"/>
  <c r="J828" i="17"/>
  <c r="I828" i="17"/>
  <c r="J827" i="17"/>
  <c r="I827" i="17"/>
  <c r="J826" i="17"/>
  <c r="I826" i="17"/>
  <c r="J825" i="17"/>
  <c r="I825" i="17"/>
  <c r="J824" i="17"/>
  <c r="I824" i="17"/>
  <c r="J823" i="17"/>
  <c r="I823" i="17"/>
  <c r="J822" i="17"/>
  <c r="I822" i="17"/>
  <c r="J821" i="17"/>
  <c r="I821" i="17"/>
  <c r="P817" i="17"/>
  <c r="O817" i="17"/>
  <c r="P816" i="17"/>
  <c r="O816" i="17"/>
  <c r="O815" i="17"/>
  <c r="N815" i="17"/>
  <c r="M815" i="17"/>
  <c r="P815" i="17" s="1"/>
  <c r="L815" i="17"/>
  <c r="P810" i="17"/>
  <c r="O810" i="17"/>
  <c r="N810" i="17"/>
  <c r="P809" i="17"/>
  <c r="O809" i="17"/>
  <c r="O808" i="17"/>
  <c r="M808" i="17"/>
  <c r="P808" i="17" s="1"/>
  <c r="L808" i="17"/>
  <c r="P807" i="17"/>
  <c r="M807" i="17"/>
  <c r="L807" i="17"/>
  <c r="O806" i="17"/>
  <c r="N806" i="17"/>
  <c r="M806" i="17"/>
  <c r="P806" i="17" s="1"/>
  <c r="L806" i="17"/>
  <c r="P805" i="17"/>
  <c r="M805" i="17"/>
  <c r="K804" i="17"/>
  <c r="J804" i="17"/>
  <c r="K802" i="17"/>
  <c r="J801" i="17"/>
  <c r="J800" i="17"/>
  <c r="J785" i="17" s="1"/>
  <c r="I800" i="17"/>
  <c r="I785" i="17" s="1"/>
  <c r="K785" i="17" s="1"/>
  <c r="P798" i="17"/>
  <c r="O798" i="17"/>
  <c r="P797" i="17"/>
  <c r="O797" i="17"/>
  <c r="P796" i="17"/>
  <c r="N796" i="17"/>
  <c r="M796" i="17"/>
  <c r="L796" i="17"/>
  <c r="O796" i="17" s="1"/>
  <c r="P791" i="17"/>
  <c r="N791" i="17"/>
  <c r="L791" i="17"/>
  <c r="P790" i="17"/>
  <c r="O790" i="17"/>
  <c r="N789" i="17"/>
  <c r="M789" i="17"/>
  <c r="P789" i="17" s="1"/>
  <c r="P788" i="17"/>
  <c r="N788" i="17"/>
  <c r="M788" i="17"/>
  <c r="O787" i="17"/>
  <c r="N787" i="17"/>
  <c r="M787" i="17"/>
  <c r="P787" i="17" s="1"/>
  <c r="L787" i="17"/>
  <c r="P786" i="17"/>
  <c r="N786" i="17"/>
  <c r="M786" i="17"/>
  <c r="P782" i="17"/>
  <c r="O782" i="17"/>
  <c r="P781" i="17"/>
  <c r="O781" i="17"/>
  <c r="P780" i="17"/>
  <c r="N780" i="17"/>
  <c r="M780" i="17"/>
  <c r="L780" i="17"/>
  <c r="O780" i="17" s="1"/>
  <c r="P775" i="17"/>
  <c r="O775" i="17"/>
  <c r="N775" i="17"/>
  <c r="N772" i="17" s="1"/>
  <c r="N770" i="17" s="1"/>
  <c r="P774" i="17"/>
  <c r="O774" i="17"/>
  <c r="P773" i="17"/>
  <c r="N773" i="17"/>
  <c r="M773" i="17"/>
  <c r="L773" i="17"/>
  <c r="O773" i="17" s="1"/>
  <c r="O772" i="17"/>
  <c r="M772" i="17"/>
  <c r="L772" i="17"/>
  <c r="P771" i="17"/>
  <c r="N771" i="17"/>
  <c r="M771" i="17"/>
  <c r="L771" i="17"/>
  <c r="K769" i="17"/>
  <c r="J769" i="17"/>
  <c r="P766" i="17"/>
  <c r="O766" i="17"/>
  <c r="P765" i="17"/>
  <c r="O765" i="17"/>
  <c r="P764" i="17"/>
  <c r="N764" i="17"/>
  <c r="M764" i="17"/>
  <c r="L764" i="17"/>
  <c r="O764" i="17" s="1"/>
  <c r="P759" i="17"/>
  <c r="O759" i="17"/>
  <c r="N759" i="17"/>
  <c r="N756" i="17" s="1"/>
  <c r="N754" i="17" s="1"/>
  <c r="P758" i="17"/>
  <c r="O758" i="17"/>
  <c r="P757" i="17"/>
  <c r="N757" i="17"/>
  <c r="M757" i="17"/>
  <c r="L757" i="17"/>
  <c r="O757" i="17" s="1"/>
  <c r="O756" i="17"/>
  <c r="M756" i="17"/>
  <c r="L756" i="17"/>
  <c r="P755" i="17"/>
  <c r="N755" i="17"/>
  <c r="M755" i="17"/>
  <c r="L755" i="17"/>
  <c r="K753" i="17"/>
  <c r="J753" i="17"/>
  <c r="P749" i="17"/>
  <c r="O749" i="17"/>
  <c r="P748" i="17"/>
  <c r="O748" i="17"/>
  <c r="P747" i="17"/>
  <c r="N747" i="17"/>
  <c r="M747" i="17"/>
  <c r="L747" i="17"/>
  <c r="O747" i="17" s="1"/>
  <c r="P742" i="17"/>
  <c r="O742" i="17"/>
  <c r="N742" i="17"/>
  <c r="N739" i="17" s="1"/>
  <c r="N737" i="17" s="1"/>
  <c r="P741" i="17"/>
  <c r="O741" i="17"/>
  <c r="P740" i="17"/>
  <c r="N740" i="17"/>
  <c r="M740" i="17"/>
  <c r="L740" i="17"/>
  <c r="O740" i="17" s="1"/>
  <c r="O739" i="17"/>
  <c r="M739" i="17"/>
  <c r="L739" i="17"/>
  <c r="P738" i="17"/>
  <c r="N738" i="17"/>
  <c r="M738" i="17"/>
  <c r="L738" i="17"/>
  <c r="K736" i="17"/>
  <c r="J736" i="17"/>
  <c r="J729" i="17"/>
  <c r="I729" i="17"/>
  <c r="K729" i="17" s="1"/>
  <c r="J728" i="17"/>
  <c r="I728" i="17"/>
  <c r="K728" i="17" s="1"/>
  <c r="J727" i="17"/>
  <c r="J726" i="17"/>
  <c r="I726" i="17"/>
  <c r="K726" i="17" s="1"/>
  <c r="J725" i="17"/>
  <c r="I725" i="17"/>
  <c r="J724" i="17"/>
  <c r="J723" i="17"/>
  <c r="I723" i="17"/>
  <c r="I722" i="17"/>
  <c r="I721" i="17"/>
  <c r="J720" i="17"/>
  <c r="I720" i="17"/>
  <c r="J719" i="17"/>
  <c r="J718" i="17"/>
  <c r="J708" i="17"/>
  <c r="I708" i="17"/>
  <c r="I707" i="17"/>
  <c r="I704" i="17"/>
  <c r="J701" i="17"/>
  <c r="I701" i="17"/>
  <c r="J700" i="17"/>
  <c r="I700" i="17"/>
  <c r="J699" i="17"/>
  <c r="I699" i="17"/>
  <c r="P697" i="17"/>
  <c r="O697" i="17"/>
  <c r="P696" i="17"/>
  <c r="O696" i="17"/>
  <c r="P695" i="17"/>
  <c r="N695" i="17"/>
  <c r="M695" i="17"/>
  <c r="L695" i="17"/>
  <c r="O695" i="17" s="1"/>
  <c r="P690" i="17"/>
  <c r="N690" i="17"/>
  <c r="N688" i="17" s="1"/>
  <c r="L690" i="17"/>
  <c r="L688" i="17" s="1"/>
  <c r="O688" i="17" s="1"/>
  <c r="M688" i="17"/>
  <c r="P688" i="17" s="1"/>
  <c r="P687" i="17"/>
  <c r="N687" i="17"/>
  <c r="M687" i="17"/>
  <c r="O686" i="17"/>
  <c r="N686" i="17"/>
  <c r="M686" i="17"/>
  <c r="P686" i="17" s="1"/>
  <c r="L686" i="17"/>
  <c r="P685" i="17"/>
  <c r="N685" i="17"/>
  <c r="M685" i="17"/>
  <c r="J679" i="17"/>
  <c r="J678" i="17"/>
  <c r="I678" i="17"/>
  <c r="K678" i="17" s="1"/>
  <c r="J675" i="17"/>
  <c r="J669" i="17" s="1"/>
  <c r="J654" i="17" s="1"/>
  <c r="I671" i="17"/>
  <c r="K671" i="17" s="1"/>
  <c r="I670" i="17"/>
  <c r="K670" i="17" s="1"/>
  <c r="I669" i="17"/>
  <c r="K672" i="17" s="1"/>
  <c r="P667" i="17"/>
  <c r="O667" i="17"/>
  <c r="P666" i="17"/>
  <c r="O666" i="17"/>
  <c r="O665" i="17"/>
  <c r="N665" i="17"/>
  <c r="M665" i="17"/>
  <c r="P665" i="17" s="1"/>
  <c r="L665" i="17"/>
  <c r="P660" i="17"/>
  <c r="N660" i="17"/>
  <c r="N657" i="17" s="1"/>
  <c r="L660" i="17"/>
  <c r="O660" i="17" s="1"/>
  <c r="P659" i="17"/>
  <c r="O659" i="17"/>
  <c r="P658" i="17"/>
  <c r="N658" i="17"/>
  <c r="M658" i="17"/>
  <c r="M657" i="17"/>
  <c r="P657" i="17" s="1"/>
  <c r="P656" i="17"/>
  <c r="N656" i="17"/>
  <c r="M656" i="17"/>
  <c r="L656" i="17"/>
  <c r="M655" i="17"/>
  <c r="P655" i="17" s="1"/>
  <c r="K652" i="17"/>
  <c r="J652" i="17"/>
  <c r="J651" i="17"/>
  <c r="J628" i="17" s="1"/>
  <c r="I651" i="17"/>
  <c r="I628" i="17" s="1"/>
  <c r="K650" i="17"/>
  <c r="J650" i="17"/>
  <c r="J649" i="17"/>
  <c r="I649" i="17"/>
  <c r="K648" i="17"/>
  <c r="J648" i="17"/>
  <c r="J647" i="17"/>
  <c r="I647" i="17"/>
  <c r="K646" i="17"/>
  <c r="J646" i="17"/>
  <c r="K645" i="17"/>
  <c r="J645" i="17"/>
  <c r="I644" i="17"/>
  <c r="K644" i="17" s="1"/>
  <c r="I643" i="17"/>
  <c r="K643" i="17" s="1"/>
  <c r="P641" i="17"/>
  <c r="L641" i="17"/>
  <c r="P640" i="17"/>
  <c r="O640" i="17"/>
  <c r="N639" i="17"/>
  <c r="M639" i="17"/>
  <c r="P639" i="17" s="1"/>
  <c r="P634" i="17"/>
  <c r="N634" i="17"/>
  <c r="L634" i="17"/>
  <c r="O634" i="17" s="1"/>
  <c r="P633" i="17"/>
  <c r="O633" i="17"/>
  <c r="P632" i="17"/>
  <c r="N632" i="17"/>
  <c r="M632" i="17"/>
  <c r="N631" i="17"/>
  <c r="M631" i="17"/>
  <c r="P631" i="17" s="1"/>
  <c r="P630" i="17"/>
  <c r="N630" i="17"/>
  <c r="N629" i="17" s="1"/>
  <c r="M630" i="17"/>
  <c r="L630" i="17"/>
  <c r="O630" i="17" s="1"/>
  <c r="M629" i="17"/>
  <c r="P629" i="17" s="1"/>
  <c r="J621" i="17"/>
  <c r="I621" i="17"/>
  <c r="K621" i="17" s="1"/>
  <c r="J620" i="17"/>
  <c r="I620" i="17"/>
  <c r="K620" i="17" s="1"/>
  <c r="K613" i="17"/>
  <c r="J613" i="17"/>
  <c r="K612" i="17"/>
  <c r="J612" i="17"/>
  <c r="K611" i="17"/>
  <c r="J611" i="17"/>
  <c r="J604" i="17"/>
  <c r="J603" i="17"/>
  <c r="J593" i="17" s="1"/>
  <c r="J592" i="17" s="1"/>
  <c r="J596" i="17"/>
  <c r="J595" i="17"/>
  <c r="J594" i="17"/>
  <c r="I594" i="17"/>
  <c r="K594" i="17" s="1"/>
  <c r="I593" i="17"/>
  <c r="I592" i="17" s="1"/>
  <c r="K592" i="17" s="1"/>
  <c r="J583" i="17"/>
  <c r="J577" i="17" s="1"/>
  <c r="J582" i="17"/>
  <c r="I577" i="17"/>
  <c r="K577" i="17" s="1"/>
  <c r="J576" i="17"/>
  <c r="J559" i="17" s="1"/>
  <c r="J543" i="17" s="1"/>
  <c r="I576" i="17"/>
  <c r="K576" i="17" s="1"/>
  <c r="J569" i="17"/>
  <c r="I569" i="17"/>
  <c r="K569" i="17" s="1"/>
  <c r="J568" i="17"/>
  <c r="I568" i="17"/>
  <c r="K568" i="17" s="1"/>
  <c r="J561" i="17"/>
  <c r="I561" i="17"/>
  <c r="K561" i="17" s="1"/>
  <c r="J560" i="17"/>
  <c r="I560" i="17"/>
  <c r="K560" i="17" s="1"/>
  <c r="P557" i="17"/>
  <c r="L557" i="17"/>
  <c r="L555" i="17" s="1"/>
  <c r="O555" i="17" s="1"/>
  <c r="P556" i="17"/>
  <c r="O556" i="17"/>
  <c r="P555" i="17"/>
  <c r="N555" i="17"/>
  <c r="N545" i="17" s="1"/>
  <c r="M555" i="17"/>
  <c r="P549" i="17"/>
  <c r="N549" i="17"/>
  <c r="L549" i="17"/>
  <c r="L547" i="17" s="1"/>
  <c r="O547" i="17" s="1"/>
  <c r="P548" i="17"/>
  <c r="O548" i="17"/>
  <c r="N547" i="17"/>
  <c r="M547" i="17"/>
  <c r="P547" i="17" s="1"/>
  <c r="P546" i="17"/>
  <c r="N546" i="17"/>
  <c r="M546" i="17"/>
  <c r="O545" i="17"/>
  <c r="M545" i="17"/>
  <c r="L545" i="17"/>
  <c r="I542" i="17"/>
  <c r="K542" i="17" s="1"/>
  <c r="I541" i="17"/>
  <c r="K541" i="17" s="1"/>
  <c r="I540" i="17"/>
  <c r="K540" i="17" s="1"/>
  <c r="I539" i="17"/>
  <c r="K539" i="17" s="1"/>
  <c r="I538" i="17"/>
  <c r="K538" i="17" s="1"/>
  <c r="I537" i="17"/>
  <c r="I522" i="17" s="1"/>
  <c r="K522" i="17" s="1"/>
  <c r="P535" i="17"/>
  <c r="L535" i="17"/>
  <c r="O535" i="17" s="1"/>
  <c r="P534" i="17"/>
  <c r="O534" i="17"/>
  <c r="P533" i="17"/>
  <c r="N533" i="17"/>
  <c r="M533" i="17"/>
  <c r="P528" i="17"/>
  <c r="N528" i="17"/>
  <c r="L528" i="17"/>
  <c r="P527" i="17"/>
  <c r="O527" i="17"/>
  <c r="N526" i="17"/>
  <c r="M526" i="17"/>
  <c r="P526" i="17" s="1"/>
  <c r="P525" i="17"/>
  <c r="N525" i="17"/>
  <c r="M525" i="17"/>
  <c r="O524" i="17"/>
  <c r="N524" i="17"/>
  <c r="N523" i="17" s="1"/>
  <c r="M524" i="17"/>
  <c r="P524" i="17" s="1"/>
  <c r="L524" i="17"/>
  <c r="P523" i="17"/>
  <c r="M523" i="17"/>
  <c r="K517" i="17"/>
  <c r="J517" i="17"/>
  <c r="J501" i="17" s="1"/>
  <c r="K516" i="17"/>
  <c r="P514" i="17"/>
  <c r="O514" i="17"/>
  <c r="P513" i="17"/>
  <c r="O513" i="17"/>
  <c r="O512" i="17"/>
  <c r="N512" i="17"/>
  <c r="M512" i="17"/>
  <c r="P512" i="17" s="1"/>
  <c r="L512" i="17"/>
  <c r="P507" i="17"/>
  <c r="O507" i="17"/>
  <c r="N507" i="17"/>
  <c r="P506" i="17"/>
  <c r="O506" i="17"/>
  <c r="O505" i="17"/>
  <c r="N505" i="17"/>
  <c r="M505" i="17"/>
  <c r="P505" i="17" s="1"/>
  <c r="L505" i="17"/>
  <c r="P504" i="17"/>
  <c r="N504" i="17"/>
  <c r="M504" i="17"/>
  <c r="L504" i="17"/>
  <c r="O504" i="17" s="1"/>
  <c r="O503" i="17"/>
  <c r="N503" i="17"/>
  <c r="M503" i="17"/>
  <c r="M502" i="17" s="1"/>
  <c r="P502" i="17" s="1"/>
  <c r="L503" i="17"/>
  <c r="L502" i="17" s="1"/>
  <c r="O502" i="17" s="1"/>
  <c r="N502" i="17"/>
  <c r="K501" i="17"/>
  <c r="K500" i="17"/>
  <c r="J500" i="17"/>
  <c r="I498" i="17"/>
  <c r="K498" i="17" s="1"/>
  <c r="I495" i="17"/>
  <c r="K495" i="17" s="1"/>
  <c r="I492" i="17"/>
  <c r="K492" i="17" s="1"/>
  <c r="I489" i="17"/>
  <c r="K489" i="17" s="1"/>
  <c r="I487" i="17"/>
  <c r="K487" i="17" s="1"/>
  <c r="I485" i="17"/>
  <c r="K485" i="17" s="1"/>
  <c r="I483" i="17"/>
  <c r="K483" i="17" s="1"/>
  <c r="P479" i="17"/>
  <c r="L479" i="17"/>
  <c r="L477" i="17" s="1"/>
  <c r="O477" i="17" s="1"/>
  <c r="P478" i="17"/>
  <c r="O478" i="17"/>
  <c r="P477" i="17"/>
  <c r="N477" i="17"/>
  <c r="M477" i="17"/>
  <c r="P472" i="17"/>
  <c r="N472" i="17"/>
  <c r="L472" i="17"/>
  <c r="L470" i="17" s="1"/>
  <c r="P471" i="17"/>
  <c r="O471" i="17"/>
  <c r="N470" i="17"/>
  <c r="M470" i="17"/>
  <c r="P470" i="17" s="1"/>
  <c r="M469" i="17"/>
  <c r="P469" i="17" s="1"/>
  <c r="O468" i="17"/>
  <c r="N468" i="17"/>
  <c r="M468" i="17"/>
  <c r="M467" i="17" s="1"/>
  <c r="P467" i="17" s="1"/>
  <c r="L468" i="17"/>
  <c r="J466" i="17"/>
  <c r="I466" i="17"/>
  <c r="K466" i="17" s="1"/>
  <c r="J465" i="17"/>
  <c r="I465" i="17"/>
  <c r="K465" i="17" s="1"/>
  <c r="I464" i="17"/>
  <c r="I463" i="17"/>
  <c r="I462" i="17"/>
  <c r="K462" i="17" s="1"/>
  <c r="I460" i="17"/>
  <c r="K460" i="17" s="1"/>
  <c r="K458" i="17"/>
  <c r="P456" i="17"/>
  <c r="L456" i="17"/>
  <c r="P455" i="17"/>
  <c r="O455" i="17"/>
  <c r="P454" i="17"/>
  <c r="N454" i="17"/>
  <c r="M454" i="17"/>
  <c r="P449" i="17"/>
  <c r="N449" i="17"/>
  <c r="L449" i="17"/>
  <c r="O449" i="17" s="1"/>
  <c r="P448" i="17"/>
  <c r="O448" i="17"/>
  <c r="P447" i="17"/>
  <c r="N447" i="17"/>
  <c r="M447" i="17"/>
  <c r="N446" i="17"/>
  <c r="M446" i="17"/>
  <c r="P446" i="17" s="1"/>
  <c r="P445" i="17"/>
  <c r="N445" i="17"/>
  <c r="N444" i="17" s="1"/>
  <c r="M445" i="17"/>
  <c r="L445" i="17"/>
  <c r="O445" i="17" s="1"/>
  <c r="M444" i="17"/>
  <c r="P444" i="17" s="1"/>
  <c r="J443" i="17"/>
  <c r="J442" i="17"/>
  <c r="I441" i="17"/>
  <c r="K441" i="17" s="1"/>
  <c r="I440" i="17"/>
  <c r="I439" i="17"/>
  <c r="K439" i="17" s="1"/>
  <c r="I438" i="17"/>
  <c r="K438" i="17" s="1"/>
  <c r="I437" i="17"/>
  <c r="K437" i="17" s="1"/>
  <c r="I435" i="17"/>
  <c r="I433" i="17" s="1"/>
  <c r="J434" i="17"/>
  <c r="P431" i="17"/>
  <c r="L431" i="17"/>
  <c r="P430" i="17"/>
  <c r="O430" i="17"/>
  <c r="P429" i="17"/>
  <c r="N429" i="17"/>
  <c r="M429" i="17"/>
  <c r="P424" i="17"/>
  <c r="N424" i="17"/>
  <c r="L424" i="17"/>
  <c r="O424" i="17" s="1"/>
  <c r="P423" i="17"/>
  <c r="O423" i="17"/>
  <c r="P422" i="17"/>
  <c r="N422" i="17"/>
  <c r="M422" i="17"/>
  <c r="N421" i="17"/>
  <c r="M421" i="17"/>
  <c r="P421" i="17" s="1"/>
  <c r="P420" i="17"/>
  <c r="N420" i="17"/>
  <c r="N419" i="17" s="1"/>
  <c r="M420" i="17"/>
  <c r="L420" i="17"/>
  <c r="O420" i="17" s="1"/>
  <c r="M419" i="17"/>
  <c r="J418" i="17"/>
  <c r="K413" i="17"/>
  <c r="K412" i="17"/>
  <c r="N410" i="17"/>
  <c r="M410" i="17"/>
  <c r="P410" i="17" s="1"/>
  <c r="L410" i="17"/>
  <c r="P409" i="17"/>
  <c r="O409" i="17"/>
  <c r="N407" i="17"/>
  <c r="N405" i="17" s="1"/>
  <c r="M407" i="17"/>
  <c r="M405" i="17" s="1"/>
  <c r="P405" i="17" s="1"/>
  <c r="L407" i="17"/>
  <c r="O407" i="17" s="1"/>
  <c r="P406" i="17"/>
  <c r="O406" i="17"/>
  <c r="P403" i="17"/>
  <c r="N403" i="17"/>
  <c r="M403" i="17"/>
  <c r="L403" i="17"/>
  <c r="K401" i="17"/>
  <c r="J401" i="17"/>
  <c r="I401" i="17"/>
  <c r="K400" i="17"/>
  <c r="K399" i="17"/>
  <c r="N397" i="17"/>
  <c r="N395" i="17" s="1"/>
  <c r="M397" i="17"/>
  <c r="L397" i="17"/>
  <c r="L395" i="17" s="1"/>
  <c r="O395" i="17" s="1"/>
  <c r="P396" i="17"/>
  <c r="O396" i="17"/>
  <c r="N394" i="17"/>
  <c r="M394" i="17"/>
  <c r="L394" i="17"/>
  <c r="O394" i="17" s="1"/>
  <c r="P393" i="17"/>
  <c r="O393" i="17"/>
  <c r="P390" i="17"/>
  <c r="N390" i="17"/>
  <c r="M390" i="17"/>
  <c r="L390" i="17"/>
  <c r="O390" i="17" s="1"/>
  <c r="K388" i="17"/>
  <c r="J388" i="17"/>
  <c r="I388" i="17"/>
  <c r="J385" i="17"/>
  <c r="I385" i="17"/>
  <c r="K382" i="17"/>
  <c r="J382" i="17"/>
  <c r="J381" i="17"/>
  <c r="J374" i="17" s="1"/>
  <c r="I381" i="17"/>
  <c r="K380" i="17"/>
  <c r="J380" i="17"/>
  <c r="J379" i="17"/>
  <c r="I379" i="17"/>
  <c r="J378" i="17"/>
  <c r="I378" i="17"/>
  <c r="K377" i="17"/>
  <c r="J377" i="17"/>
  <c r="I374" i="17"/>
  <c r="K373" i="17"/>
  <c r="J373" i="17"/>
  <c r="J372" i="17"/>
  <c r="J365" i="17" s="1"/>
  <c r="I372" i="17"/>
  <c r="K371" i="17"/>
  <c r="J371" i="17"/>
  <c r="J370" i="17"/>
  <c r="I370" i="17"/>
  <c r="J369" i="17"/>
  <c r="I369" i="17"/>
  <c r="K368" i="17"/>
  <c r="J368" i="17"/>
  <c r="I365" i="17"/>
  <c r="K363" i="17"/>
  <c r="J363" i="17"/>
  <c r="J362" i="17"/>
  <c r="J355" i="17" s="1"/>
  <c r="I362" i="17"/>
  <c r="K361" i="17"/>
  <c r="J361" i="17"/>
  <c r="J360" i="17"/>
  <c r="I360" i="17"/>
  <c r="J359" i="17"/>
  <c r="I359" i="17"/>
  <c r="K358" i="17"/>
  <c r="J358" i="17"/>
  <c r="I355" i="17"/>
  <c r="N353" i="17"/>
  <c r="N351" i="17" s="1"/>
  <c r="M353" i="17"/>
  <c r="L353" i="17"/>
  <c r="P352" i="17"/>
  <c r="O352" i="17"/>
  <c r="N350" i="17"/>
  <c r="M350" i="17"/>
  <c r="L350" i="17"/>
  <c r="L348" i="17" s="1"/>
  <c r="P349" i="17"/>
  <c r="O349" i="17"/>
  <c r="P346" i="17"/>
  <c r="N346" i="17"/>
  <c r="M346" i="17"/>
  <c r="L346" i="17"/>
  <c r="J343" i="17"/>
  <c r="J342" i="17"/>
  <c r="J341" i="17"/>
  <c r="J340" i="17"/>
  <c r="I340" i="17"/>
  <c r="J338" i="17"/>
  <c r="I338" i="17"/>
  <c r="N336" i="17"/>
  <c r="N334" i="17" s="1"/>
  <c r="M336" i="17"/>
  <c r="M334" i="17" s="1"/>
  <c r="P334" i="17" s="1"/>
  <c r="L336" i="17"/>
  <c r="O336" i="17" s="1"/>
  <c r="P335" i="17"/>
  <c r="O335" i="17"/>
  <c r="N333" i="17"/>
  <c r="M333" i="17"/>
  <c r="M331" i="17" s="1"/>
  <c r="L333" i="17"/>
  <c r="L331" i="17" s="1"/>
  <c r="P332" i="17"/>
  <c r="O332" i="17"/>
  <c r="O329" i="17"/>
  <c r="N329" i="17"/>
  <c r="M329" i="17"/>
  <c r="P329" i="17" s="1"/>
  <c r="L329" i="17"/>
  <c r="I327" i="17"/>
  <c r="I325" i="17"/>
  <c r="I314" i="17" s="1"/>
  <c r="K314" i="17" s="1"/>
  <c r="N323" i="17"/>
  <c r="N321" i="17" s="1"/>
  <c r="M323" i="17"/>
  <c r="P323" i="17" s="1"/>
  <c r="L323" i="17"/>
  <c r="O323" i="17" s="1"/>
  <c r="P322" i="17"/>
  <c r="O322" i="17"/>
  <c r="N320" i="17"/>
  <c r="M320" i="17"/>
  <c r="P320" i="17" s="1"/>
  <c r="L320" i="17"/>
  <c r="O320" i="17" s="1"/>
  <c r="P319" i="17"/>
  <c r="O319" i="17"/>
  <c r="P316" i="17"/>
  <c r="N316" i="17"/>
  <c r="M316" i="17"/>
  <c r="L316" i="17"/>
  <c r="J314" i="17"/>
  <c r="I312" i="17"/>
  <c r="K312" i="17" s="1"/>
  <c r="I311" i="17"/>
  <c r="K311" i="17" s="1"/>
  <c r="I310" i="17"/>
  <c r="K310" i="17" s="1"/>
  <c r="I309" i="17"/>
  <c r="K309" i="17" s="1"/>
  <c r="N306" i="17"/>
  <c r="N304" i="17" s="1"/>
  <c r="M306" i="17"/>
  <c r="P306" i="17" s="1"/>
  <c r="L306" i="17"/>
  <c r="O306" i="17" s="1"/>
  <c r="P305" i="17"/>
  <c r="O305" i="17"/>
  <c r="N303" i="17"/>
  <c r="N301" i="17" s="1"/>
  <c r="M303" i="17"/>
  <c r="M301" i="17" s="1"/>
  <c r="L303" i="17"/>
  <c r="P302" i="17"/>
  <c r="O302" i="17"/>
  <c r="N299" i="17"/>
  <c r="M299" i="17"/>
  <c r="L299" i="17"/>
  <c r="O299" i="17" s="1"/>
  <c r="J297" i="17"/>
  <c r="I294" i="17"/>
  <c r="K294" i="17" s="1"/>
  <c r="I293" i="17"/>
  <c r="K293" i="17" s="1"/>
  <c r="I291" i="17"/>
  <c r="K291" i="17" s="1"/>
  <c r="I290" i="17"/>
  <c r="K290" i="17" s="1"/>
  <c r="I288" i="17"/>
  <c r="I275" i="17" s="1"/>
  <c r="I287" i="17"/>
  <c r="K287" i="17" s="1"/>
  <c r="N285" i="17"/>
  <c r="N283" i="17" s="1"/>
  <c r="M285" i="17"/>
  <c r="L285" i="17"/>
  <c r="P284" i="17"/>
  <c r="O284" i="17"/>
  <c r="N282" i="17"/>
  <c r="N280" i="17" s="1"/>
  <c r="M282" i="17"/>
  <c r="M280" i="17" s="1"/>
  <c r="L282" i="17"/>
  <c r="L280" i="17" s="1"/>
  <c r="P281" i="17"/>
  <c r="O281" i="17"/>
  <c r="O278" i="17"/>
  <c r="N278" i="17"/>
  <c r="M278" i="17"/>
  <c r="L278" i="17"/>
  <c r="J276" i="17"/>
  <c r="I271" i="17"/>
  <c r="N269" i="17"/>
  <c r="N267" i="17" s="1"/>
  <c r="M269" i="17"/>
  <c r="P269" i="17" s="1"/>
  <c r="L269" i="17"/>
  <c r="O269" i="17" s="1"/>
  <c r="P268" i="17"/>
  <c r="O268" i="17"/>
  <c r="N266" i="17"/>
  <c r="N264" i="17" s="1"/>
  <c r="M266" i="17"/>
  <c r="P266" i="17" s="1"/>
  <c r="L266" i="17"/>
  <c r="L264" i="17" s="1"/>
  <c r="P265" i="17"/>
  <c r="O265" i="17"/>
  <c r="P262" i="17"/>
  <c r="N262" i="17"/>
  <c r="M262" i="17"/>
  <c r="L262" i="17"/>
  <c r="J260" i="17"/>
  <c r="K258" i="17"/>
  <c r="K257" i="17"/>
  <c r="L253" i="17"/>
  <c r="L252" i="17"/>
  <c r="L251" i="17"/>
  <c r="L250" i="17"/>
  <c r="P249" i="17"/>
  <c r="N249" i="17"/>
  <c r="J248" i="17"/>
  <c r="K247" i="17"/>
  <c r="K246" i="17"/>
  <c r="I244" i="17"/>
  <c r="I237" i="17" s="1"/>
  <c r="L242" i="17"/>
  <c r="L241" i="17"/>
  <c r="L240" i="17"/>
  <c r="L239" i="17"/>
  <c r="P238" i="17"/>
  <c r="N238" i="17"/>
  <c r="J237" i="17"/>
  <c r="J236" i="17"/>
  <c r="I236" i="17"/>
  <c r="K236" i="17" s="1"/>
  <c r="J235" i="17"/>
  <c r="I235" i="17"/>
  <c r="K235" i="17" s="1"/>
  <c r="J233" i="17"/>
  <c r="N231" i="17"/>
  <c r="N230" i="17"/>
  <c r="N229" i="17"/>
  <c r="N228" i="17"/>
  <c r="N227" i="17"/>
  <c r="I225" i="17"/>
  <c r="K225" i="17" s="1"/>
  <c r="I224" i="17"/>
  <c r="I216" i="17" s="1"/>
  <c r="K216" i="17" s="1"/>
  <c r="I223" i="17"/>
  <c r="K223" i="17" s="1"/>
  <c r="L220" i="17"/>
  <c r="L219" i="17"/>
  <c r="L218" i="17"/>
  <c r="P217" i="17"/>
  <c r="N217" i="17"/>
  <c r="J216" i="17"/>
  <c r="I215" i="17"/>
  <c r="K215" i="17" s="1"/>
  <c r="I214" i="17"/>
  <c r="K214" i="17" s="1"/>
  <c r="L212" i="17"/>
  <c r="L211" i="17"/>
  <c r="L210" i="17"/>
  <c r="P209" i="17"/>
  <c r="N209" i="17"/>
  <c r="J208" i="17"/>
  <c r="K207" i="17"/>
  <c r="K206" i="17"/>
  <c r="I204" i="17"/>
  <c r="K204" i="17" s="1"/>
  <c r="L202" i="17"/>
  <c r="L201" i="17"/>
  <c r="L200" i="17"/>
  <c r="L199" i="17"/>
  <c r="P198" i="17"/>
  <c r="N198" i="17"/>
  <c r="J197" i="17"/>
  <c r="J194" i="17"/>
  <c r="I193" i="17"/>
  <c r="K193" i="17" s="1"/>
  <c r="P191" i="17"/>
  <c r="L191" i="17"/>
  <c r="O191" i="17" s="1"/>
  <c r="J190" i="17"/>
  <c r="N189" i="17"/>
  <c r="M189" i="17"/>
  <c r="M187" i="17" s="1"/>
  <c r="P187" i="17" s="1"/>
  <c r="L189" i="17"/>
  <c r="O189" i="17" s="1"/>
  <c r="P188" i="17"/>
  <c r="O188" i="17"/>
  <c r="N186" i="17"/>
  <c r="N184" i="17" s="1"/>
  <c r="M186" i="17"/>
  <c r="L186" i="17"/>
  <c r="P185" i="17"/>
  <c r="O185" i="17"/>
  <c r="O182" i="17"/>
  <c r="N182" i="17"/>
  <c r="M182" i="17"/>
  <c r="P182" i="17" s="1"/>
  <c r="L182" i="17"/>
  <c r="J177" i="17"/>
  <c r="J164" i="17" s="1"/>
  <c r="I176" i="17"/>
  <c r="I174" i="17" s="1"/>
  <c r="J174" i="17"/>
  <c r="N173" i="17"/>
  <c r="N171" i="17" s="1"/>
  <c r="M173" i="17"/>
  <c r="M171" i="17" s="1"/>
  <c r="P171" i="17" s="1"/>
  <c r="L173" i="17"/>
  <c r="L171" i="17" s="1"/>
  <c r="O171" i="17" s="1"/>
  <c r="P172" i="17"/>
  <c r="O172" i="17"/>
  <c r="N170" i="17"/>
  <c r="N168" i="17" s="1"/>
  <c r="M170" i="17"/>
  <c r="M168" i="17" s="1"/>
  <c r="L170" i="17"/>
  <c r="P169" i="17"/>
  <c r="O169" i="17"/>
  <c r="O166" i="17"/>
  <c r="N166" i="17"/>
  <c r="M166" i="17"/>
  <c r="L166" i="17"/>
  <c r="I159" i="17"/>
  <c r="I148" i="17" s="1"/>
  <c r="K148" i="17" s="1"/>
  <c r="N157" i="17"/>
  <c r="N155" i="17" s="1"/>
  <c r="M157" i="17"/>
  <c r="P157" i="17" s="1"/>
  <c r="L157" i="17"/>
  <c r="O157" i="17" s="1"/>
  <c r="P156" i="17"/>
  <c r="O156" i="17"/>
  <c r="N154" i="17"/>
  <c r="M154" i="17"/>
  <c r="L154" i="17"/>
  <c r="P153" i="17"/>
  <c r="O153" i="17"/>
  <c r="P150" i="17"/>
  <c r="O150" i="17"/>
  <c r="N150" i="17"/>
  <c r="M150" i="17"/>
  <c r="L150" i="17"/>
  <c r="J148" i="17"/>
  <c r="I146" i="17"/>
  <c r="I130" i="17" s="1"/>
  <c r="K130" i="17" s="1"/>
  <c r="I145" i="17"/>
  <c r="I144" i="17"/>
  <c r="N140" i="17"/>
  <c r="N138" i="17" s="1"/>
  <c r="M140" i="17"/>
  <c r="P140" i="17" s="1"/>
  <c r="L140" i="17"/>
  <c r="P139" i="17"/>
  <c r="O139" i="17"/>
  <c r="N137" i="17"/>
  <c r="N135" i="17" s="1"/>
  <c r="M137" i="17"/>
  <c r="M135" i="17" s="1"/>
  <c r="P135" i="17" s="1"/>
  <c r="L137" i="17"/>
  <c r="L135" i="17" s="1"/>
  <c r="O135" i="17" s="1"/>
  <c r="P136" i="17"/>
  <c r="O136" i="17"/>
  <c r="N133" i="17"/>
  <c r="M133" i="17"/>
  <c r="P133" i="17" s="1"/>
  <c r="L133" i="17"/>
  <c r="O133" i="17" s="1"/>
  <c r="J130" i="17"/>
  <c r="N127" i="17"/>
  <c r="N125" i="17" s="1"/>
  <c r="M127" i="17"/>
  <c r="P127" i="17" s="1"/>
  <c r="L127" i="17"/>
  <c r="O127" i="17" s="1"/>
  <c r="P126" i="17"/>
  <c r="O126" i="17"/>
  <c r="N124" i="17"/>
  <c r="N122" i="17" s="1"/>
  <c r="M124" i="17"/>
  <c r="P124" i="17" s="1"/>
  <c r="L124" i="17"/>
  <c r="O124" i="17" s="1"/>
  <c r="P123" i="17"/>
  <c r="O123" i="17"/>
  <c r="P120" i="17"/>
  <c r="O120" i="17"/>
  <c r="N120" i="17"/>
  <c r="M120" i="17"/>
  <c r="L120" i="17"/>
  <c r="I116" i="17"/>
  <c r="K116" i="17" s="1"/>
  <c r="I115" i="17"/>
  <c r="K115" i="17" s="1"/>
  <c r="I114" i="17"/>
  <c r="K114" i="17" s="1"/>
  <c r="I113" i="17"/>
  <c r="K113" i="17" s="1"/>
  <c r="J112" i="17"/>
  <c r="J111" i="17"/>
  <c r="I111" i="17"/>
  <c r="K111" i="17" s="1"/>
  <c r="I110" i="17"/>
  <c r="K110" i="17" s="1"/>
  <c r="I109" i="17"/>
  <c r="K109" i="17" s="1"/>
  <c r="I107" i="17"/>
  <c r="K107" i="17" s="1"/>
  <c r="I106" i="17"/>
  <c r="K106" i="17" s="1"/>
  <c r="I104" i="17"/>
  <c r="K104" i="17" s="1"/>
  <c r="I103" i="17"/>
  <c r="K103" i="17" s="1"/>
  <c r="I102" i="17"/>
  <c r="K102" i="17" s="1"/>
  <c r="J100" i="17"/>
  <c r="I100" i="17"/>
  <c r="K100" i="17" s="1"/>
  <c r="J99" i="17"/>
  <c r="J87" i="17" s="1"/>
  <c r="I99" i="17"/>
  <c r="I87" i="17" s="1"/>
  <c r="K87" i="17" s="1"/>
  <c r="J98" i="17"/>
  <c r="I98" i="17"/>
  <c r="K98" i="17" s="1"/>
  <c r="N96" i="17"/>
  <c r="N94" i="17" s="1"/>
  <c r="M96" i="17"/>
  <c r="M94" i="17" s="1"/>
  <c r="P94" i="17" s="1"/>
  <c r="L96" i="17"/>
  <c r="O96" i="17" s="1"/>
  <c r="P95" i="17"/>
  <c r="O95" i="17"/>
  <c r="N93" i="17"/>
  <c r="M93" i="17"/>
  <c r="M91" i="17" s="1"/>
  <c r="L93" i="17"/>
  <c r="P92" i="17"/>
  <c r="O92" i="17"/>
  <c r="O89" i="17"/>
  <c r="N89" i="17"/>
  <c r="M89" i="17"/>
  <c r="L89" i="17"/>
  <c r="J86" i="17"/>
  <c r="I84" i="17"/>
  <c r="K84" i="17" s="1"/>
  <c r="I83" i="17"/>
  <c r="K83" i="17" s="1"/>
  <c r="I82" i="17"/>
  <c r="K82" i="17" s="1"/>
  <c r="I81" i="17"/>
  <c r="K81" i="17" s="1"/>
  <c r="I80" i="17"/>
  <c r="I79" i="17"/>
  <c r="K79" i="17" s="1"/>
  <c r="I78" i="17"/>
  <c r="K78" i="17" s="1"/>
  <c r="J77" i="17"/>
  <c r="J76" i="17"/>
  <c r="N74" i="17"/>
  <c r="N72" i="17" s="1"/>
  <c r="M74" i="17"/>
  <c r="P74" i="17" s="1"/>
  <c r="L74" i="17"/>
  <c r="L72" i="17" s="1"/>
  <c r="O72" i="17" s="1"/>
  <c r="P73" i="17"/>
  <c r="O73" i="17"/>
  <c r="N71" i="17"/>
  <c r="M71" i="17"/>
  <c r="L71" i="17"/>
  <c r="L69" i="17" s="1"/>
  <c r="P70" i="17"/>
  <c r="O70" i="17"/>
  <c r="N67" i="17"/>
  <c r="M67" i="17"/>
  <c r="P67" i="17" s="1"/>
  <c r="L67" i="17"/>
  <c r="J65" i="17"/>
  <c r="J64" i="17"/>
  <c r="N61" i="17"/>
  <c r="M61" i="17"/>
  <c r="P61" i="17" s="1"/>
  <c r="L61" i="17"/>
  <c r="O61" i="17" s="1"/>
  <c r="P60" i="17"/>
  <c r="O60" i="17"/>
  <c r="N58" i="17"/>
  <c r="N56" i="17" s="1"/>
  <c r="M58" i="17"/>
  <c r="M56" i="17" s="1"/>
  <c r="L58" i="17"/>
  <c r="P57" i="17"/>
  <c r="O57" i="17"/>
  <c r="P54" i="17"/>
  <c r="O54" i="17"/>
  <c r="N54" i="17"/>
  <c r="M54" i="17"/>
  <c r="L54" i="17"/>
  <c r="N49" i="17"/>
  <c r="M49" i="17"/>
  <c r="P49" i="17" s="1"/>
  <c r="L49" i="17"/>
  <c r="L47" i="17" s="1"/>
  <c r="O47" i="17" s="1"/>
  <c r="P48" i="17"/>
  <c r="O48" i="17"/>
  <c r="N46" i="17"/>
  <c r="M46" i="17"/>
  <c r="L46" i="17"/>
  <c r="L44" i="17" s="1"/>
  <c r="P45" i="17"/>
  <c r="O45" i="17"/>
  <c r="N42" i="17"/>
  <c r="M42" i="17"/>
  <c r="P42" i="17" s="1"/>
  <c r="L42" i="17"/>
  <c r="O42" i="17" s="1"/>
  <c r="P36" i="17"/>
  <c r="N36" i="17"/>
  <c r="M36" i="17"/>
  <c r="P35" i="17"/>
  <c r="O35" i="17"/>
  <c r="N35" i="17"/>
  <c r="M35" i="17"/>
  <c r="L35" i="17"/>
  <c r="N34" i="17"/>
  <c r="M34" i="17"/>
  <c r="P34" i="17" s="1"/>
  <c r="N33" i="17"/>
  <c r="M33" i="17"/>
  <c r="P32" i="17"/>
  <c r="N32" i="17"/>
  <c r="N29" i="17" s="1"/>
  <c r="N28" i="17" s="1"/>
  <c r="M32" i="17"/>
  <c r="L32" i="17"/>
  <c r="N30" i="17"/>
  <c r="M29" i="17"/>
  <c r="P29" i="17" s="1"/>
  <c r="P25" i="17"/>
  <c r="N25" i="17"/>
  <c r="N15" i="17" s="1"/>
  <c r="M25" i="17"/>
  <c r="L25" i="17"/>
  <c r="O22" i="17"/>
  <c r="N22" i="17"/>
  <c r="M22" i="17"/>
  <c r="P22" i="17" s="1"/>
  <c r="L22" i="17"/>
  <c r="N19" i="17"/>
  <c r="L19" i="17"/>
  <c r="M15" i="17"/>
  <c r="P15" i="17" s="1"/>
  <c r="N12" i="17"/>
  <c r="N9" i="17" s="1"/>
  <c r="L12" i="17"/>
  <c r="J828" i="16"/>
  <c r="I828" i="16"/>
  <c r="J827" i="16"/>
  <c r="I827" i="16"/>
  <c r="J826" i="16"/>
  <c r="I826" i="16"/>
  <c r="J825" i="16"/>
  <c r="I825" i="16"/>
  <c r="J824" i="16"/>
  <c r="I824" i="16"/>
  <c r="J823" i="16"/>
  <c r="I823" i="16"/>
  <c r="J822" i="16"/>
  <c r="I822" i="16"/>
  <c r="J821" i="16"/>
  <c r="I821" i="16"/>
  <c r="P817" i="16"/>
  <c r="O817" i="16"/>
  <c r="P816" i="16"/>
  <c r="O816" i="16"/>
  <c r="O815" i="16"/>
  <c r="N815" i="16"/>
  <c r="M815" i="16"/>
  <c r="P815" i="16" s="1"/>
  <c r="L815" i="16"/>
  <c r="P810" i="16"/>
  <c r="O810" i="16"/>
  <c r="N810" i="16"/>
  <c r="P809" i="16"/>
  <c r="O809" i="16"/>
  <c r="O808" i="16"/>
  <c r="M808" i="16"/>
  <c r="P808" i="16" s="1"/>
  <c r="L808" i="16"/>
  <c r="P807" i="16"/>
  <c r="M807" i="16"/>
  <c r="L807" i="16"/>
  <c r="O806" i="16"/>
  <c r="N806" i="16"/>
  <c r="M806" i="16"/>
  <c r="P806" i="16" s="1"/>
  <c r="L806" i="16"/>
  <c r="P805" i="16"/>
  <c r="M805" i="16"/>
  <c r="K804" i="16"/>
  <c r="J804" i="16"/>
  <c r="K802" i="16"/>
  <c r="J801" i="16"/>
  <c r="J800" i="16"/>
  <c r="J785" i="16" s="1"/>
  <c r="I800" i="16"/>
  <c r="I785" i="16" s="1"/>
  <c r="K785" i="16" s="1"/>
  <c r="P798" i="16"/>
  <c r="O798" i="16"/>
  <c r="P797" i="16"/>
  <c r="O797" i="16"/>
  <c r="P796" i="16"/>
  <c r="N796" i="16"/>
  <c r="M796" i="16"/>
  <c r="L796" i="16"/>
  <c r="O796" i="16" s="1"/>
  <c r="P791" i="16"/>
  <c r="N791" i="16"/>
  <c r="L791" i="16"/>
  <c r="L788" i="16" s="1"/>
  <c r="P790" i="16"/>
  <c r="O790" i="16"/>
  <c r="N789" i="16"/>
  <c r="M789" i="16"/>
  <c r="P789" i="16" s="1"/>
  <c r="P788" i="16"/>
  <c r="N788" i="16"/>
  <c r="M788" i="16"/>
  <c r="O787" i="16"/>
  <c r="N787" i="16"/>
  <c r="M787" i="16"/>
  <c r="P787" i="16" s="1"/>
  <c r="L787" i="16"/>
  <c r="P786" i="16"/>
  <c r="N786" i="16"/>
  <c r="M786" i="16"/>
  <c r="P782" i="16"/>
  <c r="O782" i="16"/>
  <c r="P781" i="16"/>
  <c r="O781" i="16"/>
  <c r="P780" i="16"/>
  <c r="N780" i="16"/>
  <c r="M780" i="16"/>
  <c r="L780" i="16"/>
  <c r="O780" i="16" s="1"/>
  <c r="P775" i="16"/>
  <c r="O775" i="16"/>
  <c r="N775" i="16"/>
  <c r="N772" i="16" s="1"/>
  <c r="N770" i="16" s="1"/>
  <c r="P774" i="16"/>
  <c r="O774" i="16"/>
  <c r="P773" i="16"/>
  <c r="N773" i="16"/>
  <c r="M773" i="16"/>
  <c r="L773" i="16"/>
  <c r="O773" i="16" s="1"/>
  <c r="O772" i="16"/>
  <c r="M772" i="16"/>
  <c r="L772" i="16"/>
  <c r="P771" i="16"/>
  <c r="N771" i="16"/>
  <c r="M771" i="16"/>
  <c r="L771" i="16"/>
  <c r="K769" i="16"/>
  <c r="J769" i="16"/>
  <c r="P766" i="16"/>
  <c r="O766" i="16"/>
  <c r="P765" i="16"/>
  <c r="O765" i="16"/>
  <c r="P764" i="16"/>
  <c r="N764" i="16"/>
  <c r="M764" i="16"/>
  <c r="L764" i="16"/>
  <c r="O764" i="16" s="1"/>
  <c r="P759" i="16"/>
  <c r="O759" i="16"/>
  <c r="N759" i="16"/>
  <c r="N756" i="16" s="1"/>
  <c r="N754" i="16" s="1"/>
  <c r="P758" i="16"/>
  <c r="O758" i="16"/>
  <c r="P757" i="16"/>
  <c r="N757" i="16"/>
  <c r="M757" i="16"/>
  <c r="L757" i="16"/>
  <c r="O757" i="16" s="1"/>
  <c r="O756" i="16"/>
  <c r="M756" i="16"/>
  <c r="L756" i="16"/>
  <c r="P755" i="16"/>
  <c r="N755" i="16"/>
  <c r="M755" i="16"/>
  <c r="L755" i="16"/>
  <c r="K753" i="16"/>
  <c r="J753" i="16"/>
  <c r="P749" i="16"/>
  <c r="O749" i="16"/>
  <c r="P748" i="16"/>
  <c r="O748" i="16"/>
  <c r="P747" i="16"/>
  <c r="N747" i="16"/>
  <c r="M747" i="16"/>
  <c r="L747" i="16"/>
  <c r="O747" i="16" s="1"/>
  <c r="P742" i="16"/>
  <c r="O742" i="16"/>
  <c r="N742" i="16"/>
  <c r="N739" i="16" s="1"/>
  <c r="N737" i="16" s="1"/>
  <c r="P741" i="16"/>
  <c r="O741" i="16"/>
  <c r="P740" i="16"/>
  <c r="N740" i="16"/>
  <c r="M740" i="16"/>
  <c r="L740" i="16"/>
  <c r="O740" i="16" s="1"/>
  <c r="O739" i="16"/>
  <c r="M739" i="16"/>
  <c r="L739" i="16"/>
  <c r="P738" i="16"/>
  <c r="N738" i="16"/>
  <c r="M738" i="16"/>
  <c r="L738" i="16"/>
  <c r="K736" i="16"/>
  <c r="J736" i="16"/>
  <c r="J729" i="16"/>
  <c r="I729" i="16"/>
  <c r="K729" i="16" s="1"/>
  <c r="J728" i="16"/>
  <c r="I728" i="16"/>
  <c r="K728" i="16" s="1"/>
  <c r="J727" i="16"/>
  <c r="J726" i="16"/>
  <c r="I726" i="16"/>
  <c r="K726" i="16" s="1"/>
  <c r="J725" i="16"/>
  <c r="I725" i="16"/>
  <c r="J724" i="16"/>
  <c r="J723" i="16"/>
  <c r="I723" i="16"/>
  <c r="I722" i="16"/>
  <c r="I721" i="16"/>
  <c r="J720" i="16"/>
  <c r="I720" i="16"/>
  <c r="J719" i="16"/>
  <c r="J718" i="16"/>
  <c r="J708" i="16"/>
  <c r="I708" i="16"/>
  <c r="K708" i="16" s="1"/>
  <c r="I707" i="16"/>
  <c r="I704" i="16"/>
  <c r="J701" i="16"/>
  <c r="I701" i="16"/>
  <c r="J700" i="16"/>
  <c r="I700" i="16"/>
  <c r="J699" i="16"/>
  <c r="I699" i="16"/>
  <c r="P697" i="16"/>
  <c r="O697" i="16"/>
  <c r="P696" i="16"/>
  <c r="O696" i="16"/>
  <c r="P695" i="16"/>
  <c r="N695" i="16"/>
  <c r="M695" i="16"/>
  <c r="L695" i="16"/>
  <c r="O695" i="16" s="1"/>
  <c r="P690" i="16"/>
  <c r="N690" i="16"/>
  <c r="N688" i="16" s="1"/>
  <c r="L690" i="16"/>
  <c r="L688" i="16" s="1"/>
  <c r="O688" i="16" s="1"/>
  <c r="M688" i="16"/>
  <c r="P688" i="16" s="1"/>
  <c r="P687" i="16"/>
  <c r="N687" i="16"/>
  <c r="M687" i="16"/>
  <c r="O686" i="16"/>
  <c r="N686" i="16"/>
  <c r="M686" i="16"/>
  <c r="P686" i="16" s="1"/>
  <c r="L686" i="16"/>
  <c r="P685" i="16"/>
  <c r="N685" i="16"/>
  <c r="M685" i="16"/>
  <c r="J679" i="16"/>
  <c r="J678" i="16"/>
  <c r="I678" i="16"/>
  <c r="K678" i="16" s="1"/>
  <c r="J675" i="16"/>
  <c r="J669" i="16" s="1"/>
  <c r="J654" i="16" s="1"/>
  <c r="I671" i="16"/>
  <c r="K671" i="16" s="1"/>
  <c r="I670" i="16"/>
  <c r="K670" i="16" s="1"/>
  <c r="I669" i="16"/>
  <c r="K672" i="16" s="1"/>
  <c r="P667" i="16"/>
  <c r="O667" i="16"/>
  <c r="P666" i="16"/>
  <c r="O666" i="16"/>
  <c r="O665" i="16"/>
  <c r="N665" i="16"/>
  <c r="M665" i="16"/>
  <c r="P665" i="16" s="1"/>
  <c r="L665" i="16"/>
  <c r="P660" i="16"/>
  <c r="N660" i="16"/>
  <c r="N657" i="16" s="1"/>
  <c r="L660" i="16"/>
  <c r="P659" i="16"/>
  <c r="O659" i="16"/>
  <c r="P658" i="16"/>
  <c r="N658" i="16"/>
  <c r="M658" i="16"/>
  <c r="M657" i="16"/>
  <c r="P657" i="16" s="1"/>
  <c r="P656" i="16"/>
  <c r="N656" i="16"/>
  <c r="M656" i="16"/>
  <c r="L656" i="16"/>
  <c r="M655" i="16"/>
  <c r="P655" i="16" s="1"/>
  <c r="K652" i="16"/>
  <c r="J652" i="16"/>
  <c r="J651" i="16"/>
  <c r="J628" i="16" s="1"/>
  <c r="I651" i="16"/>
  <c r="I628" i="16" s="1"/>
  <c r="K650" i="16"/>
  <c r="J650" i="16"/>
  <c r="J649" i="16"/>
  <c r="I649" i="16"/>
  <c r="K648" i="16"/>
  <c r="J648" i="16"/>
  <c r="J647" i="16"/>
  <c r="I647" i="16"/>
  <c r="K646" i="16"/>
  <c r="J646" i="16"/>
  <c r="K645" i="16"/>
  <c r="J645" i="16"/>
  <c r="I644" i="16"/>
  <c r="K644" i="16" s="1"/>
  <c r="I643" i="16"/>
  <c r="K643" i="16" s="1"/>
  <c r="P641" i="16"/>
  <c r="L641" i="16"/>
  <c r="P640" i="16"/>
  <c r="O640" i="16"/>
  <c r="N639" i="16"/>
  <c r="M639" i="16"/>
  <c r="P639" i="16" s="1"/>
  <c r="P634" i="16"/>
  <c r="N634" i="16"/>
  <c r="L634" i="16"/>
  <c r="L632" i="16" s="1"/>
  <c r="O632" i="16" s="1"/>
  <c r="P633" i="16"/>
  <c r="O633" i="16"/>
  <c r="P632" i="16"/>
  <c r="N632" i="16"/>
  <c r="M632" i="16"/>
  <c r="N631" i="16"/>
  <c r="M631" i="16"/>
  <c r="P631" i="16" s="1"/>
  <c r="P630" i="16"/>
  <c r="N630" i="16"/>
  <c r="N629" i="16" s="1"/>
  <c r="M630" i="16"/>
  <c r="L630" i="16"/>
  <c r="O630" i="16" s="1"/>
  <c r="M629" i="16"/>
  <c r="P629" i="16" s="1"/>
  <c r="J621" i="16"/>
  <c r="I621" i="16"/>
  <c r="K621" i="16" s="1"/>
  <c r="J620" i="16"/>
  <c r="I620" i="16"/>
  <c r="K620" i="16" s="1"/>
  <c r="K613" i="16"/>
  <c r="J613" i="16"/>
  <c r="K612" i="16"/>
  <c r="J612" i="16"/>
  <c r="K611" i="16"/>
  <c r="J611" i="16"/>
  <c r="J604" i="16"/>
  <c r="J603" i="16"/>
  <c r="J593" i="16" s="1"/>
  <c r="J596" i="16"/>
  <c r="J595" i="16"/>
  <c r="J594" i="16"/>
  <c r="I594" i="16"/>
  <c r="I593" i="16"/>
  <c r="I592" i="16" s="1"/>
  <c r="J592" i="16"/>
  <c r="J583" i="16"/>
  <c r="J577" i="16" s="1"/>
  <c r="J582" i="16"/>
  <c r="I577" i="16"/>
  <c r="K577" i="16" s="1"/>
  <c r="J576" i="16"/>
  <c r="J559" i="16" s="1"/>
  <c r="J543" i="16" s="1"/>
  <c r="I576" i="16"/>
  <c r="K576" i="16" s="1"/>
  <c r="J569" i="16"/>
  <c r="I569" i="16"/>
  <c r="K569" i="16" s="1"/>
  <c r="J568" i="16"/>
  <c r="I568" i="16"/>
  <c r="K568" i="16" s="1"/>
  <c r="J561" i="16"/>
  <c r="I561" i="16"/>
  <c r="K561" i="16" s="1"/>
  <c r="J560" i="16"/>
  <c r="I560" i="16"/>
  <c r="K560" i="16" s="1"/>
  <c r="P557" i="16"/>
  <c r="L557" i="16"/>
  <c r="L555" i="16" s="1"/>
  <c r="O555" i="16" s="1"/>
  <c r="P556" i="16"/>
  <c r="O556" i="16"/>
  <c r="P555" i="16"/>
  <c r="N555" i="16"/>
  <c r="N545" i="16" s="1"/>
  <c r="M555" i="16"/>
  <c r="P549" i="16"/>
  <c r="N549" i="16"/>
  <c r="L549" i="16"/>
  <c r="L547" i="16" s="1"/>
  <c r="O547" i="16" s="1"/>
  <c r="P548" i="16"/>
  <c r="O548" i="16"/>
  <c r="N547" i="16"/>
  <c r="M547" i="16"/>
  <c r="P547" i="16" s="1"/>
  <c r="P546" i="16"/>
  <c r="N546" i="16"/>
  <c r="M546" i="16"/>
  <c r="O545" i="16"/>
  <c r="M545" i="16"/>
  <c r="L545" i="16"/>
  <c r="I542" i="16"/>
  <c r="K542" i="16" s="1"/>
  <c r="I541" i="16"/>
  <c r="K541" i="16" s="1"/>
  <c r="I540" i="16"/>
  <c r="K540" i="16" s="1"/>
  <c r="I539" i="16"/>
  <c r="I538" i="16"/>
  <c r="K538" i="16" s="1"/>
  <c r="I537" i="16"/>
  <c r="I522" i="16" s="1"/>
  <c r="K522" i="16" s="1"/>
  <c r="P535" i="16"/>
  <c r="L535" i="16"/>
  <c r="O535" i="16" s="1"/>
  <c r="P534" i="16"/>
  <c r="O534" i="16"/>
  <c r="P533" i="16"/>
  <c r="N533" i="16"/>
  <c r="M533" i="16"/>
  <c r="P528" i="16"/>
  <c r="N528" i="16"/>
  <c r="L528" i="16"/>
  <c r="P527" i="16"/>
  <c r="O527" i="16"/>
  <c r="N526" i="16"/>
  <c r="M526" i="16"/>
  <c r="P526" i="16" s="1"/>
  <c r="P525" i="16"/>
  <c r="N525" i="16"/>
  <c r="M525" i="16"/>
  <c r="O524" i="16"/>
  <c r="N524" i="16"/>
  <c r="N523" i="16" s="1"/>
  <c r="M524" i="16"/>
  <c r="P524" i="16" s="1"/>
  <c r="L524" i="16"/>
  <c r="P523" i="16"/>
  <c r="M523" i="16"/>
  <c r="K517" i="16"/>
  <c r="J517" i="16"/>
  <c r="J501" i="16" s="1"/>
  <c r="K516" i="16"/>
  <c r="P514" i="16"/>
  <c r="O514" i="16"/>
  <c r="P513" i="16"/>
  <c r="O513" i="16"/>
  <c r="O512" i="16"/>
  <c r="N512" i="16"/>
  <c r="M512" i="16"/>
  <c r="P512" i="16" s="1"/>
  <c r="L512" i="16"/>
  <c r="P507" i="16"/>
  <c r="O507" i="16"/>
  <c r="N507" i="16"/>
  <c r="P506" i="16"/>
  <c r="O506" i="16"/>
  <c r="O505" i="16"/>
  <c r="N505" i="16"/>
  <c r="M505" i="16"/>
  <c r="P505" i="16" s="1"/>
  <c r="L505" i="16"/>
  <c r="P504" i="16"/>
  <c r="N504" i="16"/>
  <c r="M504" i="16"/>
  <c r="L504" i="16"/>
  <c r="O504" i="16" s="1"/>
  <c r="O503" i="16"/>
  <c r="N503" i="16"/>
  <c r="M503" i="16"/>
  <c r="M502" i="16" s="1"/>
  <c r="P502" i="16" s="1"/>
  <c r="L503" i="16"/>
  <c r="L502" i="16" s="1"/>
  <c r="O502" i="16" s="1"/>
  <c r="N502" i="16"/>
  <c r="K501" i="16"/>
  <c r="K500" i="16"/>
  <c r="J500" i="16"/>
  <c r="I498" i="16"/>
  <c r="K498" i="16" s="1"/>
  <c r="I495" i="16"/>
  <c r="K495" i="16" s="1"/>
  <c r="I492" i="16"/>
  <c r="K492" i="16" s="1"/>
  <c r="I489" i="16"/>
  <c r="K489" i="16" s="1"/>
  <c r="I487" i="16"/>
  <c r="K487" i="16" s="1"/>
  <c r="I485" i="16"/>
  <c r="K485" i="16" s="1"/>
  <c r="I483" i="16"/>
  <c r="K483" i="16" s="1"/>
  <c r="P479" i="16"/>
  <c r="L479" i="16"/>
  <c r="O479" i="16" s="1"/>
  <c r="P478" i="16"/>
  <c r="O478" i="16"/>
  <c r="P477" i="16"/>
  <c r="N477" i="16"/>
  <c r="M477" i="16"/>
  <c r="P472" i="16"/>
  <c r="N472" i="16"/>
  <c r="L472" i="16"/>
  <c r="L470" i="16" s="1"/>
  <c r="O470" i="16" s="1"/>
  <c r="P471" i="16"/>
  <c r="O471" i="16"/>
  <c r="N470" i="16"/>
  <c r="M470" i="16"/>
  <c r="P470" i="16" s="1"/>
  <c r="P469" i="16"/>
  <c r="M469" i="16"/>
  <c r="O468" i="16"/>
  <c r="N468" i="16"/>
  <c r="M468" i="16"/>
  <c r="M467" i="16" s="1"/>
  <c r="P467" i="16" s="1"/>
  <c r="L468" i="16"/>
  <c r="J466" i="16"/>
  <c r="I466" i="16"/>
  <c r="K466" i="16" s="1"/>
  <c r="J465" i="16"/>
  <c r="I465" i="16"/>
  <c r="K465" i="16" s="1"/>
  <c r="I464" i="16"/>
  <c r="I463" i="16"/>
  <c r="I462" i="16"/>
  <c r="K462" i="16" s="1"/>
  <c r="I460" i="16"/>
  <c r="K460" i="16" s="1"/>
  <c r="K458" i="16"/>
  <c r="P456" i="16"/>
  <c r="L456" i="16"/>
  <c r="P455" i="16"/>
  <c r="O455" i="16"/>
  <c r="N454" i="16"/>
  <c r="M454" i="16"/>
  <c r="P454" i="16" s="1"/>
  <c r="P449" i="16"/>
  <c r="N449" i="16"/>
  <c r="L449" i="16"/>
  <c r="O449" i="16" s="1"/>
  <c r="P448" i="16"/>
  <c r="O448" i="16"/>
  <c r="P447" i="16"/>
  <c r="N447" i="16"/>
  <c r="M447" i="16"/>
  <c r="N446" i="16"/>
  <c r="M446" i="16"/>
  <c r="P446" i="16" s="1"/>
  <c r="P445" i="16"/>
  <c r="N445" i="16"/>
  <c r="M445" i="16"/>
  <c r="M444" i="16" s="1"/>
  <c r="P444" i="16" s="1"/>
  <c r="L445" i="16"/>
  <c r="O445" i="16" s="1"/>
  <c r="J443" i="16"/>
  <c r="J442" i="16"/>
  <c r="I441" i="16"/>
  <c r="K441" i="16" s="1"/>
  <c r="I440" i="16"/>
  <c r="K440" i="16" s="1"/>
  <c r="I439" i="16"/>
  <c r="K439" i="16" s="1"/>
  <c r="I438" i="16"/>
  <c r="K438" i="16" s="1"/>
  <c r="I437" i="16"/>
  <c r="K437" i="16" s="1"/>
  <c r="I435" i="16"/>
  <c r="J434" i="16"/>
  <c r="P431" i="16"/>
  <c r="L431" i="16"/>
  <c r="P430" i="16"/>
  <c r="O430" i="16"/>
  <c r="P429" i="16"/>
  <c r="N429" i="16"/>
  <c r="M429" i="16"/>
  <c r="P424" i="16"/>
  <c r="N424" i="16"/>
  <c r="L424" i="16"/>
  <c r="O424" i="16" s="1"/>
  <c r="P423" i="16"/>
  <c r="O423" i="16"/>
  <c r="P422" i="16"/>
  <c r="N422" i="16"/>
  <c r="M422" i="16"/>
  <c r="N421" i="16"/>
  <c r="M421" i="16"/>
  <c r="P421" i="16" s="1"/>
  <c r="N420" i="16"/>
  <c r="N419" i="16" s="1"/>
  <c r="M420" i="16"/>
  <c r="P420" i="16" s="1"/>
  <c r="L420" i="16"/>
  <c r="O420" i="16" s="1"/>
  <c r="M419" i="16"/>
  <c r="J418" i="16"/>
  <c r="K413" i="16"/>
  <c r="K412" i="16"/>
  <c r="N410" i="16"/>
  <c r="N408" i="16" s="1"/>
  <c r="M410" i="16"/>
  <c r="P410" i="16" s="1"/>
  <c r="L410" i="16"/>
  <c r="O410" i="16" s="1"/>
  <c r="P409" i="16"/>
  <c r="O409" i="16"/>
  <c r="N407" i="16"/>
  <c r="N405" i="16" s="1"/>
  <c r="M407" i="16"/>
  <c r="L407" i="16"/>
  <c r="O407" i="16" s="1"/>
  <c r="P406" i="16"/>
  <c r="O406" i="16"/>
  <c r="P403" i="16"/>
  <c r="N403" i="16"/>
  <c r="M403" i="16"/>
  <c r="L403" i="16"/>
  <c r="J401" i="16"/>
  <c r="I401" i="16"/>
  <c r="K401" i="16" s="1"/>
  <c r="K400" i="16"/>
  <c r="K399" i="16"/>
  <c r="N397" i="16"/>
  <c r="N395" i="16" s="1"/>
  <c r="M397" i="16"/>
  <c r="L397" i="16"/>
  <c r="O397" i="16" s="1"/>
  <c r="P396" i="16"/>
  <c r="O396" i="16"/>
  <c r="N394" i="16"/>
  <c r="N392" i="16" s="1"/>
  <c r="M394" i="16"/>
  <c r="L394" i="16"/>
  <c r="P393" i="16"/>
  <c r="O393" i="16"/>
  <c r="N390" i="16"/>
  <c r="M390" i="16"/>
  <c r="L390" i="16"/>
  <c r="O390" i="16" s="1"/>
  <c r="J388" i="16"/>
  <c r="I388" i="16"/>
  <c r="K388" i="16" s="1"/>
  <c r="J385" i="16"/>
  <c r="I385" i="16"/>
  <c r="K382" i="16"/>
  <c r="J382" i="16"/>
  <c r="J381" i="16"/>
  <c r="J374" i="16" s="1"/>
  <c r="I381" i="16"/>
  <c r="K380" i="16"/>
  <c r="J380" i="16"/>
  <c r="J379" i="16"/>
  <c r="I379" i="16"/>
  <c r="J378" i="16"/>
  <c r="I378" i="16"/>
  <c r="K377" i="16"/>
  <c r="J377" i="16"/>
  <c r="I374" i="16"/>
  <c r="K373" i="16"/>
  <c r="J373" i="16"/>
  <c r="J372" i="16"/>
  <c r="J365" i="16" s="1"/>
  <c r="I372" i="16"/>
  <c r="K371" i="16"/>
  <c r="J371" i="16"/>
  <c r="J370" i="16"/>
  <c r="I370" i="16"/>
  <c r="J369" i="16"/>
  <c r="I369" i="16"/>
  <c r="K368" i="16"/>
  <c r="J368" i="16"/>
  <c r="I365" i="16"/>
  <c r="K363" i="16"/>
  <c r="J363" i="16"/>
  <c r="J362" i="16"/>
  <c r="J355" i="16" s="1"/>
  <c r="I362" i="16"/>
  <c r="K361" i="16"/>
  <c r="J361" i="16"/>
  <c r="J360" i="16"/>
  <c r="I360" i="16"/>
  <c r="J359" i="16"/>
  <c r="I359" i="16"/>
  <c r="K358" i="16"/>
  <c r="J358" i="16"/>
  <c r="I355" i="16"/>
  <c r="N353" i="16"/>
  <c r="N351" i="16" s="1"/>
  <c r="M353" i="16"/>
  <c r="L353" i="16"/>
  <c r="P352" i="16"/>
  <c r="O352" i="16"/>
  <c r="N350" i="16"/>
  <c r="N348" i="16" s="1"/>
  <c r="M350" i="16"/>
  <c r="L350" i="16"/>
  <c r="P349" i="16"/>
  <c r="O349" i="16"/>
  <c r="P346" i="16"/>
  <c r="N346" i="16"/>
  <c r="M346" i="16"/>
  <c r="L346" i="16"/>
  <c r="O346" i="16" s="1"/>
  <c r="J343" i="16"/>
  <c r="J342" i="16"/>
  <c r="J341" i="16"/>
  <c r="J340" i="16"/>
  <c r="I340" i="16"/>
  <c r="J338" i="16"/>
  <c r="I338" i="16"/>
  <c r="N336" i="16"/>
  <c r="M336" i="16"/>
  <c r="L336" i="16"/>
  <c r="P335" i="16"/>
  <c r="O335" i="16"/>
  <c r="N333" i="16"/>
  <c r="N331" i="16" s="1"/>
  <c r="M333" i="16"/>
  <c r="L333" i="16"/>
  <c r="P332" i="16"/>
  <c r="O332" i="16"/>
  <c r="P329" i="16"/>
  <c r="O329" i="16"/>
  <c r="N329" i="16"/>
  <c r="M329" i="16"/>
  <c r="L329" i="16"/>
  <c r="I327" i="16"/>
  <c r="I325" i="16"/>
  <c r="N323" i="16"/>
  <c r="N321" i="16" s="1"/>
  <c r="M323" i="16"/>
  <c r="P323" i="16" s="1"/>
  <c r="L323" i="16"/>
  <c r="L321" i="16" s="1"/>
  <c r="O321" i="16" s="1"/>
  <c r="P322" i="16"/>
  <c r="O322" i="16"/>
  <c r="N320" i="16"/>
  <c r="N318" i="16" s="1"/>
  <c r="M320" i="16"/>
  <c r="P320" i="16" s="1"/>
  <c r="L320" i="16"/>
  <c r="O320" i="16" s="1"/>
  <c r="P319" i="16"/>
  <c r="O319" i="16"/>
  <c r="P316" i="16"/>
  <c r="O316" i="16"/>
  <c r="N316" i="16"/>
  <c r="M316" i="16"/>
  <c r="L316" i="16"/>
  <c r="J314" i="16"/>
  <c r="I312" i="16"/>
  <c r="K312" i="16" s="1"/>
  <c r="I311" i="16"/>
  <c r="K311" i="16" s="1"/>
  <c r="I310" i="16"/>
  <c r="K310" i="16" s="1"/>
  <c r="I309" i="16"/>
  <c r="K309" i="16" s="1"/>
  <c r="N306" i="16"/>
  <c r="N304" i="16" s="1"/>
  <c r="M306" i="16"/>
  <c r="P306" i="16" s="1"/>
  <c r="L306" i="16"/>
  <c r="O306" i="16" s="1"/>
  <c r="P305" i="16"/>
  <c r="O305" i="16"/>
  <c r="N303" i="16"/>
  <c r="M303" i="16"/>
  <c r="L303" i="16"/>
  <c r="L301" i="16" s="1"/>
  <c r="P302" i="16"/>
  <c r="O302" i="16"/>
  <c r="O299" i="16"/>
  <c r="N299" i="16"/>
  <c r="M299" i="16"/>
  <c r="P299" i="16" s="1"/>
  <c r="L299" i="16"/>
  <c r="J297" i="16"/>
  <c r="I294" i="16"/>
  <c r="K294" i="16" s="1"/>
  <c r="I293" i="16"/>
  <c r="K293" i="16" s="1"/>
  <c r="I291" i="16"/>
  <c r="K291" i="16" s="1"/>
  <c r="I290" i="16"/>
  <c r="K290" i="16" s="1"/>
  <c r="I288" i="16"/>
  <c r="J288" i="16" s="1"/>
  <c r="I287" i="16"/>
  <c r="K287" i="16" s="1"/>
  <c r="N285" i="16"/>
  <c r="N283" i="16" s="1"/>
  <c r="M285" i="16"/>
  <c r="P285" i="16" s="1"/>
  <c r="L285" i="16"/>
  <c r="P284" i="16"/>
  <c r="O284" i="16"/>
  <c r="N282" i="16"/>
  <c r="N280" i="16" s="1"/>
  <c r="M282" i="16"/>
  <c r="M280" i="16" s="1"/>
  <c r="L282" i="16"/>
  <c r="L280" i="16" s="1"/>
  <c r="P281" i="16"/>
  <c r="O281" i="16"/>
  <c r="N278" i="16"/>
  <c r="M278" i="16"/>
  <c r="L278" i="16"/>
  <c r="O278" i="16" s="1"/>
  <c r="J276" i="16"/>
  <c r="I271" i="16"/>
  <c r="K271" i="16" s="1"/>
  <c r="N269" i="16"/>
  <c r="N267" i="16" s="1"/>
  <c r="M269" i="16"/>
  <c r="M267" i="16" s="1"/>
  <c r="P267" i="16" s="1"/>
  <c r="L269" i="16"/>
  <c r="O269" i="16" s="1"/>
  <c r="P268" i="16"/>
  <c r="O268" i="16"/>
  <c r="N266" i="16"/>
  <c r="N264" i="16" s="1"/>
  <c r="M266" i="16"/>
  <c r="M264" i="16" s="1"/>
  <c r="P264" i="16" s="1"/>
  <c r="L266" i="16"/>
  <c r="L264" i="16" s="1"/>
  <c r="P265" i="16"/>
  <c r="O265" i="16"/>
  <c r="O262" i="16"/>
  <c r="N262" i="16"/>
  <c r="M262" i="16"/>
  <c r="L262" i="16"/>
  <c r="J260" i="16"/>
  <c r="K258" i="16"/>
  <c r="K257" i="16"/>
  <c r="L253" i="16"/>
  <c r="L252" i="16"/>
  <c r="L251" i="16"/>
  <c r="L250" i="16"/>
  <c r="P249" i="16"/>
  <c r="N249" i="16"/>
  <c r="J248" i="16"/>
  <c r="K247" i="16"/>
  <c r="K246" i="16"/>
  <c r="I244" i="16"/>
  <c r="I237" i="16" s="1"/>
  <c r="L242" i="16"/>
  <c r="L241" i="16"/>
  <c r="L240" i="16"/>
  <c r="L239" i="16"/>
  <c r="P238" i="16"/>
  <c r="N238" i="16"/>
  <c r="J237" i="16"/>
  <c r="J236" i="16"/>
  <c r="I236" i="16"/>
  <c r="K236" i="16" s="1"/>
  <c r="J235" i="16"/>
  <c r="I235" i="16"/>
  <c r="K235" i="16" s="1"/>
  <c r="J233" i="16"/>
  <c r="N231" i="16"/>
  <c r="N230" i="16"/>
  <c r="N229" i="16"/>
  <c r="N228" i="16"/>
  <c r="N227" i="16"/>
  <c r="J226" i="16"/>
  <c r="I225" i="16"/>
  <c r="K225" i="16" s="1"/>
  <c r="I224" i="16"/>
  <c r="I216" i="16" s="1"/>
  <c r="K216" i="16" s="1"/>
  <c r="I223" i="16"/>
  <c r="K223" i="16" s="1"/>
  <c r="L220" i="16"/>
  <c r="L219" i="16"/>
  <c r="L218" i="16"/>
  <c r="P217" i="16"/>
  <c r="N217" i="16"/>
  <c r="J216" i="16"/>
  <c r="I215" i="16"/>
  <c r="I208" i="16" s="1"/>
  <c r="K208" i="16" s="1"/>
  <c r="I214" i="16"/>
  <c r="K214" i="16" s="1"/>
  <c r="L212" i="16"/>
  <c r="L211" i="16"/>
  <c r="L210" i="16"/>
  <c r="P209" i="16"/>
  <c r="N209" i="16"/>
  <c r="J208" i="16"/>
  <c r="K207" i="16"/>
  <c r="K206" i="16"/>
  <c r="I204" i="16"/>
  <c r="L202" i="16"/>
  <c r="L201" i="16"/>
  <c r="L200" i="16"/>
  <c r="L199" i="16"/>
  <c r="P198" i="16"/>
  <c r="N198" i="16"/>
  <c r="J197" i="16"/>
  <c r="J194" i="16"/>
  <c r="I193" i="16"/>
  <c r="P191" i="16"/>
  <c r="L191" i="16"/>
  <c r="O191" i="16" s="1"/>
  <c r="J190" i="16"/>
  <c r="N189" i="16"/>
  <c r="N187" i="16" s="1"/>
  <c r="M189" i="16"/>
  <c r="P189" i="16" s="1"/>
  <c r="L189" i="16"/>
  <c r="O189" i="16" s="1"/>
  <c r="P188" i="16"/>
  <c r="O188" i="16"/>
  <c r="N186" i="16"/>
  <c r="M186" i="16"/>
  <c r="M184" i="16" s="1"/>
  <c r="L186" i="16"/>
  <c r="P185" i="16"/>
  <c r="O185" i="16"/>
  <c r="P182" i="16"/>
  <c r="O182" i="16"/>
  <c r="N182" i="16"/>
  <c r="M182" i="16"/>
  <c r="L182" i="16"/>
  <c r="J180" i="16"/>
  <c r="J177" i="16"/>
  <c r="I176" i="16"/>
  <c r="I174" i="16" s="1"/>
  <c r="I164" i="16" s="1"/>
  <c r="J174" i="16"/>
  <c r="J164" i="16" s="1"/>
  <c r="N173" i="16"/>
  <c r="N171" i="16" s="1"/>
  <c r="M173" i="16"/>
  <c r="P173" i="16" s="1"/>
  <c r="L173" i="16"/>
  <c r="O173" i="16" s="1"/>
  <c r="P172" i="16"/>
  <c r="O172" i="16"/>
  <c r="N170" i="16"/>
  <c r="M170" i="16"/>
  <c r="L170" i="16"/>
  <c r="L168" i="16" s="1"/>
  <c r="P169" i="16"/>
  <c r="O169" i="16"/>
  <c r="O166" i="16"/>
  <c r="N166" i="16"/>
  <c r="M166" i="16"/>
  <c r="P166" i="16" s="1"/>
  <c r="L166" i="16"/>
  <c r="I159" i="16"/>
  <c r="K159" i="16" s="1"/>
  <c r="N157" i="16"/>
  <c r="N155" i="16" s="1"/>
  <c r="M157" i="16"/>
  <c r="M155" i="16" s="1"/>
  <c r="P155" i="16" s="1"/>
  <c r="L157" i="16"/>
  <c r="O157" i="16" s="1"/>
  <c r="P156" i="16"/>
  <c r="O156" i="16"/>
  <c r="N154" i="16"/>
  <c r="M154" i="16"/>
  <c r="M152" i="16" s="1"/>
  <c r="L154" i="16"/>
  <c r="P153" i="16"/>
  <c r="O153" i="16"/>
  <c r="O150" i="16"/>
  <c r="N150" i="16"/>
  <c r="M150" i="16"/>
  <c r="L150" i="16"/>
  <c r="J148" i="16"/>
  <c r="I146" i="16"/>
  <c r="I145" i="16"/>
  <c r="K145" i="16" s="1"/>
  <c r="I144" i="16"/>
  <c r="N140" i="16"/>
  <c r="M140" i="16"/>
  <c r="L140" i="16"/>
  <c r="P139" i="16"/>
  <c r="O139" i="16"/>
  <c r="N137" i="16"/>
  <c r="N135" i="16" s="1"/>
  <c r="M137" i="16"/>
  <c r="M135" i="16" s="1"/>
  <c r="P135" i="16" s="1"/>
  <c r="L137" i="16"/>
  <c r="O137" i="16" s="1"/>
  <c r="P136" i="16"/>
  <c r="O136" i="16"/>
  <c r="O133" i="16"/>
  <c r="N133" i="16"/>
  <c r="M133" i="16"/>
  <c r="L133" i="16"/>
  <c r="J130" i="16"/>
  <c r="N127" i="16"/>
  <c r="N125" i="16" s="1"/>
  <c r="M127" i="16"/>
  <c r="L127" i="16"/>
  <c r="O127" i="16" s="1"/>
  <c r="P126" i="16"/>
  <c r="O126" i="16"/>
  <c r="N124" i="16"/>
  <c r="M124" i="16"/>
  <c r="M122" i="16" s="1"/>
  <c r="P122" i="16" s="1"/>
  <c r="L124" i="16"/>
  <c r="O124" i="16" s="1"/>
  <c r="P123" i="16"/>
  <c r="O123" i="16"/>
  <c r="P120" i="16"/>
  <c r="N120" i="16"/>
  <c r="M120" i="16"/>
  <c r="L120" i="16"/>
  <c r="I116" i="16"/>
  <c r="K116" i="16" s="1"/>
  <c r="I115" i="16"/>
  <c r="I114" i="16"/>
  <c r="K114" i="16" s="1"/>
  <c r="I113" i="16"/>
  <c r="K113" i="16" s="1"/>
  <c r="J112" i="16"/>
  <c r="J111" i="16"/>
  <c r="I111" i="16"/>
  <c r="I110" i="16"/>
  <c r="K110" i="16" s="1"/>
  <c r="I109" i="16"/>
  <c r="K109" i="16" s="1"/>
  <c r="I107" i="16"/>
  <c r="K107" i="16" s="1"/>
  <c r="I106" i="16"/>
  <c r="K106" i="16" s="1"/>
  <c r="I104" i="16"/>
  <c r="K104" i="16" s="1"/>
  <c r="I103" i="16"/>
  <c r="K103" i="16" s="1"/>
  <c r="I102" i="16"/>
  <c r="K102" i="16" s="1"/>
  <c r="J100" i="16"/>
  <c r="I100" i="16"/>
  <c r="J99" i="16"/>
  <c r="I99" i="16"/>
  <c r="I87" i="16" s="1"/>
  <c r="J98" i="16"/>
  <c r="J86" i="16" s="1"/>
  <c r="I98" i="16"/>
  <c r="I86" i="16" s="1"/>
  <c r="N96" i="16"/>
  <c r="N94" i="16" s="1"/>
  <c r="M96" i="16"/>
  <c r="P96" i="16" s="1"/>
  <c r="L96" i="16"/>
  <c r="O96" i="16" s="1"/>
  <c r="P95" i="16"/>
  <c r="O95" i="16"/>
  <c r="N93" i="16"/>
  <c r="M93" i="16"/>
  <c r="L93" i="16"/>
  <c r="L91" i="16" s="1"/>
  <c r="P92" i="16"/>
  <c r="O92" i="16"/>
  <c r="O89" i="16"/>
  <c r="N89" i="16"/>
  <c r="M89" i="16"/>
  <c r="P89" i="16" s="1"/>
  <c r="L89" i="16"/>
  <c r="J87" i="16"/>
  <c r="I84" i="16"/>
  <c r="K84" i="16" s="1"/>
  <c r="I83" i="16"/>
  <c r="K83" i="16" s="1"/>
  <c r="I82" i="16"/>
  <c r="K82" i="16" s="1"/>
  <c r="I81" i="16"/>
  <c r="K81" i="16" s="1"/>
  <c r="I80" i="16"/>
  <c r="K80" i="16" s="1"/>
  <c r="I79" i="16"/>
  <c r="K79" i="16" s="1"/>
  <c r="I78" i="16"/>
  <c r="J77" i="16"/>
  <c r="J76" i="16"/>
  <c r="N74" i="16"/>
  <c r="N72" i="16" s="1"/>
  <c r="M74" i="16"/>
  <c r="L74" i="16"/>
  <c r="L72" i="16" s="1"/>
  <c r="O72" i="16" s="1"/>
  <c r="P73" i="16"/>
  <c r="O73" i="16"/>
  <c r="N71" i="16"/>
  <c r="N69" i="16" s="1"/>
  <c r="M71" i="16"/>
  <c r="M69" i="16" s="1"/>
  <c r="P69" i="16" s="1"/>
  <c r="L71" i="16"/>
  <c r="O71" i="16" s="1"/>
  <c r="P70" i="16"/>
  <c r="O70" i="16"/>
  <c r="P67" i="16"/>
  <c r="N67" i="16"/>
  <c r="M67" i="16"/>
  <c r="L67" i="16"/>
  <c r="J65" i="16"/>
  <c r="J64" i="16"/>
  <c r="N61" i="16"/>
  <c r="N59" i="16" s="1"/>
  <c r="M61" i="16"/>
  <c r="M59" i="16" s="1"/>
  <c r="L61" i="16"/>
  <c r="P60" i="16"/>
  <c r="O60" i="16"/>
  <c r="N58" i="16"/>
  <c r="M58" i="16"/>
  <c r="L58" i="16"/>
  <c r="L56" i="16" s="1"/>
  <c r="P57" i="16"/>
  <c r="O57" i="16"/>
  <c r="P54" i="16"/>
  <c r="N54" i="16"/>
  <c r="M54" i="16"/>
  <c r="L54" i="16"/>
  <c r="O54" i="16" s="1"/>
  <c r="N49" i="16"/>
  <c r="M49" i="16"/>
  <c r="P49" i="16" s="1"/>
  <c r="L49" i="16"/>
  <c r="L47" i="16" s="1"/>
  <c r="O47" i="16" s="1"/>
  <c r="P48" i="16"/>
  <c r="O48" i="16"/>
  <c r="N46" i="16"/>
  <c r="N44" i="16" s="1"/>
  <c r="M46" i="16"/>
  <c r="L46" i="16"/>
  <c r="P45" i="16"/>
  <c r="O45" i="16"/>
  <c r="P42" i="16"/>
  <c r="O42" i="16"/>
  <c r="N42" i="16"/>
  <c r="M42" i="16"/>
  <c r="L42" i="16"/>
  <c r="P36" i="16"/>
  <c r="N36" i="16"/>
  <c r="N34" i="16" s="1"/>
  <c r="M36" i="16"/>
  <c r="O35" i="16"/>
  <c r="N35" i="16"/>
  <c r="M35" i="16"/>
  <c r="L35" i="16"/>
  <c r="P33" i="16"/>
  <c r="N33" i="16"/>
  <c r="M33" i="16"/>
  <c r="P32" i="16"/>
  <c r="O32" i="16"/>
  <c r="N32" i="16"/>
  <c r="N29" i="16" s="1"/>
  <c r="N28" i="16" s="1"/>
  <c r="M32" i="16"/>
  <c r="L32" i="16"/>
  <c r="N31" i="16"/>
  <c r="M31" i="16"/>
  <c r="P31" i="16" s="1"/>
  <c r="P30" i="16"/>
  <c r="N30" i="16"/>
  <c r="M30" i="16"/>
  <c r="O29" i="16"/>
  <c r="M29" i="16"/>
  <c r="L29" i="16"/>
  <c r="P25" i="16"/>
  <c r="N25" i="16"/>
  <c r="N15" i="16" s="1"/>
  <c r="M25" i="16"/>
  <c r="L25" i="16"/>
  <c r="O25" i="16" s="1"/>
  <c r="N22" i="16"/>
  <c r="M22" i="16"/>
  <c r="L22" i="16"/>
  <c r="O22" i="16" s="1"/>
  <c r="N19" i="16"/>
  <c r="O15" i="16"/>
  <c r="M15" i="16"/>
  <c r="L15" i="16"/>
  <c r="L12" i="16"/>
  <c r="J828" i="15"/>
  <c r="I828" i="15"/>
  <c r="J827" i="15"/>
  <c r="I827" i="15"/>
  <c r="J826" i="15"/>
  <c r="I826" i="15"/>
  <c r="K826" i="15" s="1"/>
  <c r="J825" i="15"/>
  <c r="I825" i="15"/>
  <c r="K825" i="15" s="1"/>
  <c r="J824" i="15"/>
  <c r="I824" i="15"/>
  <c r="J823" i="15"/>
  <c r="I823" i="15"/>
  <c r="J822" i="15"/>
  <c r="I822" i="15"/>
  <c r="J821" i="15"/>
  <c r="I821" i="15"/>
  <c r="P817" i="15"/>
  <c r="O817" i="15"/>
  <c r="P816" i="15"/>
  <c r="O816" i="15"/>
  <c r="N815" i="15"/>
  <c r="M815" i="15"/>
  <c r="P815" i="15" s="1"/>
  <c r="L815" i="15"/>
  <c r="O815" i="15" s="1"/>
  <c r="P810" i="15"/>
  <c r="O810" i="15"/>
  <c r="N810" i="15"/>
  <c r="P809" i="15"/>
  <c r="O809" i="15"/>
  <c r="M808" i="15"/>
  <c r="P808" i="15" s="1"/>
  <c r="L808" i="15"/>
  <c r="O808" i="15" s="1"/>
  <c r="M807" i="15"/>
  <c r="P807" i="15" s="1"/>
  <c r="L807" i="15"/>
  <c r="N806" i="15"/>
  <c r="M806" i="15"/>
  <c r="P806" i="15" s="1"/>
  <c r="L806" i="15"/>
  <c r="O806" i="15" s="1"/>
  <c r="K804" i="15"/>
  <c r="J804" i="15"/>
  <c r="K802" i="15"/>
  <c r="J801" i="15"/>
  <c r="J800" i="15"/>
  <c r="J785" i="15" s="1"/>
  <c r="I800" i="15"/>
  <c r="I785" i="15" s="1"/>
  <c r="K785" i="15" s="1"/>
  <c r="P798" i="15"/>
  <c r="O798" i="15"/>
  <c r="P797" i="15"/>
  <c r="O797" i="15"/>
  <c r="N796" i="15"/>
  <c r="M796" i="15"/>
  <c r="P796" i="15" s="1"/>
  <c r="L796" i="15"/>
  <c r="O796" i="15" s="1"/>
  <c r="P791" i="15"/>
  <c r="N791" i="15"/>
  <c r="N788" i="15" s="1"/>
  <c r="L791" i="15"/>
  <c r="P790" i="15"/>
  <c r="O790" i="15"/>
  <c r="M789" i="15"/>
  <c r="P789" i="15" s="1"/>
  <c r="M788" i="15"/>
  <c r="P788" i="15" s="1"/>
  <c r="N787" i="15"/>
  <c r="M787" i="15"/>
  <c r="P787" i="15" s="1"/>
  <c r="L787" i="15"/>
  <c r="O787" i="15" s="1"/>
  <c r="P782" i="15"/>
  <c r="O782" i="15"/>
  <c r="P781" i="15"/>
  <c r="O781" i="15"/>
  <c r="N780" i="15"/>
  <c r="M780" i="15"/>
  <c r="P780" i="15" s="1"/>
  <c r="L780" i="15"/>
  <c r="O780" i="15" s="1"/>
  <c r="P775" i="15"/>
  <c r="O775" i="15"/>
  <c r="N775" i="15"/>
  <c r="N772" i="15" s="1"/>
  <c r="P774" i="15"/>
  <c r="O774" i="15"/>
  <c r="M773" i="15"/>
  <c r="P773" i="15" s="1"/>
  <c r="L773" i="15"/>
  <c r="O773" i="15" s="1"/>
  <c r="M772" i="15"/>
  <c r="L772" i="15"/>
  <c r="O772" i="15" s="1"/>
  <c r="N771" i="15"/>
  <c r="M771" i="15"/>
  <c r="P771" i="15" s="1"/>
  <c r="L771" i="15"/>
  <c r="K769" i="15"/>
  <c r="J769" i="15"/>
  <c r="P766" i="15"/>
  <c r="O766" i="15"/>
  <c r="P765" i="15"/>
  <c r="O765" i="15"/>
  <c r="N764" i="15"/>
  <c r="M764" i="15"/>
  <c r="P764" i="15" s="1"/>
  <c r="L764" i="15"/>
  <c r="O764" i="15" s="1"/>
  <c r="P759" i="15"/>
  <c r="O759" i="15"/>
  <c r="N759" i="15"/>
  <c r="N756" i="15" s="1"/>
  <c r="P758" i="15"/>
  <c r="O758" i="15"/>
  <c r="M757" i="15"/>
  <c r="P757" i="15" s="1"/>
  <c r="L757" i="15"/>
  <c r="O757" i="15" s="1"/>
  <c r="M756" i="15"/>
  <c r="L756" i="15"/>
  <c r="O756" i="15" s="1"/>
  <c r="N755" i="15"/>
  <c r="M755" i="15"/>
  <c r="P755" i="15" s="1"/>
  <c r="L755" i="15"/>
  <c r="K753" i="15"/>
  <c r="J753" i="15"/>
  <c r="P749" i="15"/>
  <c r="O749" i="15"/>
  <c r="P748" i="15"/>
  <c r="O748" i="15"/>
  <c r="N747" i="15"/>
  <c r="M747" i="15"/>
  <c r="P747" i="15" s="1"/>
  <c r="L747" i="15"/>
  <c r="O747" i="15" s="1"/>
  <c r="P742" i="15"/>
  <c r="O742" i="15"/>
  <c r="N742" i="15"/>
  <c r="N739" i="15" s="1"/>
  <c r="P741" i="15"/>
  <c r="O741" i="15"/>
  <c r="M740" i="15"/>
  <c r="P740" i="15" s="1"/>
  <c r="L740" i="15"/>
  <c r="O740" i="15" s="1"/>
  <c r="M739" i="15"/>
  <c r="L739" i="15"/>
  <c r="O739" i="15" s="1"/>
  <c r="N738" i="15"/>
  <c r="M738" i="15"/>
  <c r="P738" i="15" s="1"/>
  <c r="L738" i="15"/>
  <c r="K736" i="15"/>
  <c r="J736" i="15"/>
  <c r="J729" i="15"/>
  <c r="I729" i="15"/>
  <c r="K729" i="15" s="1"/>
  <c r="J728" i="15"/>
  <c r="I728" i="15"/>
  <c r="K728" i="15" s="1"/>
  <c r="J727" i="15"/>
  <c r="J726" i="15"/>
  <c r="I726" i="15"/>
  <c r="K726" i="15" s="1"/>
  <c r="J725" i="15"/>
  <c r="I725" i="15"/>
  <c r="K725" i="15" s="1"/>
  <c r="J724" i="15"/>
  <c r="J723" i="15"/>
  <c r="I723" i="15"/>
  <c r="K723" i="15" s="1"/>
  <c r="I722" i="15"/>
  <c r="K722" i="15" s="1"/>
  <c r="I721" i="15"/>
  <c r="K721" i="15" s="1"/>
  <c r="J720" i="15"/>
  <c r="I720" i="15"/>
  <c r="K720" i="15" s="1"/>
  <c r="J719" i="15"/>
  <c r="J718" i="15"/>
  <c r="J708" i="15"/>
  <c r="I708" i="15"/>
  <c r="K708" i="15" s="1"/>
  <c r="I707" i="15"/>
  <c r="I704" i="15"/>
  <c r="J701" i="15"/>
  <c r="I701" i="15"/>
  <c r="K701" i="15" s="1"/>
  <c r="J700" i="15"/>
  <c r="I700" i="15"/>
  <c r="K700" i="15" s="1"/>
  <c r="J699" i="15"/>
  <c r="I699" i="15"/>
  <c r="K699" i="15" s="1"/>
  <c r="P697" i="15"/>
  <c r="O697" i="15"/>
  <c r="P696" i="15"/>
  <c r="O696" i="15"/>
  <c r="N695" i="15"/>
  <c r="M695" i="15"/>
  <c r="P695" i="15" s="1"/>
  <c r="L695" i="15"/>
  <c r="O695" i="15" s="1"/>
  <c r="P690" i="15"/>
  <c r="N690" i="15"/>
  <c r="N688" i="15" s="1"/>
  <c r="M688" i="15"/>
  <c r="P688" i="15" s="1"/>
  <c r="M687" i="15"/>
  <c r="P687" i="15" s="1"/>
  <c r="N686" i="15"/>
  <c r="M686" i="15"/>
  <c r="P686" i="15" s="1"/>
  <c r="L686" i="15"/>
  <c r="O686" i="15" s="1"/>
  <c r="J679" i="15"/>
  <c r="J678" i="15" s="1"/>
  <c r="I678" i="15"/>
  <c r="K678" i="15" s="1"/>
  <c r="J675" i="15"/>
  <c r="J669" i="15" s="1"/>
  <c r="J654" i="15" s="1"/>
  <c r="I671" i="15"/>
  <c r="K671" i="15" s="1"/>
  <c r="I670" i="15"/>
  <c r="K670" i="15" s="1"/>
  <c r="I669" i="15"/>
  <c r="K673" i="15" s="1"/>
  <c r="P667" i="15"/>
  <c r="O667" i="15"/>
  <c r="P666" i="15"/>
  <c r="O666" i="15"/>
  <c r="N665" i="15"/>
  <c r="M665" i="15"/>
  <c r="P665" i="15" s="1"/>
  <c r="L665" i="15"/>
  <c r="O665" i="15" s="1"/>
  <c r="P660" i="15"/>
  <c r="N660" i="15"/>
  <c r="N657" i="15" s="1"/>
  <c r="O660" i="15"/>
  <c r="P659" i="15"/>
  <c r="O659" i="15"/>
  <c r="M658" i="15"/>
  <c r="P658" i="15" s="1"/>
  <c r="M657" i="15"/>
  <c r="P657" i="15" s="1"/>
  <c r="N656" i="15"/>
  <c r="M656" i="15"/>
  <c r="P656" i="15" s="1"/>
  <c r="L656" i="15"/>
  <c r="K652" i="15"/>
  <c r="J652" i="15"/>
  <c r="J651" i="15"/>
  <c r="J628" i="15" s="1"/>
  <c r="I651" i="15"/>
  <c r="K650" i="15"/>
  <c r="J650" i="15"/>
  <c r="J649" i="15"/>
  <c r="I649" i="15"/>
  <c r="K648" i="15"/>
  <c r="J648" i="15"/>
  <c r="J647" i="15"/>
  <c r="I647" i="15"/>
  <c r="K646" i="15"/>
  <c r="J646" i="15"/>
  <c r="K645" i="15"/>
  <c r="J645" i="15"/>
  <c r="I644" i="15"/>
  <c r="K644" i="15" s="1"/>
  <c r="I643" i="15"/>
  <c r="K643" i="15" s="1"/>
  <c r="P641" i="15"/>
  <c r="L641" i="15"/>
  <c r="P640" i="15"/>
  <c r="O640" i="15"/>
  <c r="N639" i="15"/>
  <c r="M639" i="15"/>
  <c r="P639" i="15" s="1"/>
  <c r="P634" i="15"/>
  <c r="N634" i="15"/>
  <c r="L634" i="15"/>
  <c r="P633" i="15"/>
  <c r="O633" i="15"/>
  <c r="P632" i="15"/>
  <c r="N632" i="15"/>
  <c r="M632" i="15"/>
  <c r="N631" i="15"/>
  <c r="M631" i="15"/>
  <c r="P631" i="15" s="1"/>
  <c r="N630" i="15"/>
  <c r="N629" i="15" s="1"/>
  <c r="M630" i="15"/>
  <c r="M629" i="15" s="1"/>
  <c r="P629" i="15" s="1"/>
  <c r="L630" i="15"/>
  <c r="O630" i="15" s="1"/>
  <c r="J621" i="15"/>
  <c r="I621" i="15"/>
  <c r="K621" i="15" s="1"/>
  <c r="J620" i="15"/>
  <c r="I620" i="15"/>
  <c r="K620" i="15" s="1"/>
  <c r="K613" i="15"/>
  <c r="J613" i="15"/>
  <c r="K612" i="15"/>
  <c r="J612" i="15"/>
  <c r="K611" i="15"/>
  <c r="J611" i="15"/>
  <c r="J604" i="15"/>
  <c r="J603" i="15"/>
  <c r="J596" i="15"/>
  <c r="J594" i="15" s="1"/>
  <c r="J595" i="15"/>
  <c r="I594" i="15"/>
  <c r="J593" i="15"/>
  <c r="I593" i="15"/>
  <c r="I592" i="15" s="1"/>
  <c r="J592" i="15"/>
  <c r="J583" i="15"/>
  <c r="J577" i="15" s="1"/>
  <c r="J582" i="15"/>
  <c r="J576" i="15" s="1"/>
  <c r="J559" i="15" s="1"/>
  <c r="J543" i="15" s="1"/>
  <c r="I577" i="15"/>
  <c r="K577" i="15" s="1"/>
  <c r="I576" i="15"/>
  <c r="K576" i="15" s="1"/>
  <c r="J569" i="15"/>
  <c r="I569" i="15"/>
  <c r="K569" i="15" s="1"/>
  <c r="J568" i="15"/>
  <c r="I568" i="15"/>
  <c r="K568" i="15" s="1"/>
  <c r="J561" i="15"/>
  <c r="I561" i="15"/>
  <c r="K561" i="15" s="1"/>
  <c r="J560" i="15"/>
  <c r="I560" i="15"/>
  <c r="K560" i="15" s="1"/>
  <c r="P557" i="15"/>
  <c r="L557" i="15"/>
  <c r="P556" i="15"/>
  <c r="O556" i="15"/>
  <c r="P555" i="15"/>
  <c r="N555" i="15"/>
  <c r="N545" i="15" s="1"/>
  <c r="N544" i="15" s="1"/>
  <c r="M555" i="15"/>
  <c r="P549" i="15"/>
  <c r="N549" i="15"/>
  <c r="L549" i="15"/>
  <c r="O549" i="15" s="1"/>
  <c r="P548" i="15"/>
  <c r="O548" i="15"/>
  <c r="N547" i="15"/>
  <c r="M547" i="15"/>
  <c r="P547" i="15" s="1"/>
  <c r="P546" i="15"/>
  <c r="N546" i="15"/>
  <c r="M546" i="15"/>
  <c r="O545" i="15"/>
  <c r="M545" i="15"/>
  <c r="L545" i="15"/>
  <c r="I542" i="15"/>
  <c r="K542" i="15" s="1"/>
  <c r="I541" i="15"/>
  <c r="K541" i="15" s="1"/>
  <c r="I540" i="15"/>
  <c r="K540" i="15" s="1"/>
  <c r="I539" i="15"/>
  <c r="K539" i="15" s="1"/>
  <c r="I538" i="15"/>
  <c r="K538" i="15" s="1"/>
  <c r="I537" i="15"/>
  <c r="P535" i="15"/>
  <c r="L535" i="15"/>
  <c r="O535" i="15" s="1"/>
  <c r="P534" i="15"/>
  <c r="O534" i="15"/>
  <c r="P533" i="15"/>
  <c r="N533" i="15"/>
  <c r="M533" i="15"/>
  <c r="P528" i="15"/>
  <c r="N528" i="15"/>
  <c r="L528" i="15"/>
  <c r="P527" i="15"/>
  <c r="O527" i="15"/>
  <c r="P526" i="15"/>
  <c r="N526" i="15"/>
  <c r="M526" i="15"/>
  <c r="P525" i="15"/>
  <c r="N525" i="15"/>
  <c r="M525" i="15"/>
  <c r="O524" i="15"/>
  <c r="N524" i="15"/>
  <c r="N523" i="15" s="1"/>
  <c r="M524" i="15"/>
  <c r="P524" i="15" s="1"/>
  <c r="L524" i="15"/>
  <c r="P523" i="15"/>
  <c r="M523" i="15"/>
  <c r="K517" i="15"/>
  <c r="J517" i="15"/>
  <c r="J501" i="15" s="1"/>
  <c r="K516" i="15"/>
  <c r="P514" i="15"/>
  <c r="O514" i="15"/>
  <c r="P513" i="15"/>
  <c r="O513" i="15"/>
  <c r="P512" i="15"/>
  <c r="O512" i="15"/>
  <c r="N512" i="15"/>
  <c r="M512" i="15"/>
  <c r="L512" i="15"/>
  <c r="P507" i="15"/>
  <c r="O507" i="15"/>
  <c r="N507" i="15"/>
  <c r="P506" i="15"/>
  <c r="O506" i="15"/>
  <c r="O505" i="15"/>
  <c r="N505" i="15"/>
  <c r="M505" i="15"/>
  <c r="P505" i="15" s="1"/>
  <c r="L505" i="15"/>
  <c r="P504" i="15"/>
  <c r="N504" i="15"/>
  <c r="M504" i="15"/>
  <c r="L504" i="15"/>
  <c r="O504" i="15" s="1"/>
  <c r="O503" i="15"/>
  <c r="N503" i="15"/>
  <c r="M503" i="15"/>
  <c r="M502" i="15" s="1"/>
  <c r="P502" i="15" s="1"/>
  <c r="L503" i="15"/>
  <c r="L502" i="15" s="1"/>
  <c r="O502" i="15" s="1"/>
  <c r="N502" i="15"/>
  <c r="K501" i="15"/>
  <c r="K500" i="15"/>
  <c r="J500" i="15"/>
  <c r="I498" i="15"/>
  <c r="K498" i="15" s="1"/>
  <c r="I495" i="15"/>
  <c r="K495" i="15" s="1"/>
  <c r="I492" i="15"/>
  <c r="K492" i="15" s="1"/>
  <c r="I489" i="15"/>
  <c r="K489" i="15" s="1"/>
  <c r="I487" i="15"/>
  <c r="K487" i="15" s="1"/>
  <c r="I485" i="15"/>
  <c r="K485" i="15" s="1"/>
  <c r="I483" i="15"/>
  <c r="K483" i="15" s="1"/>
  <c r="P479" i="15"/>
  <c r="L479" i="15"/>
  <c r="L477" i="15" s="1"/>
  <c r="O477" i="15" s="1"/>
  <c r="P478" i="15"/>
  <c r="O478" i="15"/>
  <c r="P477" i="15"/>
  <c r="N477" i="15"/>
  <c r="M477" i="15"/>
  <c r="P472" i="15"/>
  <c r="N472" i="15"/>
  <c r="L472" i="15"/>
  <c r="L470" i="15" s="1"/>
  <c r="P471" i="15"/>
  <c r="O471" i="15"/>
  <c r="M470" i="15"/>
  <c r="P470" i="15" s="1"/>
  <c r="P469" i="15"/>
  <c r="N469" i="15"/>
  <c r="M469" i="15"/>
  <c r="N468" i="15"/>
  <c r="M468" i="15"/>
  <c r="L468" i="15"/>
  <c r="N467" i="15"/>
  <c r="J466" i="15"/>
  <c r="I466" i="15"/>
  <c r="K466" i="15" s="1"/>
  <c r="J465" i="15"/>
  <c r="I465" i="15"/>
  <c r="K465" i="15" s="1"/>
  <c r="I464" i="15"/>
  <c r="I463" i="15"/>
  <c r="I462" i="15"/>
  <c r="I460" i="15"/>
  <c r="K458" i="15"/>
  <c r="P456" i="15"/>
  <c r="L456" i="15"/>
  <c r="P455" i="15"/>
  <c r="O455" i="15"/>
  <c r="P454" i="15"/>
  <c r="N454" i="15"/>
  <c r="M454" i="15"/>
  <c r="P449" i="15"/>
  <c r="N449" i="15"/>
  <c r="L449" i="15"/>
  <c r="O449" i="15" s="1"/>
  <c r="P448" i="15"/>
  <c r="O448" i="15"/>
  <c r="P447" i="15"/>
  <c r="N447" i="15"/>
  <c r="M447" i="15"/>
  <c r="N446" i="15"/>
  <c r="M446" i="15"/>
  <c r="P446" i="15" s="1"/>
  <c r="N445" i="15"/>
  <c r="N444" i="15" s="1"/>
  <c r="M445" i="15"/>
  <c r="M444" i="15" s="1"/>
  <c r="P444" i="15" s="1"/>
  <c r="L445" i="15"/>
  <c r="O445" i="15" s="1"/>
  <c r="J443" i="15"/>
  <c r="J442" i="15"/>
  <c r="I441" i="15"/>
  <c r="K441" i="15" s="1"/>
  <c r="I440" i="15"/>
  <c r="K440" i="15" s="1"/>
  <c r="I439" i="15"/>
  <c r="K439" i="15" s="1"/>
  <c r="I438" i="15"/>
  <c r="K438" i="15" s="1"/>
  <c r="I437" i="15"/>
  <c r="K437" i="15" s="1"/>
  <c r="I435" i="15"/>
  <c r="K435" i="15" s="1"/>
  <c r="J434" i="15"/>
  <c r="P431" i="15"/>
  <c r="L431" i="15"/>
  <c r="P430" i="15"/>
  <c r="O430" i="15"/>
  <c r="N429" i="15"/>
  <c r="M429" i="15"/>
  <c r="P429" i="15" s="1"/>
  <c r="P424" i="15"/>
  <c r="N424" i="15"/>
  <c r="N421" i="15" s="1"/>
  <c r="L424" i="15"/>
  <c r="L422" i="15" s="1"/>
  <c r="P423" i="15"/>
  <c r="O423" i="15"/>
  <c r="N422" i="15"/>
  <c r="M422" i="15"/>
  <c r="P422" i="15" s="1"/>
  <c r="M421" i="15"/>
  <c r="P421" i="15" s="1"/>
  <c r="N420" i="15"/>
  <c r="M420" i="15"/>
  <c r="P420" i="15" s="1"/>
  <c r="L420" i="15"/>
  <c r="J418" i="15"/>
  <c r="K413" i="15"/>
  <c r="K412" i="15"/>
  <c r="N410" i="15"/>
  <c r="N408" i="15" s="1"/>
  <c r="M410" i="15"/>
  <c r="P410" i="15" s="1"/>
  <c r="L410" i="15"/>
  <c r="O410" i="15" s="1"/>
  <c r="P409" i="15"/>
  <c r="O409" i="15"/>
  <c r="N407" i="15"/>
  <c r="N405" i="15" s="1"/>
  <c r="M407" i="15"/>
  <c r="P407" i="15" s="1"/>
  <c r="L407" i="15"/>
  <c r="O407" i="15" s="1"/>
  <c r="P406" i="15"/>
  <c r="O406" i="15"/>
  <c r="P403" i="15"/>
  <c r="N403" i="15"/>
  <c r="M403" i="15"/>
  <c r="L403" i="15"/>
  <c r="J401" i="15"/>
  <c r="I401" i="15"/>
  <c r="K401" i="15" s="1"/>
  <c r="K400" i="15"/>
  <c r="K399" i="15"/>
  <c r="N397" i="15"/>
  <c r="N395" i="15" s="1"/>
  <c r="M397" i="15"/>
  <c r="L397" i="15"/>
  <c r="P396" i="15"/>
  <c r="O396" i="15"/>
  <c r="N394" i="15"/>
  <c r="M394" i="15"/>
  <c r="L394" i="15"/>
  <c r="O394" i="15" s="1"/>
  <c r="P393" i="15"/>
  <c r="O393" i="15"/>
  <c r="P390" i="15"/>
  <c r="N390" i="15"/>
  <c r="M390" i="15"/>
  <c r="L390" i="15"/>
  <c r="O390" i="15" s="1"/>
  <c r="J388" i="15"/>
  <c r="I388" i="15"/>
  <c r="K388" i="15" s="1"/>
  <c r="J385" i="15"/>
  <c r="I385" i="15"/>
  <c r="K382" i="15"/>
  <c r="J382" i="15"/>
  <c r="J381" i="15"/>
  <c r="J374" i="15" s="1"/>
  <c r="I381" i="15"/>
  <c r="K380" i="15"/>
  <c r="J380" i="15"/>
  <c r="J379" i="15"/>
  <c r="I379" i="15"/>
  <c r="J378" i="15"/>
  <c r="I378" i="15"/>
  <c r="K377" i="15"/>
  <c r="J377" i="15"/>
  <c r="I374" i="15"/>
  <c r="K373" i="15"/>
  <c r="J373" i="15"/>
  <c r="J372" i="15"/>
  <c r="J365" i="15" s="1"/>
  <c r="I372" i="15"/>
  <c r="K371" i="15"/>
  <c r="J371" i="15"/>
  <c r="J370" i="15"/>
  <c r="I370" i="15"/>
  <c r="J369" i="15"/>
  <c r="I369" i="15"/>
  <c r="K368" i="15"/>
  <c r="J368" i="15"/>
  <c r="I365" i="15"/>
  <c r="K363" i="15"/>
  <c r="J363" i="15"/>
  <c r="J362" i="15"/>
  <c r="J355" i="15" s="1"/>
  <c r="I362" i="15"/>
  <c r="K361" i="15"/>
  <c r="J361" i="15"/>
  <c r="J360" i="15"/>
  <c r="I360" i="15"/>
  <c r="J359" i="15"/>
  <c r="I359" i="15"/>
  <c r="K358" i="15"/>
  <c r="J358" i="15"/>
  <c r="I355" i="15"/>
  <c r="N353" i="15"/>
  <c r="N351" i="15" s="1"/>
  <c r="M353" i="15"/>
  <c r="L353" i="15"/>
  <c r="P352" i="15"/>
  <c r="O352" i="15"/>
  <c r="N350" i="15"/>
  <c r="M350" i="15"/>
  <c r="L350" i="15"/>
  <c r="L348" i="15" s="1"/>
  <c r="P349" i="15"/>
  <c r="O349" i="15"/>
  <c r="N346" i="15"/>
  <c r="M346" i="15"/>
  <c r="P346" i="15" s="1"/>
  <c r="L346" i="15"/>
  <c r="O346" i="15" s="1"/>
  <c r="J343" i="15"/>
  <c r="J342" i="15"/>
  <c r="J341" i="15"/>
  <c r="J340" i="15"/>
  <c r="I340" i="15"/>
  <c r="J338" i="15"/>
  <c r="I338" i="15"/>
  <c r="N336" i="15"/>
  <c r="N334" i="15" s="1"/>
  <c r="M336" i="15"/>
  <c r="L336" i="15"/>
  <c r="P335" i="15"/>
  <c r="O335" i="15"/>
  <c r="N333" i="15"/>
  <c r="N331" i="15" s="1"/>
  <c r="M333" i="15"/>
  <c r="L333" i="15"/>
  <c r="L331" i="15" s="1"/>
  <c r="P332" i="15"/>
  <c r="O332" i="15"/>
  <c r="N329" i="15"/>
  <c r="M329" i="15"/>
  <c r="L329" i="15"/>
  <c r="O329" i="15" s="1"/>
  <c r="I327" i="15"/>
  <c r="I325" i="15"/>
  <c r="I314" i="15" s="1"/>
  <c r="K314" i="15" s="1"/>
  <c r="N323" i="15"/>
  <c r="N321" i="15" s="1"/>
  <c r="M323" i="15"/>
  <c r="L323" i="15"/>
  <c r="O323" i="15" s="1"/>
  <c r="P322" i="15"/>
  <c r="O322" i="15"/>
  <c r="N320" i="15"/>
  <c r="M320" i="15"/>
  <c r="L320" i="15"/>
  <c r="O320" i="15" s="1"/>
  <c r="P319" i="15"/>
  <c r="O319" i="15"/>
  <c r="P316" i="15"/>
  <c r="N316" i="15"/>
  <c r="M316" i="15"/>
  <c r="L316" i="15"/>
  <c r="J314" i="15"/>
  <c r="I312" i="15"/>
  <c r="K312" i="15" s="1"/>
  <c r="I311" i="15"/>
  <c r="K311" i="15" s="1"/>
  <c r="I310" i="15"/>
  <c r="K310" i="15" s="1"/>
  <c r="I309" i="15"/>
  <c r="K309" i="15" s="1"/>
  <c r="N306" i="15"/>
  <c r="N304" i="15" s="1"/>
  <c r="M306" i="15"/>
  <c r="P306" i="15" s="1"/>
  <c r="L306" i="15"/>
  <c r="P305" i="15"/>
  <c r="O305" i="15"/>
  <c r="N303" i="15"/>
  <c r="N301" i="15" s="1"/>
  <c r="M303" i="15"/>
  <c r="M301" i="15" s="1"/>
  <c r="L303" i="15"/>
  <c r="L301" i="15" s="1"/>
  <c r="P302" i="15"/>
  <c r="O302" i="15"/>
  <c r="O299" i="15"/>
  <c r="N299" i="15"/>
  <c r="M299" i="15"/>
  <c r="P299" i="15" s="1"/>
  <c r="L299" i="15"/>
  <c r="J297" i="15"/>
  <c r="I294" i="15"/>
  <c r="K294" i="15" s="1"/>
  <c r="I293" i="15"/>
  <c r="K293" i="15" s="1"/>
  <c r="I291" i="15"/>
  <c r="K291" i="15" s="1"/>
  <c r="I290" i="15"/>
  <c r="K290" i="15" s="1"/>
  <c r="I288" i="15"/>
  <c r="I287" i="15"/>
  <c r="K287" i="15" s="1"/>
  <c r="N285" i="15"/>
  <c r="N283" i="15" s="1"/>
  <c r="M285" i="15"/>
  <c r="P285" i="15" s="1"/>
  <c r="L285" i="15"/>
  <c r="O285" i="15" s="1"/>
  <c r="P284" i="15"/>
  <c r="O284" i="15"/>
  <c r="N282" i="15"/>
  <c r="N280" i="15" s="1"/>
  <c r="M282" i="15"/>
  <c r="L282" i="15"/>
  <c r="P281" i="15"/>
  <c r="O281" i="15"/>
  <c r="P278" i="15"/>
  <c r="O278" i="15"/>
  <c r="N278" i="15"/>
  <c r="M278" i="15"/>
  <c r="L278" i="15"/>
  <c r="J276" i="15"/>
  <c r="I271" i="15"/>
  <c r="I260" i="15" s="1"/>
  <c r="K260" i="15" s="1"/>
  <c r="N269" i="15"/>
  <c r="N267" i="15" s="1"/>
  <c r="M269" i="15"/>
  <c r="P269" i="15" s="1"/>
  <c r="L269" i="15"/>
  <c r="L267" i="15" s="1"/>
  <c r="O267" i="15" s="1"/>
  <c r="P268" i="15"/>
  <c r="O268" i="15"/>
  <c r="N266" i="15"/>
  <c r="N264" i="15" s="1"/>
  <c r="M266" i="15"/>
  <c r="P266" i="15" s="1"/>
  <c r="L266" i="15"/>
  <c r="P265" i="15"/>
  <c r="O265" i="15"/>
  <c r="P262" i="15"/>
  <c r="O262" i="15"/>
  <c r="N262" i="15"/>
  <c r="M262" i="15"/>
  <c r="L262" i="15"/>
  <c r="J260" i="15"/>
  <c r="K258" i="15"/>
  <c r="K257" i="15"/>
  <c r="L253" i="15"/>
  <c r="L252" i="15"/>
  <c r="L251" i="15"/>
  <c r="L250" i="15"/>
  <c r="P249" i="15"/>
  <c r="N249" i="15"/>
  <c r="J248" i="15"/>
  <c r="J226" i="15" s="1"/>
  <c r="J180" i="15" s="1"/>
  <c r="K247" i="15"/>
  <c r="K246" i="15"/>
  <c r="I244" i="15"/>
  <c r="L242" i="15"/>
  <c r="L241" i="15"/>
  <c r="L240" i="15"/>
  <c r="L239" i="15"/>
  <c r="P238" i="15"/>
  <c r="N238" i="15"/>
  <c r="J237" i="15"/>
  <c r="J236" i="15"/>
  <c r="I236" i="15"/>
  <c r="J235" i="15"/>
  <c r="I235" i="15"/>
  <c r="J233" i="15"/>
  <c r="N231" i="15"/>
  <c r="N230" i="15"/>
  <c r="N229" i="15"/>
  <c r="N228" i="15"/>
  <c r="I225" i="15"/>
  <c r="K225" i="15" s="1"/>
  <c r="I224" i="15"/>
  <c r="K224" i="15" s="1"/>
  <c r="I223" i="15"/>
  <c r="K223" i="15" s="1"/>
  <c r="L220" i="15"/>
  <c r="L219" i="15"/>
  <c r="L218" i="15"/>
  <c r="P217" i="15"/>
  <c r="N217" i="15"/>
  <c r="J216" i="15"/>
  <c r="I215" i="15"/>
  <c r="I208" i="15" s="1"/>
  <c r="K208" i="15" s="1"/>
  <c r="I214" i="15"/>
  <c r="K214" i="15" s="1"/>
  <c r="L212" i="15"/>
  <c r="L211" i="15"/>
  <c r="L210" i="15"/>
  <c r="P209" i="15"/>
  <c r="N209" i="15"/>
  <c r="J208" i="15"/>
  <c r="K207" i="15"/>
  <c r="K206" i="15"/>
  <c r="I204" i="15"/>
  <c r="K204" i="15" s="1"/>
  <c r="L202" i="15"/>
  <c r="L201" i="15"/>
  <c r="L200" i="15"/>
  <c r="L199" i="15"/>
  <c r="P198" i="15"/>
  <c r="N198" i="15"/>
  <c r="J197" i="15"/>
  <c r="J194" i="15"/>
  <c r="I193" i="15"/>
  <c r="K193" i="15" s="1"/>
  <c r="P191" i="15"/>
  <c r="L191" i="15"/>
  <c r="O191" i="15" s="1"/>
  <c r="J190" i="15"/>
  <c r="N189" i="15"/>
  <c r="M189" i="15"/>
  <c r="M187" i="15" s="1"/>
  <c r="P187" i="15" s="1"/>
  <c r="L189" i="15"/>
  <c r="L187" i="15" s="1"/>
  <c r="O187" i="15" s="1"/>
  <c r="P188" i="15"/>
  <c r="O188" i="15"/>
  <c r="N186" i="15"/>
  <c r="M186" i="15"/>
  <c r="M184" i="15" s="1"/>
  <c r="L186" i="15"/>
  <c r="L184" i="15" s="1"/>
  <c r="P185" i="15"/>
  <c r="O185" i="15"/>
  <c r="N182" i="15"/>
  <c r="M182" i="15"/>
  <c r="P182" i="15" s="1"/>
  <c r="L182" i="15"/>
  <c r="O182" i="15" s="1"/>
  <c r="J177" i="15"/>
  <c r="I176" i="15"/>
  <c r="I174" i="15" s="1"/>
  <c r="I164" i="15" s="1"/>
  <c r="J174" i="15"/>
  <c r="N173" i="15"/>
  <c r="N171" i="15" s="1"/>
  <c r="M173" i="15"/>
  <c r="L173" i="15"/>
  <c r="L171" i="15" s="1"/>
  <c r="O171" i="15" s="1"/>
  <c r="P172" i="15"/>
  <c r="O172" i="15"/>
  <c r="N170" i="15"/>
  <c r="M170" i="15"/>
  <c r="M168" i="15" s="1"/>
  <c r="L170" i="15"/>
  <c r="P169" i="15"/>
  <c r="O169" i="15"/>
  <c r="N166" i="15"/>
  <c r="M166" i="15"/>
  <c r="P166" i="15" s="1"/>
  <c r="L166" i="15"/>
  <c r="O166" i="15" s="1"/>
  <c r="J164" i="15"/>
  <c r="I159" i="15"/>
  <c r="K159" i="15" s="1"/>
  <c r="N157" i="15"/>
  <c r="N155" i="15" s="1"/>
  <c r="M157" i="15"/>
  <c r="P157" i="15" s="1"/>
  <c r="L157" i="15"/>
  <c r="O157" i="15" s="1"/>
  <c r="P156" i="15"/>
  <c r="O156" i="15"/>
  <c r="N154" i="15"/>
  <c r="N152" i="15" s="1"/>
  <c r="M154" i="15"/>
  <c r="P154" i="15" s="1"/>
  <c r="L154" i="15"/>
  <c r="O154" i="15" s="1"/>
  <c r="P153" i="15"/>
  <c r="O153" i="15"/>
  <c r="P150" i="15"/>
  <c r="O150" i="15"/>
  <c r="N150" i="15"/>
  <c r="M150" i="15"/>
  <c r="L150" i="15"/>
  <c r="J148" i="15"/>
  <c r="I146" i="15"/>
  <c r="I130" i="15" s="1"/>
  <c r="K130" i="15" s="1"/>
  <c r="I145" i="15"/>
  <c r="I143" i="15" s="1"/>
  <c r="I144" i="15"/>
  <c r="K144" i="15" s="1"/>
  <c r="N140" i="15"/>
  <c r="N138" i="15" s="1"/>
  <c r="M140" i="15"/>
  <c r="P140" i="15" s="1"/>
  <c r="L140" i="15"/>
  <c r="O140" i="15" s="1"/>
  <c r="P139" i="15"/>
  <c r="O139" i="15"/>
  <c r="N137" i="15"/>
  <c r="N135" i="15" s="1"/>
  <c r="M137" i="15"/>
  <c r="P137" i="15" s="1"/>
  <c r="L137" i="15"/>
  <c r="P136" i="15"/>
  <c r="O136" i="15"/>
  <c r="N133" i="15"/>
  <c r="M133" i="15"/>
  <c r="P133" i="15" s="1"/>
  <c r="L133" i="15"/>
  <c r="O133" i="15" s="1"/>
  <c r="J130" i="15"/>
  <c r="N127" i="15"/>
  <c r="N125" i="15" s="1"/>
  <c r="M127" i="15"/>
  <c r="M125" i="15" s="1"/>
  <c r="P125" i="15" s="1"/>
  <c r="L127" i="15"/>
  <c r="O127" i="15" s="1"/>
  <c r="P126" i="15"/>
  <c r="O126" i="15"/>
  <c r="N124" i="15"/>
  <c r="M124" i="15"/>
  <c r="P124" i="15" s="1"/>
  <c r="L124" i="15"/>
  <c r="O124" i="15" s="1"/>
  <c r="P123" i="15"/>
  <c r="O123" i="15"/>
  <c r="O120" i="15"/>
  <c r="N120" i="15"/>
  <c r="M120" i="15"/>
  <c r="P120" i="15" s="1"/>
  <c r="L120" i="15"/>
  <c r="I116" i="15"/>
  <c r="K116" i="15" s="1"/>
  <c r="I115" i="15"/>
  <c r="K115" i="15" s="1"/>
  <c r="I114" i="15"/>
  <c r="K114" i="15" s="1"/>
  <c r="I113" i="15"/>
  <c r="K113" i="15" s="1"/>
  <c r="J112" i="15"/>
  <c r="J111" i="15"/>
  <c r="I111" i="15"/>
  <c r="K111" i="15" s="1"/>
  <c r="I110" i="15"/>
  <c r="K110" i="15" s="1"/>
  <c r="I109" i="15"/>
  <c r="K109" i="15" s="1"/>
  <c r="I107" i="15"/>
  <c r="K107" i="15" s="1"/>
  <c r="I106" i="15"/>
  <c r="K106" i="15" s="1"/>
  <c r="I104" i="15"/>
  <c r="K104" i="15" s="1"/>
  <c r="I103" i="15"/>
  <c r="K103" i="15" s="1"/>
  <c r="I102" i="15"/>
  <c r="K102" i="15" s="1"/>
  <c r="J100" i="15"/>
  <c r="I100" i="15"/>
  <c r="K100" i="15" s="1"/>
  <c r="J99" i="15"/>
  <c r="J87" i="15" s="1"/>
  <c r="I99" i="15"/>
  <c r="I87" i="15" s="1"/>
  <c r="K87" i="15" s="1"/>
  <c r="J98" i="15"/>
  <c r="I98" i="15"/>
  <c r="K98" i="15" s="1"/>
  <c r="N96" i="15"/>
  <c r="N94" i="15" s="1"/>
  <c r="M96" i="15"/>
  <c r="L96" i="15"/>
  <c r="L94" i="15" s="1"/>
  <c r="O94" i="15" s="1"/>
  <c r="P95" i="15"/>
  <c r="O95" i="15"/>
  <c r="N93" i="15"/>
  <c r="M93" i="15"/>
  <c r="L93" i="15"/>
  <c r="L91" i="15" s="1"/>
  <c r="P92" i="15"/>
  <c r="O92" i="15"/>
  <c r="O89" i="15"/>
  <c r="N89" i="15"/>
  <c r="M89" i="15"/>
  <c r="P89" i="15" s="1"/>
  <c r="L89" i="15"/>
  <c r="J86" i="15"/>
  <c r="I84" i="15"/>
  <c r="K84" i="15" s="1"/>
  <c r="I83" i="15"/>
  <c r="K83" i="15" s="1"/>
  <c r="I82" i="15"/>
  <c r="K82" i="15" s="1"/>
  <c r="I81" i="15"/>
  <c r="K81" i="15" s="1"/>
  <c r="I80" i="15"/>
  <c r="K80" i="15" s="1"/>
  <c r="I79" i="15"/>
  <c r="I78" i="15"/>
  <c r="J77" i="15"/>
  <c r="J76" i="15"/>
  <c r="N74" i="15"/>
  <c r="N72" i="15" s="1"/>
  <c r="M74" i="15"/>
  <c r="P74" i="15" s="1"/>
  <c r="L74" i="15"/>
  <c r="L72" i="15" s="1"/>
  <c r="O72" i="15" s="1"/>
  <c r="P73" i="15"/>
  <c r="O73" i="15"/>
  <c r="N71" i="15"/>
  <c r="N69" i="15" s="1"/>
  <c r="M71" i="15"/>
  <c r="P71" i="15" s="1"/>
  <c r="L71" i="15"/>
  <c r="O71" i="15" s="1"/>
  <c r="P70" i="15"/>
  <c r="O70" i="15"/>
  <c r="O67" i="15"/>
  <c r="N67" i="15"/>
  <c r="M67" i="15"/>
  <c r="P67" i="15" s="1"/>
  <c r="L67" i="15"/>
  <c r="J65" i="15"/>
  <c r="J64" i="15"/>
  <c r="N61" i="15"/>
  <c r="N59" i="15" s="1"/>
  <c r="M61" i="15"/>
  <c r="P61" i="15" s="1"/>
  <c r="L61" i="15"/>
  <c r="O61" i="15" s="1"/>
  <c r="P60" i="15"/>
  <c r="O60" i="15"/>
  <c r="N58" i="15"/>
  <c r="M58" i="15"/>
  <c r="L58" i="15"/>
  <c r="P57" i="15"/>
  <c r="O57" i="15"/>
  <c r="P54" i="15"/>
  <c r="N54" i="15"/>
  <c r="M54" i="15"/>
  <c r="L54" i="15"/>
  <c r="N49" i="15"/>
  <c r="N47" i="15" s="1"/>
  <c r="M49" i="15"/>
  <c r="P49" i="15" s="1"/>
  <c r="L49" i="15"/>
  <c r="P48" i="15"/>
  <c r="O48" i="15"/>
  <c r="N46" i="15"/>
  <c r="M46" i="15"/>
  <c r="M44" i="15" s="1"/>
  <c r="L46" i="15"/>
  <c r="L44" i="15" s="1"/>
  <c r="P45" i="15"/>
  <c r="O45" i="15"/>
  <c r="O42" i="15"/>
  <c r="N42" i="15"/>
  <c r="M42" i="15"/>
  <c r="P42" i="15" s="1"/>
  <c r="L42" i="15"/>
  <c r="N36" i="15"/>
  <c r="M36" i="15"/>
  <c r="P36" i="15" s="1"/>
  <c r="N35" i="15"/>
  <c r="M35" i="15"/>
  <c r="L35" i="15"/>
  <c r="O35" i="15" s="1"/>
  <c r="M33" i="15"/>
  <c r="P33" i="15" s="1"/>
  <c r="N32" i="15"/>
  <c r="M32" i="15"/>
  <c r="P32" i="15" s="1"/>
  <c r="L32" i="15"/>
  <c r="O32" i="15" s="1"/>
  <c r="N25" i="15"/>
  <c r="M25" i="15"/>
  <c r="P25" i="15" s="1"/>
  <c r="L25" i="15"/>
  <c r="O25" i="15" s="1"/>
  <c r="P22" i="15"/>
  <c r="O22" i="15"/>
  <c r="N22" i="15"/>
  <c r="M22" i="15"/>
  <c r="L22" i="15"/>
  <c r="N19" i="15"/>
  <c r="M19" i="15"/>
  <c r="P19" i="15" s="1"/>
  <c r="L19" i="15"/>
  <c r="O19" i="15" s="1"/>
  <c r="L12" i="15"/>
  <c r="O12" i="15" s="1"/>
  <c r="J828" i="14"/>
  <c r="I828" i="14"/>
  <c r="J827" i="14"/>
  <c r="I827" i="14"/>
  <c r="J826" i="14"/>
  <c r="I826" i="14"/>
  <c r="J825" i="14"/>
  <c r="I825" i="14"/>
  <c r="J824" i="14"/>
  <c r="I824" i="14"/>
  <c r="J823" i="14"/>
  <c r="I823" i="14"/>
  <c r="J822" i="14"/>
  <c r="I822" i="14"/>
  <c r="J821" i="14"/>
  <c r="I821" i="14"/>
  <c r="P817" i="14"/>
  <c r="O817" i="14"/>
  <c r="P816" i="14"/>
  <c r="O816" i="14"/>
  <c r="P815" i="14"/>
  <c r="O815" i="14"/>
  <c r="N815" i="14"/>
  <c r="M815" i="14"/>
  <c r="L815" i="14"/>
  <c r="P810" i="14"/>
  <c r="O810" i="14"/>
  <c r="N810" i="14"/>
  <c r="P809" i="14"/>
  <c r="O809" i="14"/>
  <c r="O808" i="14"/>
  <c r="M808" i="14"/>
  <c r="P808" i="14" s="1"/>
  <c r="L808" i="14"/>
  <c r="M807" i="14"/>
  <c r="P807" i="14" s="1"/>
  <c r="L807" i="14"/>
  <c r="N806" i="14"/>
  <c r="M806" i="14"/>
  <c r="P806" i="14" s="1"/>
  <c r="L806" i="14"/>
  <c r="O806" i="14" s="1"/>
  <c r="P805" i="14"/>
  <c r="M805" i="14"/>
  <c r="K804" i="14"/>
  <c r="J804" i="14"/>
  <c r="K802" i="14"/>
  <c r="J801" i="14"/>
  <c r="J800" i="14"/>
  <c r="J785" i="14" s="1"/>
  <c r="I800" i="14"/>
  <c r="K800" i="14" s="1"/>
  <c r="P798" i="14"/>
  <c r="O798" i="14"/>
  <c r="P797" i="14"/>
  <c r="O797" i="14"/>
  <c r="P796" i="14"/>
  <c r="O796" i="14"/>
  <c r="N796" i="14"/>
  <c r="M796" i="14"/>
  <c r="L796" i="14"/>
  <c r="P791" i="14"/>
  <c r="N791" i="14"/>
  <c r="L791" i="14"/>
  <c r="L788" i="14" s="1"/>
  <c r="P790" i="14"/>
  <c r="O790" i="14"/>
  <c r="N789" i="14"/>
  <c r="M789" i="14"/>
  <c r="P789" i="14" s="1"/>
  <c r="N788" i="14"/>
  <c r="M788" i="14"/>
  <c r="P788" i="14" s="1"/>
  <c r="N787" i="14"/>
  <c r="N786" i="14" s="1"/>
  <c r="M787" i="14"/>
  <c r="P787" i="14" s="1"/>
  <c r="L787" i="14"/>
  <c r="O787" i="14" s="1"/>
  <c r="P782" i="14"/>
  <c r="O782" i="14"/>
  <c r="P781" i="14"/>
  <c r="O781" i="14"/>
  <c r="P780" i="14"/>
  <c r="N780" i="14"/>
  <c r="M780" i="14"/>
  <c r="L780" i="14"/>
  <c r="O780" i="14" s="1"/>
  <c r="P775" i="14"/>
  <c r="O775" i="14"/>
  <c r="N775" i="14"/>
  <c r="N772" i="14" s="1"/>
  <c r="P774" i="14"/>
  <c r="O774" i="14"/>
  <c r="P773" i="14"/>
  <c r="O773" i="14"/>
  <c r="N773" i="14"/>
  <c r="M773" i="14"/>
  <c r="L773" i="14"/>
  <c r="O772" i="14"/>
  <c r="M772" i="14"/>
  <c r="L772" i="14"/>
  <c r="N771" i="14"/>
  <c r="N770" i="14" s="1"/>
  <c r="M771" i="14"/>
  <c r="P771" i="14" s="1"/>
  <c r="L771" i="14"/>
  <c r="K769" i="14"/>
  <c r="J769" i="14"/>
  <c r="P766" i="14"/>
  <c r="O766" i="14"/>
  <c r="P765" i="14"/>
  <c r="O765" i="14"/>
  <c r="P764" i="14"/>
  <c r="N764" i="14"/>
  <c r="M764" i="14"/>
  <c r="L764" i="14"/>
  <c r="O764" i="14" s="1"/>
  <c r="P759" i="14"/>
  <c r="O759" i="14"/>
  <c r="N759" i="14"/>
  <c r="N756" i="14" s="1"/>
  <c r="P758" i="14"/>
  <c r="O758" i="14"/>
  <c r="P757" i="14"/>
  <c r="O757" i="14"/>
  <c r="N757" i="14"/>
  <c r="M757" i="14"/>
  <c r="L757" i="14"/>
  <c r="O756" i="14"/>
  <c r="M756" i="14"/>
  <c r="L756" i="14"/>
  <c r="N755" i="14"/>
  <c r="N754" i="14" s="1"/>
  <c r="M755" i="14"/>
  <c r="P755" i="14" s="1"/>
  <c r="L755" i="14"/>
  <c r="K753" i="14"/>
  <c r="J753" i="14"/>
  <c r="P749" i="14"/>
  <c r="O749" i="14"/>
  <c r="P748" i="14"/>
  <c r="O748" i="14"/>
  <c r="P747" i="14"/>
  <c r="N747" i="14"/>
  <c r="M747" i="14"/>
  <c r="L747" i="14"/>
  <c r="O747" i="14" s="1"/>
  <c r="P742" i="14"/>
  <c r="O742" i="14"/>
  <c r="N742" i="14"/>
  <c r="N739" i="14" s="1"/>
  <c r="P741" i="14"/>
  <c r="O741" i="14"/>
  <c r="P740" i="14"/>
  <c r="N740" i="14"/>
  <c r="M740" i="14"/>
  <c r="L740" i="14"/>
  <c r="O740" i="14" s="1"/>
  <c r="O739" i="14"/>
  <c r="M739" i="14"/>
  <c r="L739" i="14"/>
  <c r="N738" i="14"/>
  <c r="N737" i="14" s="1"/>
  <c r="M738" i="14"/>
  <c r="P738" i="14" s="1"/>
  <c r="L738" i="14"/>
  <c r="K736" i="14"/>
  <c r="J736" i="14"/>
  <c r="J729" i="14"/>
  <c r="I729" i="14"/>
  <c r="K729" i="14" s="1"/>
  <c r="J728" i="14"/>
  <c r="I728" i="14"/>
  <c r="J727" i="14"/>
  <c r="J726" i="14"/>
  <c r="I726" i="14"/>
  <c r="J725" i="14"/>
  <c r="I725" i="14"/>
  <c r="J724" i="14"/>
  <c r="J723" i="14"/>
  <c r="I723" i="14"/>
  <c r="I722" i="14"/>
  <c r="I721" i="14"/>
  <c r="J720" i="14"/>
  <c r="I720" i="14"/>
  <c r="K720" i="14" s="1"/>
  <c r="J719" i="14"/>
  <c r="J718" i="14"/>
  <c r="J708" i="14"/>
  <c r="I708" i="14"/>
  <c r="K708" i="14" s="1"/>
  <c r="I707" i="14"/>
  <c r="I704" i="14"/>
  <c r="J701" i="14"/>
  <c r="I701" i="14"/>
  <c r="K701" i="14" s="1"/>
  <c r="J700" i="14"/>
  <c r="I700" i="14"/>
  <c r="J699" i="14"/>
  <c r="I699" i="14"/>
  <c r="K699" i="14" s="1"/>
  <c r="P697" i="14"/>
  <c r="O697" i="14"/>
  <c r="P696" i="14"/>
  <c r="O696" i="14"/>
  <c r="P695" i="14"/>
  <c r="N695" i="14"/>
  <c r="M695" i="14"/>
  <c r="L695" i="14"/>
  <c r="O695" i="14" s="1"/>
  <c r="P690" i="14"/>
  <c r="N690" i="14"/>
  <c r="N688" i="14" s="1"/>
  <c r="L690" i="14"/>
  <c r="L688" i="14" s="1"/>
  <c r="M688" i="14"/>
  <c r="P688" i="14" s="1"/>
  <c r="P687" i="14"/>
  <c r="N687" i="14"/>
  <c r="M687" i="14"/>
  <c r="O686" i="14"/>
  <c r="N686" i="14"/>
  <c r="N685" i="14" s="1"/>
  <c r="M686" i="14"/>
  <c r="P686" i="14" s="1"/>
  <c r="L686" i="14"/>
  <c r="J679" i="14"/>
  <c r="J678" i="14"/>
  <c r="I678" i="14"/>
  <c r="K678" i="14" s="1"/>
  <c r="J675" i="14"/>
  <c r="J669" i="14" s="1"/>
  <c r="J654" i="14" s="1"/>
  <c r="I671" i="14"/>
  <c r="K671" i="14" s="1"/>
  <c r="I670" i="14"/>
  <c r="K670" i="14" s="1"/>
  <c r="I669" i="14"/>
  <c r="I654" i="14" s="1"/>
  <c r="K654" i="14" s="1"/>
  <c r="P667" i="14"/>
  <c r="O667" i="14"/>
  <c r="P666" i="14"/>
  <c r="O666" i="14"/>
  <c r="N665" i="14"/>
  <c r="M665" i="14"/>
  <c r="P665" i="14" s="1"/>
  <c r="L665" i="14"/>
  <c r="O665" i="14" s="1"/>
  <c r="P660" i="14"/>
  <c r="N660" i="14"/>
  <c r="L660" i="14"/>
  <c r="O660" i="14" s="1"/>
  <c r="P659" i="14"/>
  <c r="O659" i="14"/>
  <c r="P658" i="14"/>
  <c r="N658" i="14"/>
  <c r="M658" i="14"/>
  <c r="P657" i="14"/>
  <c r="N657" i="14"/>
  <c r="M657" i="14"/>
  <c r="P656" i="14"/>
  <c r="O656" i="14"/>
  <c r="N656" i="14"/>
  <c r="N655" i="14" s="1"/>
  <c r="M656" i="14"/>
  <c r="L656" i="14"/>
  <c r="M655" i="14"/>
  <c r="P655" i="14" s="1"/>
  <c r="K652" i="14"/>
  <c r="J652" i="14"/>
  <c r="J651" i="14"/>
  <c r="J628" i="14" s="1"/>
  <c r="I651" i="14"/>
  <c r="K651" i="14" s="1"/>
  <c r="K650" i="14"/>
  <c r="J650" i="14"/>
  <c r="J649" i="14"/>
  <c r="I649" i="14"/>
  <c r="K649" i="14" s="1"/>
  <c r="K648" i="14"/>
  <c r="J648" i="14"/>
  <c r="J647" i="14"/>
  <c r="I647" i="14"/>
  <c r="K647" i="14" s="1"/>
  <c r="K646" i="14"/>
  <c r="J646" i="14"/>
  <c r="K645" i="14"/>
  <c r="J645" i="14"/>
  <c r="I644" i="14"/>
  <c r="K644" i="14" s="1"/>
  <c r="I643" i="14"/>
  <c r="K643" i="14" s="1"/>
  <c r="P641" i="14"/>
  <c r="L641" i="14"/>
  <c r="P640" i="14"/>
  <c r="O640" i="14"/>
  <c r="N639" i="14"/>
  <c r="M639" i="14"/>
  <c r="P639" i="14" s="1"/>
  <c r="P634" i="14"/>
  <c r="N634" i="14"/>
  <c r="N631" i="14" s="1"/>
  <c r="N629" i="14" s="1"/>
  <c r="L634" i="14"/>
  <c r="O634" i="14" s="1"/>
  <c r="P633" i="14"/>
  <c r="O633" i="14"/>
  <c r="N632" i="14"/>
  <c r="M632" i="14"/>
  <c r="P632" i="14" s="1"/>
  <c r="M631" i="14"/>
  <c r="P631" i="14" s="1"/>
  <c r="P630" i="14"/>
  <c r="N630" i="14"/>
  <c r="M630" i="14"/>
  <c r="M629" i="14" s="1"/>
  <c r="P629" i="14" s="1"/>
  <c r="L630" i="14"/>
  <c r="O630" i="14" s="1"/>
  <c r="J621" i="14"/>
  <c r="I621" i="14"/>
  <c r="K621" i="14" s="1"/>
  <c r="J620" i="14"/>
  <c r="I620" i="14"/>
  <c r="K620" i="14" s="1"/>
  <c r="K613" i="14"/>
  <c r="J613" i="14"/>
  <c r="K612" i="14"/>
  <c r="J612" i="14"/>
  <c r="K611" i="14"/>
  <c r="J611" i="14"/>
  <c r="J604" i="14"/>
  <c r="J603" i="14"/>
  <c r="J596" i="14"/>
  <c r="J595" i="14"/>
  <c r="J593" i="14" s="1"/>
  <c r="J594" i="14"/>
  <c r="I594" i="14"/>
  <c r="I593" i="14"/>
  <c r="I592" i="14" s="1"/>
  <c r="K592" i="14" s="1"/>
  <c r="J592" i="14"/>
  <c r="J583" i="14"/>
  <c r="J582" i="14"/>
  <c r="J576" i="14" s="1"/>
  <c r="J559" i="14" s="1"/>
  <c r="J543" i="14" s="1"/>
  <c r="J577" i="14"/>
  <c r="I577" i="14"/>
  <c r="K577" i="14" s="1"/>
  <c r="I576" i="14"/>
  <c r="K576" i="14" s="1"/>
  <c r="J569" i="14"/>
  <c r="I569" i="14"/>
  <c r="K569" i="14" s="1"/>
  <c r="J568" i="14"/>
  <c r="I568" i="14"/>
  <c r="K568" i="14" s="1"/>
  <c r="J561" i="14"/>
  <c r="I561" i="14"/>
  <c r="K561" i="14" s="1"/>
  <c r="J560" i="14"/>
  <c r="I560" i="14"/>
  <c r="K560" i="14" s="1"/>
  <c r="P557" i="14"/>
  <c r="L557" i="14"/>
  <c r="O557" i="14" s="1"/>
  <c r="P556" i="14"/>
  <c r="O556" i="14"/>
  <c r="P555" i="14"/>
  <c r="N555" i="14"/>
  <c r="M555" i="14"/>
  <c r="P549" i="14"/>
  <c r="N549" i="14"/>
  <c r="L549" i="14"/>
  <c r="O549" i="14" s="1"/>
  <c r="P548" i="14"/>
  <c r="O548" i="14"/>
  <c r="N547" i="14"/>
  <c r="M547" i="14"/>
  <c r="P547" i="14" s="1"/>
  <c r="P546" i="14"/>
  <c r="N546" i="14"/>
  <c r="N544" i="14" s="1"/>
  <c r="M546" i="14"/>
  <c r="O545" i="14"/>
  <c r="N545" i="14"/>
  <c r="M545" i="14"/>
  <c r="L545" i="14"/>
  <c r="I542" i="14"/>
  <c r="K542" i="14" s="1"/>
  <c r="I541" i="14"/>
  <c r="K541" i="14" s="1"/>
  <c r="I540" i="14"/>
  <c r="K540" i="14" s="1"/>
  <c r="I539" i="14"/>
  <c r="K539" i="14" s="1"/>
  <c r="I538" i="14"/>
  <c r="I537" i="14"/>
  <c r="I522" i="14" s="1"/>
  <c r="K522" i="14" s="1"/>
  <c r="P535" i="14"/>
  <c r="L535" i="14"/>
  <c r="L533" i="14" s="1"/>
  <c r="O533" i="14" s="1"/>
  <c r="P534" i="14"/>
  <c r="O534" i="14"/>
  <c r="P533" i="14"/>
  <c r="N533" i="14"/>
  <c r="M533" i="14"/>
  <c r="P528" i="14"/>
  <c r="N528" i="14"/>
  <c r="L528" i="14"/>
  <c r="P527" i="14"/>
  <c r="O527" i="14"/>
  <c r="N526" i="14"/>
  <c r="M526" i="14"/>
  <c r="P526" i="14" s="1"/>
  <c r="N525" i="14"/>
  <c r="M525" i="14"/>
  <c r="P525" i="14" s="1"/>
  <c r="N524" i="14"/>
  <c r="N523" i="14" s="1"/>
  <c r="M524" i="14"/>
  <c r="P524" i="14" s="1"/>
  <c r="L524" i="14"/>
  <c r="O524" i="14" s="1"/>
  <c r="P523" i="14"/>
  <c r="M523" i="14"/>
  <c r="K517" i="14"/>
  <c r="J517" i="14"/>
  <c r="J501" i="14" s="1"/>
  <c r="K516" i="14"/>
  <c r="P514" i="14"/>
  <c r="O514" i="14"/>
  <c r="P513" i="14"/>
  <c r="O513" i="14"/>
  <c r="O512" i="14"/>
  <c r="N512" i="14"/>
  <c r="M512" i="14"/>
  <c r="P512" i="14" s="1"/>
  <c r="L512" i="14"/>
  <c r="P507" i="14"/>
  <c r="O507" i="14"/>
  <c r="N507" i="14"/>
  <c r="N504" i="14" s="1"/>
  <c r="N502" i="14" s="1"/>
  <c r="P506" i="14"/>
  <c r="O506" i="14"/>
  <c r="N505" i="14"/>
  <c r="M505" i="14"/>
  <c r="P505" i="14" s="1"/>
  <c r="L505" i="14"/>
  <c r="O505" i="14" s="1"/>
  <c r="P504" i="14"/>
  <c r="M504" i="14"/>
  <c r="M502" i="14" s="1"/>
  <c r="P502" i="14" s="1"/>
  <c r="L504" i="14"/>
  <c r="O504" i="14" s="1"/>
  <c r="O503" i="14"/>
  <c r="N503" i="14"/>
  <c r="M503" i="14"/>
  <c r="P503" i="14" s="1"/>
  <c r="L503" i="14"/>
  <c r="L502" i="14" s="1"/>
  <c r="O502" i="14" s="1"/>
  <c r="K501" i="14"/>
  <c r="K500" i="14"/>
  <c r="J500" i="14"/>
  <c r="I498" i="14"/>
  <c r="K498" i="14" s="1"/>
  <c r="I495" i="14"/>
  <c r="K495" i="14" s="1"/>
  <c r="I492" i="14"/>
  <c r="K492" i="14" s="1"/>
  <c r="I489" i="14"/>
  <c r="K489" i="14" s="1"/>
  <c r="I487" i="14"/>
  <c r="K487" i="14" s="1"/>
  <c r="I485" i="14"/>
  <c r="K485" i="14" s="1"/>
  <c r="I483" i="14"/>
  <c r="K483" i="14" s="1"/>
  <c r="P479" i="14"/>
  <c r="L479" i="14"/>
  <c r="O479" i="14" s="1"/>
  <c r="P478" i="14"/>
  <c r="O478" i="14"/>
  <c r="N477" i="14"/>
  <c r="M477" i="14"/>
  <c r="P477" i="14" s="1"/>
  <c r="P472" i="14"/>
  <c r="N472" i="14"/>
  <c r="N469" i="14" s="1"/>
  <c r="L472" i="14"/>
  <c r="O472" i="14" s="1"/>
  <c r="P471" i="14"/>
  <c r="O471" i="14"/>
  <c r="N470" i="14"/>
  <c r="M470" i="14"/>
  <c r="P470" i="14" s="1"/>
  <c r="P469" i="14"/>
  <c r="M469" i="14"/>
  <c r="M467" i="14" s="1"/>
  <c r="P467" i="14" s="1"/>
  <c r="P468" i="14"/>
  <c r="O468" i="14"/>
  <c r="N468" i="14"/>
  <c r="M468" i="14"/>
  <c r="L468" i="14"/>
  <c r="N467" i="14"/>
  <c r="J466" i="14"/>
  <c r="I466" i="14"/>
  <c r="K466" i="14" s="1"/>
  <c r="J465" i="14"/>
  <c r="I465" i="14"/>
  <c r="K465" i="14" s="1"/>
  <c r="I464" i="14"/>
  <c r="I463" i="14"/>
  <c r="I462" i="14"/>
  <c r="K462" i="14" s="1"/>
  <c r="I460" i="14"/>
  <c r="K458" i="14"/>
  <c r="P456" i="14"/>
  <c r="L456" i="14"/>
  <c r="P455" i="14"/>
  <c r="O455" i="14"/>
  <c r="N454" i="14"/>
  <c r="M454" i="14"/>
  <c r="P454" i="14" s="1"/>
  <c r="P449" i="14"/>
  <c r="N449" i="14"/>
  <c r="L449" i="14"/>
  <c r="O449" i="14" s="1"/>
  <c r="P448" i="14"/>
  <c r="O448" i="14"/>
  <c r="N447" i="14"/>
  <c r="M447" i="14"/>
  <c r="P447" i="14" s="1"/>
  <c r="N446" i="14"/>
  <c r="N444" i="14" s="1"/>
  <c r="M446" i="14"/>
  <c r="P446" i="14" s="1"/>
  <c r="P445" i="14"/>
  <c r="N445" i="14"/>
  <c r="M445" i="14"/>
  <c r="M444" i="14" s="1"/>
  <c r="P444" i="14" s="1"/>
  <c r="L445" i="14"/>
  <c r="O445" i="14" s="1"/>
  <c r="J443" i="14"/>
  <c r="J442" i="14"/>
  <c r="I441" i="14"/>
  <c r="K441" i="14" s="1"/>
  <c r="I440" i="14"/>
  <c r="K440" i="14" s="1"/>
  <c r="I439" i="14"/>
  <c r="K439" i="14" s="1"/>
  <c r="I438" i="14"/>
  <c r="K438" i="14" s="1"/>
  <c r="I437" i="14"/>
  <c r="K437" i="14" s="1"/>
  <c r="I435" i="14"/>
  <c r="K435" i="14" s="1"/>
  <c r="J434" i="14"/>
  <c r="P431" i="14"/>
  <c r="L431" i="14"/>
  <c r="P430" i="14"/>
  <c r="O430" i="14"/>
  <c r="N429" i="14"/>
  <c r="M429" i="14"/>
  <c r="P429" i="14" s="1"/>
  <c r="P424" i="14"/>
  <c r="N424" i="14"/>
  <c r="L424" i="14"/>
  <c r="P423" i="14"/>
  <c r="O423" i="14"/>
  <c r="N422" i="14"/>
  <c r="M422" i="14"/>
  <c r="P422" i="14" s="1"/>
  <c r="N421" i="14"/>
  <c r="N419" i="14" s="1"/>
  <c r="M421" i="14"/>
  <c r="P421" i="14" s="1"/>
  <c r="P420" i="14"/>
  <c r="N420" i="14"/>
  <c r="M420" i="14"/>
  <c r="M419" i="14" s="1"/>
  <c r="L420" i="14"/>
  <c r="O420" i="14" s="1"/>
  <c r="J418" i="14"/>
  <c r="K413" i="14"/>
  <c r="K412" i="14"/>
  <c r="N410" i="14"/>
  <c r="M410" i="14"/>
  <c r="P410" i="14" s="1"/>
  <c r="L410" i="14"/>
  <c r="O410" i="14" s="1"/>
  <c r="P409" i="14"/>
  <c r="O409" i="14"/>
  <c r="N407" i="14"/>
  <c r="N405" i="14" s="1"/>
  <c r="M407" i="14"/>
  <c r="P407" i="14" s="1"/>
  <c r="L407" i="14"/>
  <c r="L405" i="14" s="1"/>
  <c r="O405" i="14" s="1"/>
  <c r="P406" i="14"/>
  <c r="O406" i="14"/>
  <c r="P403" i="14"/>
  <c r="N403" i="14"/>
  <c r="M403" i="14"/>
  <c r="L403" i="14"/>
  <c r="O403" i="14" s="1"/>
  <c r="J401" i="14"/>
  <c r="I401" i="14"/>
  <c r="K401" i="14" s="1"/>
  <c r="K400" i="14"/>
  <c r="K399" i="14"/>
  <c r="N397" i="14"/>
  <c r="M397" i="14"/>
  <c r="L397" i="14"/>
  <c r="O397" i="14" s="1"/>
  <c r="P396" i="14"/>
  <c r="O396" i="14"/>
  <c r="N394" i="14"/>
  <c r="N392" i="14" s="1"/>
  <c r="M394" i="14"/>
  <c r="L394" i="14"/>
  <c r="O394" i="14" s="1"/>
  <c r="P393" i="14"/>
  <c r="O393" i="14"/>
  <c r="P390" i="14"/>
  <c r="N390" i="14"/>
  <c r="M390" i="14"/>
  <c r="L390" i="14"/>
  <c r="O390" i="14" s="1"/>
  <c r="K388" i="14"/>
  <c r="J388" i="14"/>
  <c r="I388" i="14"/>
  <c r="J385" i="14"/>
  <c r="I385" i="14"/>
  <c r="K382" i="14"/>
  <c r="J382" i="14"/>
  <c r="J381" i="14"/>
  <c r="J374" i="14" s="1"/>
  <c r="I381" i="14"/>
  <c r="K380" i="14"/>
  <c r="J380" i="14"/>
  <c r="J379" i="14"/>
  <c r="I379" i="14"/>
  <c r="J378" i="14"/>
  <c r="I378" i="14"/>
  <c r="K377" i="14"/>
  <c r="J377" i="14"/>
  <c r="I374" i="14"/>
  <c r="K373" i="14"/>
  <c r="J373" i="14"/>
  <c r="J372" i="14"/>
  <c r="J365" i="14" s="1"/>
  <c r="I372" i="14"/>
  <c r="K371" i="14"/>
  <c r="J371" i="14"/>
  <c r="J370" i="14"/>
  <c r="I370" i="14"/>
  <c r="J369" i="14"/>
  <c r="I369" i="14"/>
  <c r="K368" i="14"/>
  <c r="J368" i="14"/>
  <c r="I365" i="14"/>
  <c r="K363" i="14"/>
  <c r="J363" i="14"/>
  <c r="J362" i="14"/>
  <c r="J355" i="14" s="1"/>
  <c r="I362" i="14"/>
  <c r="K361" i="14"/>
  <c r="J361" i="14"/>
  <c r="J360" i="14"/>
  <c r="I360" i="14"/>
  <c r="J359" i="14"/>
  <c r="I359" i="14"/>
  <c r="K358" i="14"/>
  <c r="J358" i="14"/>
  <c r="I355" i="14"/>
  <c r="N353" i="14"/>
  <c r="N351" i="14" s="1"/>
  <c r="M353" i="14"/>
  <c r="L353" i="14"/>
  <c r="L351" i="14" s="1"/>
  <c r="P352" i="14"/>
  <c r="O352" i="14"/>
  <c r="N350" i="14"/>
  <c r="M350" i="14"/>
  <c r="L350" i="14"/>
  <c r="L348" i="14" s="1"/>
  <c r="P349" i="14"/>
  <c r="O349" i="14"/>
  <c r="P346" i="14"/>
  <c r="N346" i="14"/>
  <c r="M346" i="14"/>
  <c r="L346" i="14"/>
  <c r="J343" i="14"/>
  <c r="J342" i="14"/>
  <c r="J341" i="14"/>
  <c r="J340" i="14"/>
  <c r="I340" i="14"/>
  <c r="J338" i="14"/>
  <c r="I338" i="14"/>
  <c r="N336" i="14"/>
  <c r="N334" i="14" s="1"/>
  <c r="M336" i="14"/>
  <c r="L336" i="14"/>
  <c r="O336" i="14" s="1"/>
  <c r="P335" i="14"/>
  <c r="O335" i="14"/>
  <c r="N333" i="14"/>
  <c r="N331" i="14" s="1"/>
  <c r="M333" i="14"/>
  <c r="L333" i="14"/>
  <c r="L331" i="14" s="1"/>
  <c r="P332" i="14"/>
  <c r="O332" i="14"/>
  <c r="P329" i="14"/>
  <c r="N329" i="14"/>
  <c r="M329" i="14"/>
  <c r="L329" i="14"/>
  <c r="O329" i="14" s="1"/>
  <c r="I327" i="14"/>
  <c r="I325" i="14"/>
  <c r="K325" i="14" s="1"/>
  <c r="N323" i="14"/>
  <c r="N321" i="14" s="1"/>
  <c r="M323" i="14"/>
  <c r="L323" i="14"/>
  <c r="O323" i="14" s="1"/>
  <c r="P322" i="14"/>
  <c r="O322" i="14"/>
  <c r="N320" i="14"/>
  <c r="N318" i="14" s="1"/>
  <c r="M320" i="14"/>
  <c r="M318" i="14" s="1"/>
  <c r="P318" i="14" s="1"/>
  <c r="L320" i="14"/>
  <c r="P319" i="14"/>
  <c r="O319" i="14"/>
  <c r="P316" i="14"/>
  <c r="N316" i="14"/>
  <c r="M316" i="14"/>
  <c r="L316" i="14"/>
  <c r="J314" i="14"/>
  <c r="I312" i="14"/>
  <c r="K312" i="14" s="1"/>
  <c r="I311" i="14"/>
  <c r="K311" i="14" s="1"/>
  <c r="I310" i="14"/>
  <c r="K310" i="14" s="1"/>
  <c r="I309" i="14"/>
  <c r="K309" i="14" s="1"/>
  <c r="N306" i="14"/>
  <c r="N304" i="14" s="1"/>
  <c r="M306" i="14"/>
  <c r="L306" i="14"/>
  <c r="O306" i="14" s="1"/>
  <c r="P305" i="14"/>
  <c r="O305" i="14"/>
  <c r="N303" i="14"/>
  <c r="M303" i="14"/>
  <c r="L303" i="14"/>
  <c r="O303" i="14" s="1"/>
  <c r="P302" i="14"/>
  <c r="O302" i="14"/>
  <c r="P299" i="14"/>
  <c r="N299" i="14"/>
  <c r="M299" i="14"/>
  <c r="L299" i="14"/>
  <c r="J297" i="14"/>
  <c r="I294" i="14"/>
  <c r="K294" i="14" s="1"/>
  <c r="I293" i="14"/>
  <c r="K293" i="14" s="1"/>
  <c r="I291" i="14"/>
  <c r="K291" i="14" s="1"/>
  <c r="I290" i="14"/>
  <c r="K290" i="14" s="1"/>
  <c r="I288" i="14"/>
  <c r="I287" i="14"/>
  <c r="I276" i="14" s="1"/>
  <c r="K276" i="14" s="1"/>
  <c r="N285" i="14"/>
  <c r="N283" i="14" s="1"/>
  <c r="M285" i="14"/>
  <c r="P285" i="14" s="1"/>
  <c r="L285" i="14"/>
  <c r="P284" i="14"/>
  <c r="O284" i="14"/>
  <c r="N282" i="14"/>
  <c r="N280" i="14" s="1"/>
  <c r="M282" i="14"/>
  <c r="P282" i="14" s="1"/>
  <c r="L282" i="14"/>
  <c r="L280" i="14" s="1"/>
  <c r="O280" i="14" s="1"/>
  <c r="P281" i="14"/>
  <c r="O281" i="14"/>
  <c r="O278" i="14"/>
  <c r="N278" i="14"/>
  <c r="M278" i="14"/>
  <c r="L278" i="14"/>
  <c r="J276" i="14"/>
  <c r="I271" i="14"/>
  <c r="N269" i="14"/>
  <c r="N267" i="14" s="1"/>
  <c r="M269" i="14"/>
  <c r="L269" i="14"/>
  <c r="O269" i="14" s="1"/>
  <c r="P268" i="14"/>
  <c r="O268" i="14"/>
  <c r="N266" i="14"/>
  <c r="N264" i="14" s="1"/>
  <c r="M266" i="14"/>
  <c r="L266" i="14"/>
  <c r="P265" i="14"/>
  <c r="O265" i="14"/>
  <c r="P262" i="14"/>
  <c r="N262" i="14"/>
  <c r="M262" i="14"/>
  <c r="L262" i="14"/>
  <c r="J260" i="14"/>
  <c r="K258" i="14"/>
  <c r="K257" i="14"/>
  <c r="L253" i="14"/>
  <c r="L252" i="14"/>
  <c r="L251" i="14"/>
  <c r="L250" i="14"/>
  <c r="P249" i="14"/>
  <c r="N249" i="14"/>
  <c r="J248" i="14"/>
  <c r="K247" i="14"/>
  <c r="K246" i="14"/>
  <c r="I244" i="14"/>
  <c r="K244" i="14" s="1"/>
  <c r="L242" i="14"/>
  <c r="L241" i="14"/>
  <c r="L240" i="14"/>
  <c r="L239" i="14"/>
  <c r="P238" i="14"/>
  <c r="N238" i="14"/>
  <c r="J237" i="14"/>
  <c r="J226" i="14" s="1"/>
  <c r="J180" i="14" s="1"/>
  <c r="J236" i="14"/>
  <c r="I236" i="14"/>
  <c r="K236" i="14" s="1"/>
  <c r="J235" i="14"/>
  <c r="I235" i="14"/>
  <c r="K235" i="14" s="1"/>
  <c r="J233" i="14"/>
  <c r="N231" i="14"/>
  <c r="N230" i="14"/>
  <c r="N229" i="14"/>
  <c r="N228" i="14"/>
  <c r="I225" i="14"/>
  <c r="K225" i="14" s="1"/>
  <c r="I224" i="14"/>
  <c r="K224" i="14" s="1"/>
  <c r="I223" i="14"/>
  <c r="K223" i="14" s="1"/>
  <c r="L220" i="14"/>
  <c r="L219" i="14"/>
  <c r="L218" i="14"/>
  <c r="P217" i="14"/>
  <c r="N217" i="14"/>
  <c r="J216" i="14"/>
  <c r="I215" i="14"/>
  <c r="K215" i="14" s="1"/>
  <c r="I214" i="14"/>
  <c r="K214" i="14" s="1"/>
  <c r="L212" i="14"/>
  <c r="L211" i="14"/>
  <c r="L210" i="14"/>
  <c r="P209" i="14"/>
  <c r="N209" i="14"/>
  <c r="J208" i="14"/>
  <c r="K207" i="14"/>
  <c r="K206" i="14"/>
  <c r="I204" i="14"/>
  <c r="L202" i="14"/>
  <c r="L201" i="14"/>
  <c r="L200" i="14"/>
  <c r="L199" i="14"/>
  <c r="P198" i="14"/>
  <c r="N198" i="14"/>
  <c r="J197" i="14"/>
  <c r="J194" i="14"/>
  <c r="I193" i="14"/>
  <c r="P191" i="14"/>
  <c r="L191" i="14"/>
  <c r="O191" i="14" s="1"/>
  <c r="J190" i="14"/>
  <c r="N189" i="14"/>
  <c r="N187" i="14" s="1"/>
  <c r="M189" i="14"/>
  <c r="M187" i="14" s="1"/>
  <c r="P187" i="14" s="1"/>
  <c r="L189" i="14"/>
  <c r="O189" i="14" s="1"/>
  <c r="P188" i="14"/>
  <c r="O188" i="14"/>
  <c r="N186" i="14"/>
  <c r="N184" i="14" s="1"/>
  <c r="M186" i="14"/>
  <c r="L186" i="14"/>
  <c r="P185" i="14"/>
  <c r="O185" i="14"/>
  <c r="N182" i="14"/>
  <c r="M182" i="14"/>
  <c r="P182" i="14" s="1"/>
  <c r="L182" i="14"/>
  <c r="O182" i="14" s="1"/>
  <c r="J177" i="14"/>
  <c r="J164" i="14" s="1"/>
  <c r="I176" i="14"/>
  <c r="J174" i="14"/>
  <c r="N173" i="14"/>
  <c r="N171" i="14" s="1"/>
  <c r="M173" i="14"/>
  <c r="M171" i="14" s="1"/>
  <c r="P171" i="14" s="1"/>
  <c r="L173" i="14"/>
  <c r="O173" i="14" s="1"/>
  <c r="P172" i="14"/>
  <c r="O172" i="14"/>
  <c r="N170" i="14"/>
  <c r="N168" i="14" s="1"/>
  <c r="M170" i="14"/>
  <c r="M168" i="14" s="1"/>
  <c r="L170" i="14"/>
  <c r="P169" i="14"/>
  <c r="O169" i="14"/>
  <c r="O166" i="14"/>
  <c r="N166" i="14"/>
  <c r="M166" i="14"/>
  <c r="L166" i="14"/>
  <c r="I159" i="14"/>
  <c r="K159" i="14" s="1"/>
  <c r="N157" i="14"/>
  <c r="N155" i="14" s="1"/>
  <c r="M157" i="14"/>
  <c r="L157" i="14"/>
  <c r="O157" i="14" s="1"/>
  <c r="P156" i="14"/>
  <c r="O156" i="14"/>
  <c r="N154" i="14"/>
  <c r="M154" i="14"/>
  <c r="M152" i="14" s="1"/>
  <c r="L154" i="14"/>
  <c r="P153" i="14"/>
  <c r="O153" i="14"/>
  <c r="P150" i="14"/>
  <c r="N150" i="14"/>
  <c r="M150" i="14"/>
  <c r="L150" i="14"/>
  <c r="J148" i="14"/>
  <c r="I146" i="14"/>
  <c r="K146" i="14" s="1"/>
  <c r="I145" i="14"/>
  <c r="I144" i="14"/>
  <c r="K144" i="14" s="1"/>
  <c r="N140" i="14"/>
  <c r="N138" i="14" s="1"/>
  <c r="M140" i="14"/>
  <c r="L140" i="14"/>
  <c r="P139" i="14"/>
  <c r="O139" i="14"/>
  <c r="N137" i="14"/>
  <c r="N135" i="14" s="1"/>
  <c r="M137" i="14"/>
  <c r="P137" i="14" s="1"/>
  <c r="L137" i="14"/>
  <c r="L135" i="14" s="1"/>
  <c r="O135" i="14" s="1"/>
  <c r="P136" i="14"/>
  <c r="O136" i="14"/>
  <c r="O133" i="14"/>
  <c r="N133" i="14"/>
  <c r="M133" i="14"/>
  <c r="P133" i="14" s="1"/>
  <c r="L133" i="14"/>
  <c r="J130" i="14"/>
  <c r="N127" i="14"/>
  <c r="N125" i="14" s="1"/>
  <c r="M127" i="14"/>
  <c r="L127" i="14"/>
  <c r="O127" i="14" s="1"/>
  <c r="P126" i="14"/>
  <c r="O126" i="14"/>
  <c r="N124" i="14"/>
  <c r="M124" i="14"/>
  <c r="P124" i="14" s="1"/>
  <c r="L124" i="14"/>
  <c r="P123" i="14"/>
  <c r="O123" i="14"/>
  <c r="P120" i="14"/>
  <c r="O120" i="14"/>
  <c r="N120" i="14"/>
  <c r="M120" i="14"/>
  <c r="L120" i="14"/>
  <c r="I116" i="14"/>
  <c r="K116" i="14" s="1"/>
  <c r="I115" i="14"/>
  <c r="K115" i="14" s="1"/>
  <c r="I114" i="14"/>
  <c r="K114" i="14" s="1"/>
  <c r="I113" i="14"/>
  <c r="K113" i="14" s="1"/>
  <c r="J112" i="14"/>
  <c r="J111" i="14"/>
  <c r="I111" i="14"/>
  <c r="K111" i="14" s="1"/>
  <c r="I110" i="14"/>
  <c r="K110" i="14" s="1"/>
  <c r="I109" i="14"/>
  <c r="K109" i="14" s="1"/>
  <c r="I107" i="14"/>
  <c r="K107" i="14" s="1"/>
  <c r="I106" i="14"/>
  <c r="K106" i="14" s="1"/>
  <c r="I104" i="14"/>
  <c r="K104" i="14" s="1"/>
  <c r="I103" i="14"/>
  <c r="K103" i="14" s="1"/>
  <c r="I102" i="14"/>
  <c r="K102" i="14" s="1"/>
  <c r="J100" i="14"/>
  <c r="I100" i="14"/>
  <c r="K100" i="14" s="1"/>
  <c r="J99" i="14"/>
  <c r="J87" i="14" s="1"/>
  <c r="I99" i="14"/>
  <c r="I87" i="14" s="1"/>
  <c r="K87" i="14" s="1"/>
  <c r="J98" i="14"/>
  <c r="I98" i="14"/>
  <c r="I86" i="14" s="1"/>
  <c r="K86" i="14" s="1"/>
  <c r="N96" i="14"/>
  <c r="N94" i="14" s="1"/>
  <c r="M96" i="14"/>
  <c r="M94" i="14" s="1"/>
  <c r="P94" i="14" s="1"/>
  <c r="L96" i="14"/>
  <c r="O96" i="14" s="1"/>
  <c r="P95" i="14"/>
  <c r="O95" i="14"/>
  <c r="N93" i="14"/>
  <c r="N91" i="14" s="1"/>
  <c r="M93" i="14"/>
  <c r="M91" i="14" s="1"/>
  <c r="L93" i="14"/>
  <c r="P92" i="14"/>
  <c r="O92" i="14"/>
  <c r="O89" i="14"/>
  <c r="N89" i="14"/>
  <c r="M89" i="14"/>
  <c r="L89" i="14"/>
  <c r="J86" i="14"/>
  <c r="I84" i="14"/>
  <c r="K84" i="14" s="1"/>
  <c r="I83" i="14"/>
  <c r="K83" i="14" s="1"/>
  <c r="I82" i="14"/>
  <c r="K82" i="14" s="1"/>
  <c r="I81" i="14"/>
  <c r="K81" i="14" s="1"/>
  <c r="I80" i="14"/>
  <c r="K80" i="14" s="1"/>
  <c r="I79" i="14"/>
  <c r="K79" i="14" s="1"/>
  <c r="I78" i="14"/>
  <c r="K78" i="14" s="1"/>
  <c r="J77" i="14"/>
  <c r="J76" i="14"/>
  <c r="J64" i="14" s="1"/>
  <c r="N74" i="14"/>
  <c r="N72" i="14" s="1"/>
  <c r="M74" i="14"/>
  <c r="L74" i="14"/>
  <c r="L72" i="14" s="1"/>
  <c r="O72" i="14" s="1"/>
  <c r="P73" i="14"/>
  <c r="O73" i="14"/>
  <c r="N71" i="14"/>
  <c r="N69" i="14" s="1"/>
  <c r="M71" i="14"/>
  <c r="M69" i="14" s="1"/>
  <c r="P69" i="14" s="1"/>
  <c r="L71" i="14"/>
  <c r="L69" i="14" s="1"/>
  <c r="O69" i="14" s="1"/>
  <c r="P70" i="14"/>
  <c r="O70" i="14"/>
  <c r="N67" i="14"/>
  <c r="M67" i="14"/>
  <c r="P67" i="14" s="1"/>
  <c r="L67" i="14"/>
  <c r="J65" i="14"/>
  <c r="N61" i="14"/>
  <c r="M61" i="14"/>
  <c r="L61" i="14"/>
  <c r="P60" i="14"/>
  <c r="O60" i="14"/>
  <c r="N58" i="14"/>
  <c r="M58" i="14"/>
  <c r="M56" i="14" s="1"/>
  <c r="L58" i="14"/>
  <c r="P57" i="14"/>
  <c r="O57" i="14"/>
  <c r="P54" i="14"/>
  <c r="N54" i="14"/>
  <c r="M54" i="14"/>
  <c r="L54" i="14"/>
  <c r="N49" i="14"/>
  <c r="M49" i="14"/>
  <c r="L49" i="14"/>
  <c r="L47" i="14" s="1"/>
  <c r="O47" i="14" s="1"/>
  <c r="P48" i="14"/>
  <c r="O48" i="14"/>
  <c r="N46" i="14"/>
  <c r="M46" i="14"/>
  <c r="L46" i="14"/>
  <c r="L44" i="14" s="1"/>
  <c r="P45" i="14"/>
  <c r="O45" i="14"/>
  <c r="N42" i="14"/>
  <c r="M42" i="14"/>
  <c r="P42" i="14" s="1"/>
  <c r="L42" i="14"/>
  <c r="O42" i="14" s="1"/>
  <c r="P36" i="14"/>
  <c r="N36" i="14"/>
  <c r="N34" i="14" s="1"/>
  <c r="M36" i="14"/>
  <c r="P35" i="14"/>
  <c r="O35" i="14"/>
  <c r="N35" i="14"/>
  <c r="M35" i="14"/>
  <c r="M34" i="14" s="1"/>
  <c r="P34" i="14" s="1"/>
  <c r="L35" i="14"/>
  <c r="N33" i="14"/>
  <c r="M33" i="14"/>
  <c r="N32" i="14"/>
  <c r="N31" i="14" s="1"/>
  <c r="M32" i="14"/>
  <c r="M29" i="14" s="1"/>
  <c r="P29" i="14" s="1"/>
  <c r="L32" i="14"/>
  <c r="O32" i="14" s="1"/>
  <c r="N29" i="14"/>
  <c r="N25" i="14"/>
  <c r="M25" i="14"/>
  <c r="P25" i="14" s="1"/>
  <c r="L25" i="14"/>
  <c r="O25" i="14" s="1"/>
  <c r="P22" i="14"/>
  <c r="O22" i="14"/>
  <c r="N22" i="14"/>
  <c r="M22" i="14"/>
  <c r="L22" i="14"/>
  <c r="M19" i="14"/>
  <c r="P19" i="14" s="1"/>
  <c r="L19" i="14"/>
  <c r="O19" i="14" s="1"/>
  <c r="N15" i="14"/>
  <c r="M12" i="14"/>
  <c r="P12" i="14" s="1"/>
  <c r="L12" i="14"/>
  <c r="O12" i="14" s="1"/>
  <c r="J828" i="13"/>
  <c r="I828" i="13"/>
  <c r="J827" i="13"/>
  <c r="I827" i="13"/>
  <c r="J826" i="13"/>
  <c r="I826" i="13"/>
  <c r="J825" i="13"/>
  <c r="I825" i="13"/>
  <c r="J824" i="13"/>
  <c r="I824" i="13"/>
  <c r="J823" i="13"/>
  <c r="I823" i="13"/>
  <c r="J822" i="13"/>
  <c r="I822" i="13"/>
  <c r="J821" i="13"/>
  <c r="I821" i="13"/>
  <c r="P817" i="13"/>
  <c r="O817" i="13"/>
  <c r="P816" i="13"/>
  <c r="O816" i="13"/>
  <c r="O815" i="13"/>
  <c r="N815" i="13"/>
  <c r="M815" i="13"/>
  <c r="P815" i="13" s="1"/>
  <c r="L815" i="13"/>
  <c r="P810" i="13"/>
  <c r="O810" i="13"/>
  <c r="N810" i="13"/>
  <c r="P809" i="13"/>
  <c r="O809" i="13"/>
  <c r="O808" i="13"/>
  <c r="M808" i="13"/>
  <c r="P808" i="13" s="1"/>
  <c r="L808" i="13"/>
  <c r="P807" i="13"/>
  <c r="M807" i="13"/>
  <c r="L807" i="13"/>
  <c r="O806" i="13"/>
  <c r="N806" i="13"/>
  <c r="M806" i="13"/>
  <c r="P806" i="13" s="1"/>
  <c r="L806" i="13"/>
  <c r="P805" i="13"/>
  <c r="M805" i="13"/>
  <c r="K804" i="13"/>
  <c r="J804" i="13"/>
  <c r="K802" i="13"/>
  <c r="J801" i="13"/>
  <c r="J800" i="13"/>
  <c r="J785" i="13" s="1"/>
  <c r="I800" i="13"/>
  <c r="K800" i="13" s="1"/>
  <c r="P798" i="13"/>
  <c r="O798" i="13"/>
  <c r="P797" i="13"/>
  <c r="O797" i="13"/>
  <c r="P796" i="13"/>
  <c r="N796" i="13"/>
  <c r="M796" i="13"/>
  <c r="L796" i="13"/>
  <c r="O796" i="13" s="1"/>
  <c r="P791" i="13"/>
  <c r="N791" i="13"/>
  <c r="L791" i="13"/>
  <c r="L788" i="13" s="1"/>
  <c r="P790" i="13"/>
  <c r="O790" i="13"/>
  <c r="N789" i="13"/>
  <c r="M789" i="13"/>
  <c r="P789" i="13" s="1"/>
  <c r="P788" i="13"/>
  <c r="N788" i="13"/>
  <c r="M788" i="13"/>
  <c r="O787" i="13"/>
  <c r="N787" i="13"/>
  <c r="N786" i="13" s="1"/>
  <c r="M787" i="13"/>
  <c r="P787" i="13" s="1"/>
  <c r="L787" i="13"/>
  <c r="P782" i="13"/>
  <c r="O782" i="13"/>
  <c r="P781" i="13"/>
  <c r="O781" i="13"/>
  <c r="P780" i="13"/>
  <c r="N780" i="13"/>
  <c r="M780" i="13"/>
  <c r="L780" i="13"/>
  <c r="O780" i="13" s="1"/>
  <c r="P775" i="13"/>
  <c r="O775" i="13"/>
  <c r="N775" i="13"/>
  <c r="N772" i="13" s="1"/>
  <c r="P774" i="13"/>
  <c r="O774" i="13"/>
  <c r="P773" i="13"/>
  <c r="N773" i="13"/>
  <c r="M773" i="13"/>
  <c r="L773" i="13"/>
  <c r="O773" i="13" s="1"/>
  <c r="O772" i="13"/>
  <c r="M772" i="13"/>
  <c r="L772" i="13"/>
  <c r="P771" i="13"/>
  <c r="N771" i="13"/>
  <c r="N770" i="13" s="1"/>
  <c r="M771" i="13"/>
  <c r="L771" i="13"/>
  <c r="K769" i="13"/>
  <c r="J769" i="13"/>
  <c r="P766" i="13"/>
  <c r="O766" i="13"/>
  <c r="P765" i="13"/>
  <c r="O765" i="13"/>
  <c r="P764" i="13"/>
  <c r="N764" i="13"/>
  <c r="M764" i="13"/>
  <c r="L764" i="13"/>
  <c r="O764" i="13" s="1"/>
  <c r="P759" i="13"/>
  <c r="O759" i="13"/>
  <c r="N759" i="13"/>
  <c r="N756" i="13" s="1"/>
  <c r="P758" i="13"/>
  <c r="O758" i="13"/>
  <c r="P757" i="13"/>
  <c r="N757" i="13"/>
  <c r="M757" i="13"/>
  <c r="L757" i="13"/>
  <c r="O757" i="13" s="1"/>
  <c r="O756" i="13"/>
  <c r="M756" i="13"/>
  <c r="L756" i="13"/>
  <c r="P755" i="13"/>
  <c r="N755" i="13"/>
  <c r="N754" i="13" s="1"/>
  <c r="M755" i="13"/>
  <c r="L755" i="13"/>
  <c r="K753" i="13"/>
  <c r="J753" i="13"/>
  <c r="P749" i="13"/>
  <c r="O749" i="13"/>
  <c r="P748" i="13"/>
  <c r="O748" i="13"/>
  <c r="P747" i="13"/>
  <c r="N747" i="13"/>
  <c r="M747" i="13"/>
  <c r="L747" i="13"/>
  <c r="O747" i="13" s="1"/>
  <c r="P742" i="13"/>
  <c r="O742" i="13"/>
  <c r="N742" i="13"/>
  <c r="N739" i="13" s="1"/>
  <c r="P741" i="13"/>
  <c r="O741" i="13"/>
  <c r="P740" i="13"/>
  <c r="N740" i="13"/>
  <c r="M740" i="13"/>
  <c r="L740" i="13"/>
  <c r="O740" i="13" s="1"/>
  <c r="O739" i="13"/>
  <c r="M739" i="13"/>
  <c r="L739" i="13"/>
  <c r="P738" i="13"/>
  <c r="N738" i="13"/>
  <c r="N737" i="13" s="1"/>
  <c r="M738" i="13"/>
  <c r="L738" i="13"/>
  <c r="K736" i="13"/>
  <c r="J736" i="13"/>
  <c r="J729" i="13"/>
  <c r="I729" i="13"/>
  <c r="J728" i="13"/>
  <c r="I728" i="13"/>
  <c r="K728" i="13" s="1"/>
  <c r="J727" i="13"/>
  <c r="J726" i="13"/>
  <c r="I726" i="13"/>
  <c r="K726" i="13" s="1"/>
  <c r="J725" i="13"/>
  <c r="I725" i="13"/>
  <c r="J724" i="13"/>
  <c r="J723" i="13"/>
  <c r="I723" i="13"/>
  <c r="I722" i="13"/>
  <c r="I721" i="13"/>
  <c r="J720" i="13"/>
  <c r="I720" i="13"/>
  <c r="J719" i="13"/>
  <c r="J718" i="13"/>
  <c r="J708" i="13"/>
  <c r="I708" i="13"/>
  <c r="I707" i="13"/>
  <c r="I704" i="13"/>
  <c r="J701" i="13"/>
  <c r="I701" i="13"/>
  <c r="K701" i="13" s="1"/>
  <c r="J700" i="13"/>
  <c r="I700" i="13"/>
  <c r="J699" i="13"/>
  <c r="I699" i="13"/>
  <c r="K699" i="13" s="1"/>
  <c r="P697" i="13"/>
  <c r="O697" i="13"/>
  <c r="P696" i="13"/>
  <c r="O696" i="13"/>
  <c r="P695" i="13"/>
  <c r="N695" i="13"/>
  <c r="M695" i="13"/>
  <c r="L695" i="13"/>
  <c r="O695" i="13" s="1"/>
  <c r="P690" i="13"/>
  <c r="N690" i="13"/>
  <c r="N688" i="13" s="1"/>
  <c r="L690" i="13"/>
  <c r="L688" i="13" s="1"/>
  <c r="O688" i="13" s="1"/>
  <c r="M688" i="13"/>
  <c r="P688" i="13" s="1"/>
  <c r="P687" i="13"/>
  <c r="N687" i="13"/>
  <c r="M687" i="13"/>
  <c r="O686" i="13"/>
  <c r="N686" i="13"/>
  <c r="M686" i="13"/>
  <c r="P686" i="13" s="1"/>
  <c r="L686" i="13"/>
  <c r="P685" i="13"/>
  <c r="N685" i="13"/>
  <c r="M685" i="13"/>
  <c r="J679" i="13"/>
  <c r="J678" i="13"/>
  <c r="I678" i="13"/>
  <c r="K678" i="13" s="1"/>
  <c r="J675" i="13"/>
  <c r="J669" i="13" s="1"/>
  <c r="J654" i="13" s="1"/>
  <c r="I671" i="13"/>
  <c r="K671" i="13" s="1"/>
  <c r="I670" i="13"/>
  <c r="K670" i="13" s="1"/>
  <c r="I669" i="13"/>
  <c r="I654" i="13" s="1"/>
  <c r="P667" i="13"/>
  <c r="O667" i="13"/>
  <c r="P666" i="13"/>
  <c r="O666" i="13"/>
  <c r="O665" i="13"/>
  <c r="N665" i="13"/>
  <c r="M665" i="13"/>
  <c r="P665" i="13" s="1"/>
  <c r="L665" i="13"/>
  <c r="P660" i="13"/>
  <c r="N660" i="13"/>
  <c r="N657" i="13" s="1"/>
  <c r="L660" i="13"/>
  <c r="L658" i="13" s="1"/>
  <c r="O658" i="13" s="1"/>
  <c r="P659" i="13"/>
  <c r="O659" i="13"/>
  <c r="P658" i="13"/>
  <c r="N658" i="13"/>
  <c r="M658" i="13"/>
  <c r="M657" i="13"/>
  <c r="P657" i="13" s="1"/>
  <c r="P656" i="13"/>
  <c r="N656" i="13"/>
  <c r="N655" i="13" s="1"/>
  <c r="M656" i="13"/>
  <c r="L656" i="13"/>
  <c r="M655" i="13"/>
  <c r="P655" i="13" s="1"/>
  <c r="K652" i="13"/>
  <c r="J652" i="13"/>
  <c r="J651" i="13"/>
  <c r="J628" i="13" s="1"/>
  <c r="I651" i="13"/>
  <c r="K651" i="13" s="1"/>
  <c r="K650" i="13"/>
  <c r="J650" i="13"/>
  <c r="J649" i="13"/>
  <c r="I649" i="13"/>
  <c r="K649" i="13" s="1"/>
  <c r="K648" i="13"/>
  <c r="J648" i="13"/>
  <c r="J647" i="13"/>
  <c r="I647" i="13"/>
  <c r="K647" i="13" s="1"/>
  <c r="K646" i="13"/>
  <c r="J646" i="13"/>
  <c r="K645" i="13"/>
  <c r="J645" i="13"/>
  <c r="I644" i="13"/>
  <c r="K644" i="13" s="1"/>
  <c r="I643" i="13"/>
  <c r="K643" i="13" s="1"/>
  <c r="P641" i="13"/>
  <c r="L641" i="13"/>
  <c r="P640" i="13"/>
  <c r="O640" i="13"/>
  <c r="N639" i="13"/>
  <c r="M639" i="13"/>
  <c r="P639" i="13" s="1"/>
  <c r="P634" i="13"/>
  <c r="N634" i="13"/>
  <c r="L634" i="13"/>
  <c r="O634" i="13" s="1"/>
  <c r="P633" i="13"/>
  <c r="O633" i="13"/>
  <c r="P632" i="13"/>
  <c r="N632" i="13"/>
  <c r="M632" i="13"/>
  <c r="N631" i="13"/>
  <c r="M631" i="13"/>
  <c r="P631" i="13" s="1"/>
  <c r="P630" i="13"/>
  <c r="N630" i="13"/>
  <c r="N629" i="13" s="1"/>
  <c r="M630" i="13"/>
  <c r="L630" i="13"/>
  <c r="O630" i="13" s="1"/>
  <c r="M629" i="13"/>
  <c r="P629" i="13" s="1"/>
  <c r="J621" i="13"/>
  <c r="I621" i="13"/>
  <c r="K621" i="13" s="1"/>
  <c r="J620" i="13"/>
  <c r="I620" i="13"/>
  <c r="K620" i="13" s="1"/>
  <c r="K613" i="13"/>
  <c r="J613" i="13"/>
  <c r="K612" i="13"/>
  <c r="J612" i="13"/>
  <c r="K611" i="13"/>
  <c r="J611" i="13"/>
  <c r="J604" i="13"/>
  <c r="J603" i="13"/>
  <c r="J596" i="13"/>
  <c r="J595" i="13"/>
  <c r="J593" i="13" s="1"/>
  <c r="J594" i="13"/>
  <c r="I594" i="13"/>
  <c r="I593" i="13"/>
  <c r="I592" i="13" s="1"/>
  <c r="J583" i="13"/>
  <c r="J577" i="13" s="1"/>
  <c r="J582" i="13"/>
  <c r="I577" i="13"/>
  <c r="K577" i="13" s="1"/>
  <c r="J576" i="13"/>
  <c r="J559" i="13" s="1"/>
  <c r="J543" i="13" s="1"/>
  <c r="I576" i="13"/>
  <c r="K576" i="13" s="1"/>
  <c r="J569" i="13"/>
  <c r="I569" i="13"/>
  <c r="K569" i="13" s="1"/>
  <c r="J568" i="13"/>
  <c r="I568" i="13"/>
  <c r="K568" i="13" s="1"/>
  <c r="J561" i="13"/>
  <c r="I561" i="13"/>
  <c r="K561" i="13" s="1"/>
  <c r="J560" i="13"/>
  <c r="I560" i="13"/>
  <c r="K560" i="13" s="1"/>
  <c r="P557" i="13"/>
  <c r="L557" i="13"/>
  <c r="O557" i="13" s="1"/>
  <c r="P556" i="13"/>
  <c r="O556" i="13"/>
  <c r="P555" i="13"/>
  <c r="N555" i="13"/>
  <c r="N545" i="13" s="1"/>
  <c r="N544" i="13" s="1"/>
  <c r="M555" i="13"/>
  <c r="P549" i="13"/>
  <c r="N549" i="13"/>
  <c r="L549" i="13"/>
  <c r="L547" i="13" s="1"/>
  <c r="O547" i="13" s="1"/>
  <c r="P548" i="13"/>
  <c r="O548" i="13"/>
  <c r="N547" i="13"/>
  <c r="M547" i="13"/>
  <c r="P547" i="13" s="1"/>
  <c r="P546" i="13"/>
  <c r="N546" i="13"/>
  <c r="M546" i="13"/>
  <c r="O545" i="13"/>
  <c r="M545" i="13"/>
  <c r="L545" i="13"/>
  <c r="I542" i="13"/>
  <c r="K542" i="13" s="1"/>
  <c r="I541" i="13"/>
  <c r="K541" i="13" s="1"/>
  <c r="I540" i="13"/>
  <c r="K540" i="13" s="1"/>
  <c r="I539" i="13"/>
  <c r="K539" i="13" s="1"/>
  <c r="I538" i="13"/>
  <c r="I537" i="13"/>
  <c r="I522" i="13" s="1"/>
  <c r="K522" i="13" s="1"/>
  <c r="P535" i="13"/>
  <c r="L535" i="13"/>
  <c r="O535" i="13" s="1"/>
  <c r="P534" i="13"/>
  <c r="O534" i="13"/>
  <c r="P533" i="13"/>
  <c r="N533" i="13"/>
  <c r="M533" i="13"/>
  <c r="P528" i="13"/>
  <c r="N528" i="13"/>
  <c r="L528" i="13"/>
  <c r="P527" i="13"/>
  <c r="O527" i="13"/>
  <c r="N526" i="13"/>
  <c r="M526" i="13"/>
  <c r="P526" i="13" s="1"/>
  <c r="P525" i="13"/>
  <c r="N525" i="13"/>
  <c r="M525" i="13"/>
  <c r="O524" i="13"/>
  <c r="N524" i="13"/>
  <c r="N523" i="13" s="1"/>
  <c r="M524" i="13"/>
  <c r="P524" i="13" s="1"/>
  <c r="L524" i="13"/>
  <c r="P523" i="13"/>
  <c r="M523" i="13"/>
  <c r="K517" i="13"/>
  <c r="J517" i="13"/>
  <c r="J501" i="13" s="1"/>
  <c r="K516" i="13"/>
  <c r="P514" i="13"/>
  <c r="O514" i="13"/>
  <c r="P513" i="13"/>
  <c r="O513" i="13"/>
  <c r="P512" i="13"/>
  <c r="O512" i="13"/>
  <c r="N512" i="13"/>
  <c r="M512" i="13"/>
  <c r="L512" i="13"/>
  <c r="P507" i="13"/>
  <c r="O507" i="13"/>
  <c r="N507" i="13"/>
  <c r="P506" i="13"/>
  <c r="O506" i="13"/>
  <c r="O505" i="13"/>
  <c r="N505" i="13"/>
  <c r="M505" i="13"/>
  <c r="P505" i="13" s="1"/>
  <c r="L505" i="13"/>
  <c r="N504" i="13"/>
  <c r="M504" i="13"/>
  <c r="P504" i="13" s="1"/>
  <c r="L504" i="13"/>
  <c r="O504" i="13" s="1"/>
  <c r="O503" i="13"/>
  <c r="N503" i="13"/>
  <c r="M503" i="13"/>
  <c r="L503" i="13"/>
  <c r="N502" i="13"/>
  <c r="L502" i="13"/>
  <c r="O502" i="13" s="1"/>
  <c r="K501" i="13"/>
  <c r="K500" i="13"/>
  <c r="J500" i="13"/>
  <c r="I498" i="13"/>
  <c r="K498" i="13" s="1"/>
  <c r="I495" i="13"/>
  <c r="K495" i="13" s="1"/>
  <c r="I492" i="13"/>
  <c r="K492" i="13" s="1"/>
  <c r="I489" i="13"/>
  <c r="K489" i="13" s="1"/>
  <c r="I487" i="13"/>
  <c r="K487" i="13" s="1"/>
  <c r="I485" i="13"/>
  <c r="K485" i="13" s="1"/>
  <c r="I483" i="13"/>
  <c r="K483" i="13" s="1"/>
  <c r="P479" i="13"/>
  <c r="L479" i="13"/>
  <c r="O479" i="13" s="1"/>
  <c r="P478" i="13"/>
  <c r="O478" i="13"/>
  <c r="P477" i="13"/>
  <c r="N477" i="13"/>
  <c r="M477" i="13"/>
  <c r="P472" i="13"/>
  <c r="N472" i="13"/>
  <c r="N469" i="13" s="1"/>
  <c r="L472" i="13"/>
  <c r="P471" i="13"/>
  <c r="O471" i="13"/>
  <c r="N470" i="13"/>
  <c r="M470" i="13"/>
  <c r="P470" i="13" s="1"/>
  <c r="P469" i="13"/>
  <c r="M469" i="13"/>
  <c r="O468" i="13"/>
  <c r="N468" i="13"/>
  <c r="M468" i="13"/>
  <c r="L468" i="13"/>
  <c r="N467" i="13"/>
  <c r="J466" i="13"/>
  <c r="I466" i="13"/>
  <c r="K466" i="13" s="1"/>
  <c r="J465" i="13"/>
  <c r="I465" i="13"/>
  <c r="K465" i="13" s="1"/>
  <c r="I464" i="13"/>
  <c r="I463" i="13"/>
  <c r="I462" i="13"/>
  <c r="I460" i="13"/>
  <c r="K458" i="13"/>
  <c r="P456" i="13"/>
  <c r="L456" i="13"/>
  <c r="P455" i="13"/>
  <c r="O455" i="13"/>
  <c r="N454" i="13"/>
  <c r="M454" i="13"/>
  <c r="P454" i="13" s="1"/>
  <c r="P449" i="13"/>
  <c r="N449" i="13"/>
  <c r="L449" i="13"/>
  <c r="O449" i="13" s="1"/>
  <c r="P448" i="13"/>
  <c r="O448" i="13"/>
  <c r="P447" i="13"/>
  <c r="N447" i="13"/>
  <c r="M447" i="13"/>
  <c r="N446" i="13"/>
  <c r="M446" i="13"/>
  <c r="P446" i="13" s="1"/>
  <c r="N445" i="13"/>
  <c r="N444" i="13" s="1"/>
  <c r="M445" i="13"/>
  <c r="L445" i="13"/>
  <c r="O445" i="13" s="1"/>
  <c r="J443" i="13"/>
  <c r="J442" i="13"/>
  <c r="I441" i="13"/>
  <c r="K441" i="13" s="1"/>
  <c r="I440" i="13"/>
  <c r="K440" i="13" s="1"/>
  <c r="I439" i="13"/>
  <c r="K439" i="13" s="1"/>
  <c r="I438" i="13"/>
  <c r="K438" i="13" s="1"/>
  <c r="I437" i="13"/>
  <c r="K437" i="13" s="1"/>
  <c r="I435" i="13"/>
  <c r="I433" i="13" s="1"/>
  <c r="I417" i="13" s="1"/>
  <c r="J434" i="13"/>
  <c r="P431" i="13"/>
  <c r="L431" i="13"/>
  <c r="P430" i="13"/>
  <c r="O430" i="13"/>
  <c r="P429" i="13"/>
  <c r="N429" i="13"/>
  <c r="M429" i="13"/>
  <c r="P424" i="13"/>
  <c r="N424" i="13"/>
  <c r="L424" i="13"/>
  <c r="P423" i="13"/>
  <c r="O423" i="13"/>
  <c r="P422" i="13"/>
  <c r="N422" i="13"/>
  <c r="M422" i="13"/>
  <c r="N421" i="13"/>
  <c r="M421" i="13"/>
  <c r="P421" i="13" s="1"/>
  <c r="P420" i="13"/>
  <c r="N420" i="13"/>
  <c r="M420" i="13"/>
  <c r="L420" i="13"/>
  <c r="O420" i="13" s="1"/>
  <c r="M419" i="13"/>
  <c r="J418" i="13"/>
  <c r="K413" i="13"/>
  <c r="K412" i="13"/>
  <c r="N410" i="13"/>
  <c r="N408" i="13" s="1"/>
  <c r="M410" i="13"/>
  <c r="P410" i="13" s="1"/>
  <c r="L410" i="13"/>
  <c r="L408" i="13" s="1"/>
  <c r="O408" i="13" s="1"/>
  <c r="P409" i="13"/>
  <c r="O409" i="13"/>
  <c r="N407" i="13"/>
  <c r="M407" i="13"/>
  <c r="L407" i="13"/>
  <c r="O407" i="13" s="1"/>
  <c r="P406" i="13"/>
  <c r="O406" i="13"/>
  <c r="P403" i="13"/>
  <c r="N403" i="13"/>
  <c r="M403" i="13"/>
  <c r="L403" i="13"/>
  <c r="K401" i="13"/>
  <c r="J401" i="13"/>
  <c r="I401" i="13"/>
  <c r="K400" i="13"/>
  <c r="K399" i="13"/>
  <c r="N397" i="13"/>
  <c r="N395" i="13" s="1"/>
  <c r="M397" i="13"/>
  <c r="L397" i="13"/>
  <c r="O397" i="13" s="1"/>
  <c r="P396" i="13"/>
  <c r="O396" i="13"/>
  <c r="N394" i="13"/>
  <c r="M394" i="13"/>
  <c r="L394" i="13"/>
  <c r="P393" i="13"/>
  <c r="O393" i="13"/>
  <c r="P390" i="13"/>
  <c r="N390" i="13"/>
  <c r="M390" i="13"/>
  <c r="L390" i="13"/>
  <c r="O390" i="13" s="1"/>
  <c r="K388" i="13"/>
  <c r="J388" i="13"/>
  <c r="I388" i="13"/>
  <c r="J385" i="13"/>
  <c r="I385" i="13"/>
  <c r="K382" i="13"/>
  <c r="J382" i="13"/>
  <c r="J381" i="13"/>
  <c r="J374" i="13" s="1"/>
  <c r="I381" i="13"/>
  <c r="K381" i="13" s="1"/>
  <c r="K380" i="13"/>
  <c r="J380" i="13"/>
  <c r="J379" i="13"/>
  <c r="I379" i="13"/>
  <c r="K379" i="13" s="1"/>
  <c r="J378" i="13"/>
  <c r="I378" i="13"/>
  <c r="K378" i="13" s="1"/>
  <c r="K377" i="13"/>
  <c r="J377" i="13"/>
  <c r="I374" i="13"/>
  <c r="K374" i="13" s="1"/>
  <c r="K373" i="13"/>
  <c r="J373" i="13"/>
  <c r="J372" i="13"/>
  <c r="J365" i="13" s="1"/>
  <c r="I372" i="13"/>
  <c r="K372" i="13" s="1"/>
  <c r="K371" i="13"/>
  <c r="J371" i="13"/>
  <c r="J370" i="13"/>
  <c r="I370" i="13"/>
  <c r="K370" i="13" s="1"/>
  <c r="J369" i="13"/>
  <c r="I369" i="13"/>
  <c r="K369" i="13" s="1"/>
  <c r="K368" i="13"/>
  <c r="J368" i="13"/>
  <c r="I365" i="13"/>
  <c r="K363" i="13"/>
  <c r="J363" i="13"/>
  <c r="J362" i="13"/>
  <c r="J355" i="13" s="1"/>
  <c r="I362" i="13"/>
  <c r="K362" i="13" s="1"/>
  <c r="K361" i="13"/>
  <c r="J361" i="13"/>
  <c r="J360" i="13"/>
  <c r="I360" i="13"/>
  <c r="K360" i="13" s="1"/>
  <c r="J359" i="13"/>
  <c r="I359" i="13"/>
  <c r="K359" i="13" s="1"/>
  <c r="K358" i="13"/>
  <c r="J358" i="13"/>
  <c r="I355" i="13"/>
  <c r="K355" i="13" s="1"/>
  <c r="N353" i="13"/>
  <c r="N351" i="13" s="1"/>
  <c r="M353" i="13"/>
  <c r="L353" i="13"/>
  <c r="L351" i="13" s="1"/>
  <c r="P352" i="13"/>
  <c r="O352" i="13"/>
  <c r="N350" i="13"/>
  <c r="N348" i="13" s="1"/>
  <c r="M350" i="13"/>
  <c r="L350" i="13"/>
  <c r="L348" i="13" s="1"/>
  <c r="P349" i="13"/>
  <c r="O349" i="13"/>
  <c r="P346" i="13"/>
  <c r="O346" i="13"/>
  <c r="N346" i="13"/>
  <c r="M346" i="13"/>
  <c r="L346" i="13"/>
  <c r="J343" i="13"/>
  <c r="J342" i="13"/>
  <c r="J341" i="13"/>
  <c r="J340" i="13"/>
  <c r="I340" i="13"/>
  <c r="J338" i="13"/>
  <c r="I338" i="13"/>
  <c r="N336" i="13"/>
  <c r="N334" i="13" s="1"/>
  <c r="M336" i="13"/>
  <c r="M334" i="13" s="1"/>
  <c r="P334" i="13" s="1"/>
  <c r="L336" i="13"/>
  <c r="O336" i="13" s="1"/>
  <c r="P335" i="13"/>
  <c r="O335" i="13"/>
  <c r="N333" i="13"/>
  <c r="N331" i="13" s="1"/>
  <c r="M333" i="13"/>
  <c r="M331" i="13" s="1"/>
  <c r="L333" i="13"/>
  <c r="L331" i="13" s="1"/>
  <c r="P332" i="13"/>
  <c r="O332" i="13"/>
  <c r="N329" i="13"/>
  <c r="M329" i="13"/>
  <c r="L329" i="13"/>
  <c r="O329" i="13" s="1"/>
  <c r="I327" i="13"/>
  <c r="I325" i="13"/>
  <c r="N323" i="13"/>
  <c r="M323" i="13"/>
  <c r="M321" i="13" s="1"/>
  <c r="P321" i="13" s="1"/>
  <c r="L323" i="13"/>
  <c r="O323" i="13" s="1"/>
  <c r="P322" i="13"/>
  <c r="O322" i="13"/>
  <c r="N320" i="13"/>
  <c r="N318" i="13" s="1"/>
  <c r="M320" i="13"/>
  <c r="P320" i="13" s="1"/>
  <c r="L320" i="13"/>
  <c r="O320" i="13" s="1"/>
  <c r="P319" i="13"/>
  <c r="O319" i="13"/>
  <c r="P316" i="13"/>
  <c r="N316" i="13"/>
  <c r="M316" i="13"/>
  <c r="L316" i="13"/>
  <c r="J314" i="13"/>
  <c r="I312" i="13"/>
  <c r="K312" i="13" s="1"/>
  <c r="I311" i="13"/>
  <c r="K311" i="13" s="1"/>
  <c r="I310" i="13"/>
  <c r="K310" i="13" s="1"/>
  <c r="I309" i="13"/>
  <c r="I297" i="13" s="1"/>
  <c r="K297" i="13" s="1"/>
  <c r="N306" i="13"/>
  <c r="N304" i="13" s="1"/>
  <c r="M306" i="13"/>
  <c r="L306" i="13"/>
  <c r="L304" i="13" s="1"/>
  <c r="O304" i="13" s="1"/>
  <c r="P305" i="13"/>
  <c r="O305" i="13"/>
  <c r="N303" i="13"/>
  <c r="N301" i="13" s="1"/>
  <c r="M303" i="13"/>
  <c r="M301" i="13" s="1"/>
  <c r="L303" i="13"/>
  <c r="L301" i="13" s="1"/>
  <c r="P302" i="13"/>
  <c r="O302" i="13"/>
  <c r="N299" i="13"/>
  <c r="M299" i="13"/>
  <c r="L299" i="13"/>
  <c r="O299" i="13" s="1"/>
  <c r="J297" i="13"/>
  <c r="I294" i="13"/>
  <c r="K294" i="13" s="1"/>
  <c r="I293" i="13"/>
  <c r="K293" i="13" s="1"/>
  <c r="I291" i="13"/>
  <c r="K291" i="13" s="1"/>
  <c r="I290" i="13"/>
  <c r="K290" i="13" s="1"/>
  <c r="I288" i="13"/>
  <c r="I287" i="13"/>
  <c r="K287" i="13" s="1"/>
  <c r="N285" i="13"/>
  <c r="M285" i="13"/>
  <c r="M283" i="13" s="1"/>
  <c r="P283" i="13" s="1"/>
  <c r="L285" i="13"/>
  <c r="P284" i="13"/>
  <c r="O284" i="13"/>
  <c r="N282" i="13"/>
  <c r="N280" i="13" s="1"/>
  <c r="M282" i="13"/>
  <c r="L282" i="13"/>
  <c r="P281" i="13"/>
  <c r="O281" i="13"/>
  <c r="P278" i="13"/>
  <c r="O278" i="13"/>
  <c r="N278" i="13"/>
  <c r="M278" i="13"/>
  <c r="L278" i="13"/>
  <c r="J276" i="13"/>
  <c r="I271" i="13"/>
  <c r="K271" i="13" s="1"/>
  <c r="N269" i="13"/>
  <c r="N267" i="13" s="1"/>
  <c r="M269" i="13"/>
  <c r="M267" i="13" s="1"/>
  <c r="P267" i="13" s="1"/>
  <c r="L269" i="13"/>
  <c r="L267" i="13" s="1"/>
  <c r="O267" i="13" s="1"/>
  <c r="P268" i="13"/>
  <c r="O268" i="13"/>
  <c r="N266" i="13"/>
  <c r="M266" i="13"/>
  <c r="P266" i="13" s="1"/>
  <c r="L266" i="13"/>
  <c r="L264" i="13" s="1"/>
  <c r="P265" i="13"/>
  <c r="O265" i="13"/>
  <c r="O262" i="13"/>
  <c r="N262" i="13"/>
  <c r="M262" i="13"/>
  <c r="P262" i="13" s="1"/>
  <c r="L262" i="13"/>
  <c r="J260" i="13"/>
  <c r="K258" i="13"/>
  <c r="K257" i="13"/>
  <c r="K255" i="13"/>
  <c r="L253" i="13"/>
  <c r="L252" i="13"/>
  <c r="L251" i="13"/>
  <c r="L250" i="13"/>
  <c r="P249" i="13"/>
  <c r="N249" i="13"/>
  <c r="J248" i="13"/>
  <c r="J226" i="13" s="1"/>
  <c r="J180" i="13" s="1"/>
  <c r="K247" i="13"/>
  <c r="K246" i="13"/>
  <c r="I244" i="13"/>
  <c r="L242" i="13"/>
  <c r="L241" i="13"/>
  <c r="L240" i="13"/>
  <c r="L239" i="13"/>
  <c r="P238" i="13"/>
  <c r="N238" i="13"/>
  <c r="J237" i="13"/>
  <c r="J236" i="13"/>
  <c r="K236" i="13" s="1"/>
  <c r="I236" i="13"/>
  <c r="J235" i="13"/>
  <c r="I235" i="13"/>
  <c r="J233" i="13"/>
  <c r="N231" i="13"/>
  <c r="N230" i="13"/>
  <c r="N229" i="13"/>
  <c r="N228" i="13"/>
  <c r="I225" i="13"/>
  <c r="K225" i="13" s="1"/>
  <c r="I224" i="13"/>
  <c r="K224" i="13" s="1"/>
  <c r="I223" i="13"/>
  <c r="K223" i="13" s="1"/>
  <c r="L220" i="13"/>
  <c r="L219" i="13"/>
  <c r="L218" i="13"/>
  <c r="P217" i="13"/>
  <c r="N217" i="13"/>
  <c r="J216" i="13"/>
  <c r="I215" i="13"/>
  <c r="K215" i="13" s="1"/>
  <c r="I214" i="13"/>
  <c r="K214" i="13" s="1"/>
  <c r="L212" i="13"/>
  <c r="L211" i="13"/>
  <c r="L210" i="13"/>
  <c r="P209" i="13"/>
  <c r="N209" i="13"/>
  <c r="J208" i="13"/>
  <c r="I204" i="13"/>
  <c r="I197" i="13" s="1"/>
  <c r="K197" i="13" s="1"/>
  <c r="L202" i="13"/>
  <c r="L201" i="13"/>
  <c r="L200" i="13"/>
  <c r="L199" i="13"/>
  <c r="P198" i="13"/>
  <c r="N198" i="13"/>
  <c r="J197" i="13"/>
  <c r="J194" i="13"/>
  <c r="I193" i="13"/>
  <c r="K193" i="13" s="1"/>
  <c r="P191" i="13"/>
  <c r="L191" i="13"/>
  <c r="O191" i="13" s="1"/>
  <c r="J190" i="13"/>
  <c r="N189" i="13"/>
  <c r="N187" i="13" s="1"/>
  <c r="M189" i="13"/>
  <c r="P189" i="13" s="1"/>
  <c r="L189" i="13"/>
  <c r="O189" i="13" s="1"/>
  <c r="P188" i="13"/>
  <c r="O188" i="13"/>
  <c r="N186" i="13"/>
  <c r="N184" i="13" s="1"/>
  <c r="M186" i="13"/>
  <c r="L186" i="13"/>
  <c r="L184" i="13" s="1"/>
  <c r="P185" i="13"/>
  <c r="O185" i="13"/>
  <c r="P182" i="13"/>
  <c r="O182" i="13"/>
  <c r="N182" i="13"/>
  <c r="M182" i="13"/>
  <c r="L182" i="13"/>
  <c r="J177" i="13"/>
  <c r="I176" i="13"/>
  <c r="I174" i="13" s="1"/>
  <c r="I164" i="13" s="1"/>
  <c r="J174" i="13"/>
  <c r="J164" i="13" s="1"/>
  <c r="N173" i="13"/>
  <c r="N171" i="13" s="1"/>
  <c r="M173" i="13"/>
  <c r="L173" i="13"/>
  <c r="O173" i="13" s="1"/>
  <c r="P172" i="13"/>
  <c r="O172" i="13"/>
  <c r="N170" i="13"/>
  <c r="M170" i="13"/>
  <c r="M168" i="13" s="1"/>
  <c r="L170" i="13"/>
  <c r="P169" i="13"/>
  <c r="O169" i="13"/>
  <c r="P166" i="13"/>
  <c r="O166" i="13"/>
  <c r="N166" i="13"/>
  <c r="M166" i="13"/>
  <c r="L166" i="13"/>
  <c r="I159" i="13"/>
  <c r="K159" i="13" s="1"/>
  <c r="N157" i="13"/>
  <c r="N155" i="13" s="1"/>
  <c r="M157" i="13"/>
  <c r="L157" i="13"/>
  <c r="O157" i="13" s="1"/>
  <c r="P156" i="13"/>
  <c r="O156" i="13"/>
  <c r="N154" i="13"/>
  <c r="N152" i="13" s="1"/>
  <c r="M154" i="13"/>
  <c r="L154" i="13"/>
  <c r="L152" i="13" s="1"/>
  <c r="P153" i="13"/>
  <c r="O153" i="13"/>
  <c r="N150" i="13"/>
  <c r="M150" i="13"/>
  <c r="L150" i="13"/>
  <c r="O150" i="13" s="1"/>
  <c r="J148" i="13"/>
  <c r="I146" i="13"/>
  <c r="I130" i="13" s="1"/>
  <c r="K130" i="13" s="1"/>
  <c r="I145" i="13"/>
  <c r="I143" i="13" s="1"/>
  <c r="I144" i="13"/>
  <c r="K144" i="13" s="1"/>
  <c r="N140" i="13"/>
  <c r="N138" i="13" s="1"/>
  <c r="M140" i="13"/>
  <c r="M138" i="13" s="1"/>
  <c r="P138" i="13" s="1"/>
  <c r="L140" i="13"/>
  <c r="O140" i="13" s="1"/>
  <c r="P139" i="13"/>
  <c r="O139" i="13"/>
  <c r="N137" i="13"/>
  <c r="N135" i="13" s="1"/>
  <c r="M137" i="13"/>
  <c r="M135" i="13" s="1"/>
  <c r="P135" i="13" s="1"/>
  <c r="L137" i="13"/>
  <c r="P136" i="13"/>
  <c r="O136" i="13"/>
  <c r="P133" i="13"/>
  <c r="O133" i="13"/>
  <c r="N133" i="13"/>
  <c r="M133" i="13"/>
  <c r="L133" i="13"/>
  <c r="J130" i="13"/>
  <c r="N127" i="13"/>
  <c r="N125" i="13" s="1"/>
  <c r="M127" i="13"/>
  <c r="L127" i="13"/>
  <c r="O127" i="13" s="1"/>
  <c r="P126" i="13"/>
  <c r="O126" i="13"/>
  <c r="N124" i="13"/>
  <c r="M124" i="13"/>
  <c r="L124" i="13"/>
  <c r="O124" i="13" s="1"/>
  <c r="P123" i="13"/>
  <c r="O123" i="13"/>
  <c r="N120" i="13"/>
  <c r="M120" i="13"/>
  <c r="L120" i="13"/>
  <c r="O120" i="13" s="1"/>
  <c r="I116" i="13"/>
  <c r="K116" i="13" s="1"/>
  <c r="I115" i="13"/>
  <c r="I114" i="13"/>
  <c r="K114" i="13" s="1"/>
  <c r="I113" i="13"/>
  <c r="K113" i="13" s="1"/>
  <c r="J112" i="13"/>
  <c r="J111" i="13"/>
  <c r="I111" i="13"/>
  <c r="K111" i="13" s="1"/>
  <c r="I110" i="13"/>
  <c r="K110" i="13" s="1"/>
  <c r="I109" i="13"/>
  <c r="K109" i="13" s="1"/>
  <c r="I107" i="13"/>
  <c r="K107" i="13" s="1"/>
  <c r="I106" i="13"/>
  <c r="K106" i="13" s="1"/>
  <c r="I104" i="13"/>
  <c r="K104" i="13" s="1"/>
  <c r="I103" i="13"/>
  <c r="K103" i="13" s="1"/>
  <c r="I102" i="13"/>
  <c r="K102" i="13" s="1"/>
  <c r="J100" i="13"/>
  <c r="I100" i="13"/>
  <c r="K100" i="13" s="1"/>
  <c r="J99" i="13"/>
  <c r="I99" i="13"/>
  <c r="K99" i="13" s="1"/>
  <c r="J98" i="13"/>
  <c r="J86" i="13" s="1"/>
  <c r="I98" i="13"/>
  <c r="N96" i="13"/>
  <c r="N94" i="13" s="1"/>
  <c r="M96" i="13"/>
  <c r="P96" i="13" s="1"/>
  <c r="L96" i="13"/>
  <c r="L94" i="13" s="1"/>
  <c r="O94" i="13" s="1"/>
  <c r="P95" i="13"/>
  <c r="O95" i="13"/>
  <c r="N93" i="13"/>
  <c r="N91" i="13" s="1"/>
  <c r="M93" i="13"/>
  <c r="L93" i="13"/>
  <c r="P92" i="13"/>
  <c r="O92" i="13"/>
  <c r="P89" i="13"/>
  <c r="O89" i="13"/>
  <c r="N89" i="13"/>
  <c r="M89" i="13"/>
  <c r="L89" i="13"/>
  <c r="J87" i="13"/>
  <c r="I84" i="13"/>
  <c r="K84" i="13" s="1"/>
  <c r="I83" i="13"/>
  <c r="K83" i="13" s="1"/>
  <c r="I82" i="13"/>
  <c r="K82" i="13" s="1"/>
  <c r="I81" i="13"/>
  <c r="K81" i="13" s="1"/>
  <c r="I80" i="13"/>
  <c r="K80" i="13" s="1"/>
  <c r="I79" i="13"/>
  <c r="K79" i="13" s="1"/>
  <c r="I78" i="13"/>
  <c r="K78" i="13" s="1"/>
  <c r="J77" i="13"/>
  <c r="J65" i="13" s="1"/>
  <c r="J76" i="13"/>
  <c r="N74" i="13"/>
  <c r="N72" i="13" s="1"/>
  <c r="M74" i="13"/>
  <c r="M72" i="13" s="1"/>
  <c r="P72" i="13" s="1"/>
  <c r="L74" i="13"/>
  <c r="L72" i="13" s="1"/>
  <c r="O72" i="13" s="1"/>
  <c r="P73" i="13"/>
  <c r="O73" i="13"/>
  <c r="N71" i="13"/>
  <c r="N69" i="13" s="1"/>
  <c r="M71" i="13"/>
  <c r="M69" i="13" s="1"/>
  <c r="L71" i="13"/>
  <c r="P70" i="13"/>
  <c r="O70" i="13"/>
  <c r="P67" i="13"/>
  <c r="O67" i="13"/>
  <c r="N67" i="13"/>
  <c r="M67" i="13"/>
  <c r="L67" i="13"/>
  <c r="J64" i="13"/>
  <c r="N61" i="13"/>
  <c r="N59" i="13" s="1"/>
  <c r="M61" i="13"/>
  <c r="L61" i="13"/>
  <c r="L59" i="13" s="1"/>
  <c r="O59" i="13" s="1"/>
  <c r="P60" i="13"/>
  <c r="O60" i="13"/>
  <c r="N58" i="13"/>
  <c r="M58" i="13"/>
  <c r="L58" i="13"/>
  <c r="L56" i="13" s="1"/>
  <c r="P57" i="13"/>
  <c r="O57" i="13"/>
  <c r="N54" i="13"/>
  <c r="M54" i="13"/>
  <c r="L54" i="13"/>
  <c r="O54" i="13" s="1"/>
  <c r="N49" i="13"/>
  <c r="N47" i="13" s="1"/>
  <c r="M49" i="13"/>
  <c r="M47" i="13" s="1"/>
  <c r="P47" i="13" s="1"/>
  <c r="L49" i="13"/>
  <c r="O49" i="13" s="1"/>
  <c r="P48" i="13"/>
  <c r="O48" i="13"/>
  <c r="N46" i="13"/>
  <c r="N44" i="13" s="1"/>
  <c r="M46" i="13"/>
  <c r="M44" i="13" s="1"/>
  <c r="L46" i="13"/>
  <c r="P45" i="13"/>
  <c r="O45" i="13"/>
  <c r="P42" i="13"/>
  <c r="O42" i="13"/>
  <c r="N42" i="13"/>
  <c r="M42" i="13"/>
  <c r="L42" i="13"/>
  <c r="N36" i="13"/>
  <c r="M36" i="13"/>
  <c r="P35" i="13"/>
  <c r="N35" i="13"/>
  <c r="M35" i="13"/>
  <c r="L35" i="13"/>
  <c r="N34" i="13"/>
  <c r="P33" i="13"/>
  <c r="N33" i="13"/>
  <c r="N30" i="13" s="1"/>
  <c r="M33" i="13"/>
  <c r="O32" i="13"/>
  <c r="N32" i="13"/>
  <c r="N29" i="13" s="1"/>
  <c r="N28" i="13" s="1"/>
  <c r="M32" i="13"/>
  <c r="P32" i="13" s="1"/>
  <c r="L32" i="13"/>
  <c r="N31" i="13"/>
  <c r="M31" i="13"/>
  <c r="P31" i="13" s="1"/>
  <c r="O25" i="13"/>
  <c r="N25" i="13"/>
  <c r="N15" i="13" s="1"/>
  <c r="M25" i="13"/>
  <c r="P25" i="13" s="1"/>
  <c r="L25" i="13"/>
  <c r="P22" i="13"/>
  <c r="N22" i="13"/>
  <c r="M22" i="13"/>
  <c r="L22" i="13"/>
  <c r="M19" i="13"/>
  <c r="P19" i="13" s="1"/>
  <c r="N12" i="13"/>
  <c r="M12" i="13"/>
  <c r="N9" i="13"/>
  <c r="J828" i="12"/>
  <c r="I828" i="12"/>
  <c r="J827" i="12"/>
  <c r="I827" i="12"/>
  <c r="J826" i="12"/>
  <c r="I826" i="12"/>
  <c r="J825" i="12"/>
  <c r="I825" i="12"/>
  <c r="J824" i="12"/>
  <c r="I824" i="12"/>
  <c r="J823" i="12"/>
  <c r="I823" i="12"/>
  <c r="J822" i="12"/>
  <c r="I822" i="12"/>
  <c r="J821" i="12"/>
  <c r="I821" i="12"/>
  <c r="P817" i="12"/>
  <c r="O817" i="12"/>
  <c r="P816" i="12"/>
  <c r="O816" i="12"/>
  <c r="O815" i="12"/>
  <c r="N815" i="12"/>
  <c r="M815" i="12"/>
  <c r="P815" i="12" s="1"/>
  <c r="L815" i="12"/>
  <c r="P810" i="12"/>
  <c r="O810" i="12"/>
  <c r="N810" i="12"/>
  <c r="P809" i="12"/>
  <c r="O809" i="12"/>
  <c r="O808" i="12"/>
  <c r="M808" i="12"/>
  <c r="P808" i="12" s="1"/>
  <c r="L808" i="12"/>
  <c r="P807" i="12"/>
  <c r="M807" i="12"/>
  <c r="L807" i="12"/>
  <c r="O806" i="12"/>
  <c r="N806" i="12"/>
  <c r="M806" i="12"/>
  <c r="P806" i="12" s="1"/>
  <c r="L806" i="12"/>
  <c r="P805" i="12"/>
  <c r="M805" i="12"/>
  <c r="K804" i="12"/>
  <c r="J804" i="12"/>
  <c r="K802" i="12"/>
  <c r="J801" i="12"/>
  <c r="J800" i="12"/>
  <c r="J785" i="12" s="1"/>
  <c r="I800" i="12"/>
  <c r="K800" i="12" s="1"/>
  <c r="P798" i="12"/>
  <c r="O798" i="12"/>
  <c r="P797" i="12"/>
  <c r="O797" i="12"/>
  <c r="P796" i="12"/>
  <c r="N796" i="12"/>
  <c r="M796" i="12"/>
  <c r="L796" i="12"/>
  <c r="O796" i="12" s="1"/>
  <c r="P791" i="12"/>
  <c r="N791" i="12"/>
  <c r="L791" i="12"/>
  <c r="L788" i="12" s="1"/>
  <c r="P790" i="12"/>
  <c r="O790" i="12"/>
  <c r="N789" i="12"/>
  <c r="M789" i="12"/>
  <c r="P789" i="12" s="1"/>
  <c r="P788" i="12"/>
  <c r="N788" i="12"/>
  <c r="M788" i="12"/>
  <c r="O787" i="12"/>
  <c r="N787" i="12"/>
  <c r="M787" i="12"/>
  <c r="P787" i="12" s="1"/>
  <c r="L787" i="12"/>
  <c r="P786" i="12"/>
  <c r="N786" i="12"/>
  <c r="M786" i="12"/>
  <c r="P782" i="12"/>
  <c r="O782" i="12"/>
  <c r="P781" i="12"/>
  <c r="O781" i="12"/>
  <c r="P780" i="12"/>
  <c r="N780" i="12"/>
  <c r="M780" i="12"/>
  <c r="L780" i="12"/>
  <c r="O780" i="12" s="1"/>
  <c r="P775" i="12"/>
  <c r="O775" i="12"/>
  <c r="N775" i="12"/>
  <c r="N772" i="12" s="1"/>
  <c r="N770" i="12" s="1"/>
  <c r="P774" i="12"/>
  <c r="O774" i="12"/>
  <c r="P773" i="12"/>
  <c r="N773" i="12"/>
  <c r="M773" i="12"/>
  <c r="L773" i="12"/>
  <c r="O773" i="12" s="1"/>
  <c r="O772" i="12"/>
  <c r="M772" i="12"/>
  <c r="L772" i="12"/>
  <c r="P771" i="12"/>
  <c r="N771" i="12"/>
  <c r="M771" i="12"/>
  <c r="L771" i="12"/>
  <c r="K769" i="12"/>
  <c r="J769" i="12"/>
  <c r="P766" i="12"/>
  <c r="O766" i="12"/>
  <c r="P765" i="12"/>
  <c r="O765" i="12"/>
  <c r="P764" i="12"/>
  <c r="N764" i="12"/>
  <c r="M764" i="12"/>
  <c r="L764" i="12"/>
  <c r="O764" i="12" s="1"/>
  <c r="P759" i="12"/>
  <c r="O759" i="12"/>
  <c r="N759" i="12"/>
  <c r="N756" i="12" s="1"/>
  <c r="N754" i="12" s="1"/>
  <c r="P758" i="12"/>
  <c r="O758" i="12"/>
  <c r="P757" i="12"/>
  <c r="N757" i="12"/>
  <c r="M757" i="12"/>
  <c r="L757" i="12"/>
  <c r="O757" i="12" s="1"/>
  <c r="O756" i="12"/>
  <c r="M756" i="12"/>
  <c r="L756" i="12"/>
  <c r="P755" i="12"/>
  <c r="N755" i="12"/>
  <c r="M755" i="12"/>
  <c r="L755" i="12"/>
  <c r="K753" i="12"/>
  <c r="J753" i="12"/>
  <c r="P749" i="12"/>
  <c r="O749" i="12"/>
  <c r="P748" i="12"/>
  <c r="O748" i="12"/>
  <c r="P747" i="12"/>
  <c r="N747" i="12"/>
  <c r="M747" i="12"/>
  <c r="L747" i="12"/>
  <c r="O747" i="12" s="1"/>
  <c r="P742" i="12"/>
  <c r="O742" i="12"/>
  <c r="N742" i="12"/>
  <c r="N739" i="12" s="1"/>
  <c r="N737" i="12" s="1"/>
  <c r="P741" i="12"/>
  <c r="O741" i="12"/>
  <c r="P740" i="12"/>
  <c r="N740" i="12"/>
  <c r="M740" i="12"/>
  <c r="L740" i="12"/>
  <c r="O740" i="12" s="1"/>
  <c r="O739" i="12"/>
  <c r="M739" i="12"/>
  <c r="L739" i="12"/>
  <c r="P738" i="12"/>
  <c r="N738" i="12"/>
  <c r="M738" i="12"/>
  <c r="L738" i="12"/>
  <c r="K736" i="12"/>
  <c r="J736" i="12"/>
  <c r="J729" i="12"/>
  <c r="I729" i="12"/>
  <c r="K729" i="12" s="1"/>
  <c r="J728" i="12"/>
  <c r="I728" i="12"/>
  <c r="J727" i="12"/>
  <c r="J726" i="12"/>
  <c r="I726" i="12"/>
  <c r="J725" i="12"/>
  <c r="I725" i="12"/>
  <c r="J724" i="12"/>
  <c r="J723" i="12"/>
  <c r="I723" i="12"/>
  <c r="I722" i="12"/>
  <c r="I721" i="12"/>
  <c r="J720" i="12"/>
  <c r="I720" i="12"/>
  <c r="K720" i="12" s="1"/>
  <c r="J719" i="12"/>
  <c r="J718" i="12"/>
  <c r="J708" i="12"/>
  <c r="I708" i="12"/>
  <c r="K708" i="12" s="1"/>
  <c r="I707" i="12"/>
  <c r="I704" i="12"/>
  <c r="J701" i="12"/>
  <c r="I701" i="12"/>
  <c r="K701" i="12" s="1"/>
  <c r="J700" i="12"/>
  <c r="I700" i="12"/>
  <c r="J699" i="12"/>
  <c r="I699" i="12"/>
  <c r="K699" i="12" s="1"/>
  <c r="P697" i="12"/>
  <c r="O697" i="12"/>
  <c r="P696" i="12"/>
  <c r="O696" i="12"/>
  <c r="P695" i="12"/>
  <c r="N695" i="12"/>
  <c r="M695" i="12"/>
  <c r="L695" i="12"/>
  <c r="O695" i="12" s="1"/>
  <c r="P690" i="12"/>
  <c r="N690" i="12"/>
  <c r="N688" i="12" s="1"/>
  <c r="L690" i="12"/>
  <c r="L688" i="12" s="1"/>
  <c r="M688" i="12"/>
  <c r="P688" i="12" s="1"/>
  <c r="P687" i="12"/>
  <c r="N687" i="12"/>
  <c r="M687" i="12"/>
  <c r="O686" i="12"/>
  <c r="N686" i="12"/>
  <c r="N685" i="12" s="1"/>
  <c r="M686" i="12"/>
  <c r="P686" i="12" s="1"/>
  <c r="L686" i="12"/>
  <c r="P685" i="12"/>
  <c r="M685" i="12"/>
  <c r="J679" i="12"/>
  <c r="J678" i="12"/>
  <c r="I678" i="12"/>
  <c r="K678" i="12" s="1"/>
  <c r="J675" i="12"/>
  <c r="J669" i="12" s="1"/>
  <c r="J654" i="12" s="1"/>
  <c r="I671" i="12"/>
  <c r="K671" i="12" s="1"/>
  <c r="I670" i="12"/>
  <c r="K670" i="12" s="1"/>
  <c r="I669" i="12"/>
  <c r="P667" i="12"/>
  <c r="O667" i="12"/>
  <c r="P666" i="12"/>
  <c r="O666" i="12"/>
  <c r="O665" i="12"/>
  <c r="N665" i="12"/>
  <c r="M665" i="12"/>
  <c r="P665" i="12" s="1"/>
  <c r="L665" i="12"/>
  <c r="P660" i="12"/>
  <c r="N660" i="12"/>
  <c r="N657" i="12" s="1"/>
  <c r="L660" i="12"/>
  <c r="O660" i="12" s="1"/>
  <c r="P659" i="12"/>
  <c r="O659" i="12"/>
  <c r="P658" i="12"/>
  <c r="N658" i="12"/>
  <c r="M658" i="12"/>
  <c r="M657" i="12"/>
  <c r="P657" i="12" s="1"/>
  <c r="P656" i="12"/>
  <c r="N656" i="12"/>
  <c r="M656" i="12"/>
  <c r="L656" i="12"/>
  <c r="M655" i="12"/>
  <c r="P655" i="12" s="1"/>
  <c r="K652" i="12"/>
  <c r="J652" i="12"/>
  <c r="J651" i="12"/>
  <c r="J628" i="12" s="1"/>
  <c r="I651" i="12"/>
  <c r="K651" i="12" s="1"/>
  <c r="K650" i="12"/>
  <c r="J650" i="12"/>
  <c r="J649" i="12"/>
  <c r="I649" i="12"/>
  <c r="K649" i="12" s="1"/>
  <c r="K648" i="12"/>
  <c r="J648" i="12"/>
  <c r="J647" i="12"/>
  <c r="I647" i="12"/>
  <c r="K647" i="12" s="1"/>
  <c r="K646" i="12"/>
  <c r="J646" i="12"/>
  <c r="K645" i="12"/>
  <c r="J645" i="12"/>
  <c r="I644" i="12"/>
  <c r="K644" i="12" s="1"/>
  <c r="I643" i="12"/>
  <c r="K643" i="12" s="1"/>
  <c r="P641" i="12"/>
  <c r="L641" i="12"/>
  <c r="P640" i="12"/>
  <c r="O640" i="12"/>
  <c r="N639" i="12"/>
  <c r="M639" i="12"/>
  <c r="P639" i="12" s="1"/>
  <c r="P634" i="12"/>
  <c r="N634" i="12"/>
  <c r="N631" i="12" s="1"/>
  <c r="L634" i="12"/>
  <c r="O634" i="12" s="1"/>
  <c r="P633" i="12"/>
  <c r="O633" i="12"/>
  <c r="P632" i="12"/>
  <c r="N632" i="12"/>
  <c r="M632" i="12"/>
  <c r="M631" i="12"/>
  <c r="P631" i="12" s="1"/>
  <c r="P630" i="12"/>
  <c r="N630" i="12"/>
  <c r="M630" i="12"/>
  <c r="M629" i="12" s="1"/>
  <c r="P629" i="12" s="1"/>
  <c r="L630" i="12"/>
  <c r="O630" i="12" s="1"/>
  <c r="J621" i="12"/>
  <c r="I621" i="12"/>
  <c r="K621" i="12" s="1"/>
  <c r="J620" i="12"/>
  <c r="I620" i="12"/>
  <c r="K620" i="12" s="1"/>
  <c r="K613" i="12"/>
  <c r="J613" i="12"/>
  <c r="K612" i="12"/>
  <c r="J612" i="12"/>
  <c r="K611" i="12"/>
  <c r="J611" i="12"/>
  <c r="J604" i="12"/>
  <c r="J603" i="12"/>
  <c r="J596" i="12"/>
  <c r="J595" i="12"/>
  <c r="J593" i="12" s="1"/>
  <c r="J592" i="12" s="1"/>
  <c r="J594" i="12"/>
  <c r="I594" i="12"/>
  <c r="K594" i="12" s="1"/>
  <c r="I593" i="12"/>
  <c r="I592" i="12" s="1"/>
  <c r="J583" i="12"/>
  <c r="J577" i="12" s="1"/>
  <c r="J582" i="12"/>
  <c r="J576" i="12" s="1"/>
  <c r="J559" i="12" s="1"/>
  <c r="J543" i="12" s="1"/>
  <c r="I577" i="12"/>
  <c r="K577" i="12" s="1"/>
  <c r="I576" i="12"/>
  <c r="K576" i="12" s="1"/>
  <c r="J569" i="12"/>
  <c r="I569" i="12"/>
  <c r="K569" i="12" s="1"/>
  <c r="J568" i="12"/>
  <c r="I568" i="12"/>
  <c r="K568" i="12" s="1"/>
  <c r="J561" i="12"/>
  <c r="I561" i="12"/>
  <c r="K561" i="12" s="1"/>
  <c r="J560" i="12"/>
  <c r="I560" i="12"/>
  <c r="K560" i="12" s="1"/>
  <c r="P557" i="12"/>
  <c r="L557" i="12"/>
  <c r="O557" i="12" s="1"/>
  <c r="P556" i="12"/>
  <c r="O556" i="12"/>
  <c r="P555" i="12"/>
  <c r="N555" i="12"/>
  <c r="N545" i="12" s="1"/>
  <c r="N544" i="12" s="1"/>
  <c r="M555" i="12"/>
  <c r="P549" i="12"/>
  <c r="N549" i="12"/>
  <c r="L549" i="12"/>
  <c r="L547" i="12" s="1"/>
  <c r="O547" i="12" s="1"/>
  <c r="P548" i="12"/>
  <c r="O548" i="12"/>
  <c r="N547" i="12"/>
  <c r="M547" i="12"/>
  <c r="P547" i="12" s="1"/>
  <c r="P546" i="12"/>
  <c r="N546" i="12"/>
  <c r="M546" i="12"/>
  <c r="O545" i="12"/>
  <c r="M545" i="12"/>
  <c r="L545" i="12"/>
  <c r="I542" i="12"/>
  <c r="K542" i="12" s="1"/>
  <c r="I541" i="12"/>
  <c r="K541" i="12" s="1"/>
  <c r="I540" i="12"/>
  <c r="K540" i="12" s="1"/>
  <c r="I539" i="12"/>
  <c r="K539" i="12" s="1"/>
  <c r="I538" i="12"/>
  <c r="I537" i="12"/>
  <c r="I522" i="12" s="1"/>
  <c r="K522" i="12" s="1"/>
  <c r="P535" i="12"/>
  <c r="L535" i="12"/>
  <c r="O535" i="12" s="1"/>
  <c r="P534" i="12"/>
  <c r="O534" i="12"/>
  <c r="P533" i="12"/>
  <c r="N533" i="12"/>
  <c r="M533" i="12"/>
  <c r="P528" i="12"/>
  <c r="N528" i="12"/>
  <c r="L528" i="12"/>
  <c r="P527" i="12"/>
  <c r="O527" i="12"/>
  <c r="N526" i="12"/>
  <c r="M526" i="12"/>
  <c r="P526" i="12" s="1"/>
  <c r="P525" i="12"/>
  <c r="N525" i="12"/>
  <c r="M525" i="12"/>
  <c r="O524" i="12"/>
  <c r="N524" i="12"/>
  <c r="M524" i="12"/>
  <c r="P524" i="12" s="1"/>
  <c r="L524" i="12"/>
  <c r="N523" i="12"/>
  <c r="K517" i="12"/>
  <c r="J517" i="12"/>
  <c r="K516" i="12"/>
  <c r="P514" i="12"/>
  <c r="O514" i="12"/>
  <c r="P513" i="12"/>
  <c r="O513" i="12"/>
  <c r="O512" i="12"/>
  <c r="N512" i="12"/>
  <c r="M512" i="12"/>
  <c r="P512" i="12" s="1"/>
  <c r="L512" i="12"/>
  <c r="P507" i="12"/>
  <c r="O507" i="12"/>
  <c r="N507" i="12"/>
  <c r="N33" i="12" s="1"/>
  <c r="P506" i="12"/>
  <c r="O506" i="12"/>
  <c r="O505" i="12"/>
  <c r="M505" i="12"/>
  <c r="P505" i="12" s="1"/>
  <c r="L505" i="12"/>
  <c r="M504" i="12"/>
  <c r="P504" i="12" s="1"/>
  <c r="L504" i="12"/>
  <c r="O504" i="12" s="1"/>
  <c r="N503" i="12"/>
  <c r="M503" i="12"/>
  <c r="L503" i="12"/>
  <c r="O503" i="12" s="1"/>
  <c r="K501" i="12"/>
  <c r="J501" i="12"/>
  <c r="K500" i="12"/>
  <c r="J500" i="12"/>
  <c r="I498" i="12"/>
  <c r="K498" i="12" s="1"/>
  <c r="I495" i="12"/>
  <c r="K495" i="12" s="1"/>
  <c r="I492" i="12"/>
  <c r="K492" i="12" s="1"/>
  <c r="I489" i="12"/>
  <c r="K489" i="12" s="1"/>
  <c r="I487" i="12"/>
  <c r="K487" i="12" s="1"/>
  <c r="I485" i="12"/>
  <c r="K485" i="12" s="1"/>
  <c r="I483" i="12"/>
  <c r="K483" i="12" s="1"/>
  <c r="P479" i="12"/>
  <c r="L479" i="12"/>
  <c r="O479" i="12" s="1"/>
  <c r="P478" i="12"/>
  <c r="O478" i="12"/>
  <c r="P477" i="12"/>
  <c r="N477" i="12"/>
  <c r="M477" i="12"/>
  <c r="P472" i="12"/>
  <c r="N472" i="12"/>
  <c r="L472" i="12"/>
  <c r="L470" i="12" s="1"/>
  <c r="O470" i="12" s="1"/>
  <c r="P471" i="12"/>
  <c r="O471" i="12"/>
  <c r="N470" i="12"/>
  <c r="M470" i="12"/>
  <c r="P470" i="12" s="1"/>
  <c r="P469" i="12"/>
  <c r="N469" i="12"/>
  <c r="N467" i="12" s="1"/>
  <c r="M469" i="12"/>
  <c r="O468" i="12"/>
  <c r="N468" i="12"/>
  <c r="M468" i="12"/>
  <c r="L468" i="12"/>
  <c r="J466" i="12"/>
  <c r="I466" i="12"/>
  <c r="J465" i="12"/>
  <c r="I465" i="12"/>
  <c r="K465" i="12" s="1"/>
  <c r="I464" i="12"/>
  <c r="I463" i="12"/>
  <c r="I462" i="12"/>
  <c r="K462" i="12" s="1"/>
  <c r="I460" i="12"/>
  <c r="K460" i="12" s="1"/>
  <c r="K458" i="12"/>
  <c r="P456" i="12"/>
  <c r="L456" i="12"/>
  <c r="P455" i="12"/>
  <c r="O455" i="12"/>
  <c r="N454" i="12"/>
  <c r="M454" i="12"/>
  <c r="P454" i="12" s="1"/>
  <c r="P449" i="12"/>
  <c r="N449" i="12"/>
  <c r="L449" i="12"/>
  <c r="O449" i="12" s="1"/>
  <c r="P448" i="12"/>
  <c r="O448" i="12"/>
  <c r="P447" i="12"/>
  <c r="N447" i="12"/>
  <c r="M447" i="12"/>
  <c r="N446" i="12"/>
  <c r="M446" i="12"/>
  <c r="P446" i="12" s="1"/>
  <c r="N445" i="12"/>
  <c r="M445" i="12"/>
  <c r="L445" i="12"/>
  <c r="O445" i="12" s="1"/>
  <c r="J443" i="12"/>
  <c r="J442" i="12"/>
  <c r="I441" i="12"/>
  <c r="K441" i="12" s="1"/>
  <c r="I440" i="12"/>
  <c r="K440" i="12" s="1"/>
  <c r="I439" i="12"/>
  <c r="K439" i="12" s="1"/>
  <c r="I438" i="12"/>
  <c r="K438" i="12" s="1"/>
  <c r="I437" i="12"/>
  <c r="K437" i="12" s="1"/>
  <c r="I435" i="12"/>
  <c r="J434" i="12"/>
  <c r="P431" i="12"/>
  <c r="L431" i="12"/>
  <c r="P430" i="12"/>
  <c r="O430" i="12"/>
  <c r="P429" i="12"/>
  <c r="N429" i="12"/>
  <c r="M429" i="12"/>
  <c r="P424" i="12"/>
  <c r="N424" i="12"/>
  <c r="N421" i="12" s="1"/>
  <c r="L424" i="12"/>
  <c r="O424" i="12" s="1"/>
  <c r="P423" i="12"/>
  <c r="O423" i="12"/>
  <c r="P422" i="12"/>
  <c r="N422" i="12"/>
  <c r="M422" i="12"/>
  <c r="M421" i="12"/>
  <c r="P421" i="12" s="1"/>
  <c r="N420" i="12"/>
  <c r="M420" i="12"/>
  <c r="P420" i="12" s="1"/>
  <c r="L420" i="12"/>
  <c r="O420" i="12" s="1"/>
  <c r="J418" i="12"/>
  <c r="K413" i="12"/>
  <c r="K412" i="12"/>
  <c r="N410" i="12"/>
  <c r="M410" i="12"/>
  <c r="P410" i="12" s="1"/>
  <c r="L410" i="12"/>
  <c r="L408" i="12" s="1"/>
  <c r="O408" i="12" s="1"/>
  <c r="P409" i="12"/>
  <c r="O409" i="12"/>
  <c r="N407" i="12"/>
  <c r="N405" i="12" s="1"/>
  <c r="M407" i="12"/>
  <c r="L407" i="12"/>
  <c r="O407" i="12" s="1"/>
  <c r="P406" i="12"/>
  <c r="O406" i="12"/>
  <c r="P403" i="12"/>
  <c r="N403" i="12"/>
  <c r="M403" i="12"/>
  <c r="L403" i="12"/>
  <c r="K401" i="12"/>
  <c r="J401" i="12"/>
  <c r="I401" i="12"/>
  <c r="K400" i="12"/>
  <c r="K399" i="12"/>
  <c r="N397" i="12"/>
  <c r="N395" i="12" s="1"/>
  <c r="M397" i="12"/>
  <c r="L397" i="12"/>
  <c r="P396" i="12"/>
  <c r="O396" i="12"/>
  <c r="N394" i="12"/>
  <c r="N392" i="12" s="1"/>
  <c r="M394" i="12"/>
  <c r="L394" i="12"/>
  <c r="L392" i="12" s="1"/>
  <c r="O392" i="12" s="1"/>
  <c r="P393" i="12"/>
  <c r="O393" i="12"/>
  <c r="P390" i="12"/>
  <c r="N390" i="12"/>
  <c r="M390" i="12"/>
  <c r="L390" i="12"/>
  <c r="O390" i="12" s="1"/>
  <c r="K388" i="12"/>
  <c r="J388" i="12"/>
  <c r="I388" i="12"/>
  <c r="J385" i="12"/>
  <c r="I385" i="12"/>
  <c r="K382" i="12"/>
  <c r="J382" i="12"/>
  <c r="J381" i="12"/>
  <c r="J374" i="12" s="1"/>
  <c r="I381" i="12"/>
  <c r="K380" i="12"/>
  <c r="J380" i="12"/>
  <c r="J379" i="12"/>
  <c r="I379" i="12"/>
  <c r="J378" i="12"/>
  <c r="I378" i="12"/>
  <c r="K377" i="12"/>
  <c r="J377" i="12"/>
  <c r="I374" i="12"/>
  <c r="K373" i="12"/>
  <c r="J373" i="12"/>
  <c r="J372" i="12"/>
  <c r="J365" i="12" s="1"/>
  <c r="I372" i="12"/>
  <c r="K371" i="12"/>
  <c r="J371" i="12"/>
  <c r="J370" i="12"/>
  <c r="I370" i="12"/>
  <c r="J369" i="12"/>
  <c r="I369" i="12"/>
  <c r="K368" i="12"/>
  <c r="J368" i="12"/>
  <c r="I365" i="12"/>
  <c r="K363" i="12"/>
  <c r="J363" i="12"/>
  <c r="J362" i="12"/>
  <c r="J355" i="12" s="1"/>
  <c r="I362" i="12"/>
  <c r="K361" i="12"/>
  <c r="J361" i="12"/>
  <c r="J360" i="12"/>
  <c r="I360" i="12"/>
  <c r="J359" i="12"/>
  <c r="I359" i="12"/>
  <c r="K358" i="12"/>
  <c r="J358" i="12"/>
  <c r="I355" i="12"/>
  <c r="N353" i="12"/>
  <c r="M353" i="12"/>
  <c r="M351" i="12" s="1"/>
  <c r="L353" i="12"/>
  <c r="L351" i="12" s="1"/>
  <c r="P352" i="12"/>
  <c r="O352" i="12"/>
  <c r="N350" i="12"/>
  <c r="N348" i="12" s="1"/>
  <c r="M350" i="12"/>
  <c r="L350" i="12"/>
  <c r="P349" i="12"/>
  <c r="O349" i="12"/>
  <c r="P346" i="12"/>
  <c r="O346" i="12"/>
  <c r="N346" i="12"/>
  <c r="M346" i="12"/>
  <c r="L346" i="12"/>
  <c r="J343" i="12"/>
  <c r="J342" i="12"/>
  <c r="J341" i="12"/>
  <c r="J340" i="12"/>
  <c r="I340" i="12"/>
  <c r="J338" i="12"/>
  <c r="I338" i="12"/>
  <c r="N336" i="12"/>
  <c r="N334" i="12" s="1"/>
  <c r="M336" i="12"/>
  <c r="M334" i="12" s="1"/>
  <c r="P334" i="12" s="1"/>
  <c r="L336" i="12"/>
  <c r="O336" i="12" s="1"/>
  <c r="P335" i="12"/>
  <c r="O335" i="12"/>
  <c r="N333" i="12"/>
  <c r="N331" i="12" s="1"/>
  <c r="M333" i="12"/>
  <c r="M331" i="12" s="1"/>
  <c r="L333" i="12"/>
  <c r="L331" i="12" s="1"/>
  <c r="P332" i="12"/>
  <c r="O332" i="12"/>
  <c r="N329" i="12"/>
  <c r="M329" i="12"/>
  <c r="P329" i="12" s="1"/>
  <c r="L329" i="12"/>
  <c r="O329" i="12" s="1"/>
  <c r="I327" i="12"/>
  <c r="I325" i="12"/>
  <c r="I314" i="12" s="1"/>
  <c r="K314" i="12" s="1"/>
  <c r="N323" i="12"/>
  <c r="N321" i="12" s="1"/>
  <c r="M323" i="12"/>
  <c r="P323" i="12" s="1"/>
  <c r="L323" i="12"/>
  <c r="L321" i="12" s="1"/>
  <c r="O321" i="12" s="1"/>
  <c r="P322" i="12"/>
  <c r="O322" i="12"/>
  <c r="N320" i="12"/>
  <c r="M320" i="12"/>
  <c r="P320" i="12" s="1"/>
  <c r="L320" i="12"/>
  <c r="O320" i="12" s="1"/>
  <c r="P319" i="12"/>
  <c r="O319" i="12"/>
  <c r="P316" i="12"/>
  <c r="N316" i="12"/>
  <c r="M316" i="12"/>
  <c r="L316" i="12"/>
  <c r="J314" i="12"/>
  <c r="I312" i="12"/>
  <c r="K312" i="12" s="1"/>
  <c r="I311" i="12"/>
  <c r="K311" i="12" s="1"/>
  <c r="I310" i="12"/>
  <c r="K310" i="12" s="1"/>
  <c r="I309" i="12"/>
  <c r="K309" i="12" s="1"/>
  <c r="N306" i="12"/>
  <c r="N304" i="12" s="1"/>
  <c r="M306" i="12"/>
  <c r="P306" i="12" s="1"/>
  <c r="L306" i="12"/>
  <c r="P305" i="12"/>
  <c r="O305" i="12"/>
  <c r="N303" i="12"/>
  <c r="N301" i="12" s="1"/>
  <c r="M303" i="12"/>
  <c r="M301" i="12" s="1"/>
  <c r="L303" i="12"/>
  <c r="L301" i="12" s="1"/>
  <c r="P302" i="12"/>
  <c r="O302" i="12"/>
  <c r="N299" i="12"/>
  <c r="M299" i="12"/>
  <c r="P299" i="12" s="1"/>
  <c r="L299" i="12"/>
  <c r="O299" i="12" s="1"/>
  <c r="J297" i="12"/>
  <c r="I294" i="12"/>
  <c r="K294" i="12" s="1"/>
  <c r="I293" i="12"/>
  <c r="K293" i="12" s="1"/>
  <c r="I291" i="12"/>
  <c r="K291" i="12" s="1"/>
  <c r="I290" i="12"/>
  <c r="K290" i="12" s="1"/>
  <c r="I288" i="12"/>
  <c r="I275" i="12" s="1"/>
  <c r="K275" i="12" s="1"/>
  <c r="I287" i="12"/>
  <c r="I276" i="12" s="1"/>
  <c r="K276" i="12" s="1"/>
  <c r="N285" i="12"/>
  <c r="N283" i="12" s="1"/>
  <c r="M285" i="12"/>
  <c r="L285" i="12"/>
  <c r="P284" i="12"/>
  <c r="O284" i="12"/>
  <c r="N282" i="12"/>
  <c r="N280" i="12" s="1"/>
  <c r="M282" i="12"/>
  <c r="P282" i="12" s="1"/>
  <c r="L282" i="12"/>
  <c r="O282" i="12" s="1"/>
  <c r="P281" i="12"/>
  <c r="O281" i="12"/>
  <c r="O278" i="12"/>
  <c r="N278" i="12"/>
  <c r="M278" i="12"/>
  <c r="P278" i="12" s="1"/>
  <c r="L278" i="12"/>
  <c r="J276" i="12"/>
  <c r="I271" i="12"/>
  <c r="K271" i="12" s="1"/>
  <c r="N269" i="12"/>
  <c r="N267" i="12" s="1"/>
  <c r="M269" i="12"/>
  <c r="M267" i="12" s="1"/>
  <c r="P267" i="12" s="1"/>
  <c r="L269" i="12"/>
  <c r="L267" i="12" s="1"/>
  <c r="O267" i="12" s="1"/>
  <c r="P268" i="12"/>
  <c r="O268" i="12"/>
  <c r="N266" i="12"/>
  <c r="M266" i="12"/>
  <c r="M264" i="12" s="1"/>
  <c r="P264" i="12" s="1"/>
  <c r="L266" i="12"/>
  <c r="L264" i="12" s="1"/>
  <c r="P265" i="12"/>
  <c r="O265" i="12"/>
  <c r="N262" i="12"/>
  <c r="M262" i="12"/>
  <c r="P262" i="12" s="1"/>
  <c r="L262" i="12"/>
  <c r="O262" i="12" s="1"/>
  <c r="J260" i="12"/>
  <c r="K258" i="12"/>
  <c r="K257" i="12"/>
  <c r="K255" i="12"/>
  <c r="L253" i="12"/>
  <c r="L252" i="12"/>
  <c r="L251" i="12"/>
  <c r="L250" i="12"/>
  <c r="P249" i="12"/>
  <c r="N249" i="12"/>
  <c r="J248" i="12"/>
  <c r="J226" i="12" s="1"/>
  <c r="J180" i="12" s="1"/>
  <c r="K247" i="12"/>
  <c r="K246" i="12"/>
  <c r="I244" i="12"/>
  <c r="L242" i="12"/>
  <c r="L241" i="12"/>
  <c r="L240" i="12"/>
  <c r="L239" i="12"/>
  <c r="P238" i="12"/>
  <c r="N238" i="12"/>
  <c r="N227" i="12" s="1"/>
  <c r="J237" i="12"/>
  <c r="J236" i="12"/>
  <c r="I236" i="12"/>
  <c r="K236" i="12" s="1"/>
  <c r="K235" i="12"/>
  <c r="J235" i="12"/>
  <c r="I235" i="12"/>
  <c r="J233" i="12"/>
  <c r="N231" i="12"/>
  <c r="N230" i="12"/>
  <c r="N229" i="12"/>
  <c r="N228" i="12"/>
  <c r="I225" i="12"/>
  <c r="K225" i="12" s="1"/>
  <c r="I224" i="12"/>
  <c r="K224" i="12" s="1"/>
  <c r="I223" i="12"/>
  <c r="K223" i="12" s="1"/>
  <c r="L220" i="12"/>
  <c r="L219" i="12"/>
  <c r="L218" i="12"/>
  <c r="P217" i="12"/>
  <c r="N217" i="12"/>
  <c r="J216" i="12"/>
  <c r="I215" i="12"/>
  <c r="K215" i="12" s="1"/>
  <c r="I214" i="12"/>
  <c r="K214" i="12" s="1"/>
  <c r="L212" i="12"/>
  <c r="L211" i="12"/>
  <c r="L210" i="12"/>
  <c r="P209" i="12"/>
  <c r="N209" i="12"/>
  <c r="J208" i="12"/>
  <c r="K207" i="12"/>
  <c r="K206" i="12"/>
  <c r="I204" i="12"/>
  <c r="I197" i="12" s="1"/>
  <c r="K197" i="12" s="1"/>
  <c r="L202" i="12"/>
  <c r="L201" i="12"/>
  <c r="L200" i="12"/>
  <c r="L199" i="12"/>
  <c r="P198" i="12"/>
  <c r="N198" i="12"/>
  <c r="J197" i="12"/>
  <c r="J194" i="12"/>
  <c r="I193" i="12"/>
  <c r="K193" i="12" s="1"/>
  <c r="P191" i="12"/>
  <c r="L191" i="12"/>
  <c r="O191" i="12" s="1"/>
  <c r="J190" i="12"/>
  <c r="N189" i="12"/>
  <c r="N187" i="12" s="1"/>
  <c r="M189" i="12"/>
  <c r="P189" i="12" s="1"/>
  <c r="L189" i="12"/>
  <c r="O189" i="12" s="1"/>
  <c r="P188" i="12"/>
  <c r="O188" i="12"/>
  <c r="N186" i="12"/>
  <c r="M186" i="12"/>
  <c r="L186" i="12"/>
  <c r="L184" i="12" s="1"/>
  <c r="P185" i="12"/>
  <c r="O185" i="12"/>
  <c r="P182" i="12"/>
  <c r="N182" i="12"/>
  <c r="M182" i="12"/>
  <c r="L182" i="12"/>
  <c r="O182" i="12" s="1"/>
  <c r="J177" i="12"/>
  <c r="I176" i="12"/>
  <c r="K176" i="12" s="1"/>
  <c r="J174" i="12"/>
  <c r="J164" i="12" s="1"/>
  <c r="N173" i="12"/>
  <c r="N171" i="12" s="1"/>
  <c r="M173" i="12"/>
  <c r="P173" i="12" s="1"/>
  <c r="L173" i="12"/>
  <c r="O173" i="12" s="1"/>
  <c r="P172" i="12"/>
  <c r="O172" i="12"/>
  <c r="N170" i="12"/>
  <c r="N168" i="12" s="1"/>
  <c r="M170" i="12"/>
  <c r="M168" i="12" s="1"/>
  <c r="L170" i="12"/>
  <c r="L168" i="12" s="1"/>
  <c r="P169" i="12"/>
  <c r="O169" i="12"/>
  <c r="P166" i="12"/>
  <c r="N166" i="12"/>
  <c r="M166" i="12"/>
  <c r="L166" i="12"/>
  <c r="O166" i="12" s="1"/>
  <c r="I159" i="12"/>
  <c r="I148" i="12" s="1"/>
  <c r="K148" i="12" s="1"/>
  <c r="N157" i="12"/>
  <c r="N155" i="12" s="1"/>
  <c r="M157" i="12"/>
  <c r="M155" i="12" s="1"/>
  <c r="P155" i="12" s="1"/>
  <c r="L157" i="12"/>
  <c r="O157" i="12" s="1"/>
  <c r="P156" i="12"/>
  <c r="O156" i="12"/>
  <c r="N154" i="12"/>
  <c r="N152" i="12" s="1"/>
  <c r="M154" i="12"/>
  <c r="M152" i="12" s="1"/>
  <c r="P152" i="12" s="1"/>
  <c r="L154" i="12"/>
  <c r="P153" i="12"/>
  <c r="O153" i="12"/>
  <c r="N150" i="12"/>
  <c r="M150" i="12"/>
  <c r="P150" i="12" s="1"/>
  <c r="L150" i="12"/>
  <c r="O150" i="12" s="1"/>
  <c r="J148" i="12"/>
  <c r="I146" i="12"/>
  <c r="I130" i="12" s="1"/>
  <c r="K130" i="12" s="1"/>
  <c r="I145" i="12"/>
  <c r="I144" i="12"/>
  <c r="K144" i="12" s="1"/>
  <c r="N140" i="12"/>
  <c r="N138" i="12" s="1"/>
  <c r="M140" i="12"/>
  <c r="M138" i="12" s="1"/>
  <c r="L140" i="12"/>
  <c r="L138" i="12" s="1"/>
  <c r="P139" i="12"/>
  <c r="O139" i="12"/>
  <c r="N137" i="12"/>
  <c r="N135" i="12" s="1"/>
  <c r="M137" i="12"/>
  <c r="M135" i="12" s="1"/>
  <c r="L137" i="12"/>
  <c r="P136" i="12"/>
  <c r="O136" i="12"/>
  <c r="P133" i="12"/>
  <c r="N133" i="12"/>
  <c r="M133" i="12"/>
  <c r="L133" i="12"/>
  <c r="O133" i="12" s="1"/>
  <c r="J130" i="12"/>
  <c r="N127" i="12"/>
  <c r="N125" i="12" s="1"/>
  <c r="M127" i="12"/>
  <c r="M125" i="12" s="1"/>
  <c r="P125" i="12" s="1"/>
  <c r="L127" i="12"/>
  <c r="O127" i="12" s="1"/>
  <c r="P126" i="12"/>
  <c r="O126" i="12"/>
  <c r="N124" i="12"/>
  <c r="M124" i="12"/>
  <c r="M122" i="12" s="1"/>
  <c r="P122" i="12" s="1"/>
  <c r="L124" i="12"/>
  <c r="L122" i="12" s="1"/>
  <c r="O122" i="12" s="1"/>
  <c r="P123" i="12"/>
  <c r="O123" i="12"/>
  <c r="O120" i="12"/>
  <c r="N120" i="12"/>
  <c r="M120" i="12"/>
  <c r="P120" i="12" s="1"/>
  <c r="L120" i="12"/>
  <c r="I116" i="12"/>
  <c r="K116" i="12" s="1"/>
  <c r="I115" i="12"/>
  <c r="K115" i="12" s="1"/>
  <c r="I114" i="12"/>
  <c r="K114" i="12" s="1"/>
  <c r="I113" i="12"/>
  <c r="K113" i="12" s="1"/>
  <c r="J112" i="12"/>
  <c r="J111" i="12"/>
  <c r="I111" i="12"/>
  <c r="K111" i="12" s="1"/>
  <c r="I110" i="12"/>
  <c r="K110" i="12" s="1"/>
  <c r="I109" i="12"/>
  <c r="K109" i="12" s="1"/>
  <c r="I107" i="12"/>
  <c r="K107" i="12" s="1"/>
  <c r="I106" i="12"/>
  <c r="K106" i="12" s="1"/>
  <c r="I104" i="12"/>
  <c r="K104" i="12" s="1"/>
  <c r="I103" i="12"/>
  <c r="K103" i="12" s="1"/>
  <c r="I102" i="12"/>
  <c r="K102" i="12" s="1"/>
  <c r="J100" i="12"/>
  <c r="I100" i="12"/>
  <c r="K100" i="12" s="1"/>
  <c r="J99" i="12"/>
  <c r="I99" i="12"/>
  <c r="J98" i="12"/>
  <c r="J86" i="12" s="1"/>
  <c r="I98" i="12"/>
  <c r="K98" i="12" s="1"/>
  <c r="N96" i="12"/>
  <c r="N94" i="12" s="1"/>
  <c r="M96" i="12"/>
  <c r="P96" i="12" s="1"/>
  <c r="L96" i="12"/>
  <c r="O96" i="12" s="1"/>
  <c r="P95" i="12"/>
  <c r="O95" i="12"/>
  <c r="N93" i="12"/>
  <c r="N91" i="12" s="1"/>
  <c r="M93" i="12"/>
  <c r="L93" i="12"/>
  <c r="L91" i="12" s="1"/>
  <c r="P92" i="12"/>
  <c r="O92" i="12"/>
  <c r="N89" i="12"/>
  <c r="M89" i="12"/>
  <c r="L89" i="12"/>
  <c r="O89" i="12" s="1"/>
  <c r="J87" i="12"/>
  <c r="I84" i="12"/>
  <c r="K84" i="12" s="1"/>
  <c r="I83" i="12"/>
  <c r="K83" i="12" s="1"/>
  <c r="I82" i="12"/>
  <c r="K82" i="12" s="1"/>
  <c r="I81" i="12"/>
  <c r="K81" i="12" s="1"/>
  <c r="I80" i="12"/>
  <c r="K80" i="12" s="1"/>
  <c r="I79" i="12"/>
  <c r="I78" i="12"/>
  <c r="K78" i="12" s="1"/>
  <c r="J77" i="12"/>
  <c r="J76" i="12"/>
  <c r="J64" i="12" s="1"/>
  <c r="N74" i="12"/>
  <c r="M74" i="12"/>
  <c r="P74" i="12" s="1"/>
  <c r="L74" i="12"/>
  <c r="O74" i="12" s="1"/>
  <c r="P73" i="12"/>
  <c r="O73" i="12"/>
  <c r="N71" i="12"/>
  <c r="N69" i="12" s="1"/>
  <c r="M71" i="12"/>
  <c r="L71" i="12"/>
  <c r="O71" i="12" s="1"/>
  <c r="P70" i="12"/>
  <c r="O70" i="12"/>
  <c r="P67" i="12"/>
  <c r="N67" i="12"/>
  <c r="M67" i="12"/>
  <c r="L67" i="12"/>
  <c r="J65" i="12"/>
  <c r="N61" i="12"/>
  <c r="N59" i="12" s="1"/>
  <c r="M61" i="12"/>
  <c r="M59" i="12" s="1"/>
  <c r="P59" i="12" s="1"/>
  <c r="L61" i="12"/>
  <c r="L59" i="12" s="1"/>
  <c r="O59" i="12" s="1"/>
  <c r="P60" i="12"/>
  <c r="O60" i="12"/>
  <c r="N58" i="12"/>
  <c r="M58" i="12"/>
  <c r="M56" i="12" s="1"/>
  <c r="L58" i="12"/>
  <c r="L56" i="12" s="1"/>
  <c r="P57" i="12"/>
  <c r="O57" i="12"/>
  <c r="O54" i="12"/>
  <c r="N54" i="12"/>
  <c r="M54" i="12"/>
  <c r="L54" i="12"/>
  <c r="N49" i="12"/>
  <c r="N47" i="12" s="1"/>
  <c r="M49" i="12"/>
  <c r="L49" i="12"/>
  <c r="O49" i="12" s="1"/>
  <c r="P48" i="12"/>
  <c r="O48" i="12"/>
  <c r="N46" i="12"/>
  <c r="N44" i="12" s="1"/>
  <c r="M46" i="12"/>
  <c r="L46" i="12"/>
  <c r="L44" i="12" s="1"/>
  <c r="P45" i="12"/>
  <c r="O45" i="12"/>
  <c r="P42" i="12"/>
  <c r="N42" i="12"/>
  <c r="M42" i="12"/>
  <c r="L42" i="12"/>
  <c r="N36" i="12"/>
  <c r="M36" i="12"/>
  <c r="P36" i="12" s="1"/>
  <c r="N35" i="12"/>
  <c r="N34" i="12" s="1"/>
  <c r="M35" i="12"/>
  <c r="P35" i="12" s="1"/>
  <c r="L35" i="12"/>
  <c r="M34" i="12"/>
  <c r="P34" i="12" s="1"/>
  <c r="P33" i="12"/>
  <c r="M33" i="12"/>
  <c r="P32" i="12"/>
  <c r="O32" i="12"/>
  <c r="N32" i="12"/>
  <c r="M32" i="12"/>
  <c r="L32" i="12"/>
  <c r="P31" i="12"/>
  <c r="M31" i="12"/>
  <c r="M30" i="12"/>
  <c r="P30" i="12" s="1"/>
  <c r="M29" i="12"/>
  <c r="P29" i="12" s="1"/>
  <c r="L29" i="12"/>
  <c r="M28" i="12"/>
  <c r="P28" i="12" s="1"/>
  <c r="P25" i="12"/>
  <c r="O25" i="12"/>
  <c r="N25" i="12"/>
  <c r="M25" i="12"/>
  <c r="L25" i="12"/>
  <c r="N22" i="12"/>
  <c r="M22" i="12"/>
  <c r="P22" i="12" s="1"/>
  <c r="L22" i="12"/>
  <c r="M15" i="12"/>
  <c r="P15" i="12" s="1"/>
  <c r="L15" i="12"/>
  <c r="J828" i="11"/>
  <c r="I828" i="11"/>
  <c r="J827" i="11"/>
  <c r="I827" i="11"/>
  <c r="J826" i="11"/>
  <c r="I826" i="11"/>
  <c r="J825" i="11"/>
  <c r="I825" i="11"/>
  <c r="J824" i="11"/>
  <c r="I824" i="11"/>
  <c r="J823" i="11"/>
  <c r="I823" i="11"/>
  <c r="J822" i="11"/>
  <c r="I822" i="11"/>
  <c r="J821" i="11"/>
  <c r="I821" i="11"/>
  <c r="P817" i="11"/>
  <c r="O817" i="11"/>
  <c r="P816" i="11"/>
  <c r="O816" i="11"/>
  <c r="N815" i="11"/>
  <c r="M815" i="11"/>
  <c r="P815" i="11" s="1"/>
  <c r="L815" i="11"/>
  <c r="O815" i="11" s="1"/>
  <c r="P810" i="11"/>
  <c r="O810" i="11"/>
  <c r="N810" i="11"/>
  <c r="P809" i="11"/>
  <c r="O809" i="11"/>
  <c r="M808" i="11"/>
  <c r="P808" i="11" s="1"/>
  <c r="L808" i="11"/>
  <c r="O808" i="11" s="1"/>
  <c r="M807" i="11"/>
  <c r="P807" i="11" s="1"/>
  <c r="L807" i="11"/>
  <c r="N806" i="11"/>
  <c r="M806" i="11"/>
  <c r="P806" i="11" s="1"/>
  <c r="L806" i="11"/>
  <c r="O806" i="11" s="1"/>
  <c r="K804" i="11"/>
  <c r="J804" i="11"/>
  <c r="K802" i="11"/>
  <c r="J801" i="11"/>
  <c r="J800" i="11"/>
  <c r="J785" i="11" s="1"/>
  <c r="I800" i="11"/>
  <c r="K800" i="11" s="1"/>
  <c r="P798" i="11"/>
  <c r="O798" i="11"/>
  <c r="P797" i="11"/>
  <c r="O797" i="11"/>
  <c r="N796" i="11"/>
  <c r="M796" i="11"/>
  <c r="P796" i="11" s="1"/>
  <c r="L796" i="11"/>
  <c r="O796" i="11" s="1"/>
  <c r="P791" i="11"/>
  <c r="N791" i="11"/>
  <c r="N789" i="11" s="1"/>
  <c r="L791" i="11"/>
  <c r="L788" i="11" s="1"/>
  <c r="P790" i="11"/>
  <c r="O790" i="11"/>
  <c r="M789" i="11"/>
  <c r="P789" i="11" s="1"/>
  <c r="N788" i="11"/>
  <c r="M788" i="11"/>
  <c r="P788" i="11" s="1"/>
  <c r="N787" i="11"/>
  <c r="M787" i="11"/>
  <c r="P787" i="11" s="1"/>
  <c r="L787" i="11"/>
  <c r="O787" i="11" s="1"/>
  <c r="P782" i="11"/>
  <c r="O782" i="11"/>
  <c r="P781" i="11"/>
  <c r="O781" i="11"/>
  <c r="N780" i="11"/>
  <c r="M780" i="11"/>
  <c r="P780" i="11" s="1"/>
  <c r="L780" i="11"/>
  <c r="O780" i="11" s="1"/>
  <c r="P775" i="11"/>
  <c r="O775" i="11"/>
  <c r="N775" i="11"/>
  <c r="N772" i="11" s="1"/>
  <c r="P774" i="11"/>
  <c r="O774" i="11"/>
  <c r="N773" i="11"/>
  <c r="M773" i="11"/>
  <c r="P773" i="11" s="1"/>
  <c r="L773" i="11"/>
  <c r="O773" i="11" s="1"/>
  <c r="M772" i="11"/>
  <c r="L772" i="11"/>
  <c r="O772" i="11" s="1"/>
  <c r="P771" i="11"/>
  <c r="N771" i="11"/>
  <c r="M771" i="11"/>
  <c r="L771" i="11"/>
  <c r="K769" i="11"/>
  <c r="J769" i="11"/>
  <c r="P766" i="11"/>
  <c r="O766" i="11"/>
  <c r="P765" i="11"/>
  <c r="O765" i="11"/>
  <c r="N764" i="11"/>
  <c r="M764" i="11"/>
  <c r="P764" i="11" s="1"/>
  <c r="L764" i="11"/>
  <c r="O764" i="11" s="1"/>
  <c r="P759" i="11"/>
  <c r="O759" i="11"/>
  <c r="N759" i="11"/>
  <c r="N756" i="11" s="1"/>
  <c r="P758" i="11"/>
  <c r="O758" i="11"/>
  <c r="M757" i="11"/>
  <c r="P757" i="11" s="1"/>
  <c r="L757" i="11"/>
  <c r="O757" i="11" s="1"/>
  <c r="M756" i="11"/>
  <c r="L756" i="11"/>
  <c r="O756" i="11" s="1"/>
  <c r="N755" i="11"/>
  <c r="M755" i="11"/>
  <c r="P755" i="11" s="1"/>
  <c r="L755" i="11"/>
  <c r="K753" i="11"/>
  <c r="J753" i="11"/>
  <c r="P749" i="11"/>
  <c r="O749" i="11"/>
  <c r="P748" i="11"/>
  <c r="O748" i="11"/>
  <c r="P747" i="11"/>
  <c r="N747" i="11"/>
  <c r="M747" i="11"/>
  <c r="L747" i="11"/>
  <c r="O747" i="11" s="1"/>
  <c r="P742" i="11"/>
  <c r="O742" i="11"/>
  <c r="N742" i="11"/>
  <c r="N739" i="11" s="1"/>
  <c r="N737" i="11" s="1"/>
  <c r="P741" i="11"/>
  <c r="O741" i="11"/>
  <c r="M740" i="11"/>
  <c r="P740" i="11" s="1"/>
  <c r="L740" i="11"/>
  <c r="O740" i="11" s="1"/>
  <c r="M739" i="11"/>
  <c r="L739" i="11"/>
  <c r="O739" i="11" s="1"/>
  <c r="N738" i="11"/>
  <c r="M738" i="11"/>
  <c r="P738" i="11" s="1"/>
  <c r="L738" i="11"/>
  <c r="K736" i="11"/>
  <c r="J736" i="11"/>
  <c r="J729" i="11"/>
  <c r="I729" i="11"/>
  <c r="K729" i="11" s="1"/>
  <c r="J728" i="11"/>
  <c r="I728" i="11"/>
  <c r="K728" i="11" s="1"/>
  <c r="J727" i="11"/>
  <c r="J726" i="11"/>
  <c r="I726" i="11"/>
  <c r="K726" i="11" s="1"/>
  <c r="J725" i="11"/>
  <c r="I725" i="11"/>
  <c r="K725" i="11" s="1"/>
  <c r="J724" i="11"/>
  <c r="J723" i="11"/>
  <c r="I723" i="11"/>
  <c r="K723" i="11" s="1"/>
  <c r="I722" i="11"/>
  <c r="K722" i="11" s="1"/>
  <c r="I721" i="11"/>
  <c r="K721" i="11" s="1"/>
  <c r="J720" i="11"/>
  <c r="I720" i="11"/>
  <c r="K720" i="11" s="1"/>
  <c r="J719" i="11"/>
  <c r="J718" i="11"/>
  <c r="J708" i="11"/>
  <c r="I708" i="11"/>
  <c r="K708" i="11" s="1"/>
  <c r="I707" i="11"/>
  <c r="I704" i="11"/>
  <c r="J701" i="11"/>
  <c r="I701" i="11"/>
  <c r="K701" i="11" s="1"/>
  <c r="J700" i="11"/>
  <c r="I700" i="11"/>
  <c r="K700" i="11" s="1"/>
  <c r="J699" i="11"/>
  <c r="I699" i="11"/>
  <c r="K699" i="11" s="1"/>
  <c r="P697" i="11"/>
  <c r="O697" i="11"/>
  <c r="P696" i="11"/>
  <c r="O696" i="11"/>
  <c r="N695" i="11"/>
  <c r="M695" i="11"/>
  <c r="P695" i="11" s="1"/>
  <c r="L695" i="11"/>
  <c r="O695" i="11" s="1"/>
  <c r="P690" i="11"/>
  <c r="N690" i="11"/>
  <c r="N688" i="11" s="1"/>
  <c r="L688" i="11"/>
  <c r="O688" i="11" s="1"/>
  <c r="M688" i="11"/>
  <c r="P688" i="11" s="1"/>
  <c r="M687" i="11"/>
  <c r="M685" i="11" s="1"/>
  <c r="P685" i="11" s="1"/>
  <c r="O686" i="11"/>
  <c r="N686" i="11"/>
  <c r="M686" i="11"/>
  <c r="P686" i="11" s="1"/>
  <c r="L686" i="11"/>
  <c r="J679" i="11"/>
  <c r="J678" i="11" s="1"/>
  <c r="I678" i="11"/>
  <c r="K678" i="11" s="1"/>
  <c r="J675" i="11"/>
  <c r="J669" i="11" s="1"/>
  <c r="J654" i="11" s="1"/>
  <c r="I671" i="11"/>
  <c r="K671" i="11" s="1"/>
  <c r="I670" i="11"/>
  <c r="K670" i="11" s="1"/>
  <c r="I669" i="11"/>
  <c r="K672" i="11" s="1"/>
  <c r="P667" i="11"/>
  <c r="O667" i="11"/>
  <c r="P666" i="11"/>
  <c r="O666" i="11"/>
  <c r="N665" i="11"/>
  <c r="M665" i="11"/>
  <c r="P665" i="11" s="1"/>
  <c r="L665" i="11"/>
  <c r="O665" i="11" s="1"/>
  <c r="P660" i="11"/>
  <c r="N660" i="11"/>
  <c r="N657" i="11" s="1"/>
  <c r="P659" i="11"/>
  <c r="O659" i="11"/>
  <c r="M658" i="11"/>
  <c r="P658" i="11" s="1"/>
  <c r="M657" i="11"/>
  <c r="P657" i="11" s="1"/>
  <c r="P656" i="11"/>
  <c r="N656" i="11"/>
  <c r="M656" i="11"/>
  <c r="L656" i="11"/>
  <c r="K652" i="11"/>
  <c r="J652" i="11"/>
  <c r="J651" i="11"/>
  <c r="J628" i="11" s="1"/>
  <c r="I651" i="11"/>
  <c r="K650" i="11"/>
  <c r="J650" i="11"/>
  <c r="J649" i="11"/>
  <c r="I649" i="11"/>
  <c r="K648" i="11"/>
  <c r="J648" i="11"/>
  <c r="J647" i="11"/>
  <c r="I647" i="11"/>
  <c r="K646" i="11"/>
  <c r="J646" i="11"/>
  <c r="K645" i="11"/>
  <c r="J645" i="11"/>
  <c r="I644" i="11"/>
  <c r="K644" i="11" s="1"/>
  <c r="I643" i="11"/>
  <c r="K643" i="11" s="1"/>
  <c r="P641" i="11"/>
  <c r="L641" i="11"/>
  <c r="P640" i="11"/>
  <c r="O640" i="11"/>
  <c r="N639" i="11"/>
  <c r="M639" i="11"/>
  <c r="P639" i="11" s="1"/>
  <c r="P634" i="11"/>
  <c r="N634" i="11"/>
  <c r="L634" i="11"/>
  <c r="L632" i="11" s="1"/>
  <c r="O632" i="11" s="1"/>
  <c r="P633" i="11"/>
  <c r="O633" i="11"/>
  <c r="P632" i="11"/>
  <c r="N632" i="11"/>
  <c r="M632" i="11"/>
  <c r="N631" i="11"/>
  <c r="M631" i="11"/>
  <c r="P631" i="11" s="1"/>
  <c r="P630" i="11"/>
  <c r="N630" i="11"/>
  <c r="N629" i="11" s="1"/>
  <c r="M630" i="11"/>
  <c r="M629" i="11" s="1"/>
  <c r="P629" i="11" s="1"/>
  <c r="L630" i="11"/>
  <c r="O630" i="11" s="1"/>
  <c r="J621" i="11"/>
  <c r="I621" i="11"/>
  <c r="K621" i="11" s="1"/>
  <c r="J620" i="11"/>
  <c r="I620" i="11"/>
  <c r="K620" i="11" s="1"/>
  <c r="K613" i="11"/>
  <c r="J613" i="11"/>
  <c r="K612" i="11"/>
  <c r="J612" i="11"/>
  <c r="K611" i="11"/>
  <c r="J611" i="11"/>
  <c r="J604" i="11"/>
  <c r="J603" i="11"/>
  <c r="J596" i="11"/>
  <c r="J594" i="11" s="1"/>
  <c r="J595" i="11"/>
  <c r="I594" i="11"/>
  <c r="K594" i="11" s="1"/>
  <c r="J593" i="11"/>
  <c r="J592" i="11" s="1"/>
  <c r="I593" i="11"/>
  <c r="I592" i="11" s="1"/>
  <c r="K592" i="11" s="1"/>
  <c r="J583" i="11"/>
  <c r="J577" i="11" s="1"/>
  <c r="J582" i="11"/>
  <c r="J576" i="11" s="1"/>
  <c r="J559" i="11" s="1"/>
  <c r="I577" i="11"/>
  <c r="K577" i="11" s="1"/>
  <c r="I576" i="11"/>
  <c r="K576" i="11" s="1"/>
  <c r="J569" i="11"/>
  <c r="I569" i="11"/>
  <c r="K569" i="11" s="1"/>
  <c r="J568" i="11"/>
  <c r="I568" i="11"/>
  <c r="K568" i="11" s="1"/>
  <c r="J561" i="11"/>
  <c r="I561" i="11"/>
  <c r="K561" i="11" s="1"/>
  <c r="J560" i="11"/>
  <c r="I560" i="11"/>
  <c r="K560" i="11" s="1"/>
  <c r="P557" i="11"/>
  <c r="L557" i="11"/>
  <c r="P556" i="11"/>
  <c r="O556" i="11"/>
  <c r="N555" i="11"/>
  <c r="M555" i="11"/>
  <c r="M545" i="11" s="1"/>
  <c r="P545" i="11" s="1"/>
  <c r="N553" i="11"/>
  <c r="P549" i="11"/>
  <c r="N549" i="11"/>
  <c r="N546" i="11" s="1"/>
  <c r="L549" i="11"/>
  <c r="P548" i="11"/>
  <c r="O548" i="11"/>
  <c r="N547" i="11"/>
  <c r="M547" i="11"/>
  <c r="P547" i="11" s="1"/>
  <c r="M546" i="11"/>
  <c r="P546" i="11" s="1"/>
  <c r="N545" i="11"/>
  <c r="N544" i="11" s="1"/>
  <c r="L545" i="11"/>
  <c r="J543" i="11"/>
  <c r="I542" i="11"/>
  <c r="K542" i="11" s="1"/>
  <c r="I541" i="11"/>
  <c r="K541" i="11" s="1"/>
  <c r="I540" i="11"/>
  <c r="K540" i="11" s="1"/>
  <c r="I539" i="11"/>
  <c r="K539" i="11" s="1"/>
  <c r="I538" i="11"/>
  <c r="K538" i="11" s="1"/>
  <c r="I537" i="11"/>
  <c r="K537" i="11" s="1"/>
  <c r="P535" i="11"/>
  <c r="L535" i="11"/>
  <c r="O535" i="11" s="1"/>
  <c r="P534" i="11"/>
  <c r="O534" i="11"/>
  <c r="N533" i="11"/>
  <c r="M533" i="11"/>
  <c r="P533" i="11" s="1"/>
  <c r="P528" i="11"/>
  <c r="N528" i="11"/>
  <c r="N525" i="11" s="1"/>
  <c r="L528" i="11"/>
  <c r="P527" i="11"/>
  <c r="O527" i="11"/>
  <c r="P526" i="11"/>
  <c r="M526" i="11"/>
  <c r="M525" i="11"/>
  <c r="M523" i="11" s="1"/>
  <c r="P523" i="11" s="1"/>
  <c r="P524" i="11"/>
  <c r="N524" i="11"/>
  <c r="M524" i="11"/>
  <c r="L524" i="11"/>
  <c r="O524" i="11" s="1"/>
  <c r="N523" i="11"/>
  <c r="K517" i="11"/>
  <c r="J517" i="11"/>
  <c r="J501" i="11" s="1"/>
  <c r="K516" i="11"/>
  <c r="P514" i="11"/>
  <c r="O514" i="11"/>
  <c r="P513" i="11"/>
  <c r="O513" i="11"/>
  <c r="P512" i="11"/>
  <c r="N512" i="11"/>
  <c r="M512" i="11"/>
  <c r="L512" i="11"/>
  <c r="O512" i="11" s="1"/>
  <c r="P507" i="11"/>
  <c r="O507" i="11"/>
  <c r="N507" i="11"/>
  <c r="P506" i="11"/>
  <c r="O506" i="11"/>
  <c r="P505" i="11"/>
  <c r="N505" i="11"/>
  <c r="M505" i="11"/>
  <c r="L505" i="11"/>
  <c r="O505" i="11" s="1"/>
  <c r="O504" i="11"/>
  <c r="N504" i="11"/>
  <c r="M504" i="11"/>
  <c r="P504" i="11" s="1"/>
  <c r="L504" i="11"/>
  <c r="N503" i="11"/>
  <c r="N502" i="11" s="1"/>
  <c r="M503" i="11"/>
  <c r="P503" i="11" s="1"/>
  <c r="L503" i="11"/>
  <c r="O503" i="11" s="1"/>
  <c r="L502" i="11"/>
  <c r="O502" i="11" s="1"/>
  <c r="K501" i="11"/>
  <c r="K500" i="11"/>
  <c r="J500" i="11"/>
  <c r="I498" i="11"/>
  <c r="K498" i="11" s="1"/>
  <c r="I495" i="11"/>
  <c r="K495" i="11" s="1"/>
  <c r="I492" i="11"/>
  <c r="K492" i="11" s="1"/>
  <c r="I489" i="11"/>
  <c r="K489" i="11" s="1"/>
  <c r="I487" i="11"/>
  <c r="K487" i="11" s="1"/>
  <c r="I485" i="11"/>
  <c r="K485" i="11" s="1"/>
  <c r="I483" i="11"/>
  <c r="K483" i="11" s="1"/>
  <c r="P479" i="11"/>
  <c r="L479" i="11"/>
  <c r="P478" i="11"/>
  <c r="O478" i="11"/>
  <c r="N477" i="11"/>
  <c r="M477" i="11"/>
  <c r="P477" i="11" s="1"/>
  <c r="N476" i="11"/>
  <c r="N473" i="11"/>
  <c r="N472" i="11" s="1"/>
  <c r="P472" i="11"/>
  <c r="L472" i="11"/>
  <c r="L470" i="11" s="1"/>
  <c r="P471" i="11"/>
  <c r="O471" i="11"/>
  <c r="P470" i="11"/>
  <c r="M470" i="11"/>
  <c r="M469" i="11"/>
  <c r="M467" i="11" s="1"/>
  <c r="P467" i="11" s="1"/>
  <c r="P468" i="11"/>
  <c r="O468" i="11"/>
  <c r="N468" i="11"/>
  <c r="M468" i="11"/>
  <c r="L468" i="11"/>
  <c r="J466" i="11"/>
  <c r="I466" i="11"/>
  <c r="K466" i="11" s="1"/>
  <c r="J465" i="11"/>
  <c r="I465" i="11"/>
  <c r="K465" i="11" s="1"/>
  <c r="I464" i="11"/>
  <c r="I463" i="11"/>
  <c r="I462" i="11"/>
  <c r="I443" i="11" s="1"/>
  <c r="K443" i="11" s="1"/>
  <c r="I460" i="11"/>
  <c r="I442" i="11" s="1"/>
  <c r="K442" i="11" s="1"/>
  <c r="K458" i="11"/>
  <c r="P456" i="11"/>
  <c r="L456" i="11"/>
  <c r="L454" i="11" s="1"/>
  <c r="O454" i="11" s="1"/>
  <c r="P455" i="11"/>
  <c r="O455" i="11"/>
  <c r="P454" i="11"/>
  <c r="N454" i="11"/>
  <c r="M454" i="11"/>
  <c r="P449" i="11"/>
  <c r="N449" i="11"/>
  <c r="L449" i="11"/>
  <c r="O449" i="11" s="1"/>
  <c r="P448" i="11"/>
  <c r="O448" i="11"/>
  <c r="N447" i="11"/>
  <c r="M447" i="11"/>
  <c r="P447" i="11" s="1"/>
  <c r="P446" i="11"/>
  <c r="N446" i="11"/>
  <c r="N444" i="11" s="1"/>
  <c r="M446" i="11"/>
  <c r="P445" i="11"/>
  <c r="O445" i="11"/>
  <c r="N445" i="11"/>
  <c r="M445" i="11"/>
  <c r="M444" i="11" s="1"/>
  <c r="L445" i="11"/>
  <c r="P444" i="11"/>
  <c r="J443" i="11"/>
  <c r="J442" i="11"/>
  <c r="I441" i="11"/>
  <c r="K441" i="11" s="1"/>
  <c r="I440" i="11"/>
  <c r="K440" i="11" s="1"/>
  <c r="I439" i="11"/>
  <c r="K439" i="11" s="1"/>
  <c r="I438" i="11"/>
  <c r="K438" i="11" s="1"/>
  <c r="I437" i="11"/>
  <c r="K437" i="11" s="1"/>
  <c r="I435" i="11"/>
  <c r="I433" i="11" s="1"/>
  <c r="J434" i="11"/>
  <c r="P431" i="11"/>
  <c r="L431" i="11"/>
  <c r="O431" i="11" s="1"/>
  <c r="P430" i="11"/>
  <c r="O430" i="11"/>
  <c r="N429" i="11"/>
  <c r="M429" i="11"/>
  <c r="P429" i="11" s="1"/>
  <c r="P424" i="11"/>
  <c r="N424" i="11"/>
  <c r="L424" i="11"/>
  <c r="O424" i="11" s="1"/>
  <c r="P423" i="11"/>
  <c r="O423" i="11"/>
  <c r="N422" i="11"/>
  <c r="M422" i="11"/>
  <c r="P422" i="11" s="1"/>
  <c r="P421" i="11"/>
  <c r="N421" i="11"/>
  <c r="N419" i="11" s="1"/>
  <c r="M421" i="11"/>
  <c r="O420" i="11"/>
  <c r="N420" i="11"/>
  <c r="M420" i="11"/>
  <c r="M419" i="11" s="1"/>
  <c r="P419" i="11" s="1"/>
  <c r="L420" i="11"/>
  <c r="J418" i="11"/>
  <c r="K413" i="11"/>
  <c r="K412" i="11"/>
  <c r="N410" i="11"/>
  <c r="N408" i="11" s="1"/>
  <c r="M410" i="11"/>
  <c r="P410" i="11" s="1"/>
  <c r="L410" i="11"/>
  <c r="L408" i="11" s="1"/>
  <c r="O408" i="11" s="1"/>
  <c r="P409" i="11"/>
  <c r="O409" i="11"/>
  <c r="N407" i="11"/>
  <c r="N405" i="11" s="1"/>
  <c r="M407" i="11"/>
  <c r="L407" i="11"/>
  <c r="L405" i="11" s="1"/>
  <c r="O405" i="11" s="1"/>
  <c r="P406" i="11"/>
  <c r="O406" i="11"/>
  <c r="O403" i="11"/>
  <c r="N403" i="11"/>
  <c r="M403" i="11"/>
  <c r="P403" i="11" s="1"/>
  <c r="L403" i="11"/>
  <c r="J401" i="11"/>
  <c r="I401" i="11"/>
  <c r="K401" i="11" s="1"/>
  <c r="K400" i="11"/>
  <c r="K399" i="11"/>
  <c r="N397" i="11"/>
  <c r="N395" i="11" s="1"/>
  <c r="M397" i="11"/>
  <c r="P397" i="11" s="1"/>
  <c r="L397" i="11"/>
  <c r="O397" i="11" s="1"/>
  <c r="P396" i="11"/>
  <c r="O396" i="11"/>
  <c r="N394" i="11"/>
  <c r="N392" i="11" s="1"/>
  <c r="M394" i="11"/>
  <c r="L394" i="11"/>
  <c r="O394" i="11" s="1"/>
  <c r="P393" i="11"/>
  <c r="O393" i="11"/>
  <c r="P390" i="11"/>
  <c r="O390" i="11"/>
  <c r="N390" i="11"/>
  <c r="M390" i="11"/>
  <c r="L390" i="11"/>
  <c r="J388" i="11"/>
  <c r="I388" i="11"/>
  <c r="K388" i="11" s="1"/>
  <c r="J385" i="11"/>
  <c r="I385" i="11"/>
  <c r="K382" i="11"/>
  <c r="J382" i="11"/>
  <c r="J381" i="11"/>
  <c r="J374" i="11" s="1"/>
  <c r="I381" i="11"/>
  <c r="K380" i="11"/>
  <c r="J380" i="11"/>
  <c r="J379" i="11"/>
  <c r="I379" i="11"/>
  <c r="J378" i="11"/>
  <c r="I378" i="11"/>
  <c r="K377" i="11"/>
  <c r="J377" i="11"/>
  <c r="I374" i="11"/>
  <c r="K373" i="11"/>
  <c r="J373" i="11"/>
  <c r="J372" i="11"/>
  <c r="J365" i="11" s="1"/>
  <c r="I372" i="11"/>
  <c r="K371" i="11"/>
  <c r="J371" i="11"/>
  <c r="J370" i="11"/>
  <c r="I370" i="11"/>
  <c r="J369" i="11"/>
  <c r="I369" i="11"/>
  <c r="K368" i="11"/>
  <c r="J368" i="11"/>
  <c r="I365" i="11"/>
  <c r="K363" i="11"/>
  <c r="J363" i="11"/>
  <c r="J362" i="11"/>
  <c r="J355" i="11" s="1"/>
  <c r="I362" i="11"/>
  <c r="K361" i="11"/>
  <c r="J361" i="11"/>
  <c r="J360" i="11"/>
  <c r="I360" i="11"/>
  <c r="J359" i="11"/>
  <c r="I359" i="11"/>
  <c r="K358" i="11"/>
  <c r="J358" i="11"/>
  <c r="I355" i="11"/>
  <c r="N353" i="11"/>
  <c r="M353" i="11"/>
  <c r="M351" i="11" s="1"/>
  <c r="L353" i="11"/>
  <c r="L351" i="11" s="1"/>
  <c r="P352" i="11"/>
  <c r="O352" i="11"/>
  <c r="N350" i="11"/>
  <c r="M350" i="11"/>
  <c r="M348" i="11" s="1"/>
  <c r="L350" i="11"/>
  <c r="L348" i="11" s="1"/>
  <c r="P349" i="11"/>
  <c r="O349" i="11"/>
  <c r="P346" i="11"/>
  <c r="N346" i="11"/>
  <c r="M346" i="11"/>
  <c r="L346" i="11"/>
  <c r="O346" i="11" s="1"/>
  <c r="J343" i="11"/>
  <c r="J342" i="11"/>
  <c r="J341" i="11"/>
  <c r="J340" i="11"/>
  <c r="I340" i="11"/>
  <c r="J338" i="11"/>
  <c r="I338" i="11"/>
  <c r="N336" i="11"/>
  <c r="N334" i="11" s="1"/>
  <c r="M336" i="11"/>
  <c r="P336" i="11" s="1"/>
  <c r="L336" i="11"/>
  <c r="O336" i="11" s="1"/>
  <c r="P335" i="11"/>
  <c r="O335" i="11"/>
  <c r="N333" i="11"/>
  <c r="N331" i="11" s="1"/>
  <c r="M333" i="11"/>
  <c r="L333" i="11"/>
  <c r="L331" i="11" s="1"/>
  <c r="P332" i="11"/>
  <c r="O332" i="11"/>
  <c r="P329" i="11"/>
  <c r="N329" i="11"/>
  <c r="M329" i="11"/>
  <c r="L329" i="11"/>
  <c r="I327" i="11"/>
  <c r="I325" i="11"/>
  <c r="K325" i="11" s="1"/>
  <c r="N323" i="11"/>
  <c r="N321" i="11" s="1"/>
  <c r="M323" i="11"/>
  <c r="P323" i="11" s="1"/>
  <c r="L323" i="11"/>
  <c r="O323" i="11" s="1"/>
  <c r="P322" i="11"/>
  <c r="O322" i="11"/>
  <c r="N320" i="11"/>
  <c r="N318" i="11" s="1"/>
  <c r="M320" i="11"/>
  <c r="P320" i="11" s="1"/>
  <c r="L320" i="11"/>
  <c r="P319" i="11"/>
  <c r="O319" i="11"/>
  <c r="N316" i="11"/>
  <c r="M316" i="11"/>
  <c r="L316" i="11"/>
  <c r="O316" i="11" s="1"/>
  <c r="J314" i="11"/>
  <c r="I312" i="11"/>
  <c r="K312" i="11" s="1"/>
  <c r="I311" i="11"/>
  <c r="K311" i="11" s="1"/>
  <c r="I310" i="11"/>
  <c r="K310" i="11" s="1"/>
  <c r="I309" i="11"/>
  <c r="K309" i="11" s="1"/>
  <c r="N306" i="11"/>
  <c r="N304" i="11" s="1"/>
  <c r="M306" i="11"/>
  <c r="M304" i="11" s="1"/>
  <c r="P304" i="11" s="1"/>
  <c r="L306" i="11"/>
  <c r="O306" i="11" s="1"/>
  <c r="P305" i="11"/>
  <c r="O305" i="11"/>
  <c r="N303" i="11"/>
  <c r="N301" i="11" s="1"/>
  <c r="M303" i="11"/>
  <c r="M301" i="11" s="1"/>
  <c r="P301" i="11" s="1"/>
  <c r="L303" i="11"/>
  <c r="O303" i="11" s="1"/>
  <c r="P302" i="11"/>
  <c r="O302" i="11"/>
  <c r="P299" i="11"/>
  <c r="O299" i="11"/>
  <c r="N299" i="11"/>
  <c r="M299" i="11"/>
  <c r="L299" i="11"/>
  <c r="J297" i="11"/>
  <c r="I294" i="11"/>
  <c r="K294" i="11" s="1"/>
  <c r="I293" i="11"/>
  <c r="K293" i="11" s="1"/>
  <c r="I291" i="11"/>
  <c r="K291" i="11" s="1"/>
  <c r="I290" i="11"/>
  <c r="K290" i="11" s="1"/>
  <c r="I288" i="11"/>
  <c r="K288" i="11" s="1"/>
  <c r="I287" i="11"/>
  <c r="K287" i="11" s="1"/>
  <c r="N285" i="11"/>
  <c r="N283" i="11" s="1"/>
  <c r="M285" i="11"/>
  <c r="P285" i="11" s="1"/>
  <c r="L285" i="11"/>
  <c r="O285" i="11" s="1"/>
  <c r="P284" i="11"/>
  <c r="O284" i="11"/>
  <c r="N282" i="11"/>
  <c r="N280" i="11" s="1"/>
  <c r="M282" i="11"/>
  <c r="M280" i="11" s="1"/>
  <c r="P280" i="11" s="1"/>
  <c r="L282" i="11"/>
  <c r="O282" i="11" s="1"/>
  <c r="P281" i="11"/>
  <c r="O281" i="11"/>
  <c r="O278" i="11"/>
  <c r="N278" i="11"/>
  <c r="M278" i="11"/>
  <c r="P278" i="11" s="1"/>
  <c r="L278" i="11"/>
  <c r="J276" i="11"/>
  <c r="I271" i="11"/>
  <c r="K271" i="11" s="1"/>
  <c r="N269" i="11"/>
  <c r="N267" i="11" s="1"/>
  <c r="M269" i="11"/>
  <c r="M267" i="11" s="1"/>
  <c r="P267" i="11" s="1"/>
  <c r="L269" i="11"/>
  <c r="P268" i="11"/>
  <c r="O268" i="11"/>
  <c r="N266" i="11"/>
  <c r="M266" i="11"/>
  <c r="M264" i="11" s="1"/>
  <c r="P264" i="11" s="1"/>
  <c r="L266" i="11"/>
  <c r="P265" i="11"/>
  <c r="O265" i="11"/>
  <c r="P262" i="11"/>
  <c r="N262" i="11"/>
  <c r="M262" i="11"/>
  <c r="L262" i="11"/>
  <c r="O262" i="11" s="1"/>
  <c r="J260" i="11"/>
  <c r="K258" i="11"/>
  <c r="K257" i="11"/>
  <c r="K255" i="11"/>
  <c r="L253" i="11"/>
  <c r="L252" i="11"/>
  <c r="L251" i="11"/>
  <c r="L250" i="11"/>
  <c r="P249" i="11"/>
  <c r="N249" i="11"/>
  <c r="J248" i="11"/>
  <c r="K247" i="11"/>
  <c r="K246" i="11"/>
  <c r="I244" i="11"/>
  <c r="K244" i="11" s="1"/>
  <c r="L242" i="11"/>
  <c r="L241" i="11"/>
  <c r="L240" i="11"/>
  <c r="L239" i="11"/>
  <c r="P238" i="11"/>
  <c r="N238" i="11"/>
  <c r="J237" i="11"/>
  <c r="K236" i="11"/>
  <c r="J236" i="11"/>
  <c r="I236" i="11"/>
  <c r="K235" i="11"/>
  <c r="J235" i="11"/>
  <c r="I235" i="11"/>
  <c r="J233" i="11"/>
  <c r="N231" i="11"/>
  <c r="N230" i="11"/>
  <c r="N229" i="11"/>
  <c r="N228" i="11"/>
  <c r="I225" i="11"/>
  <c r="K225" i="11" s="1"/>
  <c r="I224" i="11"/>
  <c r="I216" i="11" s="1"/>
  <c r="K216" i="11" s="1"/>
  <c r="I223" i="11"/>
  <c r="K223" i="11" s="1"/>
  <c r="L220" i="11"/>
  <c r="L219" i="11"/>
  <c r="L218" i="11"/>
  <c r="P217" i="11"/>
  <c r="N217" i="11"/>
  <c r="J216" i="11"/>
  <c r="I215" i="11"/>
  <c r="K215" i="11" s="1"/>
  <c r="I214" i="11"/>
  <c r="K214" i="11" s="1"/>
  <c r="L212" i="11"/>
  <c r="L211" i="11"/>
  <c r="L210" i="11"/>
  <c r="P209" i="11"/>
  <c r="N209" i="11"/>
  <c r="J208" i="11"/>
  <c r="K207" i="11"/>
  <c r="K206" i="11"/>
  <c r="I204" i="11"/>
  <c r="I197" i="11" s="1"/>
  <c r="K197" i="11" s="1"/>
  <c r="L202" i="11"/>
  <c r="L201" i="11"/>
  <c r="L200" i="11"/>
  <c r="L199" i="11"/>
  <c r="P198" i="11"/>
  <c r="N198" i="11"/>
  <c r="J197" i="11"/>
  <c r="J194" i="11"/>
  <c r="I193" i="11"/>
  <c r="K193" i="11" s="1"/>
  <c r="P191" i="11"/>
  <c r="L191" i="11"/>
  <c r="O191" i="11" s="1"/>
  <c r="J190" i="11"/>
  <c r="N189" i="11"/>
  <c r="N187" i="11" s="1"/>
  <c r="M189" i="11"/>
  <c r="L189" i="11"/>
  <c r="O189" i="11" s="1"/>
  <c r="P188" i="11"/>
  <c r="O188" i="11"/>
  <c r="N186" i="11"/>
  <c r="N184" i="11" s="1"/>
  <c r="M186" i="11"/>
  <c r="L186" i="11"/>
  <c r="P185" i="11"/>
  <c r="O185" i="11"/>
  <c r="P182" i="11"/>
  <c r="N182" i="11"/>
  <c r="M182" i="11"/>
  <c r="L182" i="11"/>
  <c r="O182" i="11" s="1"/>
  <c r="J177" i="11"/>
  <c r="J164" i="11" s="1"/>
  <c r="I176" i="11"/>
  <c r="I174" i="11" s="1"/>
  <c r="J174" i="11"/>
  <c r="N173" i="11"/>
  <c r="N171" i="11" s="1"/>
  <c r="M173" i="11"/>
  <c r="L173" i="11"/>
  <c r="O173" i="11" s="1"/>
  <c r="P172" i="11"/>
  <c r="O172" i="11"/>
  <c r="N170" i="11"/>
  <c r="M170" i="11"/>
  <c r="L170" i="11"/>
  <c r="P169" i="11"/>
  <c r="O169" i="11"/>
  <c r="P166" i="11"/>
  <c r="N166" i="11"/>
  <c r="M166" i="11"/>
  <c r="L166" i="11"/>
  <c r="O166" i="11" s="1"/>
  <c r="I159" i="11"/>
  <c r="K159" i="11" s="1"/>
  <c r="N157" i="11"/>
  <c r="N155" i="11" s="1"/>
  <c r="M157" i="11"/>
  <c r="M155" i="11" s="1"/>
  <c r="P155" i="11" s="1"/>
  <c r="L157" i="11"/>
  <c r="O157" i="11" s="1"/>
  <c r="P156" i="11"/>
  <c r="O156" i="11"/>
  <c r="N154" i="11"/>
  <c r="N152" i="11" s="1"/>
  <c r="M154" i="11"/>
  <c r="M152" i="11" s="1"/>
  <c r="L154" i="11"/>
  <c r="P153" i="11"/>
  <c r="O153" i="11"/>
  <c r="P150" i="11"/>
  <c r="N150" i="11"/>
  <c r="M150" i="11"/>
  <c r="L150" i="11"/>
  <c r="J148" i="11"/>
  <c r="I146" i="11"/>
  <c r="K146" i="11" s="1"/>
  <c r="I145" i="11"/>
  <c r="I144" i="11"/>
  <c r="K144" i="11" s="1"/>
  <c r="N140" i="11"/>
  <c r="N138" i="11" s="1"/>
  <c r="M140" i="11"/>
  <c r="P140" i="11" s="1"/>
  <c r="L140" i="11"/>
  <c r="P139" i="11"/>
  <c r="O139" i="11"/>
  <c r="N137" i="11"/>
  <c r="N135" i="11" s="1"/>
  <c r="M137" i="11"/>
  <c r="L137" i="11"/>
  <c r="P136" i="11"/>
  <c r="O136" i="11"/>
  <c r="N133" i="11"/>
  <c r="M133" i="11"/>
  <c r="L133" i="11"/>
  <c r="O133" i="11" s="1"/>
  <c r="J130" i="11"/>
  <c r="N127" i="11"/>
  <c r="N125" i="11" s="1"/>
  <c r="M127" i="11"/>
  <c r="M125" i="11" s="1"/>
  <c r="P125" i="11" s="1"/>
  <c r="L127" i="11"/>
  <c r="L125" i="11" s="1"/>
  <c r="O125" i="11" s="1"/>
  <c r="P126" i="11"/>
  <c r="O126" i="11"/>
  <c r="N124" i="11"/>
  <c r="N122" i="11" s="1"/>
  <c r="M124" i="11"/>
  <c r="M122" i="11" s="1"/>
  <c r="P122" i="11" s="1"/>
  <c r="L124" i="11"/>
  <c r="O124" i="11" s="1"/>
  <c r="P123" i="11"/>
  <c r="O123" i="11"/>
  <c r="P120" i="11"/>
  <c r="N120" i="11"/>
  <c r="M120" i="11"/>
  <c r="L120" i="11"/>
  <c r="I116" i="11"/>
  <c r="K116" i="11" s="1"/>
  <c r="I115" i="11"/>
  <c r="I114" i="11"/>
  <c r="K114" i="11" s="1"/>
  <c r="I113" i="11"/>
  <c r="K113" i="11" s="1"/>
  <c r="J112" i="11"/>
  <c r="J111" i="11"/>
  <c r="I111" i="11"/>
  <c r="K111" i="11" s="1"/>
  <c r="I110" i="11"/>
  <c r="K110" i="11" s="1"/>
  <c r="I109" i="11"/>
  <c r="K109" i="11" s="1"/>
  <c r="I107" i="11"/>
  <c r="K107" i="11" s="1"/>
  <c r="I106" i="11"/>
  <c r="K106" i="11" s="1"/>
  <c r="I104" i="11"/>
  <c r="K104" i="11" s="1"/>
  <c r="I103" i="11"/>
  <c r="K103" i="11" s="1"/>
  <c r="I102" i="11"/>
  <c r="K102" i="11" s="1"/>
  <c r="J100" i="11"/>
  <c r="I100" i="11"/>
  <c r="K100" i="11" s="1"/>
  <c r="J99" i="11"/>
  <c r="J87" i="11" s="1"/>
  <c r="I99" i="11"/>
  <c r="K99" i="11" s="1"/>
  <c r="J98" i="11"/>
  <c r="I98" i="11"/>
  <c r="I86" i="11" s="1"/>
  <c r="K86" i="11" s="1"/>
  <c r="N96" i="11"/>
  <c r="M96" i="11"/>
  <c r="L96" i="11"/>
  <c r="O96" i="11" s="1"/>
  <c r="P95" i="11"/>
  <c r="O95" i="11"/>
  <c r="N93" i="11"/>
  <c r="M93" i="11"/>
  <c r="L93" i="11"/>
  <c r="P92" i="11"/>
  <c r="O92" i="11"/>
  <c r="N89" i="11"/>
  <c r="M89" i="11"/>
  <c r="P89" i="11" s="1"/>
  <c r="L89" i="11"/>
  <c r="O89" i="11" s="1"/>
  <c r="J86" i="11"/>
  <c r="I84" i="11"/>
  <c r="K84" i="11" s="1"/>
  <c r="I83" i="11"/>
  <c r="K83" i="11" s="1"/>
  <c r="I82" i="11"/>
  <c r="K82" i="11" s="1"/>
  <c r="I81" i="11"/>
  <c r="K81" i="11" s="1"/>
  <c r="I80" i="11"/>
  <c r="I79" i="11"/>
  <c r="I78" i="11"/>
  <c r="K78" i="11" s="1"/>
  <c r="J77" i="11"/>
  <c r="J76" i="11"/>
  <c r="J64" i="11" s="1"/>
  <c r="N74" i="11"/>
  <c r="N72" i="11" s="1"/>
  <c r="M74" i="11"/>
  <c r="P74" i="11" s="1"/>
  <c r="L74" i="11"/>
  <c r="P73" i="11"/>
  <c r="O73" i="11"/>
  <c r="N71" i="11"/>
  <c r="N69" i="11" s="1"/>
  <c r="M71" i="11"/>
  <c r="L71" i="11"/>
  <c r="P70" i="11"/>
  <c r="O70" i="11"/>
  <c r="O67" i="11"/>
  <c r="N67" i="11"/>
  <c r="M67" i="11"/>
  <c r="P67" i="11" s="1"/>
  <c r="L67" i="11"/>
  <c r="J65" i="11"/>
  <c r="N61" i="11"/>
  <c r="N59" i="11" s="1"/>
  <c r="M61" i="11"/>
  <c r="P61" i="11" s="1"/>
  <c r="L61" i="11"/>
  <c r="O61" i="11" s="1"/>
  <c r="P60" i="11"/>
  <c r="O60" i="11"/>
  <c r="N58" i="11"/>
  <c r="M58" i="11"/>
  <c r="L58" i="11"/>
  <c r="P57" i="11"/>
  <c r="O57" i="11"/>
  <c r="P54" i="11"/>
  <c r="N54" i="11"/>
  <c r="M54" i="11"/>
  <c r="L54" i="11"/>
  <c r="O54" i="11" s="1"/>
  <c r="N49" i="11"/>
  <c r="N47" i="11" s="1"/>
  <c r="M49" i="11"/>
  <c r="M47" i="11" s="1"/>
  <c r="P47" i="11" s="1"/>
  <c r="L49" i="11"/>
  <c r="L47" i="11" s="1"/>
  <c r="O47" i="11" s="1"/>
  <c r="P48" i="11"/>
  <c r="O48" i="11"/>
  <c r="N46" i="11"/>
  <c r="M46" i="11"/>
  <c r="M44" i="11" s="1"/>
  <c r="L46" i="11"/>
  <c r="L44" i="11" s="1"/>
  <c r="P45" i="11"/>
  <c r="O45" i="11"/>
  <c r="O42" i="11"/>
  <c r="N42" i="11"/>
  <c r="M42" i="11"/>
  <c r="P42" i="11" s="1"/>
  <c r="L42" i="11"/>
  <c r="N36" i="11"/>
  <c r="M36" i="11"/>
  <c r="P36" i="11" s="1"/>
  <c r="N35" i="11"/>
  <c r="M35" i="11"/>
  <c r="M29" i="11" s="1"/>
  <c r="L35" i="11"/>
  <c r="O35" i="11" s="1"/>
  <c r="M33" i="11"/>
  <c r="M31" i="11" s="1"/>
  <c r="P31" i="11" s="1"/>
  <c r="N32" i="11"/>
  <c r="M32" i="11"/>
  <c r="P32" i="11" s="1"/>
  <c r="L32" i="11"/>
  <c r="P25" i="11"/>
  <c r="N25" i="11"/>
  <c r="M25" i="11"/>
  <c r="L25" i="11"/>
  <c r="L19" i="11" s="1"/>
  <c r="P22" i="11"/>
  <c r="O22" i="11"/>
  <c r="N22" i="11"/>
  <c r="M22" i="11"/>
  <c r="L22" i="11"/>
  <c r="N19" i="11"/>
  <c r="M19" i="11"/>
  <c r="P19" i="11" s="1"/>
  <c r="N15" i="11"/>
  <c r="L12" i="11"/>
  <c r="J828" i="10"/>
  <c r="I828" i="10"/>
  <c r="J827" i="10"/>
  <c r="I827" i="10"/>
  <c r="J826" i="10"/>
  <c r="I826" i="10"/>
  <c r="J825" i="10"/>
  <c r="I825" i="10"/>
  <c r="J824" i="10"/>
  <c r="I824" i="10"/>
  <c r="J823" i="10"/>
  <c r="I823" i="10"/>
  <c r="J822" i="10"/>
  <c r="I822" i="10"/>
  <c r="J821" i="10"/>
  <c r="I821" i="10"/>
  <c r="P817" i="10"/>
  <c r="O817" i="10"/>
  <c r="P816" i="10"/>
  <c r="O816" i="10"/>
  <c r="O815" i="10"/>
  <c r="N815" i="10"/>
  <c r="M815" i="10"/>
  <c r="P815" i="10" s="1"/>
  <c r="L815" i="10"/>
  <c r="P810" i="10"/>
  <c r="O810" i="10"/>
  <c r="N810" i="10"/>
  <c r="P809" i="10"/>
  <c r="O809" i="10"/>
  <c r="O808" i="10"/>
  <c r="M808" i="10"/>
  <c r="P808" i="10" s="1"/>
  <c r="L808" i="10"/>
  <c r="P807" i="10"/>
  <c r="M807" i="10"/>
  <c r="L807" i="10"/>
  <c r="O806" i="10"/>
  <c r="N806" i="10"/>
  <c r="M806" i="10"/>
  <c r="P806" i="10" s="1"/>
  <c r="L806" i="10"/>
  <c r="P805" i="10"/>
  <c r="M805" i="10"/>
  <c r="K804" i="10"/>
  <c r="J804" i="10"/>
  <c r="K802" i="10"/>
  <c r="J801" i="10"/>
  <c r="J800" i="10"/>
  <c r="J785" i="10" s="1"/>
  <c r="I800" i="10"/>
  <c r="P798" i="10"/>
  <c r="O798" i="10"/>
  <c r="P797" i="10"/>
  <c r="O797" i="10"/>
  <c r="P796" i="10"/>
  <c r="N796" i="10"/>
  <c r="M796" i="10"/>
  <c r="L796" i="10"/>
  <c r="O796" i="10" s="1"/>
  <c r="P791" i="10"/>
  <c r="N791" i="10"/>
  <c r="L791" i="10"/>
  <c r="L788" i="10" s="1"/>
  <c r="P790" i="10"/>
  <c r="O790" i="10"/>
  <c r="N789" i="10"/>
  <c r="M789" i="10"/>
  <c r="P789" i="10" s="1"/>
  <c r="P788" i="10"/>
  <c r="N788" i="10"/>
  <c r="M788" i="10"/>
  <c r="O787" i="10"/>
  <c r="N787" i="10"/>
  <c r="N786" i="10" s="1"/>
  <c r="M787" i="10"/>
  <c r="P787" i="10" s="1"/>
  <c r="L787" i="10"/>
  <c r="P782" i="10"/>
  <c r="O782" i="10"/>
  <c r="P781" i="10"/>
  <c r="O781" i="10"/>
  <c r="P780" i="10"/>
  <c r="N780" i="10"/>
  <c r="M780" i="10"/>
  <c r="L780" i="10"/>
  <c r="O780" i="10" s="1"/>
  <c r="P775" i="10"/>
  <c r="O775" i="10"/>
  <c r="N775" i="10"/>
  <c r="N772" i="10" s="1"/>
  <c r="P774" i="10"/>
  <c r="O774" i="10"/>
  <c r="P773" i="10"/>
  <c r="N773" i="10"/>
  <c r="M773" i="10"/>
  <c r="L773" i="10"/>
  <c r="O773" i="10" s="1"/>
  <c r="O772" i="10"/>
  <c r="M772" i="10"/>
  <c r="L772" i="10"/>
  <c r="P771" i="10"/>
  <c r="N771" i="10"/>
  <c r="N770" i="10" s="1"/>
  <c r="M771" i="10"/>
  <c r="L771" i="10"/>
  <c r="K769" i="10"/>
  <c r="J769" i="10"/>
  <c r="P766" i="10"/>
  <c r="O766" i="10"/>
  <c r="P765" i="10"/>
  <c r="O765" i="10"/>
  <c r="P764" i="10"/>
  <c r="N764" i="10"/>
  <c r="M764" i="10"/>
  <c r="L764" i="10"/>
  <c r="O764" i="10" s="1"/>
  <c r="P759" i="10"/>
  <c r="O759" i="10"/>
  <c r="N759" i="10"/>
  <c r="N756" i="10" s="1"/>
  <c r="P758" i="10"/>
  <c r="O758" i="10"/>
  <c r="P757" i="10"/>
  <c r="N757" i="10"/>
  <c r="M757" i="10"/>
  <c r="L757" i="10"/>
  <c r="O757" i="10" s="1"/>
  <c r="O756" i="10"/>
  <c r="M756" i="10"/>
  <c r="L756" i="10"/>
  <c r="P755" i="10"/>
  <c r="N755" i="10"/>
  <c r="M755" i="10"/>
  <c r="L755" i="10"/>
  <c r="K753" i="10"/>
  <c r="J753" i="10"/>
  <c r="P749" i="10"/>
  <c r="O749" i="10"/>
  <c r="P748" i="10"/>
  <c r="O748" i="10"/>
  <c r="P747" i="10"/>
  <c r="N747" i="10"/>
  <c r="M747" i="10"/>
  <c r="L747" i="10"/>
  <c r="O747" i="10" s="1"/>
  <c r="P742" i="10"/>
  <c r="O742" i="10"/>
  <c r="N742" i="10"/>
  <c r="N739" i="10" s="1"/>
  <c r="P741" i="10"/>
  <c r="O741" i="10"/>
  <c r="P740" i="10"/>
  <c r="N740" i="10"/>
  <c r="M740" i="10"/>
  <c r="L740" i="10"/>
  <c r="O740" i="10" s="1"/>
  <c r="O739" i="10"/>
  <c r="M739" i="10"/>
  <c r="L739" i="10"/>
  <c r="P738" i="10"/>
  <c r="N738" i="10"/>
  <c r="N737" i="10" s="1"/>
  <c r="M738" i="10"/>
  <c r="L738" i="10"/>
  <c r="K736" i="10"/>
  <c r="J736" i="10"/>
  <c r="J729" i="10"/>
  <c r="I729" i="10"/>
  <c r="J728" i="10"/>
  <c r="I728" i="10"/>
  <c r="J727" i="10"/>
  <c r="J726" i="10"/>
  <c r="I726" i="10"/>
  <c r="J725" i="10"/>
  <c r="I725" i="10"/>
  <c r="J724" i="10"/>
  <c r="J723" i="10"/>
  <c r="I723" i="10"/>
  <c r="I722" i="10"/>
  <c r="I721" i="10"/>
  <c r="J720" i="10"/>
  <c r="I720" i="10"/>
  <c r="J719" i="10"/>
  <c r="J718" i="10"/>
  <c r="J708" i="10"/>
  <c r="I708" i="10"/>
  <c r="I707" i="10"/>
  <c r="I704" i="10"/>
  <c r="J701" i="10"/>
  <c r="I701" i="10"/>
  <c r="J700" i="10"/>
  <c r="I700" i="10"/>
  <c r="K700" i="10" s="1"/>
  <c r="J699" i="10"/>
  <c r="I699" i="10"/>
  <c r="K699" i="10" s="1"/>
  <c r="P697" i="10"/>
  <c r="O697" i="10"/>
  <c r="P696" i="10"/>
  <c r="O696" i="10"/>
  <c r="P695" i="10"/>
  <c r="N695" i="10"/>
  <c r="M695" i="10"/>
  <c r="L695" i="10"/>
  <c r="O695" i="10" s="1"/>
  <c r="P690" i="10"/>
  <c r="N690" i="10"/>
  <c r="N688" i="10" s="1"/>
  <c r="L690" i="10"/>
  <c r="M688" i="10"/>
  <c r="P688" i="10" s="1"/>
  <c r="P687" i="10"/>
  <c r="N687" i="10"/>
  <c r="M687" i="10"/>
  <c r="O686" i="10"/>
  <c r="N686" i="10"/>
  <c r="N685" i="10" s="1"/>
  <c r="M686" i="10"/>
  <c r="P686" i="10" s="1"/>
  <c r="L686" i="10"/>
  <c r="P685" i="10"/>
  <c r="M685" i="10"/>
  <c r="J679" i="10"/>
  <c r="J678" i="10"/>
  <c r="I678" i="10"/>
  <c r="K678" i="10" s="1"/>
  <c r="J675" i="10"/>
  <c r="J669" i="10" s="1"/>
  <c r="J654" i="10" s="1"/>
  <c r="I671" i="10"/>
  <c r="K671" i="10" s="1"/>
  <c r="I670" i="10"/>
  <c r="K670" i="10" s="1"/>
  <c r="I669" i="10"/>
  <c r="P667" i="10"/>
  <c r="O667" i="10"/>
  <c r="P666" i="10"/>
  <c r="O666" i="10"/>
  <c r="O665" i="10"/>
  <c r="N665" i="10"/>
  <c r="M665" i="10"/>
  <c r="P665" i="10" s="1"/>
  <c r="L665" i="10"/>
  <c r="P660" i="10"/>
  <c r="N660" i="10"/>
  <c r="N657" i="10" s="1"/>
  <c r="L660" i="10"/>
  <c r="O660" i="10" s="1"/>
  <c r="P659" i="10"/>
  <c r="O659" i="10"/>
  <c r="P658" i="10"/>
  <c r="N658" i="10"/>
  <c r="M658" i="10"/>
  <c r="M657" i="10"/>
  <c r="P657" i="10" s="1"/>
  <c r="P656" i="10"/>
  <c r="N656" i="10"/>
  <c r="N655" i="10" s="1"/>
  <c r="M656" i="10"/>
  <c r="L656" i="10"/>
  <c r="M655" i="10"/>
  <c r="P655" i="10" s="1"/>
  <c r="K652" i="10"/>
  <c r="J652" i="10"/>
  <c r="J651" i="10"/>
  <c r="J628" i="10" s="1"/>
  <c r="I651" i="10"/>
  <c r="K651" i="10" s="1"/>
  <c r="K650" i="10"/>
  <c r="J650" i="10"/>
  <c r="J649" i="10"/>
  <c r="I649" i="10"/>
  <c r="K649" i="10" s="1"/>
  <c r="K648" i="10"/>
  <c r="J648" i="10"/>
  <c r="J647" i="10"/>
  <c r="I647" i="10"/>
  <c r="K647" i="10" s="1"/>
  <c r="K646" i="10"/>
  <c r="J646" i="10"/>
  <c r="K645" i="10"/>
  <c r="J645" i="10"/>
  <c r="I644" i="10"/>
  <c r="K644" i="10" s="1"/>
  <c r="I643" i="10"/>
  <c r="K643" i="10" s="1"/>
  <c r="P641" i="10"/>
  <c r="L641" i="10"/>
  <c r="P640" i="10"/>
  <c r="O640" i="10"/>
  <c r="N639" i="10"/>
  <c r="M639" i="10"/>
  <c r="P639" i="10" s="1"/>
  <c r="P634" i="10"/>
  <c r="N634" i="10"/>
  <c r="L634" i="10"/>
  <c r="O634" i="10" s="1"/>
  <c r="P633" i="10"/>
  <c r="O633" i="10"/>
  <c r="P632" i="10"/>
  <c r="N632" i="10"/>
  <c r="M632" i="10"/>
  <c r="N631" i="10"/>
  <c r="M631" i="10"/>
  <c r="P631" i="10" s="1"/>
  <c r="P630" i="10"/>
  <c r="N630" i="10"/>
  <c r="N629" i="10" s="1"/>
  <c r="M630" i="10"/>
  <c r="M629" i="10" s="1"/>
  <c r="P629" i="10" s="1"/>
  <c r="L630" i="10"/>
  <c r="O630" i="10" s="1"/>
  <c r="J621" i="10"/>
  <c r="I621" i="10"/>
  <c r="K621" i="10" s="1"/>
  <c r="J620" i="10"/>
  <c r="I620" i="10"/>
  <c r="K620" i="10" s="1"/>
  <c r="K613" i="10"/>
  <c r="J613" i="10"/>
  <c r="K612" i="10"/>
  <c r="J612" i="10"/>
  <c r="K611" i="10"/>
  <c r="J611" i="10"/>
  <c r="J604" i="10"/>
  <c r="J603" i="10"/>
  <c r="J596" i="10"/>
  <c r="J595" i="10"/>
  <c r="J593" i="10" s="1"/>
  <c r="J592" i="10" s="1"/>
  <c r="J594" i="10"/>
  <c r="I594" i="10"/>
  <c r="K594" i="10" s="1"/>
  <c r="I593" i="10"/>
  <c r="I592" i="10" s="1"/>
  <c r="K592" i="10" s="1"/>
  <c r="J583" i="10"/>
  <c r="J577" i="10" s="1"/>
  <c r="J582" i="10"/>
  <c r="J576" i="10" s="1"/>
  <c r="J559" i="10" s="1"/>
  <c r="J543" i="10" s="1"/>
  <c r="I577" i="10"/>
  <c r="K577" i="10" s="1"/>
  <c r="I576" i="10"/>
  <c r="K576" i="10" s="1"/>
  <c r="J569" i="10"/>
  <c r="I569" i="10"/>
  <c r="K569" i="10" s="1"/>
  <c r="J568" i="10"/>
  <c r="I568" i="10"/>
  <c r="K568" i="10" s="1"/>
  <c r="J561" i="10"/>
  <c r="I561" i="10"/>
  <c r="K561" i="10" s="1"/>
  <c r="J560" i="10"/>
  <c r="I560" i="10"/>
  <c r="K560" i="10" s="1"/>
  <c r="P557" i="10"/>
  <c r="L557" i="10"/>
  <c r="O557" i="10" s="1"/>
  <c r="P556" i="10"/>
  <c r="O556" i="10"/>
  <c r="P555" i="10"/>
  <c r="N555" i="10"/>
  <c r="N545" i="10" s="1"/>
  <c r="M555" i="10"/>
  <c r="P549" i="10"/>
  <c r="N549" i="10"/>
  <c r="L549" i="10"/>
  <c r="O549" i="10" s="1"/>
  <c r="P548" i="10"/>
  <c r="O548" i="10"/>
  <c r="N547" i="10"/>
  <c r="M547" i="10"/>
  <c r="P547" i="10" s="1"/>
  <c r="P546" i="10"/>
  <c r="N546" i="10"/>
  <c r="M546" i="10"/>
  <c r="O545" i="10"/>
  <c r="M545" i="10"/>
  <c r="L545" i="10"/>
  <c r="I542" i="10"/>
  <c r="K542" i="10" s="1"/>
  <c r="I541" i="10"/>
  <c r="K541" i="10" s="1"/>
  <c r="I540" i="10"/>
  <c r="K540" i="10" s="1"/>
  <c r="I539" i="10"/>
  <c r="K539" i="10" s="1"/>
  <c r="I538" i="10"/>
  <c r="I537" i="10"/>
  <c r="I522" i="10" s="1"/>
  <c r="K522" i="10" s="1"/>
  <c r="P535" i="10"/>
  <c r="L535" i="10"/>
  <c r="O535" i="10" s="1"/>
  <c r="P534" i="10"/>
  <c r="O534" i="10"/>
  <c r="P533" i="10"/>
  <c r="N533" i="10"/>
  <c r="M533" i="10"/>
  <c r="P528" i="10"/>
  <c r="N528" i="10"/>
  <c r="L528" i="10"/>
  <c r="P527" i="10"/>
  <c r="O527" i="10"/>
  <c r="N526" i="10"/>
  <c r="M526" i="10"/>
  <c r="P526" i="10" s="1"/>
  <c r="P525" i="10"/>
  <c r="N525" i="10"/>
  <c r="M525" i="10"/>
  <c r="O524" i="10"/>
  <c r="N524" i="10"/>
  <c r="N523" i="10" s="1"/>
  <c r="M524" i="10"/>
  <c r="P524" i="10" s="1"/>
  <c r="L524" i="10"/>
  <c r="P523" i="10"/>
  <c r="M523" i="10"/>
  <c r="K517" i="10"/>
  <c r="J517" i="10"/>
  <c r="J501" i="10" s="1"/>
  <c r="K516" i="10"/>
  <c r="P514" i="10"/>
  <c r="O514" i="10"/>
  <c r="P513" i="10"/>
  <c r="O513" i="10"/>
  <c r="O512" i="10"/>
  <c r="N512" i="10"/>
  <c r="M512" i="10"/>
  <c r="P512" i="10" s="1"/>
  <c r="L512" i="10"/>
  <c r="P507" i="10"/>
  <c r="O507" i="10"/>
  <c r="N507" i="10"/>
  <c r="N504" i="10" s="1"/>
  <c r="P506" i="10"/>
  <c r="O506" i="10"/>
  <c r="O505" i="10"/>
  <c r="N505" i="10"/>
  <c r="M505" i="10"/>
  <c r="P505" i="10" s="1"/>
  <c r="L505" i="10"/>
  <c r="P504" i="10"/>
  <c r="M504" i="10"/>
  <c r="L504" i="10"/>
  <c r="O504" i="10" s="1"/>
  <c r="O503" i="10"/>
  <c r="N503" i="10"/>
  <c r="M503" i="10"/>
  <c r="M502" i="10" s="1"/>
  <c r="P502" i="10" s="1"/>
  <c r="L503" i="10"/>
  <c r="L502" i="10" s="1"/>
  <c r="O502" i="10" s="1"/>
  <c r="N502" i="10"/>
  <c r="K501" i="10"/>
  <c r="K500" i="10"/>
  <c r="J500" i="10"/>
  <c r="I498" i="10"/>
  <c r="K498" i="10" s="1"/>
  <c r="I495" i="10"/>
  <c r="K495" i="10" s="1"/>
  <c r="I492" i="10"/>
  <c r="K492" i="10" s="1"/>
  <c r="I489" i="10"/>
  <c r="K489" i="10" s="1"/>
  <c r="I487" i="10"/>
  <c r="K487" i="10" s="1"/>
  <c r="I485" i="10"/>
  <c r="K485" i="10" s="1"/>
  <c r="I483" i="10"/>
  <c r="K483" i="10" s="1"/>
  <c r="P479" i="10"/>
  <c r="L479" i="10"/>
  <c r="L477" i="10" s="1"/>
  <c r="O477" i="10" s="1"/>
  <c r="P478" i="10"/>
  <c r="O478" i="10"/>
  <c r="P477" i="10"/>
  <c r="N477" i="10"/>
  <c r="M477" i="10"/>
  <c r="P472" i="10"/>
  <c r="N472" i="10"/>
  <c r="N469" i="10" s="1"/>
  <c r="N467" i="10" s="1"/>
  <c r="L472" i="10"/>
  <c r="O472" i="10" s="1"/>
  <c r="P471" i="10"/>
  <c r="O471" i="10"/>
  <c r="M470" i="10"/>
  <c r="P470" i="10" s="1"/>
  <c r="P469" i="10"/>
  <c r="M469" i="10"/>
  <c r="O468" i="10"/>
  <c r="N468" i="10"/>
  <c r="M468" i="10"/>
  <c r="M467" i="10" s="1"/>
  <c r="P467" i="10" s="1"/>
  <c r="L468" i="10"/>
  <c r="J466" i="10"/>
  <c r="I466" i="10"/>
  <c r="K466" i="10" s="1"/>
  <c r="J465" i="10"/>
  <c r="I465" i="10"/>
  <c r="K465" i="10" s="1"/>
  <c r="I464" i="10"/>
  <c r="I463" i="10"/>
  <c r="I462" i="10"/>
  <c r="K462" i="10" s="1"/>
  <c r="I460" i="10"/>
  <c r="K460" i="10" s="1"/>
  <c r="K458" i="10"/>
  <c r="P456" i="10"/>
  <c r="L456" i="10"/>
  <c r="P455" i="10"/>
  <c r="O455" i="10"/>
  <c r="P454" i="10"/>
  <c r="N454" i="10"/>
  <c r="M454" i="10"/>
  <c r="P449" i="10"/>
  <c r="N449" i="10"/>
  <c r="L449" i="10"/>
  <c r="O449" i="10" s="1"/>
  <c r="P448" i="10"/>
  <c r="O448" i="10"/>
  <c r="P447" i="10"/>
  <c r="N447" i="10"/>
  <c r="M447" i="10"/>
  <c r="N446" i="10"/>
  <c r="M446" i="10"/>
  <c r="P446" i="10" s="1"/>
  <c r="N445" i="10"/>
  <c r="N444" i="10" s="1"/>
  <c r="M445" i="10"/>
  <c r="L445" i="10"/>
  <c r="O445" i="10" s="1"/>
  <c r="J443" i="10"/>
  <c r="J442" i="10"/>
  <c r="I441" i="10"/>
  <c r="K441" i="10" s="1"/>
  <c r="I440" i="10"/>
  <c r="I439" i="10"/>
  <c r="K439" i="10" s="1"/>
  <c r="I438" i="10"/>
  <c r="K438" i="10" s="1"/>
  <c r="I437" i="10"/>
  <c r="K437" i="10" s="1"/>
  <c r="I435" i="10"/>
  <c r="I433" i="10" s="1"/>
  <c r="I417" i="10" s="1"/>
  <c r="J434" i="10"/>
  <c r="P431" i="10"/>
  <c r="L431" i="10"/>
  <c r="P430" i="10"/>
  <c r="O430" i="10"/>
  <c r="P429" i="10"/>
  <c r="N429" i="10"/>
  <c r="M429" i="10"/>
  <c r="P424" i="10"/>
  <c r="N424" i="10"/>
  <c r="L424" i="10"/>
  <c r="L422" i="10" s="1"/>
  <c r="O422" i="10" s="1"/>
  <c r="P423" i="10"/>
  <c r="O423" i="10"/>
  <c r="P422" i="10"/>
  <c r="N422" i="10"/>
  <c r="M422" i="10"/>
  <c r="N421" i="10"/>
  <c r="M421" i="10"/>
  <c r="P421" i="10" s="1"/>
  <c r="N420" i="10"/>
  <c r="N419" i="10" s="1"/>
  <c r="M420" i="10"/>
  <c r="P420" i="10" s="1"/>
  <c r="L420" i="10"/>
  <c r="O420" i="10" s="1"/>
  <c r="M419" i="10"/>
  <c r="J418" i="10"/>
  <c r="K413" i="10"/>
  <c r="K412" i="10"/>
  <c r="N410" i="10"/>
  <c r="N408" i="10" s="1"/>
  <c r="M410" i="10"/>
  <c r="L410" i="10"/>
  <c r="P409" i="10"/>
  <c r="O409" i="10"/>
  <c r="N407" i="10"/>
  <c r="M407" i="10"/>
  <c r="L407" i="10"/>
  <c r="O407" i="10" s="1"/>
  <c r="P406" i="10"/>
  <c r="O406" i="10"/>
  <c r="P403" i="10"/>
  <c r="N403" i="10"/>
  <c r="M403" i="10"/>
  <c r="L403" i="10"/>
  <c r="J401" i="10"/>
  <c r="I401" i="10"/>
  <c r="K401" i="10" s="1"/>
  <c r="K400" i="10"/>
  <c r="K399" i="10"/>
  <c r="N397" i="10"/>
  <c r="N395" i="10" s="1"/>
  <c r="M397" i="10"/>
  <c r="L397" i="10"/>
  <c r="O397" i="10" s="1"/>
  <c r="P396" i="10"/>
  <c r="O396" i="10"/>
  <c r="N394" i="10"/>
  <c r="N392" i="10" s="1"/>
  <c r="M394" i="10"/>
  <c r="L394" i="10"/>
  <c r="P393" i="10"/>
  <c r="O393" i="10"/>
  <c r="P390" i="10"/>
  <c r="N390" i="10"/>
  <c r="M390" i="10"/>
  <c r="L390" i="10"/>
  <c r="O390" i="10" s="1"/>
  <c r="J388" i="10"/>
  <c r="I388" i="10"/>
  <c r="K388" i="10" s="1"/>
  <c r="J385" i="10"/>
  <c r="I385" i="10"/>
  <c r="K385" i="10" s="1"/>
  <c r="K382" i="10"/>
  <c r="J382" i="10"/>
  <c r="J381" i="10"/>
  <c r="J374" i="10" s="1"/>
  <c r="I381" i="10"/>
  <c r="K381" i="10" s="1"/>
  <c r="K380" i="10"/>
  <c r="J380" i="10"/>
  <c r="J379" i="10"/>
  <c r="I379" i="10"/>
  <c r="K379" i="10" s="1"/>
  <c r="J378" i="10"/>
  <c r="I378" i="10"/>
  <c r="K378" i="10" s="1"/>
  <c r="K377" i="10"/>
  <c r="J377" i="10"/>
  <c r="I374" i="10"/>
  <c r="K374" i="10" s="1"/>
  <c r="K373" i="10"/>
  <c r="J373" i="10"/>
  <c r="J372" i="10"/>
  <c r="J365" i="10" s="1"/>
  <c r="I372" i="10"/>
  <c r="K372" i="10" s="1"/>
  <c r="K371" i="10"/>
  <c r="J371" i="10"/>
  <c r="J370" i="10"/>
  <c r="I370" i="10"/>
  <c r="K370" i="10" s="1"/>
  <c r="J369" i="10"/>
  <c r="I369" i="10"/>
  <c r="K369" i="10" s="1"/>
  <c r="K368" i="10"/>
  <c r="J368" i="10"/>
  <c r="I365" i="10"/>
  <c r="K365" i="10" s="1"/>
  <c r="K363" i="10"/>
  <c r="J363" i="10"/>
  <c r="J362" i="10"/>
  <c r="J355" i="10" s="1"/>
  <c r="I362" i="10"/>
  <c r="K362" i="10" s="1"/>
  <c r="K361" i="10"/>
  <c r="J361" i="10"/>
  <c r="J360" i="10"/>
  <c r="I360" i="10"/>
  <c r="K360" i="10" s="1"/>
  <c r="J359" i="10"/>
  <c r="I359" i="10"/>
  <c r="K359" i="10" s="1"/>
  <c r="K358" i="10"/>
  <c r="J358" i="10"/>
  <c r="I355" i="10"/>
  <c r="K355" i="10" s="1"/>
  <c r="N353" i="10"/>
  <c r="N351" i="10" s="1"/>
  <c r="M353" i="10"/>
  <c r="L353" i="10"/>
  <c r="P352" i="10"/>
  <c r="O352" i="10"/>
  <c r="N350" i="10"/>
  <c r="M350" i="10"/>
  <c r="L350" i="10"/>
  <c r="L348" i="10" s="1"/>
  <c r="P349" i="10"/>
  <c r="O349" i="10"/>
  <c r="P346" i="10"/>
  <c r="N346" i="10"/>
  <c r="M346" i="10"/>
  <c r="L346" i="10"/>
  <c r="O346" i="10" s="1"/>
  <c r="J343" i="10"/>
  <c r="J342" i="10"/>
  <c r="J341" i="10"/>
  <c r="J340" i="10"/>
  <c r="I340" i="10"/>
  <c r="J338" i="10"/>
  <c r="I338" i="10"/>
  <c r="N336" i="10"/>
  <c r="M336" i="10"/>
  <c r="L336" i="10"/>
  <c r="O336" i="10" s="1"/>
  <c r="P335" i="10"/>
  <c r="O335" i="10"/>
  <c r="N333" i="10"/>
  <c r="M333" i="10"/>
  <c r="L333" i="10"/>
  <c r="L331" i="10" s="1"/>
  <c r="P332" i="10"/>
  <c r="O332" i="10"/>
  <c r="P329" i="10"/>
  <c r="O329" i="10"/>
  <c r="N329" i="10"/>
  <c r="M329" i="10"/>
  <c r="L329" i="10"/>
  <c r="I327" i="10"/>
  <c r="I325" i="10"/>
  <c r="K325" i="10" s="1"/>
  <c r="N323" i="10"/>
  <c r="N321" i="10" s="1"/>
  <c r="M323" i="10"/>
  <c r="P323" i="10" s="1"/>
  <c r="L323" i="10"/>
  <c r="P322" i="10"/>
  <c r="O322" i="10"/>
  <c r="N320" i="10"/>
  <c r="N318" i="10" s="1"/>
  <c r="M320" i="10"/>
  <c r="L320" i="10"/>
  <c r="O320" i="10" s="1"/>
  <c r="P319" i="10"/>
  <c r="O319" i="10"/>
  <c r="P316" i="10"/>
  <c r="N316" i="10"/>
  <c r="M316" i="10"/>
  <c r="L316" i="10"/>
  <c r="O316" i="10" s="1"/>
  <c r="J314" i="10"/>
  <c r="I312" i="10"/>
  <c r="K312" i="10" s="1"/>
  <c r="I311" i="10"/>
  <c r="K311" i="10" s="1"/>
  <c r="I310" i="10"/>
  <c r="K310" i="10" s="1"/>
  <c r="I309" i="10"/>
  <c r="I297" i="10" s="1"/>
  <c r="K297" i="10" s="1"/>
  <c r="N306" i="10"/>
  <c r="N304" i="10" s="1"/>
  <c r="M306" i="10"/>
  <c r="P306" i="10" s="1"/>
  <c r="L306" i="10"/>
  <c r="L304" i="10" s="1"/>
  <c r="O304" i="10" s="1"/>
  <c r="P305" i="10"/>
  <c r="O305" i="10"/>
  <c r="N303" i="10"/>
  <c r="N301" i="10" s="1"/>
  <c r="M303" i="10"/>
  <c r="L303" i="10"/>
  <c r="O303" i="10" s="1"/>
  <c r="P302" i="10"/>
  <c r="O302" i="10"/>
  <c r="P299" i="10"/>
  <c r="N299" i="10"/>
  <c r="M299" i="10"/>
  <c r="L299" i="10"/>
  <c r="O299" i="10" s="1"/>
  <c r="J297" i="10"/>
  <c r="I294" i="10"/>
  <c r="K294" i="10" s="1"/>
  <c r="I293" i="10"/>
  <c r="K293" i="10" s="1"/>
  <c r="I291" i="10"/>
  <c r="K291" i="10" s="1"/>
  <c r="I290" i="10"/>
  <c r="K290" i="10" s="1"/>
  <c r="I288" i="10"/>
  <c r="K288" i="10" s="1"/>
  <c r="I287" i="10"/>
  <c r="K287" i="10" s="1"/>
  <c r="N285" i="10"/>
  <c r="N283" i="10" s="1"/>
  <c r="M285" i="10"/>
  <c r="M283" i="10" s="1"/>
  <c r="P283" i="10" s="1"/>
  <c r="L285" i="10"/>
  <c r="O285" i="10" s="1"/>
  <c r="P284" i="10"/>
  <c r="O284" i="10"/>
  <c r="N282" i="10"/>
  <c r="M282" i="10"/>
  <c r="L282" i="10"/>
  <c r="O282" i="10" s="1"/>
  <c r="P281" i="10"/>
  <c r="O281" i="10"/>
  <c r="O278" i="10"/>
  <c r="N278" i="10"/>
  <c r="M278" i="10"/>
  <c r="P278" i="10" s="1"/>
  <c r="L278" i="10"/>
  <c r="J276" i="10"/>
  <c r="I271" i="10"/>
  <c r="K271" i="10" s="1"/>
  <c r="N269" i="10"/>
  <c r="N267" i="10" s="1"/>
  <c r="M269" i="10"/>
  <c r="P269" i="10" s="1"/>
  <c r="L269" i="10"/>
  <c r="L267" i="10" s="1"/>
  <c r="O267" i="10" s="1"/>
  <c r="P268" i="10"/>
  <c r="O268" i="10"/>
  <c r="N266" i="10"/>
  <c r="N264" i="10" s="1"/>
  <c r="M266" i="10"/>
  <c r="P266" i="10" s="1"/>
  <c r="L266" i="10"/>
  <c r="L264" i="10" s="1"/>
  <c r="P265" i="10"/>
  <c r="O265" i="10"/>
  <c r="P262" i="10"/>
  <c r="N262" i="10"/>
  <c r="M262" i="10"/>
  <c r="L262" i="10"/>
  <c r="J260" i="10"/>
  <c r="K258" i="10"/>
  <c r="K257" i="10"/>
  <c r="L253" i="10"/>
  <c r="L252" i="10"/>
  <c r="L251" i="10"/>
  <c r="L250" i="10"/>
  <c r="P249" i="10"/>
  <c r="N249" i="10"/>
  <c r="J248" i="10"/>
  <c r="K247" i="10"/>
  <c r="K246" i="10"/>
  <c r="I244" i="10"/>
  <c r="L242" i="10"/>
  <c r="L241" i="10"/>
  <c r="L240" i="10"/>
  <c r="L239" i="10"/>
  <c r="P238" i="10"/>
  <c r="N238" i="10"/>
  <c r="J237" i="10"/>
  <c r="K236" i="10"/>
  <c r="J236" i="10"/>
  <c r="I236" i="10"/>
  <c r="J235" i="10"/>
  <c r="I235" i="10"/>
  <c r="J233" i="10"/>
  <c r="N231" i="10"/>
  <c r="N230" i="10"/>
  <c r="N229" i="10"/>
  <c r="N228" i="10"/>
  <c r="I225" i="10"/>
  <c r="K225" i="10" s="1"/>
  <c r="I224" i="10"/>
  <c r="I216" i="10" s="1"/>
  <c r="I223" i="10"/>
  <c r="K223" i="10" s="1"/>
  <c r="L220" i="10"/>
  <c r="L219" i="10"/>
  <c r="L218" i="10"/>
  <c r="P217" i="10"/>
  <c r="N217" i="10"/>
  <c r="J216" i="10"/>
  <c r="I215" i="10"/>
  <c r="K215" i="10" s="1"/>
  <c r="I214" i="10"/>
  <c r="K214" i="10" s="1"/>
  <c r="L212" i="10"/>
  <c r="L211" i="10"/>
  <c r="L210" i="10"/>
  <c r="P209" i="10"/>
  <c r="N209" i="10"/>
  <c r="J208" i="10"/>
  <c r="K207" i="10"/>
  <c r="K206" i="10"/>
  <c r="I204" i="10"/>
  <c r="L202" i="10"/>
  <c r="L201" i="10"/>
  <c r="L200" i="10"/>
  <c r="L199" i="10"/>
  <c r="P198" i="10"/>
  <c r="N198" i="10"/>
  <c r="J197" i="10"/>
  <c r="J194" i="10"/>
  <c r="I193" i="10"/>
  <c r="K193" i="10" s="1"/>
  <c r="P191" i="10"/>
  <c r="L191" i="10"/>
  <c r="O191" i="10" s="1"/>
  <c r="J190" i="10"/>
  <c r="N189" i="10"/>
  <c r="N187" i="10" s="1"/>
  <c r="M189" i="10"/>
  <c r="M187" i="10" s="1"/>
  <c r="P187" i="10" s="1"/>
  <c r="L189" i="10"/>
  <c r="P188" i="10"/>
  <c r="O188" i="10"/>
  <c r="N186" i="10"/>
  <c r="M186" i="10"/>
  <c r="M184" i="10" s="1"/>
  <c r="L186" i="10"/>
  <c r="L184" i="10" s="1"/>
  <c r="P185" i="10"/>
  <c r="O185" i="10"/>
  <c r="P182" i="10"/>
  <c r="O182" i="10"/>
  <c r="N182" i="10"/>
  <c r="M182" i="10"/>
  <c r="L182" i="10"/>
  <c r="J177" i="10"/>
  <c r="J164" i="10" s="1"/>
  <c r="I176" i="10"/>
  <c r="K176" i="10" s="1"/>
  <c r="J174" i="10"/>
  <c r="N173" i="10"/>
  <c r="N171" i="10" s="1"/>
  <c r="M173" i="10"/>
  <c r="L173" i="10"/>
  <c r="P172" i="10"/>
  <c r="O172" i="10"/>
  <c r="N170" i="10"/>
  <c r="N168" i="10" s="1"/>
  <c r="M170" i="10"/>
  <c r="M168" i="10" s="1"/>
  <c r="L170" i="10"/>
  <c r="L168" i="10" s="1"/>
  <c r="P169" i="10"/>
  <c r="O169" i="10"/>
  <c r="N166" i="10"/>
  <c r="M166" i="10"/>
  <c r="L166" i="10"/>
  <c r="I159" i="10"/>
  <c r="K159" i="10" s="1"/>
  <c r="N157" i="10"/>
  <c r="N155" i="10" s="1"/>
  <c r="M157" i="10"/>
  <c r="P157" i="10" s="1"/>
  <c r="L157" i="10"/>
  <c r="P156" i="10"/>
  <c r="O156" i="10"/>
  <c r="N154" i="10"/>
  <c r="N152" i="10" s="1"/>
  <c r="M154" i="10"/>
  <c r="M152" i="10" s="1"/>
  <c r="P152" i="10" s="1"/>
  <c r="L154" i="10"/>
  <c r="P153" i="10"/>
  <c r="O153" i="10"/>
  <c r="P150" i="10"/>
  <c r="N150" i="10"/>
  <c r="M150" i="10"/>
  <c r="L150" i="10"/>
  <c r="O150" i="10" s="1"/>
  <c r="J148" i="10"/>
  <c r="I146" i="10"/>
  <c r="I130" i="10" s="1"/>
  <c r="K130" i="10" s="1"/>
  <c r="I145" i="10"/>
  <c r="I144" i="10"/>
  <c r="K144" i="10" s="1"/>
  <c r="N140" i="10"/>
  <c r="N138" i="10" s="1"/>
  <c r="M140" i="10"/>
  <c r="P140" i="10" s="1"/>
  <c r="L140" i="10"/>
  <c r="L138" i="10" s="1"/>
  <c r="O138" i="10" s="1"/>
  <c r="P139" i="10"/>
  <c r="O139" i="10"/>
  <c r="N137" i="10"/>
  <c r="N135" i="10" s="1"/>
  <c r="M137" i="10"/>
  <c r="P137" i="10" s="1"/>
  <c r="L137" i="10"/>
  <c r="L135" i="10" s="1"/>
  <c r="O135" i="10" s="1"/>
  <c r="P136" i="10"/>
  <c r="O136" i="10"/>
  <c r="N133" i="10"/>
  <c r="M133" i="10"/>
  <c r="P133" i="10" s="1"/>
  <c r="L133" i="10"/>
  <c r="O133" i="10" s="1"/>
  <c r="J130" i="10"/>
  <c r="N127" i="10"/>
  <c r="N125" i="10" s="1"/>
  <c r="M127" i="10"/>
  <c r="P127" i="10" s="1"/>
  <c r="L127" i="10"/>
  <c r="L125" i="10" s="1"/>
  <c r="O125" i="10" s="1"/>
  <c r="P126" i="10"/>
  <c r="O126" i="10"/>
  <c r="N124" i="10"/>
  <c r="N122" i="10" s="1"/>
  <c r="M124" i="10"/>
  <c r="L124" i="10"/>
  <c r="L122" i="10" s="1"/>
  <c r="O122" i="10" s="1"/>
  <c r="P123" i="10"/>
  <c r="O123" i="10"/>
  <c r="P120" i="10"/>
  <c r="O120" i="10"/>
  <c r="N120" i="10"/>
  <c r="M120" i="10"/>
  <c r="L120" i="10"/>
  <c r="I116" i="10"/>
  <c r="I115" i="10"/>
  <c r="K115" i="10" s="1"/>
  <c r="I114" i="10"/>
  <c r="K114" i="10" s="1"/>
  <c r="I113" i="10"/>
  <c r="K113" i="10" s="1"/>
  <c r="J112" i="10"/>
  <c r="J111" i="10"/>
  <c r="I111" i="10"/>
  <c r="I110" i="10"/>
  <c r="K110" i="10" s="1"/>
  <c r="I109" i="10"/>
  <c r="K109" i="10" s="1"/>
  <c r="I107" i="10"/>
  <c r="K107" i="10" s="1"/>
  <c r="I106" i="10"/>
  <c r="K106" i="10" s="1"/>
  <c r="I104" i="10"/>
  <c r="K104" i="10" s="1"/>
  <c r="I103" i="10"/>
  <c r="K103" i="10" s="1"/>
  <c r="I102" i="10"/>
  <c r="K102" i="10" s="1"/>
  <c r="J100" i="10"/>
  <c r="I100" i="10"/>
  <c r="K100" i="10" s="1"/>
  <c r="J99" i="10"/>
  <c r="I99" i="10"/>
  <c r="K99" i="10" s="1"/>
  <c r="J98" i="10"/>
  <c r="I98" i="10"/>
  <c r="K98" i="10" s="1"/>
  <c r="N96" i="10"/>
  <c r="N94" i="10" s="1"/>
  <c r="M96" i="10"/>
  <c r="M94" i="10" s="1"/>
  <c r="P94" i="10" s="1"/>
  <c r="L96" i="10"/>
  <c r="O96" i="10" s="1"/>
  <c r="P95" i="10"/>
  <c r="O95" i="10"/>
  <c r="N93" i="10"/>
  <c r="N91" i="10" s="1"/>
  <c r="M93" i="10"/>
  <c r="L93" i="10"/>
  <c r="L91" i="10" s="1"/>
  <c r="P92" i="10"/>
  <c r="O92" i="10"/>
  <c r="P89" i="10"/>
  <c r="O89" i="10"/>
  <c r="N89" i="10"/>
  <c r="M89" i="10"/>
  <c r="L89" i="10"/>
  <c r="J87" i="10"/>
  <c r="J86" i="10"/>
  <c r="I84" i="10"/>
  <c r="K84" i="10" s="1"/>
  <c r="I83" i="10"/>
  <c r="K83" i="10" s="1"/>
  <c r="I82" i="10"/>
  <c r="K82" i="10" s="1"/>
  <c r="I81" i="10"/>
  <c r="K81" i="10" s="1"/>
  <c r="I80" i="10"/>
  <c r="I79" i="10"/>
  <c r="I78" i="10"/>
  <c r="K78" i="10" s="1"/>
  <c r="J77" i="10"/>
  <c r="J76" i="10"/>
  <c r="J64" i="10" s="1"/>
  <c r="N74" i="10"/>
  <c r="N72" i="10" s="1"/>
  <c r="M74" i="10"/>
  <c r="P74" i="10" s="1"/>
  <c r="L74" i="10"/>
  <c r="L72" i="10" s="1"/>
  <c r="O72" i="10" s="1"/>
  <c r="P73" i="10"/>
  <c r="O73" i="10"/>
  <c r="N71" i="10"/>
  <c r="N69" i="10" s="1"/>
  <c r="M71" i="10"/>
  <c r="L71" i="10"/>
  <c r="L69" i="10" s="1"/>
  <c r="O69" i="10" s="1"/>
  <c r="P70" i="10"/>
  <c r="O70" i="10"/>
  <c r="P67" i="10"/>
  <c r="O67" i="10"/>
  <c r="N67" i="10"/>
  <c r="M67" i="10"/>
  <c r="L67" i="10"/>
  <c r="J65" i="10"/>
  <c r="N61" i="10"/>
  <c r="M61" i="10"/>
  <c r="P61" i="10" s="1"/>
  <c r="L61" i="10"/>
  <c r="L59" i="10" s="1"/>
  <c r="O59" i="10" s="1"/>
  <c r="P60" i="10"/>
  <c r="O60" i="10"/>
  <c r="N58" i="10"/>
  <c r="M58" i="10"/>
  <c r="M56" i="10" s="1"/>
  <c r="L58" i="10"/>
  <c r="L56" i="10" s="1"/>
  <c r="P57" i="10"/>
  <c r="O57" i="10"/>
  <c r="O54" i="10"/>
  <c r="N54" i="10"/>
  <c r="M54" i="10"/>
  <c r="P54" i="10" s="1"/>
  <c r="L54" i="10"/>
  <c r="N49" i="10"/>
  <c r="N47" i="10" s="1"/>
  <c r="M49" i="10"/>
  <c r="P49" i="10" s="1"/>
  <c r="L49" i="10"/>
  <c r="P48" i="10"/>
  <c r="O48" i="10"/>
  <c r="N46" i="10"/>
  <c r="M46" i="10"/>
  <c r="L46" i="10"/>
  <c r="L44" i="10" s="1"/>
  <c r="P45" i="10"/>
  <c r="O45" i="10"/>
  <c r="N42" i="10"/>
  <c r="M42" i="10"/>
  <c r="P42" i="10" s="1"/>
  <c r="L42" i="10"/>
  <c r="P36" i="10"/>
  <c r="N36" i="10"/>
  <c r="M36" i="10"/>
  <c r="O35" i="10"/>
  <c r="N35" i="10"/>
  <c r="N34" i="10" s="1"/>
  <c r="M35" i="10"/>
  <c r="P35" i="10" s="1"/>
  <c r="L35" i="10"/>
  <c r="M34" i="10"/>
  <c r="P34" i="10" s="1"/>
  <c r="N33" i="10"/>
  <c r="M33" i="10"/>
  <c r="P33" i="10" s="1"/>
  <c r="P32" i="10"/>
  <c r="N32" i="10"/>
  <c r="N31" i="10" s="1"/>
  <c r="M32" i="10"/>
  <c r="L32" i="10"/>
  <c r="O32" i="10" s="1"/>
  <c r="P31" i="10"/>
  <c r="M31" i="10"/>
  <c r="N30" i="10"/>
  <c r="M29" i="10"/>
  <c r="P29" i="10" s="1"/>
  <c r="P25" i="10"/>
  <c r="N25" i="10"/>
  <c r="M25" i="10"/>
  <c r="L25" i="10"/>
  <c r="O25" i="10" s="1"/>
  <c r="O22" i="10"/>
  <c r="N22" i="10"/>
  <c r="M22" i="10"/>
  <c r="P22" i="10" s="1"/>
  <c r="L22" i="10"/>
  <c r="L19" i="10"/>
  <c r="O19" i="10" s="1"/>
  <c r="N15" i="10"/>
  <c r="M15" i="10"/>
  <c r="P15" i="10" s="1"/>
  <c r="L12" i="10"/>
  <c r="O12" i="10" s="1"/>
  <c r="J828" i="9"/>
  <c r="I828" i="9"/>
  <c r="J827" i="9"/>
  <c r="I827" i="9"/>
  <c r="J826" i="9"/>
  <c r="I826" i="9"/>
  <c r="J825" i="9"/>
  <c r="I825" i="9"/>
  <c r="J824" i="9"/>
  <c r="I824" i="9"/>
  <c r="J823" i="9"/>
  <c r="I823" i="9"/>
  <c r="J822" i="9"/>
  <c r="I822" i="9"/>
  <c r="J821" i="9"/>
  <c r="I821" i="9"/>
  <c r="P817" i="9"/>
  <c r="O817" i="9"/>
  <c r="P816" i="9"/>
  <c r="O816" i="9"/>
  <c r="O815" i="9"/>
  <c r="N815" i="9"/>
  <c r="M815" i="9"/>
  <c r="P815" i="9" s="1"/>
  <c r="L815" i="9"/>
  <c r="P810" i="9"/>
  <c r="O810" i="9"/>
  <c r="N810" i="9"/>
  <c r="P809" i="9"/>
  <c r="O809" i="9"/>
  <c r="O808" i="9"/>
  <c r="M808" i="9"/>
  <c r="P808" i="9" s="1"/>
  <c r="L808" i="9"/>
  <c r="P807" i="9"/>
  <c r="M807" i="9"/>
  <c r="L807" i="9"/>
  <c r="O806" i="9"/>
  <c r="N806" i="9"/>
  <c r="M806" i="9"/>
  <c r="P806" i="9" s="1"/>
  <c r="L806" i="9"/>
  <c r="P805" i="9"/>
  <c r="M805" i="9"/>
  <c r="K804" i="9"/>
  <c r="J804" i="9"/>
  <c r="K802" i="9"/>
  <c r="J801" i="9"/>
  <c r="J800" i="9"/>
  <c r="J785" i="9" s="1"/>
  <c r="I800" i="9"/>
  <c r="P798" i="9"/>
  <c r="O798" i="9"/>
  <c r="P797" i="9"/>
  <c r="O797" i="9"/>
  <c r="P796" i="9"/>
  <c r="N796" i="9"/>
  <c r="M796" i="9"/>
  <c r="L796" i="9"/>
  <c r="O796" i="9" s="1"/>
  <c r="P791" i="9"/>
  <c r="N791" i="9"/>
  <c r="L791" i="9"/>
  <c r="L788" i="9" s="1"/>
  <c r="P790" i="9"/>
  <c r="O790" i="9"/>
  <c r="N789" i="9"/>
  <c r="M789" i="9"/>
  <c r="P789" i="9" s="1"/>
  <c r="P788" i="9"/>
  <c r="N788" i="9"/>
  <c r="M788" i="9"/>
  <c r="O787" i="9"/>
  <c r="N787" i="9"/>
  <c r="M787" i="9"/>
  <c r="P787" i="9" s="1"/>
  <c r="L787" i="9"/>
  <c r="P786" i="9"/>
  <c r="N786" i="9"/>
  <c r="M786" i="9"/>
  <c r="P782" i="9"/>
  <c r="O782" i="9"/>
  <c r="P781" i="9"/>
  <c r="O781" i="9"/>
  <c r="P780" i="9"/>
  <c r="N780" i="9"/>
  <c r="M780" i="9"/>
  <c r="L780" i="9"/>
  <c r="O780" i="9" s="1"/>
  <c r="P775" i="9"/>
  <c r="O775" i="9"/>
  <c r="N775" i="9"/>
  <c r="N772" i="9" s="1"/>
  <c r="N770" i="9" s="1"/>
  <c r="P774" i="9"/>
  <c r="O774" i="9"/>
  <c r="P773" i="9"/>
  <c r="N773" i="9"/>
  <c r="M773" i="9"/>
  <c r="L773" i="9"/>
  <c r="O773" i="9" s="1"/>
  <c r="O772" i="9"/>
  <c r="M772" i="9"/>
  <c r="L772" i="9"/>
  <c r="P771" i="9"/>
  <c r="N771" i="9"/>
  <c r="M771" i="9"/>
  <c r="L771" i="9"/>
  <c r="K769" i="9"/>
  <c r="J769" i="9"/>
  <c r="P766" i="9"/>
  <c r="O766" i="9"/>
  <c r="P765" i="9"/>
  <c r="O765" i="9"/>
  <c r="P764" i="9"/>
  <c r="N764" i="9"/>
  <c r="M764" i="9"/>
  <c r="L764" i="9"/>
  <c r="O764" i="9" s="1"/>
  <c r="P759" i="9"/>
  <c r="O759" i="9"/>
  <c r="N759" i="9"/>
  <c r="N756" i="9" s="1"/>
  <c r="N754" i="9" s="1"/>
  <c r="P758" i="9"/>
  <c r="O758" i="9"/>
  <c r="P757" i="9"/>
  <c r="N757" i="9"/>
  <c r="M757" i="9"/>
  <c r="L757" i="9"/>
  <c r="O757" i="9" s="1"/>
  <c r="O756" i="9"/>
  <c r="M756" i="9"/>
  <c r="L756" i="9"/>
  <c r="P755" i="9"/>
  <c r="N755" i="9"/>
  <c r="M755" i="9"/>
  <c r="L755" i="9"/>
  <c r="K753" i="9"/>
  <c r="J753" i="9"/>
  <c r="P749" i="9"/>
  <c r="O749" i="9"/>
  <c r="P748" i="9"/>
  <c r="O748" i="9"/>
  <c r="P747" i="9"/>
  <c r="N747" i="9"/>
  <c r="M747" i="9"/>
  <c r="L747" i="9"/>
  <c r="O747" i="9" s="1"/>
  <c r="P742" i="9"/>
  <c r="O742" i="9"/>
  <c r="N742" i="9"/>
  <c r="N739" i="9" s="1"/>
  <c r="P741" i="9"/>
  <c r="O741" i="9"/>
  <c r="P740" i="9"/>
  <c r="N740" i="9"/>
  <c r="M740" i="9"/>
  <c r="L740" i="9"/>
  <c r="O740" i="9" s="1"/>
  <c r="O739" i="9"/>
  <c r="M739" i="9"/>
  <c r="L739" i="9"/>
  <c r="P738" i="9"/>
  <c r="N738" i="9"/>
  <c r="N737" i="9" s="1"/>
  <c r="M738" i="9"/>
  <c r="L738" i="9"/>
  <c r="K736" i="9"/>
  <c r="J736" i="9"/>
  <c r="J729" i="9"/>
  <c r="I729" i="9"/>
  <c r="K729" i="9" s="1"/>
  <c r="J728" i="9"/>
  <c r="I728" i="9"/>
  <c r="J727" i="9"/>
  <c r="J726" i="9"/>
  <c r="I726" i="9"/>
  <c r="J725" i="9"/>
  <c r="I725" i="9"/>
  <c r="J724" i="9"/>
  <c r="J723" i="9"/>
  <c r="I723" i="9"/>
  <c r="I722" i="9"/>
  <c r="I721" i="9"/>
  <c r="J720" i="9"/>
  <c r="I720" i="9"/>
  <c r="J719" i="9"/>
  <c r="J718" i="9"/>
  <c r="J708" i="9"/>
  <c r="I708" i="9"/>
  <c r="K708" i="9" s="1"/>
  <c r="I707" i="9"/>
  <c r="I704" i="9"/>
  <c r="J701" i="9"/>
  <c r="I701" i="9"/>
  <c r="K701" i="9" s="1"/>
  <c r="J700" i="9"/>
  <c r="I700" i="9"/>
  <c r="K700" i="9" s="1"/>
  <c r="J699" i="9"/>
  <c r="I699" i="9"/>
  <c r="K699" i="9" s="1"/>
  <c r="P697" i="9"/>
  <c r="O697" i="9"/>
  <c r="P696" i="9"/>
  <c r="O696" i="9"/>
  <c r="P695" i="9"/>
  <c r="N695" i="9"/>
  <c r="M695" i="9"/>
  <c r="L695" i="9"/>
  <c r="O695" i="9" s="1"/>
  <c r="P690" i="9"/>
  <c r="N690" i="9"/>
  <c r="N688" i="9" s="1"/>
  <c r="L690" i="9"/>
  <c r="M688" i="9"/>
  <c r="P688" i="9" s="1"/>
  <c r="P687" i="9"/>
  <c r="N687" i="9"/>
  <c r="M687" i="9"/>
  <c r="O686" i="9"/>
  <c r="N686" i="9"/>
  <c r="N685" i="9" s="1"/>
  <c r="M686" i="9"/>
  <c r="P686" i="9" s="1"/>
  <c r="L686" i="9"/>
  <c r="P685" i="9"/>
  <c r="M685" i="9"/>
  <c r="J679" i="9"/>
  <c r="J678" i="9"/>
  <c r="I678" i="9"/>
  <c r="K678" i="9" s="1"/>
  <c r="J675" i="9"/>
  <c r="J669" i="9" s="1"/>
  <c r="J654" i="9" s="1"/>
  <c r="I671" i="9"/>
  <c r="K671" i="9" s="1"/>
  <c r="I670" i="9"/>
  <c r="K670" i="9" s="1"/>
  <c r="I669" i="9"/>
  <c r="K672" i="9" s="1"/>
  <c r="P667" i="9"/>
  <c r="O667" i="9"/>
  <c r="P666" i="9"/>
  <c r="O666" i="9"/>
  <c r="O665" i="9"/>
  <c r="N665" i="9"/>
  <c r="M665" i="9"/>
  <c r="P665" i="9" s="1"/>
  <c r="L665" i="9"/>
  <c r="P660" i="9"/>
  <c r="N660" i="9"/>
  <c r="N657" i="9" s="1"/>
  <c r="L660" i="9"/>
  <c r="O660" i="9" s="1"/>
  <c r="P659" i="9"/>
  <c r="O659" i="9"/>
  <c r="P658" i="9"/>
  <c r="N658" i="9"/>
  <c r="M658" i="9"/>
  <c r="M657" i="9"/>
  <c r="P657" i="9" s="1"/>
  <c r="P656" i="9"/>
  <c r="N656" i="9"/>
  <c r="N655" i="9" s="1"/>
  <c r="M656" i="9"/>
  <c r="L656" i="9"/>
  <c r="M655" i="9"/>
  <c r="P655" i="9" s="1"/>
  <c r="K652" i="9"/>
  <c r="J652" i="9"/>
  <c r="J651" i="9"/>
  <c r="J628" i="9" s="1"/>
  <c r="I651" i="9"/>
  <c r="K651" i="9" s="1"/>
  <c r="K650" i="9"/>
  <c r="J650" i="9"/>
  <c r="J649" i="9"/>
  <c r="I649" i="9"/>
  <c r="K649" i="9" s="1"/>
  <c r="K648" i="9"/>
  <c r="J648" i="9"/>
  <c r="J647" i="9"/>
  <c r="I647" i="9"/>
  <c r="K647" i="9" s="1"/>
  <c r="K646" i="9"/>
  <c r="J646" i="9"/>
  <c r="K645" i="9"/>
  <c r="J645" i="9"/>
  <c r="I644" i="9"/>
  <c r="K644" i="9" s="1"/>
  <c r="I643" i="9"/>
  <c r="K643" i="9" s="1"/>
  <c r="P641" i="9"/>
  <c r="L641" i="9"/>
  <c r="P640" i="9"/>
  <c r="O640" i="9"/>
  <c r="N639" i="9"/>
  <c r="M639" i="9"/>
  <c r="P639" i="9" s="1"/>
  <c r="P634" i="9"/>
  <c r="N634" i="9"/>
  <c r="N631" i="9" s="1"/>
  <c r="L634" i="9"/>
  <c r="O634" i="9" s="1"/>
  <c r="P633" i="9"/>
  <c r="O633" i="9"/>
  <c r="P632" i="9"/>
  <c r="N632" i="9"/>
  <c r="M632" i="9"/>
  <c r="L632" i="9"/>
  <c r="O632" i="9" s="1"/>
  <c r="M631" i="9"/>
  <c r="P631" i="9" s="1"/>
  <c r="P630" i="9"/>
  <c r="N630" i="9"/>
  <c r="M630" i="9"/>
  <c r="M629" i="9" s="1"/>
  <c r="P629" i="9" s="1"/>
  <c r="L630" i="9"/>
  <c r="O630" i="9" s="1"/>
  <c r="J621" i="9"/>
  <c r="I621" i="9"/>
  <c r="K621" i="9" s="1"/>
  <c r="J620" i="9"/>
  <c r="I620" i="9"/>
  <c r="K620" i="9" s="1"/>
  <c r="K613" i="9"/>
  <c r="J613" i="9"/>
  <c r="K612" i="9"/>
  <c r="J612" i="9"/>
  <c r="K611" i="9"/>
  <c r="J611" i="9"/>
  <c r="J604" i="9"/>
  <c r="J603" i="9"/>
  <c r="J596" i="9"/>
  <c r="J595" i="9"/>
  <c r="J594" i="9"/>
  <c r="I594" i="9"/>
  <c r="K594" i="9" s="1"/>
  <c r="J593" i="9"/>
  <c r="I593" i="9"/>
  <c r="I592" i="9" s="1"/>
  <c r="K592" i="9" s="1"/>
  <c r="J592" i="9"/>
  <c r="J583" i="9"/>
  <c r="J577" i="9" s="1"/>
  <c r="J582" i="9"/>
  <c r="J576" i="9" s="1"/>
  <c r="J559" i="9" s="1"/>
  <c r="J543" i="9" s="1"/>
  <c r="I577" i="9"/>
  <c r="K577" i="9" s="1"/>
  <c r="I576" i="9"/>
  <c r="K576" i="9" s="1"/>
  <c r="J569" i="9"/>
  <c r="I569" i="9"/>
  <c r="K569" i="9" s="1"/>
  <c r="J568" i="9"/>
  <c r="I568" i="9"/>
  <c r="K568" i="9" s="1"/>
  <c r="J561" i="9"/>
  <c r="I561" i="9"/>
  <c r="K561" i="9" s="1"/>
  <c r="J560" i="9"/>
  <c r="I560" i="9"/>
  <c r="K560" i="9" s="1"/>
  <c r="P557" i="9"/>
  <c r="L557" i="9"/>
  <c r="O557" i="9" s="1"/>
  <c r="P556" i="9"/>
  <c r="O556" i="9"/>
  <c r="P555" i="9"/>
  <c r="N555" i="9"/>
  <c r="N545" i="9" s="1"/>
  <c r="M555" i="9"/>
  <c r="P549" i="9"/>
  <c r="N549" i="9"/>
  <c r="L549" i="9"/>
  <c r="O549" i="9" s="1"/>
  <c r="P548" i="9"/>
  <c r="O548" i="9"/>
  <c r="N547" i="9"/>
  <c r="M547" i="9"/>
  <c r="P547" i="9" s="1"/>
  <c r="P546" i="9"/>
  <c r="N546" i="9"/>
  <c r="M546" i="9"/>
  <c r="O545" i="9"/>
  <c r="M545" i="9"/>
  <c r="L545" i="9"/>
  <c r="I542" i="9"/>
  <c r="K542" i="9" s="1"/>
  <c r="I541" i="9"/>
  <c r="K541" i="9" s="1"/>
  <c r="I540" i="9"/>
  <c r="K540" i="9" s="1"/>
  <c r="I539" i="9"/>
  <c r="K539" i="9" s="1"/>
  <c r="I538" i="9"/>
  <c r="K538" i="9" s="1"/>
  <c r="I537" i="9"/>
  <c r="I522" i="9" s="1"/>
  <c r="K522" i="9" s="1"/>
  <c r="P535" i="9"/>
  <c r="L535" i="9"/>
  <c r="O535" i="9" s="1"/>
  <c r="P534" i="9"/>
  <c r="O534" i="9"/>
  <c r="P533" i="9"/>
  <c r="N533" i="9"/>
  <c r="M533" i="9"/>
  <c r="P528" i="9"/>
  <c r="N528" i="9"/>
  <c r="L528" i="9"/>
  <c r="P527" i="9"/>
  <c r="O527" i="9"/>
  <c r="N526" i="9"/>
  <c r="M526" i="9"/>
  <c r="P526" i="9" s="1"/>
  <c r="P525" i="9"/>
  <c r="N525" i="9"/>
  <c r="M525" i="9"/>
  <c r="O524" i="9"/>
  <c r="N524" i="9"/>
  <c r="N523" i="9" s="1"/>
  <c r="M524" i="9"/>
  <c r="P524" i="9" s="1"/>
  <c r="L524" i="9"/>
  <c r="P523" i="9"/>
  <c r="M523" i="9"/>
  <c r="K517" i="9"/>
  <c r="J517" i="9"/>
  <c r="J501" i="9" s="1"/>
  <c r="K516" i="9"/>
  <c r="P514" i="9"/>
  <c r="O514" i="9"/>
  <c r="P513" i="9"/>
  <c r="O513" i="9"/>
  <c r="O512" i="9"/>
  <c r="N512" i="9"/>
  <c r="M512" i="9"/>
  <c r="P512" i="9" s="1"/>
  <c r="L512" i="9"/>
  <c r="P507" i="9"/>
  <c r="O507" i="9"/>
  <c r="N507" i="9"/>
  <c r="N504" i="9" s="1"/>
  <c r="P506" i="9"/>
  <c r="O506" i="9"/>
  <c r="O505" i="9"/>
  <c r="N505" i="9"/>
  <c r="M505" i="9"/>
  <c r="P505" i="9" s="1"/>
  <c r="L505" i="9"/>
  <c r="P504" i="9"/>
  <c r="M504" i="9"/>
  <c r="L504" i="9"/>
  <c r="O504" i="9" s="1"/>
  <c r="O503" i="9"/>
  <c r="N503" i="9"/>
  <c r="M503" i="9"/>
  <c r="M502" i="9" s="1"/>
  <c r="P502" i="9" s="1"/>
  <c r="L503" i="9"/>
  <c r="L502" i="9" s="1"/>
  <c r="O502" i="9" s="1"/>
  <c r="N502" i="9"/>
  <c r="K501" i="9"/>
  <c r="K500" i="9"/>
  <c r="J500" i="9"/>
  <c r="I498" i="9"/>
  <c r="K498" i="9" s="1"/>
  <c r="I495" i="9"/>
  <c r="K495" i="9" s="1"/>
  <c r="I492" i="9"/>
  <c r="K492" i="9" s="1"/>
  <c r="I489" i="9"/>
  <c r="K489" i="9" s="1"/>
  <c r="I487" i="9"/>
  <c r="K487" i="9" s="1"/>
  <c r="I485" i="9"/>
  <c r="K485" i="9" s="1"/>
  <c r="I483" i="9"/>
  <c r="K483" i="9" s="1"/>
  <c r="P479" i="9"/>
  <c r="L479" i="9"/>
  <c r="O479" i="9" s="1"/>
  <c r="P478" i="9"/>
  <c r="O478" i="9"/>
  <c r="P477" i="9"/>
  <c r="N477" i="9"/>
  <c r="M477" i="9"/>
  <c r="P472" i="9"/>
  <c r="N472" i="9"/>
  <c r="N469" i="9" s="1"/>
  <c r="N467" i="9" s="1"/>
  <c r="L472" i="9"/>
  <c r="P471" i="9"/>
  <c r="O471" i="9"/>
  <c r="N470" i="9"/>
  <c r="M470" i="9"/>
  <c r="P470" i="9" s="1"/>
  <c r="P469" i="9"/>
  <c r="M469" i="9"/>
  <c r="O468" i="9"/>
  <c r="N468" i="9"/>
  <c r="M468" i="9"/>
  <c r="L468" i="9"/>
  <c r="J466" i="9"/>
  <c r="I466" i="9"/>
  <c r="K466" i="9" s="1"/>
  <c r="J465" i="9"/>
  <c r="I465" i="9"/>
  <c r="K465" i="9" s="1"/>
  <c r="I464" i="9"/>
  <c r="I463" i="9"/>
  <c r="I462" i="9"/>
  <c r="I460" i="9"/>
  <c r="K458" i="9"/>
  <c r="P456" i="9"/>
  <c r="L456" i="9"/>
  <c r="P455" i="9"/>
  <c r="O455" i="9"/>
  <c r="N454" i="9"/>
  <c r="M454" i="9"/>
  <c r="P454" i="9" s="1"/>
  <c r="P449" i="9"/>
  <c r="N449" i="9"/>
  <c r="L449" i="9"/>
  <c r="L447" i="9" s="1"/>
  <c r="O447" i="9" s="1"/>
  <c r="P448" i="9"/>
  <c r="O448" i="9"/>
  <c r="P447" i="9"/>
  <c r="N447" i="9"/>
  <c r="M447" i="9"/>
  <c r="N446" i="9"/>
  <c r="M446" i="9"/>
  <c r="P446" i="9" s="1"/>
  <c r="P445" i="9"/>
  <c r="N445" i="9"/>
  <c r="N444" i="9" s="1"/>
  <c r="M445" i="9"/>
  <c r="M444" i="9" s="1"/>
  <c r="P444" i="9" s="1"/>
  <c r="L445" i="9"/>
  <c r="O445" i="9" s="1"/>
  <c r="J443" i="9"/>
  <c r="J442" i="9"/>
  <c r="I441" i="9"/>
  <c r="K441" i="9" s="1"/>
  <c r="I440" i="9"/>
  <c r="K440" i="9" s="1"/>
  <c r="I439" i="9"/>
  <c r="K439" i="9" s="1"/>
  <c r="I438" i="9"/>
  <c r="K438" i="9" s="1"/>
  <c r="I437" i="9"/>
  <c r="K437" i="9" s="1"/>
  <c r="I435" i="9"/>
  <c r="I433" i="9" s="1"/>
  <c r="I417" i="9" s="1"/>
  <c r="J434" i="9"/>
  <c r="P431" i="9"/>
  <c r="L431" i="9"/>
  <c r="P430" i="9"/>
  <c r="O430" i="9"/>
  <c r="P429" i="9"/>
  <c r="N429" i="9"/>
  <c r="M429" i="9"/>
  <c r="P424" i="9"/>
  <c r="N424" i="9"/>
  <c r="L424" i="9"/>
  <c r="L422" i="9" s="1"/>
  <c r="P423" i="9"/>
  <c r="O423" i="9"/>
  <c r="P422" i="9"/>
  <c r="M422" i="9"/>
  <c r="M421" i="9"/>
  <c r="P421" i="9" s="1"/>
  <c r="N420" i="9"/>
  <c r="M420" i="9"/>
  <c r="L420" i="9"/>
  <c r="O420" i="9" s="1"/>
  <c r="J418" i="9"/>
  <c r="K413" i="9"/>
  <c r="K412" i="9"/>
  <c r="N410" i="9"/>
  <c r="N408" i="9" s="1"/>
  <c r="M410" i="9"/>
  <c r="P410" i="9" s="1"/>
  <c r="L410" i="9"/>
  <c r="O410" i="9" s="1"/>
  <c r="P409" i="9"/>
  <c r="O409" i="9"/>
  <c r="N407" i="9"/>
  <c r="N405" i="9" s="1"/>
  <c r="M407" i="9"/>
  <c r="L407" i="9"/>
  <c r="P406" i="9"/>
  <c r="O406" i="9"/>
  <c r="P403" i="9"/>
  <c r="N403" i="9"/>
  <c r="M403" i="9"/>
  <c r="L403" i="9"/>
  <c r="K401" i="9"/>
  <c r="J401" i="9"/>
  <c r="I401" i="9"/>
  <c r="K400" i="9"/>
  <c r="K399" i="9"/>
  <c r="N397" i="9"/>
  <c r="N395" i="9" s="1"/>
  <c r="M397" i="9"/>
  <c r="L397" i="9"/>
  <c r="P396" i="9"/>
  <c r="O396" i="9"/>
  <c r="N394" i="9"/>
  <c r="M394" i="9"/>
  <c r="L394" i="9"/>
  <c r="O394" i="9" s="1"/>
  <c r="P393" i="9"/>
  <c r="O393" i="9"/>
  <c r="P390" i="9"/>
  <c r="N390" i="9"/>
  <c r="M390" i="9"/>
  <c r="L390" i="9"/>
  <c r="O390" i="9" s="1"/>
  <c r="J388" i="9"/>
  <c r="I388" i="9"/>
  <c r="K388" i="9" s="1"/>
  <c r="J385" i="9"/>
  <c r="I385" i="9"/>
  <c r="K385" i="9" s="1"/>
  <c r="K382" i="9"/>
  <c r="J382" i="9"/>
  <c r="J381" i="9"/>
  <c r="J374" i="9" s="1"/>
  <c r="I381" i="9"/>
  <c r="K381" i="9" s="1"/>
  <c r="K380" i="9"/>
  <c r="J380" i="9"/>
  <c r="J379" i="9"/>
  <c r="I379" i="9"/>
  <c r="K379" i="9" s="1"/>
  <c r="J378" i="9"/>
  <c r="I378" i="9"/>
  <c r="K378" i="9" s="1"/>
  <c r="K377" i="9"/>
  <c r="J377" i="9"/>
  <c r="I374" i="9"/>
  <c r="K374" i="9" s="1"/>
  <c r="K373" i="9"/>
  <c r="J373" i="9"/>
  <c r="J372" i="9"/>
  <c r="J365" i="9" s="1"/>
  <c r="I372" i="9"/>
  <c r="K372" i="9" s="1"/>
  <c r="K371" i="9"/>
  <c r="J371" i="9"/>
  <c r="J370" i="9"/>
  <c r="I370" i="9"/>
  <c r="K370" i="9" s="1"/>
  <c r="J369" i="9"/>
  <c r="I369" i="9"/>
  <c r="K369" i="9" s="1"/>
  <c r="K368" i="9"/>
  <c r="J368" i="9"/>
  <c r="I365" i="9"/>
  <c r="K365" i="9" s="1"/>
  <c r="K363" i="9"/>
  <c r="J363" i="9"/>
  <c r="J362" i="9"/>
  <c r="J355" i="9" s="1"/>
  <c r="I362" i="9"/>
  <c r="K362" i="9" s="1"/>
  <c r="K361" i="9"/>
  <c r="J361" i="9"/>
  <c r="J360" i="9"/>
  <c r="I360" i="9"/>
  <c r="K360" i="9" s="1"/>
  <c r="J359" i="9"/>
  <c r="I359" i="9"/>
  <c r="K359" i="9" s="1"/>
  <c r="K358" i="9"/>
  <c r="J358" i="9"/>
  <c r="I355" i="9"/>
  <c r="K355" i="9" s="1"/>
  <c r="N353" i="9"/>
  <c r="M353" i="9"/>
  <c r="L353" i="9"/>
  <c r="L351" i="9" s="1"/>
  <c r="P352" i="9"/>
  <c r="O352" i="9"/>
  <c r="N350" i="9"/>
  <c r="M350" i="9"/>
  <c r="L350" i="9"/>
  <c r="L348" i="9" s="1"/>
  <c r="P349" i="9"/>
  <c r="O349" i="9"/>
  <c r="N346" i="9"/>
  <c r="M346" i="9"/>
  <c r="P346" i="9" s="1"/>
  <c r="L346" i="9"/>
  <c r="J343" i="9"/>
  <c r="J342" i="9"/>
  <c r="J341" i="9"/>
  <c r="J340" i="9"/>
  <c r="I340" i="9"/>
  <c r="J338" i="9"/>
  <c r="I338" i="9"/>
  <c r="N336" i="9"/>
  <c r="M336" i="9"/>
  <c r="L336" i="9"/>
  <c r="P335" i="9"/>
  <c r="O335" i="9"/>
  <c r="N333" i="9"/>
  <c r="N331" i="9" s="1"/>
  <c r="M333" i="9"/>
  <c r="L333" i="9"/>
  <c r="P332" i="9"/>
  <c r="O332" i="9"/>
  <c r="P329" i="9"/>
  <c r="O329" i="9"/>
  <c r="N329" i="9"/>
  <c r="M329" i="9"/>
  <c r="L329" i="9"/>
  <c r="I327" i="9"/>
  <c r="I325" i="9"/>
  <c r="I314" i="9" s="1"/>
  <c r="K314" i="9" s="1"/>
  <c r="N323" i="9"/>
  <c r="N321" i="9" s="1"/>
  <c r="M323" i="9"/>
  <c r="P323" i="9" s="1"/>
  <c r="L323" i="9"/>
  <c r="P322" i="9"/>
  <c r="O322" i="9"/>
  <c r="N320" i="9"/>
  <c r="M320" i="9"/>
  <c r="M318" i="9" s="1"/>
  <c r="P318" i="9" s="1"/>
  <c r="L320" i="9"/>
  <c r="L318" i="9" s="1"/>
  <c r="O318" i="9" s="1"/>
  <c r="P319" i="9"/>
  <c r="O319" i="9"/>
  <c r="P316" i="9"/>
  <c r="O316" i="9"/>
  <c r="N316" i="9"/>
  <c r="M316" i="9"/>
  <c r="L316" i="9"/>
  <c r="J314" i="9"/>
  <c r="I312" i="9"/>
  <c r="K312" i="9" s="1"/>
  <c r="I311" i="9"/>
  <c r="K311" i="9" s="1"/>
  <c r="I310" i="9"/>
  <c r="K310" i="9" s="1"/>
  <c r="I309" i="9"/>
  <c r="K309" i="9" s="1"/>
  <c r="N306" i="9"/>
  <c r="N304" i="9" s="1"/>
  <c r="M306" i="9"/>
  <c r="L306" i="9"/>
  <c r="L304" i="9" s="1"/>
  <c r="O304" i="9" s="1"/>
  <c r="P305" i="9"/>
  <c r="O305" i="9"/>
  <c r="N303" i="9"/>
  <c r="N301" i="9" s="1"/>
  <c r="M303" i="9"/>
  <c r="L303" i="9"/>
  <c r="L301" i="9" s="1"/>
  <c r="O301" i="9" s="1"/>
  <c r="P302" i="9"/>
  <c r="O302" i="9"/>
  <c r="P299" i="9"/>
  <c r="N299" i="9"/>
  <c r="M299" i="9"/>
  <c r="L299" i="9"/>
  <c r="J297" i="9"/>
  <c r="I294" i="9"/>
  <c r="K294" i="9" s="1"/>
  <c r="I293" i="9"/>
  <c r="K293" i="9" s="1"/>
  <c r="I291" i="9"/>
  <c r="K291" i="9" s="1"/>
  <c r="I290" i="9"/>
  <c r="K290" i="9" s="1"/>
  <c r="I288" i="9"/>
  <c r="I287" i="9"/>
  <c r="I276" i="9" s="1"/>
  <c r="K276" i="9" s="1"/>
  <c r="N285" i="9"/>
  <c r="N283" i="9" s="1"/>
  <c r="M285" i="9"/>
  <c r="P285" i="9" s="1"/>
  <c r="L285" i="9"/>
  <c r="O285" i="9" s="1"/>
  <c r="P284" i="9"/>
  <c r="O284" i="9"/>
  <c r="N282" i="9"/>
  <c r="M282" i="9"/>
  <c r="P282" i="9" s="1"/>
  <c r="L282" i="9"/>
  <c r="L280" i="9" s="1"/>
  <c r="O280" i="9" s="1"/>
  <c r="P281" i="9"/>
  <c r="O281" i="9"/>
  <c r="P278" i="9"/>
  <c r="O278" i="9"/>
  <c r="N278" i="9"/>
  <c r="M278" i="9"/>
  <c r="L278" i="9"/>
  <c r="J276" i="9"/>
  <c r="I271" i="9"/>
  <c r="K271" i="9" s="1"/>
  <c r="N269" i="9"/>
  <c r="M269" i="9"/>
  <c r="M267" i="9" s="1"/>
  <c r="P267" i="9" s="1"/>
  <c r="L269" i="9"/>
  <c r="L267" i="9" s="1"/>
  <c r="O267" i="9" s="1"/>
  <c r="P268" i="9"/>
  <c r="O268" i="9"/>
  <c r="N266" i="9"/>
  <c r="N264" i="9" s="1"/>
  <c r="M266" i="9"/>
  <c r="L266" i="9"/>
  <c r="P265" i="9"/>
  <c r="O265" i="9"/>
  <c r="P262" i="9"/>
  <c r="N262" i="9"/>
  <c r="M262" i="9"/>
  <c r="L262" i="9"/>
  <c r="O262" i="9" s="1"/>
  <c r="J260" i="9"/>
  <c r="K258" i="9"/>
  <c r="K257" i="9"/>
  <c r="L253" i="9"/>
  <c r="L252" i="9"/>
  <c r="L251" i="9"/>
  <c r="L250" i="9"/>
  <c r="P249" i="9"/>
  <c r="N249" i="9"/>
  <c r="N227" i="9" s="1"/>
  <c r="J248" i="9"/>
  <c r="J226" i="9" s="1"/>
  <c r="J180" i="9" s="1"/>
  <c r="K247" i="9"/>
  <c r="K246" i="9"/>
  <c r="I244" i="9"/>
  <c r="I237" i="9" s="1"/>
  <c r="L242" i="9"/>
  <c r="L241" i="9"/>
  <c r="L240" i="9"/>
  <c r="L239" i="9"/>
  <c r="P238" i="9"/>
  <c r="N238" i="9"/>
  <c r="J237" i="9"/>
  <c r="J236" i="9"/>
  <c r="I236" i="9"/>
  <c r="J235" i="9"/>
  <c r="I235" i="9"/>
  <c r="K235" i="9" s="1"/>
  <c r="J233" i="9"/>
  <c r="N231" i="9"/>
  <c r="N230" i="9"/>
  <c r="N229" i="9"/>
  <c r="N228" i="9"/>
  <c r="I225" i="9"/>
  <c r="K225" i="9" s="1"/>
  <c r="I224" i="9"/>
  <c r="I216" i="9" s="1"/>
  <c r="K216" i="9" s="1"/>
  <c r="I223" i="9"/>
  <c r="K223" i="9" s="1"/>
  <c r="L220" i="9"/>
  <c r="L219" i="9"/>
  <c r="L218" i="9"/>
  <c r="P217" i="9"/>
  <c r="N217" i="9"/>
  <c r="J216" i="9"/>
  <c r="I215" i="9"/>
  <c r="I214" i="9"/>
  <c r="K214" i="9" s="1"/>
  <c r="L212" i="9"/>
  <c r="L211" i="9"/>
  <c r="L210" i="9"/>
  <c r="P209" i="9"/>
  <c r="N209" i="9"/>
  <c r="J208" i="9"/>
  <c r="I204" i="9"/>
  <c r="L202" i="9"/>
  <c r="L201" i="9"/>
  <c r="L200" i="9"/>
  <c r="L199" i="9"/>
  <c r="P198" i="9"/>
  <c r="N198" i="9"/>
  <c r="J197" i="9"/>
  <c r="J194" i="9"/>
  <c r="I193" i="9"/>
  <c r="K193" i="9" s="1"/>
  <c r="P191" i="9"/>
  <c r="L191" i="9"/>
  <c r="O191" i="9" s="1"/>
  <c r="J190" i="9"/>
  <c r="N189" i="9"/>
  <c r="N187" i="9" s="1"/>
  <c r="M189" i="9"/>
  <c r="M187" i="9" s="1"/>
  <c r="P187" i="9" s="1"/>
  <c r="L189" i="9"/>
  <c r="O189" i="9" s="1"/>
  <c r="P188" i="9"/>
  <c r="O188" i="9"/>
  <c r="N186" i="9"/>
  <c r="N184" i="9" s="1"/>
  <c r="M186" i="9"/>
  <c r="L186" i="9"/>
  <c r="P185" i="9"/>
  <c r="O185" i="9"/>
  <c r="P182" i="9"/>
  <c r="O182" i="9"/>
  <c r="N182" i="9"/>
  <c r="M182" i="9"/>
  <c r="L182" i="9"/>
  <c r="J177" i="9"/>
  <c r="J164" i="9" s="1"/>
  <c r="I176" i="9"/>
  <c r="I174" i="9" s="1"/>
  <c r="K174" i="9" s="1"/>
  <c r="J174" i="9"/>
  <c r="N173" i="9"/>
  <c r="N171" i="9" s="1"/>
  <c r="M173" i="9"/>
  <c r="P173" i="9" s="1"/>
  <c r="L173" i="9"/>
  <c r="O173" i="9" s="1"/>
  <c r="P172" i="9"/>
  <c r="O172" i="9"/>
  <c r="N170" i="9"/>
  <c r="M170" i="9"/>
  <c r="L170" i="9"/>
  <c r="L168" i="9" s="1"/>
  <c r="P169" i="9"/>
  <c r="O169" i="9"/>
  <c r="P166" i="9"/>
  <c r="N166" i="9"/>
  <c r="M166" i="9"/>
  <c r="L166" i="9"/>
  <c r="I159" i="9"/>
  <c r="I148" i="9" s="1"/>
  <c r="K148" i="9" s="1"/>
  <c r="N157" i="9"/>
  <c r="N155" i="9" s="1"/>
  <c r="M157" i="9"/>
  <c r="P157" i="9" s="1"/>
  <c r="L157" i="9"/>
  <c r="P156" i="9"/>
  <c r="O156" i="9"/>
  <c r="N154" i="9"/>
  <c r="M154" i="9"/>
  <c r="P154" i="9" s="1"/>
  <c r="L154" i="9"/>
  <c r="P153" i="9"/>
  <c r="O153" i="9"/>
  <c r="N150" i="9"/>
  <c r="M150" i="9"/>
  <c r="P150" i="9" s="1"/>
  <c r="L150" i="9"/>
  <c r="O150" i="9" s="1"/>
  <c r="J148" i="9"/>
  <c r="I146" i="9"/>
  <c r="K146" i="9" s="1"/>
  <c r="I145" i="9"/>
  <c r="I144" i="9"/>
  <c r="K144" i="9" s="1"/>
  <c r="N140" i="9"/>
  <c r="N138" i="9" s="1"/>
  <c r="M140" i="9"/>
  <c r="P140" i="9" s="1"/>
  <c r="L140" i="9"/>
  <c r="P139" i="9"/>
  <c r="O139" i="9"/>
  <c r="N137" i="9"/>
  <c r="M137" i="9"/>
  <c r="P137" i="9" s="1"/>
  <c r="L137" i="9"/>
  <c r="O137" i="9" s="1"/>
  <c r="P136" i="9"/>
  <c r="O136" i="9"/>
  <c r="O133" i="9"/>
  <c r="N133" i="9"/>
  <c r="M133" i="9"/>
  <c r="P133" i="9" s="1"/>
  <c r="L133" i="9"/>
  <c r="J130" i="9"/>
  <c r="N127" i="9"/>
  <c r="M127" i="9"/>
  <c r="P127" i="9" s="1"/>
  <c r="L127" i="9"/>
  <c r="O127" i="9" s="1"/>
  <c r="P126" i="9"/>
  <c r="O126" i="9"/>
  <c r="N124" i="9"/>
  <c r="N122" i="9" s="1"/>
  <c r="M124" i="9"/>
  <c r="L124" i="9"/>
  <c r="P123" i="9"/>
  <c r="O123" i="9"/>
  <c r="N120" i="9"/>
  <c r="M120" i="9"/>
  <c r="P120" i="9" s="1"/>
  <c r="L120" i="9"/>
  <c r="O120" i="9" s="1"/>
  <c r="I116" i="9"/>
  <c r="K116" i="9" s="1"/>
  <c r="I115" i="9"/>
  <c r="K115" i="9" s="1"/>
  <c r="I114" i="9"/>
  <c r="K114" i="9" s="1"/>
  <c r="I113" i="9"/>
  <c r="K113" i="9" s="1"/>
  <c r="J112" i="9"/>
  <c r="J111" i="9"/>
  <c r="I111" i="9"/>
  <c r="K111" i="9" s="1"/>
  <c r="I110" i="9"/>
  <c r="K110" i="9" s="1"/>
  <c r="I109" i="9"/>
  <c r="K109" i="9" s="1"/>
  <c r="I107" i="9"/>
  <c r="K107" i="9" s="1"/>
  <c r="I106" i="9"/>
  <c r="K106" i="9" s="1"/>
  <c r="I104" i="9"/>
  <c r="K104" i="9" s="1"/>
  <c r="I103" i="9"/>
  <c r="K103" i="9" s="1"/>
  <c r="I102" i="9"/>
  <c r="K102" i="9" s="1"/>
  <c r="J100" i="9"/>
  <c r="I100" i="9"/>
  <c r="K100" i="9" s="1"/>
  <c r="J99" i="9"/>
  <c r="I99" i="9"/>
  <c r="K99" i="9" s="1"/>
  <c r="J98" i="9"/>
  <c r="I98" i="9"/>
  <c r="I86" i="9" s="1"/>
  <c r="K86" i="9" s="1"/>
  <c r="N96" i="9"/>
  <c r="N94" i="9" s="1"/>
  <c r="M96" i="9"/>
  <c r="P96" i="9" s="1"/>
  <c r="L96" i="9"/>
  <c r="P95" i="9"/>
  <c r="O95" i="9"/>
  <c r="N93" i="9"/>
  <c r="N91" i="9" s="1"/>
  <c r="M93" i="9"/>
  <c r="M91" i="9" s="1"/>
  <c r="L93" i="9"/>
  <c r="L91" i="9" s="1"/>
  <c r="P92" i="9"/>
  <c r="O92" i="9"/>
  <c r="P89" i="9"/>
  <c r="N89" i="9"/>
  <c r="M89" i="9"/>
  <c r="L89" i="9"/>
  <c r="J87" i="9"/>
  <c r="I87" i="9"/>
  <c r="K87" i="9" s="1"/>
  <c r="J86" i="9"/>
  <c r="I84" i="9"/>
  <c r="K84" i="9" s="1"/>
  <c r="I83" i="9"/>
  <c r="K83" i="9" s="1"/>
  <c r="I82" i="9"/>
  <c r="K82" i="9" s="1"/>
  <c r="I81" i="9"/>
  <c r="K81" i="9" s="1"/>
  <c r="I80" i="9"/>
  <c r="I79" i="9"/>
  <c r="K79" i="9" s="1"/>
  <c r="I78" i="9"/>
  <c r="K78" i="9" s="1"/>
  <c r="J77" i="9"/>
  <c r="J65" i="9" s="1"/>
  <c r="J76" i="9"/>
  <c r="N74" i="9"/>
  <c r="M74" i="9"/>
  <c r="M72" i="9" s="1"/>
  <c r="P72" i="9" s="1"/>
  <c r="L74" i="9"/>
  <c r="O74" i="9" s="1"/>
  <c r="P73" i="9"/>
  <c r="O73" i="9"/>
  <c r="N71" i="9"/>
  <c r="N69" i="9" s="1"/>
  <c r="M71" i="9"/>
  <c r="P71" i="9" s="1"/>
  <c r="L71" i="9"/>
  <c r="O71" i="9" s="1"/>
  <c r="P70" i="9"/>
  <c r="O70" i="9"/>
  <c r="O67" i="9"/>
  <c r="N67" i="9"/>
  <c r="M67" i="9"/>
  <c r="P67" i="9" s="1"/>
  <c r="L67" i="9"/>
  <c r="J64" i="9"/>
  <c r="N61" i="9"/>
  <c r="N59" i="9" s="1"/>
  <c r="M61" i="9"/>
  <c r="L61" i="9"/>
  <c r="L59" i="9" s="1"/>
  <c r="O59" i="9" s="1"/>
  <c r="P60" i="9"/>
  <c r="O60" i="9"/>
  <c r="N58" i="9"/>
  <c r="N56" i="9" s="1"/>
  <c r="M58" i="9"/>
  <c r="M56" i="9" s="1"/>
  <c r="L58" i="9"/>
  <c r="P57" i="9"/>
  <c r="O57" i="9"/>
  <c r="P54" i="9"/>
  <c r="N54" i="9"/>
  <c r="M54" i="9"/>
  <c r="L54" i="9"/>
  <c r="O54" i="9" s="1"/>
  <c r="N49" i="9"/>
  <c r="N47" i="9" s="1"/>
  <c r="M49" i="9"/>
  <c r="P49" i="9" s="1"/>
  <c r="L49" i="9"/>
  <c r="P48" i="9"/>
  <c r="O48" i="9"/>
  <c r="N46" i="9"/>
  <c r="N44" i="9" s="1"/>
  <c r="M46" i="9"/>
  <c r="M44" i="9" s="1"/>
  <c r="L46" i="9"/>
  <c r="P45" i="9"/>
  <c r="O45" i="9"/>
  <c r="P42" i="9"/>
  <c r="O42" i="9"/>
  <c r="N42" i="9"/>
  <c r="M42" i="9"/>
  <c r="L42" i="9"/>
  <c r="N36" i="9"/>
  <c r="M36" i="9"/>
  <c r="P36" i="9" s="1"/>
  <c r="P35" i="9"/>
  <c r="O35" i="9"/>
  <c r="N35" i="9"/>
  <c r="M35" i="9"/>
  <c r="L35" i="9"/>
  <c r="N34" i="9"/>
  <c r="M33" i="9"/>
  <c r="P33" i="9" s="1"/>
  <c r="P32" i="9"/>
  <c r="N32" i="9"/>
  <c r="M32" i="9"/>
  <c r="L32" i="9"/>
  <c r="O32" i="9" s="1"/>
  <c r="P30" i="9"/>
  <c r="M30" i="9"/>
  <c r="N29" i="9"/>
  <c r="L29" i="9"/>
  <c r="P25" i="9"/>
  <c r="N25" i="9"/>
  <c r="M25" i="9"/>
  <c r="L25" i="9"/>
  <c r="L15" i="9" s="1"/>
  <c r="O22" i="9"/>
  <c r="N22" i="9"/>
  <c r="N19" i="9" s="1"/>
  <c r="M22" i="9"/>
  <c r="P22" i="9" s="1"/>
  <c r="L22" i="9"/>
  <c r="L19" i="9"/>
  <c r="N15" i="9"/>
  <c r="M15" i="9"/>
  <c r="P15" i="9" s="1"/>
  <c r="L12" i="9"/>
  <c r="J828" i="8"/>
  <c r="I828" i="8"/>
  <c r="J827" i="8"/>
  <c r="I827" i="8"/>
  <c r="J826" i="8"/>
  <c r="I826" i="8"/>
  <c r="J825" i="8"/>
  <c r="I825" i="8"/>
  <c r="J824" i="8"/>
  <c r="I824" i="8"/>
  <c r="J823" i="8"/>
  <c r="I823" i="8"/>
  <c r="J822" i="8"/>
  <c r="I822" i="8"/>
  <c r="J821" i="8"/>
  <c r="I821" i="8"/>
  <c r="P817" i="8"/>
  <c r="O817" i="8"/>
  <c r="P816" i="8"/>
  <c r="O816" i="8"/>
  <c r="O815" i="8"/>
  <c r="N815" i="8"/>
  <c r="M815" i="8"/>
  <c r="P815" i="8" s="1"/>
  <c r="L815" i="8"/>
  <c r="P810" i="8"/>
  <c r="O810" i="8"/>
  <c r="N810" i="8"/>
  <c r="P809" i="8"/>
  <c r="O809" i="8"/>
  <c r="O808" i="8"/>
  <c r="M808" i="8"/>
  <c r="P808" i="8" s="1"/>
  <c r="L808" i="8"/>
  <c r="P807" i="8"/>
  <c r="M807" i="8"/>
  <c r="L807" i="8"/>
  <c r="O806" i="8"/>
  <c r="N806" i="8"/>
  <c r="M806" i="8"/>
  <c r="P806" i="8" s="1"/>
  <c r="L806" i="8"/>
  <c r="P805" i="8"/>
  <c r="M805" i="8"/>
  <c r="K804" i="8"/>
  <c r="J804" i="8"/>
  <c r="K802" i="8"/>
  <c r="J801" i="8"/>
  <c r="J800" i="8"/>
  <c r="J785" i="8" s="1"/>
  <c r="I800" i="8"/>
  <c r="P798" i="8"/>
  <c r="O798" i="8"/>
  <c r="P797" i="8"/>
  <c r="O797" i="8"/>
  <c r="P796" i="8"/>
  <c r="N796" i="8"/>
  <c r="M796" i="8"/>
  <c r="L796" i="8"/>
  <c r="O796" i="8" s="1"/>
  <c r="P791" i="8"/>
  <c r="N791" i="8"/>
  <c r="L791" i="8"/>
  <c r="P790" i="8"/>
  <c r="O790" i="8"/>
  <c r="N789" i="8"/>
  <c r="M789" i="8"/>
  <c r="P789" i="8" s="1"/>
  <c r="P788" i="8"/>
  <c r="N788" i="8"/>
  <c r="M788" i="8"/>
  <c r="O787" i="8"/>
  <c r="N787" i="8"/>
  <c r="M787" i="8"/>
  <c r="P787" i="8" s="1"/>
  <c r="L787" i="8"/>
  <c r="P786" i="8"/>
  <c r="N786" i="8"/>
  <c r="M786" i="8"/>
  <c r="P782" i="8"/>
  <c r="O782" i="8"/>
  <c r="P781" i="8"/>
  <c r="O781" i="8"/>
  <c r="P780" i="8"/>
  <c r="N780" i="8"/>
  <c r="M780" i="8"/>
  <c r="L780" i="8"/>
  <c r="O780" i="8" s="1"/>
  <c r="P775" i="8"/>
  <c r="O775" i="8"/>
  <c r="N775" i="8"/>
  <c r="N772" i="8" s="1"/>
  <c r="N770" i="8" s="1"/>
  <c r="P774" i="8"/>
  <c r="O774" i="8"/>
  <c r="N773" i="8"/>
  <c r="M773" i="8"/>
  <c r="P773" i="8" s="1"/>
  <c r="L773" i="8"/>
  <c r="O773" i="8" s="1"/>
  <c r="M772" i="8"/>
  <c r="L772" i="8"/>
  <c r="O772" i="8" s="1"/>
  <c r="P771" i="8"/>
  <c r="N771" i="8"/>
  <c r="M771" i="8"/>
  <c r="L771" i="8"/>
  <c r="K769" i="8"/>
  <c r="J769" i="8"/>
  <c r="P766" i="8"/>
  <c r="O766" i="8"/>
  <c r="P765" i="8"/>
  <c r="O765" i="8"/>
  <c r="P764" i="8"/>
  <c r="O764" i="8"/>
  <c r="N764" i="8"/>
  <c r="M764" i="8"/>
  <c r="L764" i="8"/>
  <c r="P759" i="8"/>
  <c r="O759" i="8"/>
  <c r="N759" i="8"/>
  <c r="N756" i="8" s="1"/>
  <c r="N754" i="8" s="1"/>
  <c r="P758" i="8"/>
  <c r="O758" i="8"/>
  <c r="N757" i="8"/>
  <c r="M757" i="8"/>
  <c r="P757" i="8" s="1"/>
  <c r="L757" i="8"/>
  <c r="O757" i="8" s="1"/>
  <c r="M756" i="8"/>
  <c r="L756" i="8"/>
  <c r="O756" i="8" s="1"/>
  <c r="P755" i="8"/>
  <c r="N755" i="8"/>
  <c r="M755" i="8"/>
  <c r="L755" i="8"/>
  <c r="K753" i="8"/>
  <c r="J753" i="8"/>
  <c r="P749" i="8"/>
  <c r="O749" i="8"/>
  <c r="P748" i="8"/>
  <c r="O748" i="8"/>
  <c r="P747" i="8"/>
  <c r="N747" i="8"/>
  <c r="M747" i="8"/>
  <c r="L747" i="8"/>
  <c r="O747" i="8" s="1"/>
  <c r="P742" i="8"/>
  <c r="O742" i="8"/>
  <c r="N742" i="8"/>
  <c r="P741" i="8"/>
  <c r="O741" i="8"/>
  <c r="N740" i="8"/>
  <c r="M740" i="8"/>
  <c r="P740" i="8" s="1"/>
  <c r="L740" i="8"/>
  <c r="O740" i="8" s="1"/>
  <c r="O739" i="8"/>
  <c r="N739" i="8"/>
  <c r="M739" i="8"/>
  <c r="L739" i="8"/>
  <c r="P738" i="8"/>
  <c r="N738" i="8"/>
  <c r="M738" i="8"/>
  <c r="L738" i="8"/>
  <c r="N737" i="8"/>
  <c r="K736" i="8"/>
  <c r="J736" i="8"/>
  <c r="J729" i="8"/>
  <c r="I729" i="8"/>
  <c r="J728" i="8"/>
  <c r="I728" i="8"/>
  <c r="J727" i="8"/>
  <c r="J726" i="8"/>
  <c r="I726" i="8"/>
  <c r="J725" i="8"/>
  <c r="I725" i="8"/>
  <c r="J724" i="8"/>
  <c r="J723" i="8"/>
  <c r="I723" i="8"/>
  <c r="I722" i="8"/>
  <c r="I721" i="8"/>
  <c r="J720" i="8"/>
  <c r="I720" i="8"/>
  <c r="J719" i="8"/>
  <c r="J718" i="8"/>
  <c r="J708" i="8"/>
  <c r="I708" i="8"/>
  <c r="I707" i="8"/>
  <c r="I704" i="8"/>
  <c r="J701" i="8"/>
  <c r="I701" i="8"/>
  <c r="J700" i="8"/>
  <c r="I700" i="8"/>
  <c r="K700" i="8" s="1"/>
  <c r="J699" i="8"/>
  <c r="I699" i="8"/>
  <c r="K699" i="8" s="1"/>
  <c r="P697" i="8"/>
  <c r="O697" i="8"/>
  <c r="P696" i="8"/>
  <c r="O696" i="8"/>
  <c r="P695" i="8"/>
  <c r="O695" i="8"/>
  <c r="N695" i="8"/>
  <c r="M695" i="8"/>
  <c r="L695" i="8"/>
  <c r="P690" i="8"/>
  <c r="N690" i="8"/>
  <c r="N687" i="8" s="1"/>
  <c r="L690" i="8"/>
  <c r="O690" i="8" s="1"/>
  <c r="M688" i="8"/>
  <c r="P688" i="8" s="1"/>
  <c r="M687" i="8"/>
  <c r="P687" i="8" s="1"/>
  <c r="P686" i="8"/>
  <c r="N686" i="8"/>
  <c r="N685" i="8" s="1"/>
  <c r="M686" i="8"/>
  <c r="L686" i="8"/>
  <c r="O686" i="8" s="1"/>
  <c r="P685" i="8"/>
  <c r="M685" i="8"/>
  <c r="J679" i="8"/>
  <c r="J678" i="8"/>
  <c r="I678" i="8"/>
  <c r="K678" i="8" s="1"/>
  <c r="J675" i="8"/>
  <c r="I671" i="8"/>
  <c r="K671" i="8" s="1"/>
  <c r="I670" i="8"/>
  <c r="K670" i="8" s="1"/>
  <c r="J669" i="8"/>
  <c r="J654" i="8" s="1"/>
  <c r="I669" i="8"/>
  <c r="K675" i="8" s="1"/>
  <c r="P667" i="8"/>
  <c r="O667" i="8"/>
  <c r="P666" i="8"/>
  <c r="O666" i="8"/>
  <c r="P665" i="8"/>
  <c r="O665" i="8"/>
  <c r="N665" i="8"/>
  <c r="M665" i="8"/>
  <c r="L665" i="8"/>
  <c r="P660" i="8"/>
  <c r="N660" i="8"/>
  <c r="L660" i="8"/>
  <c r="L658" i="8" s="1"/>
  <c r="O658" i="8" s="1"/>
  <c r="P659" i="8"/>
  <c r="O659" i="8"/>
  <c r="P658" i="8"/>
  <c r="N658" i="8"/>
  <c r="M658" i="8"/>
  <c r="N657" i="8"/>
  <c r="M657" i="8"/>
  <c r="P657" i="8" s="1"/>
  <c r="N656" i="8"/>
  <c r="N655" i="8" s="1"/>
  <c r="M656" i="8"/>
  <c r="P656" i="8" s="1"/>
  <c r="L656" i="8"/>
  <c r="O656" i="8" s="1"/>
  <c r="M655" i="8"/>
  <c r="P655" i="8" s="1"/>
  <c r="K652" i="8"/>
  <c r="J652" i="8"/>
  <c r="J651" i="8"/>
  <c r="J628" i="8" s="1"/>
  <c r="I651" i="8"/>
  <c r="I628" i="8" s="1"/>
  <c r="K628" i="8" s="1"/>
  <c r="K650" i="8"/>
  <c r="J650" i="8"/>
  <c r="J649" i="8"/>
  <c r="I649" i="8"/>
  <c r="K649" i="8" s="1"/>
  <c r="K648" i="8"/>
  <c r="J648" i="8"/>
  <c r="J647" i="8"/>
  <c r="I647" i="8"/>
  <c r="K647" i="8" s="1"/>
  <c r="K646" i="8"/>
  <c r="J646" i="8"/>
  <c r="K645" i="8"/>
  <c r="J645" i="8"/>
  <c r="I644" i="8"/>
  <c r="K644" i="8" s="1"/>
  <c r="I643" i="8"/>
  <c r="K643" i="8" s="1"/>
  <c r="P641" i="8"/>
  <c r="L641" i="8"/>
  <c r="P640" i="8"/>
  <c r="O640" i="8"/>
  <c r="N639" i="8"/>
  <c r="M639" i="8"/>
  <c r="P639" i="8" s="1"/>
  <c r="P634" i="8"/>
  <c r="N634" i="8"/>
  <c r="N631" i="8" s="1"/>
  <c r="L634" i="8"/>
  <c r="O634" i="8" s="1"/>
  <c r="P633" i="8"/>
  <c r="O633" i="8"/>
  <c r="P632" i="8"/>
  <c r="N632" i="8"/>
  <c r="M632" i="8"/>
  <c r="P631" i="8"/>
  <c r="M631" i="8"/>
  <c r="P630" i="8"/>
  <c r="O630" i="8"/>
  <c r="N630" i="8"/>
  <c r="N629" i="8" s="1"/>
  <c r="M630" i="8"/>
  <c r="L630" i="8"/>
  <c r="M629" i="8"/>
  <c r="P629" i="8" s="1"/>
  <c r="J621" i="8"/>
  <c r="I621" i="8"/>
  <c r="K621" i="8" s="1"/>
  <c r="J620" i="8"/>
  <c r="I620" i="8"/>
  <c r="K620" i="8" s="1"/>
  <c r="K613" i="8"/>
  <c r="J613" i="8"/>
  <c r="K612" i="8"/>
  <c r="J612" i="8"/>
  <c r="K611" i="8"/>
  <c r="J611" i="8"/>
  <c r="J604" i="8"/>
  <c r="J603" i="8"/>
  <c r="J593" i="8" s="1"/>
  <c r="J596" i="8"/>
  <c r="J595" i="8"/>
  <c r="J594" i="8"/>
  <c r="I594" i="8"/>
  <c r="K594" i="8" s="1"/>
  <c r="I593" i="8"/>
  <c r="K593" i="8" s="1"/>
  <c r="J592" i="8"/>
  <c r="J583" i="8"/>
  <c r="J577" i="8" s="1"/>
  <c r="J582" i="8"/>
  <c r="I577" i="8"/>
  <c r="K577" i="8" s="1"/>
  <c r="J576" i="8"/>
  <c r="J559" i="8" s="1"/>
  <c r="J543" i="8" s="1"/>
  <c r="I576" i="8"/>
  <c r="J569" i="8"/>
  <c r="I569" i="8"/>
  <c r="K569" i="8" s="1"/>
  <c r="J568" i="8"/>
  <c r="I568" i="8"/>
  <c r="K568" i="8" s="1"/>
  <c r="J561" i="8"/>
  <c r="I561" i="8"/>
  <c r="K561" i="8" s="1"/>
  <c r="J560" i="8"/>
  <c r="I560" i="8"/>
  <c r="K560" i="8" s="1"/>
  <c r="P557" i="8"/>
  <c r="L557" i="8"/>
  <c r="L555" i="8" s="1"/>
  <c r="O555" i="8" s="1"/>
  <c r="P556" i="8"/>
  <c r="O556" i="8"/>
  <c r="P555" i="8"/>
  <c r="N555" i="8"/>
  <c r="N545" i="8" s="1"/>
  <c r="M555" i="8"/>
  <c r="P549" i="8"/>
  <c r="N549" i="8"/>
  <c r="L549" i="8"/>
  <c r="P548" i="8"/>
  <c r="O548" i="8"/>
  <c r="N547" i="8"/>
  <c r="M547" i="8"/>
  <c r="P547" i="8" s="1"/>
  <c r="N546" i="8"/>
  <c r="M546" i="8"/>
  <c r="P546" i="8" s="1"/>
  <c r="M545" i="8"/>
  <c r="L545" i="8"/>
  <c r="O545" i="8" s="1"/>
  <c r="I542" i="8"/>
  <c r="K542" i="8" s="1"/>
  <c r="I541" i="8"/>
  <c r="K541" i="8" s="1"/>
  <c r="I540" i="8"/>
  <c r="K540" i="8" s="1"/>
  <c r="I539" i="8"/>
  <c r="K539" i="8" s="1"/>
  <c r="I538" i="8"/>
  <c r="K538" i="8" s="1"/>
  <c r="I537" i="8"/>
  <c r="I522" i="8" s="1"/>
  <c r="K522" i="8" s="1"/>
  <c r="P535" i="8"/>
  <c r="L535" i="8"/>
  <c r="P534" i="8"/>
  <c r="O534" i="8"/>
  <c r="N533" i="8"/>
  <c r="M533" i="8"/>
  <c r="P533" i="8" s="1"/>
  <c r="P528" i="8"/>
  <c r="N528" i="8"/>
  <c r="N525" i="8" s="1"/>
  <c r="N523" i="8" s="1"/>
  <c r="L528" i="8"/>
  <c r="P527" i="8"/>
  <c r="O527" i="8"/>
  <c r="N526" i="8"/>
  <c r="M526" i="8"/>
  <c r="P526" i="8" s="1"/>
  <c r="P525" i="8"/>
  <c r="M525" i="8"/>
  <c r="P524" i="8"/>
  <c r="O524" i="8"/>
  <c r="N524" i="8"/>
  <c r="M524" i="8"/>
  <c r="L524" i="8"/>
  <c r="P523" i="8"/>
  <c r="M523" i="8"/>
  <c r="K517" i="8"/>
  <c r="J517" i="8"/>
  <c r="K516" i="8"/>
  <c r="P514" i="8"/>
  <c r="O514" i="8"/>
  <c r="P513" i="8"/>
  <c r="O513" i="8"/>
  <c r="N512" i="8"/>
  <c r="M512" i="8"/>
  <c r="P512" i="8" s="1"/>
  <c r="L512" i="8"/>
  <c r="O512" i="8" s="1"/>
  <c r="P507" i="8"/>
  <c r="O507" i="8"/>
  <c r="N507" i="8"/>
  <c r="P506" i="8"/>
  <c r="O506" i="8"/>
  <c r="P505" i="8"/>
  <c r="O505" i="8"/>
  <c r="N505" i="8"/>
  <c r="M505" i="8"/>
  <c r="L505" i="8"/>
  <c r="P504" i="8"/>
  <c r="O504" i="8"/>
  <c r="N504" i="8"/>
  <c r="M504" i="8"/>
  <c r="L504" i="8"/>
  <c r="O503" i="8"/>
  <c r="N503" i="8"/>
  <c r="M503" i="8"/>
  <c r="L503" i="8"/>
  <c r="N502" i="8"/>
  <c r="L502" i="8"/>
  <c r="O502" i="8" s="1"/>
  <c r="K501" i="8"/>
  <c r="J501" i="8"/>
  <c r="K500" i="8"/>
  <c r="J500" i="8"/>
  <c r="I498" i="8"/>
  <c r="K498" i="8" s="1"/>
  <c r="I495" i="8"/>
  <c r="K495" i="8" s="1"/>
  <c r="I492" i="8"/>
  <c r="K492" i="8" s="1"/>
  <c r="I489" i="8"/>
  <c r="K489" i="8" s="1"/>
  <c r="I487" i="8"/>
  <c r="K487" i="8" s="1"/>
  <c r="I485" i="8"/>
  <c r="K485" i="8" s="1"/>
  <c r="I483" i="8"/>
  <c r="K483" i="8" s="1"/>
  <c r="P479" i="8"/>
  <c r="L479" i="8"/>
  <c r="O479" i="8" s="1"/>
  <c r="P478" i="8"/>
  <c r="O478" i="8"/>
  <c r="P477" i="8"/>
  <c r="N477" i="8"/>
  <c r="M477" i="8"/>
  <c r="P472" i="8"/>
  <c r="N472" i="8"/>
  <c r="L472" i="8"/>
  <c r="O472" i="8" s="1"/>
  <c r="P471" i="8"/>
  <c r="O471" i="8"/>
  <c r="P470" i="8"/>
  <c r="N470" i="8"/>
  <c r="M470" i="8"/>
  <c r="P469" i="8"/>
  <c r="N469" i="8"/>
  <c r="N467" i="8" s="1"/>
  <c r="M469" i="8"/>
  <c r="O468" i="8"/>
  <c r="N468" i="8"/>
  <c r="M468" i="8"/>
  <c r="L468" i="8"/>
  <c r="J466" i="8"/>
  <c r="I466" i="8"/>
  <c r="K466" i="8" s="1"/>
  <c r="J465" i="8"/>
  <c r="I465" i="8"/>
  <c r="K465" i="8" s="1"/>
  <c r="I464" i="8"/>
  <c r="I463" i="8"/>
  <c r="I462" i="8"/>
  <c r="K462" i="8" s="1"/>
  <c r="I460" i="8"/>
  <c r="K458" i="8"/>
  <c r="P456" i="8"/>
  <c r="L456" i="8"/>
  <c r="P455" i="8"/>
  <c r="O455" i="8"/>
  <c r="N454" i="8"/>
  <c r="M454" i="8"/>
  <c r="P454" i="8" s="1"/>
  <c r="P449" i="8"/>
  <c r="N449" i="8"/>
  <c r="L449" i="8"/>
  <c r="O449" i="8" s="1"/>
  <c r="P448" i="8"/>
  <c r="O448" i="8"/>
  <c r="P447" i="8"/>
  <c r="N447" i="8"/>
  <c r="M447" i="8"/>
  <c r="P446" i="8"/>
  <c r="N446" i="8"/>
  <c r="M446" i="8"/>
  <c r="P445" i="8"/>
  <c r="O445" i="8"/>
  <c r="N445" i="8"/>
  <c r="N444" i="8" s="1"/>
  <c r="M445" i="8"/>
  <c r="L445" i="8"/>
  <c r="M444" i="8"/>
  <c r="P444" i="8" s="1"/>
  <c r="J443" i="8"/>
  <c r="J442" i="8"/>
  <c r="I441" i="8"/>
  <c r="K441" i="8" s="1"/>
  <c r="I440" i="8"/>
  <c r="I439" i="8"/>
  <c r="K439" i="8" s="1"/>
  <c r="I438" i="8"/>
  <c r="K438" i="8" s="1"/>
  <c r="I437" i="8"/>
  <c r="K437" i="8" s="1"/>
  <c r="I435" i="8"/>
  <c r="I433" i="8" s="1"/>
  <c r="I417" i="8" s="1"/>
  <c r="J434" i="8"/>
  <c r="P431" i="8"/>
  <c r="L431" i="8"/>
  <c r="P430" i="8"/>
  <c r="O430" i="8"/>
  <c r="N429" i="8"/>
  <c r="M429" i="8"/>
  <c r="P429" i="8" s="1"/>
  <c r="P424" i="8"/>
  <c r="N424" i="8"/>
  <c r="L424" i="8"/>
  <c r="O424" i="8" s="1"/>
  <c r="P423" i="8"/>
  <c r="O423" i="8"/>
  <c r="P422" i="8"/>
  <c r="N422" i="8"/>
  <c r="M422" i="8"/>
  <c r="P421" i="8"/>
  <c r="N421" i="8"/>
  <c r="M421" i="8"/>
  <c r="P420" i="8"/>
  <c r="O420" i="8"/>
  <c r="N420" i="8"/>
  <c r="N419" i="8" s="1"/>
  <c r="M420" i="8"/>
  <c r="L420" i="8"/>
  <c r="M419" i="8"/>
  <c r="J418" i="8"/>
  <c r="K413" i="8"/>
  <c r="K412" i="8"/>
  <c r="N410" i="8"/>
  <c r="N408" i="8" s="1"/>
  <c r="M410" i="8"/>
  <c r="L410" i="8"/>
  <c r="P409" i="8"/>
  <c r="O409" i="8"/>
  <c r="N407" i="8"/>
  <c r="N405" i="8" s="1"/>
  <c r="M407" i="8"/>
  <c r="L407" i="8"/>
  <c r="L405" i="8" s="1"/>
  <c r="O405" i="8" s="1"/>
  <c r="P406" i="8"/>
  <c r="O406" i="8"/>
  <c r="N403" i="8"/>
  <c r="M403" i="8"/>
  <c r="P403" i="8" s="1"/>
  <c r="L403" i="8"/>
  <c r="K401" i="8"/>
  <c r="J401" i="8"/>
  <c r="I401" i="8"/>
  <c r="K400" i="8"/>
  <c r="K399" i="8"/>
  <c r="N397" i="8"/>
  <c r="N395" i="8" s="1"/>
  <c r="M397" i="8"/>
  <c r="P397" i="8" s="1"/>
  <c r="L397" i="8"/>
  <c r="O397" i="8" s="1"/>
  <c r="P396" i="8"/>
  <c r="O396" i="8"/>
  <c r="N394" i="8"/>
  <c r="N392" i="8" s="1"/>
  <c r="M394" i="8"/>
  <c r="M392" i="8" s="1"/>
  <c r="P392" i="8" s="1"/>
  <c r="L394" i="8"/>
  <c r="P393" i="8"/>
  <c r="O393" i="8"/>
  <c r="P390" i="8"/>
  <c r="N390" i="8"/>
  <c r="M390" i="8"/>
  <c r="L390" i="8"/>
  <c r="O390" i="8" s="1"/>
  <c r="J388" i="8"/>
  <c r="I388" i="8"/>
  <c r="K388" i="8" s="1"/>
  <c r="J385" i="8"/>
  <c r="I385" i="8"/>
  <c r="K382" i="8"/>
  <c r="J382" i="8"/>
  <c r="J381" i="8"/>
  <c r="J374" i="8" s="1"/>
  <c r="I381" i="8"/>
  <c r="K380" i="8"/>
  <c r="J380" i="8"/>
  <c r="J379" i="8"/>
  <c r="I379" i="8"/>
  <c r="J378" i="8"/>
  <c r="I378" i="8"/>
  <c r="K378" i="8" s="1"/>
  <c r="K377" i="8"/>
  <c r="J377" i="8"/>
  <c r="I374" i="8"/>
  <c r="K373" i="8"/>
  <c r="J373" i="8"/>
  <c r="J372" i="8"/>
  <c r="J365" i="8" s="1"/>
  <c r="I372" i="8"/>
  <c r="K372" i="8" s="1"/>
  <c r="K371" i="8"/>
  <c r="J371" i="8"/>
  <c r="J370" i="8"/>
  <c r="I370" i="8"/>
  <c r="K370" i="8" s="1"/>
  <c r="J369" i="8"/>
  <c r="I369" i="8"/>
  <c r="K369" i="8" s="1"/>
  <c r="K368" i="8"/>
  <c r="J368" i="8"/>
  <c r="I365" i="8"/>
  <c r="K365" i="8" s="1"/>
  <c r="K363" i="8"/>
  <c r="J363" i="8"/>
  <c r="J362" i="8"/>
  <c r="J355" i="8" s="1"/>
  <c r="I362" i="8"/>
  <c r="K362" i="8" s="1"/>
  <c r="K361" i="8"/>
  <c r="J361" i="8"/>
  <c r="J360" i="8"/>
  <c r="I360" i="8"/>
  <c r="K360" i="8" s="1"/>
  <c r="J359" i="8"/>
  <c r="I359" i="8"/>
  <c r="K359" i="8" s="1"/>
  <c r="K358" i="8"/>
  <c r="J358" i="8"/>
  <c r="I355" i="8"/>
  <c r="K355" i="8" s="1"/>
  <c r="N353" i="8"/>
  <c r="N351" i="8" s="1"/>
  <c r="M353" i="8"/>
  <c r="L353" i="8"/>
  <c r="P352" i="8"/>
  <c r="O352" i="8"/>
  <c r="N350" i="8"/>
  <c r="M350" i="8"/>
  <c r="L350" i="8"/>
  <c r="P349" i="8"/>
  <c r="O349" i="8"/>
  <c r="P346" i="8"/>
  <c r="N346" i="8"/>
  <c r="M346" i="8"/>
  <c r="L346" i="8"/>
  <c r="O346" i="8" s="1"/>
  <c r="J343" i="8"/>
  <c r="J342" i="8"/>
  <c r="J341" i="8"/>
  <c r="J340" i="8"/>
  <c r="I340" i="8"/>
  <c r="J338" i="8"/>
  <c r="I338" i="8"/>
  <c r="N336" i="8"/>
  <c r="N334" i="8" s="1"/>
  <c r="M336" i="8"/>
  <c r="P336" i="8" s="1"/>
  <c r="L336" i="8"/>
  <c r="O336" i="8" s="1"/>
  <c r="P335" i="8"/>
  <c r="O335" i="8"/>
  <c r="N333" i="8"/>
  <c r="N331" i="8" s="1"/>
  <c r="M333" i="8"/>
  <c r="L333" i="8"/>
  <c r="P332" i="8"/>
  <c r="O332" i="8"/>
  <c r="P329" i="8"/>
  <c r="N329" i="8"/>
  <c r="M329" i="8"/>
  <c r="L329" i="8"/>
  <c r="O329" i="8" s="1"/>
  <c r="I327" i="8"/>
  <c r="I325" i="8"/>
  <c r="K325" i="8" s="1"/>
  <c r="N323" i="8"/>
  <c r="N321" i="8" s="1"/>
  <c r="M323" i="8"/>
  <c r="L323" i="8"/>
  <c r="O323" i="8" s="1"/>
  <c r="P322" i="8"/>
  <c r="O322" i="8"/>
  <c r="N320" i="8"/>
  <c r="N318" i="8" s="1"/>
  <c r="M320" i="8"/>
  <c r="L320" i="8"/>
  <c r="P319" i="8"/>
  <c r="O319" i="8"/>
  <c r="P316" i="8"/>
  <c r="N316" i="8"/>
  <c r="M316" i="8"/>
  <c r="L316" i="8"/>
  <c r="J314" i="8"/>
  <c r="I312" i="8"/>
  <c r="K312" i="8" s="1"/>
  <c r="I311" i="8"/>
  <c r="K311" i="8" s="1"/>
  <c r="I310" i="8"/>
  <c r="K310" i="8" s="1"/>
  <c r="I309" i="8"/>
  <c r="K309" i="8" s="1"/>
  <c r="N306" i="8"/>
  <c r="N304" i="8" s="1"/>
  <c r="M306" i="8"/>
  <c r="L306" i="8"/>
  <c r="L304" i="8" s="1"/>
  <c r="O304" i="8" s="1"/>
  <c r="P305" i="8"/>
  <c r="O305" i="8"/>
  <c r="N303" i="8"/>
  <c r="N301" i="8" s="1"/>
  <c r="M303" i="8"/>
  <c r="L303" i="8"/>
  <c r="L301" i="8" s="1"/>
  <c r="P302" i="8"/>
  <c r="O302" i="8"/>
  <c r="N299" i="8"/>
  <c r="M299" i="8"/>
  <c r="P299" i="8" s="1"/>
  <c r="L299" i="8"/>
  <c r="J297" i="8"/>
  <c r="I294" i="8"/>
  <c r="K294" i="8" s="1"/>
  <c r="I293" i="8"/>
  <c r="K293" i="8" s="1"/>
  <c r="I291" i="8"/>
  <c r="K291" i="8" s="1"/>
  <c r="I290" i="8"/>
  <c r="K290" i="8" s="1"/>
  <c r="I288" i="8"/>
  <c r="I275" i="8" s="1"/>
  <c r="I287" i="8"/>
  <c r="K287" i="8" s="1"/>
  <c r="N285" i="8"/>
  <c r="N283" i="8" s="1"/>
  <c r="M285" i="8"/>
  <c r="L285" i="8"/>
  <c r="O285" i="8" s="1"/>
  <c r="P284" i="8"/>
  <c r="O284" i="8"/>
  <c r="N282" i="8"/>
  <c r="N280" i="8" s="1"/>
  <c r="M282" i="8"/>
  <c r="L282" i="8"/>
  <c r="P281" i="8"/>
  <c r="O281" i="8"/>
  <c r="O278" i="8"/>
  <c r="N278" i="8"/>
  <c r="M278" i="8"/>
  <c r="L278" i="8"/>
  <c r="J276" i="8"/>
  <c r="I271" i="8"/>
  <c r="K271" i="8" s="1"/>
  <c r="N269" i="8"/>
  <c r="N267" i="8" s="1"/>
  <c r="M269" i="8"/>
  <c r="L269" i="8"/>
  <c r="L267" i="8" s="1"/>
  <c r="O267" i="8" s="1"/>
  <c r="P268" i="8"/>
  <c r="O268" i="8"/>
  <c r="N266" i="8"/>
  <c r="N264" i="8" s="1"/>
  <c r="M266" i="8"/>
  <c r="L266" i="8"/>
  <c r="L264" i="8" s="1"/>
  <c r="P265" i="8"/>
  <c r="O265" i="8"/>
  <c r="N262" i="8"/>
  <c r="M262" i="8"/>
  <c r="P262" i="8" s="1"/>
  <c r="L262" i="8"/>
  <c r="J260" i="8"/>
  <c r="K258" i="8"/>
  <c r="K257" i="8"/>
  <c r="L253" i="8"/>
  <c r="L252" i="8"/>
  <c r="L251" i="8"/>
  <c r="L250" i="8"/>
  <c r="P249" i="8"/>
  <c r="N249" i="8"/>
  <c r="J248" i="8"/>
  <c r="K247" i="8"/>
  <c r="K246" i="8"/>
  <c r="I244" i="8"/>
  <c r="I237" i="8" s="1"/>
  <c r="K237" i="8" s="1"/>
  <c r="L242" i="8"/>
  <c r="L241" i="8"/>
  <c r="L240" i="8"/>
  <c r="L239" i="8"/>
  <c r="P238" i="8"/>
  <c r="N238" i="8"/>
  <c r="J237" i="8"/>
  <c r="J226" i="8" s="1"/>
  <c r="J180" i="8" s="1"/>
  <c r="J236" i="8"/>
  <c r="K236" i="8" s="1"/>
  <c r="I236" i="8"/>
  <c r="J235" i="8"/>
  <c r="I235" i="8"/>
  <c r="K235" i="8" s="1"/>
  <c r="J233" i="8"/>
  <c r="N231" i="8"/>
  <c r="N230" i="8"/>
  <c r="N229" i="8"/>
  <c r="N228" i="8"/>
  <c r="N227" i="8"/>
  <c r="I225" i="8"/>
  <c r="I224" i="8"/>
  <c r="K224" i="8" s="1"/>
  <c r="I223" i="8"/>
  <c r="K223" i="8" s="1"/>
  <c r="L220" i="8"/>
  <c r="L219" i="8"/>
  <c r="L218" i="8"/>
  <c r="P217" i="8"/>
  <c r="N217" i="8"/>
  <c r="J216" i="8"/>
  <c r="I215" i="8"/>
  <c r="K215" i="8" s="1"/>
  <c r="I214" i="8"/>
  <c r="K214" i="8" s="1"/>
  <c r="L212" i="8"/>
  <c r="L211" i="8"/>
  <c r="L210" i="8"/>
  <c r="P209" i="8"/>
  <c r="N209" i="8"/>
  <c r="J208" i="8"/>
  <c r="K207" i="8"/>
  <c r="K206" i="8"/>
  <c r="I204" i="8"/>
  <c r="K204" i="8" s="1"/>
  <c r="L202" i="8"/>
  <c r="L201" i="8"/>
  <c r="L200" i="8"/>
  <c r="L199" i="8"/>
  <c r="P198" i="8"/>
  <c r="N198" i="8"/>
  <c r="J197" i="8"/>
  <c r="J194" i="8"/>
  <c r="I193" i="8"/>
  <c r="K193" i="8" s="1"/>
  <c r="P191" i="8"/>
  <c r="L191" i="8"/>
  <c r="O191" i="8" s="1"/>
  <c r="J190" i="8"/>
  <c r="N189" i="8"/>
  <c r="N187" i="8" s="1"/>
  <c r="M189" i="8"/>
  <c r="L189" i="8"/>
  <c r="O189" i="8" s="1"/>
  <c r="P188" i="8"/>
  <c r="O188" i="8"/>
  <c r="N186" i="8"/>
  <c r="N184" i="8" s="1"/>
  <c r="M186" i="8"/>
  <c r="M184" i="8" s="1"/>
  <c r="L186" i="8"/>
  <c r="P185" i="8"/>
  <c r="O185" i="8"/>
  <c r="P182" i="8"/>
  <c r="O182" i="8"/>
  <c r="N182" i="8"/>
  <c r="M182" i="8"/>
  <c r="L182" i="8"/>
  <c r="J177" i="8"/>
  <c r="J164" i="8" s="1"/>
  <c r="I176" i="8"/>
  <c r="K176" i="8" s="1"/>
  <c r="J174" i="8"/>
  <c r="N173" i="8"/>
  <c r="N171" i="8" s="1"/>
  <c r="M173" i="8"/>
  <c r="L173" i="8"/>
  <c r="P172" i="8"/>
  <c r="O172" i="8"/>
  <c r="N170" i="8"/>
  <c r="M170" i="8"/>
  <c r="M168" i="8" s="1"/>
  <c r="P168" i="8" s="1"/>
  <c r="L170" i="8"/>
  <c r="O170" i="8" s="1"/>
  <c r="P169" i="8"/>
  <c r="O169" i="8"/>
  <c r="P166" i="8"/>
  <c r="O166" i="8"/>
  <c r="N166" i="8"/>
  <c r="M166" i="8"/>
  <c r="L166" i="8"/>
  <c r="I159" i="8"/>
  <c r="K159" i="8" s="1"/>
  <c r="N157" i="8"/>
  <c r="N155" i="8" s="1"/>
  <c r="M157" i="8"/>
  <c r="P157" i="8" s="1"/>
  <c r="L157" i="8"/>
  <c r="L155" i="8" s="1"/>
  <c r="O155" i="8" s="1"/>
  <c r="P156" i="8"/>
  <c r="O156" i="8"/>
  <c r="N154" i="8"/>
  <c r="M154" i="8"/>
  <c r="P154" i="8" s="1"/>
  <c r="L154" i="8"/>
  <c r="O154" i="8" s="1"/>
  <c r="P153" i="8"/>
  <c r="O153" i="8"/>
  <c r="P150" i="8"/>
  <c r="N150" i="8"/>
  <c r="M150" i="8"/>
  <c r="L150" i="8"/>
  <c r="J148" i="8"/>
  <c r="I146" i="8"/>
  <c r="K146" i="8" s="1"/>
  <c r="I145" i="8"/>
  <c r="I144" i="8"/>
  <c r="N140" i="8"/>
  <c r="N138" i="8" s="1"/>
  <c r="M140" i="8"/>
  <c r="M138" i="8" s="1"/>
  <c r="P138" i="8" s="1"/>
  <c r="L140" i="8"/>
  <c r="L138" i="8" s="1"/>
  <c r="O138" i="8" s="1"/>
  <c r="P139" i="8"/>
  <c r="O139" i="8"/>
  <c r="N137" i="8"/>
  <c r="N135" i="8" s="1"/>
  <c r="M137" i="8"/>
  <c r="L137" i="8"/>
  <c r="P136" i="8"/>
  <c r="O136" i="8"/>
  <c r="O133" i="8"/>
  <c r="N133" i="8"/>
  <c r="M133" i="8"/>
  <c r="P133" i="8" s="1"/>
  <c r="L133" i="8"/>
  <c r="J130" i="8"/>
  <c r="N127" i="8"/>
  <c r="M127" i="8"/>
  <c r="P127" i="8" s="1"/>
  <c r="L127" i="8"/>
  <c r="O127" i="8" s="1"/>
  <c r="P126" i="8"/>
  <c r="O126" i="8"/>
  <c r="N124" i="8"/>
  <c r="N122" i="8" s="1"/>
  <c r="M124" i="8"/>
  <c r="P124" i="8" s="1"/>
  <c r="L124" i="8"/>
  <c r="P123" i="8"/>
  <c r="O123" i="8"/>
  <c r="P120" i="8"/>
  <c r="N120" i="8"/>
  <c r="M120" i="8"/>
  <c r="L120" i="8"/>
  <c r="I116" i="8"/>
  <c r="I115" i="8"/>
  <c r="K115" i="8" s="1"/>
  <c r="I114" i="8"/>
  <c r="K114" i="8" s="1"/>
  <c r="I113" i="8"/>
  <c r="K113" i="8" s="1"/>
  <c r="J112" i="8"/>
  <c r="J111" i="8"/>
  <c r="I111" i="8"/>
  <c r="I110" i="8"/>
  <c r="K110" i="8" s="1"/>
  <c r="I109" i="8"/>
  <c r="K109" i="8" s="1"/>
  <c r="I107" i="8"/>
  <c r="K107" i="8" s="1"/>
  <c r="I106" i="8"/>
  <c r="K106" i="8" s="1"/>
  <c r="I104" i="8"/>
  <c r="K104" i="8" s="1"/>
  <c r="I103" i="8"/>
  <c r="K103" i="8" s="1"/>
  <c r="I102" i="8"/>
  <c r="K102" i="8" s="1"/>
  <c r="J100" i="8"/>
  <c r="I100" i="8"/>
  <c r="K100" i="8" s="1"/>
  <c r="J99" i="8"/>
  <c r="J87" i="8" s="1"/>
  <c r="I99" i="8"/>
  <c r="I87" i="8" s="1"/>
  <c r="J98" i="8"/>
  <c r="I98" i="8"/>
  <c r="N96" i="8"/>
  <c r="N94" i="8" s="1"/>
  <c r="M96" i="8"/>
  <c r="P96" i="8" s="1"/>
  <c r="L96" i="8"/>
  <c r="O96" i="8" s="1"/>
  <c r="P95" i="8"/>
  <c r="O95" i="8"/>
  <c r="N93" i="8"/>
  <c r="M93" i="8"/>
  <c r="L93" i="8"/>
  <c r="P92" i="8"/>
  <c r="O92" i="8"/>
  <c r="P89" i="8"/>
  <c r="O89" i="8"/>
  <c r="N89" i="8"/>
  <c r="M89" i="8"/>
  <c r="L89" i="8"/>
  <c r="J86" i="8"/>
  <c r="I84" i="8"/>
  <c r="K84" i="8" s="1"/>
  <c r="I83" i="8"/>
  <c r="I82" i="8"/>
  <c r="K82" i="8" s="1"/>
  <c r="I81" i="8"/>
  <c r="K81" i="8" s="1"/>
  <c r="I80" i="8"/>
  <c r="I79" i="8"/>
  <c r="K79" i="8" s="1"/>
  <c r="I78" i="8"/>
  <c r="K78" i="8" s="1"/>
  <c r="J77" i="8"/>
  <c r="J65" i="8" s="1"/>
  <c r="J76" i="8"/>
  <c r="N74" i="8"/>
  <c r="N72" i="8" s="1"/>
  <c r="M74" i="8"/>
  <c r="M72" i="8" s="1"/>
  <c r="P72" i="8" s="1"/>
  <c r="L74" i="8"/>
  <c r="L72" i="8" s="1"/>
  <c r="O72" i="8" s="1"/>
  <c r="P73" i="8"/>
  <c r="O73" i="8"/>
  <c r="N71" i="8"/>
  <c r="N69" i="8" s="1"/>
  <c r="M71" i="8"/>
  <c r="P71" i="8" s="1"/>
  <c r="L71" i="8"/>
  <c r="O71" i="8" s="1"/>
  <c r="P70" i="8"/>
  <c r="O70" i="8"/>
  <c r="O67" i="8"/>
  <c r="N67" i="8"/>
  <c r="M67" i="8"/>
  <c r="P67" i="8" s="1"/>
  <c r="L67" i="8"/>
  <c r="J64" i="8"/>
  <c r="N61" i="8"/>
  <c r="N59" i="8" s="1"/>
  <c r="M61" i="8"/>
  <c r="L61" i="8"/>
  <c r="P60" i="8"/>
  <c r="O60" i="8"/>
  <c r="N58" i="8"/>
  <c r="N56" i="8" s="1"/>
  <c r="M58" i="8"/>
  <c r="L58" i="8"/>
  <c r="L56" i="8" s="1"/>
  <c r="P57" i="8"/>
  <c r="O57" i="8"/>
  <c r="P54" i="8"/>
  <c r="N54" i="8"/>
  <c r="M54" i="8"/>
  <c r="L54" i="8"/>
  <c r="N49" i="8"/>
  <c r="N47" i="8" s="1"/>
  <c r="M49" i="8"/>
  <c r="P49" i="8" s="1"/>
  <c r="L49" i="8"/>
  <c r="O49" i="8" s="1"/>
  <c r="P48" i="8"/>
  <c r="O48" i="8"/>
  <c r="N46" i="8"/>
  <c r="M46" i="8"/>
  <c r="M44" i="8" s="1"/>
  <c r="L46" i="8"/>
  <c r="L44" i="8" s="1"/>
  <c r="P45" i="8"/>
  <c r="O45" i="8"/>
  <c r="O42" i="8"/>
  <c r="N42" i="8"/>
  <c r="M42" i="8"/>
  <c r="P42" i="8" s="1"/>
  <c r="L42" i="8"/>
  <c r="P36" i="8"/>
  <c r="N36" i="8"/>
  <c r="M36" i="8"/>
  <c r="P35" i="8"/>
  <c r="O35" i="8"/>
  <c r="N35" i="8"/>
  <c r="M35" i="8"/>
  <c r="L35" i="8"/>
  <c r="P34" i="8"/>
  <c r="N34" i="8"/>
  <c r="M34" i="8"/>
  <c r="N33" i="8"/>
  <c r="N30" i="8" s="1"/>
  <c r="M33" i="8"/>
  <c r="N32" i="8"/>
  <c r="M32" i="8"/>
  <c r="L32" i="8"/>
  <c r="M31" i="8"/>
  <c r="P31" i="8" s="1"/>
  <c r="N25" i="8"/>
  <c r="M25" i="8"/>
  <c r="L25" i="8"/>
  <c r="P22" i="8"/>
  <c r="O22" i="8"/>
  <c r="N22" i="8"/>
  <c r="M22" i="8"/>
  <c r="L22" i="8"/>
  <c r="N19" i="8"/>
  <c r="M19" i="8"/>
  <c r="P19" i="8" s="1"/>
  <c r="L19" i="8"/>
  <c r="O19" i="8" s="1"/>
  <c r="N12" i="8"/>
  <c r="M12" i="8"/>
  <c r="L12" i="8"/>
  <c r="J828" i="7"/>
  <c r="I828" i="7"/>
  <c r="J827" i="7"/>
  <c r="I827" i="7"/>
  <c r="J826" i="7"/>
  <c r="I826" i="7"/>
  <c r="K826" i="7" s="1"/>
  <c r="J825" i="7"/>
  <c r="I825" i="7"/>
  <c r="K825" i="7" s="1"/>
  <c r="J824" i="7"/>
  <c r="I824" i="7"/>
  <c r="J823" i="7"/>
  <c r="I823" i="7"/>
  <c r="J822" i="7"/>
  <c r="I822" i="7"/>
  <c r="J821" i="7"/>
  <c r="I821" i="7"/>
  <c r="P817" i="7"/>
  <c r="O817" i="7"/>
  <c r="P816" i="7"/>
  <c r="O816" i="7"/>
  <c r="N815" i="7"/>
  <c r="M815" i="7"/>
  <c r="P815" i="7" s="1"/>
  <c r="L815" i="7"/>
  <c r="O815" i="7" s="1"/>
  <c r="P810" i="7"/>
  <c r="O810" i="7"/>
  <c r="N810" i="7"/>
  <c r="P809" i="7"/>
  <c r="O809" i="7"/>
  <c r="M808" i="7"/>
  <c r="P808" i="7" s="1"/>
  <c r="L808" i="7"/>
  <c r="O808" i="7" s="1"/>
  <c r="M807" i="7"/>
  <c r="L807" i="7"/>
  <c r="N806" i="7"/>
  <c r="M806" i="7"/>
  <c r="P806" i="7" s="1"/>
  <c r="L806" i="7"/>
  <c r="O806" i="7" s="1"/>
  <c r="K804" i="7"/>
  <c r="J804" i="7"/>
  <c r="K802" i="7"/>
  <c r="J801" i="7"/>
  <c r="J800" i="7"/>
  <c r="J785" i="7" s="1"/>
  <c r="I800" i="7"/>
  <c r="K800" i="7" s="1"/>
  <c r="P798" i="7"/>
  <c r="O798" i="7"/>
  <c r="P797" i="7"/>
  <c r="O797" i="7"/>
  <c r="P796" i="7"/>
  <c r="N796" i="7"/>
  <c r="M796" i="7"/>
  <c r="L796" i="7"/>
  <c r="O796" i="7" s="1"/>
  <c r="P791" i="7"/>
  <c r="N791" i="7"/>
  <c r="N789" i="7" s="1"/>
  <c r="L791" i="7"/>
  <c r="L788" i="7" s="1"/>
  <c r="P790" i="7"/>
  <c r="O790" i="7"/>
  <c r="M789" i="7"/>
  <c r="P789" i="7" s="1"/>
  <c r="N788" i="7"/>
  <c r="M788" i="7"/>
  <c r="P788" i="7" s="1"/>
  <c r="N787" i="7"/>
  <c r="M787" i="7"/>
  <c r="P787" i="7" s="1"/>
  <c r="L787" i="7"/>
  <c r="O787" i="7" s="1"/>
  <c r="P782" i="7"/>
  <c r="O782" i="7"/>
  <c r="P781" i="7"/>
  <c r="O781" i="7"/>
  <c r="P780" i="7"/>
  <c r="N780" i="7"/>
  <c r="M780" i="7"/>
  <c r="L780" i="7"/>
  <c r="O780" i="7" s="1"/>
  <c r="P775" i="7"/>
  <c r="O775" i="7"/>
  <c r="N775" i="7"/>
  <c r="N772" i="7" s="1"/>
  <c r="P774" i="7"/>
  <c r="O774" i="7"/>
  <c r="P773" i="7"/>
  <c r="M773" i="7"/>
  <c r="L773" i="7"/>
  <c r="O773" i="7" s="1"/>
  <c r="O772" i="7"/>
  <c r="M772" i="7"/>
  <c r="L772" i="7"/>
  <c r="N771" i="7"/>
  <c r="M771" i="7"/>
  <c r="P771" i="7" s="1"/>
  <c r="L771" i="7"/>
  <c r="K769" i="7"/>
  <c r="J769" i="7"/>
  <c r="P766" i="7"/>
  <c r="O766" i="7"/>
  <c r="P765" i="7"/>
  <c r="O765" i="7"/>
  <c r="N764" i="7"/>
  <c r="M764" i="7"/>
  <c r="P764" i="7" s="1"/>
  <c r="L764" i="7"/>
  <c r="O764" i="7" s="1"/>
  <c r="P759" i="7"/>
  <c r="O759" i="7"/>
  <c r="N759" i="7"/>
  <c r="N756" i="7" s="1"/>
  <c r="P758" i="7"/>
  <c r="O758" i="7"/>
  <c r="M757" i="7"/>
  <c r="P757" i="7" s="1"/>
  <c r="L757" i="7"/>
  <c r="O757" i="7" s="1"/>
  <c r="O756" i="7"/>
  <c r="M756" i="7"/>
  <c r="L756" i="7"/>
  <c r="P755" i="7"/>
  <c r="N755" i="7"/>
  <c r="M755" i="7"/>
  <c r="L755" i="7"/>
  <c r="K753" i="7"/>
  <c r="J753" i="7"/>
  <c r="P749" i="7"/>
  <c r="O749" i="7"/>
  <c r="P748" i="7"/>
  <c r="O748" i="7"/>
  <c r="N747" i="7"/>
  <c r="M747" i="7"/>
  <c r="P747" i="7" s="1"/>
  <c r="L747" i="7"/>
  <c r="O747" i="7" s="1"/>
  <c r="P742" i="7"/>
  <c r="O742" i="7"/>
  <c r="N742" i="7"/>
  <c r="N739" i="7" s="1"/>
  <c r="N737" i="7" s="1"/>
  <c r="P741" i="7"/>
  <c r="O741" i="7"/>
  <c r="M740" i="7"/>
  <c r="P740" i="7" s="1"/>
  <c r="L740" i="7"/>
  <c r="O740" i="7" s="1"/>
  <c r="M739" i="7"/>
  <c r="L739" i="7"/>
  <c r="O739" i="7" s="1"/>
  <c r="N738" i="7"/>
  <c r="M738" i="7"/>
  <c r="P738" i="7" s="1"/>
  <c r="L738" i="7"/>
  <c r="K736" i="7"/>
  <c r="J736" i="7"/>
  <c r="J729" i="7"/>
  <c r="I729" i="7"/>
  <c r="K729" i="7" s="1"/>
  <c r="J728" i="7"/>
  <c r="I728" i="7"/>
  <c r="K728" i="7" s="1"/>
  <c r="J727" i="7"/>
  <c r="J726" i="7"/>
  <c r="I726" i="7"/>
  <c r="K726" i="7" s="1"/>
  <c r="J725" i="7"/>
  <c r="I725" i="7"/>
  <c r="K725" i="7" s="1"/>
  <c r="J724" i="7"/>
  <c r="J723" i="7"/>
  <c r="I723" i="7"/>
  <c r="K723" i="7" s="1"/>
  <c r="I722" i="7"/>
  <c r="K722" i="7" s="1"/>
  <c r="I721" i="7"/>
  <c r="K721" i="7" s="1"/>
  <c r="J720" i="7"/>
  <c r="I720" i="7"/>
  <c r="K720" i="7" s="1"/>
  <c r="J719" i="7"/>
  <c r="J718" i="7"/>
  <c r="J708" i="7"/>
  <c r="I708" i="7"/>
  <c r="K708" i="7" s="1"/>
  <c r="I707" i="7"/>
  <c r="I704" i="7"/>
  <c r="J701" i="7"/>
  <c r="I701" i="7"/>
  <c r="K701" i="7" s="1"/>
  <c r="J700" i="7"/>
  <c r="I700" i="7"/>
  <c r="K700" i="7" s="1"/>
  <c r="J699" i="7"/>
  <c r="I699" i="7"/>
  <c r="K699" i="7" s="1"/>
  <c r="P697" i="7"/>
  <c r="O697" i="7"/>
  <c r="P696" i="7"/>
  <c r="O696" i="7"/>
  <c r="N695" i="7"/>
  <c r="M695" i="7"/>
  <c r="P695" i="7" s="1"/>
  <c r="L695" i="7"/>
  <c r="O695" i="7" s="1"/>
  <c r="P690" i="7"/>
  <c r="N690" i="7"/>
  <c r="N688" i="7" s="1"/>
  <c r="M688" i="7"/>
  <c r="P688" i="7" s="1"/>
  <c r="N687" i="7"/>
  <c r="M687" i="7"/>
  <c r="P687" i="7" s="1"/>
  <c r="N686" i="7"/>
  <c r="M686" i="7"/>
  <c r="P686" i="7" s="1"/>
  <c r="L686" i="7"/>
  <c r="O686" i="7" s="1"/>
  <c r="M685" i="7"/>
  <c r="P685" i="7" s="1"/>
  <c r="J679" i="7"/>
  <c r="J678" i="7" s="1"/>
  <c r="I678" i="7"/>
  <c r="K678" i="7" s="1"/>
  <c r="J675" i="7"/>
  <c r="J669" i="7" s="1"/>
  <c r="J654" i="7" s="1"/>
  <c r="I671" i="7"/>
  <c r="K671" i="7" s="1"/>
  <c r="I670" i="7"/>
  <c r="K670" i="7" s="1"/>
  <c r="I669" i="7"/>
  <c r="K673" i="7" s="1"/>
  <c r="P667" i="7"/>
  <c r="O667" i="7"/>
  <c r="P666" i="7"/>
  <c r="O666" i="7"/>
  <c r="N665" i="7"/>
  <c r="M665" i="7"/>
  <c r="P665" i="7" s="1"/>
  <c r="L665" i="7"/>
  <c r="O665" i="7" s="1"/>
  <c r="P660" i="7"/>
  <c r="N660" i="7"/>
  <c r="N657" i="7" s="1"/>
  <c r="O660" i="7"/>
  <c r="P659" i="7"/>
  <c r="O659" i="7"/>
  <c r="M658" i="7"/>
  <c r="P658" i="7" s="1"/>
  <c r="M657" i="7"/>
  <c r="P657" i="7" s="1"/>
  <c r="N656" i="7"/>
  <c r="M656" i="7"/>
  <c r="M655" i="7" s="1"/>
  <c r="P655" i="7" s="1"/>
  <c r="L656" i="7"/>
  <c r="K652" i="7"/>
  <c r="J652" i="7"/>
  <c r="J651" i="7"/>
  <c r="J628" i="7" s="1"/>
  <c r="I651" i="7"/>
  <c r="K650" i="7"/>
  <c r="J650" i="7"/>
  <c r="J649" i="7"/>
  <c r="I649" i="7"/>
  <c r="K648" i="7"/>
  <c r="J648" i="7"/>
  <c r="J647" i="7"/>
  <c r="I647" i="7"/>
  <c r="K646" i="7"/>
  <c r="J646" i="7"/>
  <c r="K645" i="7"/>
  <c r="J645" i="7"/>
  <c r="I644" i="7"/>
  <c r="K644" i="7" s="1"/>
  <c r="I643" i="7"/>
  <c r="K643" i="7" s="1"/>
  <c r="P641" i="7"/>
  <c r="L641" i="7"/>
  <c r="P640" i="7"/>
  <c r="O640" i="7"/>
  <c r="N639" i="7"/>
  <c r="M639" i="7"/>
  <c r="P639" i="7" s="1"/>
  <c r="P634" i="7"/>
  <c r="N634" i="7"/>
  <c r="L634" i="7"/>
  <c r="O634" i="7" s="1"/>
  <c r="P633" i="7"/>
  <c r="O633" i="7"/>
  <c r="P632" i="7"/>
  <c r="N632" i="7"/>
  <c r="M632" i="7"/>
  <c r="N631" i="7"/>
  <c r="M631" i="7"/>
  <c r="P631" i="7" s="1"/>
  <c r="P630" i="7"/>
  <c r="N630" i="7"/>
  <c r="N629" i="7" s="1"/>
  <c r="M630" i="7"/>
  <c r="M629" i="7" s="1"/>
  <c r="P629" i="7" s="1"/>
  <c r="L630" i="7"/>
  <c r="O630" i="7" s="1"/>
  <c r="J621" i="7"/>
  <c r="I621" i="7"/>
  <c r="K621" i="7" s="1"/>
  <c r="J620" i="7"/>
  <c r="I620" i="7"/>
  <c r="K620" i="7" s="1"/>
  <c r="K613" i="7"/>
  <c r="J613" i="7"/>
  <c r="K612" i="7"/>
  <c r="J612" i="7"/>
  <c r="K611" i="7"/>
  <c r="J611" i="7"/>
  <c r="J604" i="7"/>
  <c r="J603" i="7"/>
  <c r="J596" i="7"/>
  <c r="J595" i="7"/>
  <c r="J594" i="7"/>
  <c r="I594" i="7"/>
  <c r="J593" i="7"/>
  <c r="I593" i="7"/>
  <c r="I592" i="7" s="1"/>
  <c r="K592" i="7" s="1"/>
  <c r="J592" i="7"/>
  <c r="J583" i="7"/>
  <c r="J577" i="7" s="1"/>
  <c r="J582" i="7"/>
  <c r="J576" i="7" s="1"/>
  <c r="J559" i="7" s="1"/>
  <c r="J543" i="7" s="1"/>
  <c r="I577" i="7"/>
  <c r="K577" i="7" s="1"/>
  <c r="I576" i="7"/>
  <c r="K576" i="7" s="1"/>
  <c r="J569" i="7"/>
  <c r="I569" i="7"/>
  <c r="K569" i="7" s="1"/>
  <c r="J568" i="7"/>
  <c r="I568" i="7"/>
  <c r="K568" i="7" s="1"/>
  <c r="J561" i="7"/>
  <c r="I561" i="7"/>
  <c r="K561" i="7" s="1"/>
  <c r="J560" i="7"/>
  <c r="I560" i="7"/>
  <c r="K560" i="7" s="1"/>
  <c r="P557" i="7"/>
  <c r="L557" i="7"/>
  <c r="P556" i="7"/>
  <c r="O556" i="7"/>
  <c r="N555" i="7"/>
  <c r="M555" i="7"/>
  <c r="N553" i="7"/>
  <c r="P549" i="7"/>
  <c r="N549" i="7"/>
  <c r="N546" i="7" s="1"/>
  <c r="L549" i="7"/>
  <c r="P548" i="7"/>
  <c r="O548" i="7"/>
  <c r="N547" i="7"/>
  <c r="M547" i="7"/>
  <c r="P547" i="7" s="1"/>
  <c r="M546" i="7"/>
  <c r="P546" i="7" s="1"/>
  <c r="N545" i="7"/>
  <c r="L545" i="7"/>
  <c r="I542" i="7"/>
  <c r="K542" i="7" s="1"/>
  <c r="I541" i="7"/>
  <c r="K541" i="7" s="1"/>
  <c r="I540" i="7"/>
  <c r="K540" i="7" s="1"/>
  <c r="I539" i="7"/>
  <c r="K539" i="7" s="1"/>
  <c r="I538" i="7"/>
  <c r="K538" i="7" s="1"/>
  <c r="I537" i="7"/>
  <c r="K537" i="7" s="1"/>
  <c r="P535" i="7"/>
  <c r="L535" i="7"/>
  <c r="L533" i="7" s="1"/>
  <c r="O533" i="7" s="1"/>
  <c r="P534" i="7"/>
  <c r="O534" i="7"/>
  <c r="N533" i="7"/>
  <c r="M533" i="7"/>
  <c r="P533" i="7" s="1"/>
  <c r="P528" i="7"/>
  <c r="N528" i="7"/>
  <c r="N525" i="7" s="1"/>
  <c r="L528" i="7"/>
  <c r="O528" i="7" s="1"/>
  <c r="P527" i="7"/>
  <c r="O527" i="7"/>
  <c r="P526" i="7"/>
  <c r="N526" i="7"/>
  <c r="M526" i="7"/>
  <c r="L526" i="7"/>
  <c r="O526" i="7" s="1"/>
  <c r="M525" i="7"/>
  <c r="M523" i="7" s="1"/>
  <c r="P523" i="7" s="1"/>
  <c r="P524" i="7"/>
  <c r="O524" i="7"/>
  <c r="N524" i="7"/>
  <c r="M524" i="7"/>
  <c r="L524" i="7"/>
  <c r="N523" i="7"/>
  <c r="K517" i="7"/>
  <c r="J517" i="7"/>
  <c r="J501" i="7" s="1"/>
  <c r="K516" i="7"/>
  <c r="P514" i="7"/>
  <c r="O514" i="7"/>
  <c r="P513" i="7"/>
  <c r="O513" i="7"/>
  <c r="P512" i="7"/>
  <c r="N512" i="7"/>
  <c r="M512" i="7"/>
  <c r="L512" i="7"/>
  <c r="O512" i="7" s="1"/>
  <c r="P507" i="7"/>
  <c r="O507" i="7"/>
  <c r="N507" i="7"/>
  <c r="P506" i="7"/>
  <c r="O506" i="7"/>
  <c r="P505" i="7"/>
  <c r="N505" i="7"/>
  <c r="M505" i="7"/>
  <c r="L505" i="7"/>
  <c r="O505" i="7" s="1"/>
  <c r="O504" i="7"/>
  <c r="N504" i="7"/>
  <c r="M504" i="7"/>
  <c r="P504" i="7" s="1"/>
  <c r="L504" i="7"/>
  <c r="N503" i="7"/>
  <c r="M503" i="7"/>
  <c r="P503" i="7" s="1"/>
  <c r="L503" i="7"/>
  <c r="O503" i="7" s="1"/>
  <c r="M502" i="7"/>
  <c r="P502" i="7" s="1"/>
  <c r="L502" i="7"/>
  <c r="O502" i="7" s="1"/>
  <c r="K501" i="7"/>
  <c r="K500" i="7"/>
  <c r="J500" i="7"/>
  <c r="I498" i="7"/>
  <c r="K498" i="7" s="1"/>
  <c r="I495" i="7"/>
  <c r="K495" i="7" s="1"/>
  <c r="I492" i="7"/>
  <c r="K492" i="7" s="1"/>
  <c r="I489" i="7"/>
  <c r="K489" i="7" s="1"/>
  <c r="I487" i="7"/>
  <c r="K487" i="7" s="1"/>
  <c r="I485" i="7"/>
  <c r="K485" i="7" s="1"/>
  <c r="I483" i="7"/>
  <c r="K483" i="7" s="1"/>
  <c r="P479" i="7"/>
  <c r="L479" i="7"/>
  <c r="P478" i="7"/>
  <c r="O478" i="7"/>
  <c r="N477" i="7"/>
  <c r="M477" i="7"/>
  <c r="P477" i="7" s="1"/>
  <c r="P472" i="7"/>
  <c r="N472" i="7"/>
  <c r="L472" i="7"/>
  <c r="O472" i="7" s="1"/>
  <c r="P471" i="7"/>
  <c r="O471" i="7"/>
  <c r="P470" i="7"/>
  <c r="N470" i="7"/>
  <c r="M470" i="7"/>
  <c r="N469" i="7"/>
  <c r="M469" i="7"/>
  <c r="P469" i="7" s="1"/>
  <c r="N468" i="7"/>
  <c r="N467" i="7" s="1"/>
  <c r="M468" i="7"/>
  <c r="P468" i="7" s="1"/>
  <c r="L468" i="7"/>
  <c r="O468" i="7" s="1"/>
  <c r="M467" i="7"/>
  <c r="P467" i="7" s="1"/>
  <c r="J466" i="7"/>
  <c r="I466" i="7"/>
  <c r="K466" i="7" s="1"/>
  <c r="J465" i="7"/>
  <c r="I465" i="7"/>
  <c r="I464" i="7"/>
  <c r="I463" i="7"/>
  <c r="I462" i="7"/>
  <c r="I443" i="7" s="1"/>
  <c r="K443" i="7" s="1"/>
  <c r="I460" i="7"/>
  <c r="K460" i="7" s="1"/>
  <c r="K458" i="7"/>
  <c r="P456" i="7"/>
  <c r="L456" i="7"/>
  <c r="L454" i="7" s="1"/>
  <c r="O454" i="7" s="1"/>
  <c r="P455" i="7"/>
  <c r="O455" i="7"/>
  <c r="P454" i="7"/>
  <c r="N454" i="7"/>
  <c r="M454" i="7"/>
  <c r="P449" i="7"/>
  <c r="N449" i="7"/>
  <c r="L449" i="7"/>
  <c r="P448" i="7"/>
  <c r="O448" i="7"/>
  <c r="N447" i="7"/>
  <c r="M447" i="7"/>
  <c r="P447" i="7" s="1"/>
  <c r="P446" i="7"/>
  <c r="N446" i="7"/>
  <c r="M446" i="7"/>
  <c r="O445" i="7"/>
  <c r="N445" i="7"/>
  <c r="N444" i="7" s="1"/>
  <c r="M445" i="7"/>
  <c r="P445" i="7" s="1"/>
  <c r="L445" i="7"/>
  <c r="M444" i="7"/>
  <c r="P444" i="7" s="1"/>
  <c r="J443" i="7"/>
  <c r="J442" i="7"/>
  <c r="I441" i="7"/>
  <c r="K441" i="7" s="1"/>
  <c r="I440" i="7"/>
  <c r="K440" i="7" s="1"/>
  <c r="I439" i="7"/>
  <c r="K439" i="7" s="1"/>
  <c r="I438" i="7"/>
  <c r="I437" i="7"/>
  <c r="K437" i="7" s="1"/>
  <c r="I435" i="7"/>
  <c r="K435" i="7" s="1"/>
  <c r="J434" i="7"/>
  <c r="P431" i="7"/>
  <c r="L431" i="7"/>
  <c r="O431" i="7" s="1"/>
  <c r="P430" i="7"/>
  <c r="O430" i="7"/>
  <c r="P429" i="7"/>
  <c r="N429" i="7"/>
  <c r="M429" i="7"/>
  <c r="P424" i="7"/>
  <c r="N424" i="7"/>
  <c r="L424" i="7"/>
  <c r="L422" i="7" s="1"/>
  <c r="O422" i="7" s="1"/>
  <c r="P423" i="7"/>
  <c r="O423" i="7"/>
  <c r="P422" i="7"/>
  <c r="N422" i="7"/>
  <c r="M422" i="7"/>
  <c r="P421" i="7"/>
  <c r="N421" i="7"/>
  <c r="M421" i="7"/>
  <c r="O420" i="7"/>
  <c r="N420" i="7"/>
  <c r="M420" i="7"/>
  <c r="P420" i="7" s="1"/>
  <c r="L420" i="7"/>
  <c r="N419" i="7"/>
  <c r="J418" i="7"/>
  <c r="K413" i="7"/>
  <c r="K412" i="7"/>
  <c r="N410" i="7"/>
  <c r="N408" i="7" s="1"/>
  <c r="M410" i="7"/>
  <c r="M408" i="7" s="1"/>
  <c r="P408" i="7" s="1"/>
  <c r="L410" i="7"/>
  <c r="P409" i="7"/>
  <c r="O409" i="7"/>
  <c r="N407" i="7"/>
  <c r="M407" i="7"/>
  <c r="P407" i="7" s="1"/>
  <c r="L407" i="7"/>
  <c r="P406" i="7"/>
  <c r="O406" i="7"/>
  <c r="O403" i="7"/>
  <c r="N403" i="7"/>
  <c r="M403" i="7"/>
  <c r="L403" i="7"/>
  <c r="K401" i="7"/>
  <c r="J401" i="7"/>
  <c r="I401" i="7"/>
  <c r="K400" i="7"/>
  <c r="K399" i="7"/>
  <c r="N397" i="7"/>
  <c r="N395" i="7" s="1"/>
  <c r="M397" i="7"/>
  <c r="L397" i="7"/>
  <c r="L395" i="7" s="1"/>
  <c r="O395" i="7" s="1"/>
  <c r="P396" i="7"/>
  <c r="O396" i="7"/>
  <c r="N394" i="7"/>
  <c r="N392" i="7" s="1"/>
  <c r="M394" i="7"/>
  <c r="P394" i="7" s="1"/>
  <c r="L394" i="7"/>
  <c r="P393" i="7"/>
  <c r="O393" i="7"/>
  <c r="O390" i="7"/>
  <c r="N390" i="7"/>
  <c r="M390" i="7"/>
  <c r="P390" i="7" s="1"/>
  <c r="L390" i="7"/>
  <c r="J388" i="7"/>
  <c r="I388" i="7"/>
  <c r="K388" i="7" s="1"/>
  <c r="J385" i="7"/>
  <c r="I385" i="7"/>
  <c r="K382" i="7"/>
  <c r="J382" i="7"/>
  <c r="J381" i="7"/>
  <c r="J374" i="7" s="1"/>
  <c r="I381" i="7"/>
  <c r="K380" i="7"/>
  <c r="J380" i="7"/>
  <c r="J379" i="7"/>
  <c r="I379" i="7"/>
  <c r="J378" i="7"/>
  <c r="I378" i="7"/>
  <c r="K377" i="7"/>
  <c r="J377" i="7"/>
  <c r="I374" i="7"/>
  <c r="K373" i="7"/>
  <c r="J373" i="7"/>
  <c r="J372" i="7"/>
  <c r="J365" i="7" s="1"/>
  <c r="I372" i="7"/>
  <c r="K371" i="7"/>
  <c r="J371" i="7"/>
  <c r="J370" i="7"/>
  <c r="I370" i="7"/>
  <c r="J369" i="7"/>
  <c r="I369" i="7"/>
  <c r="K368" i="7"/>
  <c r="J368" i="7"/>
  <c r="I365" i="7"/>
  <c r="K363" i="7"/>
  <c r="J363" i="7"/>
  <c r="J362" i="7"/>
  <c r="J355" i="7" s="1"/>
  <c r="I362" i="7"/>
  <c r="K361" i="7"/>
  <c r="J361" i="7"/>
  <c r="J360" i="7"/>
  <c r="I360" i="7"/>
  <c r="J359" i="7"/>
  <c r="I359" i="7"/>
  <c r="K358" i="7"/>
  <c r="J358" i="7"/>
  <c r="I355" i="7"/>
  <c r="N353" i="7"/>
  <c r="N351" i="7" s="1"/>
  <c r="M353" i="7"/>
  <c r="L353" i="7"/>
  <c r="L351" i="7" s="1"/>
  <c r="P352" i="7"/>
  <c r="O352" i="7"/>
  <c r="N350" i="7"/>
  <c r="N348" i="7" s="1"/>
  <c r="M350" i="7"/>
  <c r="L350" i="7"/>
  <c r="P349" i="7"/>
  <c r="O349" i="7"/>
  <c r="P346" i="7"/>
  <c r="O346" i="7"/>
  <c r="N346" i="7"/>
  <c r="M346" i="7"/>
  <c r="L346" i="7"/>
  <c r="J343" i="7"/>
  <c r="J342" i="7"/>
  <c r="J341" i="7"/>
  <c r="J340" i="7"/>
  <c r="I340" i="7"/>
  <c r="J338" i="7"/>
  <c r="I338" i="7"/>
  <c r="N336" i="7"/>
  <c r="M336" i="7"/>
  <c r="P336" i="7" s="1"/>
  <c r="L336" i="7"/>
  <c r="O336" i="7" s="1"/>
  <c r="P335" i="7"/>
  <c r="O335" i="7"/>
  <c r="N333" i="7"/>
  <c r="N331" i="7" s="1"/>
  <c r="M333" i="7"/>
  <c r="L333" i="7"/>
  <c r="L331" i="7" s="1"/>
  <c r="P332" i="7"/>
  <c r="O332" i="7"/>
  <c r="O329" i="7"/>
  <c r="N329" i="7"/>
  <c r="M329" i="7"/>
  <c r="P329" i="7" s="1"/>
  <c r="L329" i="7"/>
  <c r="I327" i="7"/>
  <c r="I325" i="7"/>
  <c r="K325" i="7" s="1"/>
  <c r="N323" i="7"/>
  <c r="N321" i="7" s="1"/>
  <c r="M323" i="7"/>
  <c r="P323" i="7" s="1"/>
  <c r="L323" i="7"/>
  <c r="O323" i="7" s="1"/>
  <c r="P322" i="7"/>
  <c r="O322" i="7"/>
  <c r="N320" i="7"/>
  <c r="M320" i="7"/>
  <c r="L320" i="7"/>
  <c r="O320" i="7" s="1"/>
  <c r="P319" i="7"/>
  <c r="O319" i="7"/>
  <c r="O316" i="7"/>
  <c r="N316" i="7"/>
  <c r="M316" i="7"/>
  <c r="L316" i="7"/>
  <c r="J314" i="7"/>
  <c r="I312" i="7"/>
  <c r="K312" i="7" s="1"/>
  <c r="I311" i="7"/>
  <c r="K311" i="7" s="1"/>
  <c r="I310" i="7"/>
  <c r="K310" i="7" s="1"/>
  <c r="I309" i="7"/>
  <c r="I297" i="7" s="1"/>
  <c r="K297" i="7" s="1"/>
  <c r="N306" i="7"/>
  <c r="N304" i="7" s="1"/>
  <c r="M306" i="7"/>
  <c r="P306" i="7" s="1"/>
  <c r="L306" i="7"/>
  <c r="P305" i="7"/>
  <c r="O305" i="7"/>
  <c r="N303" i="7"/>
  <c r="M303" i="7"/>
  <c r="P303" i="7" s="1"/>
  <c r="L303" i="7"/>
  <c r="L301" i="7" s="1"/>
  <c r="O301" i="7" s="1"/>
  <c r="P302" i="7"/>
  <c r="O302" i="7"/>
  <c r="O299" i="7"/>
  <c r="N299" i="7"/>
  <c r="M299" i="7"/>
  <c r="P299" i="7" s="1"/>
  <c r="L299" i="7"/>
  <c r="J297" i="7"/>
  <c r="I294" i="7"/>
  <c r="K294" i="7" s="1"/>
  <c r="I293" i="7"/>
  <c r="K293" i="7" s="1"/>
  <c r="I291" i="7"/>
  <c r="K291" i="7" s="1"/>
  <c r="I290" i="7"/>
  <c r="K290" i="7" s="1"/>
  <c r="I288" i="7"/>
  <c r="I287" i="7"/>
  <c r="K287" i="7" s="1"/>
  <c r="N285" i="7"/>
  <c r="N283" i="7" s="1"/>
  <c r="M285" i="7"/>
  <c r="L285" i="7"/>
  <c r="O285" i="7" s="1"/>
  <c r="P284" i="7"/>
  <c r="O284" i="7"/>
  <c r="N282" i="7"/>
  <c r="N280" i="7" s="1"/>
  <c r="M282" i="7"/>
  <c r="P282" i="7" s="1"/>
  <c r="L282" i="7"/>
  <c r="L280" i="7" s="1"/>
  <c r="O280" i="7" s="1"/>
  <c r="P281" i="7"/>
  <c r="O281" i="7"/>
  <c r="P278" i="7"/>
  <c r="N278" i="7"/>
  <c r="M278" i="7"/>
  <c r="L278" i="7"/>
  <c r="O278" i="7" s="1"/>
  <c r="J276" i="7"/>
  <c r="I271" i="7"/>
  <c r="I260" i="7" s="1"/>
  <c r="N269" i="7"/>
  <c r="N267" i="7" s="1"/>
  <c r="M269" i="7"/>
  <c r="P269" i="7" s="1"/>
  <c r="L269" i="7"/>
  <c r="L267" i="7" s="1"/>
  <c r="O267" i="7" s="1"/>
  <c r="P268" i="7"/>
  <c r="O268" i="7"/>
  <c r="N266" i="7"/>
  <c r="N264" i="7" s="1"/>
  <c r="M266" i="7"/>
  <c r="P266" i="7" s="1"/>
  <c r="L266" i="7"/>
  <c r="P265" i="7"/>
  <c r="O265" i="7"/>
  <c r="O262" i="7"/>
  <c r="N262" i="7"/>
  <c r="M262" i="7"/>
  <c r="P262" i="7" s="1"/>
  <c r="L262" i="7"/>
  <c r="J260" i="7"/>
  <c r="K258" i="7"/>
  <c r="K257" i="7"/>
  <c r="I248" i="7"/>
  <c r="L253" i="7"/>
  <c r="L252" i="7"/>
  <c r="L251" i="7"/>
  <c r="L250" i="7"/>
  <c r="P249" i="7"/>
  <c r="N249" i="7"/>
  <c r="J248" i="7"/>
  <c r="K247" i="7"/>
  <c r="K246" i="7"/>
  <c r="I244" i="7"/>
  <c r="L242" i="7"/>
  <c r="L241" i="7"/>
  <c r="L240" i="7"/>
  <c r="L239" i="7"/>
  <c r="P238" i="7"/>
  <c r="N238" i="7"/>
  <c r="J237" i="7"/>
  <c r="J236" i="7"/>
  <c r="I236" i="7"/>
  <c r="K236" i="7" s="1"/>
  <c r="J235" i="7"/>
  <c r="I235" i="7"/>
  <c r="K235" i="7" s="1"/>
  <c r="J233" i="7"/>
  <c r="N231" i="7"/>
  <c r="N230" i="7"/>
  <c r="N229" i="7"/>
  <c r="N228" i="7"/>
  <c r="I225" i="7"/>
  <c r="K225" i="7" s="1"/>
  <c r="I224" i="7"/>
  <c r="I216" i="7" s="1"/>
  <c r="K216" i="7" s="1"/>
  <c r="I223" i="7"/>
  <c r="K223" i="7" s="1"/>
  <c r="L220" i="7"/>
  <c r="L219" i="7"/>
  <c r="L218" i="7"/>
  <c r="P217" i="7"/>
  <c r="N217" i="7"/>
  <c r="J216" i="7"/>
  <c r="I215" i="7"/>
  <c r="I208" i="7" s="1"/>
  <c r="K208" i="7" s="1"/>
  <c r="I214" i="7"/>
  <c r="K214" i="7" s="1"/>
  <c r="L212" i="7"/>
  <c r="L211" i="7"/>
  <c r="L210" i="7"/>
  <c r="P209" i="7"/>
  <c r="N209" i="7"/>
  <c r="J208" i="7"/>
  <c r="K207" i="7"/>
  <c r="K206" i="7"/>
  <c r="I204" i="7"/>
  <c r="I197" i="7" s="1"/>
  <c r="K197" i="7" s="1"/>
  <c r="L202" i="7"/>
  <c r="L201" i="7"/>
  <c r="L200" i="7"/>
  <c r="L199" i="7"/>
  <c r="P198" i="7"/>
  <c r="N198" i="7"/>
  <c r="J197" i="7"/>
  <c r="J194" i="7"/>
  <c r="I193" i="7"/>
  <c r="I190" i="7" s="1"/>
  <c r="P191" i="7"/>
  <c r="L191" i="7"/>
  <c r="O191" i="7" s="1"/>
  <c r="J190" i="7"/>
  <c r="N189" i="7"/>
  <c r="M189" i="7"/>
  <c r="P189" i="7" s="1"/>
  <c r="L189" i="7"/>
  <c r="P188" i="7"/>
  <c r="O188" i="7"/>
  <c r="N186" i="7"/>
  <c r="N184" i="7" s="1"/>
  <c r="M186" i="7"/>
  <c r="M184" i="7" s="1"/>
  <c r="L186" i="7"/>
  <c r="P185" i="7"/>
  <c r="O185" i="7"/>
  <c r="N182" i="7"/>
  <c r="M182" i="7"/>
  <c r="L182" i="7"/>
  <c r="J177" i="7"/>
  <c r="J164" i="7" s="1"/>
  <c r="I176" i="7"/>
  <c r="J174" i="7"/>
  <c r="N173" i="7"/>
  <c r="N171" i="7" s="1"/>
  <c r="M173" i="7"/>
  <c r="P173" i="7" s="1"/>
  <c r="L173" i="7"/>
  <c r="P172" i="7"/>
  <c r="O172" i="7"/>
  <c r="N170" i="7"/>
  <c r="M170" i="7"/>
  <c r="L170" i="7"/>
  <c r="P169" i="7"/>
  <c r="O169" i="7"/>
  <c r="O166" i="7"/>
  <c r="N166" i="7"/>
  <c r="M166" i="7"/>
  <c r="L166" i="7"/>
  <c r="I159" i="7"/>
  <c r="I148" i="7" s="1"/>
  <c r="K148" i="7" s="1"/>
  <c r="N157" i="7"/>
  <c r="N155" i="7" s="1"/>
  <c r="M157" i="7"/>
  <c r="P157" i="7" s="1"/>
  <c r="L157" i="7"/>
  <c r="L155" i="7" s="1"/>
  <c r="O155" i="7" s="1"/>
  <c r="P156" i="7"/>
  <c r="O156" i="7"/>
  <c r="N154" i="7"/>
  <c r="N152" i="7" s="1"/>
  <c r="M154" i="7"/>
  <c r="L154" i="7"/>
  <c r="L152" i="7" s="1"/>
  <c r="O152" i="7" s="1"/>
  <c r="P153" i="7"/>
  <c r="O153" i="7"/>
  <c r="O150" i="7"/>
  <c r="N150" i="7"/>
  <c r="M150" i="7"/>
  <c r="P150" i="7" s="1"/>
  <c r="L150" i="7"/>
  <c r="J148" i="7"/>
  <c r="I146" i="7"/>
  <c r="I130" i="7" s="1"/>
  <c r="K130" i="7" s="1"/>
  <c r="I145" i="7"/>
  <c r="K145" i="7" s="1"/>
  <c r="I144" i="7"/>
  <c r="N140" i="7"/>
  <c r="N138" i="7" s="1"/>
  <c r="M140" i="7"/>
  <c r="P140" i="7" s="1"/>
  <c r="L140" i="7"/>
  <c r="O140" i="7" s="1"/>
  <c r="P139" i="7"/>
  <c r="O139" i="7"/>
  <c r="N137" i="7"/>
  <c r="N135" i="7" s="1"/>
  <c r="M137" i="7"/>
  <c r="P137" i="7" s="1"/>
  <c r="L137" i="7"/>
  <c r="O137" i="7" s="1"/>
  <c r="P136" i="7"/>
  <c r="O136" i="7"/>
  <c r="P133" i="7"/>
  <c r="N133" i="7"/>
  <c r="M133" i="7"/>
  <c r="L133" i="7"/>
  <c r="J130" i="7"/>
  <c r="N127" i="7"/>
  <c r="N125" i="7" s="1"/>
  <c r="M127" i="7"/>
  <c r="P127" i="7" s="1"/>
  <c r="L127" i="7"/>
  <c r="P126" i="7"/>
  <c r="O126" i="7"/>
  <c r="N124" i="7"/>
  <c r="N122" i="7" s="1"/>
  <c r="M124" i="7"/>
  <c r="P124" i="7" s="1"/>
  <c r="L124" i="7"/>
  <c r="L122" i="7" s="1"/>
  <c r="O122" i="7" s="1"/>
  <c r="P123" i="7"/>
  <c r="O123" i="7"/>
  <c r="O120" i="7"/>
  <c r="N120" i="7"/>
  <c r="M120" i="7"/>
  <c r="P120" i="7" s="1"/>
  <c r="L120" i="7"/>
  <c r="I116" i="7"/>
  <c r="K116" i="7" s="1"/>
  <c r="I115" i="7"/>
  <c r="I114" i="7"/>
  <c r="K114" i="7" s="1"/>
  <c r="I113" i="7"/>
  <c r="K113" i="7" s="1"/>
  <c r="J112" i="7"/>
  <c r="J111" i="7"/>
  <c r="I111" i="7"/>
  <c r="K111" i="7" s="1"/>
  <c r="I110" i="7"/>
  <c r="K110" i="7" s="1"/>
  <c r="I109" i="7"/>
  <c r="K109" i="7" s="1"/>
  <c r="I107" i="7"/>
  <c r="K107" i="7" s="1"/>
  <c r="I106" i="7"/>
  <c r="K106" i="7" s="1"/>
  <c r="I104" i="7"/>
  <c r="K104" i="7" s="1"/>
  <c r="I103" i="7"/>
  <c r="K103" i="7" s="1"/>
  <c r="I102" i="7"/>
  <c r="K102" i="7" s="1"/>
  <c r="J100" i="7"/>
  <c r="I100" i="7"/>
  <c r="K100" i="7" s="1"/>
  <c r="J99" i="7"/>
  <c r="I99" i="7"/>
  <c r="I87" i="7" s="1"/>
  <c r="K87" i="7" s="1"/>
  <c r="J98" i="7"/>
  <c r="I98" i="7"/>
  <c r="K98" i="7" s="1"/>
  <c r="N96" i="7"/>
  <c r="N94" i="7" s="1"/>
  <c r="M96" i="7"/>
  <c r="L96" i="7"/>
  <c r="P95" i="7"/>
  <c r="O95" i="7"/>
  <c r="N93" i="7"/>
  <c r="N91" i="7" s="1"/>
  <c r="M93" i="7"/>
  <c r="L93" i="7"/>
  <c r="P92" i="7"/>
  <c r="O92" i="7"/>
  <c r="N89" i="7"/>
  <c r="M89" i="7"/>
  <c r="P89" i="7" s="1"/>
  <c r="L89" i="7"/>
  <c r="O89" i="7" s="1"/>
  <c r="J87" i="7"/>
  <c r="J86" i="7"/>
  <c r="I84" i="7"/>
  <c r="K84" i="7" s="1"/>
  <c r="I83" i="7"/>
  <c r="K83" i="7" s="1"/>
  <c r="I82" i="7"/>
  <c r="K82" i="7" s="1"/>
  <c r="I81" i="7"/>
  <c r="K81" i="7" s="1"/>
  <c r="I80" i="7"/>
  <c r="K80" i="7" s="1"/>
  <c r="I79" i="7"/>
  <c r="I78" i="7"/>
  <c r="K78" i="7" s="1"/>
  <c r="J77" i="7"/>
  <c r="J65" i="7" s="1"/>
  <c r="J76" i="7"/>
  <c r="J64" i="7" s="1"/>
  <c r="N74" i="7"/>
  <c r="M74" i="7"/>
  <c r="P74" i="7" s="1"/>
  <c r="L74" i="7"/>
  <c r="O74" i="7" s="1"/>
  <c r="P73" i="7"/>
  <c r="O73" i="7"/>
  <c r="N71" i="7"/>
  <c r="N69" i="7" s="1"/>
  <c r="M71" i="7"/>
  <c r="P71" i="7" s="1"/>
  <c r="L71" i="7"/>
  <c r="O71" i="7" s="1"/>
  <c r="P70" i="7"/>
  <c r="O70" i="7"/>
  <c r="N67" i="7"/>
  <c r="M67" i="7"/>
  <c r="L67" i="7"/>
  <c r="O67" i="7" s="1"/>
  <c r="N61" i="7"/>
  <c r="M61" i="7"/>
  <c r="L61" i="7"/>
  <c r="L59" i="7" s="1"/>
  <c r="P60" i="7"/>
  <c r="O60" i="7"/>
  <c r="N58" i="7"/>
  <c r="M58" i="7"/>
  <c r="M56" i="7" s="1"/>
  <c r="L58" i="7"/>
  <c r="L56" i="7" s="1"/>
  <c r="P57" i="7"/>
  <c r="O57" i="7"/>
  <c r="O54" i="7"/>
  <c r="N54" i="7"/>
  <c r="M54" i="7"/>
  <c r="P54" i="7" s="1"/>
  <c r="L54" i="7"/>
  <c r="N49" i="7"/>
  <c r="N47" i="7" s="1"/>
  <c r="M49" i="7"/>
  <c r="P49" i="7" s="1"/>
  <c r="L49" i="7"/>
  <c r="P48" i="7"/>
  <c r="O48" i="7"/>
  <c r="N46" i="7"/>
  <c r="M46" i="7"/>
  <c r="M44" i="7" s="1"/>
  <c r="L46" i="7"/>
  <c r="L44" i="7" s="1"/>
  <c r="P45" i="7"/>
  <c r="O45" i="7"/>
  <c r="N42" i="7"/>
  <c r="M42" i="7"/>
  <c r="P42" i="7" s="1"/>
  <c r="L42" i="7"/>
  <c r="O42" i="7" s="1"/>
  <c r="N36" i="7"/>
  <c r="M36" i="7"/>
  <c r="P36" i="7" s="1"/>
  <c r="N35" i="7"/>
  <c r="M35" i="7"/>
  <c r="M34" i="7" s="1"/>
  <c r="P34" i="7" s="1"/>
  <c r="L35" i="7"/>
  <c r="O35" i="7" s="1"/>
  <c r="N34" i="7"/>
  <c r="M33" i="7"/>
  <c r="P33" i="7" s="1"/>
  <c r="N32" i="7"/>
  <c r="N29" i="7" s="1"/>
  <c r="M32" i="7"/>
  <c r="L32" i="7"/>
  <c r="O32" i="7" s="1"/>
  <c r="M30" i="7"/>
  <c r="P30" i="7" s="1"/>
  <c r="O25" i="7"/>
  <c r="N25" i="7"/>
  <c r="M25" i="7"/>
  <c r="L25" i="7"/>
  <c r="L19" i="7" s="1"/>
  <c r="O19" i="7" s="1"/>
  <c r="P22" i="7"/>
  <c r="O22" i="7"/>
  <c r="N22" i="7"/>
  <c r="M22" i="7"/>
  <c r="L22" i="7"/>
  <c r="N15" i="7"/>
  <c r="L12" i="7"/>
  <c r="O12" i="7" s="1"/>
  <c r="J828" i="6"/>
  <c r="I828" i="6"/>
  <c r="J827" i="6"/>
  <c r="I827" i="6"/>
  <c r="J826" i="6"/>
  <c r="I826" i="6"/>
  <c r="J825" i="6"/>
  <c r="I825" i="6"/>
  <c r="J824" i="6"/>
  <c r="I824" i="6"/>
  <c r="J823" i="6"/>
  <c r="I823" i="6"/>
  <c r="J822" i="6"/>
  <c r="I822" i="6"/>
  <c r="J821" i="6"/>
  <c r="I821" i="6"/>
  <c r="P817" i="6"/>
  <c r="O817" i="6"/>
  <c r="P816" i="6"/>
  <c r="O816" i="6"/>
  <c r="P815" i="6"/>
  <c r="O815" i="6"/>
  <c r="N815" i="6"/>
  <c r="M815" i="6"/>
  <c r="L815" i="6"/>
  <c r="P810" i="6"/>
  <c r="O810" i="6"/>
  <c r="N810" i="6"/>
  <c r="P809" i="6"/>
  <c r="O809" i="6"/>
  <c r="M808" i="6"/>
  <c r="P808" i="6" s="1"/>
  <c r="L808" i="6"/>
  <c r="O808" i="6" s="1"/>
  <c r="M807" i="6"/>
  <c r="P807" i="6" s="1"/>
  <c r="L807" i="6"/>
  <c r="P806" i="6"/>
  <c r="N806" i="6"/>
  <c r="M806" i="6"/>
  <c r="M805" i="6" s="1"/>
  <c r="L806" i="6"/>
  <c r="O806" i="6" s="1"/>
  <c r="P805" i="6"/>
  <c r="K804" i="6"/>
  <c r="J804" i="6"/>
  <c r="K802" i="6"/>
  <c r="J801" i="6"/>
  <c r="J800" i="6"/>
  <c r="J785" i="6" s="1"/>
  <c r="I800" i="6"/>
  <c r="P798" i="6"/>
  <c r="O798" i="6"/>
  <c r="P797" i="6"/>
  <c r="O797" i="6"/>
  <c r="O796" i="6"/>
  <c r="N796" i="6"/>
  <c r="M796" i="6"/>
  <c r="P796" i="6" s="1"/>
  <c r="L796" i="6"/>
  <c r="P791" i="6"/>
  <c r="N791" i="6"/>
  <c r="L791" i="6"/>
  <c r="P790" i="6"/>
  <c r="O790" i="6"/>
  <c r="N789" i="6"/>
  <c r="M789" i="6"/>
  <c r="P789" i="6" s="1"/>
  <c r="N788" i="6"/>
  <c r="N786" i="6" s="1"/>
  <c r="M788" i="6"/>
  <c r="P788" i="6" s="1"/>
  <c r="P787" i="6"/>
  <c r="N787" i="6"/>
  <c r="M787" i="6"/>
  <c r="M786" i="6" s="1"/>
  <c r="P786" i="6" s="1"/>
  <c r="L787" i="6"/>
  <c r="O787" i="6" s="1"/>
  <c r="P782" i="6"/>
  <c r="O782" i="6"/>
  <c r="P781" i="6"/>
  <c r="O781" i="6"/>
  <c r="P780" i="6"/>
  <c r="O780" i="6"/>
  <c r="N780" i="6"/>
  <c r="M780" i="6"/>
  <c r="L780" i="6"/>
  <c r="P775" i="6"/>
  <c r="O775" i="6"/>
  <c r="N775" i="6"/>
  <c r="N772" i="6" s="1"/>
  <c r="P774" i="6"/>
  <c r="O774" i="6"/>
  <c r="O773" i="6"/>
  <c r="N773" i="6"/>
  <c r="M773" i="6"/>
  <c r="P773" i="6" s="1"/>
  <c r="L773" i="6"/>
  <c r="M772" i="6"/>
  <c r="L772" i="6"/>
  <c r="O772" i="6" s="1"/>
  <c r="N771" i="6"/>
  <c r="N770" i="6" s="1"/>
  <c r="M771" i="6"/>
  <c r="P771" i="6" s="1"/>
  <c r="L771" i="6"/>
  <c r="K769" i="6"/>
  <c r="J769" i="6"/>
  <c r="P766" i="6"/>
  <c r="O766" i="6"/>
  <c r="P765" i="6"/>
  <c r="O765" i="6"/>
  <c r="P764" i="6"/>
  <c r="O764" i="6"/>
  <c r="N764" i="6"/>
  <c r="M764" i="6"/>
  <c r="L764" i="6"/>
  <c r="P759" i="6"/>
  <c r="O759" i="6"/>
  <c r="N759" i="6"/>
  <c r="N756" i="6" s="1"/>
  <c r="P758" i="6"/>
  <c r="O758" i="6"/>
  <c r="O757" i="6"/>
  <c r="M757" i="6"/>
  <c r="P757" i="6" s="1"/>
  <c r="L757" i="6"/>
  <c r="M756" i="6"/>
  <c r="L756" i="6"/>
  <c r="O756" i="6" s="1"/>
  <c r="N755" i="6"/>
  <c r="M755" i="6"/>
  <c r="P755" i="6" s="1"/>
  <c r="L755" i="6"/>
  <c r="K753" i="6"/>
  <c r="J753" i="6"/>
  <c r="P749" i="6"/>
  <c r="O749" i="6"/>
  <c r="P748" i="6"/>
  <c r="O748" i="6"/>
  <c r="P747" i="6"/>
  <c r="O747" i="6"/>
  <c r="N747" i="6"/>
  <c r="M747" i="6"/>
  <c r="L747" i="6"/>
  <c r="P742" i="6"/>
  <c r="O742" i="6"/>
  <c r="N742" i="6"/>
  <c r="N739" i="6" s="1"/>
  <c r="P741" i="6"/>
  <c r="O741" i="6"/>
  <c r="O740" i="6"/>
  <c r="M740" i="6"/>
  <c r="P740" i="6" s="1"/>
  <c r="L740" i="6"/>
  <c r="M739" i="6"/>
  <c r="L739" i="6"/>
  <c r="O739" i="6" s="1"/>
  <c r="N738" i="6"/>
  <c r="N737" i="6" s="1"/>
  <c r="M738" i="6"/>
  <c r="P738" i="6" s="1"/>
  <c r="L738" i="6"/>
  <c r="K736" i="6"/>
  <c r="J736" i="6"/>
  <c r="J729" i="6"/>
  <c r="I729" i="6"/>
  <c r="K729" i="6" s="1"/>
  <c r="J728" i="6"/>
  <c r="I728" i="6"/>
  <c r="J727" i="6"/>
  <c r="J726" i="6"/>
  <c r="I726" i="6"/>
  <c r="J725" i="6"/>
  <c r="I725" i="6"/>
  <c r="J724" i="6"/>
  <c r="J723" i="6"/>
  <c r="I723" i="6"/>
  <c r="I722" i="6"/>
  <c r="I721" i="6"/>
  <c r="J720" i="6"/>
  <c r="I720" i="6"/>
  <c r="J719" i="6"/>
  <c r="J718" i="6"/>
  <c r="J708" i="6"/>
  <c r="I708" i="6"/>
  <c r="K708" i="6" s="1"/>
  <c r="I707" i="6"/>
  <c r="I704" i="6"/>
  <c r="J701" i="6"/>
  <c r="I701" i="6"/>
  <c r="J700" i="6"/>
  <c r="I700" i="6"/>
  <c r="J699" i="6"/>
  <c r="I699" i="6"/>
  <c r="P697" i="6"/>
  <c r="O697" i="6"/>
  <c r="P696" i="6"/>
  <c r="O696" i="6"/>
  <c r="P695" i="6"/>
  <c r="O695" i="6"/>
  <c r="N695" i="6"/>
  <c r="M695" i="6"/>
  <c r="L695" i="6"/>
  <c r="P690" i="6"/>
  <c r="N690" i="6"/>
  <c r="L690" i="6"/>
  <c r="M688" i="6"/>
  <c r="P688" i="6" s="1"/>
  <c r="P687" i="6"/>
  <c r="M687" i="6"/>
  <c r="P686" i="6"/>
  <c r="O686" i="6"/>
  <c r="N686" i="6"/>
  <c r="M686" i="6"/>
  <c r="M685" i="6" s="1"/>
  <c r="L686" i="6"/>
  <c r="P685" i="6"/>
  <c r="J679" i="6"/>
  <c r="J678" i="6"/>
  <c r="I678" i="6"/>
  <c r="K678" i="6" s="1"/>
  <c r="J675" i="6"/>
  <c r="I671" i="6"/>
  <c r="K671" i="6" s="1"/>
  <c r="I670" i="6"/>
  <c r="K670" i="6" s="1"/>
  <c r="J669" i="6"/>
  <c r="J654" i="6" s="1"/>
  <c r="I669" i="6"/>
  <c r="P667" i="6"/>
  <c r="O667" i="6"/>
  <c r="P666" i="6"/>
  <c r="O666" i="6"/>
  <c r="P665" i="6"/>
  <c r="O665" i="6"/>
  <c r="N665" i="6"/>
  <c r="M665" i="6"/>
  <c r="L665" i="6"/>
  <c r="P660" i="6"/>
  <c r="N660" i="6"/>
  <c r="L660" i="6"/>
  <c r="L657" i="6" s="1"/>
  <c r="L655" i="6" s="1"/>
  <c r="P659" i="6"/>
  <c r="O659" i="6"/>
  <c r="P658" i="6"/>
  <c r="N658" i="6"/>
  <c r="M658" i="6"/>
  <c r="N657" i="6"/>
  <c r="M657" i="6"/>
  <c r="P657" i="6" s="1"/>
  <c r="N656" i="6"/>
  <c r="M656" i="6"/>
  <c r="L656" i="6"/>
  <c r="O656" i="6" s="1"/>
  <c r="K652" i="6"/>
  <c r="J652" i="6"/>
  <c r="J651" i="6"/>
  <c r="J628" i="6" s="1"/>
  <c r="I651" i="6"/>
  <c r="K650" i="6"/>
  <c r="J650" i="6"/>
  <c r="J649" i="6"/>
  <c r="I649" i="6"/>
  <c r="K648" i="6"/>
  <c r="J648" i="6"/>
  <c r="J647" i="6"/>
  <c r="I647" i="6"/>
  <c r="K646" i="6"/>
  <c r="J646" i="6"/>
  <c r="K645" i="6"/>
  <c r="J645" i="6"/>
  <c r="I644" i="6"/>
  <c r="K644" i="6" s="1"/>
  <c r="I643" i="6"/>
  <c r="K643" i="6" s="1"/>
  <c r="P641" i="6"/>
  <c r="L641" i="6"/>
  <c r="L639" i="6" s="1"/>
  <c r="O639" i="6" s="1"/>
  <c r="P640" i="6"/>
  <c r="O640" i="6"/>
  <c r="N639" i="6"/>
  <c r="M639" i="6"/>
  <c r="P639" i="6" s="1"/>
  <c r="P634" i="6"/>
  <c r="N634" i="6"/>
  <c r="N631" i="6" s="1"/>
  <c r="L634" i="6"/>
  <c r="O634" i="6" s="1"/>
  <c r="P633" i="6"/>
  <c r="O633" i="6"/>
  <c r="N632" i="6"/>
  <c r="M632" i="6"/>
  <c r="P632" i="6" s="1"/>
  <c r="P631" i="6"/>
  <c r="M631" i="6"/>
  <c r="M629" i="6" s="1"/>
  <c r="P629" i="6" s="1"/>
  <c r="P630" i="6"/>
  <c r="O630" i="6"/>
  <c r="N630" i="6"/>
  <c r="M630" i="6"/>
  <c r="L630" i="6"/>
  <c r="N629" i="6"/>
  <c r="J621" i="6"/>
  <c r="I621" i="6"/>
  <c r="K621" i="6" s="1"/>
  <c r="J620" i="6"/>
  <c r="I620" i="6"/>
  <c r="K620" i="6" s="1"/>
  <c r="K613" i="6"/>
  <c r="J613" i="6"/>
  <c r="K612" i="6"/>
  <c r="J612" i="6"/>
  <c r="K611" i="6"/>
  <c r="J611" i="6"/>
  <c r="J604" i="6"/>
  <c r="J603" i="6"/>
  <c r="J596" i="6"/>
  <c r="J595" i="6"/>
  <c r="J593" i="6" s="1"/>
  <c r="J592" i="6" s="1"/>
  <c r="J594" i="6"/>
  <c r="I594" i="6"/>
  <c r="K594" i="6" s="1"/>
  <c r="I593" i="6"/>
  <c r="I592" i="6" s="1"/>
  <c r="J583" i="6"/>
  <c r="J582" i="6"/>
  <c r="J577" i="6"/>
  <c r="I577" i="6"/>
  <c r="K577" i="6" s="1"/>
  <c r="J576" i="6"/>
  <c r="I576" i="6"/>
  <c r="K576" i="6" s="1"/>
  <c r="J569" i="6"/>
  <c r="I569" i="6"/>
  <c r="K569" i="6" s="1"/>
  <c r="J568" i="6"/>
  <c r="I568" i="6"/>
  <c r="K568" i="6" s="1"/>
  <c r="J561" i="6"/>
  <c r="I561" i="6"/>
  <c r="K561" i="6" s="1"/>
  <c r="J560" i="6"/>
  <c r="I560" i="6"/>
  <c r="K560" i="6" s="1"/>
  <c r="J559" i="6"/>
  <c r="P557" i="6"/>
  <c r="L557" i="6"/>
  <c r="P556" i="6"/>
  <c r="O556" i="6"/>
  <c r="P555" i="6"/>
  <c r="N555" i="6"/>
  <c r="M555" i="6"/>
  <c r="P549" i="6"/>
  <c r="N549" i="6"/>
  <c r="L549" i="6"/>
  <c r="L547" i="6" s="1"/>
  <c r="P548" i="6"/>
  <c r="O548" i="6"/>
  <c r="M547" i="6"/>
  <c r="P547" i="6" s="1"/>
  <c r="N546" i="6"/>
  <c r="N544" i="6" s="1"/>
  <c r="M546" i="6"/>
  <c r="P546" i="6" s="1"/>
  <c r="N545" i="6"/>
  <c r="M545" i="6"/>
  <c r="L545" i="6"/>
  <c r="O545" i="6" s="1"/>
  <c r="J543" i="6"/>
  <c r="I542" i="6"/>
  <c r="K542" i="6" s="1"/>
  <c r="I541" i="6"/>
  <c r="K541" i="6" s="1"/>
  <c r="I540" i="6"/>
  <c r="K540" i="6" s="1"/>
  <c r="I539" i="6"/>
  <c r="K539" i="6" s="1"/>
  <c r="I538" i="6"/>
  <c r="I537" i="6"/>
  <c r="P535" i="6"/>
  <c r="L535" i="6"/>
  <c r="P534" i="6"/>
  <c r="O534" i="6"/>
  <c r="N533" i="6"/>
  <c r="M533" i="6"/>
  <c r="P533" i="6" s="1"/>
  <c r="P528" i="6"/>
  <c r="N528" i="6"/>
  <c r="L528" i="6"/>
  <c r="P527" i="6"/>
  <c r="O527" i="6"/>
  <c r="N526" i="6"/>
  <c r="M526" i="6"/>
  <c r="P526" i="6" s="1"/>
  <c r="N525" i="6"/>
  <c r="N523" i="6" s="1"/>
  <c r="M525" i="6"/>
  <c r="P525" i="6" s="1"/>
  <c r="P524" i="6"/>
  <c r="O524" i="6"/>
  <c r="N524" i="6"/>
  <c r="M524" i="6"/>
  <c r="M523" i="6" s="1"/>
  <c r="L524" i="6"/>
  <c r="P523" i="6"/>
  <c r="K517" i="6"/>
  <c r="J517" i="6"/>
  <c r="K516" i="6"/>
  <c r="P514" i="6"/>
  <c r="O514" i="6"/>
  <c r="P513" i="6"/>
  <c r="O513" i="6"/>
  <c r="N512" i="6"/>
  <c r="M512" i="6"/>
  <c r="P512" i="6" s="1"/>
  <c r="L512" i="6"/>
  <c r="O512" i="6" s="1"/>
  <c r="P507" i="6"/>
  <c r="O507" i="6"/>
  <c r="N507" i="6"/>
  <c r="N504" i="6" s="1"/>
  <c r="P506" i="6"/>
  <c r="O506" i="6"/>
  <c r="P505" i="6"/>
  <c r="O505" i="6"/>
  <c r="M505" i="6"/>
  <c r="L505" i="6"/>
  <c r="P504" i="6"/>
  <c r="O504" i="6"/>
  <c r="M504" i="6"/>
  <c r="L504" i="6"/>
  <c r="L502" i="6" s="1"/>
  <c r="O502" i="6" s="1"/>
  <c r="O503" i="6"/>
  <c r="N503" i="6"/>
  <c r="N502" i="6" s="1"/>
  <c r="M503" i="6"/>
  <c r="P503" i="6" s="1"/>
  <c r="L503" i="6"/>
  <c r="M502" i="6"/>
  <c r="P502" i="6" s="1"/>
  <c r="K501" i="6"/>
  <c r="J501" i="6"/>
  <c r="K500" i="6"/>
  <c r="J500" i="6"/>
  <c r="I498" i="6"/>
  <c r="K498" i="6" s="1"/>
  <c r="I495" i="6"/>
  <c r="K495" i="6" s="1"/>
  <c r="I492" i="6"/>
  <c r="K492" i="6" s="1"/>
  <c r="I489" i="6"/>
  <c r="K489" i="6" s="1"/>
  <c r="I487" i="6"/>
  <c r="K487" i="6" s="1"/>
  <c r="I485" i="6"/>
  <c r="K485" i="6" s="1"/>
  <c r="I483" i="6"/>
  <c r="K483" i="6" s="1"/>
  <c r="P479" i="6"/>
  <c r="L479" i="6"/>
  <c r="O479" i="6" s="1"/>
  <c r="P478" i="6"/>
  <c r="O478" i="6"/>
  <c r="N477" i="6"/>
  <c r="M477" i="6"/>
  <c r="P477" i="6" s="1"/>
  <c r="P472" i="6"/>
  <c r="N472" i="6"/>
  <c r="N469" i="6" s="1"/>
  <c r="L472" i="6"/>
  <c r="P471" i="6"/>
  <c r="O471" i="6"/>
  <c r="P470" i="6"/>
  <c r="N470" i="6"/>
  <c r="M470" i="6"/>
  <c r="P469" i="6"/>
  <c r="M469" i="6"/>
  <c r="O468" i="6"/>
  <c r="N468" i="6"/>
  <c r="M468" i="6"/>
  <c r="P468" i="6" s="1"/>
  <c r="L468" i="6"/>
  <c r="N467" i="6"/>
  <c r="M467" i="6"/>
  <c r="P467" i="6" s="1"/>
  <c r="J466" i="6"/>
  <c r="I466" i="6"/>
  <c r="J465" i="6"/>
  <c r="I465" i="6"/>
  <c r="K465" i="6" s="1"/>
  <c r="I464" i="6"/>
  <c r="I463" i="6"/>
  <c r="I462" i="6"/>
  <c r="I460" i="6"/>
  <c r="I442" i="6" s="1"/>
  <c r="K442" i="6" s="1"/>
  <c r="K458" i="6"/>
  <c r="P456" i="6"/>
  <c r="L456" i="6"/>
  <c r="L454" i="6" s="1"/>
  <c r="O454" i="6" s="1"/>
  <c r="P455" i="6"/>
  <c r="O455" i="6"/>
  <c r="N454" i="6"/>
  <c r="M454" i="6"/>
  <c r="P454" i="6" s="1"/>
  <c r="P449" i="6"/>
  <c r="N449" i="6"/>
  <c r="N446" i="6" s="1"/>
  <c r="N444" i="6" s="1"/>
  <c r="L449" i="6"/>
  <c r="O449" i="6" s="1"/>
  <c r="P448" i="6"/>
  <c r="O448" i="6"/>
  <c r="N447" i="6"/>
  <c r="M447" i="6"/>
  <c r="P447" i="6" s="1"/>
  <c r="P446" i="6"/>
  <c r="M446" i="6"/>
  <c r="P445" i="6"/>
  <c r="O445" i="6"/>
  <c r="N445" i="6"/>
  <c r="M445" i="6"/>
  <c r="M444" i="6" s="1"/>
  <c r="P444" i="6" s="1"/>
  <c r="L445" i="6"/>
  <c r="J443" i="6"/>
  <c r="J442" i="6"/>
  <c r="I441" i="6"/>
  <c r="K441" i="6" s="1"/>
  <c r="I440" i="6"/>
  <c r="I439" i="6"/>
  <c r="K439" i="6" s="1"/>
  <c r="I438" i="6"/>
  <c r="K438" i="6" s="1"/>
  <c r="I437" i="6"/>
  <c r="I435" i="6"/>
  <c r="J434" i="6"/>
  <c r="P431" i="6"/>
  <c r="L431" i="6"/>
  <c r="P430" i="6"/>
  <c r="O430" i="6"/>
  <c r="N429" i="6"/>
  <c r="M429" i="6"/>
  <c r="P429" i="6" s="1"/>
  <c r="P424" i="6"/>
  <c r="N424" i="6"/>
  <c r="N421" i="6" s="1"/>
  <c r="N419" i="6" s="1"/>
  <c r="L424" i="6"/>
  <c r="O424" i="6" s="1"/>
  <c r="P423" i="6"/>
  <c r="O423" i="6"/>
  <c r="N422" i="6"/>
  <c r="M422" i="6"/>
  <c r="P422" i="6" s="1"/>
  <c r="P421" i="6"/>
  <c r="M421" i="6"/>
  <c r="M419" i="6" s="1"/>
  <c r="P419" i="6" s="1"/>
  <c r="P420" i="6"/>
  <c r="O420" i="6"/>
  <c r="N420" i="6"/>
  <c r="M420" i="6"/>
  <c r="L420" i="6"/>
  <c r="J418" i="6"/>
  <c r="K413" i="6"/>
  <c r="K412" i="6"/>
  <c r="N410" i="6"/>
  <c r="N408" i="6" s="1"/>
  <c r="M410" i="6"/>
  <c r="P410" i="6" s="1"/>
  <c r="L410" i="6"/>
  <c r="O410" i="6" s="1"/>
  <c r="P409" i="6"/>
  <c r="O409" i="6"/>
  <c r="N407" i="6"/>
  <c r="M407" i="6"/>
  <c r="M405" i="6" s="1"/>
  <c r="P405" i="6" s="1"/>
  <c r="L407" i="6"/>
  <c r="O407" i="6" s="1"/>
  <c r="P406" i="6"/>
  <c r="O406" i="6"/>
  <c r="O403" i="6"/>
  <c r="N403" i="6"/>
  <c r="M403" i="6"/>
  <c r="P403" i="6" s="1"/>
  <c r="L403" i="6"/>
  <c r="J401" i="6"/>
  <c r="I401" i="6"/>
  <c r="K401" i="6" s="1"/>
  <c r="K400" i="6"/>
  <c r="K399" i="6"/>
  <c r="N397" i="6"/>
  <c r="N395" i="6" s="1"/>
  <c r="M397" i="6"/>
  <c r="L397" i="6"/>
  <c r="P396" i="6"/>
  <c r="O396" i="6"/>
  <c r="N394" i="6"/>
  <c r="M394" i="6"/>
  <c r="L394" i="6"/>
  <c r="P393" i="6"/>
  <c r="O393" i="6"/>
  <c r="P390" i="6"/>
  <c r="O390" i="6"/>
  <c r="N390" i="6"/>
  <c r="M390" i="6"/>
  <c r="L390" i="6"/>
  <c r="J388" i="6"/>
  <c r="I388" i="6"/>
  <c r="K388" i="6" s="1"/>
  <c r="J385" i="6"/>
  <c r="I385" i="6"/>
  <c r="K382" i="6"/>
  <c r="J382" i="6"/>
  <c r="J381" i="6"/>
  <c r="J374" i="6" s="1"/>
  <c r="I381" i="6"/>
  <c r="K380" i="6"/>
  <c r="J380" i="6"/>
  <c r="J379" i="6"/>
  <c r="I379" i="6"/>
  <c r="J378" i="6"/>
  <c r="I378" i="6"/>
  <c r="K377" i="6"/>
  <c r="J377" i="6"/>
  <c r="I374" i="6"/>
  <c r="K373" i="6"/>
  <c r="J373" i="6"/>
  <c r="J372" i="6"/>
  <c r="J365" i="6" s="1"/>
  <c r="I372" i="6"/>
  <c r="K371" i="6"/>
  <c r="J371" i="6"/>
  <c r="J370" i="6"/>
  <c r="I370" i="6"/>
  <c r="J369" i="6"/>
  <c r="I369" i="6"/>
  <c r="K368" i="6"/>
  <c r="J368" i="6"/>
  <c r="I365" i="6"/>
  <c r="K363" i="6"/>
  <c r="J363" i="6"/>
  <c r="J362" i="6"/>
  <c r="I362" i="6"/>
  <c r="K361" i="6"/>
  <c r="J361" i="6"/>
  <c r="J360" i="6"/>
  <c r="I360" i="6"/>
  <c r="J359" i="6"/>
  <c r="I359" i="6"/>
  <c r="K358" i="6"/>
  <c r="J358" i="6"/>
  <c r="I355" i="6"/>
  <c r="N353" i="6"/>
  <c r="M353" i="6"/>
  <c r="M351" i="6" s="1"/>
  <c r="L353" i="6"/>
  <c r="L351" i="6" s="1"/>
  <c r="P352" i="6"/>
  <c r="O352" i="6"/>
  <c r="N350" i="6"/>
  <c r="M350" i="6"/>
  <c r="M348" i="6" s="1"/>
  <c r="L350" i="6"/>
  <c r="P349" i="6"/>
  <c r="O349" i="6"/>
  <c r="P346" i="6"/>
  <c r="O346" i="6"/>
  <c r="N346" i="6"/>
  <c r="M346" i="6"/>
  <c r="L346" i="6"/>
  <c r="J343" i="6"/>
  <c r="J342" i="6"/>
  <c r="J341" i="6"/>
  <c r="J340" i="6"/>
  <c r="I340" i="6"/>
  <c r="J338" i="6"/>
  <c r="I338" i="6"/>
  <c r="N336" i="6"/>
  <c r="N334" i="6" s="1"/>
  <c r="M336" i="6"/>
  <c r="M334" i="6" s="1"/>
  <c r="P334" i="6" s="1"/>
  <c r="L336" i="6"/>
  <c r="P335" i="6"/>
  <c r="O335" i="6"/>
  <c r="N333" i="6"/>
  <c r="M333" i="6"/>
  <c r="M331" i="6" s="1"/>
  <c r="L333" i="6"/>
  <c r="P332" i="6"/>
  <c r="O332" i="6"/>
  <c r="P329" i="6"/>
  <c r="O329" i="6"/>
  <c r="N329" i="6"/>
  <c r="M329" i="6"/>
  <c r="L329" i="6"/>
  <c r="I327" i="6"/>
  <c r="I325" i="6"/>
  <c r="K325" i="6" s="1"/>
  <c r="N323" i="6"/>
  <c r="N321" i="6" s="1"/>
  <c r="M323" i="6"/>
  <c r="P323" i="6" s="1"/>
  <c r="L323" i="6"/>
  <c r="L321" i="6" s="1"/>
  <c r="O321" i="6" s="1"/>
  <c r="P322" i="6"/>
  <c r="O322" i="6"/>
  <c r="N320" i="6"/>
  <c r="N318" i="6" s="1"/>
  <c r="M320" i="6"/>
  <c r="P320" i="6" s="1"/>
  <c r="L320" i="6"/>
  <c r="L318" i="6" s="1"/>
  <c r="O318" i="6" s="1"/>
  <c r="P319" i="6"/>
  <c r="O319" i="6"/>
  <c r="N316" i="6"/>
  <c r="M316" i="6"/>
  <c r="P316" i="6" s="1"/>
  <c r="L316" i="6"/>
  <c r="J314" i="6"/>
  <c r="I312" i="6"/>
  <c r="K312" i="6" s="1"/>
  <c r="I311" i="6"/>
  <c r="K311" i="6" s="1"/>
  <c r="I310" i="6"/>
  <c r="K310" i="6" s="1"/>
  <c r="I309" i="6"/>
  <c r="K309" i="6" s="1"/>
  <c r="N306" i="6"/>
  <c r="N304" i="6" s="1"/>
  <c r="M306" i="6"/>
  <c r="P306" i="6" s="1"/>
  <c r="L306" i="6"/>
  <c r="O306" i="6" s="1"/>
  <c r="P305" i="6"/>
  <c r="O305" i="6"/>
  <c r="N303" i="6"/>
  <c r="N301" i="6" s="1"/>
  <c r="M303" i="6"/>
  <c r="L303" i="6"/>
  <c r="L301" i="6" s="1"/>
  <c r="P302" i="6"/>
  <c r="O302" i="6"/>
  <c r="N299" i="6"/>
  <c r="M299" i="6"/>
  <c r="L299" i="6"/>
  <c r="O299" i="6" s="1"/>
  <c r="J297" i="6"/>
  <c r="I294" i="6"/>
  <c r="K294" i="6" s="1"/>
  <c r="I293" i="6"/>
  <c r="K293" i="6" s="1"/>
  <c r="I291" i="6"/>
  <c r="K291" i="6" s="1"/>
  <c r="I290" i="6"/>
  <c r="K290" i="6" s="1"/>
  <c r="I288" i="6"/>
  <c r="J288" i="6" s="1"/>
  <c r="J275" i="6" s="1"/>
  <c r="I287" i="6"/>
  <c r="N285" i="6"/>
  <c r="N283" i="6" s="1"/>
  <c r="M285" i="6"/>
  <c r="L285" i="6"/>
  <c r="L283" i="6" s="1"/>
  <c r="O283" i="6" s="1"/>
  <c r="P284" i="6"/>
  <c r="O284" i="6"/>
  <c r="N282" i="6"/>
  <c r="M282" i="6"/>
  <c r="L282" i="6"/>
  <c r="P281" i="6"/>
  <c r="O281" i="6"/>
  <c r="O278" i="6"/>
  <c r="N278" i="6"/>
  <c r="M278" i="6"/>
  <c r="P278" i="6" s="1"/>
  <c r="L278" i="6"/>
  <c r="J276" i="6"/>
  <c r="I271" i="6"/>
  <c r="K271" i="6" s="1"/>
  <c r="N269" i="6"/>
  <c r="N267" i="6" s="1"/>
  <c r="M269" i="6"/>
  <c r="M267" i="6" s="1"/>
  <c r="P267" i="6" s="1"/>
  <c r="L269" i="6"/>
  <c r="P268" i="6"/>
  <c r="O268" i="6"/>
  <c r="N266" i="6"/>
  <c r="N264" i="6" s="1"/>
  <c r="M266" i="6"/>
  <c r="L266" i="6"/>
  <c r="L264" i="6" s="1"/>
  <c r="P265" i="6"/>
  <c r="O265" i="6"/>
  <c r="P262" i="6"/>
  <c r="N262" i="6"/>
  <c r="M262" i="6"/>
  <c r="L262" i="6"/>
  <c r="O262" i="6" s="1"/>
  <c r="J260" i="6"/>
  <c r="K258" i="6"/>
  <c r="K257" i="6"/>
  <c r="K255" i="6"/>
  <c r="L253" i="6"/>
  <c r="L252" i="6"/>
  <c r="L251" i="6"/>
  <c r="L250" i="6"/>
  <c r="P249" i="6"/>
  <c r="N249" i="6"/>
  <c r="J248" i="6"/>
  <c r="K247" i="6"/>
  <c r="K246" i="6"/>
  <c r="I244" i="6"/>
  <c r="K244" i="6" s="1"/>
  <c r="L242" i="6"/>
  <c r="L241" i="6"/>
  <c r="L240" i="6"/>
  <c r="L239" i="6"/>
  <c r="P238" i="6"/>
  <c r="N238" i="6"/>
  <c r="J237" i="6"/>
  <c r="J236" i="6"/>
  <c r="I236" i="6"/>
  <c r="K236" i="6" s="1"/>
  <c r="J235" i="6"/>
  <c r="I235" i="6"/>
  <c r="K235" i="6" s="1"/>
  <c r="J233" i="6"/>
  <c r="N231" i="6"/>
  <c r="N230" i="6"/>
  <c r="N229" i="6"/>
  <c r="N228" i="6"/>
  <c r="N227" i="6"/>
  <c r="I225" i="6"/>
  <c r="K225" i="6" s="1"/>
  <c r="I224" i="6"/>
  <c r="K224" i="6" s="1"/>
  <c r="I223" i="6"/>
  <c r="K223" i="6" s="1"/>
  <c r="L220" i="6"/>
  <c r="L219" i="6"/>
  <c r="L218" i="6"/>
  <c r="P217" i="6"/>
  <c r="N217" i="6"/>
  <c r="J216" i="6"/>
  <c r="I215" i="6"/>
  <c r="K215" i="6" s="1"/>
  <c r="I214" i="6"/>
  <c r="K214" i="6" s="1"/>
  <c r="L212" i="6"/>
  <c r="L211" i="6"/>
  <c r="L210" i="6"/>
  <c r="P209" i="6"/>
  <c r="N209" i="6"/>
  <c r="J208" i="6"/>
  <c r="K207" i="6"/>
  <c r="K206" i="6"/>
  <c r="I204" i="6"/>
  <c r="I197" i="6" s="1"/>
  <c r="K197" i="6" s="1"/>
  <c r="L202" i="6"/>
  <c r="L201" i="6"/>
  <c r="L200" i="6"/>
  <c r="L199" i="6"/>
  <c r="P198" i="6"/>
  <c r="N198" i="6"/>
  <c r="J197" i="6"/>
  <c r="J194" i="6"/>
  <c r="I193" i="6"/>
  <c r="K193" i="6" s="1"/>
  <c r="P191" i="6"/>
  <c r="L191" i="6"/>
  <c r="O191" i="6" s="1"/>
  <c r="J190" i="6"/>
  <c r="N189" i="6"/>
  <c r="N187" i="6" s="1"/>
  <c r="M189" i="6"/>
  <c r="L189" i="6"/>
  <c r="O189" i="6" s="1"/>
  <c r="P188" i="6"/>
  <c r="O188" i="6"/>
  <c r="N186" i="6"/>
  <c r="N184" i="6" s="1"/>
  <c r="M186" i="6"/>
  <c r="M184" i="6" s="1"/>
  <c r="L186" i="6"/>
  <c r="L184" i="6" s="1"/>
  <c r="P185" i="6"/>
  <c r="O185" i="6"/>
  <c r="O182" i="6"/>
  <c r="N182" i="6"/>
  <c r="M182" i="6"/>
  <c r="L182" i="6"/>
  <c r="J177" i="6"/>
  <c r="I176" i="6"/>
  <c r="K176" i="6" s="1"/>
  <c r="J174" i="6"/>
  <c r="J164" i="6" s="1"/>
  <c r="N173" i="6"/>
  <c r="N171" i="6" s="1"/>
  <c r="M173" i="6"/>
  <c r="P173" i="6" s="1"/>
  <c r="L173" i="6"/>
  <c r="O173" i="6" s="1"/>
  <c r="P172" i="6"/>
  <c r="O172" i="6"/>
  <c r="N170" i="6"/>
  <c r="N168" i="6" s="1"/>
  <c r="M170" i="6"/>
  <c r="L170" i="6"/>
  <c r="P169" i="6"/>
  <c r="O169" i="6"/>
  <c r="P166" i="6"/>
  <c r="O166" i="6"/>
  <c r="N166" i="6"/>
  <c r="M166" i="6"/>
  <c r="L166" i="6"/>
  <c r="I159" i="6"/>
  <c r="K159" i="6" s="1"/>
  <c r="N157" i="6"/>
  <c r="N155" i="6" s="1"/>
  <c r="M157" i="6"/>
  <c r="P157" i="6" s="1"/>
  <c r="L157" i="6"/>
  <c r="O157" i="6" s="1"/>
  <c r="P156" i="6"/>
  <c r="O156" i="6"/>
  <c r="N154" i="6"/>
  <c r="M154" i="6"/>
  <c r="M152" i="6" s="1"/>
  <c r="L154" i="6"/>
  <c r="L152" i="6" s="1"/>
  <c r="P153" i="6"/>
  <c r="O153" i="6"/>
  <c r="O150" i="6"/>
  <c r="N150" i="6"/>
  <c r="M150" i="6"/>
  <c r="L150" i="6"/>
  <c r="J148" i="6"/>
  <c r="I146" i="6"/>
  <c r="K146" i="6" s="1"/>
  <c r="I145" i="6"/>
  <c r="I143" i="6" s="1"/>
  <c r="I144" i="6"/>
  <c r="N140" i="6"/>
  <c r="N138" i="6" s="1"/>
  <c r="M140" i="6"/>
  <c r="M138" i="6" s="1"/>
  <c r="P138" i="6" s="1"/>
  <c r="L140" i="6"/>
  <c r="O140" i="6" s="1"/>
  <c r="P139" i="6"/>
  <c r="O139" i="6"/>
  <c r="N137" i="6"/>
  <c r="N135" i="6" s="1"/>
  <c r="M137" i="6"/>
  <c r="L137" i="6"/>
  <c r="O137" i="6" s="1"/>
  <c r="P136" i="6"/>
  <c r="O136" i="6"/>
  <c r="P133" i="6"/>
  <c r="N133" i="6"/>
  <c r="M133" i="6"/>
  <c r="L133" i="6"/>
  <c r="O133" i="6" s="1"/>
  <c r="J130" i="6"/>
  <c r="N127" i="6"/>
  <c r="N125" i="6" s="1"/>
  <c r="M127" i="6"/>
  <c r="L127" i="6"/>
  <c r="O127" i="6" s="1"/>
  <c r="P126" i="6"/>
  <c r="O126" i="6"/>
  <c r="N124" i="6"/>
  <c r="M124" i="6"/>
  <c r="P124" i="6" s="1"/>
  <c r="L124" i="6"/>
  <c r="O124" i="6" s="1"/>
  <c r="P123" i="6"/>
  <c r="O123" i="6"/>
  <c r="P120" i="6"/>
  <c r="N120" i="6"/>
  <c r="M120" i="6"/>
  <c r="L120" i="6"/>
  <c r="O120" i="6" s="1"/>
  <c r="I116" i="6"/>
  <c r="K116" i="6" s="1"/>
  <c r="I115" i="6"/>
  <c r="I114" i="6"/>
  <c r="K114" i="6" s="1"/>
  <c r="I113" i="6"/>
  <c r="K113" i="6" s="1"/>
  <c r="J112" i="6"/>
  <c r="J111" i="6"/>
  <c r="I111" i="6"/>
  <c r="K111" i="6" s="1"/>
  <c r="I110" i="6"/>
  <c r="K110" i="6" s="1"/>
  <c r="I109" i="6"/>
  <c r="K109" i="6" s="1"/>
  <c r="I107" i="6"/>
  <c r="K107" i="6" s="1"/>
  <c r="I106" i="6"/>
  <c r="K106" i="6" s="1"/>
  <c r="I104" i="6"/>
  <c r="K104" i="6" s="1"/>
  <c r="I103" i="6"/>
  <c r="K103" i="6" s="1"/>
  <c r="I102" i="6"/>
  <c r="K102" i="6" s="1"/>
  <c r="J100" i="6"/>
  <c r="I100" i="6"/>
  <c r="K100" i="6" s="1"/>
  <c r="J99" i="6"/>
  <c r="I99" i="6"/>
  <c r="J98" i="6"/>
  <c r="I98" i="6"/>
  <c r="I86" i="6" s="1"/>
  <c r="K86" i="6" s="1"/>
  <c r="N96" i="6"/>
  <c r="N94" i="6" s="1"/>
  <c r="M96" i="6"/>
  <c r="P96" i="6" s="1"/>
  <c r="L96" i="6"/>
  <c r="L94" i="6" s="1"/>
  <c r="O94" i="6" s="1"/>
  <c r="P95" i="6"/>
  <c r="O95" i="6"/>
  <c r="N93" i="6"/>
  <c r="N91" i="6" s="1"/>
  <c r="M93" i="6"/>
  <c r="M91" i="6" s="1"/>
  <c r="L93" i="6"/>
  <c r="L91" i="6" s="1"/>
  <c r="P92" i="6"/>
  <c r="O92" i="6"/>
  <c r="O89" i="6"/>
  <c r="N89" i="6"/>
  <c r="M89" i="6"/>
  <c r="L89" i="6"/>
  <c r="J87" i="6"/>
  <c r="J86" i="6"/>
  <c r="I84" i="6"/>
  <c r="K84" i="6" s="1"/>
  <c r="I83" i="6"/>
  <c r="K83" i="6" s="1"/>
  <c r="I82" i="6"/>
  <c r="K82" i="6" s="1"/>
  <c r="I81" i="6"/>
  <c r="K81" i="6" s="1"/>
  <c r="I80" i="6"/>
  <c r="I79" i="6"/>
  <c r="I78" i="6"/>
  <c r="K78" i="6" s="1"/>
  <c r="J77" i="6"/>
  <c r="J65" i="6" s="1"/>
  <c r="J76" i="6"/>
  <c r="N74" i="6"/>
  <c r="N72" i="6" s="1"/>
  <c r="M74" i="6"/>
  <c r="M72" i="6" s="1"/>
  <c r="P72" i="6" s="1"/>
  <c r="L74" i="6"/>
  <c r="O74" i="6" s="1"/>
  <c r="P73" i="6"/>
  <c r="O73" i="6"/>
  <c r="N71" i="6"/>
  <c r="M71" i="6"/>
  <c r="M69" i="6" s="1"/>
  <c r="L71" i="6"/>
  <c r="L69" i="6" s="1"/>
  <c r="P70" i="6"/>
  <c r="O70" i="6"/>
  <c r="P67" i="6"/>
  <c r="N67" i="6"/>
  <c r="M67" i="6"/>
  <c r="L67" i="6"/>
  <c r="O67" i="6" s="1"/>
  <c r="J64" i="6"/>
  <c r="N61" i="6"/>
  <c r="M61" i="6"/>
  <c r="M59" i="6" s="1"/>
  <c r="L61" i="6"/>
  <c r="L59" i="6" s="1"/>
  <c r="P60" i="6"/>
  <c r="O60" i="6"/>
  <c r="N58" i="6"/>
  <c r="N56" i="6" s="1"/>
  <c r="M58" i="6"/>
  <c r="M56" i="6" s="1"/>
  <c r="L58" i="6"/>
  <c r="P57" i="6"/>
  <c r="O57" i="6"/>
  <c r="P54" i="6"/>
  <c r="N54" i="6"/>
  <c r="M54" i="6"/>
  <c r="L54" i="6"/>
  <c r="O54" i="6" s="1"/>
  <c r="N49" i="6"/>
  <c r="M49" i="6"/>
  <c r="M47" i="6" s="1"/>
  <c r="P47" i="6" s="1"/>
  <c r="L49" i="6"/>
  <c r="O49" i="6" s="1"/>
  <c r="P48" i="6"/>
  <c r="O48" i="6"/>
  <c r="N46" i="6"/>
  <c r="N44" i="6" s="1"/>
  <c r="M46" i="6"/>
  <c r="M44" i="6" s="1"/>
  <c r="L46" i="6"/>
  <c r="L44" i="6" s="1"/>
  <c r="P45" i="6"/>
  <c r="O45" i="6"/>
  <c r="P42" i="6"/>
  <c r="N42" i="6"/>
  <c r="M42" i="6"/>
  <c r="L42" i="6"/>
  <c r="O42" i="6" s="1"/>
  <c r="N36" i="6"/>
  <c r="M36" i="6"/>
  <c r="P36" i="6" s="1"/>
  <c r="P35" i="6"/>
  <c r="N35" i="6"/>
  <c r="N34" i="6" s="1"/>
  <c r="M35" i="6"/>
  <c r="L35" i="6"/>
  <c r="L29" i="6" s="1"/>
  <c r="M34" i="6"/>
  <c r="P34" i="6" s="1"/>
  <c r="N33" i="6"/>
  <c r="N30" i="6" s="1"/>
  <c r="M33" i="6"/>
  <c r="M31" i="6" s="1"/>
  <c r="P31" i="6" s="1"/>
  <c r="O32" i="6"/>
  <c r="N32" i="6"/>
  <c r="M32" i="6"/>
  <c r="M12" i="6" s="1"/>
  <c r="L32" i="6"/>
  <c r="N31" i="6"/>
  <c r="M30" i="6"/>
  <c r="P30" i="6" s="1"/>
  <c r="N25" i="6"/>
  <c r="M25" i="6"/>
  <c r="P25" i="6" s="1"/>
  <c r="L25" i="6"/>
  <c r="L19" i="6" s="1"/>
  <c r="P22" i="6"/>
  <c r="O22" i="6"/>
  <c r="N22" i="6"/>
  <c r="M22" i="6"/>
  <c r="L22" i="6"/>
  <c r="N19" i="6"/>
  <c r="M19" i="6"/>
  <c r="P19" i="6" s="1"/>
  <c r="M15" i="6"/>
  <c r="N12" i="6"/>
  <c r="L12" i="6"/>
  <c r="O12" i="6" s="1"/>
  <c r="J828" i="5"/>
  <c r="I828" i="5"/>
  <c r="J827" i="5"/>
  <c r="I827" i="5"/>
  <c r="J826" i="5"/>
  <c r="I826" i="5"/>
  <c r="K826" i="5" s="1"/>
  <c r="J825" i="5"/>
  <c r="I825" i="5"/>
  <c r="K825" i="5" s="1"/>
  <c r="J824" i="5"/>
  <c r="I824" i="5"/>
  <c r="K824" i="5" s="1"/>
  <c r="J823" i="5"/>
  <c r="I823" i="5"/>
  <c r="K823" i="5" s="1"/>
  <c r="J822" i="5"/>
  <c r="I822" i="5"/>
  <c r="J821" i="5"/>
  <c r="I821" i="5"/>
  <c r="P817" i="5"/>
  <c r="O817" i="5"/>
  <c r="P816" i="5"/>
  <c r="O816" i="5"/>
  <c r="N815" i="5"/>
  <c r="M815" i="5"/>
  <c r="P815" i="5" s="1"/>
  <c r="L815" i="5"/>
  <c r="O815" i="5" s="1"/>
  <c r="P810" i="5"/>
  <c r="O810" i="5"/>
  <c r="N810" i="5"/>
  <c r="P809" i="5"/>
  <c r="O809" i="5"/>
  <c r="O808" i="5"/>
  <c r="M808" i="5"/>
  <c r="P808" i="5" s="1"/>
  <c r="L808" i="5"/>
  <c r="M807" i="5"/>
  <c r="P807" i="5" s="1"/>
  <c r="L807" i="5"/>
  <c r="O806" i="5"/>
  <c r="N806" i="5"/>
  <c r="M806" i="5"/>
  <c r="P806" i="5" s="1"/>
  <c r="L806" i="5"/>
  <c r="K804" i="5"/>
  <c r="J804" i="5"/>
  <c r="K802" i="5"/>
  <c r="J801" i="5"/>
  <c r="J800" i="5"/>
  <c r="J785" i="5" s="1"/>
  <c r="I800" i="5"/>
  <c r="K800" i="5" s="1"/>
  <c r="P798" i="5"/>
  <c r="O798" i="5"/>
  <c r="P797" i="5"/>
  <c r="O797" i="5"/>
  <c r="N796" i="5"/>
  <c r="M796" i="5"/>
  <c r="P796" i="5" s="1"/>
  <c r="L796" i="5"/>
  <c r="O796" i="5" s="1"/>
  <c r="P791" i="5"/>
  <c r="N791" i="5"/>
  <c r="N789" i="5" s="1"/>
  <c r="L791" i="5"/>
  <c r="L788" i="5" s="1"/>
  <c r="P790" i="5"/>
  <c r="O790" i="5"/>
  <c r="M789" i="5"/>
  <c r="P789" i="5" s="1"/>
  <c r="N788" i="5"/>
  <c r="M788" i="5"/>
  <c r="P788" i="5" s="1"/>
  <c r="N787" i="5"/>
  <c r="M787" i="5"/>
  <c r="P787" i="5" s="1"/>
  <c r="L787" i="5"/>
  <c r="O787" i="5" s="1"/>
  <c r="M786" i="5"/>
  <c r="P786" i="5" s="1"/>
  <c r="P782" i="5"/>
  <c r="O782" i="5"/>
  <c r="P781" i="5"/>
  <c r="O781" i="5"/>
  <c r="N780" i="5"/>
  <c r="M780" i="5"/>
  <c r="P780" i="5" s="1"/>
  <c r="L780" i="5"/>
  <c r="O780" i="5" s="1"/>
  <c r="P775" i="5"/>
  <c r="O775" i="5"/>
  <c r="N775" i="5"/>
  <c r="N772" i="5" s="1"/>
  <c r="P774" i="5"/>
  <c r="O774" i="5"/>
  <c r="M773" i="5"/>
  <c r="P773" i="5" s="1"/>
  <c r="L773" i="5"/>
  <c r="O773" i="5" s="1"/>
  <c r="O772" i="5"/>
  <c r="M772" i="5"/>
  <c r="L772" i="5"/>
  <c r="N771" i="5"/>
  <c r="M771" i="5"/>
  <c r="P771" i="5" s="1"/>
  <c r="L771" i="5"/>
  <c r="K769" i="5"/>
  <c r="J769" i="5"/>
  <c r="P766" i="5"/>
  <c r="O766" i="5"/>
  <c r="P765" i="5"/>
  <c r="O765" i="5"/>
  <c r="P764" i="5"/>
  <c r="N764" i="5"/>
  <c r="M764" i="5"/>
  <c r="L764" i="5"/>
  <c r="O764" i="5" s="1"/>
  <c r="P759" i="5"/>
  <c r="O759" i="5"/>
  <c r="N759" i="5"/>
  <c r="N756" i="5" s="1"/>
  <c r="P758" i="5"/>
  <c r="O758" i="5"/>
  <c r="M757" i="5"/>
  <c r="P757" i="5" s="1"/>
  <c r="L757" i="5"/>
  <c r="O757" i="5" s="1"/>
  <c r="M756" i="5"/>
  <c r="L756" i="5"/>
  <c r="O756" i="5" s="1"/>
  <c r="N755" i="5"/>
  <c r="M755" i="5"/>
  <c r="P755" i="5" s="1"/>
  <c r="L755" i="5"/>
  <c r="K753" i="5"/>
  <c r="J753" i="5"/>
  <c r="P749" i="5"/>
  <c r="O749" i="5"/>
  <c r="P748" i="5"/>
  <c r="O748" i="5"/>
  <c r="N747" i="5"/>
  <c r="M747" i="5"/>
  <c r="P747" i="5" s="1"/>
  <c r="L747" i="5"/>
  <c r="O747" i="5" s="1"/>
  <c r="P742" i="5"/>
  <c r="O742" i="5"/>
  <c r="N742" i="5"/>
  <c r="N739" i="5" s="1"/>
  <c r="N737" i="5" s="1"/>
  <c r="P741" i="5"/>
  <c r="O741" i="5"/>
  <c r="P740" i="5"/>
  <c r="M740" i="5"/>
  <c r="L740" i="5"/>
  <c r="O740" i="5" s="1"/>
  <c r="M739" i="5"/>
  <c r="L739" i="5"/>
  <c r="O739" i="5" s="1"/>
  <c r="P738" i="5"/>
  <c r="N738" i="5"/>
  <c r="M738" i="5"/>
  <c r="L738" i="5"/>
  <c r="K736" i="5"/>
  <c r="J736" i="5"/>
  <c r="J729" i="5"/>
  <c r="I729" i="5"/>
  <c r="K729" i="5" s="1"/>
  <c r="J728" i="5"/>
  <c r="I728" i="5"/>
  <c r="K728" i="5" s="1"/>
  <c r="J727" i="5"/>
  <c r="J726" i="5"/>
  <c r="I726" i="5"/>
  <c r="K726" i="5" s="1"/>
  <c r="J725" i="5"/>
  <c r="I725" i="5"/>
  <c r="K725" i="5" s="1"/>
  <c r="J724" i="5"/>
  <c r="J723" i="5"/>
  <c r="I723" i="5"/>
  <c r="K723" i="5" s="1"/>
  <c r="I722" i="5"/>
  <c r="K722" i="5" s="1"/>
  <c r="I721" i="5"/>
  <c r="K721" i="5" s="1"/>
  <c r="J720" i="5"/>
  <c r="I720" i="5"/>
  <c r="K720" i="5" s="1"/>
  <c r="J719" i="5"/>
  <c r="J718" i="5"/>
  <c r="J708" i="5"/>
  <c r="I708" i="5"/>
  <c r="K708" i="5" s="1"/>
  <c r="I707" i="5"/>
  <c r="I704" i="5"/>
  <c r="J701" i="5"/>
  <c r="I701" i="5"/>
  <c r="K701" i="5" s="1"/>
  <c r="J700" i="5"/>
  <c r="I700" i="5"/>
  <c r="K700" i="5" s="1"/>
  <c r="J699" i="5"/>
  <c r="I699" i="5"/>
  <c r="K699" i="5" s="1"/>
  <c r="P697" i="5"/>
  <c r="O697" i="5"/>
  <c r="P696" i="5"/>
  <c r="O696" i="5"/>
  <c r="N695" i="5"/>
  <c r="M695" i="5"/>
  <c r="P695" i="5" s="1"/>
  <c r="L695" i="5"/>
  <c r="O695" i="5" s="1"/>
  <c r="P690" i="5"/>
  <c r="N690" i="5"/>
  <c r="N688" i="5" s="1"/>
  <c r="L688" i="5"/>
  <c r="O688" i="5" s="1"/>
  <c r="M688" i="5"/>
  <c r="P688" i="5" s="1"/>
  <c r="M687" i="5"/>
  <c r="P687" i="5" s="1"/>
  <c r="N686" i="5"/>
  <c r="M686" i="5"/>
  <c r="P686" i="5" s="1"/>
  <c r="L686" i="5"/>
  <c r="O686" i="5" s="1"/>
  <c r="J679" i="5"/>
  <c r="J678" i="5" s="1"/>
  <c r="I678" i="5"/>
  <c r="K678" i="5" s="1"/>
  <c r="J675" i="5"/>
  <c r="J669" i="5" s="1"/>
  <c r="J654" i="5" s="1"/>
  <c r="I671" i="5"/>
  <c r="K671" i="5" s="1"/>
  <c r="I670" i="5"/>
  <c r="K670" i="5" s="1"/>
  <c r="I669" i="5"/>
  <c r="K672" i="5" s="1"/>
  <c r="P667" i="5"/>
  <c r="O667" i="5"/>
  <c r="P666" i="5"/>
  <c r="O666" i="5"/>
  <c r="O665" i="5"/>
  <c r="N665" i="5"/>
  <c r="M665" i="5"/>
  <c r="P665" i="5" s="1"/>
  <c r="L665" i="5"/>
  <c r="P660" i="5"/>
  <c r="N660" i="5"/>
  <c r="N657" i="5" s="1"/>
  <c r="P659" i="5"/>
  <c r="O659" i="5"/>
  <c r="M658" i="5"/>
  <c r="P658" i="5" s="1"/>
  <c r="M657" i="5"/>
  <c r="P657" i="5" s="1"/>
  <c r="P656" i="5"/>
  <c r="N656" i="5"/>
  <c r="N655" i="5" s="1"/>
  <c r="M656" i="5"/>
  <c r="L656" i="5"/>
  <c r="M655" i="5"/>
  <c r="P655" i="5" s="1"/>
  <c r="K652" i="5"/>
  <c r="J652" i="5"/>
  <c r="J651" i="5"/>
  <c r="J628" i="5" s="1"/>
  <c r="I651" i="5"/>
  <c r="I628" i="5" s="1"/>
  <c r="K650" i="5"/>
  <c r="J650" i="5"/>
  <c r="J649" i="5"/>
  <c r="I649" i="5"/>
  <c r="K648" i="5"/>
  <c r="J648" i="5"/>
  <c r="J647" i="5"/>
  <c r="I647" i="5"/>
  <c r="K646" i="5"/>
  <c r="J646" i="5"/>
  <c r="K645" i="5"/>
  <c r="J645" i="5"/>
  <c r="I644" i="5"/>
  <c r="K644" i="5" s="1"/>
  <c r="I643" i="5"/>
  <c r="K643" i="5" s="1"/>
  <c r="P641" i="5"/>
  <c r="L641" i="5"/>
  <c r="P640" i="5"/>
  <c r="O640" i="5"/>
  <c r="N639" i="5"/>
  <c r="M639" i="5"/>
  <c r="P639" i="5" s="1"/>
  <c r="P634" i="5"/>
  <c r="N634" i="5"/>
  <c r="L634" i="5"/>
  <c r="O634" i="5" s="1"/>
  <c r="P633" i="5"/>
  <c r="O633" i="5"/>
  <c r="P632" i="5"/>
  <c r="N632" i="5"/>
  <c r="M632" i="5"/>
  <c r="N631" i="5"/>
  <c r="M631" i="5"/>
  <c r="P631" i="5" s="1"/>
  <c r="P630" i="5"/>
  <c r="N630" i="5"/>
  <c r="N629" i="5" s="1"/>
  <c r="M630" i="5"/>
  <c r="M629" i="5" s="1"/>
  <c r="P629" i="5" s="1"/>
  <c r="L630" i="5"/>
  <c r="O630" i="5" s="1"/>
  <c r="J621" i="5"/>
  <c r="I621" i="5"/>
  <c r="K621" i="5" s="1"/>
  <c r="J620" i="5"/>
  <c r="I620" i="5"/>
  <c r="K620" i="5" s="1"/>
  <c r="K613" i="5"/>
  <c r="J613" i="5"/>
  <c r="K612" i="5"/>
  <c r="J612" i="5"/>
  <c r="K611" i="5"/>
  <c r="J611" i="5"/>
  <c r="J604" i="5"/>
  <c r="J603" i="5"/>
  <c r="J596" i="5"/>
  <c r="J595" i="5"/>
  <c r="J594" i="5"/>
  <c r="I594" i="5"/>
  <c r="J593" i="5"/>
  <c r="I593" i="5"/>
  <c r="I592" i="5" s="1"/>
  <c r="J583" i="5"/>
  <c r="J577" i="5" s="1"/>
  <c r="J582" i="5"/>
  <c r="J576" i="5" s="1"/>
  <c r="J559" i="5" s="1"/>
  <c r="J543" i="5" s="1"/>
  <c r="I577" i="5"/>
  <c r="K577" i="5" s="1"/>
  <c r="I576" i="5"/>
  <c r="K576" i="5" s="1"/>
  <c r="J569" i="5"/>
  <c r="I569" i="5"/>
  <c r="K569" i="5" s="1"/>
  <c r="J568" i="5"/>
  <c r="I568" i="5"/>
  <c r="K568" i="5" s="1"/>
  <c r="J561" i="5"/>
  <c r="I561" i="5"/>
  <c r="K561" i="5" s="1"/>
  <c r="J560" i="5"/>
  <c r="I560" i="5"/>
  <c r="K560" i="5" s="1"/>
  <c r="P557" i="5"/>
  <c r="L557" i="5"/>
  <c r="P556" i="5"/>
  <c r="O556" i="5"/>
  <c r="N555" i="5"/>
  <c r="M555" i="5"/>
  <c r="N552" i="5"/>
  <c r="P549" i="5"/>
  <c r="N549" i="5"/>
  <c r="N546" i="5" s="1"/>
  <c r="L549" i="5"/>
  <c r="P548" i="5"/>
  <c r="O548" i="5"/>
  <c r="N547" i="5"/>
  <c r="M547" i="5"/>
  <c r="P547" i="5" s="1"/>
  <c r="M546" i="5"/>
  <c r="P546" i="5" s="1"/>
  <c r="N545" i="5"/>
  <c r="L545" i="5"/>
  <c r="I542" i="5"/>
  <c r="K542" i="5" s="1"/>
  <c r="I541" i="5"/>
  <c r="K541" i="5" s="1"/>
  <c r="I540" i="5"/>
  <c r="K540" i="5" s="1"/>
  <c r="I539" i="5"/>
  <c r="K539" i="5" s="1"/>
  <c r="I538" i="5"/>
  <c r="K538" i="5" s="1"/>
  <c r="I537" i="5"/>
  <c r="I522" i="5" s="1"/>
  <c r="P535" i="5"/>
  <c r="L535" i="5"/>
  <c r="O535" i="5" s="1"/>
  <c r="P534" i="5"/>
  <c r="O534" i="5"/>
  <c r="N533" i="5"/>
  <c r="M533" i="5"/>
  <c r="P533" i="5" s="1"/>
  <c r="P528" i="5"/>
  <c r="N528" i="5"/>
  <c r="N525" i="5" s="1"/>
  <c r="L528" i="5"/>
  <c r="O528" i="5" s="1"/>
  <c r="P527" i="5"/>
  <c r="O527" i="5"/>
  <c r="P526" i="5"/>
  <c r="N526" i="5"/>
  <c r="M526" i="5"/>
  <c r="L526" i="5"/>
  <c r="O526" i="5" s="1"/>
  <c r="M525" i="5"/>
  <c r="M523" i="5" s="1"/>
  <c r="P523" i="5" s="1"/>
  <c r="P524" i="5"/>
  <c r="O524" i="5"/>
  <c r="N524" i="5"/>
  <c r="M524" i="5"/>
  <c r="L524" i="5"/>
  <c r="N523" i="5"/>
  <c r="K517" i="5"/>
  <c r="J517" i="5"/>
  <c r="J501" i="5" s="1"/>
  <c r="K516" i="5"/>
  <c r="P514" i="5"/>
  <c r="O514" i="5"/>
  <c r="P513" i="5"/>
  <c r="O513" i="5"/>
  <c r="P512" i="5"/>
  <c r="N512" i="5"/>
  <c r="M512" i="5"/>
  <c r="L512" i="5"/>
  <c r="O512" i="5" s="1"/>
  <c r="P507" i="5"/>
  <c r="O507" i="5"/>
  <c r="N507" i="5"/>
  <c r="P506" i="5"/>
  <c r="O506" i="5"/>
  <c r="P505" i="5"/>
  <c r="O505" i="5"/>
  <c r="N505" i="5"/>
  <c r="M505" i="5"/>
  <c r="L505" i="5"/>
  <c r="O504" i="5"/>
  <c r="N504" i="5"/>
  <c r="M504" i="5"/>
  <c r="P504" i="5" s="1"/>
  <c r="L504" i="5"/>
  <c r="P503" i="5"/>
  <c r="N503" i="5"/>
  <c r="M503" i="5"/>
  <c r="M502" i="5" s="1"/>
  <c r="P502" i="5" s="1"/>
  <c r="L503" i="5"/>
  <c r="O503" i="5" s="1"/>
  <c r="O502" i="5"/>
  <c r="L502" i="5"/>
  <c r="K501" i="5"/>
  <c r="K500" i="5"/>
  <c r="J500" i="5"/>
  <c r="I498" i="5"/>
  <c r="K498" i="5" s="1"/>
  <c r="I495" i="5"/>
  <c r="K495" i="5" s="1"/>
  <c r="I492" i="5"/>
  <c r="K492" i="5" s="1"/>
  <c r="I489" i="5"/>
  <c r="K489" i="5" s="1"/>
  <c r="I487" i="5"/>
  <c r="K487" i="5" s="1"/>
  <c r="I485" i="5"/>
  <c r="K485" i="5" s="1"/>
  <c r="I483" i="5"/>
  <c r="K483" i="5" s="1"/>
  <c r="P479" i="5"/>
  <c r="L479" i="5"/>
  <c r="P478" i="5"/>
  <c r="O478" i="5"/>
  <c r="N477" i="5"/>
  <c r="M477" i="5"/>
  <c r="P477" i="5" s="1"/>
  <c r="P472" i="5"/>
  <c r="N472" i="5"/>
  <c r="L472" i="5"/>
  <c r="O472" i="5" s="1"/>
  <c r="P471" i="5"/>
  <c r="O471" i="5"/>
  <c r="P470" i="5"/>
  <c r="N470" i="5"/>
  <c r="M470" i="5"/>
  <c r="N469" i="5"/>
  <c r="M469" i="5"/>
  <c r="P469" i="5" s="1"/>
  <c r="P468" i="5"/>
  <c r="N468" i="5"/>
  <c r="M468" i="5"/>
  <c r="M467" i="5" s="1"/>
  <c r="P467" i="5" s="1"/>
  <c r="L468" i="5"/>
  <c r="O468" i="5" s="1"/>
  <c r="J466" i="5"/>
  <c r="I466" i="5"/>
  <c r="K466" i="5" s="1"/>
  <c r="J465" i="5"/>
  <c r="I465" i="5"/>
  <c r="I464" i="5"/>
  <c r="I463" i="5"/>
  <c r="I462" i="5"/>
  <c r="K462" i="5" s="1"/>
  <c r="I460" i="5"/>
  <c r="K458" i="5"/>
  <c r="P456" i="5"/>
  <c r="L456" i="5"/>
  <c r="O456" i="5" s="1"/>
  <c r="P455" i="5"/>
  <c r="O455" i="5"/>
  <c r="P454" i="5"/>
  <c r="N454" i="5"/>
  <c r="M454" i="5"/>
  <c r="P449" i="5"/>
  <c r="N449" i="5"/>
  <c r="L449" i="5"/>
  <c r="P448" i="5"/>
  <c r="O448" i="5"/>
  <c r="P447" i="5"/>
  <c r="N447" i="5"/>
  <c r="M447" i="5"/>
  <c r="P446" i="5"/>
  <c r="N446" i="5"/>
  <c r="M446" i="5"/>
  <c r="O445" i="5"/>
  <c r="N445" i="5"/>
  <c r="M445" i="5"/>
  <c r="P445" i="5" s="1"/>
  <c r="L445" i="5"/>
  <c r="P444" i="5"/>
  <c r="N444" i="5"/>
  <c r="M444" i="5"/>
  <c r="J443" i="5"/>
  <c r="J442" i="5"/>
  <c r="I441" i="5"/>
  <c r="K441" i="5" s="1"/>
  <c r="I440" i="5"/>
  <c r="K440" i="5" s="1"/>
  <c r="I439" i="5"/>
  <c r="K439" i="5" s="1"/>
  <c r="I438" i="5"/>
  <c r="I437" i="5"/>
  <c r="K437" i="5" s="1"/>
  <c r="I435" i="5"/>
  <c r="K435" i="5" s="1"/>
  <c r="J434" i="5"/>
  <c r="P431" i="5"/>
  <c r="L431" i="5"/>
  <c r="O431" i="5" s="1"/>
  <c r="P430" i="5"/>
  <c r="O430" i="5"/>
  <c r="P429" i="5"/>
  <c r="N429" i="5"/>
  <c r="M429" i="5"/>
  <c r="P424" i="5"/>
  <c r="N424" i="5"/>
  <c r="L424" i="5"/>
  <c r="P423" i="5"/>
  <c r="O423" i="5"/>
  <c r="N422" i="5"/>
  <c r="M422" i="5"/>
  <c r="P422" i="5" s="1"/>
  <c r="P421" i="5"/>
  <c r="N421" i="5"/>
  <c r="M421" i="5"/>
  <c r="O420" i="5"/>
  <c r="N420" i="5"/>
  <c r="M420" i="5"/>
  <c r="P420" i="5" s="1"/>
  <c r="L420" i="5"/>
  <c r="N419" i="5"/>
  <c r="J418" i="5"/>
  <c r="K413" i="5"/>
  <c r="K412" i="5"/>
  <c r="N410" i="5"/>
  <c r="N408" i="5" s="1"/>
  <c r="M410" i="5"/>
  <c r="M408" i="5" s="1"/>
  <c r="P408" i="5" s="1"/>
  <c r="L410" i="5"/>
  <c r="P409" i="5"/>
  <c r="O409" i="5"/>
  <c r="N407" i="5"/>
  <c r="M407" i="5"/>
  <c r="P407" i="5" s="1"/>
  <c r="L407" i="5"/>
  <c r="P406" i="5"/>
  <c r="O406" i="5"/>
  <c r="O403" i="5"/>
  <c r="N403" i="5"/>
  <c r="M403" i="5"/>
  <c r="L403" i="5"/>
  <c r="K401" i="5"/>
  <c r="J401" i="5"/>
  <c r="I401" i="5"/>
  <c r="K400" i="5"/>
  <c r="K399" i="5"/>
  <c r="N397" i="5"/>
  <c r="M397" i="5"/>
  <c r="L397" i="5"/>
  <c r="L395" i="5" s="1"/>
  <c r="O395" i="5" s="1"/>
  <c r="P396" i="5"/>
  <c r="O396" i="5"/>
  <c r="N394" i="5"/>
  <c r="N392" i="5" s="1"/>
  <c r="M394" i="5"/>
  <c r="P394" i="5" s="1"/>
  <c r="L394" i="5"/>
  <c r="P393" i="5"/>
  <c r="O393" i="5"/>
  <c r="O390" i="5"/>
  <c r="N390" i="5"/>
  <c r="M390" i="5"/>
  <c r="P390" i="5" s="1"/>
  <c r="L390" i="5"/>
  <c r="J388" i="5"/>
  <c r="I388" i="5"/>
  <c r="K388" i="5" s="1"/>
  <c r="J385" i="5"/>
  <c r="I385" i="5"/>
  <c r="K382" i="5"/>
  <c r="J382" i="5"/>
  <c r="J381" i="5"/>
  <c r="J374" i="5" s="1"/>
  <c r="I381" i="5"/>
  <c r="K380" i="5"/>
  <c r="J380" i="5"/>
  <c r="J379" i="5"/>
  <c r="I379" i="5"/>
  <c r="J378" i="5"/>
  <c r="I378" i="5"/>
  <c r="K377" i="5"/>
  <c r="J377" i="5"/>
  <c r="I374" i="5"/>
  <c r="K373" i="5"/>
  <c r="J373" i="5"/>
  <c r="J372" i="5"/>
  <c r="J365" i="5" s="1"/>
  <c r="I372" i="5"/>
  <c r="K371" i="5"/>
  <c r="J371" i="5"/>
  <c r="J370" i="5"/>
  <c r="I370" i="5"/>
  <c r="J369" i="5"/>
  <c r="I369" i="5"/>
  <c r="K368" i="5"/>
  <c r="J368" i="5"/>
  <c r="I365" i="5"/>
  <c r="K363" i="5"/>
  <c r="J363" i="5"/>
  <c r="J362" i="5"/>
  <c r="J355" i="5" s="1"/>
  <c r="I362" i="5"/>
  <c r="K361" i="5"/>
  <c r="J361" i="5"/>
  <c r="J360" i="5"/>
  <c r="I360" i="5"/>
  <c r="J359" i="5"/>
  <c r="I359" i="5"/>
  <c r="K358" i="5"/>
  <c r="J358" i="5"/>
  <c r="I355" i="5"/>
  <c r="N353" i="5"/>
  <c r="M353" i="5"/>
  <c r="L353" i="5"/>
  <c r="L351" i="5" s="1"/>
  <c r="P352" i="5"/>
  <c r="O352" i="5"/>
  <c r="N350" i="5"/>
  <c r="N348" i="5" s="1"/>
  <c r="M350" i="5"/>
  <c r="M348" i="5" s="1"/>
  <c r="L350" i="5"/>
  <c r="P349" i="5"/>
  <c r="O349" i="5"/>
  <c r="O346" i="5"/>
  <c r="N346" i="5"/>
  <c r="M346" i="5"/>
  <c r="L346" i="5"/>
  <c r="J343" i="5"/>
  <c r="J342" i="5"/>
  <c r="J341" i="5"/>
  <c r="J340" i="5"/>
  <c r="I340" i="5"/>
  <c r="J338" i="5"/>
  <c r="I338" i="5"/>
  <c r="N336" i="5"/>
  <c r="N334" i="5" s="1"/>
  <c r="M336" i="5"/>
  <c r="M334" i="5" s="1"/>
  <c r="L336" i="5"/>
  <c r="P335" i="5"/>
  <c r="O335" i="5"/>
  <c r="N333" i="5"/>
  <c r="M333" i="5"/>
  <c r="M331" i="5" s="1"/>
  <c r="L333" i="5"/>
  <c r="P332" i="5"/>
  <c r="O332" i="5"/>
  <c r="P329" i="5"/>
  <c r="O329" i="5"/>
  <c r="N329" i="5"/>
  <c r="M329" i="5"/>
  <c r="L329" i="5"/>
  <c r="I327" i="5"/>
  <c r="I325" i="5"/>
  <c r="K325" i="5" s="1"/>
  <c r="N323" i="5"/>
  <c r="N321" i="5" s="1"/>
  <c r="M323" i="5"/>
  <c r="M321" i="5" s="1"/>
  <c r="P321" i="5" s="1"/>
  <c r="L323" i="5"/>
  <c r="O323" i="5" s="1"/>
  <c r="P322" i="5"/>
  <c r="O322" i="5"/>
  <c r="N320" i="5"/>
  <c r="N318" i="5" s="1"/>
  <c r="M320" i="5"/>
  <c r="L320" i="5"/>
  <c r="L318" i="5" s="1"/>
  <c r="P319" i="5"/>
  <c r="O319" i="5"/>
  <c r="P316" i="5"/>
  <c r="N316" i="5"/>
  <c r="M316" i="5"/>
  <c r="L316" i="5"/>
  <c r="O316" i="5" s="1"/>
  <c r="J314" i="5"/>
  <c r="I312" i="5"/>
  <c r="K312" i="5" s="1"/>
  <c r="I311" i="5"/>
  <c r="K311" i="5" s="1"/>
  <c r="I310" i="5"/>
  <c r="K310" i="5" s="1"/>
  <c r="I309" i="5"/>
  <c r="K309" i="5" s="1"/>
  <c r="N306" i="5"/>
  <c r="N304" i="5" s="1"/>
  <c r="M306" i="5"/>
  <c r="M304" i="5" s="1"/>
  <c r="P304" i="5" s="1"/>
  <c r="L306" i="5"/>
  <c r="L304" i="5" s="1"/>
  <c r="O304" i="5" s="1"/>
  <c r="P305" i="5"/>
  <c r="O305" i="5"/>
  <c r="N303" i="5"/>
  <c r="N301" i="5" s="1"/>
  <c r="M303" i="5"/>
  <c r="L303" i="5"/>
  <c r="L301" i="5" s="1"/>
  <c r="P302" i="5"/>
  <c r="O302" i="5"/>
  <c r="N299" i="5"/>
  <c r="M299" i="5"/>
  <c r="P299" i="5" s="1"/>
  <c r="L299" i="5"/>
  <c r="J297" i="5"/>
  <c r="I294" i="5"/>
  <c r="K294" i="5" s="1"/>
  <c r="I293" i="5"/>
  <c r="K293" i="5" s="1"/>
  <c r="I291" i="5"/>
  <c r="K291" i="5" s="1"/>
  <c r="I290" i="5"/>
  <c r="K290" i="5" s="1"/>
  <c r="I288" i="5"/>
  <c r="I287" i="5"/>
  <c r="K287" i="5" s="1"/>
  <c r="N285" i="5"/>
  <c r="M285" i="5"/>
  <c r="M283" i="5" s="1"/>
  <c r="P283" i="5" s="1"/>
  <c r="L285" i="5"/>
  <c r="O285" i="5" s="1"/>
  <c r="P284" i="5"/>
  <c r="O284" i="5"/>
  <c r="N282" i="5"/>
  <c r="N280" i="5" s="1"/>
  <c r="M282" i="5"/>
  <c r="M280" i="5" s="1"/>
  <c r="L282" i="5"/>
  <c r="P281" i="5"/>
  <c r="O281" i="5"/>
  <c r="O278" i="5"/>
  <c r="N278" i="5"/>
  <c r="M278" i="5"/>
  <c r="P278" i="5" s="1"/>
  <c r="L278" i="5"/>
  <c r="J276" i="5"/>
  <c r="I271" i="5"/>
  <c r="K271" i="5" s="1"/>
  <c r="N269" i="5"/>
  <c r="M269" i="5"/>
  <c r="L269" i="5"/>
  <c r="L267" i="5" s="1"/>
  <c r="O267" i="5" s="1"/>
  <c r="P268" i="5"/>
  <c r="O268" i="5"/>
  <c r="N266" i="5"/>
  <c r="N264" i="5" s="1"/>
  <c r="M266" i="5"/>
  <c r="L266" i="5"/>
  <c r="P265" i="5"/>
  <c r="O265" i="5"/>
  <c r="P262" i="5"/>
  <c r="N262" i="5"/>
  <c r="M262" i="5"/>
  <c r="L262" i="5"/>
  <c r="J260" i="5"/>
  <c r="K258" i="5"/>
  <c r="K257" i="5"/>
  <c r="L253" i="5"/>
  <c r="L252" i="5"/>
  <c r="L251" i="5"/>
  <c r="L250" i="5"/>
  <c r="P249" i="5"/>
  <c r="N249" i="5"/>
  <c r="J248" i="5"/>
  <c r="K247" i="5"/>
  <c r="K246" i="5"/>
  <c r="I244" i="5"/>
  <c r="L242" i="5"/>
  <c r="L241" i="5"/>
  <c r="L240" i="5"/>
  <c r="L239" i="5"/>
  <c r="P238" i="5"/>
  <c r="N238" i="5"/>
  <c r="J237" i="5"/>
  <c r="J236" i="5"/>
  <c r="I236" i="5"/>
  <c r="K236" i="5" s="1"/>
  <c r="J235" i="5"/>
  <c r="I235" i="5"/>
  <c r="K235" i="5" s="1"/>
  <c r="J233" i="5"/>
  <c r="N231" i="5"/>
  <c r="N230" i="5"/>
  <c r="N229" i="5"/>
  <c r="N228" i="5"/>
  <c r="N227" i="5"/>
  <c r="I225" i="5"/>
  <c r="K225" i="5" s="1"/>
  <c r="I224" i="5"/>
  <c r="I216" i="5" s="1"/>
  <c r="K216" i="5" s="1"/>
  <c r="I223" i="5"/>
  <c r="K223" i="5" s="1"/>
  <c r="L220" i="5"/>
  <c r="L219" i="5"/>
  <c r="L218" i="5"/>
  <c r="P217" i="5"/>
  <c r="N217" i="5"/>
  <c r="J216" i="5"/>
  <c r="I215" i="5"/>
  <c r="K215" i="5" s="1"/>
  <c r="I214" i="5"/>
  <c r="K214" i="5" s="1"/>
  <c r="L212" i="5"/>
  <c r="L211" i="5"/>
  <c r="L210" i="5"/>
  <c r="P209" i="5"/>
  <c r="N209" i="5"/>
  <c r="J208" i="5"/>
  <c r="K207" i="5"/>
  <c r="K206" i="5"/>
  <c r="I204" i="5"/>
  <c r="L202" i="5"/>
  <c r="L201" i="5"/>
  <c r="L200" i="5"/>
  <c r="L199" i="5"/>
  <c r="P198" i="5"/>
  <c r="N198" i="5"/>
  <c r="J197" i="5"/>
  <c r="J194" i="5"/>
  <c r="I193" i="5"/>
  <c r="K193" i="5" s="1"/>
  <c r="P191" i="5"/>
  <c r="L191" i="5"/>
  <c r="O191" i="5" s="1"/>
  <c r="J190" i="5"/>
  <c r="N189" i="5"/>
  <c r="N187" i="5" s="1"/>
  <c r="M189" i="5"/>
  <c r="P189" i="5" s="1"/>
  <c r="L189" i="5"/>
  <c r="P188" i="5"/>
  <c r="O188" i="5"/>
  <c r="N186" i="5"/>
  <c r="M186" i="5"/>
  <c r="L186" i="5"/>
  <c r="L184" i="5" s="1"/>
  <c r="P185" i="5"/>
  <c r="O185" i="5"/>
  <c r="P182" i="5"/>
  <c r="N182" i="5"/>
  <c r="M182" i="5"/>
  <c r="L182" i="5"/>
  <c r="O182" i="5" s="1"/>
  <c r="J177" i="5"/>
  <c r="J164" i="5" s="1"/>
  <c r="I176" i="5"/>
  <c r="J174" i="5"/>
  <c r="N173" i="5"/>
  <c r="N171" i="5" s="1"/>
  <c r="M173" i="5"/>
  <c r="P173" i="5" s="1"/>
  <c r="L173" i="5"/>
  <c r="P172" i="5"/>
  <c r="O172" i="5"/>
  <c r="N170" i="5"/>
  <c r="N168" i="5" s="1"/>
  <c r="M170" i="5"/>
  <c r="L170" i="5"/>
  <c r="P169" i="5"/>
  <c r="O169" i="5"/>
  <c r="P166" i="5"/>
  <c r="N166" i="5"/>
  <c r="M166" i="5"/>
  <c r="L166" i="5"/>
  <c r="O166" i="5" s="1"/>
  <c r="I159" i="5"/>
  <c r="K159" i="5" s="1"/>
  <c r="N157" i="5"/>
  <c r="M157" i="5"/>
  <c r="L157" i="5"/>
  <c r="O157" i="5" s="1"/>
  <c r="P156" i="5"/>
  <c r="O156" i="5"/>
  <c r="N154" i="5"/>
  <c r="N152" i="5" s="1"/>
  <c r="M154" i="5"/>
  <c r="L154" i="5"/>
  <c r="O154" i="5" s="1"/>
  <c r="P153" i="5"/>
  <c r="O153" i="5"/>
  <c r="P150" i="5"/>
  <c r="N150" i="5"/>
  <c r="M150" i="5"/>
  <c r="L150" i="5"/>
  <c r="J148" i="5"/>
  <c r="I146" i="5"/>
  <c r="I130" i="5" s="1"/>
  <c r="K130" i="5" s="1"/>
  <c r="I145" i="5"/>
  <c r="I144" i="5"/>
  <c r="K144" i="5" s="1"/>
  <c r="N140" i="5"/>
  <c r="N138" i="5" s="1"/>
  <c r="M140" i="5"/>
  <c r="M138" i="5" s="1"/>
  <c r="P138" i="5" s="1"/>
  <c r="L140" i="5"/>
  <c r="O140" i="5" s="1"/>
  <c r="P139" i="5"/>
  <c r="O139" i="5"/>
  <c r="N137" i="5"/>
  <c r="N135" i="5" s="1"/>
  <c r="M137" i="5"/>
  <c r="M135" i="5" s="1"/>
  <c r="P135" i="5" s="1"/>
  <c r="L137" i="5"/>
  <c r="O137" i="5" s="1"/>
  <c r="P136" i="5"/>
  <c r="O136" i="5"/>
  <c r="O133" i="5"/>
  <c r="N133" i="5"/>
  <c r="M133" i="5"/>
  <c r="L133" i="5"/>
  <c r="J130" i="5"/>
  <c r="N127" i="5"/>
  <c r="N125" i="5" s="1"/>
  <c r="M127" i="5"/>
  <c r="L127" i="5"/>
  <c r="P126" i="5"/>
  <c r="O126" i="5"/>
  <c r="N124" i="5"/>
  <c r="M124" i="5"/>
  <c r="L124" i="5"/>
  <c r="O124" i="5" s="1"/>
  <c r="P123" i="5"/>
  <c r="O123" i="5"/>
  <c r="P120" i="5"/>
  <c r="N120" i="5"/>
  <c r="M120" i="5"/>
  <c r="L120" i="5"/>
  <c r="I116" i="5"/>
  <c r="K116" i="5" s="1"/>
  <c r="I115" i="5"/>
  <c r="K115" i="5" s="1"/>
  <c r="I114" i="5"/>
  <c r="K114" i="5" s="1"/>
  <c r="I113" i="5"/>
  <c r="K113" i="5" s="1"/>
  <c r="J112" i="5"/>
  <c r="J111" i="5"/>
  <c r="I111" i="5"/>
  <c r="K111" i="5" s="1"/>
  <c r="I110" i="5"/>
  <c r="K110" i="5" s="1"/>
  <c r="I109" i="5"/>
  <c r="K109" i="5" s="1"/>
  <c r="I107" i="5"/>
  <c r="K107" i="5" s="1"/>
  <c r="I106" i="5"/>
  <c r="K106" i="5" s="1"/>
  <c r="I104" i="5"/>
  <c r="K104" i="5" s="1"/>
  <c r="I103" i="5"/>
  <c r="K103" i="5" s="1"/>
  <c r="I102" i="5"/>
  <c r="K102" i="5" s="1"/>
  <c r="J100" i="5"/>
  <c r="I100" i="5"/>
  <c r="K100" i="5" s="1"/>
  <c r="J99" i="5"/>
  <c r="J87" i="5" s="1"/>
  <c r="I99" i="5"/>
  <c r="K99" i="5" s="1"/>
  <c r="J98" i="5"/>
  <c r="I98" i="5"/>
  <c r="K98" i="5" s="1"/>
  <c r="N96" i="5"/>
  <c r="N94" i="5" s="1"/>
  <c r="M96" i="5"/>
  <c r="P96" i="5" s="1"/>
  <c r="L96" i="5"/>
  <c r="P95" i="5"/>
  <c r="O95" i="5"/>
  <c r="N93" i="5"/>
  <c r="M93" i="5"/>
  <c r="L93" i="5"/>
  <c r="L91" i="5" s="1"/>
  <c r="P92" i="5"/>
  <c r="O92" i="5"/>
  <c r="N89" i="5"/>
  <c r="M89" i="5"/>
  <c r="P89" i="5" s="1"/>
  <c r="L89" i="5"/>
  <c r="O89" i="5" s="1"/>
  <c r="J86" i="5"/>
  <c r="I84" i="5"/>
  <c r="K84" i="5" s="1"/>
  <c r="I83" i="5"/>
  <c r="K83" i="5" s="1"/>
  <c r="I82" i="5"/>
  <c r="K82" i="5" s="1"/>
  <c r="I81" i="5"/>
  <c r="K81" i="5" s="1"/>
  <c r="I80" i="5"/>
  <c r="K80" i="5" s="1"/>
  <c r="I79" i="5"/>
  <c r="K79" i="5" s="1"/>
  <c r="I78" i="5"/>
  <c r="K78" i="5" s="1"/>
  <c r="J77" i="5"/>
  <c r="J76" i="5"/>
  <c r="J64" i="5" s="1"/>
  <c r="N74" i="5"/>
  <c r="N72" i="5" s="1"/>
  <c r="M74" i="5"/>
  <c r="M72" i="5" s="1"/>
  <c r="P72" i="5" s="1"/>
  <c r="L74" i="5"/>
  <c r="P73" i="5"/>
  <c r="O73" i="5"/>
  <c r="N71" i="5"/>
  <c r="N69" i="5" s="1"/>
  <c r="M71" i="5"/>
  <c r="P71" i="5" s="1"/>
  <c r="L71" i="5"/>
  <c r="P70" i="5"/>
  <c r="O70" i="5"/>
  <c r="O67" i="5"/>
  <c r="N67" i="5"/>
  <c r="M67" i="5"/>
  <c r="L67" i="5"/>
  <c r="J65" i="5"/>
  <c r="N61" i="5"/>
  <c r="M61" i="5"/>
  <c r="L61" i="5"/>
  <c r="L59" i="5" s="1"/>
  <c r="P60" i="5"/>
  <c r="O60" i="5"/>
  <c r="N58" i="5"/>
  <c r="N56" i="5" s="1"/>
  <c r="M58" i="5"/>
  <c r="M56" i="5" s="1"/>
  <c r="L58" i="5"/>
  <c r="L56" i="5" s="1"/>
  <c r="P57" i="5"/>
  <c r="O57" i="5"/>
  <c r="P54" i="5"/>
  <c r="N54" i="5"/>
  <c r="M54" i="5"/>
  <c r="L54" i="5"/>
  <c r="N49" i="5"/>
  <c r="N47" i="5" s="1"/>
  <c r="M49" i="5"/>
  <c r="M47" i="5" s="1"/>
  <c r="P47" i="5" s="1"/>
  <c r="L49" i="5"/>
  <c r="L47" i="5" s="1"/>
  <c r="O47" i="5" s="1"/>
  <c r="P48" i="5"/>
  <c r="O48" i="5"/>
  <c r="N46" i="5"/>
  <c r="M46" i="5"/>
  <c r="M44" i="5" s="1"/>
  <c r="L46" i="5"/>
  <c r="L44" i="5" s="1"/>
  <c r="P45" i="5"/>
  <c r="O45" i="5"/>
  <c r="O42" i="5"/>
  <c r="N42" i="5"/>
  <c r="M42" i="5"/>
  <c r="P42" i="5" s="1"/>
  <c r="L42" i="5"/>
  <c r="N36" i="5"/>
  <c r="M36" i="5"/>
  <c r="P36" i="5" s="1"/>
  <c r="N35" i="5"/>
  <c r="N34" i="5" s="1"/>
  <c r="M35" i="5"/>
  <c r="M34" i="5" s="1"/>
  <c r="P34" i="5" s="1"/>
  <c r="L35" i="5"/>
  <c r="O35" i="5" s="1"/>
  <c r="M33" i="5"/>
  <c r="N32" i="5"/>
  <c r="N29" i="5" s="1"/>
  <c r="M32" i="5"/>
  <c r="P32" i="5" s="1"/>
  <c r="L32" i="5"/>
  <c r="M29" i="5"/>
  <c r="P29" i="5" s="1"/>
  <c r="N25" i="5"/>
  <c r="M25" i="5"/>
  <c r="L25" i="5"/>
  <c r="P22" i="5"/>
  <c r="O22" i="5"/>
  <c r="N22" i="5"/>
  <c r="M22" i="5"/>
  <c r="L22" i="5"/>
  <c r="M19" i="5"/>
  <c r="P19" i="5" s="1"/>
  <c r="L19" i="5"/>
  <c r="O19" i="5" s="1"/>
  <c r="N15" i="5"/>
  <c r="J828" i="4"/>
  <c r="I828" i="4"/>
  <c r="J827" i="4"/>
  <c r="I827" i="4"/>
  <c r="J826" i="4"/>
  <c r="I826" i="4"/>
  <c r="J825" i="4"/>
  <c r="I825" i="4"/>
  <c r="J824" i="4"/>
  <c r="I824" i="4"/>
  <c r="J823" i="4"/>
  <c r="I823" i="4"/>
  <c r="J822" i="4"/>
  <c r="I822" i="4"/>
  <c r="J821" i="4"/>
  <c r="I821" i="4"/>
  <c r="P817" i="4"/>
  <c r="O817" i="4"/>
  <c r="P816" i="4"/>
  <c r="O816" i="4"/>
  <c r="P815" i="4"/>
  <c r="O815" i="4"/>
  <c r="N815" i="4"/>
  <c r="M815" i="4"/>
  <c r="L815" i="4"/>
  <c r="P810" i="4"/>
  <c r="O810" i="4"/>
  <c r="N810" i="4"/>
  <c r="P809" i="4"/>
  <c r="O809" i="4"/>
  <c r="O808" i="4"/>
  <c r="M808" i="4"/>
  <c r="P808" i="4" s="1"/>
  <c r="L808" i="4"/>
  <c r="M807" i="4"/>
  <c r="P807" i="4" s="1"/>
  <c r="L807" i="4"/>
  <c r="N806" i="4"/>
  <c r="M806" i="4"/>
  <c r="P806" i="4" s="1"/>
  <c r="L806" i="4"/>
  <c r="O806" i="4" s="1"/>
  <c r="K804" i="4"/>
  <c r="J804" i="4"/>
  <c r="K802" i="4"/>
  <c r="J801" i="4"/>
  <c r="J800" i="4"/>
  <c r="J785" i="4" s="1"/>
  <c r="I800" i="4"/>
  <c r="K800" i="4" s="1"/>
  <c r="P798" i="4"/>
  <c r="O798" i="4"/>
  <c r="P797" i="4"/>
  <c r="O797" i="4"/>
  <c r="P796" i="4"/>
  <c r="O796" i="4"/>
  <c r="N796" i="4"/>
  <c r="M796" i="4"/>
  <c r="L796" i="4"/>
  <c r="P791" i="4"/>
  <c r="N791" i="4"/>
  <c r="L791" i="4"/>
  <c r="L788" i="4" s="1"/>
  <c r="P790" i="4"/>
  <c r="O790" i="4"/>
  <c r="N789" i="4"/>
  <c r="M789" i="4"/>
  <c r="P789" i="4" s="1"/>
  <c r="N788" i="4"/>
  <c r="M788" i="4"/>
  <c r="P788" i="4" s="1"/>
  <c r="N787" i="4"/>
  <c r="N786" i="4" s="1"/>
  <c r="M787" i="4"/>
  <c r="P787" i="4" s="1"/>
  <c r="L787" i="4"/>
  <c r="O787" i="4" s="1"/>
  <c r="P782" i="4"/>
  <c r="O782" i="4"/>
  <c r="P781" i="4"/>
  <c r="O781" i="4"/>
  <c r="P780" i="4"/>
  <c r="N780" i="4"/>
  <c r="M780" i="4"/>
  <c r="L780" i="4"/>
  <c r="O780" i="4" s="1"/>
  <c r="P775" i="4"/>
  <c r="O775" i="4"/>
  <c r="N775" i="4"/>
  <c r="N772" i="4" s="1"/>
  <c r="P774" i="4"/>
  <c r="O774" i="4"/>
  <c r="P773" i="4"/>
  <c r="O773" i="4"/>
  <c r="N773" i="4"/>
  <c r="M773" i="4"/>
  <c r="L773" i="4"/>
  <c r="O772" i="4"/>
  <c r="M772" i="4"/>
  <c r="L772" i="4"/>
  <c r="N771" i="4"/>
  <c r="M771" i="4"/>
  <c r="P771" i="4" s="1"/>
  <c r="L771" i="4"/>
  <c r="K769" i="4"/>
  <c r="J769" i="4"/>
  <c r="P766" i="4"/>
  <c r="O766" i="4"/>
  <c r="P765" i="4"/>
  <c r="O765" i="4"/>
  <c r="P764" i="4"/>
  <c r="N764" i="4"/>
  <c r="M764" i="4"/>
  <c r="L764" i="4"/>
  <c r="O764" i="4" s="1"/>
  <c r="P759" i="4"/>
  <c r="O759" i="4"/>
  <c r="N759" i="4"/>
  <c r="N756" i="4" s="1"/>
  <c r="P758" i="4"/>
  <c r="O758" i="4"/>
  <c r="P757" i="4"/>
  <c r="O757" i="4"/>
  <c r="N757" i="4"/>
  <c r="M757" i="4"/>
  <c r="L757" i="4"/>
  <c r="O756" i="4"/>
  <c r="M756" i="4"/>
  <c r="L756" i="4"/>
  <c r="N755" i="4"/>
  <c r="M755" i="4"/>
  <c r="P755" i="4" s="1"/>
  <c r="L755" i="4"/>
  <c r="K753" i="4"/>
  <c r="J753" i="4"/>
  <c r="P749" i="4"/>
  <c r="O749" i="4"/>
  <c r="P748" i="4"/>
  <c r="O748" i="4"/>
  <c r="P747" i="4"/>
  <c r="N747" i="4"/>
  <c r="M747" i="4"/>
  <c r="L747" i="4"/>
  <c r="O747" i="4" s="1"/>
  <c r="P742" i="4"/>
  <c r="O742" i="4"/>
  <c r="N742" i="4"/>
  <c r="N739" i="4" s="1"/>
  <c r="P741" i="4"/>
  <c r="O741" i="4"/>
  <c r="P740" i="4"/>
  <c r="O740" i="4"/>
  <c r="N740" i="4"/>
  <c r="M740" i="4"/>
  <c r="L740" i="4"/>
  <c r="O739" i="4"/>
  <c r="M739" i="4"/>
  <c r="L739" i="4"/>
  <c r="N738" i="4"/>
  <c r="N737" i="4" s="1"/>
  <c r="M738" i="4"/>
  <c r="P738" i="4" s="1"/>
  <c r="L738" i="4"/>
  <c r="K736" i="4"/>
  <c r="J736" i="4"/>
  <c r="J729" i="4"/>
  <c r="I729" i="4"/>
  <c r="J728" i="4"/>
  <c r="I728" i="4"/>
  <c r="J727" i="4"/>
  <c r="J726" i="4"/>
  <c r="I726" i="4"/>
  <c r="J725" i="4"/>
  <c r="I725" i="4"/>
  <c r="J724" i="4"/>
  <c r="J723" i="4"/>
  <c r="I723" i="4"/>
  <c r="I722" i="4"/>
  <c r="I721" i="4"/>
  <c r="J720" i="4"/>
  <c r="I720" i="4"/>
  <c r="J719" i="4"/>
  <c r="J718" i="4"/>
  <c r="J708" i="4"/>
  <c r="I708" i="4"/>
  <c r="I707" i="4"/>
  <c r="I704" i="4"/>
  <c r="J701" i="4"/>
  <c r="I701" i="4"/>
  <c r="J700" i="4"/>
  <c r="I700" i="4"/>
  <c r="K700" i="4" s="1"/>
  <c r="J699" i="4"/>
  <c r="I699" i="4"/>
  <c r="K699" i="4" s="1"/>
  <c r="P697" i="4"/>
  <c r="O697" i="4"/>
  <c r="P696" i="4"/>
  <c r="O696" i="4"/>
  <c r="P695" i="4"/>
  <c r="N695" i="4"/>
  <c r="M695" i="4"/>
  <c r="L695" i="4"/>
  <c r="O695" i="4" s="1"/>
  <c r="P690" i="4"/>
  <c r="N690" i="4"/>
  <c r="N688" i="4" s="1"/>
  <c r="L690" i="4"/>
  <c r="L688" i="4" s="1"/>
  <c r="O688" i="4" s="1"/>
  <c r="M688" i="4"/>
  <c r="P688" i="4" s="1"/>
  <c r="N687" i="4"/>
  <c r="M687" i="4"/>
  <c r="P687" i="4" s="1"/>
  <c r="N686" i="4"/>
  <c r="M686" i="4"/>
  <c r="L686" i="4"/>
  <c r="O686" i="4" s="1"/>
  <c r="J679" i="4"/>
  <c r="J678" i="4"/>
  <c r="I678" i="4"/>
  <c r="K678" i="4" s="1"/>
  <c r="J675" i="4"/>
  <c r="I671" i="4"/>
  <c r="K671" i="4" s="1"/>
  <c r="I670" i="4"/>
  <c r="K670" i="4" s="1"/>
  <c r="I669" i="4"/>
  <c r="K674" i="4" s="1"/>
  <c r="P667" i="4"/>
  <c r="O667" i="4"/>
  <c r="P666" i="4"/>
  <c r="O666" i="4"/>
  <c r="N665" i="4"/>
  <c r="M665" i="4"/>
  <c r="P665" i="4" s="1"/>
  <c r="L665" i="4"/>
  <c r="O665" i="4" s="1"/>
  <c r="P660" i="4"/>
  <c r="N660" i="4"/>
  <c r="L660" i="4"/>
  <c r="O660" i="4" s="1"/>
  <c r="P659" i="4"/>
  <c r="O659" i="4"/>
  <c r="P658" i="4"/>
  <c r="N658" i="4"/>
  <c r="M658" i="4"/>
  <c r="P657" i="4"/>
  <c r="N657" i="4"/>
  <c r="M657" i="4"/>
  <c r="P656" i="4"/>
  <c r="O656" i="4"/>
  <c r="N656" i="4"/>
  <c r="N655" i="4" s="1"/>
  <c r="M656" i="4"/>
  <c r="L656" i="4"/>
  <c r="M655" i="4"/>
  <c r="P655" i="4" s="1"/>
  <c r="K652" i="4"/>
  <c r="J652" i="4"/>
  <c r="J651" i="4"/>
  <c r="J628" i="4" s="1"/>
  <c r="I651" i="4"/>
  <c r="K650" i="4"/>
  <c r="J650" i="4"/>
  <c r="J649" i="4"/>
  <c r="I649" i="4"/>
  <c r="K649" i="4" s="1"/>
  <c r="K648" i="4"/>
  <c r="J648" i="4"/>
  <c r="J647" i="4"/>
  <c r="I647" i="4"/>
  <c r="K647" i="4" s="1"/>
  <c r="K646" i="4"/>
  <c r="J646" i="4"/>
  <c r="K645" i="4"/>
  <c r="J645" i="4"/>
  <c r="I644" i="4"/>
  <c r="K644" i="4" s="1"/>
  <c r="I643" i="4"/>
  <c r="K643" i="4" s="1"/>
  <c r="P641" i="4"/>
  <c r="L641" i="4"/>
  <c r="P640" i="4"/>
  <c r="O640" i="4"/>
  <c r="N639" i="4"/>
  <c r="M639" i="4"/>
  <c r="P639" i="4" s="1"/>
  <c r="P634" i="4"/>
  <c r="N634" i="4"/>
  <c r="N631" i="4" s="1"/>
  <c r="N629" i="4" s="1"/>
  <c r="L634" i="4"/>
  <c r="O634" i="4" s="1"/>
  <c r="P633" i="4"/>
  <c r="O633" i="4"/>
  <c r="N632" i="4"/>
  <c r="M632" i="4"/>
  <c r="P632" i="4" s="1"/>
  <c r="M631" i="4"/>
  <c r="P631" i="4" s="1"/>
  <c r="P630" i="4"/>
  <c r="N630" i="4"/>
  <c r="M630" i="4"/>
  <c r="L630" i="4"/>
  <c r="J621" i="4"/>
  <c r="I621" i="4"/>
  <c r="K621" i="4" s="1"/>
  <c r="J620" i="4"/>
  <c r="I620" i="4"/>
  <c r="K620" i="4" s="1"/>
  <c r="K613" i="4"/>
  <c r="J613" i="4"/>
  <c r="K612" i="4"/>
  <c r="J612" i="4"/>
  <c r="K611" i="4"/>
  <c r="J611" i="4"/>
  <c r="J604" i="4"/>
  <c r="J603" i="4"/>
  <c r="J596" i="4"/>
  <c r="J595" i="4"/>
  <c r="J593" i="4" s="1"/>
  <c r="J594" i="4"/>
  <c r="I594" i="4"/>
  <c r="I593" i="4"/>
  <c r="J592" i="4"/>
  <c r="J583" i="4"/>
  <c r="J582" i="4"/>
  <c r="J576" i="4" s="1"/>
  <c r="J559" i="4" s="1"/>
  <c r="J543" i="4" s="1"/>
  <c r="J577" i="4"/>
  <c r="I577" i="4"/>
  <c r="K577" i="4" s="1"/>
  <c r="I576" i="4"/>
  <c r="K576" i="4" s="1"/>
  <c r="J569" i="4"/>
  <c r="I569" i="4"/>
  <c r="K569" i="4" s="1"/>
  <c r="J568" i="4"/>
  <c r="I568" i="4"/>
  <c r="K568" i="4" s="1"/>
  <c r="J561" i="4"/>
  <c r="I561" i="4"/>
  <c r="K561" i="4" s="1"/>
  <c r="J560" i="4"/>
  <c r="I560" i="4"/>
  <c r="K560" i="4" s="1"/>
  <c r="P557" i="4"/>
  <c r="L557" i="4"/>
  <c r="L555" i="4" s="1"/>
  <c r="O555" i="4" s="1"/>
  <c r="P556" i="4"/>
  <c r="O556" i="4"/>
  <c r="N555" i="4"/>
  <c r="M555" i="4"/>
  <c r="P555" i="4" s="1"/>
  <c r="P549" i="4"/>
  <c r="N549" i="4"/>
  <c r="L549" i="4"/>
  <c r="O549" i="4" s="1"/>
  <c r="P548" i="4"/>
  <c r="O548" i="4"/>
  <c r="N547" i="4"/>
  <c r="M547" i="4"/>
  <c r="P547" i="4" s="1"/>
  <c r="P546" i="4"/>
  <c r="N546" i="4"/>
  <c r="M546" i="4"/>
  <c r="O545" i="4"/>
  <c r="N545" i="4"/>
  <c r="M545" i="4"/>
  <c r="M544" i="4" s="1"/>
  <c r="P544" i="4" s="1"/>
  <c r="L545" i="4"/>
  <c r="N544" i="4"/>
  <c r="I542" i="4"/>
  <c r="K542" i="4" s="1"/>
  <c r="I541" i="4"/>
  <c r="K541" i="4" s="1"/>
  <c r="I540" i="4"/>
  <c r="K540" i="4" s="1"/>
  <c r="I539" i="4"/>
  <c r="K539" i="4" s="1"/>
  <c r="I538" i="4"/>
  <c r="K538" i="4" s="1"/>
  <c r="I537" i="4"/>
  <c r="P535" i="4"/>
  <c r="L535" i="4"/>
  <c r="L533" i="4" s="1"/>
  <c r="O533" i="4" s="1"/>
  <c r="P534" i="4"/>
  <c r="O534" i="4"/>
  <c r="P533" i="4"/>
  <c r="N533" i="4"/>
  <c r="M533" i="4"/>
  <c r="P528" i="4"/>
  <c r="N528" i="4"/>
  <c r="L528" i="4"/>
  <c r="L526" i="4" s="1"/>
  <c r="O526" i="4" s="1"/>
  <c r="P527" i="4"/>
  <c r="O527" i="4"/>
  <c r="P526" i="4"/>
  <c r="N526" i="4"/>
  <c r="M526" i="4"/>
  <c r="N525" i="4"/>
  <c r="M525" i="4"/>
  <c r="P525" i="4" s="1"/>
  <c r="N524" i="4"/>
  <c r="M524" i="4"/>
  <c r="P524" i="4" s="1"/>
  <c r="L524" i="4"/>
  <c r="O524" i="4" s="1"/>
  <c r="P523" i="4"/>
  <c r="M523" i="4"/>
  <c r="K517" i="4"/>
  <c r="J517" i="4"/>
  <c r="K516" i="4"/>
  <c r="P514" i="4"/>
  <c r="O514" i="4"/>
  <c r="P513" i="4"/>
  <c r="O513" i="4"/>
  <c r="O512" i="4"/>
  <c r="N512" i="4"/>
  <c r="M512" i="4"/>
  <c r="P512" i="4" s="1"/>
  <c r="L512" i="4"/>
  <c r="P507" i="4"/>
  <c r="O507" i="4"/>
  <c r="N507" i="4"/>
  <c r="N504" i="4" s="1"/>
  <c r="N502" i="4" s="1"/>
  <c r="P506" i="4"/>
  <c r="O506" i="4"/>
  <c r="M505" i="4"/>
  <c r="P505" i="4" s="1"/>
  <c r="L505" i="4"/>
  <c r="O505" i="4" s="1"/>
  <c r="P504" i="4"/>
  <c r="M504" i="4"/>
  <c r="M502" i="4" s="1"/>
  <c r="L504" i="4"/>
  <c r="O504" i="4" s="1"/>
  <c r="P503" i="4"/>
  <c r="N503" i="4"/>
  <c r="M503" i="4"/>
  <c r="L503" i="4"/>
  <c r="P502" i="4"/>
  <c r="K501" i="4"/>
  <c r="J501" i="4"/>
  <c r="K500" i="4"/>
  <c r="J500" i="4"/>
  <c r="I498" i="4"/>
  <c r="K498" i="4" s="1"/>
  <c r="I495" i="4"/>
  <c r="K495" i="4" s="1"/>
  <c r="I492" i="4"/>
  <c r="K492" i="4" s="1"/>
  <c r="I489" i="4"/>
  <c r="K489" i="4" s="1"/>
  <c r="I487" i="4"/>
  <c r="K487" i="4" s="1"/>
  <c r="I485" i="4"/>
  <c r="K485" i="4" s="1"/>
  <c r="I483" i="4"/>
  <c r="K483" i="4" s="1"/>
  <c r="P479" i="4"/>
  <c r="L479" i="4"/>
  <c r="L477" i="4" s="1"/>
  <c r="O477" i="4" s="1"/>
  <c r="P478" i="4"/>
  <c r="O478" i="4"/>
  <c r="N477" i="4"/>
  <c r="M477" i="4"/>
  <c r="P477" i="4" s="1"/>
  <c r="N476" i="4"/>
  <c r="P472" i="4"/>
  <c r="N472" i="4"/>
  <c r="L472" i="4"/>
  <c r="L470" i="4" s="1"/>
  <c r="P471" i="4"/>
  <c r="O471" i="4"/>
  <c r="M470" i="4"/>
  <c r="P470" i="4" s="1"/>
  <c r="M469" i="4"/>
  <c r="P469" i="4" s="1"/>
  <c r="N468" i="4"/>
  <c r="M468" i="4"/>
  <c r="P468" i="4" s="1"/>
  <c r="L468" i="4"/>
  <c r="O468" i="4" s="1"/>
  <c r="J466" i="4"/>
  <c r="I466" i="4"/>
  <c r="K466" i="4" s="1"/>
  <c r="J465" i="4"/>
  <c r="I465" i="4"/>
  <c r="K465" i="4" s="1"/>
  <c r="I464" i="4"/>
  <c r="I463" i="4"/>
  <c r="I462" i="4"/>
  <c r="K462" i="4" s="1"/>
  <c r="I460" i="4"/>
  <c r="K460" i="4" s="1"/>
  <c r="K458" i="4"/>
  <c r="P456" i="4"/>
  <c r="L456" i="4"/>
  <c r="L454" i="4" s="1"/>
  <c r="O454" i="4" s="1"/>
  <c r="P455" i="4"/>
  <c r="O455" i="4"/>
  <c r="P454" i="4"/>
  <c r="N454" i="4"/>
  <c r="M454" i="4"/>
  <c r="P449" i="4"/>
  <c r="N449" i="4"/>
  <c r="L449" i="4"/>
  <c r="L447" i="4" s="1"/>
  <c r="O447" i="4" s="1"/>
  <c r="P448" i="4"/>
  <c r="O448" i="4"/>
  <c r="P447" i="4"/>
  <c r="N447" i="4"/>
  <c r="M447" i="4"/>
  <c r="N446" i="4"/>
  <c r="M446" i="4"/>
  <c r="P446" i="4" s="1"/>
  <c r="N445" i="4"/>
  <c r="M445" i="4"/>
  <c r="P445" i="4" s="1"/>
  <c r="L445" i="4"/>
  <c r="O445" i="4" s="1"/>
  <c r="M444" i="4"/>
  <c r="P444" i="4" s="1"/>
  <c r="J443" i="4"/>
  <c r="J442" i="4"/>
  <c r="I441" i="4"/>
  <c r="K441" i="4" s="1"/>
  <c r="I440" i="4"/>
  <c r="I439" i="4"/>
  <c r="K439" i="4" s="1"/>
  <c r="I438" i="4"/>
  <c r="K438" i="4" s="1"/>
  <c r="I437" i="4"/>
  <c r="K437" i="4" s="1"/>
  <c r="I435" i="4"/>
  <c r="J434" i="4"/>
  <c r="J418" i="4" s="1"/>
  <c r="P431" i="4"/>
  <c r="L431" i="4"/>
  <c r="L429" i="4" s="1"/>
  <c r="O429" i="4" s="1"/>
  <c r="P430" i="4"/>
  <c r="O430" i="4"/>
  <c r="N429" i="4"/>
  <c r="M429" i="4"/>
  <c r="P429" i="4" s="1"/>
  <c r="P424" i="4"/>
  <c r="N424" i="4"/>
  <c r="L424" i="4"/>
  <c r="L422" i="4" s="1"/>
  <c r="O422" i="4" s="1"/>
  <c r="P423" i="4"/>
  <c r="O423" i="4"/>
  <c r="P422" i="4"/>
  <c r="N422" i="4"/>
  <c r="M422" i="4"/>
  <c r="N421" i="4"/>
  <c r="M421" i="4"/>
  <c r="P421" i="4" s="1"/>
  <c r="N420" i="4"/>
  <c r="M420" i="4"/>
  <c r="L420" i="4"/>
  <c r="O420" i="4" s="1"/>
  <c r="K413" i="4"/>
  <c r="K412" i="4"/>
  <c r="N410" i="4"/>
  <c r="N408" i="4" s="1"/>
  <c r="M410" i="4"/>
  <c r="M408" i="4" s="1"/>
  <c r="P408" i="4" s="1"/>
  <c r="L410" i="4"/>
  <c r="P409" i="4"/>
  <c r="O409" i="4"/>
  <c r="N407" i="4"/>
  <c r="M407" i="4"/>
  <c r="P407" i="4" s="1"/>
  <c r="L407" i="4"/>
  <c r="L405" i="4" s="1"/>
  <c r="O405" i="4" s="1"/>
  <c r="P406" i="4"/>
  <c r="O406" i="4"/>
  <c r="P403" i="4"/>
  <c r="N403" i="4"/>
  <c r="M403" i="4"/>
  <c r="L403" i="4"/>
  <c r="K401" i="4"/>
  <c r="J401" i="4"/>
  <c r="I401" i="4"/>
  <c r="K400" i="4"/>
  <c r="K399" i="4"/>
  <c r="N397" i="4"/>
  <c r="N395" i="4" s="1"/>
  <c r="M397" i="4"/>
  <c r="P397" i="4" s="1"/>
  <c r="L397" i="4"/>
  <c r="O397" i="4" s="1"/>
  <c r="P396" i="4"/>
  <c r="O396" i="4"/>
  <c r="N394" i="4"/>
  <c r="N392" i="4" s="1"/>
  <c r="M394" i="4"/>
  <c r="P394" i="4" s="1"/>
  <c r="L394" i="4"/>
  <c r="P393" i="4"/>
  <c r="O393" i="4"/>
  <c r="N390" i="4"/>
  <c r="M390" i="4"/>
  <c r="L390" i="4"/>
  <c r="O390" i="4" s="1"/>
  <c r="J388" i="4"/>
  <c r="I388" i="4"/>
  <c r="K388" i="4" s="1"/>
  <c r="J385" i="4"/>
  <c r="I385" i="4"/>
  <c r="K382" i="4"/>
  <c r="J382" i="4"/>
  <c r="J381" i="4"/>
  <c r="I381" i="4"/>
  <c r="K380" i="4"/>
  <c r="J380" i="4"/>
  <c r="J379" i="4"/>
  <c r="I379" i="4"/>
  <c r="J378" i="4"/>
  <c r="I378" i="4"/>
  <c r="K377" i="4"/>
  <c r="J377" i="4"/>
  <c r="I374" i="4"/>
  <c r="K373" i="4"/>
  <c r="J373" i="4"/>
  <c r="J372" i="4"/>
  <c r="J365" i="4" s="1"/>
  <c r="I372" i="4"/>
  <c r="K371" i="4"/>
  <c r="J371" i="4"/>
  <c r="J370" i="4"/>
  <c r="I370" i="4"/>
  <c r="J369" i="4"/>
  <c r="I369" i="4"/>
  <c r="K368" i="4"/>
  <c r="J368" i="4"/>
  <c r="I365" i="4"/>
  <c r="K363" i="4"/>
  <c r="J363" i="4"/>
  <c r="J362" i="4"/>
  <c r="J355" i="4" s="1"/>
  <c r="I362" i="4"/>
  <c r="K361" i="4"/>
  <c r="J361" i="4"/>
  <c r="J360" i="4"/>
  <c r="I360" i="4"/>
  <c r="J359" i="4"/>
  <c r="I359" i="4"/>
  <c r="K358" i="4"/>
  <c r="J358" i="4"/>
  <c r="I355" i="4"/>
  <c r="N353" i="4"/>
  <c r="N351" i="4" s="1"/>
  <c r="M353" i="4"/>
  <c r="M351" i="4" s="1"/>
  <c r="L353" i="4"/>
  <c r="P352" i="4"/>
  <c r="O352" i="4"/>
  <c r="N350" i="4"/>
  <c r="M350" i="4"/>
  <c r="M348" i="4" s="1"/>
  <c r="L350" i="4"/>
  <c r="P349" i="4"/>
  <c r="O349" i="4"/>
  <c r="N346" i="4"/>
  <c r="M346" i="4"/>
  <c r="L346" i="4"/>
  <c r="O346" i="4" s="1"/>
  <c r="J343" i="4"/>
  <c r="J342" i="4"/>
  <c r="J341" i="4"/>
  <c r="J340" i="4"/>
  <c r="I340" i="4"/>
  <c r="J338" i="4"/>
  <c r="I338" i="4"/>
  <c r="N336" i="4"/>
  <c r="N334" i="4" s="1"/>
  <c r="M336" i="4"/>
  <c r="L336" i="4"/>
  <c r="P335" i="4"/>
  <c r="O335" i="4"/>
  <c r="N333" i="4"/>
  <c r="M333" i="4"/>
  <c r="M331" i="4" s="1"/>
  <c r="L333" i="4"/>
  <c r="P332" i="4"/>
  <c r="O332" i="4"/>
  <c r="N329" i="4"/>
  <c r="M329" i="4"/>
  <c r="L329" i="4"/>
  <c r="O329" i="4" s="1"/>
  <c r="I327" i="4"/>
  <c r="I325" i="4"/>
  <c r="K325" i="4" s="1"/>
  <c r="N323" i="4"/>
  <c r="N321" i="4" s="1"/>
  <c r="M323" i="4"/>
  <c r="M321" i="4" s="1"/>
  <c r="P321" i="4" s="1"/>
  <c r="L323" i="4"/>
  <c r="L321" i="4" s="1"/>
  <c r="O321" i="4" s="1"/>
  <c r="P322" i="4"/>
  <c r="O322" i="4"/>
  <c r="N320" i="4"/>
  <c r="M320" i="4"/>
  <c r="L320" i="4"/>
  <c r="O320" i="4" s="1"/>
  <c r="P319" i="4"/>
  <c r="O319" i="4"/>
  <c r="P316" i="4"/>
  <c r="O316" i="4"/>
  <c r="N316" i="4"/>
  <c r="M316" i="4"/>
  <c r="L316" i="4"/>
  <c r="J314" i="4"/>
  <c r="I312" i="4"/>
  <c r="K312" i="4" s="1"/>
  <c r="I311" i="4"/>
  <c r="K311" i="4" s="1"/>
  <c r="I310" i="4"/>
  <c r="K310" i="4" s="1"/>
  <c r="I309" i="4"/>
  <c r="I297" i="4" s="1"/>
  <c r="N306" i="4"/>
  <c r="N304" i="4" s="1"/>
  <c r="M306" i="4"/>
  <c r="L306" i="4"/>
  <c r="L304" i="4" s="1"/>
  <c r="O304" i="4" s="1"/>
  <c r="P305" i="4"/>
  <c r="O305" i="4"/>
  <c r="N303" i="4"/>
  <c r="M303" i="4"/>
  <c r="M301" i="4" s="1"/>
  <c r="L303" i="4"/>
  <c r="L301" i="4" s="1"/>
  <c r="P302" i="4"/>
  <c r="O302" i="4"/>
  <c r="P299" i="4"/>
  <c r="N299" i="4"/>
  <c r="M299" i="4"/>
  <c r="L299" i="4"/>
  <c r="O299" i="4" s="1"/>
  <c r="J297" i="4"/>
  <c r="I294" i="4"/>
  <c r="K294" i="4" s="1"/>
  <c r="I293" i="4"/>
  <c r="K293" i="4" s="1"/>
  <c r="I291" i="4"/>
  <c r="K291" i="4" s="1"/>
  <c r="I290" i="4"/>
  <c r="K290" i="4" s="1"/>
  <c r="I288" i="4"/>
  <c r="I287" i="4"/>
  <c r="I276" i="4" s="1"/>
  <c r="K276" i="4" s="1"/>
  <c r="N285" i="4"/>
  <c r="N283" i="4" s="1"/>
  <c r="M285" i="4"/>
  <c r="P285" i="4" s="1"/>
  <c r="L285" i="4"/>
  <c r="P284" i="4"/>
  <c r="O284" i="4"/>
  <c r="N282" i="4"/>
  <c r="M282" i="4"/>
  <c r="L282" i="4"/>
  <c r="L280" i="4" s="1"/>
  <c r="P281" i="4"/>
  <c r="O281" i="4"/>
  <c r="N278" i="4"/>
  <c r="M278" i="4"/>
  <c r="P278" i="4" s="1"/>
  <c r="L278" i="4"/>
  <c r="J276" i="4"/>
  <c r="I271" i="4"/>
  <c r="K271" i="4" s="1"/>
  <c r="N269" i="4"/>
  <c r="M269" i="4"/>
  <c r="P269" i="4" s="1"/>
  <c r="L269" i="4"/>
  <c r="P268" i="4"/>
  <c r="O268" i="4"/>
  <c r="N266" i="4"/>
  <c r="N264" i="4" s="1"/>
  <c r="M266" i="4"/>
  <c r="P266" i="4" s="1"/>
  <c r="L266" i="4"/>
  <c r="L264" i="4" s="1"/>
  <c r="P265" i="4"/>
  <c r="O265" i="4"/>
  <c r="N262" i="4"/>
  <c r="M262" i="4"/>
  <c r="P262" i="4" s="1"/>
  <c r="L262" i="4"/>
  <c r="O262" i="4" s="1"/>
  <c r="J260" i="4"/>
  <c r="K258" i="4"/>
  <c r="K257" i="4"/>
  <c r="I255" i="4"/>
  <c r="I248" i="4" s="1"/>
  <c r="L253" i="4"/>
  <c r="L252" i="4"/>
  <c r="L251" i="4"/>
  <c r="L250" i="4"/>
  <c r="P249" i="4"/>
  <c r="N249" i="4"/>
  <c r="J248" i="4"/>
  <c r="K247" i="4"/>
  <c r="K246" i="4"/>
  <c r="I244" i="4"/>
  <c r="K244" i="4" s="1"/>
  <c r="L242" i="4"/>
  <c r="L241" i="4"/>
  <c r="L240" i="4"/>
  <c r="N239" i="4"/>
  <c r="L239" i="4"/>
  <c r="P238" i="4"/>
  <c r="N238" i="4"/>
  <c r="J237" i="4"/>
  <c r="J236" i="4"/>
  <c r="K236" i="4" s="1"/>
  <c r="I236" i="4"/>
  <c r="K235" i="4"/>
  <c r="J235" i="4"/>
  <c r="I235" i="4"/>
  <c r="J233" i="4"/>
  <c r="N231" i="4"/>
  <c r="N230" i="4"/>
  <c r="N229" i="4"/>
  <c r="N228" i="4"/>
  <c r="I225" i="4"/>
  <c r="K225" i="4" s="1"/>
  <c r="I224" i="4"/>
  <c r="I223" i="4"/>
  <c r="K223" i="4" s="1"/>
  <c r="L220" i="4"/>
  <c r="L219" i="4"/>
  <c r="L218" i="4"/>
  <c r="P217" i="4"/>
  <c r="N217" i="4"/>
  <c r="J216" i="4"/>
  <c r="I215" i="4"/>
  <c r="K215" i="4" s="1"/>
  <c r="I214" i="4"/>
  <c r="K214" i="4" s="1"/>
  <c r="L212" i="4"/>
  <c r="L211" i="4"/>
  <c r="L210" i="4"/>
  <c r="P209" i="4"/>
  <c r="N209" i="4"/>
  <c r="J208" i="4"/>
  <c r="K207" i="4"/>
  <c r="K206" i="4"/>
  <c r="I204" i="4"/>
  <c r="K204" i="4" s="1"/>
  <c r="L202" i="4"/>
  <c r="L201" i="4"/>
  <c r="L200" i="4"/>
  <c r="L199" i="4"/>
  <c r="P198" i="4"/>
  <c r="N198" i="4"/>
  <c r="J197" i="4"/>
  <c r="J194" i="4"/>
  <c r="I193" i="4"/>
  <c r="K193" i="4" s="1"/>
  <c r="P191" i="4"/>
  <c r="L191" i="4"/>
  <c r="O191" i="4" s="1"/>
  <c r="J190" i="4"/>
  <c r="N189" i="4"/>
  <c r="N187" i="4" s="1"/>
  <c r="M189" i="4"/>
  <c r="M187" i="4" s="1"/>
  <c r="P187" i="4" s="1"/>
  <c r="L189" i="4"/>
  <c r="O189" i="4" s="1"/>
  <c r="P188" i="4"/>
  <c r="O188" i="4"/>
  <c r="N186" i="4"/>
  <c r="N184" i="4" s="1"/>
  <c r="M186" i="4"/>
  <c r="M184" i="4" s="1"/>
  <c r="L186" i="4"/>
  <c r="P185" i="4"/>
  <c r="O185" i="4"/>
  <c r="O182" i="4"/>
  <c r="N182" i="4"/>
  <c r="M182" i="4"/>
  <c r="L182" i="4"/>
  <c r="J177" i="4"/>
  <c r="J164" i="4" s="1"/>
  <c r="I176" i="4"/>
  <c r="J174" i="4"/>
  <c r="N173" i="4"/>
  <c r="N171" i="4" s="1"/>
  <c r="M173" i="4"/>
  <c r="L173" i="4"/>
  <c r="O173" i="4" s="1"/>
  <c r="P172" i="4"/>
  <c r="O172" i="4"/>
  <c r="N170" i="4"/>
  <c r="M170" i="4"/>
  <c r="M168" i="4" s="1"/>
  <c r="L170" i="4"/>
  <c r="L168" i="4" s="1"/>
  <c r="P169" i="4"/>
  <c r="O169" i="4"/>
  <c r="P166" i="4"/>
  <c r="N166" i="4"/>
  <c r="M166" i="4"/>
  <c r="L166" i="4"/>
  <c r="I159" i="4"/>
  <c r="I148" i="4" s="1"/>
  <c r="K148" i="4" s="1"/>
  <c r="N157" i="4"/>
  <c r="N155" i="4" s="1"/>
  <c r="M157" i="4"/>
  <c r="P157" i="4" s="1"/>
  <c r="L157" i="4"/>
  <c r="P156" i="4"/>
  <c r="O156" i="4"/>
  <c r="N154" i="4"/>
  <c r="M154" i="4"/>
  <c r="M152" i="4" s="1"/>
  <c r="L154" i="4"/>
  <c r="L152" i="4" s="1"/>
  <c r="P153" i="4"/>
  <c r="O153" i="4"/>
  <c r="N150" i="4"/>
  <c r="M150" i="4"/>
  <c r="P150" i="4" s="1"/>
  <c r="L150" i="4"/>
  <c r="J148" i="4"/>
  <c r="I146" i="4"/>
  <c r="I130" i="4" s="1"/>
  <c r="K130" i="4" s="1"/>
  <c r="I145" i="4"/>
  <c r="I144" i="4"/>
  <c r="K144" i="4" s="1"/>
  <c r="N140" i="4"/>
  <c r="N138" i="4" s="1"/>
  <c r="M140" i="4"/>
  <c r="M138" i="4" s="1"/>
  <c r="L140" i="4"/>
  <c r="P139" i="4"/>
  <c r="O139" i="4"/>
  <c r="N137" i="4"/>
  <c r="N135" i="4" s="1"/>
  <c r="M137" i="4"/>
  <c r="L137" i="4"/>
  <c r="L135" i="4" s="1"/>
  <c r="P136" i="4"/>
  <c r="O136" i="4"/>
  <c r="P133" i="4"/>
  <c r="O133" i="4"/>
  <c r="N133" i="4"/>
  <c r="M133" i="4"/>
  <c r="L133" i="4"/>
  <c r="J130" i="4"/>
  <c r="N127" i="4"/>
  <c r="N125" i="4" s="1"/>
  <c r="M127" i="4"/>
  <c r="M125" i="4" s="1"/>
  <c r="P125" i="4" s="1"/>
  <c r="L127" i="4"/>
  <c r="L125" i="4" s="1"/>
  <c r="O125" i="4" s="1"/>
  <c r="P126" i="4"/>
  <c r="O126" i="4"/>
  <c r="N124" i="4"/>
  <c r="M124" i="4"/>
  <c r="P124" i="4" s="1"/>
  <c r="L124" i="4"/>
  <c r="L122" i="4" s="1"/>
  <c r="O122" i="4" s="1"/>
  <c r="P123" i="4"/>
  <c r="O123" i="4"/>
  <c r="O120" i="4"/>
  <c r="N120" i="4"/>
  <c r="M120" i="4"/>
  <c r="P120" i="4" s="1"/>
  <c r="L120" i="4"/>
  <c r="I116" i="4"/>
  <c r="I115" i="4"/>
  <c r="K115" i="4" s="1"/>
  <c r="I114" i="4"/>
  <c r="K114" i="4" s="1"/>
  <c r="I113" i="4"/>
  <c r="K113" i="4" s="1"/>
  <c r="J112" i="4"/>
  <c r="J111" i="4"/>
  <c r="I111" i="4"/>
  <c r="I110" i="4"/>
  <c r="K110" i="4" s="1"/>
  <c r="I109" i="4"/>
  <c r="K109" i="4" s="1"/>
  <c r="I107" i="4"/>
  <c r="K107" i="4" s="1"/>
  <c r="I106" i="4"/>
  <c r="K106" i="4" s="1"/>
  <c r="I104" i="4"/>
  <c r="K104" i="4" s="1"/>
  <c r="I103" i="4"/>
  <c r="K103" i="4" s="1"/>
  <c r="I102" i="4"/>
  <c r="K102" i="4" s="1"/>
  <c r="J100" i="4"/>
  <c r="I100" i="4"/>
  <c r="K100" i="4" s="1"/>
  <c r="J99" i="4"/>
  <c r="I99" i="4"/>
  <c r="K99" i="4" s="1"/>
  <c r="J98" i="4"/>
  <c r="J86" i="4" s="1"/>
  <c r="I98" i="4"/>
  <c r="I86" i="4" s="1"/>
  <c r="K86" i="4" s="1"/>
  <c r="N96" i="4"/>
  <c r="N94" i="4" s="1"/>
  <c r="M96" i="4"/>
  <c r="M94" i="4" s="1"/>
  <c r="P94" i="4" s="1"/>
  <c r="L96" i="4"/>
  <c r="O96" i="4" s="1"/>
  <c r="P95" i="4"/>
  <c r="O95" i="4"/>
  <c r="N93" i="4"/>
  <c r="M93" i="4"/>
  <c r="M91" i="4" s="1"/>
  <c r="L93" i="4"/>
  <c r="P92" i="4"/>
  <c r="O92" i="4"/>
  <c r="P89" i="4"/>
  <c r="N89" i="4"/>
  <c r="M89" i="4"/>
  <c r="L89" i="4"/>
  <c r="O89" i="4" s="1"/>
  <c r="J87" i="4"/>
  <c r="I84" i="4"/>
  <c r="K84" i="4" s="1"/>
  <c r="I83" i="4"/>
  <c r="K83" i="4" s="1"/>
  <c r="I82" i="4"/>
  <c r="K82" i="4" s="1"/>
  <c r="I81" i="4"/>
  <c r="K81" i="4" s="1"/>
  <c r="I80" i="4"/>
  <c r="K80" i="4" s="1"/>
  <c r="I79" i="4"/>
  <c r="I78" i="4"/>
  <c r="K78" i="4" s="1"/>
  <c r="J77" i="4"/>
  <c r="J65" i="4" s="1"/>
  <c r="J76" i="4"/>
  <c r="J64" i="4" s="1"/>
  <c r="N74" i="4"/>
  <c r="N72" i="4" s="1"/>
  <c r="M74" i="4"/>
  <c r="M72" i="4" s="1"/>
  <c r="P72" i="4" s="1"/>
  <c r="L74" i="4"/>
  <c r="L72" i="4" s="1"/>
  <c r="O72" i="4" s="1"/>
  <c r="P73" i="4"/>
  <c r="O73" i="4"/>
  <c r="N71" i="4"/>
  <c r="N69" i="4" s="1"/>
  <c r="M71" i="4"/>
  <c r="P71" i="4" s="1"/>
  <c r="L71" i="4"/>
  <c r="L69" i="4" s="1"/>
  <c r="O69" i="4" s="1"/>
  <c r="P70" i="4"/>
  <c r="O70" i="4"/>
  <c r="P67" i="4"/>
  <c r="N67" i="4"/>
  <c r="M67" i="4"/>
  <c r="L67" i="4"/>
  <c r="N61" i="4"/>
  <c r="M61" i="4"/>
  <c r="M59" i="4" s="1"/>
  <c r="L61" i="4"/>
  <c r="L59" i="4" s="1"/>
  <c r="P60" i="4"/>
  <c r="O60" i="4"/>
  <c r="N58" i="4"/>
  <c r="N56" i="4" s="1"/>
  <c r="M58" i="4"/>
  <c r="L58" i="4"/>
  <c r="P57" i="4"/>
  <c r="O57" i="4"/>
  <c r="N54" i="4"/>
  <c r="M54" i="4"/>
  <c r="P54" i="4" s="1"/>
  <c r="L54" i="4"/>
  <c r="O54" i="4" s="1"/>
  <c r="N49" i="4"/>
  <c r="N47" i="4" s="1"/>
  <c r="M49" i="4"/>
  <c r="P49" i="4" s="1"/>
  <c r="L49" i="4"/>
  <c r="L47" i="4" s="1"/>
  <c r="O47" i="4" s="1"/>
  <c r="P48" i="4"/>
  <c r="O48" i="4"/>
  <c r="N46" i="4"/>
  <c r="M46" i="4"/>
  <c r="L46" i="4"/>
  <c r="L44" i="4" s="1"/>
  <c r="P45" i="4"/>
  <c r="O45" i="4"/>
  <c r="P42" i="4"/>
  <c r="N42" i="4"/>
  <c r="M42" i="4"/>
  <c r="L42" i="4"/>
  <c r="O42" i="4" s="1"/>
  <c r="N36" i="4"/>
  <c r="M36" i="4"/>
  <c r="P36" i="4" s="1"/>
  <c r="N35" i="4"/>
  <c r="M35" i="4"/>
  <c r="L35" i="4"/>
  <c r="O35" i="4" s="1"/>
  <c r="N34" i="4"/>
  <c r="N33" i="4"/>
  <c r="M33" i="4"/>
  <c r="P33" i="4" s="1"/>
  <c r="P32" i="4"/>
  <c r="N32" i="4"/>
  <c r="N31" i="4" s="1"/>
  <c r="M32" i="4"/>
  <c r="L32" i="4"/>
  <c r="O32" i="4" s="1"/>
  <c r="M31" i="4"/>
  <c r="P31" i="4" s="1"/>
  <c r="N30" i="4"/>
  <c r="M29" i="4"/>
  <c r="P25" i="4"/>
  <c r="N25" i="4"/>
  <c r="M25" i="4"/>
  <c r="L25" i="4"/>
  <c r="O25" i="4" s="1"/>
  <c r="O22" i="4"/>
  <c r="N22" i="4"/>
  <c r="M22" i="4"/>
  <c r="L22" i="4"/>
  <c r="N19" i="4"/>
  <c r="L19" i="4"/>
  <c r="O19" i="4" s="1"/>
  <c r="M15" i="4"/>
  <c r="N12" i="4"/>
  <c r="L12" i="4"/>
  <c r="O12" i="4" s="1"/>
  <c r="J828" i="3"/>
  <c r="I828" i="3"/>
  <c r="J827" i="3"/>
  <c r="I827" i="3"/>
  <c r="J826" i="3"/>
  <c r="I826" i="3"/>
  <c r="J825" i="3"/>
  <c r="I825" i="3"/>
  <c r="J824" i="3"/>
  <c r="I824" i="3"/>
  <c r="J823" i="3"/>
  <c r="I823" i="3"/>
  <c r="J822" i="3"/>
  <c r="I822" i="3"/>
  <c r="J821" i="3"/>
  <c r="I821" i="3"/>
  <c r="P817" i="3"/>
  <c r="O817" i="3"/>
  <c r="P816" i="3"/>
  <c r="O816" i="3"/>
  <c r="P815" i="3"/>
  <c r="O815" i="3"/>
  <c r="N815" i="3"/>
  <c r="M815" i="3"/>
  <c r="L815" i="3"/>
  <c r="P810" i="3"/>
  <c r="O810" i="3"/>
  <c r="N810" i="3"/>
  <c r="P809" i="3"/>
  <c r="O809" i="3"/>
  <c r="O808" i="3"/>
  <c r="M808" i="3"/>
  <c r="P808" i="3" s="1"/>
  <c r="L808" i="3"/>
  <c r="M807" i="3"/>
  <c r="P807" i="3" s="1"/>
  <c r="L807" i="3"/>
  <c r="O807" i="3" s="1"/>
  <c r="N806" i="3"/>
  <c r="M806" i="3"/>
  <c r="P806" i="3" s="1"/>
  <c r="L806" i="3"/>
  <c r="O806" i="3" s="1"/>
  <c r="K804" i="3"/>
  <c r="J804" i="3"/>
  <c r="K802" i="3"/>
  <c r="J801" i="3"/>
  <c r="J800" i="3"/>
  <c r="J785" i="3" s="1"/>
  <c r="I800" i="3"/>
  <c r="I785" i="3" s="1"/>
  <c r="K785" i="3" s="1"/>
  <c r="P798" i="3"/>
  <c r="O798" i="3"/>
  <c r="P797" i="3"/>
  <c r="O797" i="3"/>
  <c r="P796" i="3"/>
  <c r="O796" i="3"/>
  <c r="N796" i="3"/>
  <c r="M796" i="3"/>
  <c r="L796" i="3"/>
  <c r="P791" i="3"/>
  <c r="N791" i="3"/>
  <c r="N788" i="3" s="1"/>
  <c r="N786" i="3" s="1"/>
  <c r="L791" i="3"/>
  <c r="L788" i="3" s="1"/>
  <c r="O788" i="3" s="1"/>
  <c r="P790" i="3"/>
  <c r="O790" i="3"/>
  <c r="N789" i="3"/>
  <c r="M789" i="3"/>
  <c r="P789" i="3" s="1"/>
  <c r="M788" i="3"/>
  <c r="P788" i="3" s="1"/>
  <c r="N787" i="3"/>
  <c r="M787" i="3"/>
  <c r="P787" i="3" s="1"/>
  <c r="L787" i="3"/>
  <c r="O787" i="3" s="1"/>
  <c r="P782" i="3"/>
  <c r="O782" i="3"/>
  <c r="P781" i="3"/>
  <c r="O781" i="3"/>
  <c r="P780" i="3"/>
  <c r="N780" i="3"/>
  <c r="M780" i="3"/>
  <c r="L780" i="3"/>
  <c r="O780" i="3" s="1"/>
  <c r="P775" i="3"/>
  <c r="O775" i="3"/>
  <c r="N775" i="3"/>
  <c r="P774" i="3"/>
  <c r="O774" i="3"/>
  <c r="P773" i="3"/>
  <c r="O773" i="3"/>
  <c r="N773" i="3"/>
  <c r="M773" i="3"/>
  <c r="L773" i="3"/>
  <c r="O772" i="3"/>
  <c r="N772" i="3"/>
  <c r="N770" i="3" s="1"/>
  <c r="M772" i="3"/>
  <c r="P772" i="3" s="1"/>
  <c r="L772" i="3"/>
  <c r="N771" i="3"/>
  <c r="M771" i="3"/>
  <c r="L771" i="3"/>
  <c r="O771" i="3" s="1"/>
  <c r="K769" i="3"/>
  <c r="J769" i="3"/>
  <c r="P766" i="3"/>
  <c r="O766" i="3"/>
  <c r="P765" i="3"/>
  <c r="O765" i="3"/>
  <c r="P764" i="3"/>
  <c r="N764" i="3"/>
  <c r="M764" i="3"/>
  <c r="L764" i="3"/>
  <c r="O764" i="3" s="1"/>
  <c r="P759" i="3"/>
  <c r="O759" i="3"/>
  <c r="N759" i="3"/>
  <c r="P758" i="3"/>
  <c r="O758" i="3"/>
  <c r="P757" i="3"/>
  <c r="O757" i="3"/>
  <c r="N757" i="3"/>
  <c r="M757" i="3"/>
  <c r="L757" i="3"/>
  <c r="O756" i="3"/>
  <c r="N756" i="3"/>
  <c r="N754" i="3" s="1"/>
  <c r="M756" i="3"/>
  <c r="P756" i="3" s="1"/>
  <c r="L756" i="3"/>
  <c r="N755" i="3"/>
  <c r="M755" i="3"/>
  <c r="L755" i="3"/>
  <c r="O755" i="3" s="1"/>
  <c r="K753" i="3"/>
  <c r="J753" i="3"/>
  <c r="P749" i="3"/>
  <c r="O749" i="3"/>
  <c r="P748" i="3"/>
  <c r="O748" i="3"/>
  <c r="P747" i="3"/>
  <c r="N747" i="3"/>
  <c r="M747" i="3"/>
  <c r="L747" i="3"/>
  <c r="O747" i="3" s="1"/>
  <c r="P742" i="3"/>
  <c r="O742" i="3"/>
  <c r="N742" i="3"/>
  <c r="P741" i="3"/>
  <c r="O741" i="3"/>
  <c r="P740" i="3"/>
  <c r="O740" i="3"/>
  <c r="N740" i="3"/>
  <c r="M740" i="3"/>
  <c r="L740" i="3"/>
  <c r="O739" i="3"/>
  <c r="N739" i="3"/>
  <c r="N737" i="3" s="1"/>
  <c r="M739" i="3"/>
  <c r="P739" i="3" s="1"/>
  <c r="L739" i="3"/>
  <c r="N738" i="3"/>
  <c r="M738" i="3"/>
  <c r="L738" i="3"/>
  <c r="O738" i="3" s="1"/>
  <c r="L737" i="3"/>
  <c r="O737" i="3" s="1"/>
  <c r="K736" i="3"/>
  <c r="J736" i="3"/>
  <c r="J729" i="3"/>
  <c r="I729" i="3"/>
  <c r="J728" i="3"/>
  <c r="I728" i="3"/>
  <c r="K728" i="3" s="1"/>
  <c r="J727" i="3"/>
  <c r="J726" i="3"/>
  <c r="I726" i="3"/>
  <c r="K726" i="3" s="1"/>
  <c r="J725" i="3"/>
  <c r="I725" i="3"/>
  <c r="J724" i="3"/>
  <c r="J723" i="3"/>
  <c r="I723" i="3"/>
  <c r="I722" i="3"/>
  <c r="I721" i="3"/>
  <c r="J720" i="3"/>
  <c r="I720" i="3"/>
  <c r="K720" i="3" s="1"/>
  <c r="J719" i="3"/>
  <c r="J718" i="3"/>
  <c r="J708" i="3"/>
  <c r="I708" i="3"/>
  <c r="I707" i="3"/>
  <c r="I704" i="3"/>
  <c r="J701" i="3"/>
  <c r="I701" i="3"/>
  <c r="K701" i="3" s="1"/>
  <c r="J700" i="3"/>
  <c r="I700" i="3"/>
  <c r="J699" i="3"/>
  <c r="I699" i="3"/>
  <c r="P697" i="3"/>
  <c r="O697" i="3"/>
  <c r="P696" i="3"/>
  <c r="O696" i="3"/>
  <c r="P695" i="3"/>
  <c r="N695" i="3"/>
  <c r="M695" i="3"/>
  <c r="L695" i="3"/>
  <c r="O695" i="3" s="1"/>
  <c r="P690" i="3"/>
  <c r="N690" i="3"/>
  <c r="L690" i="3"/>
  <c r="N688" i="3"/>
  <c r="M688" i="3"/>
  <c r="P688" i="3" s="1"/>
  <c r="N687" i="3"/>
  <c r="M687" i="3"/>
  <c r="N686" i="3"/>
  <c r="M686" i="3"/>
  <c r="P686" i="3" s="1"/>
  <c r="L686" i="3"/>
  <c r="N685" i="3"/>
  <c r="J679" i="3"/>
  <c r="J678" i="3" s="1"/>
  <c r="I678" i="3"/>
  <c r="K678" i="3" s="1"/>
  <c r="J675" i="3"/>
  <c r="J669" i="3" s="1"/>
  <c r="J654" i="3" s="1"/>
  <c r="I671" i="3"/>
  <c r="K671" i="3" s="1"/>
  <c r="I670" i="3"/>
  <c r="K670" i="3" s="1"/>
  <c r="I669" i="3"/>
  <c r="K672" i="3" s="1"/>
  <c r="P667" i="3"/>
  <c r="O667" i="3"/>
  <c r="P666" i="3"/>
  <c r="O666" i="3"/>
  <c r="N665" i="3"/>
  <c r="M665" i="3"/>
  <c r="P665" i="3" s="1"/>
  <c r="L665" i="3"/>
  <c r="O665" i="3" s="1"/>
  <c r="N664" i="3"/>
  <c r="N660" i="3" s="1"/>
  <c r="P660" i="3"/>
  <c r="L660" i="3"/>
  <c r="P659" i="3"/>
  <c r="O659" i="3"/>
  <c r="M658" i="3"/>
  <c r="P658" i="3" s="1"/>
  <c r="P657" i="3"/>
  <c r="M657" i="3"/>
  <c r="P656" i="3"/>
  <c r="O656" i="3"/>
  <c r="N656" i="3"/>
  <c r="M656" i="3"/>
  <c r="M655" i="3" s="1"/>
  <c r="P655" i="3" s="1"/>
  <c r="L656" i="3"/>
  <c r="K652" i="3"/>
  <c r="J652" i="3"/>
  <c r="J651" i="3"/>
  <c r="J628" i="3" s="1"/>
  <c r="I651" i="3"/>
  <c r="K651" i="3" s="1"/>
  <c r="K650" i="3"/>
  <c r="J650" i="3"/>
  <c r="J649" i="3"/>
  <c r="I649" i="3"/>
  <c r="K649" i="3" s="1"/>
  <c r="K648" i="3"/>
  <c r="J648" i="3"/>
  <c r="J647" i="3"/>
  <c r="I647" i="3"/>
  <c r="K647" i="3" s="1"/>
  <c r="K646" i="3"/>
  <c r="J646" i="3"/>
  <c r="K645" i="3"/>
  <c r="J645" i="3"/>
  <c r="I644" i="3"/>
  <c r="K644" i="3" s="1"/>
  <c r="I643" i="3"/>
  <c r="K643" i="3" s="1"/>
  <c r="P641" i="3"/>
  <c r="L641" i="3"/>
  <c r="O641" i="3" s="1"/>
  <c r="P640" i="3"/>
  <c r="O640" i="3"/>
  <c r="N639" i="3"/>
  <c r="M639" i="3"/>
  <c r="P639" i="3" s="1"/>
  <c r="P634" i="3"/>
  <c r="N634" i="3"/>
  <c r="L634" i="3"/>
  <c r="P633" i="3"/>
  <c r="O633" i="3"/>
  <c r="M632" i="3"/>
  <c r="P632" i="3" s="1"/>
  <c r="M631" i="3"/>
  <c r="P630" i="3"/>
  <c r="N630" i="3"/>
  <c r="M630" i="3"/>
  <c r="L630" i="3"/>
  <c r="J621" i="3"/>
  <c r="I621" i="3"/>
  <c r="K621" i="3" s="1"/>
  <c r="J620" i="3"/>
  <c r="I620" i="3"/>
  <c r="K620" i="3" s="1"/>
  <c r="K613" i="3"/>
  <c r="J613" i="3"/>
  <c r="K612" i="3"/>
  <c r="J612" i="3"/>
  <c r="K611" i="3"/>
  <c r="J611" i="3"/>
  <c r="J604" i="3"/>
  <c r="J594" i="3" s="1"/>
  <c r="J603" i="3"/>
  <c r="J596" i="3"/>
  <c r="J595" i="3"/>
  <c r="J593" i="3" s="1"/>
  <c r="J592" i="3" s="1"/>
  <c r="I594" i="3"/>
  <c r="K594" i="3" s="1"/>
  <c r="I593" i="3"/>
  <c r="J583" i="3"/>
  <c r="J582" i="3"/>
  <c r="J577" i="3"/>
  <c r="I577" i="3"/>
  <c r="K577" i="3" s="1"/>
  <c r="J576" i="3"/>
  <c r="I576" i="3"/>
  <c r="K576" i="3" s="1"/>
  <c r="J569" i="3"/>
  <c r="I569" i="3"/>
  <c r="K569" i="3" s="1"/>
  <c r="J568" i="3"/>
  <c r="I568" i="3"/>
  <c r="K568" i="3" s="1"/>
  <c r="J561" i="3"/>
  <c r="I561" i="3"/>
  <c r="K561" i="3" s="1"/>
  <c r="J560" i="3"/>
  <c r="I560" i="3"/>
  <c r="K560" i="3" s="1"/>
  <c r="J559" i="3"/>
  <c r="J543" i="3" s="1"/>
  <c r="P557" i="3"/>
  <c r="L557" i="3"/>
  <c r="O557" i="3" s="1"/>
  <c r="P556" i="3"/>
  <c r="O556" i="3"/>
  <c r="N555" i="3"/>
  <c r="M555" i="3"/>
  <c r="P555" i="3" s="1"/>
  <c r="P549" i="3"/>
  <c r="N549" i="3"/>
  <c r="N546" i="3" s="1"/>
  <c r="L549" i="3"/>
  <c r="O549" i="3" s="1"/>
  <c r="P548" i="3"/>
  <c r="O548" i="3"/>
  <c r="P547" i="3"/>
  <c r="N547" i="3"/>
  <c r="M547" i="3"/>
  <c r="P546" i="3"/>
  <c r="M546" i="3"/>
  <c r="O545" i="3"/>
  <c r="N545" i="3"/>
  <c r="M545" i="3"/>
  <c r="P545" i="3" s="1"/>
  <c r="L545" i="3"/>
  <c r="M544" i="3"/>
  <c r="P544" i="3" s="1"/>
  <c r="I542" i="3"/>
  <c r="K542" i="3" s="1"/>
  <c r="I541" i="3"/>
  <c r="K541" i="3" s="1"/>
  <c r="I540" i="3"/>
  <c r="K540" i="3" s="1"/>
  <c r="I539" i="3"/>
  <c r="K539" i="3" s="1"/>
  <c r="I538" i="3"/>
  <c r="K538" i="3" s="1"/>
  <c r="I537" i="3"/>
  <c r="P535" i="3"/>
  <c r="L535" i="3"/>
  <c r="O535" i="3" s="1"/>
  <c r="P534" i="3"/>
  <c r="O534" i="3"/>
  <c r="P533" i="3"/>
  <c r="N533" i="3"/>
  <c r="M533" i="3"/>
  <c r="P528" i="3"/>
  <c r="N528" i="3"/>
  <c r="N525" i="3" s="1"/>
  <c r="N523" i="3" s="1"/>
  <c r="L528" i="3"/>
  <c r="O528" i="3" s="1"/>
  <c r="P527" i="3"/>
  <c r="O527" i="3"/>
  <c r="P526" i="3"/>
  <c r="N526" i="3"/>
  <c r="M526" i="3"/>
  <c r="M525" i="3"/>
  <c r="P525" i="3" s="1"/>
  <c r="N524" i="3"/>
  <c r="M524" i="3"/>
  <c r="L524" i="3"/>
  <c r="O524" i="3" s="1"/>
  <c r="K517" i="3"/>
  <c r="J517" i="3"/>
  <c r="K516" i="3"/>
  <c r="P514" i="3"/>
  <c r="O514" i="3"/>
  <c r="P513" i="3"/>
  <c r="O513" i="3"/>
  <c r="P512" i="3"/>
  <c r="O512" i="3"/>
  <c r="N512" i="3"/>
  <c r="M512" i="3"/>
  <c r="L512" i="3"/>
  <c r="P507" i="3"/>
  <c r="O507" i="3"/>
  <c r="N507" i="3"/>
  <c r="P506" i="3"/>
  <c r="O506" i="3"/>
  <c r="M505" i="3"/>
  <c r="P505" i="3" s="1"/>
  <c r="L505" i="3"/>
  <c r="O505" i="3" s="1"/>
  <c r="M504" i="3"/>
  <c r="P504" i="3" s="1"/>
  <c r="L504" i="3"/>
  <c r="P503" i="3"/>
  <c r="N503" i="3"/>
  <c r="M503" i="3"/>
  <c r="M502" i="3" s="1"/>
  <c r="L503" i="3"/>
  <c r="O503" i="3" s="1"/>
  <c r="P502" i="3"/>
  <c r="K501" i="3"/>
  <c r="J501" i="3"/>
  <c r="K500" i="3"/>
  <c r="J500" i="3"/>
  <c r="I498" i="3"/>
  <c r="K498" i="3" s="1"/>
  <c r="I495" i="3"/>
  <c r="K495" i="3" s="1"/>
  <c r="I492" i="3"/>
  <c r="K492" i="3" s="1"/>
  <c r="I489" i="3"/>
  <c r="K489" i="3" s="1"/>
  <c r="I487" i="3"/>
  <c r="K487" i="3" s="1"/>
  <c r="I485" i="3"/>
  <c r="K485" i="3" s="1"/>
  <c r="I483" i="3"/>
  <c r="K483" i="3" s="1"/>
  <c r="P479" i="3"/>
  <c r="L479" i="3"/>
  <c r="P478" i="3"/>
  <c r="O478" i="3"/>
  <c r="N477" i="3"/>
  <c r="M477" i="3"/>
  <c r="P477" i="3" s="1"/>
  <c r="P472" i="3"/>
  <c r="N472" i="3"/>
  <c r="L472" i="3"/>
  <c r="P471" i="3"/>
  <c r="O471" i="3"/>
  <c r="N470" i="3"/>
  <c r="M470" i="3"/>
  <c r="P470" i="3" s="1"/>
  <c r="N469" i="3"/>
  <c r="M469" i="3"/>
  <c r="P469" i="3" s="1"/>
  <c r="P468" i="3"/>
  <c r="N468" i="3"/>
  <c r="N467" i="3" s="1"/>
  <c r="M468" i="3"/>
  <c r="M467" i="3" s="1"/>
  <c r="P467" i="3" s="1"/>
  <c r="L468" i="3"/>
  <c r="O468" i="3" s="1"/>
  <c r="J466" i="3"/>
  <c r="I466" i="3"/>
  <c r="J465" i="3"/>
  <c r="I465" i="3"/>
  <c r="K465" i="3" s="1"/>
  <c r="I464" i="3"/>
  <c r="I463" i="3"/>
  <c r="I462" i="3"/>
  <c r="I443" i="3" s="1"/>
  <c r="K443" i="3" s="1"/>
  <c r="I460" i="3"/>
  <c r="K460" i="3" s="1"/>
  <c r="K458" i="3"/>
  <c r="P456" i="3"/>
  <c r="L456" i="3"/>
  <c r="L454" i="3" s="1"/>
  <c r="O454" i="3" s="1"/>
  <c r="P455" i="3"/>
  <c r="O455" i="3"/>
  <c r="P454" i="3"/>
  <c r="N454" i="3"/>
  <c r="M454" i="3"/>
  <c r="P449" i="3"/>
  <c r="N449" i="3"/>
  <c r="L449" i="3"/>
  <c r="P448" i="3"/>
  <c r="O448" i="3"/>
  <c r="M447" i="3"/>
  <c r="P447" i="3" s="1"/>
  <c r="M446" i="3"/>
  <c r="N445" i="3"/>
  <c r="M445" i="3"/>
  <c r="P445" i="3" s="1"/>
  <c r="L445" i="3"/>
  <c r="J443" i="3"/>
  <c r="J442" i="3"/>
  <c r="I441" i="3"/>
  <c r="K441" i="3" s="1"/>
  <c r="I440" i="3"/>
  <c r="K440" i="3" s="1"/>
  <c r="I439" i="3"/>
  <c r="K439" i="3" s="1"/>
  <c r="I438" i="3"/>
  <c r="I437" i="3"/>
  <c r="K437" i="3" s="1"/>
  <c r="I435" i="3"/>
  <c r="J434" i="3"/>
  <c r="P431" i="3"/>
  <c r="L431" i="3"/>
  <c r="O431" i="3" s="1"/>
  <c r="P430" i="3"/>
  <c r="O430" i="3"/>
  <c r="P429" i="3"/>
  <c r="N429" i="3"/>
  <c r="M429" i="3"/>
  <c r="L429" i="3"/>
  <c r="O429" i="3" s="1"/>
  <c r="P424" i="3"/>
  <c r="N424" i="3"/>
  <c r="L424" i="3"/>
  <c r="P423" i="3"/>
  <c r="O423" i="3"/>
  <c r="M422" i="3"/>
  <c r="P422" i="3" s="1"/>
  <c r="M421" i="3"/>
  <c r="N420" i="3"/>
  <c r="M420" i="3"/>
  <c r="P420" i="3" s="1"/>
  <c r="L420" i="3"/>
  <c r="J418" i="3"/>
  <c r="K413" i="3"/>
  <c r="K412" i="3"/>
  <c r="N410" i="3"/>
  <c r="N408" i="3" s="1"/>
  <c r="M410" i="3"/>
  <c r="M408" i="3" s="1"/>
  <c r="P408" i="3" s="1"/>
  <c r="L410" i="3"/>
  <c r="P409" i="3"/>
  <c r="O409" i="3"/>
  <c r="N407" i="3"/>
  <c r="M407" i="3"/>
  <c r="M405" i="3" s="1"/>
  <c r="P405" i="3" s="1"/>
  <c r="L407" i="3"/>
  <c r="P406" i="3"/>
  <c r="O406" i="3"/>
  <c r="P403" i="3"/>
  <c r="N403" i="3"/>
  <c r="M403" i="3"/>
  <c r="L403" i="3"/>
  <c r="K401" i="3"/>
  <c r="J401" i="3"/>
  <c r="I401" i="3"/>
  <c r="K400" i="3"/>
  <c r="K399" i="3"/>
  <c r="N397" i="3"/>
  <c r="N395" i="3" s="1"/>
  <c r="M397" i="3"/>
  <c r="L397" i="3"/>
  <c r="L395" i="3" s="1"/>
  <c r="O395" i="3" s="1"/>
  <c r="P396" i="3"/>
  <c r="O396" i="3"/>
  <c r="N394" i="3"/>
  <c r="M394" i="3"/>
  <c r="L394" i="3"/>
  <c r="P393" i="3"/>
  <c r="O393" i="3"/>
  <c r="N390" i="3"/>
  <c r="M390" i="3"/>
  <c r="P390" i="3" s="1"/>
  <c r="L390" i="3"/>
  <c r="K388" i="3"/>
  <c r="J388" i="3"/>
  <c r="I388" i="3"/>
  <c r="J385" i="3"/>
  <c r="I385" i="3"/>
  <c r="K382" i="3"/>
  <c r="J382" i="3"/>
  <c r="J381" i="3"/>
  <c r="J374" i="3" s="1"/>
  <c r="I381" i="3"/>
  <c r="K380" i="3"/>
  <c r="J380" i="3"/>
  <c r="J379" i="3"/>
  <c r="I379" i="3"/>
  <c r="J378" i="3"/>
  <c r="I378" i="3"/>
  <c r="K377" i="3"/>
  <c r="J377" i="3"/>
  <c r="I374" i="3"/>
  <c r="K373" i="3"/>
  <c r="J373" i="3"/>
  <c r="J372" i="3"/>
  <c r="J365" i="3" s="1"/>
  <c r="I372" i="3"/>
  <c r="K371" i="3"/>
  <c r="J371" i="3"/>
  <c r="J370" i="3"/>
  <c r="I370" i="3"/>
  <c r="J369" i="3"/>
  <c r="I369" i="3"/>
  <c r="K368" i="3"/>
  <c r="J368" i="3"/>
  <c r="I365" i="3"/>
  <c r="K363" i="3"/>
  <c r="J363" i="3"/>
  <c r="J362" i="3"/>
  <c r="J355" i="3" s="1"/>
  <c r="I362" i="3"/>
  <c r="K361" i="3"/>
  <c r="J361" i="3"/>
  <c r="J360" i="3"/>
  <c r="I360" i="3"/>
  <c r="J359" i="3"/>
  <c r="I359" i="3"/>
  <c r="K358" i="3"/>
  <c r="J358" i="3"/>
  <c r="I355" i="3"/>
  <c r="N353" i="3"/>
  <c r="N351" i="3" s="1"/>
  <c r="M353" i="3"/>
  <c r="L353" i="3"/>
  <c r="P352" i="3"/>
  <c r="O352" i="3"/>
  <c r="N350" i="3"/>
  <c r="N348" i="3" s="1"/>
  <c r="M350" i="3"/>
  <c r="M348" i="3" s="1"/>
  <c r="L350" i="3"/>
  <c r="P349" i="3"/>
  <c r="O349" i="3"/>
  <c r="P346" i="3"/>
  <c r="O346" i="3"/>
  <c r="N346" i="3"/>
  <c r="M346" i="3"/>
  <c r="L346" i="3"/>
  <c r="J343" i="3"/>
  <c r="J342" i="3"/>
  <c r="J341" i="3"/>
  <c r="J340" i="3"/>
  <c r="I340" i="3"/>
  <c r="J338" i="3"/>
  <c r="I338" i="3"/>
  <c r="N336" i="3"/>
  <c r="N334" i="3" s="1"/>
  <c r="M336" i="3"/>
  <c r="L336" i="3"/>
  <c r="P335" i="3"/>
  <c r="O335" i="3"/>
  <c r="N333" i="3"/>
  <c r="N331" i="3" s="1"/>
  <c r="M333" i="3"/>
  <c r="M331" i="3" s="1"/>
  <c r="L333" i="3"/>
  <c r="P332" i="3"/>
  <c r="O332" i="3"/>
  <c r="P329" i="3"/>
  <c r="O329" i="3"/>
  <c r="N329" i="3"/>
  <c r="M329" i="3"/>
  <c r="L329" i="3"/>
  <c r="I327" i="3"/>
  <c r="I325" i="3"/>
  <c r="N323" i="3"/>
  <c r="M323" i="3"/>
  <c r="P323" i="3" s="1"/>
  <c r="L323" i="3"/>
  <c r="O323" i="3" s="1"/>
  <c r="P322" i="3"/>
  <c r="O322" i="3"/>
  <c r="N320" i="3"/>
  <c r="N318" i="3" s="1"/>
  <c r="M320" i="3"/>
  <c r="M318" i="3" s="1"/>
  <c r="P318" i="3" s="1"/>
  <c r="L320" i="3"/>
  <c r="P319" i="3"/>
  <c r="O319" i="3"/>
  <c r="P316" i="3"/>
  <c r="N316" i="3"/>
  <c r="M316" i="3"/>
  <c r="L316" i="3"/>
  <c r="J314" i="3"/>
  <c r="I312" i="3"/>
  <c r="K312" i="3" s="1"/>
  <c r="I311" i="3"/>
  <c r="K311" i="3" s="1"/>
  <c r="I310" i="3"/>
  <c r="K310" i="3" s="1"/>
  <c r="I309" i="3"/>
  <c r="N306" i="3"/>
  <c r="N304" i="3" s="1"/>
  <c r="M306" i="3"/>
  <c r="P306" i="3" s="1"/>
  <c r="L306" i="3"/>
  <c r="P305" i="3"/>
  <c r="O305" i="3"/>
  <c r="N303" i="3"/>
  <c r="N301" i="3" s="1"/>
  <c r="M303" i="3"/>
  <c r="L303" i="3"/>
  <c r="P302" i="3"/>
  <c r="O302" i="3"/>
  <c r="P299" i="3"/>
  <c r="N299" i="3"/>
  <c r="M299" i="3"/>
  <c r="L299" i="3"/>
  <c r="J297" i="3"/>
  <c r="I294" i="3"/>
  <c r="K294" i="3" s="1"/>
  <c r="I293" i="3"/>
  <c r="K293" i="3" s="1"/>
  <c r="I291" i="3"/>
  <c r="K291" i="3" s="1"/>
  <c r="I290" i="3"/>
  <c r="K290" i="3" s="1"/>
  <c r="I288" i="3"/>
  <c r="I287" i="3"/>
  <c r="K287" i="3" s="1"/>
  <c r="N285" i="3"/>
  <c r="N283" i="3" s="1"/>
  <c r="M285" i="3"/>
  <c r="P285" i="3" s="1"/>
  <c r="L285" i="3"/>
  <c r="P284" i="3"/>
  <c r="O284" i="3"/>
  <c r="N282" i="3"/>
  <c r="M282" i="3"/>
  <c r="M280" i="3" s="1"/>
  <c r="P280" i="3" s="1"/>
  <c r="L282" i="3"/>
  <c r="P281" i="3"/>
  <c r="O281" i="3"/>
  <c r="O278" i="3"/>
  <c r="N278" i="3"/>
  <c r="M278" i="3"/>
  <c r="L278" i="3"/>
  <c r="J276" i="3"/>
  <c r="I271" i="3"/>
  <c r="I260" i="3" s="1"/>
  <c r="K260" i="3" s="1"/>
  <c r="N269" i="3"/>
  <c r="N267" i="3" s="1"/>
  <c r="M269" i="3"/>
  <c r="L269" i="3"/>
  <c r="P268" i="3"/>
  <c r="O268" i="3"/>
  <c r="N266" i="3"/>
  <c r="N264" i="3" s="1"/>
  <c r="M266" i="3"/>
  <c r="M264" i="3" s="1"/>
  <c r="P264" i="3" s="1"/>
  <c r="L266" i="3"/>
  <c r="L264" i="3" s="1"/>
  <c r="P265" i="3"/>
  <c r="O265" i="3"/>
  <c r="P262" i="3"/>
  <c r="N262" i="3"/>
  <c r="M262" i="3"/>
  <c r="L262" i="3"/>
  <c r="J260" i="3"/>
  <c r="K258" i="3"/>
  <c r="K257" i="3"/>
  <c r="I255" i="3"/>
  <c r="L253" i="3"/>
  <c r="L252" i="3"/>
  <c r="L251" i="3"/>
  <c r="L250" i="3"/>
  <c r="P249" i="3"/>
  <c r="N249" i="3"/>
  <c r="J248" i="3"/>
  <c r="K247" i="3"/>
  <c r="K246" i="3"/>
  <c r="I244" i="3"/>
  <c r="K244" i="3" s="1"/>
  <c r="L242" i="3"/>
  <c r="L241" i="3"/>
  <c r="L240" i="3"/>
  <c r="L239" i="3"/>
  <c r="P238" i="3"/>
  <c r="N238" i="3"/>
  <c r="J237" i="3"/>
  <c r="J226" i="3" s="1"/>
  <c r="J180" i="3" s="1"/>
  <c r="J236" i="3"/>
  <c r="K236" i="3" s="1"/>
  <c r="I236" i="3"/>
  <c r="J235" i="3"/>
  <c r="I235" i="3"/>
  <c r="K235" i="3" s="1"/>
  <c r="J233" i="3"/>
  <c r="N231" i="3"/>
  <c r="N230" i="3"/>
  <c r="N229" i="3"/>
  <c r="N228" i="3"/>
  <c r="N227" i="3"/>
  <c r="I225" i="3"/>
  <c r="K225" i="3" s="1"/>
  <c r="I224" i="3"/>
  <c r="I223" i="3"/>
  <c r="K223" i="3" s="1"/>
  <c r="L220" i="3"/>
  <c r="L219" i="3"/>
  <c r="L218" i="3"/>
  <c r="P217" i="3"/>
  <c r="N217" i="3"/>
  <c r="J216" i="3"/>
  <c r="I215" i="3"/>
  <c r="K215" i="3" s="1"/>
  <c r="I214" i="3"/>
  <c r="K214" i="3" s="1"/>
  <c r="L212" i="3"/>
  <c r="L211" i="3"/>
  <c r="L210" i="3"/>
  <c r="P209" i="3"/>
  <c r="N209" i="3"/>
  <c r="J208" i="3"/>
  <c r="K207" i="3"/>
  <c r="K206" i="3"/>
  <c r="I204" i="3"/>
  <c r="L202" i="3"/>
  <c r="L201" i="3"/>
  <c r="L200" i="3"/>
  <c r="L199" i="3"/>
  <c r="P198" i="3"/>
  <c r="N198" i="3"/>
  <c r="J197" i="3"/>
  <c r="J194" i="3"/>
  <c r="I193" i="3"/>
  <c r="K193" i="3" s="1"/>
  <c r="P191" i="3"/>
  <c r="L191" i="3"/>
  <c r="O191" i="3" s="1"/>
  <c r="J190" i="3"/>
  <c r="N189" i="3"/>
  <c r="N187" i="3" s="1"/>
  <c r="M189" i="3"/>
  <c r="M187" i="3" s="1"/>
  <c r="P187" i="3" s="1"/>
  <c r="L189" i="3"/>
  <c r="O189" i="3" s="1"/>
  <c r="P188" i="3"/>
  <c r="O188" i="3"/>
  <c r="N186" i="3"/>
  <c r="M186" i="3"/>
  <c r="L186" i="3"/>
  <c r="L184" i="3" s="1"/>
  <c r="P185" i="3"/>
  <c r="O185" i="3"/>
  <c r="P182" i="3"/>
  <c r="N182" i="3"/>
  <c r="M182" i="3"/>
  <c r="L182" i="3"/>
  <c r="J177" i="3"/>
  <c r="J164" i="3" s="1"/>
  <c r="I176" i="3"/>
  <c r="K176" i="3" s="1"/>
  <c r="J174" i="3"/>
  <c r="N173" i="3"/>
  <c r="N171" i="3" s="1"/>
  <c r="M173" i="3"/>
  <c r="M171" i="3" s="1"/>
  <c r="P171" i="3" s="1"/>
  <c r="L173" i="3"/>
  <c r="O173" i="3" s="1"/>
  <c r="P172" i="3"/>
  <c r="O172" i="3"/>
  <c r="N170" i="3"/>
  <c r="M170" i="3"/>
  <c r="L170" i="3"/>
  <c r="P169" i="3"/>
  <c r="O169" i="3"/>
  <c r="P166" i="3"/>
  <c r="N166" i="3"/>
  <c r="M166" i="3"/>
  <c r="L166" i="3"/>
  <c r="I159" i="3"/>
  <c r="N157" i="3"/>
  <c r="N155" i="3" s="1"/>
  <c r="M157" i="3"/>
  <c r="P157" i="3" s="1"/>
  <c r="L157" i="3"/>
  <c r="O157" i="3" s="1"/>
  <c r="P156" i="3"/>
  <c r="O156" i="3"/>
  <c r="N154" i="3"/>
  <c r="N152" i="3" s="1"/>
  <c r="M154" i="3"/>
  <c r="P154" i="3" s="1"/>
  <c r="L154" i="3"/>
  <c r="L152" i="3" s="1"/>
  <c r="O152" i="3" s="1"/>
  <c r="P153" i="3"/>
  <c r="O153" i="3"/>
  <c r="P150" i="3"/>
  <c r="N150" i="3"/>
  <c r="M150" i="3"/>
  <c r="L150" i="3"/>
  <c r="J148" i="3"/>
  <c r="I146" i="3"/>
  <c r="I145" i="3"/>
  <c r="I144" i="3"/>
  <c r="K144" i="3" s="1"/>
  <c r="N140" i="3"/>
  <c r="N138" i="3" s="1"/>
  <c r="M140" i="3"/>
  <c r="M138" i="3" s="1"/>
  <c r="P138" i="3" s="1"/>
  <c r="L140" i="3"/>
  <c r="L138" i="3" s="1"/>
  <c r="O138" i="3" s="1"/>
  <c r="P139" i="3"/>
  <c r="O139" i="3"/>
  <c r="N137" i="3"/>
  <c r="N135" i="3" s="1"/>
  <c r="M137" i="3"/>
  <c r="P137" i="3" s="1"/>
  <c r="L137" i="3"/>
  <c r="L135" i="3" s="1"/>
  <c r="O135" i="3" s="1"/>
  <c r="P136" i="3"/>
  <c r="O136" i="3"/>
  <c r="O133" i="3"/>
  <c r="N133" i="3"/>
  <c r="M133" i="3"/>
  <c r="P133" i="3" s="1"/>
  <c r="L133" i="3"/>
  <c r="J130" i="3"/>
  <c r="N127" i="3"/>
  <c r="N125" i="3" s="1"/>
  <c r="M127" i="3"/>
  <c r="P127" i="3" s="1"/>
  <c r="L127" i="3"/>
  <c r="O127" i="3" s="1"/>
  <c r="P126" i="3"/>
  <c r="O126" i="3"/>
  <c r="N124" i="3"/>
  <c r="N122" i="3" s="1"/>
  <c r="M124" i="3"/>
  <c r="M122" i="3" s="1"/>
  <c r="P122" i="3" s="1"/>
  <c r="L124" i="3"/>
  <c r="O124" i="3" s="1"/>
  <c r="P123" i="3"/>
  <c r="O123" i="3"/>
  <c r="P120" i="3"/>
  <c r="N120" i="3"/>
  <c r="M120" i="3"/>
  <c r="L120" i="3"/>
  <c r="I116" i="3"/>
  <c r="I115" i="3"/>
  <c r="K115" i="3" s="1"/>
  <c r="I114" i="3"/>
  <c r="K114" i="3" s="1"/>
  <c r="I113" i="3"/>
  <c r="K113" i="3" s="1"/>
  <c r="J112" i="3"/>
  <c r="J111" i="3"/>
  <c r="I111" i="3"/>
  <c r="I110" i="3"/>
  <c r="K110" i="3" s="1"/>
  <c r="I109" i="3"/>
  <c r="K109" i="3" s="1"/>
  <c r="I107" i="3"/>
  <c r="K107" i="3" s="1"/>
  <c r="I106" i="3"/>
  <c r="K106" i="3" s="1"/>
  <c r="I104" i="3"/>
  <c r="K104" i="3" s="1"/>
  <c r="I103" i="3"/>
  <c r="K103" i="3" s="1"/>
  <c r="I102" i="3"/>
  <c r="K102" i="3" s="1"/>
  <c r="J100" i="3"/>
  <c r="I100" i="3"/>
  <c r="K100" i="3" s="1"/>
  <c r="J99" i="3"/>
  <c r="J87" i="3" s="1"/>
  <c r="I99" i="3"/>
  <c r="K99" i="3" s="1"/>
  <c r="J98" i="3"/>
  <c r="I98" i="3"/>
  <c r="N96" i="3"/>
  <c r="N94" i="3" s="1"/>
  <c r="M96" i="3"/>
  <c r="L96" i="3"/>
  <c r="L94" i="3" s="1"/>
  <c r="O94" i="3" s="1"/>
  <c r="P95" i="3"/>
  <c r="O95" i="3"/>
  <c r="N93" i="3"/>
  <c r="N91" i="3" s="1"/>
  <c r="M93" i="3"/>
  <c r="M91" i="3" s="1"/>
  <c r="L93" i="3"/>
  <c r="L91" i="3" s="1"/>
  <c r="P92" i="3"/>
  <c r="O92" i="3"/>
  <c r="P89" i="3"/>
  <c r="N89" i="3"/>
  <c r="M89" i="3"/>
  <c r="L89" i="3"/>
  <c r="J86" i="3"/>
  <c r="I84" i="3"/>
  <c r="K84" i="3" s="1"/>
  <c r="I83" i="3"/>
  <c r="K83" i="3" s="1"/>
  <c r="I82" i="3"/>
  <c r="K82" i="3" s="1"/>
  <c r="I81" i="3"/>
  <c r="I80" i="3"/>
  <c r="I79" i="3"/>
  <c r="K79" i="3" s="1"/>
  <c r="I78" i="3"/>
  <c r="K78" i="3" s="1"/>
  <c r="J77" i="3"/>
  <c r="J76" i="3"/>
  <c r="N74" i="3"/>
  <c r="N72" i="3" s="1"/>
  <c r="M74" i="3"/>
  <c r="L74" i="3"/>
  <c r="P73" i="3"/>
  <c r="O73" i="3"/>
  <c r="N71" i="3"/>
  <c r="N69" i="3" s="1"/>
  <c r="M71" i="3"/>
  <c r="P71" i="3" s="1"/>
  <c r="L71" i="3"/>
  <c r="L69" i="3" s="1"/>
  <c r="O69" i="3" s="1"/>
  <c r="P70" i="3"/>
  <c r="O70" i="3"/>
  <c r="O67" i="3"/>
  <c r="N67" i="3"/>
  <c r="M67" i="3"/>
  <c r="P67" i="3" s="1"/>
  <c r="L67" i="3"/>
  <c r="J65" i="3"/>
  <c r="J64" i="3"/>
  <c r="N61" i="3"/>
  <c r="N59" i="3" s="1"/>
  <c r="M61" i="3"/>
  <c r="L61" i="3"/>
  <c r="P60" i="3"/>
  <c r="O60" i="3"/>
  <c r="N58" i="3"/>
  <c r="N56" i="3" s="1"/>
  <c r="M58" i="3"/>
  <c r="L58" i="3"/>
  <c r="P57" i="3"/>
  <c r="O57" i="3"/>
  <c r="P54" i="3"/>
  <c r="N54" i="3"/>
  <c r="M54" i="3"/>
  <c r="L54" i="3"/>
  <c r="O54" i="3" s="1"/>
  <c r="N49" i="3"/>
  <c r="N47" i="3" s="1"/>
  <c r="M49" i="3"/>
  <c r="L49" i="3"/>
  <c r="O49" i="3" s="1"/>
  <c r="P48" i="3"/>
  <c r="O48" i="3"/>
  <c r="N46" i="3"/>
  <c r="N44" i="3" s="1"/>
  <c r="M46" i="3"/>
  <c r="M44" i="3" s="1"/>
  <c r="L46" i="3"/>
  <c r="L44" i="3" s="1"/>
  <c r="P45" i="3"/>
  <c r="O45" i="3"/>
  <c r="O42" i="3"/>
  <c r="N42" i="3"/>
  <c r="M42" i="3"/>
  <c r="P42" i="3" s="1"/>
  <c r="L42" i="3"/>
  <c r="P36" i="3"/>
  <c r="N36" i="3"/>
  <c r="M36" i="3"/>
  <c r="P35" i="3"/>
  <c r="O35" i="3"/>
  <c r="N35" i="3"/>
  <c r="M35" i="3"/>
  <c r="M34" i="3" s="1"/>
  <c r="P34" i="3" s="1"/>
  <c r="L35" i="3"/>
  <c r="N34" i="3"/>
  <c r="N33" i="3"/>
  <c r="N30" i="3" s="1"/>
  <c r="M33" i="3"/>
  <c r="P33" i="3" s="1"/>
  <c r="N32" i="3"/>
  <c r="N29" i="3" s="1"/>
  <c r="N28" i="3" s="1"/>
  <c r="M32" i="3"/>
  <c r="M12" i="3" s="1"/>
  <c r="L32" i="3"/>
  <c r="O32" i="3" s="1"/>
  <c r="N25" i="3"/>
  <c r="N15" i="3" s="1"/>
  <c r="M25" i="3"/>
  <c r="L25" i="3"/>
  <c r="O25" i="3" s="1"/>
  <c r="P22" i="3"/>
  <c r="O22" i="3"/>
  <c r="N22" i="3"/>
  <c r="M22" i="3"/>
  <c r="L22" i="3"/>
  <c r="N19" i="3"/>
  <c r="M19" i="3"/>
  <c r="L19" i="3"/>
  <c r="O19" i="3" s="1"/>
  <c r="N12" i="3"/>
  <c r="N9" i="3" s="1"/>
  <c r="L12" i="3"/>
  <c r="O12" i="3" s="1"/>
  <c r="J828" i="2"/>
  <c r="I828" i="2"/>
  <c r="J827" i="2"/>
  <c r="I827" i="2"/>
  <c r="J826" i="2"/>
  <c r="I826" i="2"/>
  <c r="J825" i="2"/>
  <c r="I825" i="2"/>
  <c r="J824" i="2"/>
  <c r="I824" i="2"/>
  <c r="J823" i="2"/>
  <c r="I823" i="2"/>
  <c r="J822" i="2"/>
  <c r="I822" i="2"/>
  <c r="J821" i="2"/>
  <c r="I821" i="2"/>
  <c r="P817" i="2"/>
  <c r="O817" i="2"/>
  <c r="P816" i="2"/>
  <c r="O816" i="2"/>
  <c r="P815" i="2"/>
  <c r="O815" i="2"/>
  <c r="N815" i="2"/>
  <c r="M815" i="2"/>
  <c r="L815" i="2"/>
  <c r="P810" i="2"/>
  <c r="O810" i="2"/>
  <c r="N810" i="2"/>
  <c r="P809" i="2"/>
  <c r="O809" i="2"/>
  <c r="M808" i="2"/>
  <c r="P808" i="2" s="1"/>
  <c r="L808" i="2"/>
  <c r="O808" i="2" s="1"/>
  <c r="M807" i="2"/>
  <c r="P807" i="2" s="1"/>
  <c r="L807" i="2"/>
  <c r="O807" i="2" s="1"/>
  <c r="P806" i="2"/>
  <c r="N806" i="2"/>
  <c r="M806" i="2"/>
  <c r="L806" i="2"/>
  <c r="O806" i="2" s="1"/>
  <c r="P805" i="2"/>
  <c r="M805" i="2"/>
  <c r="K804" i="2"/>
  <c r="J804" i="2"/>
  <c r="K802" i="2"/>
  <c r="J801" i="2"/>
  <c r="J800" i="2"/>
  <c r="J785" i="2" s="1"/>
  <c r="I800" i="2"/>
  <c r="P798" i="2"/>
  <c r="O798" i="2"/>
  <c r="P797" i="2"/>
  <c r="O797" i="2"/>
  <c r="O796" i="2"/>
  <c r="N796" i="2"/>
  <c r="M796" i="2"/>
  <c r="P796" i="2" s="1"/>
  <c r="L796" i="2"/>
  <c r="P791" i="2"/>
  <c r="N791" i="2"/>
  <c r="N788" i="2" s="1"/>
  <c r="L791" i="2"/>
  <c r="L788" i="2" s="1"/>
  <c r="O788" i="2" s="1"/>
  <c r="P790" i="2"/>
  <c r="O790" i="2"/>
  <c r="N789" i="2"/>
  <c r="M789" i="2"/>
  <c r="P789" i="2" s="1"/>
  <c r="M788" i="2"/>
  <c r="P788" i="2" s="1"/>
  <c r="P787" i="2"/>
  <c r="N787" i="2"/>
  <c r="M787" i="2"/>
  <c r="L787" i="2"/>
  <c r="O787" i="2" s="1"/>
  <c r="P786" i="2"/>
  <c r="M786" i="2"/>
  <c r="P782" i="2"/>
  <c r="O782" i="2"/>
  <c r="P781" i="2"/>
  <c r="O781" i="2"/>
  <c r="P780" i="2"/>
  <c r="O780" i="2"/>
  <c r="N780" i="2"/>
  <c r="M780" i="2"/>
  <c r="L780" i="2"/>
  <c r="P775" i="2"/>
  <c r="O775" i="2"/>
  <c r="N775" i="2"/>
  <c r="N772" i="2" s="1"/>
  <c r="N770" i="2" s="1"/>
  <c r="P774" i="2"/>
  <c r="O774" i="2"/>
  <c r="O773" i="2"/>
  <c r="N773" i="2"/>
  <c r="M773" i="2"/>
  <c r="P773" i="2" s="1"/>
  <c r="L773" i="2"/>
  <c r="M772" i="2"/>
  <c r="P772" i="2" s="1"/>
  <c r="L772" i="2"/>
  <c r="O772" i="2" s="1"/>
  <c r="N771" i="2"/>
  <c r="M771" i="2"/>
  <c r="P771" i="2" s="1"/>
  <c r="L771" i="2"/>
  <c r="K769" i="2"/>
  <c r="J769" i="2"/>
  <c r="P766" i="2"/>
  <c r="O766" i="2"/>
  <c r="P765" i="2"/>
  <c r="O765" i="2"/>
  <c r="P764" i="2"/>
  <c r="O764" i="2"/>
  <c r="N764" i="2"/>
  <c r="M764" i="2"/>
  <c r="L764" i="2"/>
  <c r="P759" i="2"/>
  <c r="O759" i="2"/>
  <c r="N759" i="2"/>
  <c r="N756" i="2" s="1"/>
  <c r="N754" i="2" s="1"/>
  <c r="P758" i="2"/>
  <c r="O758" i="2"/>
  <c r="O757" i="2"/>
  <c r="N757" i="2"/>
  <c r="M757" i="2"/>
  <c r="P757" i="2" s="1"/>
  <c r="L757" i="2"/>
  <c r="M756" i="2"/>
  <c r="P756" i="2" s="1"/>
  <c r="L756" i="2"/>
  <c r="O756" i="2" s="1"/>
  <c r="N755" i="2"/>
  <c r="M755" i="2"/>
  <c r="P755" i="2" s="1"/>
  <c r="L755" i="2"/>
  <c r="K753" i="2"/>
  <c r="J753" i="2"/>
  <c r="P749" i="2"/>
  <c r="O749" i="2"/>
  <c r="P748" i="2"/>
  <c r="O748" i="2"/>
  <c r="P747" i="2"/>
  <c r="O747" i="2"/>
  <c r="N747" i="2"/>
  <c r="M747" i="2"/>
  <c r="L747" i="2"/>
  <c r="P742" i="2"/>
  <c r="O742" i="2"/>
  <c r="N742" i="2"/>
  <c r="N739" i="2" s="1"/>
  <c r="N737" i="2" s="1"/>
  <c r="P741" i="2"/>
  <c r="O741" i="2"/>
  <c r="O740" i="2"/>
  <c r="N740" i="2"/>
  <c r="M740" i="2"/>
  <c r="P740" i="2" s="1"/>
  <c r="L740" i="2"/>
  <c r="M739" i="2"/>
  <c r="P739" i="2" s="1"/>
  <c r="L739" i="2"/>
  <c r="O739" i="2" s="1"/>
  <c r="N738" i="2"/>
  <c r="M738" i="2"/>
  <c r="P738" i="2" s="1"/>
  <c r="L738" i="2"/>
  <c r="K736" i="2"/>
  <c r="J736" i="2"/>
  <c r="J729" i="2"/>
  <c r="I729" i="2"/>
  <c r="J728" i="2"/>
  <c r="I728" i="2"/>
  <c r="K728" i="2" s="1"/>
  <c r="J727" i="2"/>
  <c r="J726" i="2"/>
  <c r="I726" i="2"/>
  <c r="K726" i="2" s="1"/>
  <c r="J725" i="2"/>
  <c r="I725" i="2"/>
  <c r="J724" i="2"/>
  <c r="J723" i="2"/>
  <c r="I723" i="2"/>
  <c r="I722" i="2"/>
  <c r="I721" i="2"/>
  <c r="J720" i="2"/>
  <c r="I720" i="2"/>
  <c r="K720" i="2" s="1"/>
  <c r="J719" i="2"/>
  <c r="J718" i="2"/>
  <c r="J708" i="2"/>
  <c r="I708" i="2"/>
  <c r="K708" i="2" s="1"/>
  <c r="I707" i="2"/>
  <c r="I704" i="2"/>
  <c r="J701" i="2"/>
  <c r="I701" i="2"/>
  <c r="K701" i="2" s="1"/>
  <c r="J700" i="2"/>
  <c r="I700" i="2"/>
  <c r="K700" i="2" s="1"/>
  <c r="J699" i="2"/>
  <c r="I699" i="2"/>
  <c r="K699" i="2" s="1"/>
  <c r="P697" i="2"/>
  <c r="O697" i="2"/>
  <c r="P696" i="2"/>
  <c r="O696" i="2"/>
  <c r="P695" i="2"/>
  <c r="O695" i="2"/>
  <c r="N695" i="2"/>
  <c r="M695" i="2"/>
  <c r="L695" i="2"/>
  <c r="P690" i="2"/>
  <c r="N690" i="2"/>
  <c r="L690" i="2"/>
  <c r="L687" i="2" s="1"/>
  <c r="M688" i="2"/>
  <c r="P688" i="2" s="1"/>
  <c r="M687" i="2"/>
  <c r="P687" i="2" s="1"/>
  <c r="P686" i="2"/>
  <c r="N686" i="2"/>
  <c r="M686" i="2"/>
  <c r="L686" i="2"/>
  <c r="O686" i="2" s="1"/>
  <c r="P685" i="2"/>
  <c r="M685" i="2"/>
  <c r="J679" i="2"/>
  <c r="J678" i="2"/>
  <c r="I678" i="2"/>
  <c r="K678" i="2" s="1"/>
  <c r="J675" i="2"/>
  <c r="I671" i="2"/>
  <c r="K671" i="2" s="1"/>
  <c r="I670" i="2"/>
  <c r="K670" i="2" s="1"/>
  <c r="J669" i="2"/>
  <c r="J654" i="2" s="1"/>
  <c r="I669" i="2"/>
  <c r="K673" i="2" s="1"/>
  <c r="P667" i="2"/>
  <c r="O667" i="2"/>
  <c r="P666" i="2"/>
  <c r="O666" i="2"/>
  <c r="P665" i="2"/>
  <c r="N665" i="2"/>
  <c r="M665" i="2"/>
  <c r="L665" i="2"/>
  <c r="O665" i="2" s="1"/>
  <c r="P660" i="2"/>
  <c r="N660" i="2"/>
  <c r="L660" i="2"/>
  <c r="L658" i="2" s="1"/>
  <c r="O658" i="2" s="1"/>
  <c r="P659" i="2"/>
  <c r="O659" i="2"/>
  <c r="P658" i="2"/>
  <c r="N658" i="2"/>
  <c r="M658" i="2"/>
  <c r="P657" i="2"/>
  <c r="N657" i="2"/>
  <c r="M657" i="2"/>
  <c r="O656" i="2"/>
  <c r="N656" i="2"/>
  <c r="M656" i="2"/>
  <c r="P656" i="2" s="1"/>
  <c r="L656" i="2"/>
  <c r="M655" i="2"/>
  <c r="P655" i="2" s="1"/>
  <c r="K652" i="2"/>
  <c r="J652" i="2"/>
  <c r="J651" i="2"/>
  <c r="J628" i="2" s="1"/>
  <c r="I651" i="2"/>
  <c r="I628" i="2" s="1"/>
  <c r="K650" i="2"/>
  <c r="J650" i="2"/>
  <c r="J649" i="2"/>
  <c r="I649" i="2"/>
  <c r="K648" i="2"/>
  <c r="J648" i="2"/>
  <c r="J647" i="2"/>
  <c r="I647" i="2"/>
  <c r="K646" i="2"/>
  <c r="J646" i="2"/>
  <c r="K645" i="2"/>
  <c r="J645" i="2"/>
  <c r="I644" i="2"/>
  <c r="K644" i="2" s="1"/>
  <c r="I643" i="2"/>
  <c r="K643" i="2" s="1"/>
  <c r="P641" i="2"/>
  <c r="L641" i="2"/>
  <c r="L639" i="2" s="1"/>
  <c r="O639" i="2" s="1"/>
  <c r="P640" i="2"/>
  <c r="O640" i="2"/>
  <c r="N639" i="2"/>
  <c r="M639" i="2"/>
  <c r="P639" i="2" s="1"/>
  <c r="P634" i="2"/>
  <c r="N634" i="2"/>
  <c r="L634" i="2"/>
  <c r="O634" i="2" s="1"/>
  <c r="P633" i="2"/>
  <c r="O633" i="2"/>
  <c r="N632" i="2"/>
  <c r="M632" i="2"/>
  <c r="P632" i="2" s="1"/>
  <c r="P631" i="2"/>
  <c r="N631" i="2"/>
  <c r="M631" i="2"/>
  <c r="P630" i="2"/>
  <c r="O630" i="2"/>
  <c r="N630" i="2"/>
  <c r="M630" i="2"/>
  <c r="M629" i="2" s="1"/>
  <c r="P629" i="2" s="1"/>
  <c r="L630" i="2"/>
  <c r="N629" i="2"/>
  <c r="J621" i="2"/>
  <c r="I621" i="2"/>
  <c r="K621" i="2" s="1"/>
  <c r="J620" i="2"/>
  <c r="I620" i="2"/>
  <c r="K620" i="2" s="1"/>
  <c r="K613" i="2"/>
  <c r="J613" i="2"/>
  <c r="K612" i="2"/>
  <c r="J612" i="2"/>
  <c r="K611" i="2"/>
  <c r="J611" i="2"/>
  <c r="J604" i="2"/>
  <c r="J603" i="2"/>
  <c r="J596" i="2"/>
  <c r="J595" i="2"/>
  <c r="J594" i="2"/>
  <c r="I594" i="2"/>
  <c r="K594" i="2" s="1"/>
  <c r="J593" i="2"/>
  <c r="I593" i="2"/>
  <c r="K593" i="2" s="1"/>
  <c r="J592" i="2"/>
  <c r="J583" i="2"/>
  <c r="J582" i="2"/>
  <c r="J576" i="2" s="1"/>
  <c r="J559" i="2" s="1"/>
  <c r="J543" i="2" s="1"/>
  <c r="J577" i="2"/>
  <c r="I577" i="2"/>
  <c r="K577" i="2" s="1"/>
  <c r="I576" i="2"/>
  <c r="K576" i="2" s="1"/>
  <c r="J569" i="2"/>
  <c r="I569" i="2"/>
  <c r="K569" i="2" s="1"/>
  <c r="J568" i="2"/>
  <c r="I568" i="2"/>
  <c r="K568" i="2" s="1"/>
  <c r="J561" i="2"/>
  <c r="I561" i="2"/>
  <c r="K561" i="2" s="1"/>
  <c r="J560" i="2"/>
  <c r="I560" i="2"/>
  <c r="K560" i="2" s="1"/>
  <c r="P557" i="2"/>
  <c r="L557" i="2"/>
  <c r="O557" i="2" s="1"/>
  <c r="P556" i="2"/>
  <c r="O556" i="2"/>
  <c r="P555" i="2"/>
  <c r="N555" i="2"/>
  <c r="M555" i="2"/>
  <c r="P549" i="2"/>
  <c r="N549" i="2"/>
  <c r="L549" i="2"/>
  <c r="L547" i="2" s="1"/>
  <c r="P548" i="2"/>
  <c r="O548" i="2"/>
  <c r="P547" i="2"/>
  <c r="N547" i="2"/>
  <c r="M547" i="2"/>
  <c r="N546" i="2"/>
  <c r="M546" i="2"/>
  <c r="P546" i="2" s="1"/>
  <c r="N545" i="2"/>
  <c r="M545" i="2"/>
  <c r="L545" i="2"/>
  <c r="O545" i="2" s="1"/>
  <c r="I542" i="2"/>
  <c r="K542" i="2" s="1"/>
  <c r="I541" i="2"/>
  <c r="K541" i="2" s="1"/>
  <c r="I540" i="2"/>
  <c r="K540" i="2" s="1"/>
  <c r="I539" i="2"/>
  <c r="K539" i="2" s="1"/>
  <c r="I538" i="2"/>
  <c r="I537" i="2"/>
  <c r="I522" i="2" s="1"/>
  <c r="P535" i="2"/>
  <c r="L535" i="2"/>
  <c r="P534" i="2"/>
  <c r="O534" i="2"/>
  <c r="N533" i="2"/>
  <c r="M533" i="2"/>
  <c r="P533" i="2" s="1"/>
  <c r="P528" i="2"/>
  <c r="N528" i="2"/>
  <c r="N525" i="2" s="1"/>
  <c r="L528" i="2"/>
  <c r="O528" i="2" s="1"/>
  <c r="P527" i="2"/>
  <c r="O527" i="2"/>
  <c r="N526" i="2"/>
  <c r="M526" i="2"/>
  <c r="P526" i="2" s="1"/>
  <c r="M525" i="2"/>
  <c r="P525" i="2" s="1"/>
  <c r="P524" i="2"/>
  <c r="N524" i="2"/>
  <c r="M524" i="2"/>
  <c r="L524" i="2"/>
  <c r="O524" i="2" s="1"/>
  <c r="P523" i="2"/>
  <c r="M523" i="2"/>
  <c r="K517" i="2"/>
  <c r="J517" i="2"/>
  <c r="J501" i="2" s="1"/>
  <c r="K516" i="2"/>
  <c r="P514" i="2"/>
  <c r="O514" i="2"/>
  <c r="P513" i="2"/>
  <c r="O513" i="2"/>
  <c r="N512" i="2"/>
  <c r="M512" i="2"/>
  <c r="P512" i="2" s="1"/>
  <c r="L512" i="2"/>
  <c r="O512" i="2" s="1"/>
  <c r="P507" i="2"/>
  <c r="O507" i="2"/>
  <c r="N507" i="2"/>
  <c r="P506" i="2"/>
  <c r="O506" i="2"/>
  <c r="P505" i="2"/>
  <c r="N505" i="2"/>
  <c r="M505" i="2"/>
  <c r="L505" i="2"/>
  <c r="O505" i="2" s="1"/>
  <c r="P504" i="2"/>
  <c r="O504" i="2"/>
  <c r="N504" i="2"/>
  <c r="M504" i="2"/>
  <c r="L504" i="2"/>
  <c r="P503" i="2"/>
  <c r="O503" i="2"/>
  <c r="N503" i="2"/>
  <c r="N502" i="2" s="1"/>
  <c r="M503" i="2"/>
  <c r="L503" i="2"/>
  <c r="L502" i="2" s="1"/>
  <c r="O502" i="2" s="1"/>
  <c r="M502" i="2"/>
  <c r="P502" i="2" s="1"/>
  <c r="K501" i="2"/>
  <c r="K500" i="2"/>
  <c r="J500" i="2"/>
  <c r="I498" i="2"/>
  <c r="K498" i="2" s="1"/>
  <c r="I495" i="2"/>
  <c r="K495" i="2" s="1"/>
  <c r="I492" i="2"/>
  <c r="K492" i="2" s="1"/>
  <c r="I489" i="2"/>
  <c r="K489" i="2" s="1"/>
  <c r="I487" i="2"/>
  <c r="K487" i="2" s="1"/>
  <c r="I485" i="2"/>
  <c r="K485" i="2" s="1"/>
  <c r="I483" i="2"/>
  <c r="K483" i="2" s="1"/>
  <c r="P479" i="2"/>
  <c r="L479" i="2"/>
  <c r="P478" i="2"/>
  <c r="O478" i="2"/>
  <c r="N477" i="2"/>
  <c r="M477" i="2"/>
  <c r="P477" i="2" s="1"/>
  <c r="P472" i="2"/>
  <c r="N472" i="2"/>
  <c r="N469" i="2" s="1"/>
  <c r="L472" i="2"/>
  <c r="O472" i="2" s="1"/>
  <c r="P471" i="2"/>
  <c r="O471" i="2"/>
  <c r="P470" i="2"/>
  <c r="N470" i="2"/>
  <c r="M470" i="2"/>
  <c r="P469" i="2"/>
  <c r="M469" i="2"/>
  <c r="P468" i="2"/>
  <c r="O468" i="2"/>
  <c r="N468" i="2"/>
  <c r="N467" i="2" s="1"/>
  <c r="M468" i="2"/>
  <c r="L468" i="2"/>
  <c r="M467" i="2"/>
  <c r="P467" i="2" s="1"/>
  <c r="J466" i="2"/>
  <c r="I466" i="2"/>
  <c r="K466" i="2" s="1"/>
  <c r="J465" i="2"/>
  <c r="I465" i="2"/>
  <c r="K465" i="2" s="1"/>
  <c r="I464" i="2"/>
  <c r="I463" i="2"/>
  <c r="I462" i="2"/>
  <c r="K462" i="2" s="1"/>
  <c r="I460" i="2"/>
  <c r="K460" i="2" s="1"/>
  <c r="K458" i="2"/>
  <c r="P456" i="2"/>
  <c r="L456" i="2"/>
  <c r="P455" i="2"/>
  <c r="O455" i="2"/>
  <c r="N454" i="2"/>
  <c r="M454" i="2"/>
  <c r="P454" i="2" s="1"/>
  <c r="P449" i="2"/>
  <c r="N449" i="2"/>
  <c r="L449" i="2"/>
  <c r="O449" i="2" s="1"/>
  <c r="P448" i="2"/>
  <c r="O448" i="2"/>
  <c r="N447" i="2"/>
  <c r="M447" i="2"/>
  <c r="P447" i="2" s="1"/>
  <c r="P446" i="2"/>
  <c r="N446" i="2"/>
  <c r="M446" i="2"/>
  <c r="P445" i="2"/>
  <c r="O445" i="2"/>
  <c r="N445" i="2"/>
  <c r="M445" i="2"/>
  <c r="M444" i="2" s="1"/>
  <c r="P444" i="2" s="1"/>
  <c r="L445" i="2"/>
  <c r="N444" i="2"/>
  <c r="J443" i="2"/>
  <c r="J442" i="2"/>
  <c r="I441" i="2"/>
  <c r="K441" i="2" s="1"/>
  <c r="I440" i="2"/>
  <c r="K440" i="2" s="1"/>
  <c r="I439" i="2"/>
  <c r="K439" i="2" s="1"/>
  <c r="I438" i="2"/>
  <c r="K438" i="2" s="1"/>
  <c r="I437" i="2"/>
  <c r="K437" i="2" s="1"/>
  <c r="I435" i="2"/>
  <c r="K435" i="2" s="1"/>
  <c r="J434" i="2"/>
  <c r="P431" i="2"/>
  <c r="L431" i="2"/>
  <c r="P430" i="2"/>
  <c r="O430" i="2"/>
  <c r="N429" i="2"/>
  <c r="M429" i="2"/>
  <c r="P429" i="2" s="1"/>
  <c r="P424" i="2"/>
  <c r="N424" i="2"/>
  <c r="L424" i="2"/>
  <c r="O424" i="2" s="1"/>
  <c r="P423" i="2"/>
  <c r="O423" i="2"/>
  <c r="N422" i="2"/>
  <c r="M422" i="2"/>
  <c r="P422" i="2" s="1"/>
  <c r="P421" i="2"/>
  <c r="N421" i="2"/>
  <c r="M421" i="2"/>
  <c r="P420" i="2"/>
  <c r="O420" i="2"/>
  <c r="N420" i="2"/>
  <c r="M420" i="2"/>
  <c r="M419" i="2" s="1"/>
  <c r="P419" i="2" s="1"/>
  <c r="L420" i="2"/>
  <c r="N419" i="2"/>
  <c r="J418" i="2"/>
  <c r="K413" i="2"/>
  <c r="K412" i="2"/>
  <c r="N410" i="2"/>
  <c r="N408" i="2" s="1"/>
  <c r="M410" i="2"/>
  <c r="L410" i="2"/>
  <c r="P409" i="2"/>
  <c r="O409" i="2"/>
  <c r="N407" i="2"/>
  <c r="N405" i="2" s="1"/>
  <c r="M407" i="2"/>
  <c r="L407" i="2"/>
  <c r="P406" i="2"/>
  <c r="O406" i="2"/>
  <c r="O403" i="2"/>
  <c r="N403" i="2"/>
  <c r="M403" i="2"/>
  <c r="P403" i="2" s="1"/>
  <c r="L403" i="2"/>
  <c r="J401" i="2"/>
  <c r="I401" i="2"/>
  <c r="K401" i="2" s="1"/>
  <c r="K400" i="2"/>
  <c r="K399" i="2"/>
  <c r="N397" i="2"/>
  <c r="N395" i="2" s="1"/>
  <c r="M397" i="2"/>
  <c r="P397" i="2" s="1"/>
  <c r="L397" i="2"/>
  <c r="P396" i="2"/>
  <c r="O396" i="2"/>
  <c r="N394" i="2"/>
  <c r="M394" i="2"/>
  <c r="L394" i="2"/>
  <c r="O394" i="2" s="1"/>
  <c r="P393" i="2"/>
  <c r="O393" i="2"/>
  <c r="P390" i="2"/>
  <c r="O390" i="2"/>
  <c r="N390" i="2"/>
  <c r="M390" i="2"/>
  <c r="L390" i="2"/>
  <c r="J388" i="2"/>
  <c r="I388" i="2"/>
  <c r="K388" i="2" s="1"/>
  <c r="J385" i="2"/>
  <c r="I385" i="2"/>
  <c r="K382" i="2"/>
  <c r="J382" i="2"/>
  <c r="J381" i="2"/>
  <c r="I381" i="2"/>
  <c r="K380" i="2"/>
  <c r="J380" i="2"/>
  <c r="J379" i="2"/>
  <c r="I379" i="2"/>
  <c r="J378" i="2"/>
  <c r="I378" i="2"/>
  <c r="K377" i="2"/>
  <c r="J377" i="2"/>
  <c r="I374" i="2"/>
  <c r="K373" i="2"/>
  <c r="J373" i="2"/>
  <c r="J372" i="2"/>
  <c r="J365" i="2" s="1"/>
  <c r="I372" i="2"/>
  <c r="K371" i="2"/>
  <c r="J371" i="2"/>
  <c r="J370" i="2"/>
  <c r="I370" i="2"/>
  <c r="J369" i="2"/>
  <c r="I369" i="2"/>
  <c r="K368" i="2"/>
  <c r="J368" i="2"/>
  <c r="I365" i="2"/>
  <c r="K363" i="2"/>
  <c r="J363" i="2"/>
  <c r="J362" i="2"/>
  <c r="J355" i="2" s="1"/>
  <c r="I362" i="2"/>
  <c r="K361" i="2"/>
  <c r="J361" i="2"/>
  <c r="J360" i="2"/>
  <c r="I360" i="2"/>
  <c r="J359" i="2"/>
  <c r="I359" i="2"/>
  <c r="K358" i="2"/>
  <c r="J358" i="2"/>
  <c r="I355" i="2"/>
  <c r="N353" i="2"/>
  <c r="N351" i="2" s="1"/>
  <c r="M353" i="2"/>
  <c r="L353" i="2"/>
  <c r="P352" i="2"/>
  <c r="O352" i="2"/>
  <c r="N350" i="2"/>
  <c r="M350" i="2"/>
  <c r="L350" i="2"/>
  <c r="P349" i="2"/>
  <c r="O349" i="2"/>
  <c r="P346" i="2"/>
  <c r="O346" i="2"/>
  <c r="N346" i="2"/>
  <c r="M346" i="2"/>
  <c r="L346" i="2"/>
  <c r="J343" i="2"/>
  <c r="J342" i="2"/>
  <c r="J341" i="2"/>
  <c r="J340" i="2"/>
  <c r="I340" i="2"/>
  <c r="J338" i="2"/>
  <c r="I338" i="2"/>
  <c r="N336" i="2"/>
  <c r="N334" i="2" s="1"/>
  <c r="M336" i="2"/>
  <c r="P336" i="2" s="1"/>
  <c r="L336" i="2"/>
  <c r="P335" i="2"/>
  <c r="O335" i="2"/>
  <c r="N333" i="2"/>
  <c r="M333" i="2"/>
  <c r="L333" i="2"/>
  <c r="P332" i="2"/>
  <c r="O332" i="2"/>
  <c r="P329" i="2"/>
  <c r="O329" i="2"/>
  <c r="N329" i="2"/>
  <c r="M329" i="2"/>
  <c r="L329" i="2"/>
  <c r="I327" i="2"/>
  <c r="I325" i="2"/>
  <c r="I314" i="2" s="1"/>
  <c r="N323" i="2"/>
  <c r="N321" i="2" s="1"/>
  <c r="M323" i="2"/>
  <c r="P323" i="2" s="1"/>
  <c r="L323" i="2"/>
  <c r="P322" i="2"/>
  <c r="O322" i="2"/>
  <c r="N320" i="2"/>
  <c r="N318" i="2" s="1"/>
  <c r="M320" i="2"/>
  <c r="M318" i="2" s="1"/>
  <c r="L320" i="2"/>
  <c r="P319" i="2"/>
  <c r="O319" i="2"/>
  <c r="N316" i="2"/>
  <c r="M316" i="2"/>
  <c r="L316" i="2"/>
  <c r="O316" i="2" s="1"/>
  <c r="J314" i="2"/>
  <c r="I312" i="2"/>
  <c r="K312" i="2" s="1"/>
  <c r="I311" i="2"/>
  <c r="K311" i="2" s="1"/>
  <c r="I310" i="2"/>
  <c r="K310" i="2" s="1"/>
  <c r="I309" i="2"/>
  <c r="K309" i="2" s="1"/>
  <c r="N306" i="2"/>
  <c r="N304" i="2" s="1"/>
  <c r="M306" i="2"/>
  <c r="L306" i="2"/>
  <c r="O306" i="2" s="1"/>
  <c r="P305" i="2"/>
  <c r="O305" i="2"/>
  <c r="N303" i="2"/>
  <c r="M303" i="2"/>
  <c r="M301" i="2" s="1"/>
  <c r="L303" i="2"/>
  <c r="L301" i="2" s="1"/>
  <c r="P302" i="2"/>
  <c r="O302" i="2"/>
  <c r="O299" i="2"/>
  <c r="N299" i="2"/>
  <c r="M299" i="2"/>
  <c r="L299" i="2"/>
  <c r="J297" i="2"/>
  <c r="I294" i="2"/>
  <c r="K294" i="2" s="1"/>
  <c r="I293" i="2"/>
  <c r="K293" i="2" s="1"/>
  <c r="I291" i="2"/>
  <c r="K291" i="2" s="1"/>
  <c r="I290" i="2"/>
  <c r="K290" i="2" s="1"/>
  <c r="I288" i="2"/>
  <c r="J288" i="2" s="1"/>
  <c r="J275" i="2" s="1"/>
  <c r="I287" i="2"/>
  <c r="K287" i="2" s="1"/>
  <c r="N285" i="2"/>
  <c r="N283" i="2" s="1"/>
  <c r="M285" i="2"/>
  <c r="P285" i="2" s="1"/>
  <c r="L285" i="2"/>
  <c r="O285" i="2" s="1"/>
  <c r="P284" i="2"/>
  <c r="O284" i="2"/>
  <c r="N282" i="2"/>
  <c r="M282" i="2"/>
  <c r="M280" i="2" s="1"/>
  <c r="L282" i="2"/>
  <c r="L280" i="2" s="1"/>
  <c r="P281" i="2"/>
  <c r="O281" i="2"/>
  <c r="P278" i="2"/>
  <c r="O278" i="2"/>
  <c r="N278" i="2"/>
  <c r="M278" i="2"/>
  <c r="L278" i="2"/>
  <c r="J276" i="2"/>
  <c r="I271" i="2"/>
  <c r="K271" i="2" s="1"/>
  <c r="N269" i="2"/>
  <c r="M269" i="2"/>
  <c r="P269" i="2" s="1"/>
  <c r="L269" i="2"/>
  <c r="P268" i="2"/>
  <c r="O268" i="2"/>
  <c r="N266" i="2"/>
  <c r="N264" i="2" s="1"/>
  <c r="M266" i="2"/>
  <c r="L266" i="2"/>
  <c r="L264" i="2" s="1"/>
  <c r="P265" i="2"/>
  <c r="O265" i="2"/>
  <c r="P262" i="2"/>
  <c r="O262" i="2"/>
  <c r="N262" i="2"/>
  <c r="M262" i="2"/>
  <c r="L262" i="2"/>
  <c r="J260" i="2"/>
  <c r="K258" i="2"/>
  <c r="K257" i="2"/>
  <c r="I255" i="2"/>
  <c r="I248" i="2" s="1"/>
  <c r="K248" i="2" s="1"/>
  <c r="L253" i="2"/>
  <c r="L252" i="2"/>
  <c r="L251" i="2"/>
  <c r="L250" i="2"/>
  <c r="P249" i="2"/>
  <c r="N249" i="2"/>
  <c r="J248" i="2"/>
  <c r="J226" i="2" s="1"/>
  <c r="J180" i="2" s="1"/>
  <c r="K247" i="2"/>
  <c r="K246" i="2"/>
  <c r="I244" i="2"/>
  <c r="I237" i="2" s="1"/>
  <c r="L242" i="2"/>
  <c r="L241" i="2"/>
  <c r="L240" i="2"/>
  <c r="L239" i="2"/>
  <c r="P238" i="2"/>
  <c r="N238" i="2"/>
  <c r="J237" i="2"/>
  <c r="J236" i="2"/>
  <c r="I236" i="2"/>
  <c r="K236" i="2" s="1"/>
  <c r="J235" i="2"/>
  <c r="I235" i="2"/>
  <c r="K235" i="2" s="1"/>
  <c r="J233" i="2"/>
  <c r="N231" i="2"/>
  <c r="N230" i="2"/>
  <c r="N229" i="2"/>
  <c r="N228" i="2"/>
  <c r="N227" i="2"/>
  <c r="I225" i="2"/>
  <c r="I224" i="2"/>
  <c r="I223" i="2"/>
  <c r="K223" i="2" s="1"/>
  <c r="L220" i="2"/>
  <c r="L219" i="2"/>
  <c r="L218" i="2"/>
  <c r="P217" i="2"/>
  <c r="N217" i="2"/>
  <c r="J216" i="2"/>
  <c r="I215" i="2"/>
  <c r="I208" i="2" s="1"/>
  <c r="K208" i="2" s="1"/>
  <c r="I214" i="2"/>
  <c r="K214" i="2" s="1"/>
  <c r="L212" i="2"/>
  <c r="L211" i="2"/>
  <c r="L210" i="2"/>
  <c r="P209" i="2"/>
  <c r="N209" i="2"/>
  <c r="J208" i="2"/>
  <c r="K207" i="2"/>
  <c r="K206" i="2"/>
  <c r="I204" i="2"/>
  <c r="L202" i="2"/>
  <c r="L201" i="2"/>
  <c r="L200" i="2"/>
  <c r="L199" i="2"/>
  <c r="P198" i="2"/>
  <c r="N198" i="2"/>
  <c r="J197" i="2"/>
  <c r="J194" i="2"/>
  <c r="I193" i="2"/>
  <c r="K193" i="2" s="1"/>
  <c r="P191" i="2"/>
  <c r="L191" i="2"/>
  <c r="O191" i="2" s="1"/>
  <c r="J190" i="2"/>
  <c r="N189" i="2"/>
  <c r="N187" i="2" s="1"/>
  <c r="M189" i="2"/>
  <c r="L189" i="2"/>
  <c r="L187" i="2" s="1"/>
  <c r="O187" i="2" s="1"/>
  <c r="P188" i="2"/>
  <c r="O188" i="2"/>
  <c r="N186" i="2"/>
  <c r="M186" i="2"/>
  <c r="M184" i="2" s="1"/>
  <c r="L186" i="2"/>
  <c r="P185" i="2"/>
  <c r="O185" i="2"/>
  <c r="N182" i="2"/>
  <c r="M182" i="2"/>
  <c r="P182" i="2" s="1"/>
  <c r="L182" i="2"/>
  <c r="J177" i="2"/>
  <c r="I176" i="2"/>
  <c r="I174" i="2" s="1"/>
  <c r="I164" i="2" s="1"/>
  <c r="J174" i="2"/>
  <c r="N173" i="2"/>
  <c r="N171" i="2" s="1"/>
  <c r="M173" i="2"/>
  <c r="P173" i="2" s="1"/>
  <c r="L173" i="2"/>
  <c r="P172" i="2"/>
  <c r="O172" i="2"/>
  <c r="N170" i="2"/>
  <c r="M170" i="2"/>
  <c r="L170" i="2"/>
  <c r="P169" i="2"/>
  <c r="O169" i="2"/>
  <c r="N166" i="2"/>
  <c r="M166" i="2"/>
  <c r="L166" i="2"/>
  <c r="O166" i="2" s="1"/>
  <c r="J164" i="2"/>
  <c r="I159" i="2"/>
  <c r="N157" i="2"/>
  <c r="N155" i="2" s="1"/>
  <c r="M157" i="2"/>
  <c r="P157" i="2" s="1"/>
  <c r="L157" i="2"/>
  <c r="O157" i="2" s="1"/>
  <c r="P156" i="2"/>
  <c r="O156" i="2"/>
  <c r="N154" i="2"/>
  <c r="N152" i="2" s="1"/>
  <c r="M154" i="2"/>
  <c r="M152" i="2" s="1"/>
  <c r="L154" i="2"/>
  <c r="P153" i="2"/>
  <c r="O153" i="2"/>
  <c r="P150" i="2"/>
  <c r="O150" i="2"/>
  <c r="N150" i="2"/>
  <c r="M150" i="2"/>
  <c r="L150" i="2"/>
  <c r="J148" i="2"/>
  <c r="I146" i="2"/>
  <c r="I130" i="2" s="1"/>
  <c r="K130" i="2" s="1"/>
  <c r="I145" i="2"/>
  <c r="K145" i="2" s="1"/>
  <c r="I144" i="2"/>
  <c r="K144" i="2" s="1"/>
  <c r="N140" i="2"/>
  <c r="N138" i="2" s="1"/>
  <c r="M140" i="2"/>
  <c r="P140" i="2" s="1"/>
  <c r="L140" i="2"/>
  <c r="O140" i="2" s="1"/>
  <c r="P139" i="2"/>
  <c r="O139" i="2"/>
  <c r="N137" i="2"/>
  <c r="N135" i="2" s="1"/>
  <c r="M137" i="2"/>
  <c r="L137" i="2"/>
  <c r="O137" i="2" s="1"/>
  <c r="P136" i="2"/>
  <c r="O136" i="2"/>
  <c r="P133" i="2"/>
  <c r="N133" i="2"/>
  <c r="M133" i="2"/>
  <c r="L133" i="2"/>
  <c r="J130" i="2"/>
  <c r="N127" i="2"/>
  <c r="M127" i="2"/>
  <c r="L127" i="2"/>
  <c r="P126" i="2"/>
  <c r="O126" i="2"/>
  <c r="N124" i="2"/>
  <c r="N122" i="2" s="1"/>
  <c r="M124" i="2"/>
  <c r="M122" i="2" s="1"/>
  <c r="P122" i="2" s="1"/>
  <c r="L124" i="2"/>
  <c r="O124" i="2" s="1"/>
  <c r="P123" i="2"/>
  <c r="O123" i="2"/>
  <c r="P120" i="2"/>
  <c r="O120" i="2"/>
  <c r="N120" i="2"/>
  <c r="M120" i="2"/>
  <c r="L120" i="2"/>
  <c r="I116" i="2"/>
  <c r="K116" i="2" s="1"/>
  <c r="I115" i="2"/>
  <c r="I114" i="2"/>
  <c r="K114" i="2" s="1"/>
  <c r="I113" i="2"/>
  <c r="K113" i="2" s="1"/>
  <c r="J112" i="2"/>
  <c r="J111" i="2"/>
  <c r="I111" i="2"/>
  <c r="K111" i="2" s="1"/>
  <c r="I110" i="2"/>
  <c r="K110" i="2" s="1"/>
  <c r="I109" i="2"/>
  <c r="K109" i="2" s="1"/>
  <c r="I107" i="2"/>
  <c r="K107" i="2" s="1"/>
  <c r="I106" i="2"/>
  <c r="K106" i="2" s="1"/>
  <c r="I104" i="2"/>
  <c r="K104" i="2" s="1"/>
  <c r="I103" i="2"/>
  <c r="K103" i="2" s="1"/>
  <c r="I102" i="2"/>
  <c r="K102" i="2" s="1"/>
  <c r="J100" i="2"/>
  <c r="I100" i="2"/>
  <c r="K100" i="2" s="1"/>
  <c r="J99" i="2"/>
  <c r="I99" i="2"/>
  <c r="J98" i="2"/>
  <c r="J86" i="2" s="1"/>
  <c r="I98" i="2"/>
  <c r="I86" i="2" s="1"/>
  <c r="N96" i="2"/>
  <c r="N94" i="2" s="1"/>
  <c r="M96" i="2"/>
  <c r="P96" i="2" s="1"/>
  <c r="L96" i="2"/>
  <c r="P95" i="2"/>
  <c r="O95" i="2"/>
  <c r="N93" i="2"/>
  <c r="M93" i="2"/>
  <c r="L93" i="2"/>
  <c r="P92" i="2"/>
  <c r="O92" i="2"/>
  <c r="N89" i="2"/>
  <c r="M89" i="2"/>
  <c r="L89" i="2"/>
  <c r="O89" i="2" s="1"/>
  <c r="J87" i="2"/>
  <c r="I84" i="2"/>
  <c r="K84" i="2" s="1"/>
  <c r="I83" i="2"/>
  <c r="K83" i="2" s="1"/>
  <c r="I82" i="2"/>
  <c r="K82" i="2" s="1"/>
  <c r="I81" i="2"/>
  <c r="K81" i="2" s="1"/>
  <c r="I80" i="2"/>
  <c r="K80" i="2" s="1"/>
  <c r="I79" i="2"/>
  <c r="I78" i="2"/>
  <c r="J77" i="2"/>
  <c r="J76" i="2"/>
  <c r="J64" i="2" s="1"/>
  <c r="N74" i="2"/>
  <c r="N72" i="2" s="1"/>
  <c r="M74" i="2"/>
  <c r="P74" i="2" s="1"/>
  <c r="L74" i="2"/>
  <c r="O74" i="2" s="1"/>
  <c r="P73" i="2"/>
  <c r="O73" i="2"/>
  <c r="N71" i="2"/>
  <c r="N69" i="2" s="1"/>
  <c r="M71" i="2"/>
  <c r="M69" i="2" s="1"/>
  <c r="P69" i="2" s="1"/>
  <c r="L71" i="2"/>
  <c r="O71" i="2" s="1"/>
  <c r="P70" i="2"/>
  <c r="O70" i="2"/>
  <c r="N67" i="2"/>
  <c r="M67" i="2"/>
  <c r="P67" i="2" s="1"/>
  <c r="L67" i="2"/>
  <c r="O67" i="2" s="1"/>
  <c r="J65" i="2"/>
  <c r="N61" i="2"/>
  <c r="M61" i="2"/>
  <c r="M59" i="2" s="1"/>
  <c r="L61" i="2"/>
  <c r="L59" i="2" s="1"/>
  <c r="P60" i="2"/>
  <c r="O60" i="2"/>
  <c r="N58" i="2"/>
  <c r="N56" i="2" s="1"/>
  <c r="M58" i="2"/>
  <c r="L58" i="2"/>
  <c r="L56" i="2" s="1"/>
  <c r="P57" i="2"/>
  <c r="O57" i="2"/>
  <c r="P54" i="2"/>
  <c r="O54" i="2"/>
  <c r="N54" i="2"/>
  <c r="M54" i="2"/>
  <c r="L54" i="2"/>
  <c r="N49" i="2"/>
  <c r="N47" i="2" s="1"/>
  <c r="M49" i="2"/>
  <c r="L49" i="2"/>
  <c r="P48" i="2"/>
  <c r="O48" i="2"/>
  <c r="N46" i="2"/>
  <c r="N44" i="2" s="1"/>
  <c r="M46" i="2"/>
  <c r="L46" i="2"/>
  <c r="L44" i="2" s="1"/>
  <c r="P45" i="2"/>
  <c r="O45" i="2"/>
  <c r="N42" i="2"/>
  <c r="M42" i="2"/>
  <c r="L42" i="2"/>
  <c r="O42" i="2" s="1"/>
  <c r="N36" i="2"/>
  <c r="M36" i="2"/>
  <c r="P36" i="2" s="1"/>
  <c r="N35" i="2"/>
  <c r="N34" i="2" s="1"/>
  <c r="M35" i="2"/>
  <c r="P35" i="2" s="1"/>
  <c r="L35" i="2"/>
  <c r="M34" i="2"/>
  <c r="P34" i="2" s="1"/>
  <c r="P33" i="2"/>
  <c r="N33" i="2"/>
  <c r="N30" i="2" s="1"/>
  <c r="M33" i="2"/>
  <c r="O32" i="2"/>
  <c r="N32" i="2"/>
  <c r="N12" i="2" s="1"/>
  <c r="M32" i="2"/>
  <c r="P32" i="2" s="1"/>
  <c r="L32" i="2"/>
  <c r="M31" i="2"/>
  <c r="P31" i="2" s="1"/>
  <c r="O25" i="2"/>
  <c r="N25" i="2"/>
  <c r="M25" i="2"/>
  <c r="P25" i="2" s="1"/>
  <c r="L25" i="2"/>
  <c r="P22" i="2"/>
  <c r="N22" i="2"/>
  <c r="M22" i="2"/>
  <c r="L22" i="2"/>
  <c r="O22" i="2" s="1"/>
  <c r="M19" i="2"/>
  <c r="P19" i="2" s="1"/>
  <c r="M12" i="2"/>
  <c r="P12" i="2" s="1"/>
  <c r="J828" i="1"/>
  <c r="I828" i="1"/>
  <c r="J827" i="1"/>
  <c r="I827" i="1"/>
  <c r="J826" i="1"/>
  <c r="I826" i="1"/>
  <c r="J825" i="1"/>
  <c r="I825" i="1"/>
  <c r="J824" i="1"/>
  <c r="I824" i="1"/>
  <c r="J823" i="1"/>
  <c r="I823" i="1"/>
  <c r="J822" i="1"/>
  <c r="I822" i="1"/>
  <c r="J821" i="1"/>
  <c r="I821" i="1"/>
  <c r="P817" i="1"/>
  <c r="O817" i="1"/>
  <c r="P816" i="1"/>
  <c r="O816" i="1"/>
  <c r="P815" i="1"/>
  <c r="N815" i="1"/>
  <c r="M815" i="1"/>
  <c r="L815" i="1"/>
  <c r="O815" i="1" s="1"/>
  <c r="P810" i="1"/>
  <c r="O810" i="1"/>
  <c r="N810" i="1"/>
  <c r="N807" i="1" s="1"/>
  <c r="P809" i="1"/>
  <c r="O809" i="1"/>
  <c r="P808" i="1"/>
  <c r="N808" i="1"/>
  <c r="M808" i="1"/>
  <c r="L808" i="1"/>
  <c r="O808" i="1" s="1"/>
  <c r="O807" i="1"/>
  <c r="M807" i="1"/>
  <c r="P807" i="1" s="1"/>
  <c r="L807" i="1"/>
  <c r="P806" i="1"/>
  <c r="N806" i="1"/>
  <c r="M806" i="1"/>
  <c r="L806" i="1"/>
  <c r="M805" i="1"/>
  <c r="P805" i="1" s="1"/>
  <c r="K804" i="1"/>
  <c r="J804" i="1"/>
  <c r="K802" i="1"/>
  <c r="J801" i="1"/>
  <c r="J800" i="1"/>
  <c r="J785" i="1" s="1"/>
  <c r="I800" i="1"/>
  <c r="P798" i="1"/>
  <c r="O798" i="1"/>
  <c r="P797" i="1"/>
  <c r="O797" i="1"/>
  <c r="O796" i="1"/>
  <c r="N796" i="1"/>
  <c r="M796" i="1"/>
  <c r="P796" i="1" s="1"/>
  <c r="L796" i="1"/>
  <c r="N795" i="1"/>
  <c r="N794" i="1"/>
  <c r="N793" i="1"/>
  <c r="N792" i="1"/>
  <c r="P791" i="1"/>
  <c r="L791" i="1"/>
  <c r="L789" i="1" s="1"/>
  <c r="P790" i="1"/>
  <c r="O790" i="1"/>
  <c r="P789" i="1"/>
  <c r="M789" i="1"/>
  <c r="M788" i="1"/>
  <c r="P788" i="1" s="1"/>
  <c r="P787" i="1"/>
  <c r="N787" i="1"/>
  <c r="M787" i="1"/>
  <c r="L787" i="1"/>
  <c r="P782" i="1"/>
  <c r="O782" i="1"/>
  <c r="P781" i="1"/>
  <c r="O781" i="1"/>
  <c r="O780" i="1"/>
  <c r="N780" i="1"/>
  <c r="M780" i="1"/>
  <c r="P780" i="1" s="1"/>
  <c r="L780" i="1"/>
  <c r="P775" i="1"/>
  <c r="O775" i="1"/>
  <c r="N775" i="1"/>
  <c r="P774" i="1"/>
  <c r="O774" i="1"/>
  <c r="O773" i="1"/>
  <c r="M773" i="1"/>
  <c r="P773" i="1" s="1"/>
  <c r="L773" i="1"/>
  <c r="P772" i="1"/>
  <c r="M772" i="1"/>
  <c r="L772" i="1"/>
  <c r="O772" i="1" s="1"/>
  <c r="O771" i="1"/>
  <c r="N771" i="1"/>
  <c r="M771" i="1"/>
  <c r="L771" i="1"/>
  <c r="K769" i="1"/>
  <c r="J769" i="1"/>
  <c r="P766" i="1"/>
  <c r="O766" i="1"/>
  <c r="P765" i="1"/>
  <c r="O765" i="1"/>
  <c r="O764" i="1"/>
  <c r="N764" i="1"/>
  <c r="M764" i="1"/>
  <c r="P764" i="1" s="1"/>
  <c r="L764" i="1"/>
  <c r="P759" i="1"/>
  <c r="O759" i="1"/>
  <c r="N759" i="1"/>
  <c r="N757" i="1" s="1"/>
  <c r="P758" i="1"/>
  <c r="O758" i="1"/>
  <c r="O757" i="1"/>
  <c r="M757" i="1"/>
  <c r="P757" i="1" s="1"/>
  <c r="L757" i="1"/>
  <c r="P756" i="1"/>
  <c r="N756" i="1"/>
  <c r="M756" i="1"/>
  <c r="L756" i="1"/>
  <c r="O756" i="1" s="1"/>
  <c r="O755" i="1"/>
  <c r="N755" i="1"/>
  <c r="N754" i="1" s="1"/>
  <c r="M755" i="1"/>
  <c r="L755" i="1"/>
  <c r="L754" i="1"/>
  <c r="O754" i="1" s="1"/>
  <c r="K753" i="1"/>
  <c r="J753" i="1"/>
  <c r="P749" i="1"/>
  <c r="O749" i="1"/>
  <c r="P748" i="1"/>
  <c r="O748" i="1"/>
  <c r="O747" i="1"/>
  <c r="N747" i="1"/>
  <c r="M747" i="1"/>
  <c r="P747" i="1" s="1"/>
  <c r="L747" i="1"/>
  <c r="P742" i="1"/>
  <c r="O742" i="1"/>
  <c r="N742" i="1"/>
  <c r="N740" i="1" s="1"/>
  <c r="P741" i="1"/>
  <c r="O741" i="1"/>
  <c r="O740" i="1"/>
  <c r="M740" i="1"/>
  <c r="P740" i="1" s="1"/>
  <c r="L740" i="1"/>
  <c r="P739" i="1"/>
  <c r="N739" i="1"/>
  <c r="M739" i="1"/>
  <c r="L739" i="1"/>
  <c r="O739" i="1" s="1"/>
  <c r="O738" i="1"/>
  <c r="N738" i="1"/>
  <c r="M738" i="1"/>
  <c r="L738" i="1"/>
  <c r="L737" i="1"/>
  <c r="O737" i="1" s="1"/>
  <c r="K736" i="1"/>
  <c r="J736" i="1"/>
  <c r="J735" i="1"/>
  <c r="J734" i="1"/>
  <c r="J733" i="1"/>
  <c r="J732" i="1"/>
  <c r="J731" i="1"/>
  <c r="J730" i="1"/>
  <c r="I729" i="1"/>
  <c r="J728" i="1"/>
  <c r="I728" i="1"/>
  <c r="J727" i="1"/>
  <c r="J726" i="1"/>
  <c r="I726" i="1"/>
  <c r="J725" i="1"/>
  <c r="I725" i="1"/>
  <c r="J724" i="1"/>
  <c r="J723" i="1"/>
  <c r="I723" i="1"/>
  <c r="I722" i="1"/>
  <c r="I721" i="1"/>
  <c r="J720" i="1"/>
  <c r="I720" i="1"/>
  <c r="J719" i="1"/>
  <c r="J718" i="1"/>
  <c r="J717" i="1"/>
  <c r="J716" i="1"/>
  <c r="J715" i="1"/>
  <c r="J714" i="1"/>
  <c r="J713" i="1"/>
  <c r="J712" i="1"/>
  <c r="J710" i="1"/>
  <c r="J709" i="1"/>
  <c r="I708" i="1"/>
  <c r="J707" i="1"/>
  <c r="I707" i="1"/>
  <c r="J706" i="1"/>
  <c r="J705" i="1"/>
  <c r="J704" i="1"/>
  <c r="I704" i="1"/>
  <c r="J703" i="1"/>
  <c r="J702" i="1"/>
  <c r="I701" i="1"/>
  <c r="J700" i="1"/>
  <c r="I700" i="1"/>
  <c r="J699" i="1"/>
  <c r="I699" i="1"/>
  <c r="P697" i="1"/>
  <c r="O697" i="1"/>
  <c r="P696" i="1"/>
  <c r="O696" i="1"/>
  <c r="O695" i="1"/>
  <c r="N695" i="1"/>
  <c r="M695" i="1"/>
  <c r="P695" i="1" s="1"/>
  <c r="L695" i="1"/>
  <c r="N694" i="1"/>
  <c r="N693" i="1"/>
  <c r="N692" i="1"/>
  <c r="N691" i="1"/>
  <c r="P690" i="1"/>
  <c r="L690" i="1"/>
  <c r="L688" i="1" s="1"/>
  <c r="P688" i="1"/>
  <c r="M688" i="1"/>
  <c r="M687" i="1"/>
  <c r="P687" i="1" s="1"/>
  <c r="P686" i="1"/>
  <c r="N686" i="1"/>
  <c r="M686" i="1"/>
  <c r="L686" i="1"/>
  <c r="J683" i="1"/>
  <c r="J682" i="1"/>
  <c r="J681" i="1"/>
  <c r="J680" i="1"/>
  <c r="I678" i="1"/>
  <c r="K678" i="1" s="1"/>
  <c r="J677" i="1"/>
  <c r="J676" i="1"/>
  <c r="J674" i="1"/>
  <c r="J673" i="1"/>
  <c r="J672" i="1"/>
  <c r="J671" i="1"/>
  <c r="I671" i="1"/>
  <c r="J670" i="1"/>
  <c r="I670" i="1"/>
  <c r="I669" i="1"/>
  <c r="P667" i="1"/>
  <c r="O667" i="1"/>
  <c r="P666" i="1"/>
  <c r="O666" i="1"/>
  <c r="O665" i="1"/>
  <c r="N665" i="1"/>
  <c r="M665" i="1"/>
  <c r="P665" i="1" s="1"/>
  <c r="L665" i="1"/>
  <c r="N664" i="1"/>
  <c r="N663" i="1"/>
  <c r="N662" i="1"/>
  <c r="N661" i="1"/>
  <c r="P660" i="1"/>
  <c r="L660" i="1"/>
  <c r="L657" i="1" s="1"/>
  <c r="P659" i="1"/>
  <c r="O659" i="1"/>
  <c r="P658" i="1"/>
  <c r="M658" i="1"/>
  <c r="M657" i="1"/>
  <c r="P657" i="1" s="1"/>
  <c r="P656" i="1"/>
  <c r="N656" i="1"/>
  <c r="M656" i="1"/>
  <c r="M655" i="1" s="1"/>
  <c r="P655" i="1" s="1"/>
  <c r="L656" i="1"/>
  <c r="K652" i="1"/>
  <c r="J652" i="1"/>
  <c r="J651" i="1"/>
  <c r="I651" i="1"/>
  <c r="I628" i="1" s="1"/>
  <c r="K650" i="1"/>
  <c r="J650" i="1"/>
  <c r="J649" i="1"/>
  <c r="I649" i="1"/>
  <c r="K648" i="1"/>
  <c r="J648" i="1"/>
  <c r="J647" i="1"/>
  <c r="I647" i="1"/>
  <c r="K646" i="1"/>
  <c r="J646" i="1"/>
  <c r="J645" i="1"/>
  <c r="I645" i="1"/>
  <c r="K645" i="1" s="1"/>
  <c r="J644" i="1"/>
  <c r="I644" i="1"/>
  <c r="J643" i="1"/>
  <c r="I643" i="1"/>
  <c r="P641" i="1"/>
  <c r="L641" i="1"/>
  <c r="O641" i="1" s="1"/>
  <c r="P640" i="1"/>
  <c r="O640" i="1"/>
  <c r="P639" i="1"/>
  <c r="N639" i="1"/>
  <c r="M639" i="1"/>
  <c r="N638" i="1"/>
  <c r="N637" i="1"/>
  <c r="N636" i="1"/>
  <c r="N635" i="1"/>
  <c r="P634" i="1"/>
  <c r="L634" i="1"/>
  <c r="P633" i="1"/>
  <c r="O633" i="1"/>
  <c r="M632" i="1"/>
  <c r="P632" i="1" s="1"/>
  <c r="P631" i="1"/>
  <c r="M631" i="1"/>
  <c r="O630" i="1"/>
  <c r="N630" i="1"/>
  <c r="M630" i="1"/>
  <c r="L630" i="1"/>
  <c r="J627" i="1"/>
  <c r="J626" i="1"/>
  <c r="J625" i="1"/>
  <c r="J624" i="1"/>
  <c r="J623" i="1"/>
  <c r="J622" i="1"/>
  <c r="I621" i="1"/>
  <c r="K621" i="1" s="1"/>
  <c r="I620" i="1"/>
  <c r="K620" i="1" s="1"/>
  <c r="K613" i="1"/>
  <c r="J613" i="1"/>
  <c r="K612" i="1"/>
  <c r="J612" i="1"/>
  <c r="K611" i="1"/>
  <c r="J611" i="1"/>
  <c r="J610" i="1"/>
  <c r="J609" i="1"/>
  <c r="J608" i="1"/>
  <c r="J607" i="1"/>
  <c r="J606" i="1"/>
  <c r="J605" i="1"/>
  <c r="J602" i="1"/>
  <c r="J601" i="1"/>
  <c r="J600" i="1"/>
  <c r="J599" i="1"/>
  <c r="J598" i="1"/>
  <c r="J597" i="1"/>
  <c r="I594" i="1"/>
  <c r="I593" i="1"/>
  <c r="I592" i="1" s="1"/>
  <c r="J591" i="1"/>
  <c r="J590" i="1"/>
  <c r="J589" i="1"/>
  <c r="J588" i="1"/>
  <c r="J587" i="1"/>
  <c r="J586" i="1"/>
  <c r="J585" i="1"/>
  <c r="J584" i="1"/>
  <c r="J581" i="1"/>
  <c r="J580" i="1"/>
  <c r="J579" i="1"/>
  <c r="J578" i="1"/>
  <c r="I577" i="1"/>
  <c r="I576" i="1"/>
  <c r="J575" i="1"/>
  <c r="J574" i="1"/>
  <c r="J573" i="1"/>
  <c r="J572" i="1"/>
  <c r="J571" i="1"/>
  <c r="J570" i="1"/>
  <c r="I569" i="1"/>
  <c r="I568" i="1"/>
  <c r="J567" i="1"/>
  <c r="J566" i="1"/>
  <c r="J565" i="1"/>
  <c r="J564" i="1"/>
  <c r="J563" i="1"/>
  <c r="J562" i="1"/>
  <c r="I561" i="1"/>
  <c r="I560" i="1"/>
  <c r="P557" i="1"/>
  <c r="L557" i="1"/>
  <c r="P556" i="1"/>
  <c r="O556" i="1"/>
  <c r="N555" i="1"/>
  <c r="M555" i="1"/>
  <c r="P555" i="1" s="1"/>
  <c r="N554" i="1"/>
  <c r="N553" i="1"/>
  <c r="N552" i="1"/>
  <c r="N551" i="1"/>
  <c r="N550" i="1"/>
  <c r="P549" i="1"/>
  <c r="L549" i="1"/>
  <c r="P548" i="1"/>
  <c r="O548" i="1"/>
  <c r="M547" i="1"/>
  <c r="P547" i="1" s="1"/>
  <c r="P546" i="1"/>
  <c r="M546" i="1"/>
  <c r="O545" i="1"/>
  <c r="N545" i="1"/>
  <c r="M545" i="1"/>
  <c r="L545" i="1"/>
  <c r="J542" i="1"/>
  <c r="I542" i="1"/>
  <c r="J541" i="1"/>
  <c r="I541" i="1"/>
  <c r="J540" i="1"/>
  <c r="I540" i="1"/>
  <c r="K540" i="1" s="1"/>
  <c r="J539" i="1"/>
  <c r="I539" i="1"/>
  <c r="K539" i="1" s="1"/>
  <c r="J538" i="1"/>
  <c r="I538" i="1"/>
  <c r="I537" i="1"/>
  <c r="I522" i="1" s="1"/>
  <c r="P535" i="1"/>
  <c r="L535" i="1"/>
  <c r="P534" i="1"/>
  <c r="O534" i="1"/>
  <c r="N533" i="1"/>
  <c r="M533" i="1"/>
  <c r="P533" i="1" s="1"/>
  <c r="N532" i="1"/>
  <c r="N531" i="1"/>
  <c r="N530" i="1"/>
  <c r="N529" i="1"/>
  <c r="P528" i="1"/>
  <c r="L528" i="1"/>
  <c r="L526" i="1" s="1"/>
  <c r="P527" i="1"/>
  <c r="O527" i="1"/>
  <c r="P526" i="1"/>
  <c r="M526" i="1"/>
  <c r="M525" i="1"/>
  <c r="P525" i="1" s="1"/>
  <c r="P524" i="1"/>
  <c r="N524" i="1"/>
  <c r="M524" i="1"/>
  <c r="L524" i="1"/>
  <c r="M523" i="1"/>
  <c r="P523" i="1" s="1"/>
  <c r="K517" i="1"/>
  <c r="J517" i="1"/>
  <c r="J501" i="1" s="1"/>
  <c r="K516" i="1"/>
  <c r="P514" i="1"/>
  <c r="O514" i="1"/>
  <c r="P513" i="1"/>
  <c r="O513" i="1"/>
  <c r="P512" i="1"/>
  <c r="N512" i="1"/>
  <c r="M512" i="1"/>
  <c r="L512" i="1"/>
  <c r="O512" i="1" s="1"/>
  <c r="P507" i="1"/>
  <c r="O507" i="1"/>
  <c r="N507" i="1"/>
  <c r="N504" i="1" s="1"/>
  <c r="P506" i="1"/>
  <c r="O506" i="1"/>
  <c r="P505" i="1"/>
  <c r="N505" i="1"/>
  <c r="M505" i="1"/>
  <c r="L505" i="1"/>
  <c r="O505" i="1" s="1"/>
  <c r="O504" i="1"/>
  <c r="M504" i="1"/>
  <c r="P504" i="1" s="1"/>
  <c r="L504" i="1"/>
  <c r="P503" i="1"/>
  <c r="N503" i="1"/>
  <c r="M503" i="1"/>
  <c r="L503" i="1"/>
  <c r="K501" i="1"/>
  <c r="K500" i="1"/>
  <c r="J500" i="1"/>
  <c r="J499" i="1"/>
  <c r="J498" i="1"/>
  <c r="I498" i="1"/>
  <c r="J496" i="1"/>
  <c r="J495" i="1"/>
  <c r="I495" i="1"/>
  <c r="J492" i="1"/>
  <c r="I492" i="1"/>
  <c r="J491" i="1"/>
  <c r="J489" i="1"/>
  <c r="I489" i="1"/>
  <c r="J488" i="1"/>
  <c r="J487" i="1"/>
  <c r="I487" i="1"/>
  <c r="J485" i="1"/>
  <c r="I485" i="1"/>
  <c r="J484" i="1"/>
  <c r="J483" i="1"/>
  <c r="I483" i="1"/>
  <c r="P479" i="1"/>
  <c r="L479" i="1"/>
  <c r="P478" i="1"/>
  <c r="O478" i="1"/>
  <c r="N477" i="1"/>
  <c r="M477" i="1"/>
  <c r="P477" i="1" s="1"/>
  <c r="N476" i="1"/>
  <c r="N475" i="1"/>
  <c r="N474" i="1"/>
  <c r="N473" i="1"/>
  <c r="P472" i="1"/>
  <c r="L472" i="1"/>
  <c r="L470" i="1" s="1"/>
  <c r="P471" i="1"/>
  <c r="O471" i="1"/>
  <c r="P470" i="1"/>
  <c r="M470" i="1"/>
  <c r="M469" i="1"/>
  <c r="P469" i="1" s="1"/>
  <c r="P468" i="1"/>
  <c r="N468" i="1"/>
  <c r="M468" i="1"/>
  <c r="L468" i="1"/>
  <c r="M467" i="1"/>
  <c r="P467" i="1" s="1"/>
  <c r="I466" i="1"/>
  <c r="I465" i="1"/>
  <c r="J464" i="1"/>
  <c r="I464" i="1"/>
  <c r="J463" i="1"/>
  <c r="I463" i="1"/>
  <c r="J462" i="1"/>
  <c r="J443" i="1" s="1"/>
  <c r="I462" i="1"/>
  <c r="J460" i="1"/>
  <c r="J442" i="1" s="1"/>
  <c r="I460" i="1"/>
  <c r="K458" i="1"/>
  <c r="P456" i="1"/>
  <c r="L456" i="1"/>
  <c r="O456" i="1" s="1"/>
  <c r="P455" i="1"/>
  <c r="O455" i="1"/>
  <c r="P454" i="1"/>
  <c r="N454" i="1"/>
  <c r="M454" i="1"/>
  <c r="N453" i="1"/>
  <c r="N452" i="1"/>
  <c r="N451" i="1"/>
  <c r="N450" i="1"/>
  <c r="P449" i="1"/>
  <c r="L449" i="1"/>
  <c r="L447" i="1" s="1"/>
  <c r="P448" i="1"/>
  <c r="O448" i="1"/>
  <c r="M447" i="1"/>
  <c r="P447" i="1" s="1"/>
  <c r="P446" i="1"/>
  <c r="M446" i="1"/>
  <c r="O445" i="1"/>
  <c r="N445" i="1"/>
  <c r="M445" i="1"/>
  <c r="L445" i="1"/>
  <c r="I441" i="1"/>
  <c r="K441" i="1" s="1"/>
  <c r="J440" i="1"/>
  <c r="I440" i="1"/>
  <c r="J439" i="1"/>
  <c r="I439" i="1"/>
  <c r="J438" i="1"/>
  <c r="I438" i="1"/>
  <c r="J437" i="1"/>
  <c r="I437" i="1"/>
  <c r="J435" i="1"/>
  <c r="I435" i="1"/>
  <c r="I433" i="1" s="1"/>
  <c r="J433" i="1"/>
  <c r="J417" i="1" s="1"/>
  <c r="P431" i="1"/>
  <c r="L431" i="1"/>
  <c r="L429" i="1" s="1"/>
  <c r="O429" i="1" s="1"/>
  <c r="P430" i="1"/>
  <c r="O430" i="1"/>
  <c r="N429" i="1"/>
  <c r="M429" i="1"/>
  <c r="P429" i="1" s="1"/>
  <c r="N428" i="1"/>
  <c r="N427" i="1"/>
  <c r="N426" i="1"/>
  <c r="N425" i="1"/>
  <c r="P424" i="1"/>
  <c r="L424" i="1"/>
  <c r="P423" i="1"/>
  <c r="O423" i="1"/>
  <c r="P422" i="1"/>
  <c r="M422" i="1"/>
  <c r="M421" i="1"/>
  <c r="P420" i="1"/>
  <c r="O420" i="1"/>
  <c r="N420" i="1"/>
  <c r="M420" i="1"/>
  <c r="L420" i="1"/>
  <c r="J413" i="1"/>
  <c r="I413" i="1"/>
  <c r="K413" i="1" s="1"/>
  <c r="J412" i="1"/>
  <c r="J401" i="1" s="1"/>
  <c r="I412" i="1"/>
  <c r="K412" i="1" s="1"/>
  <c r="N410" i="1"/>
  <c r="N408" i="1" s="1"/>
  <c r="M410" i="1"/>
  <c r="P410" i="1" s="1"/>
  <c r="L410" i="1"/>
  <c r="P409" i="1"/>
  <c r="O409" i="1"/>
  <c r="N407" i="1"/>
  <c r="N405" i="1" s="1"/>
  <c r="M407" i="1"/>
  <c r="L407" i="1"/>
  <c r="O407" i="1" s="1"/>
  <c r="P406" i="1"/>
  <c r="O406" i="1"/>
  <c r="N403" i="1"/>
  <c r="M403" i="1"/>
  <c r="L403" i="1"/>
  <c r="O403" i="1" s="1"/>
  <c r="J400" i="1"/>
  <c r="J388" i="1" s="1"/>
  <c r="I400" i="1"/>
  <c r="K400" i="1" s="1"/>
  <c r="J399" i="1"/>
  <c r="I399" i="1"/>
  <c r="K399" i="1" s="1"/>
  <c r="N397" i="1"/>
  <c r="N395" i="1" s="1"/>
  <c r="M397" i="1"/>
  <c r="P397" i="1" s="1"/>
  <c r="L397" i="1"/>
  <c r="O397" i="1" s="1"/>
  <c r="P396" i="1"/>
  <c r="O396" i="1"/>
  <c r="N394" i="1"/>
  <c r="N392" i="1" s="1"/>
  <c r="M394" i="1"/>
  <c r="L394" i="1"/>
  <c r="O394" i="1" s="1"/>
  <c r="P393" i="1"/>
  <c r="O393" i="1"/>
  <c r="N390" i="1"/>
  <c r="M390" i="1"/>
  <c r="L390" i="1"/>
  <c r="O390" i="1" s="1"/>
  <c r="J385" i="1"/>
  <c r="I385" i="1"/>
  <c r="K382" i="1"/>
  <c r="J382" i="1"/>
  <c r="J381" i="1"/>
  <c r="J374" i="1" s="1"/>
  <c r="I381" i="1"/>
  <c r="K380" i="1"/>
  <c r="J380" i="1"/>
  <c r="J379" i="1"/>
  <c r="I379" i="1"/>
  <c r="J378" i="1"/>
  <c r="I378" i="1"/>
  <c r="K377" i="1"/>
  <c r="J377" i="1"/>
  <c r="I374" i="1"/>
  <c r="K373" i="1"/>
  <c r="J373" i="1"/>
  <c r="J372" i="1"/>
  <c r="J365" i="1" s="1"/>
  <c r="I372" i="1"/>
  <c r="K371" i="1"/>
  <c r="J371" i="1"/>
  <c r="J370" i="1"/>
  <c r="I370" i="1"/>
  <c r="J369" i="1"/>
  <c r="I369" i="1"/>
  <c r="K368" i="1"/>
  <c r="J368" i="1"/>
  <c r="I365" i="1"/>
  <c r="K363" i="1"/>
  <c r="J363" i="1"/>
  <c r="J362" i="1"/>
  <c r="I362" i="1"/>
  <c r="K361" i="1"/>
  <c r="J361" i="1"/>
  <c r="J360" i="1"/>
  <c r="I360" i="1"/>
  <c r="J359" i="1"/>
  <c r="I359" i="1"/>
  <c r="K358" i="1"/>
  <c r="J358" i="1"/>
  <c r="I355" i="1"/>
  <c r="N353" i="1"/>
  <c r="N351" i="1" s="1"/>
  <c r="M353" i="1"/>
  <c r="M351" i="1" s="1"/>
  <c r="L353" i="1"/>
  <c r="L351" i="1" s="1"/>
  <c r="P352" i="1"/>
  <c r="O352" i="1"/>
  <c r="N350" i="1"/>
  <c r="M350" i="1"/>
  <c r="M348" i="1" s="1"/>
  <c r="L350" i="1"/>
  <c r="P349" i="1"/>
  <c r="O349" i="1"/>
  <c r="P346" i="1"/>
  <c r="N346" i="1"/>
  <c r="M346" i="1"/>
  <c r="L346" i="1"/>
  <c r="O346" i="1" s="1"/>
  <c r="J343" i="1"/>
  <c r="J342" i="1"/>
  <c r="J341" i="1"/>
  <c r="J340" i="1"/>
  <c r="I340" i="1"/>
  <c r="J338" i="1"/>
  <c r="I338" i="1"/>
  <c r="N336" i="1"/>
  <c r="N334" i="1" s="1"/>
  <c r="M336" i="1"/>
  <c r="L336" i="1"/>
  <c r="L334" i="1" s="1"/>
  <c r="P335" i="1"/>
  <c r="O335" i="1"/>
  <c r="N333" i="1"/>
  <c r="M333" i="1"/>
  <c r="M331" i="1" s="1"/>
  <c r="L333" i="1"/>
  <c r="L331" i="1" s="1"/>
  <c r="P332" i="1"/>
  <c r="O332" i="1"/>
  <c r="P329" i="1"/>
  <c r="O329" i="1"/>
  <c r="N329" i="1"/>
  <c r="M329" i="1"/>
  <c r="L329" i="1"/>
  <c r="I327" i="1"/>
  <c r="J325" i="1"/>
  <c r="J314" i="1" s="1"/>
  <c r="I325" i="1"/>
  <c r="I314" i="1" s="1"/>
  <c r="N323" i="1"/>
  <c r="M323" i="1"/>
  <c r="L323" i="1"/>
  <c r="L321" i="1" s="1"/>
  <c r="O321" i="1" s="1"/>
  <c r="P322" i="1"/>
  <c r="O322" i="1"/>
  <c r="N320" i="1"/>
  <c r="N318" i="1" s="1"/>
  <c r="M320" i="1"/>
  <c r="M318" i="1" s="1"/>
  <c r="L320" i="1"/>
  <c r="L318" i="1" s="1"/>
  <c r="P319" i="1"/>
  <c r="O319" i="1"/>
  <c r="N316" i="1"/>
  <c r="M316" i="1"/>
  <c r="P316" i="1" s="1"/>
  <c r="L316" i="1"/>
  <c r="J312" i="1"/>
  <c r="I312" i="1"/>
  <c r="J311" i="1"/>
  <c r="I311" i="1"/>
  <c r="J310" i="1"/>
  <c r="I310" i="1"/>
  <c r="J309" i="1"/>
  <c r="J297" i="1" s="1"/>
  <c r="I309" i="1"/>
  <c r="I297" i="1" s="1"/>
  <c r="J308" i="1"/>
  <c r="N306" i="1"/>
  <c r="N304" i="1" s="1"/>
  <c r="M306" i="1"/>
  <c r="M304" i="1" s="1"/>
  <c r="P304" i="1" s="1"/>
  <c r="L306" i="1"/>
  <c r="L304" i="1" s="1"/>
  <c r="O304" i="1" s="1"/>
  <c r="P305" i="1"/>
  <c r="O305" i="1"/>
  <c r="N303" i="1"/>
  <c r="M303" i="1"/>
  <c r="L303" i="1"/>
  <c r="L301" i="1" s="1"/>
  <c r="P302" i="1"/>
  <c r="O302" i="1"/>
  <c r="N299" i="1"/>
  <c r="M299" i="1"/>
  <c r="L299" i="1"/>
  <c r="J294" i="1"/>
  <c r="I294" i="1"/>
  <c r="J293" i="1"/>
  <c r="I293" i="1"/>
  <c r="J291" i="1"/>
  <c r="I291" i="1"/>
  <c r="J290" i="1"/>
  <c r="I290" i="1"/>
  <c r="I288" i="1"/>
  <c r="I275" i="1" s="1"/>
  <c r="J287" i="1"/>
  <c r="J276" i="1" s="1"/>
  <c r="I287" i="1"/>
  <c r="I276" i="1" s="1"/>
  <c r="N285" i="1"/>
  <c r="N283" i="1" s="1"/>
  <c r="M285" i="1"/>
  <c r="M283" i="1" s="1"/>
  <c r="P283" i="1" s="1"/>
  <c r="L285" i="1"/>
  <c r="L283" i="1" s="1"/>
  <c r="O283" i="1" s="1"/>
  <c r="P284" i="1"/>
  <c r="O284" i="1"/>
  <c r="N282" i="1"/>
  <c r="N280" i="1" s="1"/>
  <c r="M282" i="1"/>
  <c r="L282" i="1"/>
  <c r="L280" i="1" s="1"/>
  <c r="P281" i="1"/>
  <c r="O281" i="1"/>
  <c r="O278" i="1"/>
  <c r="N278" i="1"/>
  <c r="M278" i="1"/>
  <c r="L278" i="1"/>
  <c r="J271" i="1"/>
  <c r="J260" i="1" s="1"/>
  <c r="I271" i="1"/>
  <c r="I260" i="1" s="1"/>
  <c r="N269" i="1"/>
  <c r="N267" i="1" s="1"/>
  <c r="M269" i="1"/>
  <c r="L269" i="1"/>
  <c r="L267" i="1" s="1"/>
  <c r="O267" i="1" s="1"/>
  <c r="P268" i="1"/>
  <c r="O268" i="1"/>
  <c r="N266" i="1"/>
  <c r="M266" i="1"/>
  <c r="M264" i="1" s="1"/>
  <c r="L266" i="1"/>
  <c r="L264" i="1" s="1"/>
  <c r="P265" i="1"/>
  <c r="O265" i="1"/>
  <c r="O262" i="1"/>
  <c r="N262" i="1"/>
  <c r="M262" i="1"/>
  <c r="L262" i="1"/>
  <c r="J258" i="1"/>
  <c r="I258" i="1"/>
  <c r="J257" i="1"/>
  <c r="I257" i="1"/>
  <c r="J255" i="1"/>
  <c r="J248" i="1" s="1"/>
  <c r="I255" i="1"/>
  <c r="N253" i="1"/>
  <c r="L253" i="1"/>
  <c r="N252" i="1"/>
  <c r="L252" i="1"/>
  <c r="N251" i="1"/>
  <c r="L251" i="1"/>
  <c r="N250" i="1"/>
  <c r="L250" i="1"/>
  <c r="P249" i="1"/>
  <c r="J247" i="1"/>
  <c r="I247" i="1"/>
  <c r="J246" i="1"/>
  <c r="I246" i="1"/>
  <c r="J244" i="1"/>
  <c r="J237" i="1" s="1"/>
  <c r="I244" i="1"/>
  <c r="N242" i="1"/>
  <c r="L242" i="1"/>
  <c r="N241" i="1"/>
  <c r="L241" i="1"/>
  <c r="N240" i="1"/>
  <c r="L240" i="1"/>
  <c r="N239" i="1"/>
  <c r="L239" i="1"/>
  <c r="P238" i="1"/>
  <c r="J225" i="1"/>
  <c r="I225" i="1"/>
  <c r="J224" i="1"/>
  <c r="J216" i="1" s="1"/>
  <c r="I224" i="1"/>
  <c r="J223" i="1"/>
  <c r="I223" i="1"/>
  <c r="N220" i="1"/>
  <c r="L220" i="1"/>
  <c r="N219" i="1"/>
  <c r="L219" i="1"/>
  <c r="N218" i="1"/>
  <c r="L218" i="1"/>
  <c r="P217" i="1"/>
  <c r="J215" i="1"/>
  <c r="I215" i="1"/>
  <c r="I208" i="1" s="1"/>
  <c r="J214" i="1"/>
  <c r="I214" i="1"/>
  <c r="N212" i="1"/>
  <c r="L212" i="1"/>
  <c r="N211" i="1"/>
  <c r="L211" i="1"/>
  <c r="N210" i="1"/>
  <c r="L210" i="1"/>
  <c r="P209" i="1"/>
  <c r="J207" i="1"/>
  <c r="I207" i="1"/>
  <c r="J206" i="1"/>
  <c r="I206" i="1"/>
  <c r="J204" i="1"/>
  <c r="J197" i="1" s="1"/>
  <c r="I204" i="1"/>
  <c r="I197" i="1" s="1"/>
  <c r="N202" i="1"/>
  <c r="L202" i="1"/>
  <c r="N201" i="1"/>
  <c r="L201" i="1"/>
  <c r="N200" i="1"/>
  <c r="L200" i="1"/>
  <c r="N199" i="1"/>
  <c r="L199" i="1"/>
  <c r="P198" i="1"/>
  <c r="J196" i="1"/>
  <c r="J195" i="1"/>
  <c r="J193" i="1"/>
  <c r="J190" i="1" s="1"/>
  <c r="I193" i="1"/>
  <c r="P191" i="1"/>
  <c r="N191" i="1"/>
  <c r="L191" i="1"/>
  <c r="N189" i="1"/>
  <c r="N187" i="1" s="1"/>
  <c r="M189" i="1"/>
  <c r="P189" i="1" s="1"/>
  <c r="L189" i="1"/>
  <c r="O189" i="1" s="1"/>
  <c r="P188" i="1"/>
  <c r="O188" i="1"/>
  <c r="N186" i="1"/>
  <c r="M186" i="1"/>
  <c r="M184" i="1" s="1"/>
  <c r="L186" i="1"/>
  <c r="L184" i="1" s="1"/>
  <c r="P185" i="1"/>
  <c r="O185" i="1"/>
  <c r="O182" i="1"/>
  <c r="N182" i="1"/>
  <c r="M182" i="1"/>
  <c r="P182" i="1" s="1"/>
  <c r="L182" i="1"/>
  <c r="J177" i="1"/>
  <c r="J176" i="1"/>
  <c r="J174" i="1" s="1"/>
  <c r="I176" i="1"/>
  <c r="I174" i="1" s="1"/>
  <c r="N173" i="1"/>
  <c r="N171" i="1" s="1"/>
  <c r="M173" i="1"/>
  <c r="M171" i="1" s="1"/>
  <c r="P171" i="1" s="1"/>
  <c r="L173" i="1"/>
  <c r="L171" i="1" s="1"/>
  <c r="O171" i="1" s="1"/>
  <c r="P172" i="1"/>
  <c r="O172" i="1"/>
  <c r="N170" i="1"/>
  <c r="N168" i="1" s="1"/>
  <c r="M170" i="1"/>
  <c r="M168" i="1" s="1"/>
  <c r="L170" i="1"/>
  <c r="P169" i="1"/>
  <c r="O169" i="1"/>
  <c r="P166" i="1"/>
  <c r="O166" i="1"/>
  <c r="N166" i="1"/>
  <c r="M166" i="1"/>
  <c r="L166" i="1"/>
  <c r="J159" i="1"/>
  <c r="J148" i="1" s="1"/>
  <c r="I159" i="1"/>
  <c r="I148" i="1" s="1"/>
  <c r="N157" i="1"/>
  <c r="N155" i="1" s="1"/>
  <c r="M157" i="1"/>
  <c r="M155" i="1" s="1"/>
  <c r="P155" i="1" s="1"/>
  <c r="L157" i="1"/>
  <c r="L155" i="1" s="1"/>
  <c r="O155" i="1" s="1"/>
  <c r="P156" i="1"/>
  <c r="O156" i="1"/>
  <c r="N154" i="1"/>
  <c r="M154" i="1"/>
  <c r="M152" i="1" s="1"/>
  <c r="L154" i="1"/>
  <c r="L152" i="1" s="1"/>
  <c r="P153" i="1"/>
  <c r="O153" i="1"/>
  <c r="P150" i="1"/>
  <c r="O150" i="1"/>
  <c r="N150" i="1"/>
  <c r="M150" i="1"/>
  <c r="L150" i="1"/>
  <c r="J146" i="1"/>
  <c r="J130" i="1" s="1"/>
  <c r="I146" i="1"/>
  <c r="J145" i="1"/>
  <c r="I145" i="1"/>
  <c r="I143" i="1" s="1"/>
  <c r="J144" i="1"/>
  <c r="I144" i="1"/>
  <c r="J142" i="1"/>
  <c r="N140" i="1"/>
  <c r="M140" i="1"/>
  <c r="M138" i="1" s="1"/>
  <c r="L140" i="1"/>
  <c r="L138" i="1" s="1"/>
  <c r="P139" i="1"/>
  <c r="O139" i="1"/>
  <c r="N137" i="1"/>
  <c r="N135" i="1" s="1"/>
  <c r="M137" i="1"/>
  <c r="L137" i="1"/>
  <c r="L135" i="1" s="1"/>
  <c r="P136" i="1"/>
  <c r="O136" i="1"/>
  <c r="P133" i="1"/>
  <c r="O133" i="1"/>
  <c r="N133" i="1"/>
  <c r="M133" i="1"/>
  <c r="L133" i="1"/>
  <c r="N127" i="1"/>
  <c r="N125" i="1" s="1"/>
  <c r="M127" i="1"/>
  <c r="L127" i="1"/>
  <c r="L125" i="1" s="1"/>
  <c r="P126" i="1"/>
  <c r="O126" i="1"/>
  <c r="N124" i="1"/>
  <c r="M124" i="1"/>
  <c r="P124" i="1" s="1"/>
  <c r="L124" i="1"/>
  <c r="L122" i="1" s="1"/>
  <c r="O122" i="1" s="1"/>
  <c r="P123" i="1"/>
  <c r="O123" i="1"/>
  <c r="N120" i="1"/>
  <c r="M120" i="1"/>
  <c r="P120" i="1" s="1"/>
  <c r="L120" i="1"/>
  <c r="J116" i="1"/>
  <c r="I116" i="1"/>
  <c r="J115" i="1"/>
  <c r="I115" i="1"/>
  <c r="J114" i="1"/>
  <c r="I114" i="1"/>
  <c r="J113" i="1"/>
  <c r="I113" i="1"/>
  <c r="I111" i="1"/>
  <c r="J110" i="1"/>
  <c r="I110" i="1"/>
  <c r="J109" i="1"/>
  <c r="I109" i="1"/>
  <c r="J107" i="1"/>
  <c r="I107" i="1"/>
  <c r="J106" i="1"/>
  <c r="I106" i="1"/>
  <c r="J104" i="1"/>
  <c r="J99" i="1" s="1"/>
  <c r="I104" i="1"/>
  <c r="J103" i="1"/>
  <c r="I103" i="1"/>
  <c r="J102" i="1"/>
  <c r="J98" i="1" s="1"/>
  <c r="J86" i="1" s="1"/>
  <c r="I102" i="1"/>
  <c r="I100" i="1"/>
  <c r="I99" i="1"/>
  <c r="I87" i="1" s="1"/>
  <c r="I98" i="1"/>
  <c r="I86" i="1" s="1"/>
  <c r="N96" i="1"/>
  <c r="N94" i="1" s="1"/>
  <c r="M96" i="1"/>
  <c r="P96" i="1" s="1"/>
  <c r="L96" i="1"/>
  <c r="L94" i="1" s="1"/>
  <c r="O94" i="1" s="1"/>
  <c r="P95" i="1"/>
  <c r="O95" i="1"/>
  <c r="N93" i="1"/>
  <c r="M93" i="1"/>
  <c r="M91" i="1" s="1"/>
  <c r="L93" i="1"/>
  <c r="L91" i="1" s="1"/>
  <c r="P92" i="1"/>
  <c r="O92" i="1"/>
  <c r="P89" i="1"/>
  <c r="O89" i="1"/>
  <c r="N89" i="1"/>
  <c r="M89" i="1"/>
  <c r="L89" i="1"/>
  <c r="J84" i="1"/>
  <c r="I84" i="1"/>
  <c r="J83" i="1"/>
  <c r="I83" i="1"/>
  <c r="J82" i="1"/>
  <c r="I82" i="1"/>
  <c r="J81" i="1"/>
  <c r="I81" i="1"/>
  <c r="J80" i="1"/>
  <c r="I80" i="1"/>
  <c r="J79" i="1"/>
  <c r="I79" i="1"/>
  <c r="J78" i="1"/>
  <c r="I78" i="1"/>
  <c r="N74" i="1"/>
  <c r="N72" i="1" s="1"/>
  <c r="M74" i="1"/>
  <c r="P74" i="1" s="1"/>
  <c r="L74" i="1"/>
  <c r="L72" i="1" s="1"/>
  <c r="O72" i="1" s="1"/>
  <c r="P73" i="1"/>
  <c r="O73" i="1"/>
  <c r="N71" i="1"/>
  <c r="N69" i="1" s="1"/>
  <c r="M71" i="1"/>
  <c r="L71" i="1"/>
  <c r="P70" i="1"/>
  <c r="O70" i="1"/>
  <c r="P67" i="1"/>
  <c r="O67" i="1"/>
  <c r="N67" i="1"/>
  <c r="M67" i="1"/>
  <c r="L67" i="1"/>
  <c r="N61" i="1"/>
  <c r="M61" i="1"/>
  <c r="L61" i="1"/>
  <c r="L59" i="1" s="1"/>
  <c r="P60" i="1"/>
  <c r="O60" i="1"/>
  <c r="N58" i="1"/>
  <c r="N56" i="1" s="1"/>
  <c r="M58" i="1"/>
  <c r="L58" i="1"/>
  <c r="L56" i="1" s="1"/>
  <c r="P57" i="1"/>
  <c r="O57" i="1"/>
  <c r="N54" i="1"/>
  <c r="M54" i="1"/>
  <c r="P54" i="1" s="1"/>
  <c r="L54" i="1"/>
  <c r="O54" i="1" s="1"/>
  <c r="N49" i="1"/>
  <c r="N47" i="1" s="1"/>
  <c r="M49" i="1"/>
  <c r="L49" i="1"/>
  <c r="O49" i="1" s="1"/>
  <c r="P48" i="1"/>
  <c r="O48" i="1"/>
  <c r="N46" i="1"/>
  <c r="N44" i="1" s="1"/>
  <c r="M46" i="1"/>
  <c r="L46" i="1"/>
  <c r="L44" i="1" s="1"/>
  <c r="P45" i="1"/>
  <c r="O45" i="1"/>
  <c r="P42" i="1"/>
  <c r="O42" i="1"/>
  <c r="N42" i="1"/>
  <c r="M42" i="1"/>
  <c r="L42" i="1"/>
  <c r="P36" i="1"/>
  <c r="N36" i="1"/>
  <c r="N34" i="1" s="1"/>
  <c r="M36" i="1"/>
  <c r="P35" i="1"/>
  <c r="N35" i="1"/>
  <c r="M35" i="1"/>
  <c r="L35" i="1"/>
  <c r="O35" i="1" s="1"/>
  <c r="M33" i="1"/>
  <c r="P33" i="1" s="1"/>
  <c r="N32" i="1"/>
  <c r="N29" i="1" s="1"/>
  <c r="M32" i="1"/>
  <c r="M31" i="1" s="1"/>
  <c r="P31" i="1" s="1"/>
  <c r="L32" i="1"/>
  <c r="O32" i="1" s="1"/>
  <c r="L29" i="1"/>
  <c r="O29" i="1" s="1"/>
  <c r="O25" i="1"/>
  <c r="N25" i="1"/>
  <c r="M25" i="1"/>
  <c r="P25" i="1" s="1"/>
  <c r="L25" i="1"/>
  <c r="P22" i="1"/>
  <c r="N22" i="1"/>
  <c r="M22" i="1"/>
  <c r="L22" i="1"/>
  <c r="L12" i="1" s="1"/>
  <c r="M19" i="1"/>
  <c r="O15" i="1"/>
  <c r="L15" i="1"/>
  <c r="N12" i="1"/>
  <c r="L533" i="16" l="1"/>
  <c r="O533" i="16" s="1"/>
  <c r="N786" i="5"/>
  <c r="M15" i="5"/>
  <c r="N658" i="5"/>
  <c r="N687" i="5"/>
  <c r="N685" i="5" s="1"/>
  <c r="N740" i="5"/>
  <c r="L422" i="17"/>
  <c r="O422" i="17" s="1"/>
  <c r="N757" i="5"/>
  <c r="N770" i="5"/>
  <c r="M805" i="5"/>
  <c r="P805" i="5" s="1"/>
  <c r="N773" i="5"/>
  <c r="N33" i="5"/>
  <c r="N30" i="5" s="1"/>
  <c r="N28" i="5" s="1"/>
  <c r="O660" i="5"/>
  <c r="M685" i="5"/>
  <c r="P685" i="5" s="1"/>
  <c r="N12" i="5"/>
  <c r="N754" i="5"/>
  <c r="J226" i="5"/>
  <c r="J180" i="5" s="1"/>
  <c r="J226" i="6"/>
  <c r="J180" i="6" s="1"/>
  <c r="N757" i="7"/>
  <c r="M786" i="7"/>
  <c r="P786" i="7" s="1"/>
  <c r="M31" i="7"/>
  <c r="P31" i="7" s="1"/>
  <c r="N770" i="7"/>
  <c r="M805" i="7"/>
  <c r="P805" i="7" s="1"/>
  <c r="N658" i="7"/>
  <c r="N685" i="7"/>
  <c r="P807" i="7"/>
  <c r="M12" i="7"/>
  <c r="P12" i="7" s="1"/>
  <c r="N33" i="7"/>
  <c r="P35" i="7"/>
  <c r="P656" i="7"/>
  <c r="N773" i="7"/>
  <c r="N786" i="7"/>
  <c r="L15" i="7"/>
  <c r="O15" i="7" s="1"/>
  <c r="L29" i="7"/>
  <c r="N740" i="7"/>
  <c r="N754" i="7"/>
  <c r="K248" i="7"/>
  <c r="J226" i="7"/>
  <c r="J180" i="7" s="1"/>
  <c r="N227" i="7"/>
  <c r="L533" i="12"/>
  <c r="O533" i="12" s="1"/>
  <c r="L632" i="12"/>
  <c r="O632" i="12" s="1"/>
  <c r="L533" i="15"/>
  <c r="O533" i="15" s="1"/>
  <c r="K236" i="9"/>
  <c r="L533" i="13"/>
  <c r="O533" i="13" s="1"/>
  <c r="K235" i="10"/>
  <c r="N227" i="10"/>
  <c r="L477" i="20"/>
  <c r="O477" i="20" s="1"/>
  <c r="L533" i="17"/>
  <c r="O533" i="17" s="1"/>
  <c r="M655" i="11"/>
  <c r="P655" i="11" s="1"/>
  <c r="N34" i="11"/>
  <c r="N770" i="11"/>
  <c r="N786" i="11"/>
  <c r="N754" i="11"/>
  <c r="P687" i="11"/>
  <c r="N757" i="11"/>
  <c r="M15" i="11"/>
  <c r="O660" i="11"/>
  <c r="N740" i="11"/>
  <c r="N12" i="11"/>
  <c r="N9" i="11" s="1"/>
  <c r="N33" i="11"/>
  <c r="N30" i="11" s="1"/>
  <c r="N658" i="11"/>
  <c r="N687" i="11"/>
  <c r="N685" i="11" s="1"/>
  <c r="M786" i="11"/>
  <c r="P786" i="11" s="1"/>
  <c r="M805" i="11"/>
  <c r="P805" i="11" s="1"/>
  <c r="N227" i="11"/>
  <c r="L555" i="10"/>
  <c r="O555" i="10" s="1"/>
  <c r="J226" i="11"/>
  <c r="J180" i="11" s="1"/>
  <c r="L447" i="13"/>
  <c r="O447" i="13" s="1"/>
  <c r="L632" i="8"/>
  <c r="O632" i="8" s="1"/>
  <c r="I443" i="16"/>
  <c r="K443" i="16" s="1"/>
  <c r="L447" i="8"/>
  <c r="O447" i="8" s="1"/>
  <c r="N227" i="13"/>
  <c r="K235" i="13"/>
  <c r="L555" i="14"/>
  <c r="O555" i="14" s="1"/>
  <c r="L422" i="12"/>
  <c r="O422" i="12" s="1"/>
  <c r="N227" i="14"/>
  <c r="M34" i="15"/>
  <c r="P34" i="15" s="1"/>
  <c r="M805" i="15"/>
  <c r="P805" i="15" s="1"/>
  <c r="N34" i="15"/>
  <c r="L447" i="10"/>
  <c r="O447" i="10" s="1"/>
  <c r="N770" i="15"/>
  <c r="M685" i="15"/>
  <c r="P685" i="15" s="1"/>
  <c r="N754" i="15"/>
  <c r="M786" i="15"/>
  <c r="P786" i="15" s="1"/>
  <c r="N786" i="15"/>
  <c r="M655" i="15"/>
  <c r="P655" i="15" s="1"/>
  <c r="N740" i="15"/>
  <c r="N789" i="15"/>
  <c r="N658" i="15"/>
  <c r="N687" i="15"/>
  <c r="N685" i="15" s="1"/>
  <c r="N757" i="15"/>
  <c r="P35" i="15"/>
  <c r="N737" i="15"/>
  <c r="N773" i="15"/>
  <c r="L429" i="5"/>
  <c r="O429" i="5" s="1"/>
  <c r="N33" i="15"/>
  <c r="N30" i="15" s="1"/>
  <c r="M12" i="15"/>
  <c r="P12" i="15" s="1"/>
  <c r="N12" i="15"/>
  <c r="M419" i="15"/>
  <c r="O422" i="15"/>
  <c r="O424" i="15"/>
  <c r="L470" i="7"/>
  <c r="O470" i="7" s="1"/>
  <c r="K235" i="15"/>
  <c r="L477" i="16"/>
  <c r="O477" i="16" s="1"/>
  <c r="N227" i="15"/>
  <c r="K236" i="15"/>
  <c r="I628" i="10"/>
  <c r="K628" i="10" s="1"/>
  <c r="L658" i="14"/>
  <c r="O658" i="14" s="1"/>
  <c r="L632" i="10"/>
  <c r="O632" i="10" s="1"/>
  <c r="I785" i="22"/>
  <c r="K785" i="22" s="1"/>
  <c r="L447" i="15"/>
  <c r="O447" i="15" s="1"/>
  <c r="L658" i="12"/>
  <c r="O658" i="12" s="1"/>
  <c r="N227" i="19"/>
  <c r="L470" i="8"/>
  <c r="O470" i="8" s="1"/>
  <c r="N19" i="19"/>
  <c r="L657" i="19"/>
  <c r="L655" i="19" s="1"/>
  <c r="O655" i="19" s="1"/>
  <c r="L533" i="9"/>
  <c r="O533" i="9" s="1"/>
  <c r="M19" i="19"/>
  <c r="P19" i="19" s="1"/>
  <c r="L12" i="19"/>
  <c r="L19" i="19"/>
  <c r="O19" i="19" s="1"/>
  <c r="N12" i="19"/>
  <c r="N9" i="19" s="1"/>
  <c r="L632" i="17"/>
  <c r="O632" i="17" s="1"/>
  <c r="L533" i="20"/>
  <c r="O533" i="20" s="1"/>
  <c r="L454" i="5"/>
  <c r="O454" i="5" s="1"/>
  <c r="L447" i="20"/>
  <c r="O447" i="20" s="1"/>
  <c r="L658" i="6"/>
  <c r="O658" i="6" s="1"/>
  <c r="L429" i="22"/>
  <c r="O429" i="22" s="1"/>
  <c r="L526" i="18"/>
  <c r="O526" i="18" s="1"/>
  <c r="L470" i="2"/>
  <c r="O470" i="2" s="1"/>
  <c r="N227" i="21"/>
  <c r="L477" i="9"/>
  <c r="O477" i="9" s="1"/>
  <c r="L447" i="12"/>
  <c r="O447" i="12" s="1"/>
  <c r="L632" i="5"/>
  <c r="O632" i="5" s="1"/>
  <c r="M167" i="20"/>
  <c r="M165" i="20" s="1"/>
  <c r="N227" i="22"/>
  <c r="L429" i="7"/>
  <c r="O429" i="7" s="1"/>
  <c r="J722" i="22"/>
  <c r="K722" i="22" s="1"/>
  <c r="K360" i="21"/>
  <c r="L447" i="18"/>
  <c r="O447" i="18" s="1"/>
  <c r="K822" i="21"/>
  <c r="K825" i="21"/>
  <c r="K824" i="22"/>
  <c r="K827" i="22"/>
  <c r="N121" i="22"/>
  <c r="N119" i="22" s="1"/>
  <c r="M72" i="22"/>
  <c r="P72" i="22" s="1"/>
  <c r="M122" i="22"/>
  <c r="P122" i="22" s="1"/>
  <c r="N167" i="22"/>
  <c r="N165" i="22" s="1"/>
  <c r="P264" i="22"/>
  <c r="N90" i="22"/>
  <c r="N88" i="22" s="1"/>
  <c r="N263" i="19"/>
  <c r="N261" i="19" s="1"/>
  <c r="L533" i="10"/>
  <c r="O533" i="10" s="1"/>
  <c r="N300" i="21"/>
  <c r="N298" i="21" s="1"/>
  <c r="M395" i="22"/>
  <c r="P395" i="22" s="1"/>
  <c r="K385" i="21"/>
  <c r="M55" i="21"/>
  <c r="M53" i="21" s="1"/>
  <c r="M151" i="21"/>
  <c r="M149" i="21" s="1"/>
  <c r="L477" i="13"/>
  <c r="O477" i="13" s="1"/>
  <c r="N91" i="22"/>
  <c r="O91" i="22" s="1"/>
  <c r="L168" i="22"/>
  <c r="O168" i="22" s="1"/>
  <c r="M300" i="21"/>
  <c r="M298" i="21" s="1"/>
  <c r="L151" i="22"/>
  <c r="L149" i="22" s="1"/>
  <c r="O149" i="22" s="1"/>
  <c r="L171" i="22"/>
  <c r="O171" i="22" s="1"/>
  <c r="M391" i="22"/>
  <c r="P391" i="22" s="1"/>
  <c r="P93" i="22"/>
  <c r="M392" i="22"/>
  <c r="P392" i="22" s="1"/>
  <c r="K828" i="22"/>
  <c r="L555" i="20"/>
  <c r="O555" i="20" s="1"/>
  <c r="N134" i="22"/>
  <c r="N132" i="22" s="1"/>
  <c r="L454" i="19"/>
  <c r="O454" i="19" s="1"/>
  <c r="I87" i="21"/>
  <c r="K87" i="21" s="1"/>
  <c r="L267" i="22"/>
  <c r="O267" i="22" s="1"/>
  <c r="O353" i="22"/>
  <c r="K159" i="22"/>
  <c r="L283" i="22"/>
  <c r="O283" i="22" s="1"/>
  <c r="M47" i="21"/>
  <c r="P47" i="21" s="1"/>
  <c r="P46" i="22"/>
  <c r="P186" i="22"/>
  <c r="L229" i="22"/>
  <c r="M283" i="22"/>
  <c r="P283" i="22" s="1"/>
  <c r="K462" i="22"/>
  <c r="L546" i="20"/>
  <c r="L544" i="20" s="1"/>
  <c r="M279" i="21"/>
  <c r="M277" i="21" s="1"/>
  <c r="K355" i="21"/>
  <c r="L187" i="22"/>
  <c r="O187" i="22" s="1"/>
  <c r="M301" i="22"/>
  <c r="P301" i="22" s="1"/>
  <c r="M304" i="22"/>
  <c r="P304" i="22" s="1"/>
  <c r="M263" i="21"/>
  <c r="P263" i="21" s="1"/>
  <c r="I208" i="22"/>
  <c r="K208" i="22" s="1"/>
  <c r="L555" i="18"/>
  <c r="O555" i="18" s="1"/>
  <c r="N55" i="22"/>
  <c r="N53" i="22" s="1"/>
  <c r="L72" i="22"/>
  <c r="O72" i="22" s="1"/>
  <c r="M263" i="22"/>
  <c r="M261" i="22" s="1"/>
  <c r="I131" i="22"/>
  <c r="K131" i="22" s="1"/>
  <c r="K143" i="22"/>
  <c r="L55" i="21"/>
  <c r="L53" i="21" s="1"/>
  <c r="M44" i="22"/>
  <c r="P44" i="22" s="1"/>
  <c r="I112" i="22"/>
  <c r="K112" i="22" s="1"/>
  <c r="N168" i="22"/>
  <c r="K224" i="22"/>
  <c r="I297" i="22"/>
  <c r="K297" i="22" s="1"/>
  <c r="L347" i="22"/>
  <c r="L345" i="22" s="1"/>
  <c r="O61" i="21"/>
  <c r="M55" i="22"/>
  <c r="M53" i="22" s="1"/>
  <c r="K116" i="22"/>
  <c r="L138" i="22"/>
  <c r="O138" i="22" s="1"/>
  <c r="K145" i="22"/>
  <c r="L280" i="22"/>
  <c r="O280" i="22" s="1"/>
  <c r="N279" i="22"/>
  <c r="N277" i="22" s="1"/>
  <c r="M347" i="22"/>
  <c r="M345" i="22" s="1"/>
  <c r="N347" i="22"/>
  <c r="N345" i="22" s="1"/>
  <c r="N404" i="22"/>
  <c r="N402" i="22" s="1"/>
  <c r="O424" i="22"/>
  <c r="L533" i="22"/>
  <c r="O533" i="22" s="1"/>
  <c r="M405" i="21"/>
  <c r="P405" i="21" s="1"/>
  <c r="N68" i="22"/>
  <c r="N66" i="22" s="1"/>
  <c r="M90" i="22"/>
  <c r="M88" i="22" s="1"/>
  <c r="K255" i="22"/>
  <c r="M280" i="22"/>
  <c r="P280" i="22" s="1"/>
  <c r="M330" i="22"/>
  <c r="M328" i="22" s="1"/>
  <c r="M405" i="22"/>
  <c r="P405" i="22" s="1"/>
  <c r="I654" i="22"/>
  <c r="K654" i="22" s="1"/>
  <c r="L788" i="22"/>
  <c r="O788" i="22" s="1"/>
  <c r="I86" i="22"/>
  <c r="K86" i="22" s="1"/>
  <c r="L321" i="22"/>
  <c r="O321" i="22" s="1"/>
  <c r="L348" i="22"/>
  <c r="K700" i="22"/>
  <c r="N263" i="21"/>
  <c r="N261" i="21" s="1"/>
  <c r="K728" i="21"/>
  <c r="J143" i="22"/>
  <c r="J131" i="22" s="1"/>
  <c r="O184" i="22"/>
  <c r="L47" i="21"/>
  <c r="O47" i="21" s="1"/>
  <c r="I364" i="20"/>
  <c r="K364" i="20" s="1"/>
  <c r="L56" i="21"/>
  <c r="O56" i="21" s="1"/>
  <c r="L72" i="21"/>
  <c r="O72" i="21" s="1"/>
  <c r="L283" i="21"/>
  <c r="O283" i="21" s="1"/>
  <c r="L454" i="21"/>
  <c r="O454" i="21" s="1"/>
  <c r="N43" i="22"/>
  <c r="N41" i="22" s="1"/>
  <c r="L94" i="22"/>
  <c r="O94" i="22" s="1"/>
  <c r="M138" i="22"/>
  <c r="P138" i="22" s="1"/>
  <c r="M171" i="22"/>
  <c r="P171" i="22" s="1"/>
  <c r="K244" i="22"/>
  <c r="N317" i="22"/>
  <c r="N315" i="22" s="1"/>
  <c r="J327" i="22"/>
  <c r="K327" i="22" s="1"/>
  <c r="L395" i="22"/>
  <c r="O395" i="22" s="1"/>
  <c r="L632" i="13"/>
  <c r="O632" i="13" s="1"/>
  <c r="L230" i="21"/>
  <c r="I433" i="21"/>
  <c r="I417" i="21" s="1"/>
  <c r="M94" i="22"/>
  <c r="P94" i="22" s="1"/>
  <c r="O157" i="22"/>
  <c r="I174" i="22"/>
  <c r="I164" i="22" s="1"/>
  <c r="K164" i="22" s="1"/>
  <c r="L238" i="22"/>
  <c r="O238" i="22" s="1"/>
  <c r="N263" i="22"/>
  <c r="N261" i="22" s="1"/>
  <c r="O266" i="22"/>
  <c r="M321" i="22"/>
  <c r="P321" i="22" s="1"/>
  <c r="L391" i="22"/>
  <c r="L389" i="22" s="1"/>
  <c r="O389" i="22" s="1"/>
  <c r="L555" i="22"/>
  <c r="O555" i="22" s="1"/>
  <c r="K359" i="21"/>
  <c r="O93" i="22"/>
  <c r="O264" i="22"/>
  <c r="L392" i="22"/>
  <c r="O392" i="22" s="1"/>
  <c r="L469" i="22"/>
  <c r="O469" i="22" s="1"/>
  <c r="M155" i="22"/>
  <c r="P155" i="22" s="1"/>
  <c r="M267" i="20"/>
  <c r="P267" i="20" s="1"/>
  <c r="M134" i="22"/>
  <c r="M132" i="22" s="1"/>
  <c r="P132" i="22" s="1"/>
  <c r="M167" i="22"/>
  <c r="P167" i="22" s="1"/>
  <c r="M183" i="22"/>
  <c r="M181" i="22" s="1"/>
  <c r="I233" i="22"/>
  <c r="K233" i="22" s="1"/>
  <c r="L300" i="22"/>
  <c r="O300" i="22" s="1"/>
  <c r="O479" i="22"/>
  <c r="L209" i="22"/>
  <c r="O209" i="22" s="1"/>
  <c r="P266" i="22"/>
  <c r="N280" i="22"/>
  <c r="K288" i="22"/>
  <c r="M317" i="22"/>
  <c r="P317" i="22" s="1"/>
  <c r="O336" i="22"/>
  <c r="O394" i="22"/>
  <c r="K723" i="22"/>
  <c r="K823" i="22"/>
  <c r="L90" i="17"/>
  <c r="L88" i="17" s="1"/>
  <c r="I112" i="20"/>
  <c r="K112" i="20" s="1"/>
  <c r="O549" i="20"/>
  <c r="I297" i="21"/>
  <c r="K297" i="21" s="1"/>
  <c r="L555" i="21"/>
  <c r="O555" i="21" s="1"/>
  <c r="L33" i="22"/>
  <c r="L31" i="22" s="1"/>
  <c r="O31" i="22" s="1"/>
  <c r="L47" i="22"/>
  <c r="O47" i="22" s="1"/>
  <c r="M26" i="22"/>
  <c r="M24" i="22" s="1"/>
  <c r="L55" i="22"/>
  <c r="L53" i="22" s="1"/>
  <c r="L69" i="22"/>
  <c r="O69" i="22" s="1"/>
  <c r="K100" i="22"/>
  <c r="N122" i="22"/>
  <c r="L135" i="22"/>
  <c r="O135" i="22" s="1"/>
  <c r="K146" i="22"/>
  <c r="M187" i="22"/>
  <c r="P187" i="22" s="1"/>
  <c r="L228" i="22"/>
  <c r="N405" i="22"/>
  <c r="M408" i="22"/>
  <c r="P408" i="22" s="1"/>
  <c r="O456" i="22"/>
  <c r="J537" i="22"/>
  <c r="J522" i="22" s="1"/>
  <c r="L547" i="22"/>
  <c r="O547" i="22" s="1"/>
  <c r="L658" i="22"/>
  <c r="O658" i="22" s="1"/>
  <c r="L446" i="22"/>
  <c r="L444" i="22" s="1"/>
  <c r="O320" i="21"/>
  <c r="O323" i="21"/>
  <c r="N391" i="21"/>
  <c r="N389" i="21" s="1"/>
  <c r="K537" i="21"/>
  <c r="I543" i="21"/>
  <c r="K543" i="21" s="1"/>
  <c r="K576" i="21"/>
  <c r="M47" i="22"/>
  <c r="P47" i="22" s="1"/>
  <c r="N56" i="22"/>
  <c r="O56" i="22" s="1"/>
  <c r="M59" i="22"/>
  <c r="P59" i="22" s="1"/>
  <c r="M69" i="22"/>
  <c r="P69" i="22" s="1"/>
  <c r="M135" i="22"/>
  <c r="P135" i="22" s="1"/>
  <c r="I190" i="22"/>
  <c r="K190" i="22" s="1"/>
  <c r="L230" i="22"/>
  <c r="M279" i="22"/>
  <c r="L318" i="22"/>
  <c r="O318" i="22" s="1"/>
  <c r="P336" i="22"/>
  <c r="M348" i="22"/>
  <c r="L351" i="22"/>
  <c r="I442" i="22"/>
  <c r="K442" i="22" s="1"/>
  <c r="L477" i="22"/>
  <c r="O477" i="22" s="1"/>
  <c r="O528" i="22"/>
  <c r="K699" i="22"/>
  <c r="J721" i="22"/>
  <c r="K721" i="22" s="1"/>
  <c r="O791" i="22"/>
  <c r="L631" i="21"/>
  <c r="L629" i="21" s="1"/>
  <c r="O44" i="22"/>
  <c r="L43" i="22"/>
  <c r="L41" i="22" s="1"/>
  <c r="P170" i="22"/>
  <c r="N183" i="22"/>
  <c r="N181" i="22" s="1"/>
  <c r="L198" i="22"/>
  <c r="O198" i="22" s="1"/>
  <c r="L231" i="22"/>
  <c r="I260" i="22"/>
  <c r="K260" i="22" s="1"/>
  <c r="M318" i="22"/>
  <c r="P318" i="22" s="1"/>
  <c r="P320" i="22"/>
  <c r="L330" i="22"/>
  <c r="L328" i="22" s="1"/>
  <c r="K338" i="22"/>
  <c r="J364" i="22"/>
  <c r="L404" i="22"/>
  <c r="O404" i="22" s="1"/>
  <c r="L639" i="22"/>
  <c r="O639" i="22" s="1"/>
  <c r="K462" i="21"/>
  <c r="M43" i="22"/>
  <c r="M41" i="22" s="1"/>
  <c r="L68" i="22"/>
  <c r="O68" i="22" s="1"/>
  <c r="M151" i="22"/>
  <c r="M149" i="22" s="1"/>
  <c r="P149" i="22" s="1"/>
  <c r="N151" i="22"/>
  <c r="N149" i="22" s="1"/>
  <c r="I197" i="22"/>
  <c r="K197" i="22" s="1"/>
  <c r="L249" i="22"/>
  <c r="O249" i="22" s="1"/>
  <c r="L263" i="22"/>
  <c r="L261" i="22" s="1"/>
  <c r="P269" i="22"/>
  <c r="L317" i="22"/>
  <c r="O317" i="22" s="1"/>
  <c r="M404" i="22"/>
  <c r="P404" i="22" s="1"/>
  <c r="I433" i="22"/>
  <c r="L658" i="4"/>
  <c r="O658" i="4" s="1"/>
  <c r="L36" i="22"/>
  <c r="M68" i="22"/>
  <c r="P68" i="22" s="1"/>
  <c r="M121" i="22"/>
  <c r="M119" i="22" s="1"/>
  <c r="P119" i="22" s="1"/>
  <c r="L134" i="22"/>
  <c r="O134" i="22" s="1"/>
  <c r="N300" i="22"/>
  <c r="N298" i="22" s="1"/>
  <c r="J433" i="22"/>
  <c r="J417" i="22" s="1"/>
  <c r="L657" i="22"/>
  <c r="L655" i="22" s="1"/>
  <c r="K725" i="22"/>
  <c r="P29" i="22"/>
  <c r="M28" i="22"/>
  <c r="P28" i="22" s="1"/>
  <c r="K237" i="22"/>
  <c r="I226" i="22"/>
  <c r="K226" i="22" s="1"/>
  <c r="N43" i="18"/>
  <c r="N41" i="18" s="1"/>
  <c r="I130" i="21"/>
  <c r="K130" i="21" s="1"/>
  <c r="M134" i="21"/>
  <c r="P134" i="21" s="1"/>
  <c r="P137" i="21"/>
  <c r="N151" i="21"/>
  <c r="N149" i="21" s="1"/>
  <c r="L198" i="21"/>
  <c r="O198" i="21" s="1"/>
  <c r="L547" i="21"/>
  <c r="O547" i="21" s="1"/>
  <c r="K701" i="21"/>
  <c r="O791" i="21"/>
  <c r="M15" i="22"/>
  <c r="L23" i="22"/>
  <c r="O58" i="22"/>
  <c r="I76" i="22"/>
  <c r="P96" i="22"/>
  <c r="K99" i="22"/>
  <c r="O127" i="22"/>
  <c r="P154" i="22"/>
  <c r="O166" i="22"/>
  <c r="P184" i="22"/>
  <c r="P189" i="22"/>
  <c r="P350" i="22"/>
  <c r="N348" i="22"/>
  <c r="O350" i="22"/>
  <c r="L392" i="19"/>
  <c r="O392" i="19" s="1"/>
  <c r="N151" i="20"/>
  <c r="N149" i="20" s="1"/>
  <c r="L404" i="20"/>
  <c r="O404" i="20" s="1"/>
  <c r="L138" i="21"/>
  <c r="O138" i="21" s="1"/>
  <c r="L231" i="21"/>
  <c r="K381" i="21"/>
  <c r="N9" i="22"/>
  <c r="M23" i="22"/>
  <c r="M21" i="22" s="1"/>
  <c r="P25" i="22"/>
  <c r="O46" i="22"/>
  <c r="P49" i="22"/>
  <c r="P58" i="22"/>
  <c r="O67" i="22"/>
  <c r="K79" i="22"/>
  <c r="I77" i="22"/>
  <c r="L90" i="22"/>
  <c r="O124" i="22"/>
  <c r="P127" i="22"/>
  <c r="P137" i="22"/>
  <c r="P166" i="22"/>
  <c r="L183" i="22"/>
  <c r="L279" i="22"/>
  <c r="O279" i="22" s="1"/>
  <c r="M300" i="22"/>
  <c r="P300" i="22" s="1"/>
  <c r="P333" i="22"/>
  <c r="N331" i="22"/>
  <c r="M263" i="19"/>
  <c r="P263" i="19" s="1"/>
  <c r="L788" i="21"/>
  <c r="O788" i="21" s="1"/>
  <c r="M19" i="22"/>
  <c r="O22" i="22"/>
  <c r="L19" i="22"/>
  <c r="N23" i="22"/>
  <c r="L26" i="22"/>
  <c r="L167" i="22"/>
  <c r="O167" i="22" s="1"/>
  <c r="I276" i="22"/>
  <c r="K276" i="22" s="1"/>
  <c r="O333" i="22"/>
  <c r="P390" i="22"/>
  <c r="K723" i="20"/>
  <c r="O46" i="21"/>
  <c r="K111" i="21"/>
  <c r="L134" i="21"/>
  <c r="O134" i="21" s="1"/>
  <c r="I216" i="21"/>
  <c r="K216" i="21" s="1"/>
  <c r="P333" i="21"/>
  <c r="I364" i="21"/>
  <c r="N26" i="22"/>
  <c r="N16" i="22" s="1"/>
  <c r="N14" i="22" s="1"/>
  <c r="M56" i="22"/>
  <c r="N152" i="22"/>
  <c r="L217" i="22"/>
  <c r="O217" i="22" s="1"/>
  <c r="O306" i="22"/>
  <c r="L304" i="22"/>
  <c r="O304" i="22" s="1"/>
  <c r="N183" i="21"/>
  <c r="N181" i="21" s="1"/>
  <c r="L446" i="21"/>
  <c r="O446" i="21" s="1"/>
  <c r="K460" i="21"/>
  <c r="K465" i="21"/>
  <c r="L470" i="21"/>
  <c r="O470" i="21" s="1"/>
  <c r="O61" i="22"/>
  <c r="L121" i="22"/>
  <c r="O154" i="22"/>
  <c r="O186" i="22"/>
  <c r="N330" i="22"/>
  <c r="I275" i="22"/>
  <c r="K275" i="22" s="1"/>
  <c r="I314" i="22"/>
  <c r="K314" i="22" s="1"/>
  <c r="P353" i="22"/>
  <c r="N351" i="22"/>
  <c r="I364" i="22"/>
  <c r="K364" i="22" s="1"/>
  <c r="K365" i="22"/>
  <c r="N391" i="22"/>
  <c r="N389" i="22" s="1"/>
  <c r="K340" i="22"/>
  <c r="N655" i="22"/>
  <c r="O449" i="22"/>
  <c r="N446" i="22"/>
  <c r="N447" i="22"/>
  <c r="O447" i="22" s="1"/>
  <c r="O303" i="22"/>
  <c r="L301" i="22"/>
  <c r="O301" i="22" s="1"/>
  <c r="N544" i="22"/>
  <c r="O403" i="22"/>
  <c r="P419" i="22"/>
  <c r="L421" i="22"/>
  <c r="O468" i="22"/>
  <c r="O503" i="22"/>
  <c r="L525" i="22"/>
  <c r="M545" i="22"/>
  <c r="I559" i="22"/>
  <c r="I628" i="22"/>
  <c r="K628" i="22" s="1"/>
  <c r="P630" i="22"/>
  <c r="K669" i="22"/>
  <c r="K673" i="22"/>
  <c r="L687" i="22"/>
  <c r="O690" i="22"/>
  <c r="N740" i="22"/>
  <c r="N757" i="22"/>
  <c r="N773" i="22"/>
  <c r="P403" i="22"/>
  <c r="L405" i="22"/>
  <c r="O405" i="22" s="1"/>
  <c r="L408" i="22"/>
  <c r="O408" i="22" s="1"/>
  <c r="P468" i="22"/>
  <c r="L470" i="22"/>
  <c r="O470" i="22" s="1"/>
  <c r="P503" i="22"/>
  <c r="L631" i="22"/>
  <c r="O631" i="22" s="1"/>
  <c r="O656" i="22"/>
  <c r="K674" i="22"/>
  <c r="K675" i="22"/>
  <c r="M685" i="22"/>
  <c r="P685" i="22" s="1"/>
  <c r="M786" i="22"/>
  <c r="P786" i="22" s="1"/>
  <c r="K537" i="22"/>
  <c r="L546" i="22"/>
  <c r="O546" i="22" s="1"/>
  <c r="K593" i="22"/>
  <c r="I434" i="22"/>
  <c r="L121" i="21"/>
  <c r="O121" i="21" s="1"/>
  <c r="L122" i="21"/>
  <c r="O122" i="21" s="1"/>
  <c r="M321" i="21"/>
  <c r="P321" i="21" s="1"/>
  <c r="P323" i="21"/>
  <c r="N167" i="19"/>
  <c r="N165" i="19" s="1"/>
  <c r="M94" i="21"/>
  <c r="P94" i="21" s="1"/>
  <c r="M183" i="21"/>
  <c r="M181" i="21" s="1"/>
  <c r="K244" i="21"/>
  <c r="L300" i="21"/>
  <c r="L298" i="21" s="1"/>
  <c r="L301" i="21"/>
  <c r="N347" i="20"/>
  <c r="N345" i="20" s="1"/>
  <c r="L167" i="21"/>
  <c r="L165" i="21" s="1"/>
  <c r="O170" i="21"/>
  <c r="K204" i="21"/>
  <c r="L267" i="21"/>
  <c r="O267" i="21" s="1"/>
  <c r="L408" i="21"/>
  <c r="O408" i="21" s="1"/>
  <c r="N152" i="20"/>
  <c r="K176" i="20"/>
  <c r="M300" i="20"/>
  <c r="P300" i="20" s="1"/>
  <c r="L44" i="21"/>
  <c r="O44" i="21" s="1"/>
  <c r="I148" i="21"/>
  <c r="K148" i="21" s="1"/>
  <c r="P154" i="21"/>
  <c r="M167" i="21"/>
  <c r="M165" i="21" s="1"/>
  <c r="M168" i="21"/>
  <c r="M408" i="21"/>
  <c r="P408" i="21" s="1"/>
  <c r="O528" i="21"/>
  <c r="L525" i="21"/>
  <c r="O525" i="21" s="1"/>
  <c r="K647" i="21"/>
  <c r="L658" i="21"/>
  <c r="O658" i="21" s="1"/>
  <c r="L470" i="5"/>
  <c r="O470" i="5" s="1"/>
  <c r="M47" i="20"/>
  <c r="P47" i="20" s="1"/>
  <c r="N68" i="20"/>
  <c r="N66" i="20" s="1"/>
  <c r="P140" i="21"/>
  <c r="L187" i="21"/>
  <c r="O187" i="21" s="1"/>
  <c r="O189" i="21"/>
  <c r="I275" i="21"/>
  <c r="P285" i="21"/>
  <c r="M283" i="21"/>
  <c r="P283" i="21" s="1"/>
  <c r="O186" i="19"/>
  <c r="L168" i="21"/>
  <c r="L404" i="21"/>
  <c r="O404" i="21" s="1"/>
  <c r="O407" i="21"/>
  <c r="O634" i="21"/>
  <c r="L209" i="21"/>
  <c r="O209" i="21" s="1"/>
  <c r="L238" i="21"/>
  <c r="O238" i="21" s="1"/>
  <c r="K338" i="21"/>
  <c r="K379" i="21"/>
  <c r="O632" i="21"/>
  <c r="J722" i="21"/>
  <c r="K722" i="21" s="1"/>
  <c r="M90" i="21"/>
  <c r="M88" i="21" s="1"/>
  <c r="M171" i="21"/>
  <c r="P171" i="21" s="1"/>
  <c r="M187" i="21"/>
  <c r="P187" i="21" s="1"/>
  <c r="N404" i="21"/>
  <c r="N402" i="21" s="1"/>
  <c r="K649" i="21"/>
  <c r="L279" i="21"/>
  <c r="L277" i="21" s="1"/>
  <c r="L330" i="21"/>
  <c r="L328" i="21" s="1"/>
  <c r="J364" i="21"/>
  <c r="J537" i="21"/>
  <c r="J522" i="21" s="1"/>
  <c r="N91" i="21"/>
  <c r="P91" i="21" s="1"/>
  <c r="N90" i="21"/>
  <c r="N88" i="21" s="1"/>
  <c r="O96" i="21"/>
  <c r="L26" i="21"/>
  <c r="L94" i="21"/>
  <c r="O94" i="21" s="1"/>
  <c r="O127" i="21"/>
  <c r="L125" i="21"/>
  <c r="O125" i="21" s="1"/>
  <c r="K215" i="21"/>
  <c r="I208" i="21"/>
  <c r="K208" i="21" s="1"/>
  <c r="K593" i="21"/>
  <c r="I592" i="21"/>
  <c r="K592" i="21" s="1"/>
  <c r="N90" i="17"/>
  <c r="N88" i="17" s="1"/>
  <c r="K78" i="21"/>
  <c r="I76" i="21"/>
  <c r="O93" i="21"/>
  <c r="P124" i="21"/>
  <c r="M121" i="21"/>
  <c r="P121" i="21" s="1"/>
  <c r="I174" i="21"/>
  <c r="K176" i="21"/>
  <c r="L263" i="21"/>
  <c r="L264" i="21"/>
  <c r="O264" i="21" s="1"/>
  <c r="K287" i="21"/>
  <c r="I276" i="21"/>
  <c r="K276" i="21" s="1"/>
  <c r="N301" i="21"/>
  <c r="O303" i="21"/>
  <c r="N330" i="21"/>
  <c r="N331" i="21"/>
  <c r="O331" i="21" s="1"/>
  <c r="O353" i="21"/>
  <c r="L351" i="21"/>
  <c r="O351" i="21" s="1"/>
  <c r="K675" i="21"/>
  <c r="I654" i="21"/>
  <c r="K654" i="21" s="1"/>
  <c r="K821" i="21"/>
  <c r="L632" i="7"/>
  <c r="O632" i="7" s="1"/>
  <c r="M69" i="19"/>
  <c r="P69" i="19" s="1"/>
  <c r="L68" i="20"/>
  <c r="O68" i="20" s="1"/>
  <c r="N300" i="20"/>
  <c r="N298" i="20" s="1"/>
  <c r="K365" i="20"/>
  <c r="N121" i="21"/>
  <c r="N119" i="21" s="1"/>
  <c r="N122" i="21"/>
  <c r="O137" i="21"/>
  <c r="L135" i="21"/>
  <c r="O135" i="21" s="1"/>
  <c r="L183" i="21"/>
  <c r="O186" i="21"/>
  <c r="L184" i="21"/>
  <c r="O184" i="21" s="1"/>
  <c r="L249" i="21"/>
  <c r="O249" i="21" s="1"/>
  <c r="O397" i="21"/>
  <c r="L395" i="21"/>
  <c r="O395" i="21" s="1"/>
  <c r="L555" i="13"/>
  <c r="O555" i="13" s="1"/>
  <c r="O351" i="20"/>
  <c r="M23" i="21"/>
  <c r="M13" i="21" s="1"/>
  <c r="M44" i="21"/>
  <c r="P44" i="21" s="1"/>
  <c r="N59" i="21"/>
  <c r="O59" i="21" s="1"/>
  <c r="M72" i="21"/>
  <c r="P72" i="21" s="1"/>
  <c r="M68" i="21"/>
  <c r="M66" i="21" s="1"/>
  <c r="M26" i="21"/>
  <c r="M16" i="21" s="1"/>
  <c r="M14" i="21" s="1"/>
  <c r="P74" i="21"/>
  <c r="I112" i="21"/>
  <c r="K112" i="21" s="1"/>
  <c r="N168" i="21"/>
  <c r="N167" i="21"/>
  <c r="N165" i="21" s="1"/>
  <c r="O173" i="21"/>
  <c r="L171" i="21"/>
  <c r="O171" i="21" s="1"/>
  <c r="I260" i="21"/>
  <c r="K260" i="21" s="1"/>
  <c r="P282" i="21"/>
  <c r="N279" i="21"/>
  <c r="P350" i="21"/>
  <c r="P394" i="21"/>
  <c r="M392" i="21"/>
  <c r="P392" i="21" s="1"/>
  <c r="O424" i="21"/>
  <c r="L33" i="21"/>
  <c r="L31" i="21" s="1"/>
  <c r="O479" i="21"/>
  <c r="L469" i="21"/>
  <c r="L467" i="21" s="1"/>
  <c r="O467" i="21" s="1"/>
  <c r="L36" i="21"/>
  <c r="L318" i="20"/>
  <c r="O318" i="20" s="1"/>
  <c r="N69" i="21"/>
  <c r="O69" i="21" s="1"/>
  <c r="N23" i="21"/>
  <c r="N21" i="21" s="1"/>
  <c r="L90" i="21"/>
  <c r="K193" i="21"/>
  <c r="I190" i="21"/>
  <c r="K190" i="21" s="1"/>
  <c r="O336" i="21"/>
  <c r="L334" i="21"/>
  <c r="O334" i="21" s="1"/>
  <c r="N347" i="21"/>
  <c r="N345" i="21" s="1"/>
  <c r="N348" i="21"/>
  <c r="O348" i="21" s="1"/>
  <c r="K674" i="21"/>
  <c r="M122" i="18"/>
  <c r="P122" i="18" s="1"/>
  <c r="P154" i="19"/>
  <c r="K81" i="21"/>
  <c r="I77" i="21"/>
  <c r="I65" i="21" s="1"/>
  <c r="K65" i="21" s="1"/>
  <c r="L151" i="21"/>
  <c r="L149" i="21" s="1"/>
  <c r="L152" i="21"/>
  <c r="O152" i="21" s="1"/>
  <c r="O157" i="21"/>
  <c r="L155" i="21"/>
  <c r="O155" i="21" s="1"/>
  <c r="L217" i="21"/>
  <c r="O217" i="21" s="1"/>
  <c r="O306" i="21"/>
  <c r="L304" i="21"/>
  <c r="O304" i="21" s="1"/>
  <c r="L347" i="21"/>
  <c r="L345" i="21" s="1"/>
  <c r="K438" i="21"/>
  <c r="I434" i="21"/>
  <c r="I418" i="21" s="1"/>
  <c r="K418" i="21" s="1"/>
  <c r="N43" i="21"/>
  <c r="N41" i="21" s="1"/>
  <c r="O124" i="21"/>
  <c r="O154" i="21"/>
  <c r="P186" i="21"/>
  <c r="O266" i="21"/>
  <c r="P320" i="21"/>
  <c r="K370" i="21"/>
  <c r="K378" i="21"/>
  <c r="M404" i="21"/>
  <c r="P404" i="21" s="1"/>
  <c r="K726" i="21"/>
  <c r="K827" i="21"/>
  <c r="P184" i="21"/>
  <c r="L317" i="21"/>
  <c r="K362" i="21"/>
  <c r="L639" i="21"/>
  <c r="O639" i="21" s="1"/>
  <c r="K720" i="21"/>
  <c r="K723" i="21"/>
  <c r="K828" i="21"/>
  <c r="L68" i="21"/>
  <c r="L66" i="21" s="1"/>
  <c r="N317" i="21"/>
  <c r="N315" i="21" s="1"/>
  <c r="K725" i="20"/>
  <c r="N26" i="21"/>
  <c r="N16" i="21" s="1"/>
  <c r="P93" i="21"/>
  <c r="P170" i="21"/>
  <c r="L228" i="21"/>
  <c r="P303" i="21"/>
  <c r="K369" i="21"/>
  <c r="K372" i="21"/>
  <c r="L429" i="21"/>
  <c r="O429" i="21" s="1"/>
  <c r="K725" i="21"/>
  <c r="K823" i="21"/>
  <c r="K826" i="21"/>
  <c r="P56" i="21"/>
  <c r="O12" i="21"/>
  <c r="P133" i="21"/>
  <c r="I87" i="20"/>
  <c r="K87" i="20" s="1"/>
  <c r="L121" i="20"/>
  <c r="O121" i="20" s="1"/>
  <c r="J537" i="20"/>
  <c r="J522" i="20" s="1"/>
  <c r="N15" i="21"/>
  <c r="P22" i="21"/>
  <c r="M19" i="21"/>
  <c r="M12" i="21"/>
  <c r="N55" i="21"/>
  <c r="O58" i="21"/>
  <c r="P71" i="21"/>
  <c r="K225" i="21"/>
  <c r="L330" i="20"/>
  <c r="L328" i="20" s="1"/>
  <c r="K826" i="20"/>
  <c r="O19" i="21"/>
  <c r="L29" i="21"/>
  <c r="N34" i="21"/>
  <c r="L43" i="21"/>
  <c r="P58" i="21"/>
  <c r="K237" i="21"/>
  <c r="O336" i="20"/>
  <c r="O22" i="21"/>
  <c r="M43" i="21"/>
  <c r="P46" i="21"/>
  <c r="N68" i="21"/>
  <c r="N446" i="21"/>
  <c r="N444" i="21" s="1"/>
  <c r="N447" i="21"/>
  <c r="O447" i="21" s="1"/>
  <c r="K729" i="4"/>
  <c r="L231" i="18"/>
  <c r="I434" i="19"/>
  <c r="K434" i="19" s="1"/>
  <c r="K701" i="19"/>
  <c r="O58" i="20"/>
  <c r="N121" i="20"/>
  <c r="N119" i="20" s="1"/>
  <c r="L125" i="20"/>
  <c r="O125" i="20" s="1"/>
  <c r="L151" i="20"/>
  <c r="O151" i="20" s="1"/>
  <c r="L198" i="20"/>
  <c r="O198" i="20" s="1"/>
  <c r="O306" i="20"/>
  <c r="L23" i="21"/>
  <c r="L21" i="21" s="1"/>
  <c r="O25" i="21"/>
  <c r="P61" i="21"/>
  <c r="M59" i="21"/>
  <c r="O71" i="21"/>
  <c r="P351" i="21"/>
  <c r="P157" i="20"/>
  <c r="O189" i="20"/>
  <c r="I197" i="20"/>
  <c r="K197" i="20" s="1"/>
  <c r="K287" i="20"/>
  <c r="L408" i="20"/>
  <c r="O408" i="20" s="1"/>
  <c r="L15" i="21"/>
  <c r="M28" i="21"/>
  <c r="P28" i="21" s="1"/>
  <c r="M31" i="21"/>
  <c r="P31" i="21" s="1"/>
  <c r="N134" i="21"/>
  <c r="N132" i="21" s="1"/>
  <c r="J143" i="21"/>
  <c r="J131" i="21" s="1"/>
  <c r="K144" i="21"/>
  <c r="N33" i="21"/>
  <c r="M122" i="21"/>
  <c r="P122" i="21" s="1"/>
  <c r="M125" i="21"/>
  <c r="P125" i="21" s="1"/>
  <c r="M152" i="21"/>
  <c r="P152" i="21" s="1"/>
  <c r="M155" i="21"/>
  <c r="P155" i="21" s="1"/>
  <c r="M264" i="21"/>
  <c r="P264" i="21" s="1"/>
  <c r="M267" i="21"/>
  <c r="P267" i="21" s="1"/>
  <c r="N280" i="21"/>
  <c r="M301" i="21"/>
  <c r="M304" i="21"/>
  <c r="P304" i="21" s="1"/>
  <c r="P316" i="21"/>
  <c r="N321" i="21"/>
  <c r="J327" i="21"/>
  <c r="K327" i="21" s="1"/>
  <c r="O333" i="21"/>
  <c r="O350" i="21"/>
  <c r="L392" i="21"/>
  <c r="O392" i="21" s="1"/>
  <c r="M395" i="21"/>
  <c r="P395" i="21" s="1"/>
  <c r="M502" i="21"/>
  <c r="P502" i="21" s="1"/>
  <c r="L546" i="21"/>
  <c r="O546" i="21" s="1"/>
  <c r="M629" i="21"/>
  <c r="P629" i="21" s="1"/>
  <c r="M655" i="21"/>
  <c r="P655" i="21" s="1"/>
  <c r="O660" i="21"/>
  <c r="L688" i="21"/>
  <c r="O688" i="21" s="1"/>
  <c r="O690" i="21"/>
  <c r="L687" i="21"/>
  <c r="P755" i="21"/>
  <c r="P788" i="21"/>
  <c r="K824" i="21"/>
  <c r="I314" i="21"/>
  <c r="K314" i="21" s="1"/>
  <c r="K651" i="21"/>
  <c r="I628" i="21"/>
  <c r="K628" i="21" s="1"/>
  <c r="I143" i="21"/>
  <c r="L229" i="21"/>
  <c r="I233" i="21"/>
  <c r="K233" i="21" s="1"/>
  <c r="I248" i="21"/>
  <c r="K248" i="21" s="1"/>
  <c r="J275" i="21"/>
  <c r="O282" i="21"/>
  <c r="M317" i="21"/>
  <c r="P317" i="21" s="1"/>
  <c r="M334" i="21"/>
  <c r="P334" i="21" s="1"/>
  <c r="K374" i="21"/>
  <c r="L391" i="21"/>
  <c r="O391" i="21" s="1"/>
  <c r="N392" i="21"/>
  <c r="N419" i="21"/>
  <c r="L422" i="21"/>
  <c r="O422" i="21" s="1"/>
  <c r="L533" i="21"/>
  <c r="O533" i="21" s="1"/>
  <c r="K538" i="21"/>
  <c r="N631" i="21"/>
  <c r="K98" i="21"/>
  <c r="M331" i="21"/>
  <c r="K340" i="21"/>
  <c r="M348" i="21"/>
  <c r="P353" i="21"/>
  <c r="K365" i="21"/>
  <c r="M391" i="21"/>
  <c r="M419" i="21"/>
  <c r="O403" i="21"/>
  <c r="L421" i="21"/>
  <c r="M545" i="21"/>
  <c r="N544" i="21"/>
  <c r="O657" i="21"/>
  <c r="M685" i="21"/>
  <c r="P685" i="21" s="1"/>
  <c r="J721" i="21"/>
  <c r="K721" i="21" s="1"/>
  <c r="L805" i="21"/>
  <c r="O805" i="21" s="1"/>
  <c r="M330" i="21"/>
  <c r="M347" i="21"/>
  <c r="M345" i="21" s="1"/>
  <c r="M444" i="21"/>
  <c r="P444" i="21" s="1"/>
  <c r="O449" i="21"/>
  <c r="L502" i="21"/>
  <c r="O502" i="21" s="1"/>
  <c r="K594" i="21"/>
  <c r="L655" i="21"/>
  <c r="O655" i="21" s="1"/>
  <c r="K672" i="21"/>
  <c r="K673" i="21"/>
  <c r="K669" i="21"/>
  <c r="K800" i="21"/>
  <c r="M805" i="21"/>
  <c r="P805" i="21" s="1"/>
  <c r="J433" i="21"/>
  <c r="L55" i="20"/>
  <c r="L53" i="20" s="1"/>
  <c r="P282" i="20"/>
  <c r="M279" i="20"/>
  <c r="P279" i="20" s="1"/>
  <c r="O333" i="20"/>
  <c r="N331" i="20"/>
  <c r="O331" i="20" s="1"/>
  <c r="I434" i="20"/>
  <c r="K434" i="20" s="1"/>
  <c r="K576" i="20"/>
  <c r="I559" i="20"/>
  <c r="K559" i="20" s="1"/>
  <c r="L688" i="20"/>
  <c r="O688" i="20" s="1"/>
  <c r="O690" i="20"/>
  <c r="K224" i="16"/>
  <c r="K577" i="18"/>
  <c r="N56" i="20"/>
  <c r="O56" i="20" s="1"/>
  <c r="M90" i="20"/>
  <c r="M88" i="20" s="1"/>
  <c r="L469" i="20"/>
  <c r="L230" i="17"/>
  <c r="O285" i="19"/>
  <c r="N134" i="20"/>
  <c r="N132" i="20" s="1"/>
  <c r="K271" i="20"/>
  <c r="I260" i="20"/>
  <c r="K260" i="20" s="1"/>
  <c r="M280" i="20"/>
  <c r="P280" i="20" s="1"/>
  <c r="M283" i="20"/>
  <c r="P283" i="20" s="1"/>
  <c r="J433" i="20"/>
  <c r="I433" i="20"/>
  <c r="I417" i="20" s="1"/>
  <c r="K821" i="20"/>
  <c r="K98" i="19"/>
  <c r="I86" i="19"/>
  <c r="K86" i="19" s="1"/>
  <c r="N151" i="19"/>
  <c r="N149" i="19" s="1"/>
  <c r="M267" i="19"/>
  <c r="P267" i="19" s="1"/>
  <c r="O407" i="20"/>
  <c r="L405" i="20"/>
  <c r="O405" i="20" s="1"/>
  <c r="L470" i="20"/>
  <c r="O470" i="20" s="1"/>
  <c r="O472" i="20"/>
  <c r="K800" i="20"/>
  <c r="I785" i="20"/>
  <c r="K785" i="20" s="1"/>
  <c r="L94" i="17"/>
  <c r="O94" i="17" s="1"/>
  <c r="K309" i="18"/>
  <c r="I297" i="18"/>
  <c r="K297" i="18" s="1"/>
  <c r="L687" i="18"/>
  <c r="O687" i="18" s="1"/>
  <c r="N43" i="19"/>
  <c r="N41" i="19" s="1"/>
  <c r="P394" i="19"/>
  <c r="M392" i="19"/>
  <c r="P392" i="19" s="1"/>
  <c r="I148" i="20"/>
  <c r="K148" i="20" s="1"/>
  <c r="O173" i="20"/>
  <c r="L392" i="20"/>
  <c r="O392" i="20" s="1"/>
  <c r="O96" i="20"/>
  <c r="L94" i="20"/>
  <c r="O94" i="20" s="1"/>
  <c r="M138" i="20"/>
  <c r="P138" i="20" s="1"/>
  <c r="P140" i="20"/>
  <c r="N317" i="20"/>
  <c r="N315" i="20" s="1"/>
  <c r="N318" i="20"/>
  <c r="N55" i="20"/>
  <c r="N53" i="20" s="1"/>
  <c r="M330" i="20"/>
  <c r="M328" i="20" s="1"/>
  <c r="K340" i="20"/>
  <c r="M317" i="19"/>
  <c r="P317" i="19" s="1"/>
  <c r="L347" i="19"/>
  <c r="L152" i="20"/>
  <c r="O152" i="20" s="1"/>
  <c r="L26" i="20"/>
  <c r="L24" i="20" s="1"/>
  <c r="N330" i="20"/>
  <c r="N328" i="20" s="1"/>
  <c r="J327" i="20"/>
  <c r="K327" i="20" s="1"/>
  <c r="N391" i="20"/>
  <c r="N389" i="20" s="1"/>
  <c r="M404" i="20"/>
  <c r="P404" i="20" s="1"/>
  <c r="K825" i="20"/>
  <c r="K822" i="18"/>
  <c r="K828" i="18"/>
  <c r="P303" i="19"/>
  <c r="P44" i="20"/>
  <c r="O186" i="20"/>
  <c r="K338" i="20"/>
  <c r="L33" i="20"/>
  <c r="L31" i="20" s="1"/>
  <c r="L33" i="19"/>
  <c r="O33" i="19" s="1"/>
  <c r="L334" i="18"/>
  <c r="O334" i="18" s="1"/>
  <c r="K338" i="18"/>
  <c r="I314" i="19"/>
  <c r="K314" i="19" s="1"/>
  <c r="L36" i="20"/>
  <c r="O36" i="20" s="1"/>
  <c r="L43" i="20"/>
  <c r="O61" i="20"/>
  <c r="N69" i="20"/>
  <c r="M72" i="20"/>
  <c r="P72" i="20" s="1"/>
  <c r="I76" i="20"/>
  <c r="M134" i="20"/>
  <c r="P134" i="20" s="1"/>
  <c r="M151" i="20"/>
  <c r="P151" i="20" s="1"/>
  <c r="L155" i="20"/>
  <c r="O155" i="20" s="1"/>
  <c r="L167" i="20"/>
  <c r="L165" i="20" s="1"/>
  <c r="L183" i="20"/>
  <c r="L181" i="20" s="1"/>
  <c r="I190" i="20"/>
  <c r="K190" i="20" s="1"/>
  <c r="I208" i="20"/>
  <c r="K208" i="20" s="1"/>
  <c r="K244" i="20"/>
  <c r="O269" i="20"/>
  <c r="I275" i="20"/>
  <c r="K275" i="20" s="1"/>
  <c r="K288" i="20"/>
  <c r="J288" i="20"/>
  <c r="J275" i="20" s="1"/>
  <c r="L300" i="20"/>
  <c r="O303" i="20"/>
  <c r="L301" i="20"/>
  <c r="O301" i="20" s="1"/>
  <c r="N348" i="20"/>
  <c r="O348" i="20" s="1"/>
  <c r="O350" i="20"/>
  <c r="O397" i="20"/>
  <c r="L391" i="20"/>
  <c r="O391" i="20" s="1"/>
  <c r="K538" i="20"/>
  <c r="I654" i="20"/>
  <c r="K654" i="20" s="1"/>
  <c r="L229" i="17"/>
  <c r="L122" i="20"/>
  <c r="O122" i="20" s="1"/>
  <c r="L184" i="20"/>
  <c r="O184" i="20" s="1"/>
  <c r="O323" i="20"/>
  <c r="L317" i="20"/>
  <c r="O317" i="20" s="1"/>
  <c r="L321" i="20"/>
  <c r="O321" i="20" s="1"/>
  <c r="K673" i="20"/>
  <c r="L90" i="19"/>
  <c r="L88" i="19" s="1"/>
  <c r="I148" i="19"/>
  <c r="K148" i="19" s="1"/>
  <c r="O266" i="19"/>
  <c r="L304" i="19"/>
  <c r="O304" i="19" s="1"/>
  <c r="M330" i="19"/>
  <c r="M328" i="19" s="1"/>
  <c r="N43" i="20"/>
  <c r="N41" i="20" s="1"/>
  <c r="L90" i="20"/>
  <c r="L88" i="20" s="1"/>
  <c r="O124" i="20"/>
  <c r="K146" i="20"/>
  <c r="O157" i="20"/>
  <c r="L229" i="20"/>
  <c r="N263" i="20"/>
  <c r="N261" i="20" s="1"/>
  <c r="N392" i="20"/>
  <c r="N404" i="20"/>
  <c r="N402" i="20" s="1"/>
  <c r="I628" i="20"/>
  <c r="K628" i="20" s="1"/>
  <c r="K651" i="20"/>
  <c r="L655" i="20"/>
  <c r="K669" i="20"/>
  <c r="P264" i="20"/>
  <c r="N167" i="15"/>
  <c r="N165" i="15" s="1"/>
  <c r="M121" i="18"/>
  <c r="M119" i="18" s="1"/>
  <c r="L391" i="18"/>
  <c r="O391" i="18" s="1"/>
  <c r="N44" i="19"/>
  <c r="P44" i="19" s="1"/>
  <c r="L47" i="19"/>
  <c r="O47" i="19" s="1"/>
  <c r="O140" i="19"/>
  <c r="O154" i="19"/>
  <c r="M280" i="19"/>
  <c r="P280" i="19" s="1"/>
  <c r="M347" i="19"/>
  <c r="M345" i="19" s="1"/>
  <c r="O557" i="19"/>
  <c r="N26" i="20"/>
  <c r="N16" i="20" s="1"/>
  <c r="N14" i="20" s="1"/>
  <c r="J143" i="20"/>
  <c r="J131" i="20" s="1"/>
  <c r="N183" i="20"/>
  <c r="N181" i="20" s="1"/>
  <c r="I216" i="20"/>
  <c r="K216" i="20" s="1"/>
  <c r="L217" i="20"/>
  <c r="O217" i="20" s="1"/>
  <c r="K309" i="20"/>
  <c r="I297" i="20"/>
  <c r="K297" i="20" s="1"/>
  <c r="O353" i="20"/>
  <c r="L347" i="20"/>
  <c r="L345" i="20" s="1"/>
  <c r="K700" i="20"/>
  <c r="K827" i="20"/>
  <c r="O424" i="20"/>
  <c r="O660" i="20"/>
  <c r="J722" i="20"/>
  <c r="K722" i="20" s="1"/>
  <c r="K822" i="20"/>
  <c r="N279" i="20"/>
  <c r="N277" i="20" s="1"/>
  <c r="K828" i="20"/>
  <c r="P266" i="20"/>
  <c r="N283" i="20"/>
  <c r="J364" i="20"/>
  <c r="K537" i="20"/>
  <c r="L687" i="20"/>
  <c r="O687" i="20" s="1"/>
  <c r="J721" i="20"/>
  <c r="K721" i="20" s="1"/>
  <c r="P124" i="19"/>
  <c r="M122" i="19"/>
  <c r="P122" i="19" s="1"/>
  <c r="O336" i="19"/>
  <c r="L334" i="19"/>
  <c r="O334" i="19" s="1"/>
  <c r="P25" i="20"/>
  <c r="M15" i="20"/>
  <c r="P133" i="20"/>
  <c r="N168" i="20"/>
  <c r="O168" i="20" s="1"/>
  <c r="N167" i="20"/>
  <c r="O170" i="20"/>
  <c r="M321" i="20"/>
  <c r="P321" i="20" s="1"/>
  <c r="P323" i="20"/>
  <c r="M317" i="20"/>
  <c r="O807" i="20"/>
  <c r="L805" i="20"/>
  <c r="O805" i="20" s="1"/>
  <c r="I276" i="18"/>
  <c r="K276" i="18" s="1"/>
  <c r="N279" i="18"/>
  <c r="N277" i="18" s="1"/>
  <c r="M321" i="18"/>
  <c r="P321" i="18" s="1"/>
  <c r="O46" i="19"/>
  <c r="L94" i="19"/>
  <c r="O94" i="19" s="1"/>
  <c r="L121" i="19"/>
  <c r="O121" i="19" s="1"/>
  <c r="M283" i="19"/>
  <c r="P283" i="19" s="1"/>
  <c r="L330" i="19"/>
  <c r="L328" i="19" s="1"/>
  <c r="M19" i="20"/>
  <c r="N30" i="20"/>
  <c r="K98" i="20"/>
  <c r="I86" i="20"/>
  <c r="K86" i="20" s="1"/>
  <c r="N227" i="20"/>
  <c r="K708" i="17"/>
  <c r="L68" i="18"/>
  <c r="L66" i="18" s="1"/>
  <c r="K340" i="18"/>
  <c r="P46" i="19"/>
  <c r="I87" i="19"/>
  <c r="K87" i="19" s="1"/>
  <c r="N121" i="19"/>
  <c r="N119" i="19" s="1"/>
  <c r="K359" i="19"/>
  <c r="K362" i="19"/>
  <c r="L135" i="20"/>
  <c r="O135" i="20" s="1"/>
  <c r="O137" i="20"/>
  <c r="L134" i="20"/>
  <c r="O134" i="20" s="1"/>
  <c r="L23" i="20"/>
  <c r="P353" i="20"/>
  <c r="M351" i="20"/>
  <c r="P351" i="20" s="1"/>
  <c r="M347" i="20"/>
  <c r="M321" i="17"/>
  <c r="P321" i="17" s="1"/>
  <c r="P32" i="20"/>
  <c r="M29" i="20"/>
  <c r="M31" i="20"/>
  <c r="P31" i="20" s="1"/>
  <c r="M43" i="20"/>
  <c r="P46" i="20"/>
  <c r="M23" i="20"/>
  <c r="K174" i="20"/>
  <c r="I164" i="20"/>
  <c r="K164" i="20" s="1"/>
  <c r="I297" i="17"/>
  <c r="K297" i="17" s="1"/>
  <c r="P333" i="18"/>
  <c r="N28" i="20"/>
  <c r="M68" i="20"/>
  <c r="P68" i="20" s="1"/>
  <c r="P71" i="20"/>
  <c r="N91" i="20"/>
  <c r="O91" i="20" s="1"/>
  <c r="N90" i="20"/>
  <c r="O93" i="20"/>
  <c r="P182" i="20"/>
  <c r="M187" i="20"/>
  <c r="P187" i="20" s="1"/>
  <c r="P189" i="20"/>
  <c r="M26" i="20"/>
  <c r="M183" i="20"/>
  <c r="O266" i="20"/>
  <c r="L263" i="20"/>
  <c r="O278" i="20"/>
  <c r="P299" i="20"/>
  <c r="K628" i="17"/>
  <c r="M121" i="19"/>
  <c r="P121" i="19" s="1"/>
  <c r="N134" i="19"/>
  <c r="N132" i="19" s="1"/>
  <c r="M138" i="19"/>
  <c r="P138" i="19" s="1"/>
  <c r="M12" i="20"/>
  <c r="M69" i="20"/>
  <c r="P69" i="20" s="1"/>
  <c r="L249" i="20"/>
  <c r="O249" i="20" s="1"/>
  <c r="L231" i="20"/>
  <c r="L264" i="20"/>
  <c r="O264" i="20" s="1"/>
  <c r="K255" i="20"/>
  <c r="I248" i="20"/>
  <c r="I233" i="20"/>
  <c r="K233" i="20" s="1"/>
  <c r="P278" i="20"/>
  <c r="L280" i="20"/>
  <c r="O280" i="20" s="1"/>
  <c r="O282" i="20"/>
  <c r="P336" i="20"/>
  <c r="M334" i="20"/>
  <c r="P334" i="20" s="1"/>
  <c r="L454" i="20"/>
  <c r="O454" i="20" s="1"/>
  <c r="O456" i="20"/>
  <c r="L446" i="20"/>
  <c r="O446" i="20" s="1"/>
  <c r="O788" i="20"/>
  <c r="L786" i="20"/>
  <c r="O786" i="20" s="1"/>
  <c r="K372" i="19"/>
  <c r="L546" i="19"/>
  <c r="O546" i="19" s="1"/>
  <c r="K825" i="19"/>
  <c r="L9" i="20"/>
  <c r="L15" i="20"/>
  <c r="L29" i="20"/>
  <c r="M30" i="20"/>
  <c r="P30" i="20" s="1"/>
  <c r="N31" i="20"/>
  <c r="L47" i="20"/>
  <c r="O47" i="20" s="1"/>
  <c r="O49" i="20"/>
  <c r="P61" i="20"/>
  <c r="L72" i="20"/>
  <c r="O72" i="20" s="1"/>
  <c r="O74" i="20"/>
  <c r="I77" i="20"/>
  <c r="K82" i="20"/>
  <c r="P127" i="20"/>
  <c r="P154" i="20"/>
  <c r="M184" i="20"/>
  <c r="P184" i="20" s="1"/>
  <c r="P186" i="20"/>
  <c r="L238" i="20"/>
  <c r="O316" i="20"/>
  <c r="O403" i="20"/>
  <c r="P739" i="20"/>
  <c r="M737" i="20"/>
  <c r="P737" i="20" s="1"/>
  <c r="L217" i="19"/>
  <c r="O217" i="19" s="1"/>
  <c r="K355" i="19"/>
  <c r="L391" i="19"/>
  <c r="O391" i="19" s="1"/>
  <c r="L469" i="19"/>
  <c r="O469" i="19" s="1"/>
  <c r="O791" i="19"/>
  <c r="K826" i="19"/>
  <c r="N23" i="20"/>
  <c r="M55" i="20"/>
  <c r="M94" i="20"/>
  <c r="P94" i="20" s="1"/>
  <c r="P96" i="20"/>
  <c r="M121" i="20"/>
  <c r="P137" i="20"/>
  <c r="L138" i="20"/>
  <c r="O138" i="20" s="1"/>
  <c r="O140" i="20"/>
  <c r="M171" i="20"/>
  <c r="P171" i="20" s="1"/>
  <c r="P173" i="20"/>
  <c r="L228" i="20"/>
  <c r="M263" i="20"/>
  <c r="K325" i="20"/>
  <c r="I314" i="20"/>
  <c r="K314" i="20" s="1"/>
  <c r="L429" i="20"/>
  <c r="O429" i="20" s="1"/>
  <c r="O431" i="20"/>
  <c r="L421" i="20"/>
  <c r="O421" i="20" s="1"/>
  <c r="L408" i="19"/>
  <c r="O408" i="19" s="1"/>
  <c r="K725" i="19"/>
  <c r="J722" i="19"/>
  <c r="K722" i="19" s="1"/>
  <c r="P58" i="20"/>
  <c r="P124" i="20"/>
  <c r="K145" i="20"/>
  <c r="I143" i="20"/>
  <c r="O150" i="20"/>
  <c r="L230" i="20"/>
  <c r="O262" i="20"/>
  <c r="L279" i="20"/>
  <c r="O279" i="20" s="1"/>
  <c r="L283" i="20"/>
  <c r="O283" i="20" s="1"/>
  <c r="O285" i="20"/>
  <c r="M304" i="20"/>
  <c r="P304" i="20" s="1"/>
  <c r="P306" i="20"/>
  <c r="M318" i="20"/>
  <c r="P318" i="20" s="1"/>
  <c r="P320" i="20"/>
  <c r="P394" i="20"/>
  <c r="M392" i="20"/>
  <c r="P392" i="20" s="1"/>
  <c r="M391" i="20"/>
  <c r="L526" i="20"/>
  <c r="O526" i="20" s="1"/>
  <c r="O528" i="20"/>
  <c r="L525" i="20"/>
  <c r="N544" i="20"/>
  <c r="N391" i="19"/>
  <c r="N389" i="19" s="1"/>
  <c r="P42" i="20"/>
  <c r="L44" i="20"/>
  <c r="O44" i="20" s="1"/>
  <c r="O46" i="20"/>
  <c r="P67" i="20"/>
  <c r="L69" i="20"/>
  <c r="O69" i="20" s="1"/>
  <c r="O71" i="20"/>
  <c r="M91" i="20"/>
  <c r="P93" i="20"/>
  <c r="M168" i="20"/>
  <c r="P170" i="20"/>
  <c r="L209" i="20"/>
  <c r="O209" i="20" s="1"/>
  <c r="O329" i="20"/>
  <c r="O346" i="20"/>
  <c r="M405" i="20"/>
  <c r="P405" i="20" s="1"/>
  <c r="P407" i="20"/>
  <c r="N419" i="20"/>
  <c r="I443" i="20"/>
  <c r="K443" i="20" s="1"/>
  <c r="N444" i="20"/>
  <c r="P545" i="20"/>
  <c r="M544" i="20"/>
  <c r="P544" i="20" s="1"/>
  <c r="O738" i="20"/>
  <c r="L737" i="20"/>
  <c r="O737" i="20" s="1"/>
  <c r="N770" i="20"/>
  <c r="P397" i="20"/>
  <c r="M395" i="20"/>
  <c r="P395" i="20" s="1"/>
  <c r="P756" i="20"/>
  <c r="M754" i="20"/>
  <c r="P754" i="20" s="1"/>
  <c r="L789" i="20"/>
  <c r="O789" i="20" s="1"/>
  <c r="O791" i="20"/>
  <c r="N807" i="20"/>
  <c r="N805" i="20" s="1"/>
  <c r="N808" i="20"/>
  <c r="M301" i="20"/>
  <c r="P301" i="20" s="1"/>
  <c r="P303" i="20"/>
  <c r="P333" i="20"/>
  <c r="M331" i="20"/>
  <c r="P350" i="20"/>
  <c r="M348" i="20"/>
  <c r="O390" i="20"/>
  <c r="P419" i="20"/>
  <c r="L639" i="20"/>
  <c r="O639" i="20" s="1"/>
  <c r="O641" i="20"/>
  <c r="L631" i="20"/>
  <c r="O631" i="20" s="1"/>
  <c r="N737" i="20"/>
  <c r="O755" i="20"/>
  <c r="L754" i="20"/>
  <c r="O754" i="20" s="1"/>
  <c r="M408" i="20"/>
  <c r="P408" i="20" s="1"/>
  <c r="P410" i="20"/>
  <c r="P772" i="20"/>
  <c r="M770" i="20"/>
  <c r="P770" i="20" s="1"/>
  <c r="O771" i="20"/>
  <c r="L770" i="20"/>
  <c r="O770" i="20" s="1"/>
  <c r="P468" i="20"/>
  <c r="P503" i="20"/>
  <c r="O656" i="20"/>
  <c r="K674" i="20"/>
  <c r="N421" i="20"/>
  <c r="I442" i="20"/>
  <c r="K442" i="20" s="1"/>
  <c r="M523" i="20"/>
  <c r="P523" i="20" s="1"/>
  <c r="K675" i="20"/>
  <c r="M685" i="20"/>
  <c r="P685" i="20" s="1"/>
  <c r="M786" i="20"/>
  <c r="P786" i="20" s="1"/>
  <c r="M805" i="20"/>
  <c r="P805" i="20" s="1"/>
  <c r="K593" i="20"/>
  <c r="M629" i="20"/>
  <c r="P629" i="20" s="1"/>
  <c r="N657" i="20"/>
  <c r="O657" i="20" s="1"/>
  <c r="N318" i="17"/>
  <c r="N317" i="17"/>
  <c r="N315" i="17" s="1"/>
  <c r="P74" i="18"/>
  <c r="M72" i="18"/>
  <c r="P72" i="18" s="1"/>
  <c r="N404" i="19"/>
  <c r="N402" i="19" s="1"/>
  <c r="N408" i="19"/>
  <c r="L231" i="14"/>
  <c r="P49" i="18"/>
  <c r="M47" i="18"/>
  <c r="P47" i="18" s="1"/>
  <c r="M43" i="18"/>
  <c r="M41" i="18" s="1"/>
  <c r="I174" i="19"/>
  <c r="I164" i="19" s="1"/>
  <c r="K164" i="19" s="1"/>
  <c r="K176" i="19"/>
  <c r="L300" i="19"/>
  <c r="L298" i="19" s="1"/>
  <c r="L301" i="19"/>
  <c r="K435" i="19"/>
  <c r="J433" i="19"/>
  <c r="J417" i="19" s="1"/>
  <c r="I433" i="19"/>
  <c r="N69" i="18"/>
  <c r="N68" i="18"/>
  <c r="M135" i="18"/>
  <c r="P135" i="18" s="1"/>
  <c r="O71" i="19"/>
  <c r="L69" i="19"/>
  <c r="O69" i="19" s="1"/>
  <c r="P397" i="19"/>
  <c r="M395" i="19"/>
  <c r="P395" i="19" s="1"/>
  <c r="M391" i="19"/>
  <c r="P391" i="19" s="1"/>
  <c r="K116" i="18"/>
  <c r="I112" i="18"/>
  <c r="K112" i="18" s="1"/>
  <c r="O323" i="18"/>
  <c r="L321" i="18"/>
  <c r="O321" i="18" s="1"/>
  <c r="K193" i="19"/>
  <c r="I190" i="19"/>
  <c r="K190" i="19" s="1"/>
  <c r="N279" i="19"/>
  <c r="N277" i="19" s="1"/>
  <c r="N283" i="19"/>
  <c r="P49" i="19"/>
  <c r="M47" i="19"/>
  <c r="P47" i="19" s="1"/>
  <c r="O431" i="19"/>
  <c r="L429" i="19"/>
  <c r="O429" i="19" s="1"/>
  <c r="L36" i="19"/>
  <c r="M321" i="16"/>
  <c r="P321" i="16" s="1"/>
  <c r="O410" i="17"/>
  <c r="L408" i="17"/>
  <c r="O408" i="17" s="1"/>
  <c r="O170" i="18"/>
  <c r="N168" i="18"/>
  <c r="P168" i="18" s="1"/>
  <c r="N318" i="18"/>
  <c r="P318" i="18" s="1"/>
  <c r="N317" i="18"/>
  <c r="N315" i="18" s="1"/>
  <c r="N187" i="19"/>
  <c r="N183" i="19"/>
  <c r="N181" i="19" s="1"/>
  <c r="O269" i="19"/>
  <c r="L263" i="19"/>
  <c r="L261" i="19" s="1"/>
  <c r="L267" i="19"/>
  <c r="O267" i="19" s="1"/>
  <c r="N347" i="19"/>
  <c r="N345" i="19" s="1"/>
  <c r="L36" i="18"/>
  <c r="O36" i="18" s="1"/>
  <c r="M55" i="19"/>
  <c r="M53" i="19" s="1"/>
  <c r="L72" i="19"/>
  <c r="O72" i="19" s="1"/>
  <c r="M125" i="19"/>
  <c r="P125" i="19" s="1"/>
  <c r="N317" i="19"/>
  <c r="N315" i="19" s="1"/>
  <c r="L470" i="19"/>
  <c r="O470" i="19" s="1"/>
  <c r="L631" i="19"/>
  <c r="O631" i="19" s="1"/>
  <c r="O641" i="19"/>
  <c r="M300" i="16"/>
  <c r="M298" i="16" s="1"/>
  <c r="N90" i="18"/>
  <c r="N88" i="18" s="1"/>
  <c r="O348" i="18"/>
  <c r="L44" i="19"/>
  <c r="N55" i="19"/>
  <c r="N53" i="19" s="1"/>
  <c r="M72" i="19"/>
  <c r="P72" i="19" s="1"/>
  <c r="P127" i="19"/>
  <c r="M134" i="19"/>
  <c r="P134" i="19" s="1"/>
  <c r="K146" i="19"/>
  <c r="M151" i="19"/>
  <c r="I276" i="19"/>
  <c r="K276" i="19" s="1"/>
  <c r="M304" i="19"/>
  <c r="P304" i="19" s="1"/>
  <c r="O472" i="19"/>
  <c r="L231" i="16"/>
  <c r="I275" i="16"/>
  <c r="M59" i="17"/>
  <c r="P59" i="17" s="1"/>
  <c r="I208" i="17"/>
  <c r="K208" i="17" s="1"/>
  <c r="I314" i="18"/>
  <c r="K314" i="18" s="1"/>
  <c r="M56" i="19"/>
  <c r="L238" i="19"/>
  <c r="O238" i="19" s="1"/>
  <c r="L229" i="19"/>
  <c r="P350" i="19"/>
  <c r="L404" i="19"/>
  <c r="O404" i="19" s="1"/>
  <c r="K647" i="19"/>
  <c r="L788" i="19"/>
  <c r="O788" i="19" s="1"/>
  <c r="K824" i="19"/>
  <c r="L317" i="14"/>
  <c r="O317" i="14" s="1"/>
  <c r="K821" i="16"/>
  <c r="K824" i="16"/>
  <c r="K827" i="16"/>
  <c r="L167" i="17"/>
  <c r="L165" i="17" s="1"/>
  <c r="M347" i="17"/>
  <c r="M345" i="17" s="1"/>
  <c r="L135" i="18"/>
  <c r="O135" i="18" s="1"/>
  <c r="L249" i="18"/>
  <c r="O249" i="18" s="1"/>
  <c r="M90" i="19"/>
  <c r="M88" i="19" s="1"/>
  <c r="J143" i="19"/>
  <c r="J131" i="19" s="1"/>
  <c r="P189" i="19"/>
  <c r="L209" i="19"/>
  <c r="O209" i="19" s="1"/>
  <c r="L230" i="19"/>
  <c r="L249" i="19"/>
  <c r="O249" i="19" s="1"/>
  <c r="P266" i="19"/>
  <c r="K338" i="19"/>
  <c r="J327" i="19"/>
  <c r="K327" i="19" s="1"/>
  <c r="I442" i="19"/>
  <c r="K442" i="19" s="1"/>
  <c r="J537" i="19"/>
  <c r="J522" i="19" s="1"/>
  <c r="J364" i="19"/>
  <c r="K649" i="17"/>
  <c r="M94" i="18"/>
  <c r="P94" i="18" s="1"/>
  <c r="L209" i="18"/>
  <c r="O209" i="18" s="1"/>
  <c r="N263" i="18"/>
  <c r="N261" i="18" s="1"/>
  <c r="O479" i="18"/>
  <c r="L23" i="19"/>
  <c r="N56" i="19"/>
  <c r="M59" i="19"/>
  <c r="P59" i="19" s="1"/>
  <c r="L91" i="19"/>
  <c r="O91" i="19" s="1"/>
  <c r="K144" i="19"/>
  <c r="N168" i="19"/>
  <c r="P168" i="19" s="1"/>
  <c r="P170" i="19"/>
  <c r="P184" i="19"/>
  <c r="K215" i="19"/>
  <c r="K244" i="19"/>
  <c r="K288" i="19"/>
  <c r="K309" i="19"/>
  <c r="N351" i="19"/>
  <c r="O351" i="19" s="1"/>
  <c r="K374" i="19"/>
  <c r="K438" i="19"/>
  <c r="K823" i="19"/>
  <c r="I297" i="16"/>
  <c r="K297" i="16" s="1"/>
  <c r="M155" i="17"/>
  <c r="P155" i="17" s="1"/>
  <c r="N44" i="18"/>
  <c r="P44" i="18" s="1"/>
  <c r="L47" i="18"/>
  <c r="O47" i="18" s="1"/>
  <c r="I76" i="18"/>
  <c r="I64" i="18" s="1"/>
  <c r="K64" i="18" s="1"/>
  <c r="M23" i="19"/>
  <c r="M21" i="19" s="1"/>
  <c r="L68" i="19"/>
  <c r="M91" i="19"/>
  <c r="P91" i="19" s="1"/>
  <c r="P93" i="19"/>
  <c r="P96" i="19"/>
  <c r="M152" i="19"/>
  <c r="P152" i="19" s="1"/>
  <c r="L167" i="19"/>
  <c r="L171" i="19"/>
  <c r="O171" i="19" s="1"/>
  <c r="L184" i="19"/>
  <c r="O184" i="19" s="1"/>
  <c r="I216" i="19"/>
  <c r="K216" i="19" s="1"/>
  <c r="K255" i="19"/>
  <c r="P323" i="19"/>
  <c r="M321" i="19"/>
  <c r="P321" i="19" s="1"/>
  <c r="K360" i="19"/>
  <c r="K379" i="19"/>
  <c r="L395" i="19"/>
  <c r="O395" i="19" s="1"/>
  <c r="M408" i="19"/>
  <c r="P408" i="19" s="1"/>
  <c r="M404" i="19"/>
  <c r="P404" i="19" s="1"/>
  <c r="O449" i="19"/>
  <c r="L446" i="19"/>
  <c r="L444" i="19" s="1"/>
  <c r="O444" i="19" s="1"/>
  <c r="N26" i="18"/>
  <c r="N16" i="18" s="1"/>
  <c r="N14" i="18" s="1"/>
  <c r="N23" i="19"/>
  <c r="L26" i="19"/>
  <c r="L43" i="19"/>
  <c r="L55" i="19"/>
  <c r="L53" i="19" s="1"/>
  <c r="M68" i="19"/>
  <c r="I76" i="19"/>
  <c r="I64" i="19" s="1"/>
  <c r="K64" i="19" s="1"/>
  <c r="I112" i="19"/>
  <c r="K112" i="19" s="1"/>
  <c r="M135" i="19"/>
  <c r="P135" i="19" s="1"/>
  <c r="I143" i="19"/>
  <c r="M155" i="19"/>
  <c r="P155" i="19" s="1"/>
  <c r="M167" i="19"/>
  <c r="P173" i="19"/>
  <c r="P186" i="19"/>
  <c r="I233" i="19"/>
  <c r="K233" i="19" s="1"/>
  <c r="L228" i="19"/>
  <c r="L279" i="19"/>
  <c r="O279" i="19" s="1"/>
  <c r="L317" i="19"/>
  <c r="P320" i="19"/>
  <c r="M318" i="19"/>
  <c r="P318" i="19" s="1"/>
  <c r="P331" i="19"/>
  <c r="N330" i="19"/>
  <c r="N328" i="19" s="1"/>
  <c r="O350" i="19"/>
  <c r="L348" i="19"/>
  <c r="O348" i="19" s="1"/>
  <c r="K651" i="19"/>
  <c r="K720" i="19"/>
  <c r="K723" i="19"/>
  <c r="J721" i="19"/>
  <c r="K721" i="19" s="1"/>
  <c r="M26" i="19"/>
  <c r="M43" i="19"/>
  <c r="O58" i="19"/>
  <c r="N68" i="19"/>
  <c r="N66" i="19" s="1"/>
  <c r="N90" i="19"/>
  <c r="N88" i="19" s="1"/>
  <c r="O137" i="19"/>
  <c r="O170" i="19"/>
  <c r="L183" i="19"/>
  <c r="L187" i="19"/>
  <c r="O187" i="19" s="1"/>
  <c r="M279" i="19"/>
  <c r="O282" i="19"/>
  <c r="M300" i="19"/>
  <c r="M298" i="19" s="1"/>
  <c r="K462" i="19"/>
  <c r="I443" i="19"/>
  <c r="K443" i="19" s="1"/>
  <c r="O528" i="19"/>
  <c r="L525" i="19"/>
  <c r="O525" i="19" s="1"/>
  <c r="I522" i="19"/>
  <c r="K522" i="19" s="1"/>
  <c r="K537" i="19"/>
  <c r="K672" i="19"/>
  <c r="I654" i="19"/>
  <c r="K654" i="19" s="1"/>
  <c r="O46" i="18"/>
  <c r="P93" i="18"/>
  <c r="L347" i="18"/>
  <c r="L345" i="18" s="1"/>
  <c r="K359" i="18"/>
  <c r="N26" i="19"/>
  <c r="N16" i="19" s="1"/>
  <c r="N14" i="19" s="1"/>
  <c r="P58" i="19"/>
  <c r="L134" i="19"/>
  <c r="L151" i="19"/>
  <c r="M183" i="19"/>
  <c r="L198" i="19"/>
  <c r="O198" i="19" s="1"/>
  <c r="L231" i="19"/>
  <c r="I260" i="19"/>
  <c r="K260" i="19" s="1"/>
  <c r="N300" i="19"/>
  <c r="N298" i="19" s="1"/>
  <c r="M334" i="19"/>
  <c r="P334" i="19" s="1"/>
  <c r="O424" i="19"/>
  <c r="L421" i="19"/>
  <c r="O421" i="19" s="1"/>
  <c r="K649" i="19"/>
  <c r="O333" i="19"/>
  <c r="O353" i="19"/>
  <c r="K369" i="19"/>
  <c r="K821" i="19"/>
  <c r="K827" i="19"/>
  <c r="O331" i="19"/>
  <c r="P333" i="19"/>
  <c r="K340" i="19"/>
  <c r="P353" i="19"/>
  <c r="K365" i="19"/>
  <c r="K370" i="19"/>
  <c r="K378" i="19"/>
  <c r="K381" i="19"/>
  <c r="K594" i="19"/>
  <c r="K822" i="19"/>
  <c r="K828" i="19"/>
  <c r="N28" i="19"/>
  <c r="K823" i="17"/>
  <c r="O29" i="19"/>
  <c r="L56" i="19"/>
  <c r="L59" i="19"/>
  <c r="O59" i="19" s="1"/>
  <c r="I77" i="19"/>
  <c r="O93" i="19"/>
  <c r="P120" i="19"/>
  <c r="L122" i="19"/>
  <c r="O122" i="19" s="1"/>
  <c r="L125" i="19"/>
  <c r="O125" i="19" s="1"/>
  <c r="L152" i="19"/>
  <c r="O152" i="19" s="1"/>
  <c r="L155" i="19"/>
  <c r="O155" i="19" s="1"/>
  <c r="I226" i="19"/>
  <c r="N264" i="19"/>
  <c r="O264" i="19" s="1"/>
  <c r="I275" i="19"/>
  <c r="K275" i="19" s="1"/>
  <c r="N301" i="19"/>
  <c r="K592" i="19"/>
  <c r="O634" i="18"/>
  <c r="M31" i="19"/>
  <c r="P31" i="19" s="1"/>
  <c r="K80" i="19"/>
  <c r="K116" i="19"/>
  <c r="O303" i="19"/>
  <c r="P280" i="18"/>
  <c r="N31" i="19"/>
  <c r="M304" i="18"/>
  <c r="P304" i="18" s="1"/>
  <c r="O320" i="18"/>
  <c r="K649" i="18"/>
  <c r="M15" i="19"/>
  <c r="M9" i="19" s="1"/>
  <c r="M29" i="19"/>
  <c r="N629" i="19"/>
  <c r="N414" i="19" s="1"/>
  <c r="P320" i="18"/>
  <c r="K378" i="18"/>
  <c r="J537" i="18"/>
  <c r="K537" i="18" s="1"/>
  <c r="I197" i="19"/>
  <c r="K197" i="19" s="1"/>
  <c r="K593" i="19"/>
  <c r="J592" i="19"/>
  <c r="P346" i="19"/>
  <c r="I364" i="19"/>
  <c r="O407" i="19"/>
  <c r="L422" i="19"/>
  <c r="O422" i="19" s="1"/>
  <c r="L447" i="19"/>
  <c r="O447" i="19" s="1"/>
  <c r="L477" i="19"/>
  <c r="O477" i="19" s="1"/>
  <c r="M545" i="19"/>
  <c r="O549" i="19"/>
  <c r="I559" i="19"/>
  <c r="I628" i="19"/>
  <c r="K628" i="19" s="1"/>
  <c r="L632" i="19"/>
  <c r="O632" i="19" s="1"/>
  <c r="M655" i="19"/>
  <c r="P655" i="19" s="1"/>
  <c r="K669" i="19"/>
  <c r="K673" i="19"/>
  <c r="L687" i="19"/>
  <c r="O690" i="19"/>
  <c r="M348" i="19"/>
  <c r="P348" i="19" s="1"/>
  <c r="M351" i="19"/>
  <c r="O403" i="19"/>
  <c r="P407" i="19"/>
  <c r="P410" i="19"/>
  <c r="P419" i="19"/>
  <c r="P468" i="19"/>
  <c r="P503" i="19"/>
  <c r="O656" i="19"/>
  <c r="K674" i="19"/>
  <c r="O320" i="19"/>
  <c r="O323" i="19"/>
  <c r="K539" i="19"/>
  <c r="L658" i="19"/>
  <c r="O658" i="19" s="1"/>
  <c r="M737" i="19"/>
  <c r="P737" i="19" s="1"/>
  <c r="M754" i="19"/>
  <c r="P754" i="19" s="1"/>
  <c r="M770" i="19"/>
  <c r="P770" i="19" s="1"/>
  <c r="M523" i="19"/>
  <c r="P523" i="19" s="1"/>
  <c r="K675" i="19"/>
  <c r="M786" i="19"/>
  <c r="P786" i="19" s="1"/>
  <c r="K800" i="19"/>
  <c r="L183" i="18"/>
  <c r="L181" i="18" s="1"/>
  <c r="L151" i="16"/>
  <c r="L149" i="16" s="1"/>
  <c r="N183" i="16"/>
  <c r="N181" i="16" s="1"/>
  <c r="N167" i="17"/>
  <c r="N165" i="17" s="1"/>
  <c r="P46" i="18"/>
  <c r="O71" i="18"/>
  <c r="M151" i="18"/>
  <c r="P151" i="18" s="1"/>
  <c r="M171" i="18"/>
  <c r="P171" i="18" s="1"/>
  <c r="M267" i="15"/>
  <c r="P267" i="15" s="1"/>
  <c r="M47" i="17"/>
  <c r="P47" i="17" s="1"/>
  <c r="N121" i="17"/>
  <c r="N119" i="17" s="1"/>
  <c r="L321" i="17"/>
  <c r="O321" i="17" s="1"/>
  <c r="O397" i="17"/>
  <c r="O61" i="18"/>
  <c r="P71" i="18"/>
  <c r="K98" i="18"/>
  <c r="K146" i="18"/>
  <c r="P154" i="18"/>
  <c r="O186" i="18"/>
  <c r="M405" i="18"/>
  <c r="P405" i="18" s="1"/>
  <c r="L408" i="18"/>
  <c r="O408" i="18" s="1"/>
  <c r="L547" i="18"/>
  <c r="O547" i="18" s="1"/>
  <c r="M264" i="17"/>
  <c r="P264" i="17" s="1"/>
  <c r="N263" i="17"/>
  <c r="N261" i="17" s="1"/>
  <c r="K381" i="17"/>
  <c r="K826" i="17"/>
  <c r="N23" i="18"/>
  <c r="L138" i="18"/>
  <c r="O138" i="18" s="1"/>
  <c r="L155" i="18"/>
  <c r="O155" i="18" s="1"/>
  <c r="L187" i="18"/>
  <c r="O187" i="18" s="1"/>
  <c r="K369" i="18"/>
  <c r="K372" i="18"/>
  <c r="L392" i="18"/>
  <c r="O392" i="18" s="1"/>
  <c r="L395" i="18"/>
  <c r="O395" i="18" s="1"/>
  <c r="N151" i="17"/>
  <c r="N149" i="17" s="1"/>
  <c r="L72" i="18"/>
  <c r="O72" i="18" s="1"/>
  <c r="M138" i="18"/>
  <c r="P138" i="18" s="1"/>
  <c r="L330" i="18"/>
  <c r="L328" i="18" s="1"/>
  <c r="O333" i="18"/>
  <c r="P350" i="18"/>
  <c r="K593" i="16"/>
  <c r="L155" i="17"/>
  <c r="O155" i="17" s="1"/>
  <c r="L151" i="18"/>
  <c r="O151" i="18" s="1"/>
  <c r="L198" i="18"/>
  <c r="O198" i="18" s="1"/>
  <c r="O280" i="18"/>
  <c r="M317" i="18"/>
  <c r="M315" i="18" s="1"/>
  <c r="I364" i="18"/>
  <c r="L525" i="18"/>
  <c r="L523" i="18" s="1"/>
  <c r="O523" i="18" s="1"/>
  <c r="L546" i="18"/>
  <c r="O546" i="18" s="1"/>
  <c r="K176" i="16"/>
  <c r="M26" i="18"/>
  <c r="M24" i="18" s="1"/>
  <c r="N56" i="18"/>
  <c r="P56" i="18" s="1"/>
  <c r="N59" i="18"/>
  <c r="O59" i="18" s="1"/>
  <c r="M91" i="18"/>
  <c r="N134" i="18"/>
  <c r="N132" i="18" s="1"/>
  <c r="N151" i="18"/>
  <c r="N149" i="18" s="1"/>
  <c r="N184" i="18"/>
  <c r="O184" i="18" s="1"/>
  <c r="I233" i="18"/>
  <c r="K233" i="18" s="1"/>
  <c r="N264" i="18"/>
  <c r="O264" i="18" s="1"/>
  <c r="O266" i="18"/>
  <c r="J365" i="18"/>
  <c r="K365" i="18" s="1"/>
  <c r="K538" i="18"/>
  <c r="K673" i="18"/>
  <c r="K800" i="18"/>
  <c r="O549" i="16"/>
  <c r="L59" i="17"/>
  <c r="O59" i="17" s="1"/>
  <c r="N55" i="17"/>
  <c r="N53" i="17" s="1"/>
  <c r="L23" i="18"/>
  <c r="L21" i="18" s="1"/>
  <c r="L44" i="18"/>
  <c r="L69" i="18"/>
  <c r="K78" i="18"/>
  <c r="N91" i="18"/>
  <c r="O91" i="18" s="1"/>
  <c r="L94" i="18"/>
  <c r="O94" i="18" s="1"/>
  <c r="M167" i="18"/>
  <c r="M165" i="18" s="1"/>
  <c r="O189" i="18"/>
  <c r="L228" i="18"/>
  <c r="L267" i="18"/>
  <c r="O267" i="18" s="1"/>
  <c r="M301" i="18"/>
  <c r="P301" i="18" s="1"/>
  <c r="L304" i="18"/>
  <c r="O304" i="18" s="1"/>
  <c r="N330" i="18"/>
  <c r="J327" i="18"/>
  <c r="K327" i="18" s="1"/>
  <c r="L351" i="18"/>
  <c r="O351" i="18" s="1"/>
  <c r="O394" i="18"/>
  <c r="O535" i="18"/>
  <c r="K593" i="18"/>
  <c r="K669" i="18"/>
  <c r="J722" i="18"/>
  <c r="M300" i="17"/>
  <c r="M298" i="17" s="1"/>
  <c r="N347" i="17"/>
  <c r="N345" i="17" s="1"/>
  <c r="M23" i="18"/>
  <c r="M21" i="18" s="1"/>
  <c r="M69" i="18"/>
  <c r="L152" i="18"/>
  <c r="O152" i="18" s="1"/>
  <c r="P170" i="18"/>
  <c r="K176" i="18"/>
  <c r="I190" i="18"/>
  <c r="K190" i="18" s="1"/>
  <c r="I197" i="18"/>
  <c r="K197" i="18" s="1"/>
  <c r="L263" i="18"/>
  <c r="M283" i="18"/>
  <c r="P283" i="18" s="1"/>
  <c r="P336" i="18"/>
  <c r="O353" i="18"/>
  <c r="K360" i="18"/>
  <c r="P394" i="18"/>
  <c r="O660" i="18"/>
  <c r="O690" i="18"/>
  <c r="K823" i="18"/>
  <c r="P173" i="17"/>
  <c r="P333" i="17"/>
  <c r="O125" i="18"/>
  <c r="O154" i="18"/>
  <c r="I216" i="18"/>
  <c r="K216" i="18" s="1"/>
  <c r="L230" i="18"/>
  <c r="M391" i="18"/>
  <c r="P391" i="18" s="1"/>
  <c r="I654" i="18"/>
  <c r="K654" i="18" s="1"/>
  <c r="J721" i="18"/>
  <c r="M267" i="17"/>
  <c r="P267" i="17" s="1"/>
  <c r="I442" i="17"/>
  <c r="K442" i="17" s="1"/>
  <c r="L546" i="17"/>
  <c r="O546" i="17" s="1"/>
  <c r="K822" i="17"/>
  <c r="K825" i="17"/>
  <c r="K828" i="17"/>
  <c r="N55" i="18"/>
  <c r="N53" i="18" s="1"/>
  <c r="P58" i="18"/>
  <c r="P61" i="18"/>
  <c r="O93" i="18"/>
  <c r="N121" i="18"/>
  <c r="P127" i="18"/>
  <c r="N183" i="18"/>
  <c r="N331" i="18"/>
  <c r="O331" i="18" s="1"/>
  <c r="K385" i="18"/>
  <c r="N391" i="18"/>
  <c r="N389" i="18" s="1"/>
  <c r="M408" i="18"/>
  <c r="P408" i="18" s="1"/>
  <c r="I442" i="18"/>
  <c r="K442" i="18" s="1"/>
  <c r="L33" i="18"/>
  <c r="O33" i="18" s="1"/>
  <c r="K559" i="18"/>
  <c r="O632" i="18"/>
  <c r="K821" i="18"/>
  <c r="K824" i="18"/>
  <c r="K827" i="18"/>
  <c r="P125" i="18"/>
  <c r="O93" i="17"/>
  <c r="O137" i="17"/>
  <c r="J143" i="17"/>
  <c r="J131" i="17" s="1"/>
  <c r="O154" i="17"/>
  <c r="P168" i="17"/>
  <c r="O186" i="17"/>
  <c r="K224" i="17"/>
  <c r="L231" i="17"/>
  <c r="O350" i="17"/>
  <c r="L392" i="17"/>
  <c r="O392" i="17" s="1"/>
  <c r="L405" i="17"/>
  <c r="O405" i="17" s="1"/>
  <c r="N9" i="18"/>
  <c r="K372" i="17"/>
  <c r="K720" i="17"/>
  <c r="K821" i="17"/>
  <c r="K824" i="17"/>
  <c r="K827" i="17"/>
  <c r="K244" i="16"/>
  <c r="I112" i="17"/>
  <c r="K112" i="17" s="1"/>
  <c r="I190" i="17"/>
  <c r="K190" i="17" s="1"/>
  <c r="L408" i="16"/>
  <c r="O408" i="16" s="1"/>
  <c r="N59" i="17"/>
  <c r="N91" i="17"/>
  <c r="P91" i="17" s="1"/>
  <c r="M122" i="17"/>
  <c r="P122" i="17" s="1"/>
  <c r="M125" i="17"/>
  <c r="P125" i="17" s="1"/>
  <c r="N152" i="17"/>
  <c r="N331" i="17"/>
  <c r="P331" i="17" s="1"/>
  <c r="K355" i="17"/>
  <c r="L187" i="16"/>
  <c r="O187" i="16" s="1"/>
  <c r="L304" i="16"/>
  <c r="O304" i="16" s="1"/>
  <c r="J364" i="16"/>
  <c r="M408" i="16"/>
  <c r="P408" i="16" s="1"/>
  <c r="M304" i="17"/>
  <c r="P304" i="17" s="1"/>
  <c r="K379" i="17"/>
  <c r="L391" i="17"/>
  <c r="M304" i="16"/>
  <c r="P304" i="16" s="1"/>
  <c r="L469" i="17"/>
  <c r="L467" i="17" s="1"/>
  <c r="L525" i="17"/>
  <c r="O525" i="17" s="1"/>
  <c r="K174" i="18"/>
  <c r="I164" i="18"/>
  <c r="K164" i="18" s="1"/>
  <c r="K651" i="17"/>
  <c r="L26" i="18"/>
  <c r="L24" i="18" s="1"/>
  <c r="M59" i="18"/>
  <c r="M90" i="18"/>
  <c r="J143" i="18"/>
  <c r="J131" i="18" s="1"/>
  <c r="P157" i="18"/>
  <c r="L167" i="18"/>
  <c r="K215" i="18"/>
  <c r="I208" i="18"/>
  <c r="K208" i="18" s="1"/>
  <c r="L217" i="18"/>
  <c r="O217" i="18" s="1"/>
  <c r="I260" i="18"/>
  <c r="K260" i="18" s="1"/>
  <c r="P266" i="18"/>
  <c r="L317" i="18"/>
  <c r="O350" i="18"/>
  <c r="N347" i="18"/>
  <c r="O424" i="18"/>
  <c r="N421" i="18"/>
  <c r="N419" i="18" s="1"/>
  <c r="O431" i="18"/>
  <c r="L421" i="18"/>
  <c r="L429" i="18"/>
  <c r="O429" i="18" s="1"/>
  <c r="P524" i="18"/>
  <c r="M523" i="18"/>
  <c r="P523" i="18" s="1"/>
  <c r="J543" i="18"/>
  <c r="O630" i="18"/>
  <c r="K159" i="18"/>
  <c r="I148" i="18"/>
  <c r="K148" i="18" s="1"/>
  <c r="P186" i="18"/>
  <c r="M184" i="18"/>
  <c r="M267" i="18"/>
  <c r="P267" i="18" s="1"/>
  <c r="P269" i="18"/>
  <c r="P445" i="18"/>
  <c r="M444" i="18"/>
  <c r="P444" i="18" s="1"/>
  <c r="P469" i="18"/>
  <c r="M467" i="18"/>
  <c r="P467" i="18" s="1"/>
  <c r="L470" i="18"/>
  <c r="L469" i="18"/>
  <c r="N504" i="18"/>
  <c r="N502" i="18" s="1"/>
  <c r="N505" i="18"/>
  <c r="L55" i="18"/>
  <c r="M68" i="18"/>
  <c r="L134" i="18"/>
  <c r="O134" i="18" s="1"/>
  <c r="N167" i="18"/>
  <c r="K244" i="18"/>
  <c r="O316" i="18"/>
  <c r="M419" i="18"/>
  <c r="I417" i="18"/>
  <c r="M31" i="18"/>
  <c r="P31" i="18" s="1"/>
  <c r="L43" i="18"/>
  <c r="M55" i="18"/>
  <c r="L121" i="18"/>
  <c r="N122" i="18"/>
  <c r="M134" i="18"/>
  <c r="M183" i="18"/>
  <c r="K255" i="18"/>
  <c r="I248" i="18"/>
  <c r="K248" i="18" s="1"/>
  <c r="M300" i="18"/>
  <c r="L300" i="18"/>
  <c r="O303" i="18"/>
  <c r="K370" i="18"/>
  <c r="N470" i="18"/>
  <c r="O472" i="18"/>
  <c r="L15" i="18"/>
  <c r="L9" i="18" s="1"/>
  <c r="L29" i="18"/>
  <c r="M30" i="18"/>
  <c r="P30" i="18" s="1"/>
  <c r="N31" i="18"/>
  <c r="O58" i="18"/>
  <c r="P89" i="18"/>
  <c r="K99" i="18"/>
  <c r="O127" i="18"/>
  <c r="P189" i="18"/>
  <c r="M187" i="18"/>
  <c r="P187" i="18" s="1"/>
  <c r="I237" i="18"/>
  <c r="L238" i="18"/>
  <c r="L229" i="18"/>
  <c r="P278" i="18"/>
  <c r="O282" i="18"/>
  <c r="L283" i="18"/>
  <c r="O283" i="18" s="1"/>
  <c r="O285" i="18"/>
  <c r="J355" i="18"/>
  <c r="K355" i="18" s="1"/>
  <c r="K362" i="18"/>
  <c r="K440" i="18"/>
  <c r="I434" i="18"/>
  <c r="P631" i="18"/>
  <c r="M629" i="18"/>
  <c r="P629" i="18" s="1"/>
  <c r="J628" i="18"/>
  <c r="K628" i="18" s="1"/>
  <c r="K651" i="18"/>
  <c r="M15" i="18"/>
  <c r="M29" i="18"/>
  <c r="O67" i="18"/>
  <c r="K79" i="18"/>
  <c r="I77" i="18"/>
  <c r="L90" i="18"/>
  <c r="O124" i="18"/>
  <c r="I143" i="18"/>
  <c r="O173" i="18"/>
  <c r="M263" i="18"/>
  <c r="I275" i="18"/>
  <c r="L279" i="18"/>
  <c r="J288" i="18"/>
  <c r="J275" i="18" s="1"/>
  <c r="L301" i="18"/>
  <c r="O301" i="18" s="1"/>
  <c r="N301" i="18"/>
  <c r="N300" i="18"/>
  <c r="N298" i="18" s="1"/>
  <c r="M348" i="18"/>
  <c r="P348" i="18" s="1"/>
  <c r="M347" i="18"/>
  <c r="K381" i="18"/>
  <c r="J374" i="18"/>
  <c r="K374" i="18" s="1"/>
  <c r="P390" i="18"/>
  <c r="P397" i="18"/>
  <c r="M404" i="18"/>
  <c r="L404" i="18"/>
  <c r="O407" i="18"/>
  <c r="K435" i="18"/>
  <c r="J433" i="18"/>
  <c r="J417" i="18" s="1"/>
  <c r="K462" i="18"/>
  <c r="I443" i="18"/>
  <c r="K443" i="18" s="1"/>
  <c r="K543" i="18"/>
  <c r="K594" i="18"/>
  <c r="M279" i="18"/>
  <c r="P282" i="18"/>
  <c r="M331" i="18"/>
  <c r="M330" i="18"/>
  <c r="M351" i="18"/>
  <c r="P351" i="18" s="1"/>
  <c r="P353" i="18"/>
  <c r="O422" i="18"/>
  <c r="K576" i="18"/>
  <c r="O788" i="18"/>
  <c r="L786" i="18"/>
  <c r="O786" i="18" s="1"/>
  <c r="N405" i="18"/>
  <c r="N404" i="18"/>
  <c r="N402" i="18" s="1"/>
  <c r="N444" i="18"/>
  <c r="O545" i="18"/>
  <c r="N544" i="18"/>
  <c r="K592" i="18"/>
  <c r="K379" i="18"/>
  <c r="O641" i="18"/>
  <c r="L631" i="18"/>
  <c r="O631" i="18" s="1"/>
  <c r="O658" i="18"/>
  <c r="N754" i="18"/>
  <c r="O771" i="18"/>
  <c r="L770" i="18"/>
  <c r="O770" i="18" s="1"/>
  <c r="K785" i="18"/>
  <c r="O807" i="18"/>
  <c r="L805" i="18"/>
  <c r="O805" i="18" s="1"/>
  <c r="P686" i="18"/>
  <c r="M685" i="18"/>
  <c r="P685" i="18" s="1"/>
  <c r="O738" i="18"/>
  <c r="L737" i="18"/>
  <c r="O737" i="18" s="1"/>
  <c r="P756" i="18"/>
  <c r="M754" i="18"/>
  <c r="P754" i="18" s="1"/>
  <c r="L789" i="18"/>
  <c r="O789" i="18" s="1"/>
  <c r="O791" i="18"/>
  <c r="N807" i="18"/>
  <c r="N805" i="18" s="1"/>
  <c r="N808" i="18"/>
  <c r="O456" i="18"/>
  <c r="L446" i="18"/>
  <c r="M544" i="18"/>
  <c r="P544" i="18" s="1"/>
  <c r="K647" i="18"/>
  <c r="N737" i="18"/>
  <c r="O755" i="18"/>
  <c r="L754" i="18"/>
  <c r="O754" i="18" s="1"/>
  <c r="P772" i="18"/>
  <c r="M770" i="18"/>
  <c r="P770" i="18" s="1"/>
  <c r="K674" i="18"/>
  <c r="K675" i="18"/>
  <c r="M786" i="18"/>
  <c r="P786" i="18" s="1"/>
  <c r="M805" i="18"/>
  <c r="P805" i="18" s="1"/>
  <c r="N657" i="18"/>
  <c r="O657" i="18" s="1"/>
  <c r="L55" i="14"/>
  <c r="L53" i="14" s="1"/>
  <c r="L55" i="16"/>
  <c r="L53" i="16" s="1"/>
  <c r="N55" i="16"/>
  <c r="N53" i="16" s="1"/>
  <c r="L122" i="16"/>
  <c r="O122" i="16" s="1"/>
  <c r="P71" i="17"/>
  <c r="L122" i="17"/>
  <c r="O122" i="17" s="1"/>
  <c r="I276" i="17"/>
  <c r="K276" i="17" s="1"/>
  <c r="N279" i="17"/>
  <c r="N277" i="17" s="1"/>
  <c r="K325" i="17"/>
  <c r="N330" i="17"/>
  <c r="N328" i="17" s="1"/>
  <c r="K340" i="17"/>
  <c r="O479" i="17"/>
  <c r="O549" i="17"/>
  <c r="K700" i="17"/>
  <c r="K725" i="17"/>
  <c r="O71" i="17"/>
  <c r="L152" i="17"/>
  <c r="O170" i="17"/>
  <c r="L183" i="17"/>
  <c r="L181" i="17" s="1"/>
  <c r="L198" i="17"/>
  <c r="O198" i="17" s="1"/>
  <c r="L347" i="17"/>
  <c r="K362" i="17"/>
  <c r="L55" i="17"/>
  <c r="L53" i="17" s="1"/>
  <c r="N68" i="17"/>
  <c r="N66" i="17" s="1"/>
  <c r="L125" i="17"/>
  <c r="O125" i="17" s="1"/>
  <c r="K159" i="17"/>
  <c r="L187" i="17"/>
  <c r="O187" i="17" s="1"/>
  <c r="O333" i="17"/>
  <c r="N391" i="17"/>
  <c r="N389" i="17" s="1"/>
  <c r="I434" i="17"/>
  <c r="K434" i="17" s="1"/>
  <c r="O557" i="17"/>
  <c r="N23" i="17"/>
  <c r="N21" i="17" s="1"/>
  <c r="P56" i="17"/>
  <c r="K99" i="17"/>
  <c r="K360" i="17"/>
  <c r="K369" i="17"/>
  <c r="J364" i="17"/>
  <c r="K723" i="17"/>
  <c r="I364" i="16"/>
  <c r="K379" i="16"/>
  <c r="L43" i="17"/>
  <c r="I86" i="17"/>
  <c r="K86" i="17" s="1"/>
  <c r="P96" i="17"/>
  <c r="O173" i="17"/>
  <c r="L217" i="17"/>
  <c r="O217" i="17" s="1"/>
  <c r="K370" i="17"/>
  <c r="K378" i="17"/>
  <c r="N404" i="17"/>
  <c r="N402" i="17" s="1"/>
  <c r="L36" i="17"/>
  <c r="L34" i="17" s="1"/>
  <c r="O34" i="17" s="1"/>
  <c r="I559" i="17"/>
  <c r="K559" i="17" s="1"/>
  <c r="L657" i="17"/>
  <c r="O657" i="17" s="1"/>
  <c r="K699" i="17"/>
  <c r="K673" i="17"/>
  <c r="L151" i="14"/>
  <c r="L149" i="14" s="1"/>
  <c r="L198" i="16"/>
  <c r="O198" i="16" s="1"/>
  <c r="K360" i="16"/>
  <c r="L56" i="17"/>
  <c r="O56" i="17" s="1"/>
  <c r="M279" i="17"/>
  <c r="J288" i="17"/>
  <c r="J275" i="17" s="1"/>
  <c r="K275" i="17" s="1"/>
  <c r="L330" i="17"/>
  <c r="M408" i="17"/>
  <c r="P408" i="17" s="1"/>
  <c r="J433" i="17"/>
  <c r="J417" i="17" s="1"/>
  <c r="K440" i="17"/>
  <c r="J537" i="17"/>
  <c r="J522" i="17" s="1"/>
  <c r="K669" i="17"/>
  <c r="L687" i="17"/>
  <c r="O687" i="17" s="1"/>
  <c r="J721" i="17"/>
  <c r="K721" i="17" s="1"/>
  <c r="N167" i="16"/>
  <c r="N165" i="16" s="1"/>
  <c r="N44" i="17"/>
  <c r="O44" i="17" s="1"/>
  <c r="O46" i="17"/>
  <c r="N69" i="17"/>
  <c r="O69" i="17" s="1"/>
  <c r="L91" i="17"/>
  <c r="M138" i="17"/>
  <c r="P138" i="17" s="1"/>
  <c r="L168" i="17"/>
  <c r="O168" i="17" s="1"/>
  <c r="L209" i="17"/>
  <c r="O209" i="17" s="1"/>
  <c r="L267" i="17"/>
  <c r="O267" i="17" s="1"/>
  <c r="L318" i="17"/>
  <c r="O318" i="17" s="1"/>
  <c r="L334" i="17"/>
  <c r="O334" i="17" s="1"/>
  <c r="N348" i="17"/>
  <c r="O348" i="17" s="1"/>
  <c r="N392" i="17"/>
  <c r="N408" i="17"/>
  <c r="L447" i="17"/>
  <c r="O447" i="17" s="1"/>
  <c r="K537" i="17"/>
  <c r="O690" i="17"/>
  <c r="K800" i="17"/>
  <c r="L43" i="15"/>
  <c r="L41" i="15" s="1"/>
  <c r="I86" i="15"/>
  <c r="K86" i="15" s="1"/>
  <c r="L263" i="16"/>
  <c r="L261" i="16" s="1"/>
  <c r="M279" i="16"/>
  <c r="M277" i="16" s="1"/>
  <c r="M318" i="16"/>
  <c r="P318" i="16" s="1"/>
  <c r="M26" i="17"/>
  <c r="M24" i="17" s="1"/>
  <c r="O58" i="17"/>
  <c r="M72" i="17"/>
  <c r="P72" i="17" s="1"/>
  <c r="L151" i="17"/>
  <c r="P189" i="17"/>
  <c r="L249" i="17"/>
  <c r="O249" i="17" s="1"/>
  <c r="M283" i="17"/>
  <c r="P283" i="17" s="1"/>
  <c r="P285" i="17"/>
  <c r="M318" i="17"/>
  <c r="P318" i="17" s="1"/>
  <c r="L351" i="17"/>
  <c r="O351" i="17" s="1"/>
  <c r="M347" i="15"/>
  <c r="O353" i="16"/>
  <c r="K628" i="16"/>
  <c r="K144" i="17"/>
  <c r="L184" i="17"/>
  <c r="O184" i="17" s="1"/>
  <c r="O264" i="17"/>
  <c r="O266" i="17"/>
  <c r="L317" i="17"/>
  <c r="O317" i="17" s="1"/>
  <c r="P336" i="17"/>
  <c r="J327" i="17"/>
  <c r="K327" i="17" s="1"/>
  <c r="O353" i="17"/>
  <c r="P58" i="16"/>
  <c r="L152" i="16"/>
  <c r="L155" i="16"/>
  <c r="O155" i="16" s="1"/>
  <c r="L33" i="17"/>
  <c r="L31" i="17" s="1"/>
  <c r="O31" i="17" s="1"/>
  <c r="M317" i="17"/>
  <c r="P317" i="17" s="1"/>
  <c r="K338" i="17"/>
  <c r="K435" i="17"/>
  <c r="K593" i="17"/>
  <c r="J722" i="17"/>
  <c r="K722" i="17" s="1"/>
  <c r="P59" i="16"/>
  <c r="N43" i="17"/>
  <c r="N41" i="17" s="1"/>
  <c r="N26" i="17"/>
  <c r="N16" i="17" s="1"/>
  <c r="N14" i="17" s="1"/>
  <c r="N47" i="17"/>
  <c r="L138" i="17"/>
  <c r="O138" i="17" s="1"/>
  <c r="L134" i="17"/>
  <c r="O140" i="17"/>
  <c r="L238" i="17"/>
  <c r="L228" i="17"/>
  <c r="O303" i="17"/>
  <c r="L23" i="17"/>
  <c r="L300" i="17"/>
  <c r="K215" i="16"/>
  <c r="I276" i="16"/>
  <c r="K276" i="16" s="1"/>
  <c r="O280" i="16"/>
  <c r="L687" i="16"/>
  <c r="L685" i="16" s="1"/>
  <c r="O685" i="16" s="1"/>
  <c r="P33" i="17"/>
  <c r="M31" i="17"/>
  <c r="P31" i="17" s="1"/>
  <c r="M30" i="17"/>
  <c r="N183" i="17"/>
  <c r="N187" i="17"/>
  <c r="P280" i="17"/>
  <c r="L301" i="17"/>
  <c r="O301" i="17" s="1"/>
  <c r="N56" i="16"/>
  <c r="O56" i="16" s="1"/>
  <c r="L134" i="16"/>
  <c r="O134" i="16" s="1"/>
  <c r="L230" i="16"/>
  <c r="K355" i="16"/>
  <c r="L546" i="16"/>
  <c r="O546" i="16" s="1"/>
  <c r="O557" i="16"/>
  <c r="K800" i="16"/>
  <c r="O32" i="17"/>
  <c r="L29" i="17"/>
  <c r="O67" i="17"/>
  <c r="P89" i="17"/>
  <c r="M151" i="17"/>
  <c r="P154" i="17"/>
  <c r="P166" i="17"/>
  <c r="I164" i="17"/>
  <c r="K164" i="17" s="1"/>
  <c r="K174" i="17"/>
  <c r="K237" i="17"/>
  <c r="L318" i="16"/>
  <c r="O318" i="16" s="1"/>
  <c r="L395" i="16"/>
  <c r="O395" i="16" s="1"/>
  <c r="J433" i="16"/>
  <c r="J417" i="16" s="1"/>
  <c r="K537" i="16"/>
  <c r="K649" i="16"/>
  <c r="K723" i="16"/>
  <c r="O25" i="17"/>
  <c r="L15" i="17"/>
  <c r="M43" i="17"/>
  <c r="M44" i="17"/>
  <c r="P46" i="17"/>
  <c r="M23" i="17"/>
  <c r="M152" i="17"/>
  <c r="M184" i="17"/>
  <c r="P184" i="17" s="1"/>
  <c r="M183" i="17"/>
  <c r="M181" i="17" s="1"/>
  <c r="P186" i="17"/>
  <c r="K255" i="17"/>
  <c r="I248" i="17"/>
  <c r="K248" i="17" s="1"/>
  <c r="K271" i="17"/>
  <c r="I260" i="17"/>
  <c r="K260" i="17" s="1"/>
  <c r="P278" i="17"/>
  <c r="L94" i="16"/>
  <c r="O94" i="16" s="1"/>
  <c r="L347" i="16"/>
  <c r="L345" i="16" s="1"/>
  <c r="I559" i="16"/>
  <c r="I543" i="16" s="1"/>
  <c r="K543" i="16" s="1"/>
  <c r="O12" i="17"/>
  <c r="L9" i="17"/>
  <c r="O280" i="17"/>
  <c r="L283" i="17"/>
  <c r="O283" i="17" s="1"/>
  <c r="O285" i="17"/>
  <c r="P299" i="17"/>
  <c r="L228" i="14"/>
  <c r="M283" i="15"/>
  <c r="P283" i="15" s="1"/>
  <c r="O61" i="16"/>
  <c r="P280" i="16"/>
  <c r="K338" i="16"/>
  <c r="N347" i="16"/>
  <c r="N345" i="16" s="1"/>
  <c r="O19" i="17"/>
  <c r="M55" i="17"/>
  <c r="P58" i="17"/>
  <c r="N31" i="17"/>
  <c r="M69" i="17"/>
  <c r="I77" i="17"/>
  <c r="M134" i="17"/>
  <c r="K145" i="17"/>
  <c r="I143" i="17"/>
  <c r="L263" i="17"/>
  <c r="P282" i="17"/>
  <c r="L304" i="17"/>
  <c r="O304" i="17" s="1"/>
  <c r="L68" i="17"/>
  <c r="I76" i="17"/>
  <c r="L121" i="17"/>
  <c r="O121" i="17" s="1"/>
  <c r="N134" i="17"/>
  <c r="N132" i="17" s="1"/>
  <c r="I233" i="17"/>
  <c r="K233" i="17" s="1"/>
  <c r="M263" i="17"/>
  <c r="L279" i="17"/>
  <c r="K365" i="17"/>
  <c r="I364" i="17"/>
  <c r="P394" i="17"/>
  <c r="M392" i="17"/>
  <c r="P392" i="17" s="1"/>
  <c r="M391" i="17"/>
  <c r="P391" i="17" s="1"/>
  <c r="L26" i="17"/>
  <c r="L24" i="17" s="1"/>
  <c r="M68" i="17"/>
  <c r="O74" i="17"/>
  <c r="K80" i="17"/>
  <c r="M90" i="17"/>
  <c r="M121" i="17"/>
  <c r="P137" i="17"/>
  <c r="K146" i="17"/>
  <c r="M167" i="17"/>
  <c r="K176" i="17"/>
  <c r="I197" i="17"/>
  <c r="K197" i="17" s="1"/>
  <c r="K244" i="17"/>
  <c r="O282" i="17"/>
  <c r="O316" i="17"/>
  <c r="O346" i="17"/>
  <c r="P407" i="17"/>
  <c r="M404" i="17"/>
  <c r="P350" i="17"/>
  <c r="M348" i="17"/>
  <c r="M12" i="17"/>
  <c r="M19" i="17"/>
  <c r="O49" i="17"/>
  <c r="P93" i="17"/>
  <c r="P170" i="17"/>
  <c r="J226" i="17"/>
  <c r="J180" i="17" s="1"/>
  <c r="O262" i="17"/>
  <c r="P301" i="17"/>
  <c r="P303" i="17"/>
  <c r="I417" i="17"/>
  <c r="N300" i="17"/>
  <c r="P397" i="17"/>
  <c r="M395" i="17"/>
  <c r="P395" i="17" s="1"/>
  <c r="M330" i="17"/>
  <c r="K359" i="17"/>
  <c r="K374" i="17"/>
  <c r="O403" i="17"/>
  <c r="I443" i="17"/>
  <c r="K443" i="17" s="1"/>
  <c r="O472" i="17"/>
  <c r="N469" i="17"/>
  <c r="N467" i="17" s="1"/>
  <c r="L639" i="17"/>
  <c r="O639" i="17" s="1"/>
  <c r="O641" i="17"/>
  <c r="L631" i="17"/>
  <c r="O755" i="17"/>
  <c r="L754" i="17"/>
  <c r="O754" i="17" s="1"/>
  <c r="P772" i="17"/>
  <c r="M770" i="17"/>
  <c r="P770" i="17" s="1"/>
  <c r="L789" i="17"/>
  <c r="O789" i="17" s="1"/>
  <c r="O791" i="17"/>
  <c r="O807" i="17"/>
  <c r="L805" i="17"/>
  <c r="O805" i="17" s="1"/>
  <c r="L526" i="17"/>
  <c r="O526" i="17" s="1"/>
  <c r="O528" i="17"/>
  <c r="N655" i="17"/>
  <c r="O771" i="17"/>
  <c r="L770" i="17"/>
  <c r="O770" i="17" s="1"/>
  <c r="P419" i="17"/>
  <c r="N544" i="17"/>
  <c r="P739" i="17"/>
  <c r="M737" i="17"/>
  <c r="P737" i="17" s="1"/>
  <c r="N807" i="17"/>
  <c r="N805" i="17" s="1"/>
  <c r="N808" i="17"/>
  <c r="K385" i="17"/>
  <c r="L404" i="17"/>
  <c r="O404" i="17" s="1"/>
  <c r="L429" i="17"/>
  <c r="O429" i="17" s="1"/>
  <c r="O431" i="17"/>
  <c r="L421" i="17"/>
  <c r="L454" i="17"/>
  <c r="O454" i="17" s="1"/>
  <c r="O456" i="17"/>
  <c r="L446" i="17"/>
  <c r="K647" i="17"/>
  <c r="K701" i="17"/>
  <c r="O738" i="17"/>
  <c r="L737" i="17"/>
  <c r="O737" i="17" s="1"/>
  <c r="P353" i="17"/>
  <c r="M351" i="17"/>
  <c r="P351" i="17" s="1"/>
  <c r="O470" i="17"/>
  <c r="P545" i="17"/>
  <c r="M544" i="17"/>
  <c r="P544" i="17" s="1"/>
  <c r="P756" i="17"/>
  <c r="M754" i="17"/>
  <c r="P754" i="17" s="1"/>
  <c r="L788" i="17"/>
  <c r="P468" i="17"/>
  <c r="P503" i="17"/>
  <c r="O656" i="17"/>
  <c r="K674" i="17"/>
  <c r="I654" i="17"/>
  <c r="K654" i="17" s="1"/>
  <c r="L658" i="17"/>
  <c r="O658" i="17" s="1"/>
  <c r="K675" i="17"/>
  <c r="M72" i="15"/>
  <c r="P72" i="15" s="1"/>
  <c r="K215" i="15"/>
  <c r="L229" i="15"/>
  <c r="M68" i="16"/>
  <c r="P68" i="16" s="1"/>
  <c r="L122" i="15"/>
  <c r="O122" i="15" s="1"/>
  <c r="O394" i="16"/>
  <c r="L392" i="16"/>
  <c r="O392" i="16" s="1"/>
  <c r="L391" i="16"/>
  <c r="L44" i="16"/>
  <c r="O44" i="16" s="1"/>
  <c r="L43" i="16"/>
  <c r="L41" i="16" s="1"/>
  <c r="O140" i="16"/>
  <c r="L138" i="16"/>
  <c r="O138" i="16" s="1"/>
  <c r="O336" i="16"/>
  <c r="L334" i="16"/>
  <c r="O334" i="16" s="1"/>
  <c r="N90" i="16"/>
  <c r="N88" i="16" s="1"/>
  <c r="O333" i="16"/>
  <c r="L331" i="16"/>
  <c r="O331" i="16" s="1"/>
  <c r="P323" i="15"/>
  <c r="M321" i="15"/>
  <c r="P321" i="15" s="1"/>
  <c r="L404" i="15"/>
  <c r="O404" i="15" s="1"/>
  <c r="L408" i="15"/>
  <c r="O408" i="15" s="1"/>
  <c r="O660" i="16"/>
  <c r="L657" i="16"/>
  <c r="O657" i="16" s="1"/>
  <c r="N347" i="15"/>
  <c r="N345" i="15" s="1"/>
  <c r="L69" i="16"/>
  <c r="O69" i="16" s="1"/>
  <c r="M94" i="16"/>
  <c r="P94" i="16" s="1"/>
  <c r="L135" i="16"/>
  <c r="O135" i="16" s="1"/>
  <c r="M183" i="16"/>
  <c r="M181" i="16" s="1"/>
  <c r="L279" i="16"/>
  <c r="L277" i="16" s="1"/>
  <c r="N317" i="16"/>
  <c r="N315" i="16" s="1"/>
  <c r="O350" i="16"/>
  <c r="K378" i="16"/>
  <c r="K381" i="16"/>
  <c r="N404" i="16"/>
  <c r="N402" i="16" s="1"/>
  <c r="L171" i="16"/>
  <c r="O171" i="16" s="1"/>
  <c r="I233" i="16"/>
  <c r="K233" i="16" s="1"/>
  <c r="L422" i="16"/>
  <c r="O422" i="16" s="1"/>
  <c r="L447" i="16"/>
  <c r="O447" i="16" s="1"/>
  <c r="L525" i="16"/>
  <c r="O525" i="16" s="1"/>
  <c r="K651" i="16"/>
  <c r="K720" i="16"/>
  <c r="M300" i="15"/>
  <c r="M298" i="15" s="1"/>
  <c r="M330" i="15"/>
  <c r="M328" i="15" s="1"/>
  <c r="N391" i="15"/>
  <c r="N389" i="15" s="1"/>
  <c r="M47" i="16"/>
  <c r="P47" i="16" s="1"/>
  <c r="M56" i="16"/>
  <c r="I77" i="16"/>
  <c r="L121" i="16"/>
  <c r="O121" i="16" s="1"/>
  <c r="N121" i="16"/>
  <c r="N119" i="16" s="1"/>
  <c r="M121" i="16"/>
  <c r="P121" i="16" s="1"/>
  <c r="M187" i="16"/>
  <c r="P187" i="16" s="1"/>
  <c r="M283" i="16"/>
  <c r="P283" i="16" s="1"/>
  <c r="O285" i="16"/>
  <c r="N300" i="16"/>
  <c r="N298" i="16" s="1"/>
  <c r="L300" i="16"/>
  <c r="L298" i="16" s="1"/>
  <c r="L351" i="16"/>
  <c r="O351" i="16" s="1"/>
  <c r="I442" i="16"/>
  <c r="K442" i="16" s="1"/>
  <c r="O472" i="16"/>
  <c r="K700" i="16"/>
  <c r="K725" i="16"/>
  <c r="K823" i="16"/>
  <c r="K826" i="16"/>
  <c r="L125" i="16"/>
  <c r="O125" i="16" s="1"/>
  <c r="L217" i="16"/>
  <c r="O217" i="16" s="1"/>
  <c r="K372" i="16"/>
  <c r="N56" i="15"/>
  <c r="N55" i="15"/>
  <c r="N53" i="15" s="1"/>
  <c r="M43" i="16"/>
  <c r="M41" i="16" s="1"/>
  <c r="M23" i="16"/>
  <c r="M13" i="16" s="1"/>
  <c r="P46" i="16"/>
  <c r="M44" i="16"/>
  <c r="P44" i="16" s="1"/>
  <c r="I130" i="16"/>
  <c r="K130" i="16" s="1"/>
  <c r="K146" i="16"/>
  <c r="N23" i="16"/>
  <c r="N13" i="16" s="1"/>
  <c r="N151" i="16"/>
  <c r="N149" i="16" s="1"/>
  <c r="M55" i="13"/>
  <c r="M53" i="13" s="1"/>
  <c r="N121" i="14"/>
  <c r="N119" i="14" s="1"/>
  <c r="N300" i="14"/>
  <c r="N298" i="14" s="1"/>
  <c r="O49" i="15"/>
  <c r="L47" i="15"/>
  <c r="O47" i="15" s="1"/>
  <c r="N152" i="16"/>
  <c r="P152" i="16" s="1"/>
  <c r="M167" i="16"/>
  <c r="M168" i="16"/>
  <c r="L228" i="16"/>
  <c r="L249" i="16"/>
  <c r="O249" i="16" s="1"/>
  <c r="N134" i="16"/>
  <c r="N132" i="16" s="1"/>
  <c r="N138" i="16"/>
  <c r="O186" i="16"/>
  <c r="L23" i="16"/>
  <c r="L21" i="16" s="1"/>
  <c r="L184" i="16"/>
  <c r="N90" i="14"/>
  <c r="N88" i="14" s="1"/>
  <c r="K78" i="16"/>
  <c r="I76" i="16"/>
  <c r="I112" i="16"/>
  <c r="K112" i="16" s="1"/>
  <c r="K115" i="16"/>
  <c r="I197" i="16"/>
  <c r="K197" i="16" s="1"/>
  <c r="K204" i="16"/>
  <c r="L238" i="16"/>
  <c r="O238" i="16" s="1"/>
  <c r="L229" i="16"/>
  <c r="I314" i="16"/>
  <c r="K314" i="16" s="1"/>
  <c r="K325" i="16"/>
  <c r="J537" i="16"/>
  <c r="J522" i="16" s="1"/>
  <c r="K539" i="16"/>
  <c r="M90" i="16"/>
  <c r="M91" i="16"/>
  <c r="K237" i="16"/>
  <c r="K362" i="16"/>
  <c r="I190" i="16"/>
  <c r="K190" i="16" s="1"/>
  <c r="K193" i="16"/>
  <c r="L33" i="16"/>
  <c r="O33" i="16" s="1"/>
  <c r="O634" i="16"/>
  <c r="N90" i="15"/>
  <c r="N88" i="15" s="1"/>
  <c r="O96" i="15"/>
  <c r="P301" i="15"/>
  <c r="K338" i="15"/>
  <c r="O74" i="16"/>
  <c r="K111" i="16"/>
  <c r="P154" i="16"/>
  <c r="I248" i="16"/>
  <c r="K248" i="16" s="1"/>
  <c r="N279" i="16"/>
  <c r="N277" i="16" s="1"/>
  <c r="M317" i="16"/>
  <c r="M315" i="16" s="1"/>
  <c r="P315" i="16" s="1"/>
  <c r="J327" i="16"/>
  <c r="K327" i="16" s="1"/>
  <c r="L405" i="16"/>
  <c r="O405" i="16" s="1"/>
  <c r="K673" i="16"/>
  <c r="K699" i="16"/>
  <c r="J721" i="16"/>
  <c r="K721" i="16" s="1"/>
  <c r="I76" i="15"/>
  <c r="K76" i="15" s="1"/>
  <c r="L231" i="15"/>
  <c r="K359" i="15"/>
  <c r="I143" i="16"/>
  <c r="K143" i="16" s="1"/>
  <c r="P282" i="16"/>
  <c r="L317" i="16"/>
  <c r="O317" i="16" s="1"/>
  <c r="K669" i="16"/>
  <c r="M122" i="15"/>
  <c r="P122" i="15" s="1"/>
  <c r="M151" i="15"/>
  <c r="P151" i="15" s="1"/>
  <c r="L59" i="16"/>
  <c r="O59" i="16" s="1"/>
  <c r="N68" i="16"/>
  <c r="N66" i="16" s="1"/>
  <c r="M171" i="16"/>
  <c r="P171" i="16" s="1"/>
  <c r="L183" i="16"/>
  <c r="O264" i="16"/>
  <c r="L330" i="16"/>
  <c r="L328" i="16" s="1"/>
  <c r="O690" i="16"/>
  <c r="M167" i="15"/>
  <c r="P71" i="16"/>
  <c r="N122" i="16"/>
  <c r="P157" i="16"/>
  <c r="L267" i="16"/>
  <c r="O267" i="16" s="1"/>
  <c r="N263" i="16"/>
  <c r="N261" i="16" s="1"/>
  <c r="O282" i="16"/>
  <c r="N301" i="16"/>
  <c r="O301" i="16" s="1"/>
  <c r="L348" i="16"/>
  <c r="O348" i="16" s="1"/>
  <c r="N391" i="16"/>
  <c r="N389" i="16" s="1"/>
  <c r="L404" i="16"/>
  <c r="O404" i="16" s="1"/>
  <c r="I434" i="16"/>
  <c r="K434" i="16" s="1"/>
  <c r="L469" i="16"/>
  <c r="L467" i="16" s="1"/>
  <c r="O467" i="16" s="1"/>
  <c r="N183" i="15"/>
  <c r="N181" i="15" s="1"/>
  <c r="K271" i="15"/>
  <c r="K355" i="15"/>
  <c r="N392" i="15"/>
  <c r="L68" i="16"/>
  <c r="O68" i="16" s="1"/>
  <c r="L283" i="16"/>
  <c r="O283" i="16" s="1"/>
  <c r="K385" i="16"/>
  <c r="J722" i="16"/>
  <c r="K722" i="16" s="1"/>
  <c r="K822" i="16"/>
  <c r="K825" i="16"/>
  <c r="K828" i="16"/>
  <c r="P133" i="16"/>
  <c r="J275" i="16"/>
  <c r="K288" i="16"/>
  <c r="L429" i="16"/>
  <c r="O429" i="16" s="1"/>
  <c r="O431" i="16"/>
  <c r="L421" i="16"/>
  <c r="O755" i="16"/>
  <c r="L754" i="16"/>
  <c r="O754" i="16" s="1"/>
  <c r="N317" i="14"/>
  <c r="N315" i="14" s="1"/>
  <c r="N347" i="14"/>
  <c r="N345" i="14" s="1"/>
  <c r="O74" i="15"/>
  <c r="M138" i="15"/>
  <c r="P138" i="15" s="1"/>
  <c r="N187" i="15"/>
  <c r="L209" i="15"/>
  <c r="O209" i="15" s="1"/>
  <c r="L283" i="15"/>
  <c r="O283" i="15" s="1"/>
  <c r="O472" i="15"/>
  <c r="L525" i="15"/>
  <c r="O525" i="15" s="1"/>
  <c r="L547" i="15"/>
  <c r="O547" i="15" s="1"/>
  <c r="K651" i="15"/>
  <c r="N12" i="16"/>
  <c r="P22" i="16"/>
  <c r="M19" i="16"/>
  <c r="M12" i="16"/>
  <c r="L36" i="16"/>
  <c r="N43" i="16"/>
  <c r="N26" i="16"/>
  <c r="N47" i="16"/>
  <c r="M138" i="16"/>
  <c r="P138" i="16" s="1"/>
  <c r="P140" i="16"/>
  <c r="L209" i="16"/>
  <c r="O209" i="16" s="1"/>
  <c r="P350" i="16"/>
  <c r="M348" i="16"/>
  <c r="P348" i="16" s="1"/>
  <c r="M347" i="16"/>
  <c r="I434" i="13"/>
  <c r="K434" i="13" s="1"/>
  <c r="N279" i="15"/>
  <c r="N277" i="15" s="1"/>
  <c r="L317" i="15"/>
  <c r="O317" i="15" s="1"/>
  <c r="N317" i="15"/>
  <c r="N315" i="15" s="1"/>
  <c r="O350" i="15"/>
  <c r="K360" i="15"/>
  <c r="J364" i="15"/>
  <c r="L9" i="16"/>
  <c r="O12" i="16"/>
  <c r="L19" i="16"/>
  <c r="O46" i="16"/>
  <c r="O58" i="16"/>
  <c r="P61" i="16"/>
  <c r="M72" i="16"/>
  <c r="P72" i="16" s="1"/>
  <c r="P74" i="16"/>
  <c r="K87" i="16"/>
  <c r="P150" i="16"/>
  <c r="M55" i="15"/>
  <c r="O301" i="15"/>
  <c r="L318" i="15"/>
  <c r="O318" i="15" s="1"/>
  <c r="K378" i="15"/>
  <c r="K381" i="15"/>
  <c r="K821" i="15"/>
  <c r="K824" i="15"/>
  <c r="K827" i="15"/>
  <c r="O170" i="16"/>
  <c r="L167" i="16"/>
  <c r="P390" i="16"/>
  <c r="L217" i="15"/>
  <c r="O217" i="15" s="1"/>
  <c r="M26" i="16"/>
  <c r="P35" i="16"/>
  <c r="M34" i="16"/>
  <c r="P34" i="16" s="1"/>
  <c r="O67" i="16"/>
  <c r="O93" i="16"/>
  <c r="L90" i="16"/>
  <c r="O120" i="16"/>
  <c r="M125" i="16"/>
  <c r="P125" i="16" s="1"/>
  <c r="P127" i="16"/>
  <c r="P407" i="16"/>
  <c r="M404" i="16"/>
  <c r="M405" i="16"/>
  <c r="P405" i="16" s="1"/>
  <c r="K372" i="14"/>
  <c r="L547" i="14"/>
  <c r="O547" i="14" s="1"/>
  <c r="M47" i="15"/>
  <c r="P47" i="15" s="1"/>
  <c r="M59" i="15"/>
  <c r="P59" i="15" s="1"/>
  <c r="K78" i="15"/>
  <c r="M152" i="15"/>
  <c r="P152" i="15" s="1"/>
  <c r="M155" i="15"/>
  <c r="P155" i="15" s="1"/>
  <c r="M171" i="15"/>
  <c r="P171" i="15" s="1"/>
  <c r="O303" i="15"/>
  <c r="K325" i="15"/>
  <c r="N330" i="15"/>
  <c r="N328" i="15" s="1"/>
  <c r="K374" i="15"/>
  <c r="K379" i="15"/>
  <c r="N404" i="15"/>
  <c r="N402" i="15" s="1"/>
  <c r="K822" i="15"/>
  <c r="K828" i="15"/>
  <c r="P15" i="16"/>
  <c r="P29" i="16"/>
  <c r="M28" i="16"/>
  <c r="P28" i="16" s="1"/>
  <c r="O49" i="16"/>
  <c r="L26" i="16"/>
  <c r="L24" i="16" s="1"/>
  <c r="M55" i="16"/>
  <c r="K86" i="16"/>
  <c r="J143" i="16"/>
  <c r="J131" i="16" s="1"/>
  <c r="K144" i="16"/>
  <c r="P262" i="16"/>
  <c r="P278" i="16"/>
  <c r="K99" i="16"/>
  <c r="P124" i="16"/>
  <c r="M134" i="16"/>
  <c r="P134" i="16" s="1"/>
  <c r="P137" i="16"/>
  <c r="I148" i="16"/>
  <c r="K148" i="16" s="1"/>
  <c r="M151" i="16"/>
  <c r="O266" i="16"/>
  <c r="P269" i="16"/>
  <c r="P333" i="16"/>
  <c r="M331" i="16"/>
  <c r="P331" i="16" s="1"/>
  <c r="M330" i="16"/>
  <c r="M328" i="16" s="1"/>
  <c r="P419" i="16"/>
  <c r="P397" i="16"/>
  <c r="M395" i="16"/>
  <c r="P395" i="16" s="1"/>
  <c r="K100" i="16"/>
  <c r="O154" i="16"/>
  <c r="N184" i="16"/>
  <c r="P186" i="16"/>
  <c r="K369" i="16"/>
  <c r="N91" i="16"/>
  <c r="P93" i="16"/>
  <c r="N168" i="16"/>
  <c r="P170" i="16"/>
  <c r="P266" i="16"/>
  <c r="O303" i="16"/>
  <c r="K98" i="16"/>
  <c r="K164" i="16"/>
  <c r="K174" i="16"/>
  <c r="I260" i="16"/>
  <c r="K260" i="16" s="1"/>
  <c r="M263" i="16"/>
  <c r="P263" i="16" s="1"/>
  <c r="P303" i="16"/>
  <c r="M301" i="16"/>
  <c r="O323" i="16"/>
  <c r="N330" i="16"/>
  <c r="N334" i="16"/>
  <c r="K370" i="16"/>
  <c r="P394" i="16"/>
  <c r="M392" i="16"/>
  <c r="P392" i="16" s="1"/>
  <c r="M391" i="16"/>
  <c r="P391" i="16" s="1"/>
  <c r="I433" i="16"/>
  <c r="K435" i="16"/>
  <c r="P336" i="16"/>
  <c r="M334" i="16"/>
  <c r="P334" i="16" s="1"/>
  <c r="K340" i="16"/>
  <c r="K365" i="16"/>
  <c r="L454" i="16"/>
  <c r="O454" i="16" s="1"/>
  <c r="O456" i="16"/>
  <c r="L446" i="16"/>
  <c r="P545" i="16"/>
  <c r="M544" i="16"/>
  <c r="P544" i="16" s="1"/>
  <c r="L639" i="16"/>
  <c r="O639" i="16" s="1"/>
  <c r="O641" i="16"/>
  <c r="L631" i="16"/>
  <c r="P772" i="16"/>
  <c r="M770" i="16"/>
  <c r="P770" i="16" s="1"/>
  <c r="L789" i="16"/>
  <c r="O789" i="16" s="1"/>
  <c r="O791" i="16"/>
  <c r="O807" i="16"/>
  <c r="L805" i="16"/>
  <c r="O805" i="16" s="1"/>
  <c r="O771" i="16"/>
  <c r="L770" i="16"/>
  <c r="O770" i="16" s="1"/>
  <c r="K592" i="16"/>
  <c r="N655" i="16"/>
  <c r="P739" i="16"/>
  <c r="M737" i="16"/>
  <c r="P737" i="16" s="1"/>
  <c r="N807" i="16"/>
  <c r="N808" i="16"/>
  <c r="P353" i="16"/>
  <c r="M351" i="16"/>
  <c r="P351" i="16" s="1"/>
  <c r="L526" i="16"/>
  <c r="O526" i="16" s="1"/>
  <c r="O528" i="16"/>
  <c r="K594" i="16"/>
  <c r="K701" i="16"/>
  <c r="O738" i="16"/>
  <c r="L737" i="16"/>
  <c r="O737" i="16" s="1"/>
  <c r="K359" i="16"/>
  <c r="K374" i="16"/>
  <c r="O403" i="16"/>
  <c r="N444" i="16"/>
  <c r="N544" i="16"/>
  <c r="K647" i="16"/>
  <c r="P756" i="16"/>
  <c r="M754" i="16"/>
  <c r="P754" i="16" s="1"/>
  <c r="O788" i="16"/>
  <c r="L786" i="16"/>
  <c r="O786" i="16" s="1"/>
  <c r="N805" i="16"/>
  <c r="P468" i="16"/>
  <c r="P503" i="16"/>
  <c r="O656" i="16"/>
  <c r="K674" i="16"/>
  <c r="I654" i="16"/>
  <c r="K654" i="16" s="1"/>
  <c r="L658" i="16"/>
  <c r="O658" i="16" s="1"/>
  <c r="K675" i="16"/>
  <c r="N469" i="16"/>
  <c r="N467" i="16" s="1"/>
  <c r="K143" i="15"/>
  <c r="I131" i="15"/>
  <c r="K131" i="15" s="1"/>
  <c r="J722" i="15"/>
  <c r="N55" i="13"/>
  <c r="N53" i="13" s="1"/>
  <c r="N26" i="15"/>
  <c r="N16" i="15" s="1"/>
  <c r="I77" i="15"/>
  <c r="I65" i="15" s="1"/>
  <c r="K65" i="15" s="1"/>
  <c r="L90" i="15"/>
  <c r="K145" i="15"/>
  <c r="K164" i="15"/>
  <c r="I216" i="15"/>
  <c r="K216" i="15" s="1"/>
  <c r="L249" i="15"/>
  <c r="O249" i="15" s="1"/>
  <c r="I276" i="15"/>
  <c r="K276" i="15" s="1"/>
  <c r="L392" i="15"/>
  <c r="O392" i="15" s="1"/>
  <c r="M121" i="15"/>
  <c r="P121" i="15" s="1"/>
  <c r="L125" i="15"/>
  <c r="O125" i="15" s="1"/>
  <c r="P127" i="15"/>
  <c r="O173" i="15"/>
  <c r="M263" i="15"/>
  <c r="P263" i="15" s="1"/>
  <c r="M279" i="15"/>
  <c r="M277" i="15" s="1"/>
  <c r="P277" i="15" s="1"/>
  <c r="N300" i="15"/>
  <c r="N298" i="15" s="1"/>
  <c r="J721" i="15"/>
  <c r="K800" i="15"/>
  <c r="L94" i="14"/>
  <c r="O94" i="14" s="1"/>
  <c r="O320" i="14"/>
  <c r="L330" i="14"/>
  <c r="L328" i="14" s="1"/>
  <c r="L334" i="14"/>
  <c r="O334" i="14" s="1"/>
  <c r="L657" i="14"/>
  <c r="L655" i="14" s="1"/>
  <c r="O655" i="14" s="1"/>
  <c r="M43" i="15"/>
  <c r="M41" i="15" s="1"/>
  <c r="L69" i="15"/>
  <c r="O69" i="15" s="1"/>
  <c r="L121" i="15"/>
  <c r="O121" i="15" s="1"/>
  <c r="I148" i="15"/>
  <c r="K148" i="15" s="1"/>
  <c r="P173" i="15"/>
  <c r="O269" i="15"/>
  <c r="L347" i="15"/>
  <c r="L345" i="15" s="1"/>
  <c r="K362" i="15"/>
  <c r="K649" i="15"/>
  <c r="P93" i="15"/>
  <c r="J327" i="15"/>
  <c r="K327" i="15" s="1"/>
  <c r="K369" i="15"/>
  <c r="K372" i="15"/>
  <c r="L688" i="15"/>
  <c r="O688" i="15" s="1"/>
  <c r="O690" i="15"/>
  <c r="L687" i="15"/>
  <c r="L685" i="15" s="1"/>
  <c r="O685" i="15" s="1"/>
  <c r="L300" i="15"/>
  <c r="L298" i="15" s="1"/>
  <c r="O306" i="15"/>
  <c r="L304" i="15"/>
  <c r="O304" i="15" s="1"/>
  <c r="M317" i="15"/>
  <c r="P317" i="15" s="1"/>
  <c r="P320" i="15"/>
  <c r="M318" i="15"/>
  <c r="P318" i="15" s="1"/>
  <c r="M408" i="15"/>
  <c r="P408" i="15" s="1"/>
  <c r="O58" i="14"/>
  <c r="N56" i="14"/>
  <c r="P56" i="14" s="1"/>
  <c r="K176" i="14"/>
  <c r="I174" i="14"/>
  <c r="K174" i="14" s="1"/>
  <c r="L33" i="15"/>
  <c r="N23" i="15"/>
  <c r="N13" i="15" s="1"/>
  <c r="N43" i="15"/>
  <c r="N41" i="15" s="1"/>
  <c r="O46" i="15"/>
  <c r="M69" i="15"/>
  <c r="P69" i="15" s="1"/>
  <c r="L168" i="15"/>
  <c r="O170" i="15"/>
  <c r="P189" i="15"/>
  <c r="M183" i="15"/>
  <c r="L330" i="15"/>
  <c r="L328" i="15" s="1"/>
  <c r="O336" i="15"/>
  <c r="L334" i="15"/>
  <c r="O334" i="15" s="1"/>
  <c r="L36" i="15"/>
  <c r="O36" i="15" s="1"/>
  <c r="L469" i="15"/>
  <c r="L467" i="15" s="1"/>
  <c r="O467" i="15" s="1"/>
  <c r="O479" i="15"/>
  <c r="O282" i="15"/>
  <c r="L280" i="15"/>
  <c r="O280" i="15" s="1"/>
  <c r="O58" i="15"/>
  <c r="L55" i="15"/>
  <c r="P96" i="15"/>
  <c r="M26" i="15"/>
  <c r="I248" i="15"/>
  <c r="K248" i="15" s="1"/>
  <c r="K255" i="15"/>
  <c r="L632" i="15"/>
  <c r="O632" i="15" s="1"/>
  <c r="O634" i="15"/>
  <c r="O397" i="15"/>
  <c r="L395" i="15"/>
  <c r="O395" i="15" s="1"/>
  <c r="L391" i="15"/>
  <c r="O391" i="15" s="1"/>
  <c r="N151" i="14"/>
  <c r="K460" i="14"/>
  <c r="I442" i="14"/>
  <c r="K442" i="14" s="1"/>
  <c r="N122" i="15"/>
  <c r="N121" i="15"/>
  <c r="N119" i="15" s="1"/>
  <c r="O266" i="15"/>
  <c r="L263" i="15"/>
  <c r="L261" i="15" s="1"/>
  <c r="L264" i="15"/>
  <c r="O264" i="15" s="1"/>
  <c r="L134" i="15"/>
  <c r="L132" i="15" s="1"/>
  <c r="O132" i="15" s="1"/>
  <c r="L135" i="15"/>
  <c r="O135" i="15" s="1"/>
  <c r="I237" i="15"/>
  <c r="K237" i="15" s="1"/>
  <c r="I233" i="15"/>
  <c r="K233" i="15" s="1"/>
  <c r="I522" i="15"/>
  <c r="K522" i="15" s="1"/>
  <c r="K537" i="15"/>
  <c r="J537" i="15"/>
  <c r="J522" i="15" s="1"/>
  <c r="K672" i="15"/>
  <c r="K669" i="15"/>
  <c r="L121" i="14"/>
  <c r="O121" i="14" s="1"/>
  <c r="M23" i="15"/>
  <c r="M13" i="15" s="1"/>
  <c r="M11" i="15" s="1"/>
  <c r="K593" i="15"/>
  <c r="N167" i="13"/>
  <c r="N165" i="13" s="1"/>
  <c r="L304" i="14"/>
  <c r="O304" i="14" s="1"/>
  <c r="M56" i="15"/>
  <c r="N91" i="15"/>
  <c r="O91" i="15" s="1"/>
  <c r="M135" i="15"/>
  <c r="P135" i="15" s="1"/>
  <c r="N134" i="15"/>
  <c r="N132" i="15" s="1"/>
  <c r="P170" i="15"/>
  <c r="K174" i="15"/>
  <c r="O189" i="15"/>
  <c r="L238" i="15"/>
  <c r="M280" i="15"/>
  <c r="P280" i="15" s="1"/>
  <c r="M304" i="15"/>
  <c r="P304" i="15" s="1"/>
  <c r="N318" i="15"/>
  <c r="O331" i="15"/>
  <c r="O333" i="15"/>
  <c r="N348" i="15"/>
  <c r="O348" i="15" s="1"/>
  <c r="L405" i="15"/>
  <c r="O405" i="15" s="1"/>
  <c r="I260" i="13"/>
  <c r="K260" i="13" s="1"/>
  <c r="K355" i="14"/>
  <c r="L68" i="15"/>
  <c r="L66" i="15" s="1"/>
  <c r="O66" i="15" s="1"/>
  <c r="L152" i="15"/>
  <c r="O152" i="15" s="1"/>
  <c r="M264" i="15"/>
  <c r="P264" i="15" s="1"/>
  <c r="L321" i="15"/>
  <c r="O321" i="15" s="1"/>
  <c r="L351" i="15"/>
  <c r="O351" i="15" s="1"/>
  <c r="O353" i="15"/>
  <c r="M405" i="15"/>
  <c r="P405" i="15" s="1"/>
  <c r="L43" i="14"/>
  <c r="L41" i="14" s="1"/>
  <c r="M122" i="14"/>
  <c r="P122" i="14" s="1"/>
  <c r="N68" i="15"/>
  <c r="N66" i="15" s="1"/>
  <c r="P186" i="15"/>
  <c r="I190" i="15"/>
  <c r="K190" i="15" s="1"/>
  <c r="L230" i="15"/>
  <c r="I559" i="15"/>
  <c r="K559" i="15" s="1"/>
  <c r="K823" i="15"/>
  <c r="P56" i="9"/>
  <c r="P61" i="14"/>
  <c r="N68" i="14"/>
  <c r="N66" i="14" s="1"/>
  <c r="K99" i="14"/>
  <c r="J537" i="14"/>
  <c r="J522" i="14" s="1"/>
  <c r="K821" i="14"/>
  <c r="K824" i="14"/>
  <c r="K827" i="14"/>
  <c r="J143" i="15"/>
  <c r="J131" i="15" s="1"/>
  <c r="K146" i="15"/>
  <c r="L155" i="15"/>
  <c r="O155" i="15" s="1"/>
  <c r="O186" i="15"/>
  <c r="M391" i="15"/>
  <c r="P391" i="15" s="1"/>
  <c r="I434" i="15"/>
  <c r="K434" i="15" s="1"/>
  <c r="I628" i="15"/>
  <c r="K628" i="15" s="1"/>
  <c r="L657" i="15"/>
  <c r="O657" i="15" s="1"/>
  <c r="I216" i="12"/>
  <c r="K216" i="12" s="1"/>
  <c r="K700" i="13"/>
  <c r="K708" i="13"/>
  <c r="P96" i="14"/>
  <c r="N122" i="14"/>
  <c r="I130" i="14"/>
  <c r="K130" i="14" s="1"/>
  <c r="N167" i="14"/>
  <c r="N165" i="14" s="1"/>
  <c r="N183" i="14"/>
  <c r="N181" i="14" s="1"/>
  <c r="P189" i="14"/>
  <c r="I216" i="14"/>
  <c r="K216" i="14" s="1"/>
  <c r="N263" i="14"/>
  <c r="N261" i="14" s="1"/>
  <c r="M279" i="14"/>
  <c r="P279" i="14" s="1"/>
  <c r="M405" i="14"/>
  <c r="P405" i="14" s="1"/>
  <c r="L408" i="14"/>
  <c r="O408" i="14" s="1"/>
  <c r="K538" i="14"/>
  <c r="P71" i="14"/>
  <c r="M283" i="14"/>
  <c r="P283" i="14" s="1"/>
  <c r="K338" i="14"/>
  <c r="N55" i="14"/>
  <c r="I297" i="14"/>
  <c r="K297" i="14" s="1"/>
  <c r="L301" i="14"/>
  <c r="O301" i="14" s="1"/>
  <c r="L151" i="12"/>
  <c r="O151" i="12" s="1"/>
  <c r="O170" i="14"/>
  <c r="O186" i="14"/>
  <c r="I87" i="13"/>
  <c r="K87" i="13" s="1"/>
  <c r="N404" i="13"/>
  <c r="N402" i="13" s="1"/>
  <c r="L122" i="14"/>
  <c r="O122" i="14" s="1"/>
  <c r="P168" i="14"/>
  <c r="K674" i="14"/>
  <c r="K669" i="14"/>
  <c r="N15" i="15"/>
  <c r="L26" i="15"/>
  <c r="N29" i="15"/>
  <c r="N28" i="15" s="1"/>
  <c r="N44" i="15"/>
  <c r="O54" i="15"/>
  <c r="P58" i="15"/>
  <c r="M68" i="15"/>
  <c r="M94" i="15"/>
  <c r="P94" i="15" s="1"/>
  <c r="O137" i="15"/>
  <c r="L167" i="15"/>
  <c r="N168" i="15"/>
  <c r="K176" i="15"/>
  <c r="L183" i="15"/>
  <c r="N184" i="15"/>
  <c r="I197" i="15"/>
  <c r="K197" i="15" s="1"/>
  <c r="L198" i="15"/>
  <c r="O198" i="15" s="1"/>
  <c r="L228" i="15"/>
  <c r="P282" i="15"/>
  <c r="I297" i="15"/>
  <c r="K297" i="15" s="1"/>
  <c r="K370" i="15"/>
  <c r="K385" i="15"/>
  <c r="L56" i="15"/>
  <c r="L59" i="15"/>
  <c r="O59" i="15" s="1"/>
  <c r="M91" i="15"/>
  <c r="L138" i="15"/>
  <c r="O138" i="15" s="1"/>
  <c r="L429" i="15"/>
  <c r="O429" i="15" s="1"/>
  <c r="O431" i="15"/>
  <c r="L421" i="15"/>
  <c r="O421" i="15" s="1"/>
  <c r="O468" i="15"/>
  <c r="J288" i="15"/>
  <c r="J275" i="15" s="1"/>
  <c r="I275" i="15"/>
  <c r="K275" i="15" s="1"/>
  <c r="P419" i="15"/>
  <c r="K460" i="15"/>
  <c r="I442" i="15"/>
  <c r="K442" i="15" s="1"/>
  <c r="M467" i="15"/>
  <c r="P467" i="15" s="1"/>
  <c r="P468" i="15"/>
  <c r="L23" i="15"/>
  <c r="M31" i="15"/>
  <c r="P31" i="15" s="1"/>
  <c r="P46" i="15"/>
  <c r="M90" i="15"/>
  <c r="L151" i="15"/>
  <c r="K244" i="15"/>
  <c r="L279" i="15"/>
  <c r="O279" i="15" s="1"/>
  <c r="K288" i="15"/>
  <c r="P303" i="15"/>
  <c r="P353" i="15"/>
  <c r="M351" i="15"/>
  <c r="P351" i="15" s="1"/>
  <c r="K462" i="15"/>
  <c r="I443" i="15"/>
  <c r="K443" i="15" s="1"/>
  <c r="M544" i="15"/>
  <c r="P544" i="15" s="1"/>
  <c r="P545" i="15"/>
  <c r="L15" i="15"/>
  <c r="L29" i="15"/>
  <c r="M30" i="15"/>
  <c r="P30" i="15" s="1"/>
  <c r="K79" i="15"/>
  <c r="O93" i="15"/>
  <c r="K99" i="15"/>
  <c r="N263" i="15"/>
  <c r="N261" i="15" s="1"/>
  <c r="I364" i="15"/>
  <c r="P394" i="15"/>
  <c r="M392" i="15"/>
  <c r="P392" i="15" s="1"/>
  <c r="M404" i="15"/>
  <c r="O420" i="15"/>
  <c r="L419" i="15"/>
  <c r="M15" i="15"/>
  <c r="M29" i="15"/>
  <c r="I112" i="15"/>
  <c r="K112" i="15" s="1"/>
  <c r="M134" i="15"/>
  <c r="P134" i="15" s="1"/>
  <c r="N151" i="15"/>
  <c r="N149" i="15" s="1"/>
  <c r="O316" i="15"/>
  <c r="P329" i="15"/>
  <c r="P333" i="15"/>
  <c r="M331" i="15"/>
  <c r="P331" i="15" s="1"/>
  <c r="P350" i="15"/>
  <c r="M348" i="15"/>
  <c r="O403" i="15"/>
  <c r="P445" i="15"/>
  <c r="O470" i="15"/>
  <c r="P336" i="15"/>
  <c r="M334" i="15"/>
  <c r="P334" i="15" s="1"/>
  <c r="K340" i="15"/>
  <c r="K365" i="15"/>
  <c r="J433" i="15"/>
  <c r="J417" i="15" s="1"/>
  <c r="K647" i="15"/>
  <c r="O755" i="15"/>
  <c r="L754" i="15"/>
  <c r="O754" i="15" s="1"/>
  <c r="P772" i="15"/>
  <c r="M770" i="15"/>
  <c r="P770" i="15" s="1"/>
  <c r="L789" i="15"/>
  <c r="O789" i="15" s="1"/>
  <c r="O791" i="15"/>
  <c r="O807" i="15"/>
  <c r="L805" i="15"/>
  <c r="O805" i="15" s="1"/>
  <c r="O771" i="15"/>
  <c r="L770" i="15"/>
  <c r="O770" i="15" s="1"/>
  <c r="K592" i="15"/>
  <c r="P630" i="15"/>
  <c r="L639" i="15"/>
  <c r="O639" i="15" s="1"/>
  <c r="O641" i="15"/>
  <c r="L631" i="15"/>
  <c r="P739" i="15"/>
  <c r="M737" i="15"/>
  <c r="P737" i="15" s="1"/>
  <c r="N807" i="15"/>
  <c r="N805" i="15" s="1"/>
  <c r="N808" i="15"/>
  <c r="L526" i="15"/>
  <c r="O526" i="15" s="1"/>
  <c r="O528" i="15"/>
  <c r="N655" i="15"/>
  <c r="O738" i="15"/>
  <c r="L737" i="15"/>
  <c r="O737" i="15" s="1"/>
  <c r="P397" i="15"/>
  <c r="M395" i="15"/>
  <c r="P395" i="15" s="1"/>
  <c r="N419" i="15"/>
  <c r="I433" i="15"/>
  <c r="L454" i="15"/>
  <c r="O454" i="15" s="1"/>
  <c r="O456" i="15"/>
  <c r="L446" i="15"/>
  <c r="N470" i="15"/>
  <c r="O557" i="15"/>
  <c r="L546" i="15"/>
  <c r="L555" i="15"/>
  <c r="O555" i="15" s="1"/>
  <c r="K594" i="15"/>
  <c r="P756" i="15"/>
  <c r="M754" i="15"/>
  <c r="P754" i="15" s="1"/>
  <c r="L788" i="15"/>
  <c r="P503" i="15"/>
  <c r="O656" i="15"/>
  <c r="K674" i="15"/>
  <c r="I654" i="15"/>
  <c r="K654" i="15" s="1"/>
  <c r="L658" i="15"/>
  <c r="O658" i="15" s="1"/>
  <c r="K675" i="15"/>
  <c r="L347" i="14"/>
  <c r="L345" i="14" s="1"/>
  <c r="I785" i="14"/>
  <c r="K785" i="14" s="1"/>
  <c r="M68" i="12"/>
  <c r="P68" i="12" s="1"/>
  <c r="O690" i="13"/>
  <c r="N59" i="14"/>
  <c r="L183" i="14"/>
  <c r="L181" i="14" s="1"/>
  <c r="M263" i="14"/>
  <c r="P263" i="14" s="1"/>
  <c r="M408" i="14"/>
  <c r="P408" i="14" s="1"/>
  <c r="I434" i="14"/>
  <c r="L632" i="14"/>
  <c r="O632" i="14" s="1"/>
  <c r="K726" i="14"/>
  <c r="M347" i="14"/>
  <c r="M345" i="14" s="1"/>
  <c r="O535" i="14"/>
  <c r="K224" i="10"/>
  <c r="L43" i="13"/>
  <c r="L41" i="13" s="1"/>
  <c r="N121" i="13"/>
  <c r="N119" i="13" s="1"/>
  <c r="L152" i="14"/>
  <c r="L155" i="14"/>
  <c r="O155" i="14" s="1"/>
  <c r="L167" i="14"/>
  <c r="J364" i="14"/>
  <c r="L167" i="11"/>
  <c r="L165" i="11" s="1"/>
  <c r="M59" i="14"/>
  <c r="L134" i="11"/>
  <c r="O134" i="11" s="1"/>
  <c r="L230" i="13"/>
  <c r="N391" i="13"/>
  <c r="N389" i="13" s="1"/>
  <c r="K98" i="14"/>
  <c r="M121" i="14"/>
  <c r="P121" i="14" s="1"/>
  <c r="L171" i="14"/>
  <c r="O171" i="14" s="1"/>
  <c r="L187" i="14"/>
  <c r="O187" i="14" s="1"/>
  <c r="L249" i="14"/>
  <c r="O249" i="14" s="1"/>
  <c r="L267" i="14"/>
  <c r="O267" i="14" s="1"/>
  <c r="K340" i="14"/>
  <c r="K381" i="14"/>
  <c r="L447" i="14"/>
  <c r="O447" i="14" s="1"/>
  <c r="L469" i="14"/>
  <c r="O469" i="14" s="1"/>
  <c r="L525" i="14"/>
  <c r="O525" i="14" s="1"/>
  <c r="L477" i="8"/>
  <c r="O477" i="8" s="1"/>
  <c r="O301" i="13"/>
  <c r="L171" i="13"/>
  <c r="O171" i="13" s="1"/>
  <c r="L125" i="14"/>
  <c r="O125" i="14" s="1"/>
  <c r="N134" i="14"/>
  <c r="N132" i="14" s="1"/>
  <c r="P173" i="14"/>
  <c r="O331" i="14"/>
  <c r="L395" i="14"/>
  <c r="O395" i="14" s="1"/>
  <c r="L687" i="14"/>
  <c r="L685" i="14" s="1"/>
  <c r="O685" i="14" s="1"/>
  <c r="N43" i="12"/>
  <c r="N41" i="12" s="1"/>
  <c r="M47" i="14"/>
  <c r="P47" i="14" s="1"/>
  <c r="P49" i="14"/>
  <c r="M68" i="14"/>
  <c r="M66" i="14" s="1"/>
  <c r="P66" i="14" s="1"/>
  <c r="P74" i="14"/>
  <c r="M72" i="14"/>
  <c r="P72" i="14" s="1"/>
  <c r="P140" i="14"/>
  <c r="M138" i="14"/>
  <c r="P138" i="14" s="1"/>
  <c r="K288" i="14"/>
  <c r="J288" i="14"/>
  <c r="J275" i="14" s="1"/>
  <c r="I275" i="14"/>
  <c r="K275" i="14" s="1"/>
  <c r="J722" i="14"/>
  <c r="K722" i="14" s="1"/>
  <c r="K725" i="14"/>
  <c r="O634" i="11"/>
  <c r="P306" i="13"/>
  <c r="M304" i="13"/>
  <c r="P304" i="13" s="1"/>
  <c r="K672" i="13"/>
  <c r="K669" i="13"/>
  <c r="L59" i="14"/>
  <c r="O61" i="14"/>
  <c r="L26" i="14"/>
  <c r="L24" i="14" s="1"/>
  <c r="L283" i="14"/>
  <c r="O283" i="14" s="1"/>
  <c r="L279" i="14"/>
  <c r="N408" i="14"/>
  <c r="N404" i="14"/>
  <c r="N402" i="14" s="1"/>
  <c r="O46" i="14"/>
  <c r="N44" i="14"/>
  <c r="O44" i="14" s="1"/>
  <c r="N23" i="14"/>
  <c r="N13" i="14" s="1"/>
  <c r="K193" i="14"/>
  <c r="I190" i="14"/>
  <c r="K190" i="14" s="1"/>
  <c r="L347" i="10"/>
  <c r="L345" i="10" s="1"/>
  <c r="L470" i="13"/>
  <c r="O470" i="13" s="1"/>
  <c r="O472" i="13"/>
  <c r="K271" i="14"/>
  <c r="I260" i="14"/>
  <c r="K260" i="14" s="1"/>
  <c r="P282" i="13"/>
  <c r="M280" i="13"/>
  <c r="P280" i="13" s="1"/>
  <c r="N395" i="14"/>
  <c r="N391" i="14"/>
  <c r="N389" i="14" s="1"/>
  <c r="L422" i="8"/>
  <c r="O422" i="8" s="1"/>
  <c r="K325" i="13"/>
  <c r="I314" i="13"/>
  <c r="K314" i="13" s="1"/>
  <c r="L90" i="14"/>
  <c r="L88" i="14" s="1"/>
  <c r="O93" i="14"/>
  <c r="L91" i="14"/>
  <c r="O91" i="14" s="1"/>
  <c r="L23" i="14"/>
  <c r="I112" i="14"/>
  <c r="K112" i="14" s="1"/>
  <c r="M155" i="14"/>
  <c r="P155" i="14" s="1"/>
  <c r="P157" i="14"/>
  <c r="L264" i="14"/>
  <c r="O264" i="14" s="1"/>
  <c r="L263" i="14"/>
  <c r="O266" i="14"/>
  <c r="O424" i="14"/>
  <c r="L422" i="14"/>
  <c r="O422" i="14" s="1"/>
  <c r="L33" i="14"/>
  <c r="L36" i="14"/>
  <c r="O36" i="14" s="1"/>
  <c r="L56" i="14"/>
  <c r="M125" i="14"/>
  <c r="P125" i="14" s="1"/>
  <c r="L209" i="14"/>
  <c r="O209" i="14" s="1"/>
  <c r="L230" i="14"/>
  <c r="N348" i="14"/>
  <c r="O348" i="14" s="1"/>
  <c r="O351" i="14"/>
  <c r="L392" i="14"/>
  <c r="O392" i="14" s="1"/>
  <c r="M404" i="14"/>
  <c r="I433" i="14"/>
  <c r="I417" i="14" s="1"/>
  <c r="L477" i="14"/>
  <c r="O477" i="14" s="1"/>
  <c r="K672" i="14"/>
  <c r="O688" i="14"/>
  <c r="M94" i="13"/>
  <c r="P94" i="13" s="1"/>
  <c r="N330" i="13"/>
  <c r="N328" i="13" s="1"/>
  <c r="O71" i="14"/>
  <c r="P127" i="14"/>
  <c r="N152" i="14"/>
  <c r="O154" i="14"/>
  <c r="L198" i="14"/>
  <c r="O198" i="14" s="1"/>
  <c r="I233" i="14"/>
  <c r="K233" i="14" s="1"/>
  <c r="K287" i="14"/>
  <c r="N301" i="14"/>
  <c r="L318" i="14"/>
  <c r="O318" i="14" s="1"/>
  <c r="N330" i="14"/>
  <c r="N328" i="14" s="1"/>
  <c r="K385" i="14"/>
  <c r="I559" i="14"/>
  <c r="K559" i="14" s="1"/>
  <c r="K673" i="14"/>
  <c r="O690" i="14"/>
  <c r="K700" i="14"/>
  <c r="K822" i="14"/>
  <c r="K825" i="14"/>
  <c r="K828" i="14"/>
  <c r="O74" i="13"/>
  <c r="P140" i="13"/>
  <c r="O124" i="14"/>
  <c r="I148" i="14"/>
  <c r="K148" i="14" s="1"/>
  <c r="L168" i="14"/>
  <c r="O168" i="14" s="1"/>
  <c r="L184" i="14"/>
  <c r="O184" i="14" s="1"/>
  <c r="L238" i="14"/>
  <c r="M280" i="14"/>
  <c r="P280" i="14" s="1"/>
  <c r="L300" i="14"/>
  <c r="O300" i="14" s="1"/>
  <c r="I314" i="14"/>
  <c r="K314" i="14" s="1"/>
  <c r="L321" i="14"/>
  <c r="O321" i="14" s="1"/>
  <c r="O350" i="14"/>
  <c r="I443" i="14"/>
  <c r="K443" i="14" s="1"/>
  <c r="I628" i="14"/>
  <c r="K628" i="14" s="1"/>
  <c r="K823" i="14"/>
  <c r="K826" i="14"/>
  <c r="K355" i="12"/>
  <c r="K725" i="13"/>
  <c r="O49" i="14"/>
  <c r="P91" i="14"/>
  <c r="L217" i="14"/>
  <c r="O217" i="14" s="1"/>
  <c r="I237" i="14"/>
  <c r="K237" i="14" s="1"/>
  <c r="L229" i="14"/>
  <c r="O353" i="14"/>
  <c r="L391" i="14"/>
  <c r="O391" i="14" s="1"/>
  <c r="K723" i="14"/>
  <c r="P166" i="14"/>
  <c r="O788" i="14"/>
  <c r="L786" i="14"/>
  <c r="O786" i="14" s="1"/>
  <c r="N805" i="14"/>
  <c r="L55" i="11"/>
  <c r="L53" i="11" s="1"/>
  <c r="M43" i="12"/>
  <c r="M41" i="12" s="1"/>
  <c r="I628" i="12"/>
  <c r="K628" i="12" s="1"/>
  <c r="O93" i="13"/>
  <c r="K176" i="13"/>
  <c r="L231" i="13"/>
  <c r="P269" i="13"/>
  <c r="J722" i="13"/>
  <c r="K722" i="13" s="1"/>
  <c r="K822" i="13"/>
  <c r="K825" i="13"/>
  <c r="K828" i="13"/>
  <c r="L138" i="14"/>
  <c r="O138" i="14" s="1"/>
  <c r="O140" i="14"/>
  <c r="L134" i="14"/>
  <c r="P154" i="14"/>
  <c r="M151" i="14"/>
  <c r="P93" i="12"/>
  <c r="L44" i="13"/>
  <c r="O44" i="13" s="1"/>
  <c r="P93" i="13"/>
  <c r="N317" i="13"/>
  <c r="N315" i="13" s="1"/>
  <c r="M408" i="13"/>
  <c r="P408" i="13" s="1"/>
  <c r="I628" i="13"/>
  <c r="K628" i="13" s="1"/>
  <c r="K729" i="13"/>
  <c r="O299" i="14"/>
  <c r="I297" i="12"/>
  <c r="K297" i="12" s="1"/>
  <c r="L318" i="12"/>
  <c r="O318" i="12" s="1"/>
  <c r="O303" i="13"/>
  <c r="L321" i="13"/>
  <c r="O321" i="13" s="1"/>
  <c r="L334" i="13"/>
  <c r="O334" i="13" s="1"/>
  <c r="L36" i="13"/>
  <c r="O36" i="13" s="1"/>
  <c r="N19" i="14"/>
  <c r="N12" i="14"/>
  <c r="N28" i="14"/>
  <c r="M44" i="14"/>
  <c r="M23" i="14"/>
  <c r="P46" i="14"/>
  <c r="M43" i="14"/>
  <c r="M41" i="14" s="1"/>
  <c r="P58" i="14"/>
  <c r="M55" i="14"/>
  <c r="P89" i="14"/>
  <c r="M134" i="11"/>
  <c r="P134" i="11" s="1"/>
  <c r="K340" i="11"/>
  <c r="M395" i="11"/>
  <c r="P395" i="11" s="1"/>
  <c r="P61" i="12"/>
  <c r="L69" i="12"/>
  <c r="O69" i="12" s="1"/>
  <c r="L238" i="12"/>
  <c r="O238" i="12" s="1"/>
  <c r="K378" i="12"/>
  <c r="N56" i="13"/>
  <c r="O56" i="13" s="1"/>
  <c r="N68" i="13"/>
  <c r="N66" i="13" s="1"/>
  <c r="N90" i="13"/>
  <c r="N88" i="13" s="1"/>
  <c r="P170" i="13"/>
  <c r="O184" i="13"/>
  <c r="I216" i="13"/>
  <c r="K216" i="13" s="1"/>
  <c r="L347" i="13"/>
  <c r="L345" i="13" s="1"/>
  <c r="L391" i="13"/>
  <c r="O391" i="13" s="1"/>
  <c r="I785" i="13"/>
  <c r="K785" i="13" s="1"/>
  <c r="M184" i="14"/>
  <c r="P184" i="14" s="1"/>
  <c r="P186" i="14"/>
  <c r="M183" i="14"/>
  <c r="L229" i="12"/>
  <c r="P74" i="13"/>
  <c r="N122" i="13"/>
  <c r="M183" i="13"/>
  <c r="M181" i="13" s="1"/>
  <c r="K340" i="13"/>
  <c r="J364" i="13"/>
  <c r="K385" i="13"/>
  <c r="L687" i="13"/>
  <c r="L685" i="13" s="1"/>
  <c r="O685" i="13" s="1"/>
  <c r="K720" i="13"/>
  <c r="P33" i="14"/>
  <c r="M30" i="14"/>
  <c r="N47" i="14"/>
  <c r="N43" i="14"/>
  <c r="N41" i="14" s="1"/>
  <c r="N26" i="14"/>
  <c r="N24" i="14" s="1"/>
  <c r="O67" i="14"/>
  <c r="M26" i="14"/>
  <c r="M24" i="14" s="1"/>
  <c r="P93" i="14"/>
  <c r="M135" i="14"/>
  <c r="P135" i="14" s="1"/>
  <c r="P170" i="14"/>
  <c r="K204" i="14"/>
  <c r="I197" i="14"/>
  <c r="K197" i="14" s="1"/>
  <c r="K255" i="14"/>
  <c r="I248" i="14"/>
  <c r="O262" i="14"/>
  <c r="N279" i="14"/>
  <c r="N277" i="14" s="1"/>
  <c r="M301" i="14"/>
  <c r="P301" i="14" s="1"/>
  <c r="P303" i="14"/>
  <c r="O346" i="14"/>
  <c r="O771" i="14"/>
  <c r="L770" i="14"/>
  <c r="O770" i="14" s="1"/>
  <c r="M264" i="14"/>
  <c r="P264" i="14" s="1"/>
  <c r="P266" i="14"/>
  <c r="P278" i="14"/>
  <c r="K374" i="14"/>
  <c r="I364" i="14"/>
  <c r="L639" i="14"/>
  <c r="O639" i="14" s="1"/>
  <c r="O641" i="14"/>
  <c r="L631" i="14"/>
  <c r="O631" i="14" s="1"/>
  <c r="M31" i="14"/>
  <c r="P31" i="14" s="1"/>
  <c r="I77" i="14"/>
  <c r="M134" i="14"/>
  <c r="P134" i="14" s="1"/>
  <c r="K145" i="14"/>
  <c r="I143" i="14"/>
  <c r="M304" i="14"/>
  <c r="P304" i="14" s="1"/>
  <c r="P306" i="14"/>
  <c r="L9" i="14"/>
  <c r="L15" i="14"/>
  <c r="L29" i="14"/>
  <c r="P32" i="14"/>
  <c r="O54" i="14"/>
  <c r="L68" i="14"/>
  <c r="O68" i="14" s="1"/>
  <c r="I76" i="14"/>
  <c r="O137" i="14"/>
  <c r="O150" i="14"/>
  <c r="I208" i="14"/>
  <c r="K208" i="14" s="1"/>
  <c r="M267" i="14"/>
  <c r="P267" i="14" s="1"/>
  <c r="P269" i="14"/>
  <c r="M321" i="14"/>
  <c r="P321" i="14" s="1"/>
  <c r="P323" i="14"/>
  <c r="P336" i="14"/>
  <c r="M334" i="14"/>
  <c r="P334" i="14" s="1"/>
  <c r="M330" i="14"/>
  <c r="M328" i="14" s="1"/>
  <c r="P397" i="14"/>
  <c r="M395" i="14"/>
  <c r="P395" i="14" s="1"/>
  <c r="M391" i="14"/>
  <c r="P391" i="14" s="1"/>
  <c r="M9" i="14"/>
  <c r="M15" i="14"/>
  <c r="N30" i="14"/>
  <c r="O74" i="14"/>
  <c r="M90" i="14"/>
  <c r="J143" i="14"/>
  <c r="J131" i="14" s="1"/>
  <c r="M167" i="14"/>
  <c r="M300" i="14"/>
  <c r="N414" i="14"/>
  <c r="O282" i="14"/>
  <c r="O285" i="14"/>
  <c r="O316" i="14"/>
  <c r="J327" i="14"/>
  <c r="K327" i="14" s="1"/>
  <c r="P350" i="14"/>
  <c r="M348" i="14"/>
  <c r="K369" i="14"/>
  <c r="L404" i="14"/>
  <c r="O407" i="14"/>
  <c r="M414" i="14"/>
  <c r="P414" i="14" s="1"/>
  <c r="P419" i="14"/>
  <c r="L429" i="14"/>
  <c r="O429" i="14" s="1"/>
  <c r="O431" i="14"/>
  <c r="L421" i="14"/>
  <c r="L526" i="14"/>
  <c r="O526" i="14" s="1"/>
  <c r="O528" i="14"/>
  <c r="P545" i="14"/>
  <c r="M544" i="14"/>
  <c r="P544" i="14" s="1"/>
  <c r="P739" i="14"/>
  <c r="M737" i="14"/>
  <c r="P737" i="14" s="1"/>
  <c r="L789" i="14"/>
  <c r="O789" i="14" s="1"/>
  <c r="O791" i="14"/>
  <c r="O807" i="14"/>
  <c r="L805" i="14"/>
  <c r="O805" i="14" s="1"/>
  <c r="P756" i="14"/>
  <c r="M754" i="14"/>
  <c r="P754" i="14" s="1"/>
  <c r="N807" i="14"/>
  <c r="N808" i="14"/>
  <c r="O333" i="14"/>
  <c r="P353" i="14"/>
  <c r="M351" i="14"/>
  <c r="P351" i="14" s="1"/>
  <c r="K359" i="14"/>
  <c r="K370" i="14"/>
  <c r="K378" i="14"/>
  <c r="K728" i="14"/>
  <c r="O738" i="14"/>
  <c r="L737" i="14"/>
  <c r="O737" i="14" s="1"/>
  <c r="M317" i="14"/>
  <c r="P333" i="14"/>
  <c r="M331" i="14"/>
  <c r="P331" i="14" s="1"/>
  <c r="K365" i="14"/>
  <c r="P394" i="14"/>
  <c r="M392" i="14"/>
  <c r="P392" i="14" s="1"/>
  <c r="L454" i="14"/>
  <c r="O454" i="14" s="1"/>
  <c r="O456" i="14"/>
  <c r="L446" i="14"/>
  <c r="O755" i="14"/>
  <c r="L754" i="14"/>
  <c r="O754" i="14" s="1"/>
  <c r="P772" i="14"/>
  <c r="M770" i="14"/>
  <c r="P770" i="14" s="1"/>
  <c r="P320" i="14"/>
  <c r="K360" i="14"/>
  <c r="K362" i="14"/>
  <c r="K379" i="14"/>
  <c r="K594" i="14"/>
  <c r="L470" i="14"/>
  <c r="O470" i="14" s="1"/>
  <c r="J721" i="14"/>
  <c r="K721" i="14" s="1"/>
  <c r="K675" i="14"/>
  <c r="M685" i="14"/>
  <c r="P685" i="14" s="1"/>
  <c r="M786" i="14"/>
  <c r="P786" i="14" s="1"/>
  <c r="J433" i="14"/>
  <c r="J417" i="14" s="1"/>
  <c r="K537" i="14"/>
  <c r="L546" i="14"/>
  <c r="K593" i="14"/>
  <c r="O186" i="11"/>
  <c r="L33" i="13"/>
  <c r="L31" i="13" s="1"/>
  <c r="O31" i="13" s="1"/>
  <c r="M90" i="13"/>
  <c r="M88" i="13" s="1"/>
  <c r="L134" i="13"/>
  <c r="L132" i="13" s="1"/>
  <c r="O132" i="13" s="1"/>
  <c r="K146" i="13"/>
  <c r="L263" i="13"/>
  <c r="L261" i="13" s="1"/>
  <c r="L317" i="13"/>
  <c r="O317" i="13" s="1"/>
  <c r="O333" i="13"/>
  <c r="O348" i="13"/>
  <c r="L23" i="13"/>
  <c r="L21" i="13" s="1"/>
  <c r="L122" i="13"/>
  <c r="O122" i="13" s="1"/>
  <c r="I148" i="13"/>
  <c r="K148" i="13" s="1"/>
  <c r="L151" i="13"/>
  <c r="L149" i="13" s="1"/>
  <c r="O152" i="13"/>
  <c r="M167" i="13"/>
  <c r="M184" i="13"/>
  <c r="P184" i="13" s="1"/>
  <c r="I276" i="13"/>
  <c r="K276" i="13" s="1"/>
  <c r="K309" i="13"/>
  <c r="L318" i="13"/>
  <c r="O318" i="13" s="1"/>
  <c r="L405" i="13"/>
  <c r="O405" i="13" s="1"/>
  <c r="L55" i="13"/>
  <c r="L53" i="13" s="1"/>
  <c r="J327" i="13"/>
  <c r="K327" i="13" s="1"/>
  <c r="N392" i="13"/>
  <c r="L395" i="13"/>
  <c r="O395" i="13" s="1"/>
  <c r="I559" i="13"/>
  <c r="K559" i="13" s="1"/>
  <c r="N300" i="13"/>
  <c r="N298" i="13" s="1"/>
  <c r="P301" i="13"/>
  <c r="L330" i="13"/>
  <c r="L328" i="13" s="1"/>
  <c r="P336" i="13"/>
  <c r="K654" i="13"/>
  <c r="M330" i="13"/>
  <c r="M328" i="13" s="1"/>
  <c r="K338" i="13"/>
  <c r="O350" i="13"/>
  <c r="J433" i="13"/>
  <c r="J417" i="13" s="1"/>
  <c r="K417" i="13" s="1"/>
  <c r="O549" i="13"/>
  <c r="K821" i="13"/>
  <c r="K824" i="13"/>
  <c r="K827" i="13"/>
  <c r="M183" i="12"/>
  <c r="M181" i="12" s="1"/>
  <c r="J537" i="12"/>
  <c r="J522" i="12" s="1"/>
  <c r="O46" i="13"/>
  <c r="P69" i="13"/>
  <c r="P186" i="13"/>
  <c r="K204" i="13"/>
  <c r="N321" i="13"/>
  <c r="I364" i="13"/>
  <c r="K364" i="13" s="1"/>
  <c r="K365" i="13"/>
  <c r="N405" i="13"/>
  <c r="L422" i="13"/>
  <c r="O422" i="13" s="1"/>
  <c r="O424" i="13"/>
  <c r="M121" i="12"/>
  <c r="M119" i="12" s="1"/>
  <c r="P119" i="12" s="1"/>
  <c r="L125" i="12"/>
  <c r="O125" i="12" s="1"/>
  <c r="N183" i="12"/>
  <c r="N181" i="12" s="1"/>
  <c r="O394" i="12"/>
  <c r="K538" i="12"/>
  <c r="P46" i="13"/>
  <c r="L69" i="13"/>
  <c r="O69" i="13" s="1"/>
  <c r="I76" i="13"/>
  <c r="I64" i="13" s="1"/>
  <c r="K64" i="13" s="1"/>
  <c r="I112" i="13"/>
  <c r="K112" i="13" s="1"/>
  <c r="L125" i="13"/>
  <c r="O125" i="13" s="1"/>
  <c r="M121" i="13"/>
  <c r="P121" i="13" s="1"/>
  <c r="L135" i="13"/>
  <c r="O135" i="13" s="1"/>
  <c r="O137" i="13"/>
  <c r="K145" i="13"/>
  <c r="L155" i="13"/>
  <c r="O155" i="13" s="1"/>
  <c r="M171" i="13"/>
  <c r="P171" i="13" s="1"/>
  <c r="P173" i="13"/>
  <c r="M187" i="13"/>
  <c r="P187" i="13" s="1"/>
  <c r="I208" i="13"/>
  <c r="K208" i="13" s="1"/>
  <c r="M264" i="13"/>
  <c r="P264" i="13" s="1"/>
  <c r="N264" i="13"/>
  <c r="O264" i="13" s="1"/>
  <c r="N263" i="13"/>
  <c r="J537" i="13"/>
  <c r="J522" i="13" s="1"/>
  <c r="L168" i="11"/>
  <c r="L171" i="11"/>
  <c r="O171" i="11" s="1"/>
  <c r="M334" i="11"/>
  <c r="P334" i="11" s="1"/>
  <c r="N134" i="12"/>
  <c r="N132" i="12" s="1"/>
  <c r="M151" i="12"/>
  <c r="P151" i="12" s="1"/>
  <c r="L155" i="12"/>
  <c r="O155" i="12" s="1"/>
  <c r="P157" i="12"/>
  <c r="L171" i="12"/>
  <c r="O171" i="12" s="1"/>
  <c r="O410" i="12"/>
  <c r="K823" i="12"/>
  <c r="K826" i="12"/>
  <c r="L47" i="13"/>
  <c r="O47" i="13" s="1"/>
  <c r="L68" i="13"/>
  <c r="O71" i="13"/>
  <c r="M91" i="13"/>
  <c r="P91" i="13" s="1"/>
  <c r="K115" i="13"/>
  <c r="P137" i="13"/>
  <c r="N151" i="13"/>
  <c r="N149" i="13" s="1"/>
  <c r="L209" i="13"/>
  <c r="O209" i="13" s="1"/>
  <c r="O331" i="13"/>
  <c r="K538" i="13"/>
  <c r="M138" i="11"/>
  <c r="P138" i="11" s="1"/>
  <c r="L43" i="12"/>
  <c r="O323" i="12"/>
  <c r="I559" i="12"/>
  <c r="I543" i="12" s="1"/>
  <c r="K543" i="12" s="1"/>
  <c r="K728" i="12"/>
  <c r="M43" i="13"/>
  <c r="P49" i="13"/>
  <c r="M68" i="13"/>
  <c r="P71" i="13"/>
  <c r="L121" i="13"/>
  <c r="M134" i="13"/>
  <c r="P134" i="13" s="1"/>
  <c r="L138" i="13"/>
  <c r="O138" i="13" s="1"/>
  <c r="O170" i="13"/>
  <c r="N183" i="13"/>
  <c r="O186" i="13"/>
  <c r="L198" i="13"/>
  <c r="O198" i="13" s="1"/>
  <c r="L238" i="13"/>
  <c r="O238" i="13" s="1"/>
  <c r="O394" i="13"/>
  <c r="L392" i="13"/>
  <c r="O392" i="13" s="1"/>
  <c r="K460" i="13"/>
  <c r="I442" i="13"/>
  <c r="K442" i="13" s="1"/>
  <c r="O660" i="13"/>
  <c r="L657" i="13"/>
  <c r="O657" i="13" s="1"/>
  <c r="L231" i="10"/>
  <c r="O93" i="12"/>
  <c r="K340" i="12"/>
  <c r="L391" i="12"/>
  <c r="O391" i="12" s="1"/>
  <c r="N43" i="13"/>
  <c r="P44" i="13"/>
  <c r="N134" i="13"/>
  <c r="N132" i="13" s="1"/>
  <c r="O154" i="13"/>
  <c r="L217" i="13"/>
  <c r="O217" i="13" s="1"/>
  <c r="M263" i="13"/>
  <c r="N279" i="13"/>
  <c r="N277" i="13" s="1"/>
  <c r="N283" i="13"/>
  <c r="P323" i="13"/>
  <c r="M317" i="13"/>
  <c r="P317" i="13" s="1"/>
  <c r="O351" i="13"/>
  <c r="K462" i="13"/>
  <c r="I443" i="13"/>
  <c r="K443" i="13" s="1"/>
  <c r="O410" i="13"/>
  <c r="L404" i="13"/>
  <c r="O404" i="13" s="1"/>
  <c r="J721" i="13"/>
  <c r="K721" i="13" s="1"/>
  <c r="O266" i="13"/>
  <c r="M300" i="13"/>
  <c r="M298" i="13" s="1"/>
  <c r="P333" i="13"/>
  <c r="L546" i="13"/>
  <c r="K823" i="13"/>
  <c r="K826" i="13"/>
  <c r="L469" i="13"/>
  <c r="L525" i="13"/>
  <c r="L523" i="13" s="1"/>
  <c r="O523" i="13" s="1"/>
  <c r="K435" i="13"/>
  <c r="O269" i="13"/>
  <c r="K537" i="13"/>
  <c r="K673" i="13"/>
  <c r="K723" i="13"/>
  <c r="K143" i="13"/>
  <c r="I131" i="13"/>
  <c r="K131" i="13" s="1"/>
  <c r="O46" i="10"/>
  <c r="I190" i="11"/>
  <c r="K190" i="11" s="1"/>
  <c r="M94" i="12"/>
  <c r="P94" i="12" s="1"/>
  <c r="I112" i="12"/>
  <c r="K112" i="12" s="1"/>
  <c r="M321" i="12"/>
  <c r="P321" i="12" s="1"/>
  <c r="M408" i="12"/>
  <c r="P408" i="12" s="1"/>
  <c r="O472" i="12"/>
  <c r="O22" i="13"/>
  <c r="L19" i="13"/>
  <c r="P54" i="13"/>
  <c r="N26" i="13"/>
  <c r="N16" i="13" s="1"/>
  <c r="N14" i="13" s="1"/>
  <c r="K164" i="13"/>
  <c r="L168" i="13"/>
  <c r="L183" i="13"/>
  <c r="L187" i="13"/>
  <c r="O187" i="13" s="1"/>
  <c r="L280" i="13"/>
  <c r="O280" i="13" s="1"/>
  <c r="O282" i="13"/>
  <c r="L279" i="13"/>
  <c r="P329" i="13"/>
  <c r="P407" i="13"/>
  <c r="M404" i="13"/>
  <c r="O738" i="13"/>
  <c r="L737" i="13"/>
  <c r="O737" i="13" s="1"/>
  <c r="I148" i="10"/>
  <c r="K148" i="10" s="1"/>
  <c r="N151" i="11"/>
  <c r="N149" i="11" s="1"/>
  <c r="N263" i="11"/>
  <c r="N261" i="11" s="1"/>
  <c r="K372" i="11"/>
  <c r="M404" i="11"/>
  <c r="P404" i="11" s="1"/>
  <c r="L447" i="11"/>
  <c r="O447" i="11" s="1"/>
  <c r="L55" i="12"/>
  <c r="L53" i="12" s="1"/>
  <c r="N55" i="12"/>
  <c r="N53" i="12" s="1"/>
  <c r="O61" i="12"/>
  <c r="K374" i="12"/>
  <c r="L395" i="12"/>
  <c r="O395" i="12" s="1"/>
  <c r="O397" i="12"/>
  <c r="P36" i="13"/>
  <c r="M34" i="13"/>
  <c r="P34" i="13" s="1"/>
  <c r="I86" i="13"/>
  <c r="K86" i="13" s="1"/>
  <c r="K98" i="13"/>
  <c r="M152" i="13"/>
  <c r="P152" i="13" s="1"/>
  <c r="P154" i="13"/>
  <c r="I275" i="13"/>
  <c r="K275" i="13" s="1"/>
  <c r="K288" i="13"/>
  <c r="J288" i="13"/>
  <c r="J275" i="13" s="1"/>
  <c r="M318" i="13"/>
  <c r="P318" i="13" s="1"/>
  <c r="P331" i="13"/>
  <c r="M405" i="13"/>
  <c r="P405" i="13" s="1"/>
  <c r="K593" i="13"/>
  <c r="J592" i="13"/>
  <c r="L230" i="10"/>
  <c r="L90" i="11"/>
  <c r="L88" i="11" s="1"/>
  <c r="L334" i="11"/>
  <c r="O334" i="11" s="1"/>
  <c r="M55" i="12"/>
  <c r="M72" i="12"/>
  <c r="P72" i="12" s="1"/>
  <c r="N151" i="12"/>
  <c r="N149" i="12" s="1"/>
  <c r="L230" i="12"/>
  <c r="M300" i="12"/>
  <c r="M298" i="12" s="1"/>
  <c r="O350" i="12"/>
  <c r="L657" i="12"/>
  <c r="O657" i="12" s="1"/>
  <c r="O35" i="13"/>
  <c r="M122" i="13"/>
  <c r="P122" i="13" s="1"/>
  <c r="P124" i="13"/>
  <c r="P150" i="13"/>
  <c r="I190" i="13"/>
  <c r="K190" i="13" s="1"/>
  <c r="L283" i="13"/>
  <c r="O283" i="13" s="1"/>
  <c r="O285" i="13"/>
  <c r="M351" i="13"/>
  <c r="P351" i="13" s="1"/>
  <c r="P353" i="13"/>
  <c r="K701" i="8"/>
  <c r="O154" i="12"/>
  <c r="O269" i="12"/>
  <c r="N300" i="12"/>
  <c r="N298" i="12" s="1"/>
  <c r="I443" i="12"/>
  <c r="K443" i="12" s="1"/>
  <c r="K700" i="12"/>
  <c r="L12" i="13"/>
  <c r="L15" i="13"/>
  <c r="L29" i="13"/>
  <c r="L91" i="13"/>
  <c r="O91" i="13" s="1"/>
  <c r="O96" i="13"/>
  <c r="L26" i="13"/>
  <c r="P120" i="13"/>
  <c r="M155" i="13"/>
  <c r="P155" i="13" s="1"/>
  <c r="P157" i="13"/>
  <c r="L167" i="13"/>
  <c r="K174" i="13"/>
  <c r="I233" i="13"/>
  <c r="K233" i="13" s="1"/>
  <c r="K244" i="13"/>
  <c r="I237" i="13"/>
  <c r="P285" i="13"/>
  <c r="M279" i="13"/>
  <c r="N347" i="13"/>
  <c r="O353" i="13"/>
  <c r="P545" i="13"/>
  <c r="M544" i="13"/>
  <c r="P544" i="13" s="1"/>
  <c r="P12" i="13"/>
  <c r="M56" i="13"/>
  <c r="P58" i="13"/>
  <c r="M125" i="13"/>
  <c r="P125" i="13" s="1"/>
  <c r="P127" i="13"/>
  <c r="L228" i="13"/>
  <c r="L249" i="13"/>
  <c r="O249" i="13" s="1"/>
  <c r="O306" i="13"/>
  <c r="L300" i="13"/>
  <c r="L547" i="9"/>
  <c r="O547" i="9" s="1"/>
  <c r="P46" i="10"/>
  <c r="M321" i="10"/>
  <c r="P321" i="10" s="1"/>
  <c r="K385" i="11"/>
  <c r="M91" i="12"/>
  <c r="P91" i="12" s="1"/>
  <c r="M134" i="12"/>
  <c r="M132" i="12" s="1"/>
  <c r="P135" i="12"/>
  <c r="I260" i="12"/>
  <c r="K260" i="12" s="1"/>
  <c r="N330" i="12"/>
  <c r="N328" i="12" s="1"/>
  <c r="P336" i="12"/>
  <c r="I364" i="12"/>
  <c r="L405" i="12"/>
  <c r="O405" i="12" s="1"/>
  <c r="N404" i="12"/>
  <c r="N402" i="12" s="1"/>
  <c r="K726" i="12"/>
  <c r="K822" i="12"/>
  <c r="N19" i="13"/>
  <c r="M23" i="13"/>
  <c r="M30" i="13"/>
  <c r="P30" i="13" s="1"/>
  <c r="M59" i="13"/>
  <c r="P59" i="13" s="1"/>
  <c r="M26" i="13"/>
  <c r="P61" i="13"/>
  <c r="L90" i="13"/>
  <c r="M151" i="13"/>
  <c r="P299" i="13"/>
  <c r="O316" i="13"/>
  <c r="M348" i="13"/>
  <c r="P348" i="13" s="1"/>
  <c r="P350" i="13"/>
  <c r="M347" i="13"/>
  <c r="P394" i="13"/>
  <c r="M392" i="13"/>
  <c r="P392" i="13" s="1"/>
  <c r="M391" i="13"/>
  <c r="P419" i="13"/>
  <c r="M444" i="13"/>
  <c r="P444" i="13" s="1"/>
  <c r="P445" i="13"/>
  <c r="P739" i="13"/>
  <c r="M737" i="13"/>
  <c r="P737" i="13" s="1"/>
  <c r="O788" i="13"/>
  <c r="L786" i="13"/>
  <c r="O786" i="13" s="1"/>
  <c r="M15" i="13"/>
  <c r="N23" i="13"/>
  <c r="N21" i="13" s="1"/>
  <c r="M29" i="13"/>
  <c r="O58" i="13"/>
  <c r="O61" i="13"/>
  <c r="J143" i="13"/>
  <c r="J131" i="13" s="1"/>
  <c r="N168" i="13"/>
  <c r="P168" i="13" s="1"/>
  <c r="L429" i="13"/>
  <c r="O429" i="13" s="1"/>
  <c r="O431" i="13"/>
  <c r="L421" i="13"/>
  <c r="L639" i="13"/>
  <c r="O639" i="13" s="1"/>
  <c r="O641" i="13"/>
  <c r="L631" i="13"/>
  <c r="O631" i="13" s="1"/>
  <c r="P756" i="13"/>
  <c r="M754" i="13"/>
  <c r="P754" i="13" s="1"/>
  <c r="L789" i="13"/>
  <c r="O789" i="13" s="1"/>
  <c r="O791" i="13"/>
  <c r="O807" i="13"/>
  <c r="L805" i="13"/>
  <c r="O805" i="13" s="1"/>
  <c r="P303" i="13"/>
  <c r="O403" i="13"/>
  <c r="M502" i="13"/>
  <c r="P502" i="13" s="1"/>
  <c r="O755" i="13"/>
  <c r="L754" i="13"/>
  <c r="O754" i="13" s="1"/>
  <c r="I77" i="13"/>
  <c r="P397" i="13"/>
  <c r="M395" i="13"/>
  <c r="P395" i="13" s="1"/>
  <c r="N419" i="13"/>
  <c r="M467" i="13"/>
  <c r="P467" i="13" s="1"/>
  <c r="P468" i="13"/>
  <c r="L526" i="13"/>
  <c r="O526" i="13" s="1"/>
  <c r="O528" i="13"/>
  <c r="K592" i="13"/>
  <c r="P772" i="13"/>
  <c r="M770" i="13"/>
  <c r="P770" i="13" s="1"/>
  <c r="N807" i="13"/>
  <c r="N805" i="13" s="1"/>
  <c r="N808" i="13"/>
  <c r="L229" i="13"/>
  <c r="I248" i="13"/>
  <c r="K248" i="13" s="1"/>
  <c r="L454" i="13"/>
  <c r="O454" i="13" s="1"/>
  <c r="O456" i="13"/>
  <c r="L446" i="13"/>
  <c r="O446" i="13" s="1"/>
  <c r="K594" i="13"/>
  <c r="O771" i="13"/>
  <c r="L770" i="13"/>
  <c r="O770" i="13" s="1"/>
  <c r="P503" i="13"/>
  <c r="O656" i="13"/>
  <c r="K674" i="13"/>
  <c r="K675" i="13"/>
  <c r="M786" i="13"/>
  <c r="P786" i="13" s="1"/>
  <c r="I275" i="10"/>
  <c r="K275" i="10" s="1"/>
  <c r="M300" i="10"/>
  <c r="P300" i="10" s="1"/>
  <c r="N55" i="11"/>
  <c r="N53" i="11" s="1"/>
  <c r="K369" i="11"/>
  <c r="M405" i="11"/>
  <c r="P405" i="11" s="1"/>
  <c r="P154" i="12"/>
  <c r="K204" i="12"/>
  <c r="L317" i="12"/>
  <c r="O317" i="12" s="1"/>
  <c r="N317" i="12"/>
  <c r="N315" i="12" s="1"/>
  <c r="K338" i="12"/>
  <c r="K372" i="12"/>
  <c r="N408" i="12"/>
  <c r="K825" i="12"/>
  <c r="K828" i="12"/>
  <c r="I87" i="11"/>
  <c r="K87" i="11" s="1"/>
  <c r="M279" i="11"/>
  <c r="P279" i="11" s="1"/>
  <c r="P282" i="11"/>
  <c r="L198" i="12"/>
  <c r="O198" i="12" s="1"/>
  <c r="L209" i="12"/>
  <c r="O209" i="12" s="1"/>
  <c r="L263" i="12"/>
  <c r="L261" i="12" s="1"/>
  <c r="P266" i="12"/>
  <c r="L347" i="12"/>
  <c r="L345" i="12" s="1"/>
  <c r="K360" i="12"/>
  <c r="K725" i="12"/>
  <c r="L283" i="11"/>
  <c r="O283" i="11" s="1"/>
  <c r="O91" i="12"/>
  <c r="L348" i="12"/>
  <c r="O348" i="12" s="1"/>
  <c r="J433" i="12"/>
  <c r="J417" i="12" s="1"/>
  <c r="L36" i="12"/>
  <c r="O36" i="12" s="1"/>
  <c r="O124" i="12"/>
  <c r="I208" i="12"/>
  <c r="K208" i="12" s="1"/>
  <c r="L330" i="12"/>
  <c r="I442" i="12"/>
  <c r="K442" i="12" s="1"/>
  <c r="K649" i="11"/>
  <c r="K822" i="11"/>
  <c r="K825" i="11"/>
  <c r="K828" i="11"/>
  <c r="N68" i="12"/>
  <c r="N66" i="12" s="1"/>
  <c r="N279" i="12"/>
  <c r="N277" i="12" s="1"/>
  <c r="L334" i="12"/>
  <c r="O334" i="12" s="1"/>
  <c r="J327" i="12"/>
  <c r="K327" i="12" s="1"/>
  <c r="I785" i="12"/>
  <c r="K785" i="12" s="1"/>
  <c r="J364" i="12"/>
  <c r="K365" i="12"/>
  <c r="O168" i="12"/>
  <c r="O331" i="12"/>
  <c r="K672" i="12"/>
  <c r="K669" i="12"/>
  <c r="N404" i="10"/>
  <c r="N402" i="10" s="1"/>
  <c r="K204" i="11"/>
  <c r="N72" i="12"/>
  <c r="M171" i="12"/>
  <c r="P171" i="12" s="1"/>
  <c r="M184" i="12"/>
  <c r="L231" i="12"/>
  <c r="K287" i="12"/>
  <c r="M318" i="12"/>
  <c r="P318" i="12" s="1"/>
  <c r="K325" i="12"/>
  <c r="P331" i="12"/>
  <c r="O333" i="12"/>
  <c r="K362" i="12"/>
  <c r="I434" i="12"/>
  <c r="I418" i="12" s="1"/>
  <c r="K418" i="12" s="1"/>
  <c r="N183" i="9"/>
  <c r="N181" i="9" s="1"/>
  <c r="M155" i="10"/>
  <c r="P155" i="10" s="1"/>
  <c r="O93" i="11"/>
  <c r="K224" i="11"/>
  <c r="L230" i="11"/>
  <c r="L422" i="11"/>
  <c r="O422" i="11" s="1"/>
  <c r="K651" i="11"/>
  <c r="O46" i="12"/>
  <c r="N90" i="12"/>
  <c r="N88" i="12" s="1"/>
  <c r="L121" i="12"/>
  <c r="O140" i="12"/>
  <c r="K159" i="12"/>
  <c r="L167" i="12"/>
  <c r="L165" i="12" s="1"/>
  <c r="N184" i="12"/>
  <c r="O184" i="12" s="1"/>
  <c r="L187" i="12"/>
  <c r="O187" i="12" s="1"/>
  <c r="M280" i="12"/>
  <c r="P280" i="12" s="1"/>
  <c r="O303" i="12"/>
  <c r="N318" i="12"/>
  <c r="M330" i="12"/>
  <c r="P333" i="12"/>
  <c r="K381" i="12"/>
  <c r="L477" i="12"/>
  <c r="O477" i="12" s="1"/>
  <c r="O549" i="12"/>
  <c r="L546" i="12"/>
  <c r="L687" i="12"/>
  <c r="O687" i="12" s="1"/>
  <c r="M304" i="10"/>
  <c r="P304" i="10" s="1"/>
  <c r="L91" i="11"/>
  <c r="L94" i="11"/>
  <c r="O94" i="11" s="1"/>
  <c r="N121" i="11"/>
  <c r="N119" i="11" s="1"/>
  <c r="L184" i="11"/>
  <c r="O184" i="11" s="1"/>
  <c r="L33" i="12"/>
  <c r="O33" i="12" s="1"/>
  <c r="O58" i="12"/>
  <c r="P137" i="12"/>
  <c r="P138" i="12"/>
  <c r="M167" i="12"/>
  <c r="M279" i="12"/>
  <c r="M304" i="12"/>
  <c r="P304" i="12" s="1"/>
  <c r="K673" i="12"/>
  <c r="O690" i="12"/>
  <c r="I77" i="11"/>
  <c r="I65" i="11" s="1"/>
  <c r="K65" i="11" s="1"/>
  <c r="I275" i="11"/>
  <c r="K275" i="11" s="1"/>
  <c r="O407" i="11"/>
  <c r="O44" i="12"/>
  <c r="P58" i="12"/>
  <c r="K146" i="12"/>
  <c r="L152" i="12"/>
  <c r="O152" i="12" s="1"/>
  <c r="L183" i="12"/>
  <c r="L181" i="12" s="1"/>
  <c r="N263" i="12"/>
  <c r="M317" i="12"/>
  <c r="P317" i="12" s="1"/>
  <c r="K369" i="12"/>
  <c r="K466" i="12"/>
  <c r="I87" i="10"/>
  <c r="K87" i="10" s="1"/>
  <c r="I260" i="11"/>
  <c r="K260" i="11" s="1"/>
  <c r="I297" i="11"/>
  <c r="K297" i="11" s="1"/>
  <c r="L47" i="12"/>
  <c r="O47" i="12" s="1"/>
  <c r="N26" i="12"/>
  <c r="N16" i="12" s="1"/>
  <c r="L72" i="12"/>
  <c r="O72" i="12" s="1"/>
  <c r="L90" i="12"/>
  <c r="L88" i="12" s="1"/>
  <c r="P140" i="12"/>
  <c r="N167" i="12"/>
  <c r="N165" i="12" s="1"/>
  <c r="L217" i="12"/>
  <c r="O217" i="12" s="1"/>
  <c r="I248" i="12"/>
  <c r="K248" i="12" s="1"/>
  <c r="O266" i="12"/>
  <c r="P285" i="12"/>
  <c r="L526" i="12"/>
  <c r="O526" i="12" s="1"/>
  <c r="L525" i="12"/>
  <c r="L523" i="12" s="1"/>
  <c r="O523" i="12" s="1"/>
  <c r="I654" i="12"/>
  <c r="K654" i="12" s="1"/>
  <c r="K821" i="12"/>
  <c r="K824" i="12"/>
  <c r="K827" i="12"/>
  <c r="J722" i="12"/>
  <c r="K722" i="12" s="1"/>
  <c r="K723" i="12"/>
  <c r="M391" i="11"/>
  <c r="P391" i="11" s="1"/>
  <c r="P394" i="11"/>
  <c r="M392" i="11"/>
  <c r="P392" i="11" s="1"/>
  <c r="L26" i="12"/>
  <c r="L24" i="12" s="1"/>
  <c r="L94" i="12"/>
  <c r="O94" i="12" s="1"/>
  <c r="O137" i="12"/>
  <c r="L134" i="12"/>
  <c r="L23" i="12"/>
  <c r="L21" i="12" s="1"/>
  <c r="L135" i="12"/>
  <c r="O135" i="12" s="1"/>
  <c r="P71" i="11"/>
  <c r="M69" i="11"/>
  <c r="P69" i="11" s="1"/>
  <c r="M68" i="11"/>
  <c r="M66" i="11" s="1"/>
  <c r="P66" i="11" s="1"/>
  <c r="O269" i="11"/>
  <c r="L267" i="11"/>
  <c r="O267" i="11" s="1"/>
  <c r="O266" i="11"/>
  <c r="L264" i="11"/>
  <c r="L263" i="11"/>
  <c r="L261" i="11" s="1"/>
  <c r="O528" i="11"/>
  <c r="L526" i="11"/>
  <c r="O526" i="11" s="1"/>
  <c r="J143" i="12"/>
  <c r="J131" i="12" s="1"/>
  <c r="K145" i="12"/>
  <c r="I143" i="12"/>
  <c r="P124" i="10"/>
  <c r="M122" i="10"/>
  <c r="P122" i="10" s="1"/>
  <c r="L198" i="11"/>
  <c r="O198" i="11" s="1"/>
  <c r="N15" i="12"/>
  <c r="O42" i="12"/>
  <c r="M44" i="12"/>
  <c r="P44" i="12" s="1"/>
  <c r="M23" i="12"/>
  <c r="P46" i="12"/>
  <c r="O323" i="10"/>
  <c r="L321" i="10"/>
  <c r="O321" i="10" s="1"/>
  <c r="N19" i="12"/>
  <c r="N12" i="12"/>
  <c r="N29" i="12"/>
  <c r="N28" i="12" s="1"/>
  <c r="M47" i="12"/>
  <c r="P47" i="12" s="1"/>
  <c r="P49" i="12"/>
  <c r="M26" i="12"/>
  <c r="M69" i="12"/>
  <c r="P69" i="12" s="1"/>
  <c r="P71" i="12"/>
  <c r="K99" i="12"/>
  <c r="I87" i="12"/>
  <c r="K87" i="12" s="1"/>
  <c r="N122" i="12"/>
  <c r="N121" i="12"/>
  <c r="N119" i="12" s="1"/>
  <c r="N280" i="10"/>
  <c r="N279" i="10"/>
  <c r="N277" i="10" s="1"/>
  <c r="O67" i="12"/>
  <c r="N30" i="12"/>
  <c r="N31" i="12"/>
  <c r="L283" i="12"/>
  <c r="O283" i="12" s="1"/>
  <c r="O285" i="12"/>
  <c r="N351" i="12"/>
  <c r="O351" i="12" s="1"/>
  <c r="N347" i="12"/>
  <c r="O353" i="12"/>
  <c r="M444" i="12"/>
  <c r="P444" i="12" s="1"/>
  <c r="P445" i="12"/>
  <c r="O755" i="12"/>
  <c r="L754" i="12"/>
  <c r="O754" i="12" s="1"/>
  <c r="M264" i="10"/>
  <c r="P264" i="10" s="1"/>
  <c r="L304" i="11"/>
  <c r="O304" i="11" s="1"/>
  <c r="K365" i="11"/>
  <c r="J364" i="11"/>
  <c r="L12" i="12"/>
  <c r="O15" i="12"/>
  <c r="L19" i="12"/>
  <c r="O22" i="12"/>
  <c r="O29" i="12"/>
  <c r="O35" i="12"/>
  <c r="P54" i="12"/>
  <c r="I86" i="12"/>
  <c r="K86" i="12" s="1"/>
  <c r="M90" i="12"/>
  <c r="P127" i="12"/>
  <c r="O301" i="12"/>
  <c r="N655" i="12"/>
  <c r="M187" i="12"/>
  <c r="P187" i="12" s="1"/>
  <c r="K244" i="12"/>
  <c r="I237" i="12"/>
  <c r="I112" i="11"/>
  <c r="K112" i="11" s="1"/>
  <c r="J288" i="11"/>
  <c r="J275" i="11" s="1"/>
  <c r="L330" i="11"/>
  <c r="L328" i="11" s="1"/>
  <c r="M12" i="12"/>
  <c r="M19" i="12"/>
  <c r="I76" i="12"/>
  <c r="P124" i="12"/>
  <c r="O170" i="12"/>
  <c r="I174" i="12"/>
  <c r="O186" i="12"/>
  <c r="I190" i="12"/>
  <c r="K190" i="12" s="1"/>
  <c r="N264" i="12"/>
  <c r="O264" i="12" s="1"/>
  <c r="M283" i="12"/>
  <c r="P283" i="12" s="1"/>
  <c r="M419" i="12"/>
  <c r="K288" i="12"/>
  <c r="J288" i="12"/>
  <c r="J275" i="12" s="1"/>
  <c r="I785" i="11"/>
  <c r="K785" i="11" s="1"/>
  <c r="N56" i="12"/>
  <c r="O56" i="12" s="1"/>
  <c r="K79" i="12"/>
  <c r="I77" i="12"/>
  <c r="P168" i="12"/>
  <c r="P170" i="12"/>
  <c r="P186" i="12"/>
  <c r="L228" i="12"/>
  <c r="L249" i="12"/>
  <c r="P269" i="12"/>
  <c r="L280" i="12"/>
  <c r="O280" i="12" s="1"/>
  <c r="L279" i="12"/>
  <c r="M348" i="12"/>
  <c r="P348" i="12" s="1"/>
  <c r="P350" i="12"/>
  <c r="M347" i="12"/>
  <c r="O127" i="11"/>
  <c r="O138" i="12"/>
  <c r="M263" i="12"/>
  <c r="P263" i="12" s="1"/>
  <c r="O316" i="12"/>
  <c r="P407" i="12"/>
  <c r="M404" i="12"/>
  <c r="K821" i="10"/>
  <c r="K824" i="10"/>
  <c r="K827" i="10"/>
  <c r="N23" i="12"/>
  <c r="L68" i="12"/>
  <c r="O68" i="12" s="1"/>
  <c r="P89" i="12"/>
  <c r="I233" i="12"/>
  <c r="K233" i="12" s="1"/>
  <c r="P301" i="12"/>
  <c r="L304" i="12"/>
  <c r="O304" i="12" s="1"/>
  <c r="O306" i="12"/>
  <c r="L300" i="12"/>
  <c r="P394" i="12"/>
  <c r="M392" i="12"/>
  <c r="P392" i="12" s="1"/>
  <c r="M391" i="12"/>
  <c r="P391" i="12" s="1"/>
  <c r="M405" i="12"/>
  <c r="P405" i="12" s="1"/>
  <c r="N504" i="12"/>
  <c r="N502" i="12" s="1"/>
  <c r="N505" i="12"/>
  <c r="K359" i="12"/>
  <c r="K385" i="12"/>
  <c r="L404" i="12"/>
  <c r="O404" i="12" s="1"/>
  <c r="N444" i="12"/>
  <c r="L469" i="12"/>
  <c r="L502" i="12"/>
  <c r="O502" i="12" s="1"/>
  <c r="O528" i="12"/>
  <c r="P545" i="12"/>
  <c r="M544" i="12"/>
  <c r="P544" i="12" s="1"/>
  <c r="P772" i="12"/>
  <c r="M770" i="12"/>
  <c r="P770" i="12" s="1"/>
  <c r="L789" i="12"/>
  <c r="O789" i="12" s="1"/>
  <c r="O791" i="12"/>
  <c r="O807" i="12"/>
  <c r="L805" i="12"/>
  <c r="O805" i="12" s="1"/>
  <c r="P303" i="12"/>
  <c r="P353" i="12"/>
  <c r="L429" i="12"/>
  <c r="O429" i="12" s="1"/>
  <c r="O431" i="12"/>
  <c r="L421" i="12"/>
  <c r="K592" i="12"/>
  <c r="O688" i="12"/>
  <c r="O771" i="12"/>
  <c r="L770" i="12"/>
  <c r="O770" i="12" s="1"/>
  <c r="N391" i="12"/>
  <c r="N389" i="12" s="1"/>
  <c r="O403" i="12"/>
  <c r="P739" i="12"/>
  <c r="M737" i="12"/>
  <c r="P737" i="12" s="1"/>
  <c r="N807" i="12"/>
  <c r="N805" i="12" s="1"/>
  <c r="N808" i="12"/>
  <c r="K379" i="12"/>
  <c r="P397" i="12"/>
  <c r="M395" i="12"/>
  <c r="P395" i="12" s="1"/>
  <c r="N419" i="12"/>
  <c r="N414" i="12" s="1"/>
  <c r="I433" i="12"/>
  <c r="K435" i="12"/>
  <c r="M467" i="12"/>
  <c r="P467" i="12" s="1"/>
  <c r="P468" i="12"/>
  <c r="L639" i="12"/>
  <c r="O639" i="12" s="1"/>
  <c r="O641" i="12"/>
  <c r="L631" i="12"/>
  <c r="O631" i="12" s="1"/>
  <c r="O738" i="12"/>
  <c r="L737" i="12"/>
  <c r="O737" i="12" s="1"/>
  <c r="K370" i="12"/>
  <c r="L454" i="12"/>
  <c r="O454" i="12" s="1"/>
  <c r="O456" i="12"/>
  <c r="L446" i="12"/>
  <c r="O446" i="12" s="1"/>
  <c r="M502" i="12"/>
  <c r="P502" i="12" s="1"/>
  <c r="P503" i="12"/>
  <c r="M523" i="12"/>
  <c r="P523" i="12" s="1"/>
  <c r="N629" i="12"/>
  <c r="P756" i="12"/>
  <c r="M754" i="12"/>
  <c r="P754" i="12" s="1"/>
  <c r="O788" i="12"/>
  <c r="L786" i="12"/>
  <c r="O786" i="12" s="1"/>
  <c r="O656" i="12"/>
  <c r="K674" i="12"/>
  <c r="J721" i="12"/>
  <c r="K721" i="12" s="1"/>
  <c r="L555" i="12"/>
  <c r="O555" i="12" s="1"/>
  <c r="K675" i="12"/>
  <c r="K537" i="12"/>
  <c r="K593" i="12"/>
  <c r="M90" i="11"/>
  <c r="M88" i="11" s="1"/>
  <c r="L330" i="10"/>
  <c r="L328" i="10" s="1"/>
  <c r="L395" i="10"/>
  <c r="O395" i="10" s="1"/>
  <c r="L33" i="11"/>
  <c r="L31" i="11" s="1"/>
  <c r="N90" i="11"/>
  <c r="N88" i="11" s="1"/>
  <c r="L151" i="11"/>
  <c r="N183" i="11"/>
  <c r="M183" i="11"/>
  <c r="M181" i="11" s="1"/>
  <c r="L317" i="11"/>
  <c r="O317" i="11" s="1"/>
  <c r="J327" i="11"/>
  <c r="K327" i="11" s="1"/>
  <c r="L533" i="11"/>
  <c r="O533" i="11" s="1"/>
  <c r="K669" i="11"/>
  <c r="N167" i="9"/>
  <c r="N165" i="9" s="1"/>
  <c r="M55" i="11"/>
  <c r="M72" i="11"/>
  <c r="P72" i="11" s="1"/>
  <c r="K79" i="11"/>
  <c r="P152" i="11"/>
  <c r="L229" i="11"/>
  <c r="M263" i="11"/>
  <c r="P263" i="11" s="1"/>
  <c r="L279" i="11"/>
  <c r="P333" i="11"/>
  <c r="K338" i="11"/>
  <c r="L347" i="11"/>
  <c r="L345" i="11" s="1"/>
  <c r="K359" i="11"/>
  <c r="K362" i="11"/>
  <c r="K379" i="11"/>
  <c r="L421" i="11"/>
  <c r="O421" i="11" s="1"/>
  <c r="K460" i="11"/>
  <c r="L301" i="10"/>
  <c r="O301" i="10" s="1"/>
  <c r="O333" i="10"/>
  <c r="K338" i="10"/>
  <c r="L405" i="10"/>
  <c r="O405" i="10" s="1"/>
  <c r="I76" i="11"/>
  <c r="L187" i="11"/>
  <c r="O187" i="11" s="1"/>
  <c r="J288" i="10"/>
  <c r="J275" i="10" s="1"/>
  <c r="N26" i="11"/>
  <c r="N16" i="11" s="1"/>
  <c r="N14" i="11" s="1"/>
  <c r="L56" i="11"/>
  <c r="L59" i="11"/>
  <c r="O59" i="11" s="1"/>
  <c r="L155" i="11"/>
  <c r="O155" i="11" s="1"/>
  <c r="L209" i="11"/>
  <c r="O209" i="11" s="1"/>
  <c r="L217" i="11"/>
  <c r="O217" i="11" s="1"/>
  <c r="N264" i="11"/>
  <c r="N279" i="11"/>
  <c r="N277" i="11" s="1"/>
  <c r="M300" i="11"/>
  <c r="M298" i="11" s="1"/>
  <c r="P298" i="11" s="1"/>
  <c r="L318" i="11"/>
  <c r="O318" i="11" s="1"/>
  <c r="P353" i="11"/>
  <c r="L446" i="11"/>
  <c r="O446" i="11" s="1"/>
  <c r="L687" i="11"/>
  <c r="O687" i="11" s="1"/>
  <c r="N167" i="10"/>
  <c r="N165" i="10" s="1"/>
  <c r="K822" i="10"/>
  <c r="K825" i="10"/>
  <c r="K828" i="10"/>
  <c r="O49" i="11"/>
  <c r="I130" i="11"/>
  <c r="K130" i="11" s="1"/>
  <c r="M135" i="11"/>
  <c r="P135" i="11" s="1"/>
  <c r="P137" i="11"/>
  <c r="O170" i="11"/>
  <c r="L183" i="11"/>
  <c r="L181" i="11" s="1"/>
  <c r="L280" i="11"/>
  <c r="O280" i="11" s="1"/>
  <c r="N300" i="11"/>
  <c r="N298" i="11" s="1"/>
  <c r="P303" i="11"/>
  <c r="N351" i="11"/>
  <c r="O351" i="11" s="1"/>
  <c r="K593" i="11"/>
  <c r="O690" i="11"/>
  <c r="I164" i="11"/>
  <c r="K164" i="11" s="1"/>
  <c r="K174" i="11"/>
  <c r="L263" i="9"/>
  <c r="L261" i="9" s="1"/>
  <c r="N151" i="10"/>
  <c r="N149" i="10" s="1"/>
  <c r="N331" i="10"/>
  <c r="O331" i="10" s="1"/>
  <c r="L36" i="11"/>
  <c r="M56" i="11"/>
  <c r="N94" i="11"/>
  <c r="K115" i="11"/>
  <c r="L122" i="11"/>
  <c r="O122" i="11" s="1"/>
  <c r="L152" i="11"/>
  <c r="O152" i="11" s="1"/>
  <c r="N168" i="11"/>
  <c r="K176" i="11"/>
  <c r="M283" i="11"/>
  <c r="P283" i="11" s="1"/>
  <c r="O456" i="11"/>
  <c r="K462" i="11"/>
  <c r="I522" i="11"/>
  <c r="K522" i="11" s="1"/>
  <c r="L263" i="10"/>
  <c r="L261" i="10" s="1"/>
  <c r="N405" i="10"/>
  <c r="O424" i="10"/>
  <c r="N56" i="11"/>
  <c r="O56" i="11" s="1"/>
  <c r="P58" i="11"/>
  <c r="N68" i="11"/>
  <c r="N66" i="11" s="1"/>
  <c r="K80" i="11"/>
  <c r="N134" i="11"/>
  <c r="N132" i="11" s="1"/>
  <c r="L231" i="11"/>
  <c r="P306" i="11"/>
  <c r="I314" i="11"/>
  <c r="K314" i="11" s="1"/>
  <c r="O320" i="11"/>
  <c r="M331" i="11"/>
  <c r="P331" i="11" s="1"/>
  <c r="N330" i="11"/>
  <c r="N328" i="11" s="1"/>
  <c r="P350" i="11"/>
  <c r="K355" i="11"/>
  <c r="K374" i="11"/>
  <c r="L391" i="11"/>
  <c r="O391" i="11" s="1"/>
  <c r="P407" i="11"/>
  <c r="L429" i="11"/>
  <c r="O429" i="11" s="1"/>
  <c r="I628" i="11"/>
  <c r="K628" i="11" s="1"/>
  <c r="J722" i="11"/>
  <c r="K823" i="11"/>
  <c r="K826" i="11"/>
  <c r="L231" i="9"/>
  <c r="M283" i="9"/>
  <c r="P283" i="9" s="1"/>
  <c r="P189" i="10"/>
  <c r="M26" i="11"/>
  <c r="M24" i="11" s="1"/>
  <c r="N43" i="11"/>
  <c r="N41" i="11" s="1"/>
  <c r="L68" i="11"/>
  <c r="O68" i="11" s="1"/>
  <c r="L121" i="11"/>
  <c r="O121" i="11" s="1"/>
  <c r="I148" i="11"/>
  <c r="K148" i="11" s="1"/>
  <c r="O154" i="11"/>
  <c r="L228" i="11"/>
  <c r="L301" i="11"/>
  <c r="O301" i="11" s="1"/>
  <c r="L321" i="11"/>
  <c r="O321" i="11" s="1"/>
  <c r="O331" i="11"/>
  <c r="N347" i="11"/>
  <c r="N345" i="11" s="1"/>
  <c r="M408" i="11"/>
  <c r="P408" i="11" s="1"/>
  <c r="I434" i="11"/>
  <c r="L657" i="11"/>
  <c r="O657" i="11" s="1"/>
  <c r="P44" i="9"/>
  <c r="L264" i="9"/>
  <c r="O264" i="9" s="1"/>
  <c r="I559" i="10"/>
  <c r="K559" i="10" s="1"/>
  <c r="N23" i="11"/>
  <c r="N44" i="11"/>
  <c r="O44" i="11" s="1"/>
  <c r="P46" i="11"/>
  <c r="M59" i="11"/>
  <c r="P59" i="11" s="1"/>
  <c r="K98" i="11"/>
  <c r="M121" i="11"/>
  <c r="P121" i="11" s="1"/>
  <c r="I276" i="11"/>
  <c r="K276" i="11" s="1"/>
  <c r="L300" i="11"/>
  <c r="O300" i="11" s="1"/>
  <c r="M317" i="11"/>
  <c r="P317" i="11" s="1"/>
  <c r="N348" i="11"/>
  <c r="O348" i="11" s="1"/>
  <c r="O353" i="11"/>
  <c r="N404" i="11"/>
  <c r="N402" i="11" s="1"/>
  <c r="K673" i="11"/>
  <c r="J721" i="11"/>
  <c r="K821" i="11"/>
  <c r="K824" i="11"/>
  <c r="K827" i="11"/>
  <c r="I86" i="10"/>
  <c r="K86" i="10" s="1"/>
  <c r="K725" i="10"/>
  <c r="K823" i="10"/>
  <c r="K826" i="10"/>
  <c r="M167" i="11"/>
  <c r="M165" i="11" s="1"/>
  <c r="L238" i="11"/>
  <c r="O238" i="11" s="1"/>
  <c r="N317" i="11"/>
  <c r="N315" i="11" s="1"/>
  <c r="K370" i="11"/>
  <c r="L94" i="8"/>
  <c r="O94" i="8" s="1"/>
  <c r="N317" i="9"/>
  <c r="N315" i="9" s="1"/>
  <c r="M408" i="9"/>
  <c r="P408" i="9" s="1"/>
  <c r="M47" i="10"/>
  <c r="P47" i="10" s="1"/>
  <c r="N43" i="10"/>
  <c r="N41" i="10" s="1"/>
  <c r="I112" i="10"/>
  <c r="K112" i="10" s="1"/>
  <c r="L121" i="10"/>
  <c r="O121" i="10" s="1"/>
  <c r="N134" i="10"/>
  <c r="N132" i="10" s="1"/>
  <c r="M138" i="10"/>
  <c r="P138" i="10" s="1"/>
  <c r="I208" i="10"/>
  <c r="K208" i="10" s="1"/>
  <c r="M263" i="10"/>
  <c r="P263" i="10" s="1"/>
  <c r="P285" i="10"/>
  <c r="O306" i="9"/>
  <c r="N391" i="10"/>
  <c r="N389" i="10" s="1"/>
  <c r="I443" i="10"/>
  <c r="K443" i="10" s="1"/>
  <c r="K701" i="10"/>
  <c r="K726" i="10"/>
  <c r="P29" i="11"/>
  <c r="L317" i="8"/>
  <c r="O317" i="8" s="1"/>
  <c r="K708" i="8"/>
  <c r="K729" i="8"/>
  <c r="N55" i="9"/>
  <c r="N53" i="9" s="1"/>
  <c r="I297" i="9"/>
  <c r="K297" i="9" s="1"/>
  <c r="M44" i="10"/>
  <c r="O19" i="11"/>
  <c r="N44" i="10"/>
  <c r="O44" i="10" s="1"/>
  <c r="N55" i="10"/>
  <c r="N53" i="10" s="1"/>
  <c r="M72" i="10"/>
  <c r="P72" i="10" s="1"/>
  <c r="L279" i="10"/>
  <c r="I434" i="10"/>
  <c r="K434" i="10" s="1"/>
  <c r="L547" i="10"/>
  <c r="O547" i="10" s="1"/>
  <c r="P15" i="11"/>
  <c r="M55" i="8"/>
  <c r="M53" i="8" s="1"/>
  <c r="I654" i="9"/>
  <c r="K654" i="9" s="1"/>
  <c r="L134" i="10"/>
  <c r="O134" i="10" s="1"/>
  <c r="I260" i="10"/>
  <c r="K260" i="10" s="1"/>
  <c r="O410" i="10"/>
  <c r="L408" i="10"/>
  <c r="O408" i="10" s="1"/>
  <c r="L688" i="10"/>
  <c r="O688" i="10" s="1"/>
  <c r="L687" i="10"/>
  <c r="O687" i="10" s="1"/>
  <c r="K708" i="10"/>
  <c r="K729" i="10"/>
  <c r="N29" i="11"/>
  <c r="O46" i="11"/>
  <c r="P49" i="11"/>
  <c r="O58" i="11"/>
  <c r="O71" i="11"/>
  <c r="L69" i="11"/>
  <c r="O69" i="11" s="1"/>
  <c r="N91" i="11"/>
  <c r="P93" i="11"/>
  <c r="M91" i="11"/>
  <c r="O120" i="11"/>
  <c r="P133" i="11"/>
  <c r="O137" i="11"/>
  <c r="L135" i="11"/>
  <c r="O135" i="11" s="1"/>
  <c r="P157" i="11"/>
  <c r="I208" i="11"/>
  <c r="K208" i="11" s="1"/>
  <c r="O12" i="11"/>
  <c r="J143" i="11"/>
  <c r="J131" i="11" s="1"/>
  <c r="M151" i="11"/>
  <c r="N167" i="11"/>
  <c r="P186" i="11"/>
  <c r="M184" i="11"/>
  <c r="P184" i="11" s="1"/>
  <c r="M12" i="11"/>
  <c r="L23" i="11"/>
  <c r="L26" i="11"/>
  <c r="M34" i="11"/>
  <c r="P34" i="11" s="1"/>
  <c r="P127" i="11"/>
  <c r="P154" i="11"/>
  <c r="P173" i="11"/>
  <c r="M171" i="11"/>
  <c r="P171" i="11" s="1"/>
  <c r="O74" i="11"/>
  <c r="L72" i="11"/>
  <c r="O72" i="11" s="1"/>
  <c r="O140" i="11"/>
  <c r="L138" i="11"/>
  <c r="O138" i="11" s="1"/>
  <c r="I417" i="11"/>
  <c r="N469" i="11"/>
  <c r="N467" i="11" s="1"/>
  <c r="N470" i="11"/>
  <c r="O25" i="11"/>
  <c r="L15" i="11"/>
  <c r="L9" i="11" s="1"/>
  <c r="P33" i="11"/>
  <c r="M30" i="11"/>
  <c r="P30" i="11" s="1"/>
  <c r="P35" i="11"/>
  <c r="L43" i="11"/>
  <c r="M23" i="11"/>
  <c r="P96" i="11"/>
  <c r="M94" i="11"/>
  <c r="P94" i="11" s="1"/>
  <c r="P124" i="11"/>
  <c r="K145" i="11"/>
  <c r="I143" i="11"/>
  <c r="O150" i="11"/>
  <c r="P170" i="11"/>
  <c r="M168" i="11"/>
  <c r="O32" i="11"/>
  <c r="L29" i="11"/>
  <c r="M43" i="11"/>
  <c r="P189" i="11"/>
  <c r="M187" i="11"/>
  <c r="P187" i="11" s="1"/>
  <c r="P316" i="11"/>
  <c r="O410" i="11"/>
  <c r="O470" i="11"/>
  <c r="O472" i="11"/>
  <c r="M502" i="11"/>
  <c r="I559" i="11"/>
  <c r="P756" i="11"/>
  <c r="M754" i="11"/>
  <c r="P754" i="11" s="1"/>
  <c r="I233" i="11"/>
  <c r="K233" i="11" s="1"/>
  <c r="I248" i="11"/>
  <c r="K248" i="11" s="1"/>
  <c r="M318" i="11"/>
  <c r="P318" i="11" s="1"/>
  <c r="M321" i="11"/>
  <c r="P321" i="11" s="1"/>
  <c r="O329" i="11"/>
  <c r="O333" i="11"/>
  <c r="O350" i="11"/>
  <c r="K378" i="11"/>
  <c r="L392" i="11"/>
  <c r="O392" i="11" s="1"/>
  <c r="L404" i="11"/>
  <c r="P420" i="11"/>
  <c r="N526" i="11"/>
  <c r="M544" i="11"/>
  <c r="P544" i="11" s="1"/>
  <c r="O549" i="11"/>
  <c r="L547" i="11"/>
  <c r="O547" i="11" s="1"/>
  <c r="P555" i="11"/>
  <c r="K647" i="11"/>
  <c r="O755" i="11"/>
  <c r="L754" i="11"/>
  <c r="O754" i="11" s="1"/>
  <c r="L789" i="11"/>
  <c r="O789" i="11" s="1"/>
  <c r="O791" i="11"/>
  <c r="O807" i="11"/>
  <c r="L805" i="11"/>
  <c r="O805" i="11" s="1"/>
  <c r="I364" i="11"/>
  <c r="P772" i="11"/>
  <c r="M770" i="11"/>
  <c r="P770" i="11" s="1"/>
  <c r="P266" i="11"/>
  <c r="P269" i="11"/>
  <c r="O771" i="11"/>
  <c r="L770" i="11"/>
  <c r="O770" i="11" s="1"/>
  <c r="N807" i="11"/>
  <c r="N805" i="11" s="1"/>
  <c r="N808" i="11"/>
  <c r="I237" i="11"/>
  <c r="L249" i="11"/>
  <c r="O249" i="11" s="1"/>
  <c r="M330" i="11"/>
  <c r="M347" i="11"/>
  <c r="K381" i="11"/>
  <c r="L395" i="11"/>
  <c r="O395" i="11" s="1"/>
  <c r="L477" i="11"/>
  <c r="O477" i="11" s="1"/>
  <c r="L469" i="11"/>
  <c r="L467" i="11" s="1"/>
  <c r="O479" i="11"/>
  <c r="P525" i="11"/>
  <c r="O557" i="11"/>
  <c r="L555" i="11"/>
  <c r="O555" i="11" s="1"/>
  <c r="L639" i="11"/>
  <c r="O639" i="11" s="1"/>
  <c r="O641" i="11"/>
  <c r="L631" i="11"/>
  <c r="P739" i="11"/>
  <c r="M737" i="11"/>
  <c r="P737" i="11" s="1"/>
  <c r="K360" i="11"/>
  <c r="N391" i="11"/>
  <c r="N389" i="11" s="1"/>
  <c r="K435" i="11"/>
  <c r="J433" i="11"/>
  <c r="J417" i="11" s="1"/>
  <c r="P469" i="11"/>
  <c r="L546" i="11"/>
  <c r="O546" i="11" s="1"/>
  <c r="N655" i="11"/>
  <c r="O738" i="11"/>
  <c r="L737" i="11"/>
  <c r="O737" i="11" s="1"/>
  <c r="O788" i="11"/>
  <c r="L786" i="11"/>
  <c r="O786" i="11" s="1"/>
  <c r="O545" i="11"/>
  <c r="O656" i="11"/>
  <c r="K674" i="11"/>
  <c r="J537" i="11"/>
  <c r="J522" i="11" s="1"/>
  <c r="I654" i="11"/>
  <c r="K654" i="11" s="1"/>
  <c r="L658" i="11"/>
  <c r="O658" i="11" s="1"/>
  <c r="K675" i="11"/>
  <c r="L525" i="11"/>
  <c r="O525" i="11" s="1"/>
  <c r="P61" i="4"/>
  <c r="M330" i="9"/>
  <c r="M328" i="9" s="1"/>
  <c r="L33" i="10"/>
  <c r="O33" i="10" s="1"/>
  <c r="L90" i="10"/>
  <c r="L88" i="10" s="1"/>
  <c r="M125" i="10"/>
  <c r="P125" i="10" s="1"/>
  <c r="M135" i="10"/>
  <c r="P135" i="10" s="1"/>
  <c r="K309" i="10"/>
  <c r="K435" i="10"/>
  <c r="K440" i="10"/>
  <c r="N26" i="10"/>
  <c r="N16" i="10" s="1"/>
  <c r="N14" i="10" s="1"/>
  <c r="L229" i="10"/>
  <c r="L546" i="10"/>
  <c r="O546" i="10" s="1"/>
  <c r="N56" i="10"/>
  <c r="P56" i="10" s="1"/>
  <c r="O58" i="10"/>
  <c r="N68" i="10"/>
  <c r="N66" i="10" s="1"/>
  <c r="L94" i="10"/>
  <c r="O94" i="10" s="1"/>
  <c r="P168" i="10"/>
  <c r="L217" i="10"/>
  <c r="O217" i="10" s="1"/>
  <c r="L334" i="10"/>
  <c r="O334" i="10" s="1"/>
  <c r="J327" i="10"/>
  <c r="K327" i="10" s="1"/>
  <c r="K723" i="10"/>
  <c r="M43" i="10"/>
  <c r="O168" i="10"/>
  <c r="L318" i="10"/>
  <c r="O318" i="10" s="1"/>
  <c r="I442" i="10"/>
  <c r="K442" i="10" s="1"/>
  <c r="J537" i="10"/>
  <c r="J522" i="10" s="1"/>
  <c r="P189" i="9"/>
  <c r="N318" i="9"/>
  <c r="K823" i="9"/>
  <c r="K826" i="9"/>
  <c r="L228" i="10"/>
  <c r="L280" i="10"/>
  <c r="O280" i="10" s="1"/>
  <c r="K538" i="10"/>
  <c r="K720" i="10"/>
  <c r="K728" i="10"/>
  <c r="I275" i="6"/>
  <c r="K275" i="6" s="1"/>
  <c r="N347" i="8"/>
  <c r="N345" i="8" s="1"/>
  <c r="L330" i="9"/>
  <c r="L328" i="9" s="1"/>
  <c r="M59" i="10"/>
  <c r="P59" i="10" s="1"/>
  <c r="K116" i="10"/>
  <c r="L167" i="10"/>
  <c r="L165" i="10" s="1"/>
  <c r="O173" i="10"/>
  <c r="L171" i="10"/>
  <c r="O171" i="10" s="1"/>
  <c r="M347" i="10"/>
  <c r="M345" i="10" s="1"/>
  <c r="P74" i="8"/>
  <c r="L167" i="9"/>
  <c r="I628" i="9"/>
  <c r="K628" i="9" s="1"/>
  <c r="N59" i="10"/>
  <c r="O61" i="10"/>
  <c r="O74" i="10"/>
  <c r="N121" i="10"/>
  <c r="N119" i="10" s="1"/>
  <c r="M134" i="10"/>
  <c r="M132" i="10" s="1"/>
  <c r="P132" i="10" s="1"/>
  <c r="N263" i="10"/>
  <c r="O266" i="10"/>
  <c r="M317" i="10"/>
  <c r="P317" i="10" s="1"/>
  <c r="P320" i="10"/>
  <c r="M318" i="10"/>
  <c r="P318" i="10" s="1"/>
  <c r="N347" i="10"/>
  <c r="O350" i="10"/>
  <c r="N348" i="10"/>
  <c r="O348" i="10" s="1"/>
  <c r="M47" i="9"/>
  <c r="P47" i="9" s="1"/>
  <c r="M321" i="9"/>
  <c r="P321" i="9" s="1"/>
  <c r="O449" i="9"/>
  <c r="L55" i="10"/>
  <c r="L53" i="10" s="1"/>
  <c r="O93" i="10"/>
  <c r="M121" i="10"/>
  <c r="M119" i="10" s="1"/>
  <c r="P119" i="10" s="1"/>
  <c r="O189" i="10"/>
  <c r="L187" i="10"/>
  <c r="O187" i="10" s="1"/>
  <c r="L183" i="10"/>
  <c r="L181" i="10" s="1"/>
  <c r="M280" i="10"/>
  <c r="P280" i="10" s="1"/>
  <c r="P282" i="10"/>
  <c r="N317" i="10"/>
  <c r="N315" i="10" s="1"/>
  <c r="L391" i="10"/>
  <c r="O394" i="10"/>
  <c r="L392" i="10"/>
  <c r="O392" i="10" s="1"/>
  <c r="J364" i="7"/>
  <c r="O61" i="9"/>
  <c r="L69" i="9"/>
  <c r="O69" i="9" s="1"/>
  <c r="K725" i="9"/>
  <c r="P58" i="10"/>
  <c r="I76" i="10"/>
  <c r="P410" i="10"/>
  <c r="M408" i="10"/>
  <c r="P408" i="10" s="1"/>
  <c r="L469" i="10"/>
  <c r="O469" i="10" s="1"/>
  <c r="O479" i="10"/>
  <c r="K672" i="10"/>
  <c r="K673" i="10"/>
  <c r="I654" i="10"/>
  <c r="K654" i="10" s="1"/>
  <c r="K675" i="10"/>
  <c r="K669" i="10"/>
  <c r="I785" i="10"/>
  <c r="K785" i="10" s="1"/>
  <c r="K800" i="10"/>
  <c r="M151" i="10"/>
  <c r="M149" i="10" s="1"/>
  <c r="P149" i="10" s="1"/>
  <c r="P154" i="10"/>
  <c r="I785" i="7"/>
  <c r="K785" i="7" s="1"/>
  <c r="I130" i="9"/>
  <c r="K130" i="9" s="1"/>
  <c r="L657" i="9"/>
  <c r="O657" i="9" s="1"/>
  <c r="K822" i="9"/>
  <c r="K825" i="9"/>
  <c r="K828" i="9"/>
  <c r="L23" i="10"/>
  <c r="O91" i="10"/>
  <c r="N90" i="10"/>
  <c r="N88" i="10" s="1"/>
  <c r="L152" i="10"/>
  <c r="O152" i="10" s="1"/>
  <c r="O154" i="10"/>
  <c r="O170" i="10"/>
  <c r="M167" i="10"/>
  <c r="L300" i="10"/>
  <c r="O300" i="10" s="1"/>
  <c r="I364" i="10"/>
  <c r="K364" i="10" s="1"/>
  <c r="O690" i="10"/>
  <c r="L351" i="10"/>
  <c r="O351" i="10" s="1"/>
  <c r="O353" i="10"/>
  <c r="L404" i="10"/>
  <c r="O404" i="10" s="1"/>
  <c r="J722" i="10"/>
  <c r="K722" i="10" s="1"/>
  <c r="M267" i="10"/>
  <c r="P267" i="10" s="1"/>
  <c r="L283" i="10"/>
  <c r="O283" i="10" s="1"/>
  <c r="L198" i="10"/>
  <c r="O198" i="10" s="1"/>
  <c r="L209" i="10"/>
  <c r="O209" i="10" s="1"/>
  <c r="O306" i="10"/>
  <c r="J364" i="10"/>
  <c r="J433" i="10"/>
  <c r="J417" i="10" s="1"/>
  <c r="K417" i="10" s="1"/>
  <c r="I190" i="10"/>
  <c r="K190" i="10" s="1"/>
  <c r="L657" i="10"/>
  <c r="O657" i="10" s="1"/>
  <c r="N19" i="10"/>
  <c r="N12" i="10"/>
  <c r="O42" i="10"/>
  <c r="L47" i="10"/>
  <c r="O47" i="10" s="1"/>
  <c r="O49" i="10"/>
  <c r="O186" i="10"/>
  <c r="N23" i="10"/>
  <c r="N21" i="10" s="1"/>
  <c r="N183" i="10"/>
  <c r="K204" i="10"/>
  <c r="I197" i="10"/>
  <c r="K197" i="10" s="1"/>
  <c r="L639" i="10"/>
  <c r="O639" i="10" s="1"/>
  <c r="O641" i="10"/>
  <c r="L631" i="10"/>
  <c r="O631" i="10" s="1"/>
  <c r="L36" i="10"/>
  <c r="O738" i="10"/>
  <c r="L737" i="10"/>
  <c r="O737" i="10" s="1"/>
  <c r="K708" i="4"/>
  <c r="M121" i="5"/>
  <c r="M119" i="5" s="1"/>
  <c r="P119" i="5" s="1"/>
  <c r="O93" i="8"/>
  <c r="N183" i="8"/>
  <c r="N181" i="8" s="1"/>
  <c r="L347" i="8"/>
  <c r="L345" i="8" s="1"/>
  <c r="M395" i="8"/>
  <c r="P395" i="8" s="1"/>
  <c r="O93" i="9"/>
  <c r="L125" i="9"/>
  <c r="O125" i="9" s="1"/>
  <c r="K159" i="9"/>
  <c r="K176" i="9"/>
  <c r="O186" i="9"/>
  <c r="O266" i="9"/>
  <c r="L331" i="9"/>
  <c r="O331" i="9" s="1"/>
  <c r="M347" i="9"/>
  <c r="M345" i="9" s="1"/>
  <c r="L36" i="9"/>
  <c r="O36" i="9" s="1"/>
  <c r="N29" i="10"/>
  <c r="N28" i="10" s="1"/>
  <c r="N184" i="10"/>
  <c r="O184" i="10" s="1"/>
  <c r="I314" i="10"/>
  <c r="K314" i="10" s="1"/>
  <c r="M444" i="10"/>
  <c r="P444" i="10" s="1"/>
  <c r="P445" i="10"/>
  <c r="L321" i="8"/>
  <c r="O321" i="8" s="1"/>
  <c r="M94" i="9"/>
  <c r="P94" i="9" s="1"/>
  <c r="N168" i="9"/>
  <c r="O168" i="9" s="1"/>
  <c r="L171" i="9"/>
  <c r="O171" i="9" s="1"/>
  <c r="L183" i="9"/>
  <c r="L181" i="9" s="1"/>
  <c r="O269" i="9"/>
  <c r="L408" i="9"/>
  <c r="O408" i="9" s="1"/>
  <c r="P397" i="10"/>
  <c r="M395" i="10"/>
  <c r="P395" i="10" s="1"/>
  <c r="I297" i="8"/>
  <c r="K297" i="8" s="1"/>
  <c r="L26" i="10"/>
  <c r="O166" i="10"/>
  <c r="M171" i="10"/>
  <c r="P171" i="10" s="1"/>
  <c r="P173" i="10"/>
  <c r="P333" i="10"/>
  <c r="M331" i="10"/>
  <c r="M330" i="10"/>
  <c r="M328" i="10" s="1"/>
  <c r="K460" i="9"/>
  <c r="I442" i="9"/>
  <c r="K442" i="9" s="1"/>
  <c r="P71" i="10"/>
  <c r="M68" i="10"/>
  <c r="M91" i="10"/>
  <c r="P91" i="10" s="1"/>
  <c r="M90" i="10"/>
  <c r="P93" i="10"/>
  <c r="L155" i="10"/>
  <c r="O155" i="10" s="1"/>
  <c r="O157" i="10"/>
  <c r="O262" i="10"/>
  <c r="K701" i="6"/>
  <c r="M94" i="8"/>
  <c r="P94" i="8" s="1"/>
  <c r="O660" i="8"/>
  <c r="M69" i="9"/>
  <c r="P69" i="9" s="1"/>
  <c r="L90" i="9"/>
  <c r="L88" i="9" s="1"/>
  <c r="N300" i="9"/>
  <c r="N298" i="9" s="1"/>
  <c r="K325" i="9"/>
  <c r="K728" i="9"/>
  <c r="K800" i="9"/>
  <c r="I785" i="9"/>
  <c r="K785" i="9" s="1"/>
  <c r="M26" i="10"/>
  <c r="M69" i="10"/>
  <c r="P69" i="10" s="1"/>
  <c r="J226" i="10"/>
  <c r="J180" i="10" s="1"/>
  <c r="K726" i="9"/>
  <c r="M55" i="10"/>
  <c r="L68" i="10"/>
  <c r="O68" i="10" s="1"/>
  <c r="P186" i="10"/>
  <c r="P303" i="10"/>
  <c r="M301" i="10"/>
  <c r="P301" i="10" s="1"/>
  <c r="M12" i="10"/>
  <c r="M19" i="10"/>
  <c r="O71" i="10"/>
  <c r="K79" i="10"/>
  <c r="I77" i="10"/>
  <c r="K111" i="10"/>
  <c r="O127" i="10"/>
  <c r="O140" i="10"/>
  <c r="K145" i="10"/>
  <c r="I143" i="10"/>
  <c r="M183" i="10"/>
  <c r="N300" i="10"/>
  <c r="N298" i="10" s="1"/>
  <c r="L526" i="10"/>
  <c r="O526" i="10" s="1"/>
  <c r="O528" i="10"/>
  <c r="L525" i="10"/>
  <c r="I233" i="10"/>
  <c r="K233" i="10" s="1"/>
  <c r="K244" i="10"/>
  <c r="I237" i="10"/>
  <c r="K255" i="10"/>
  <c r="I248" i="10"/>
  <c r="K248" i="10" s="1"/>
  <c r="O264" i="10"/>
  <c r="P394" i="10"/>
  <c r="M392" i="10"/>
  <c r="P392" i="10" s="1"/>
  <c r="M391" i="10"/>
  <c r="P391" i="10" s="1"/>
  <c r="P407" i="10"/>
  <c r="M404" i="10"/>
  <c r="P419" i="10"/>
  <c r="L15" i="10"/>
  <c r="M23" i="10"/>
  <c r="L29" i="10"/>
  <c r="M30" i="10"/>
  <c r="L43" i="10"/>
  <c r="K80" i="10"/>
  <c r="O124" i="10"/>
  <c r="O137" i="10"/>
  <c r="J143" i="10"/>
  <c r="J131" i="10" s="1"/>
  <c r="K146" i="10"/>
  <c r="L151" i="10"/>
  <c r="O151" i="10" s="1"/>
  <c r="P166" i="10"/>
  <c r="I174" i="10"/>
  <c r="O269" i="10"/>
  <c r="I276" i="10"/>
  <c r="K276" i="10" s="1"/>
  <c r="M279" i="10"/>
  <c r="P279" i="10" s="1"/>
  <c r="L317" i="10"/>
  <c r="O317" i="10" s="1"/>
  <c r="N330" i="10"/>
  <c r="N334" i="10"/>
  <c r="M405" i="10"/>
  <c r="P405" i="10" s="1"/>
  <c r="P96" i="10"/>
  <c r="P170" i="10"/>
  <c r="K216" i="10"/>
  <c r="L238" i="10"/>
  <c r="L249" i="10"/>
  <c r="O249" i="10" s="1"/>
  <c r="P350" i="10"/>
  <c r="M348" i="10"/>
  <c r="P336" i="10"/>
  <c r="M334" i="10"/>
  <c r="P334" i="10" s="1"/>
  <c r="K340" i="10"/>
  <c r="N470" i="10"/>
  <c r="P545" i="10"/>
  <c r="M544" i="10"/>
  <c r="P544" i="10" s="1"/>
  <c r="N544" i="10"/>
  <c r="N414" i="10" s="1"/>
  <c r="P756" i="10"/>
  <c r="M754" i="10"/>
  <c r="P754" i="10" s="1"/>
  <c r="L789" i="10"/>
  <c r="O789" i="10" s="1"/>
  <c r="O791" i="10"/>
  <c r="O807" i="10"/>
  <c r="L805" i="10"/>
  <c r="O805" i="10" s="1"/>
  <c r="O755" i="10"/>
  <c r="L754" i="10"/>
  <c r="O754" i="10" s="1"/>
  <c r="L454" i="10"/>
  <c r="O454" i="10" s="1"/>
  <c r="O456" i="10"/>
  <c r="L446" i="10"/>
  <c r="P772" i="10"/>
  <c r="M770" i="10"/>
  <c r="P770" i="10" s="1"/>
  <c r="N807" i="10"/>
  <c r="N805" i="10" s="1"/>
  <c r="N808" i="10"/>
  <c r="P353" i="10"/>
  <c r="M351" i="10"/>
  <c r="P351" i="10" s="1"/>
  <c r="L429" i="10"/>
  <c r="O429" i="10" s="1"/>
  <c r="O431" i="10"/>
  <c r="L421" i="10"/>
  <c r="N754" i="10"/>
  <c r="O771" i="10"/>
  <c r="L770" i="10"/>
  <c r="O770" i="10" s="1"/>
  <c r="O403" i="10"/>
  <c r="P739" i="10"/>
  <c r="M737" i="10"/>
  <c r="P737" i="10" s="1"/>
  <c r="O788" i="10"/>
  <c r="L786" i="10"/>
  <c r="O786" i="10" s="1"/>
  <c r="P468" i="10"/>
  <c r="L470" i="10"/>
  <c r="O470" i="10" s="1"/>
  <c r="P503" i="10"/>
  <c r="O656" i="10"/>
  <c r="K674" i="10"/>
  <c r="J721" i="10"/>
  <c r="K721" i="10" s="1"/>
  <c r="L658" i="10"/>
  <c r="O658" i="10" s="1"/>
  <c r="M786" i="10"/>
  <c r="P786" i="10" s="1"/>
  <c r="K537" i="10"/>
  <c r="K593" i="10"/>
  <c r="M134" i="9"/>
  <c r="N151" i="9"/>
  <c r="N149" i="9" s="1"/>
  <c r="N55" i="8"/>
  <c r="L334" i="8"/>
  <c r="O334" i="8" s="1"/>
  <c r="L348" i="8"/>
  <c r="N404" i="8"/>
  <c r="N402" i="8" s="1"/>
  <c r="P74" i="9"/>
  <c r="I112" i="9"/>
  <c r="K112" i="9" s="1"/>
  <c r="M151" i="9"/>
  <c r="P151" i="9" s="1"/>
  <c r="M155" i="9"/>
  <c r="P155" i="9" s="1"/>
  <c r="L184" i="9"/>
  <c r="O184" i="9" s="1"/>
  <c r="K244" i="9"/>
  <c r="M279" i="9"/>
  <c r="P279" i="9" s="1"/>
  <c r="L392" i="9"/>
  <c r="O392" i="9" s="1"/>
  <c r="I559" i="9"/>
  <c r="I543" i="9" s="1"/>
  <c r="K543" i="9" s="1"/>
  <c r="K673" i="9"/>
  <c r="I86" i="7"/>
  <c r="K86" i="7" s="1"/>
  <c r="M47" i="8"/>
  <c r="P47" i="8" s="1"/>
  <c r="M135" i="9"/>
  <c r="P135" i="9" s="1"/>
  <c r="O170" i="9"/>
  <c r="I260" i="9"/>
  <c r="K260" i="9" s="1"/>
  <c r="M280" i="9"/>
  <c r="P280" i="9" s="1"/>
  <c r="L283" i="9"/>
  <c r="O283" i="9" s="1"/>
  <c r="M183" i="5"/>
  <c r="M181" i="5" s="1"/>
  <c r="K271" i="7"/>
  <c r="M330" i="7"/>
  <c r="M328" i="7" s="1"/>
  <c r="N151" i="8"/>
  <c r="N149" i="8" s="1"/>
  <c r="L168" i="8"/>
  <c r="O168" i="8" s="1"/>
  <c r="I174" i="8"/>
  <c r="K174" i="8" s="1"/>
  <c r="L229" i="8"/>
  <c r="I314" i="8"/>
  <c r="K314" i="8" s="1"/>
  <c r="M43" i="9"/>
  <c r="M41" i="9" s="1"/>
  <c r="M138" i="9"/>
  <c r="P138" i="9" s="1"/>
  <c r="I164" i="9"/>
  <c r="K164" i="9" s="1"/>
  <c r="L187" i="9"/>
  <c r="O187" i="9" s="1"/>
  <c r="L230" i="9"/>
  <c r="K338" i="9"/>
  <c r="I434" i="9"/>
  <c r="I418" i="9" s="1"/>
  <c r="K418" i="9" s="1"/>
  <c r="K669" i="9"/>
  <c r="K675" i="9"/>
  <c r="M68" i="9"/>
  <c r="P68" i="9" s="1"/>
  <c r="K821" i="9"/>
  <c r="K824" i="9"/>
  <c r="K827" i="9"/>
  <c r="P320" i="5"/>
  <c r="K359" i="5"/>
  <c r="L134" i="9"/>
  <c r="O134" i="9" s="1"/>
  <c r="O140" i="9"/>
  <c r="L138" i="9"/>
  <c r="O138" i="9" s="1"/>
  <c r="M183" i="9"/>
  <c r="P186" i="9"/>
  <c r="M184" i="9"/>
  <c r="P184" i="9" s="1"/>
  <c r="L391" i="9"/>
  <c r="O397" i="9"/>
  <c r="L395" i="9"/>
  <c r="O395" i="9" s="1"/>
  <c r="M121" i="8"/>
  <c r="P121" i="8" s="1"/>
  <c r="J288" i="9"/>
  <c r="J275" i="9" s="1"/>
  <c r="I275" i="9"/>
  <c r="K275" i="9" s="1"/>
  <c r="K255" i="9"/>
  <c r="I248" i="9"/>
  <c r="K248" i="9" s="1"/>
  <c r="N167" i="7"/>
  <c r="N165" i="7" s="1"/>
  <c r="L228" i="7"/>
  <c r="O56" i="8"/>
  <c r="N90" i="8"/>
  <c r="N88" i="8" s="1"/>
  <c r="I112" i="8"/>
  <c r="K112" i="8" s="1"/>
  <c r="M122" i="8"/>
  <c r="P122" i="8" s="1"/>
  <c r="M125" i="8"/>
  <c r="P125" i="8" s="1"/>
  <c r="I148" i="8"/>
  <c r="K148" i="8" s="1"/>
  <c r="M300" i="8"/>
  <c r="M298" i="8" s="1"/>
  <c r="L395" i="8"/>
  <c r="O395" i="8" s="1"/>
  <c r="I434" i="8"/>
  <c r="K434" i="8" s="1"/>
  <c r="O46" i="9"/>
  <c r="L68" i="9"/>
  <c r="O68" i="9" s="1"/>
  <c r="L72" i="9"/>
  <c r="O72" i="9" s="1"/>
  <c r="L122" i="9"/>
  <c r="O122" i="9" s="1"/>
  <c r="O124" i="9"/>
  <c r="L121" i="9"/>
  <c r="O121" i="9" s="1"/>
  <c r="L228" i="9"/>
  <c r="L249" i="9"/>
  <c r="O249" i="9" s="1"/>
  <c r="K288" i="9"/>
  <c r="O407" i="9"/>
  <c r="L405" i="9"/>
  <c r="O405" i="9" s="1"/>
  <c r="O472" i="9"/>
  <c r="L469" i="9"/>
  <c r="O469" i="9" s="1"/>
  <c r="L231" i="8"/>
  <c r="N391" i="8"/>
  <c r="N389" i="8" s="1"/>
  <c r="L688" i="8"/>
  <c r="O688" i="8" s="1"/>
  <c r="L44" i="9"/>
  <c r="O44" i="9" s="1"/>
  <c r="L94" i="9"/>
  <c r="O94" i="9" s="1"/>
  <c r="O96" i="9"/>
  <c r="M23" i="9"/>
  <c r="M13" i="9" s="1"/>
  <c r="M168" i="9"/>
  <c r="N280" i="9"/>
  <c r="N279" i="9"/>
  <c r="N277" i="9" s="1"/>
  <c r="O336" i="9"/>
  <c r="L334" i="9"/>
  <c r="O334" i="9" s="1"/>
  <c r="J364" i="9"/>
  <c r="N391" i="9"/>
  <c r="N389" i="9" s="1"/>
  <c r="N392" i="9"/>
  <c r="L688" i="9"/>
  <c r="O688" i="9" s="1"/>
  <c r="O690" i="9"/>
  <c r="L687" i="9"/>
  <c r="O687" i="9" s="1"/>
  <c r="L122" i="6"/>
  <c r="O122" i="6" s="1"/>
  <c r="K360" i="7"/>
  <c r="L249" i="8"/>
  <c r="O249" i="8" s="1"/>
  <c r="O333" i="8"/>
  <c r="I592" i="8"/>
  <c r="K592" i="8" s="1"/>
  <c r="I654" i="8"/>
  <c r="K654" i="8" s="1"/>
  <c r="M26" i="9"/>
  <c r="M16" i="9" s="1"/>
  <c r="P91" i="9"/>
  <c r="N90" i="9"/>
  <c r="N88" i="9" s="1"/>
  <c r="O154" i="9"/>
  <c r="L152" i="9"/>
  <c r="O152" i="9" s="1"/>
  <c r="L229" i="9"/>
  <c r="L238" i="9"/>
  <c r="O238" i="9" s="1"/>
  <c r="O333" i="9"/>
  <c r="J143" i="8"/>
  <c r="J131" i="8" s="1"/>
  <c r="P353" i="8"/>
  <c r="I233" i="9"/>
  <c r="K233" i="9" s="1"/>
  <c r="O323" i="9"/>
  <c r="L321" i="9"/>
  <c r="O321" i="9" s="1"/>
  <c r="L209" i="9"/>
  <c r="O209" i="9" s="1"/>
  <c r="N404" i="9"/>
  <c r="N402" i="9" s="1"/>
  <c r="J537" i="9"/>
  <c r="J522" i="9" s="1"/>
  <c r="K720" i="9"/>
  <c r="O91" i="9"/>
  <c r="J327" i="9"/>
  <c r="K327" i="9" s="1"/>
  <c r="L135" i="9"/>
  <c r="O135" i="9" s="1"/>
  <c r="M171" i="9"/>
  <c r="P171" i="9" s="1"/>
  <c r="K224" i="9"/>
  <c r="K287" i="9"/>
  <c r="L347" i="9"/>
  <c r="L345" i="9" s="1"/>
  <c r="J722" i="9"/>
  <c r="K722" i="9" s="1"/>
  <c r="K723" i="9"/>
  <c r="O15" i="9"/>
  <c r="P303" i="9"/>
  <c r="M301" i="9"/>
  <c r="P301" i="9" s="1"/>
  <c r="M300" i="9"/>
  <c r="M69" i="7"/>
  <c r="P69" i="7" s="1"/>
  <c r="L72" i="7"/>
  <c r="O72" i="7" s="1"/>
  <c r="P170" i="7"/>
  <c r="L230" i="7"/>
  <c r="I364" i="7"/>
  <c r="M69" i="8"/>
  <c r="P69" i="8" s="1"/>
  <c r="P93" i="8"/>
  <c r="L152" i="8"/>
  <c r="O152" i="8" s="1"/>
  <c r="N167" i="8"/>
  <c r="N165" i="8" s="1"/>
  <c r="O269" i="8"/>
  <c r="L657" i="8"/>
  <c r="L655" i="8" s="1"/>
  <c r="O655" i="8" s="1"/>
  <c r="L687" i="8"/>
  <c r="O687" i="8" s="1"/>
  <c r="K720" i="8"/>
  <c r="K725" i="8"/>
  <c r="O25" i="9"/>
  <c r="M31" i="9"/>
  <c r="P31" i="9" s="1"/>
  <c r="M29" i="9"/>
  <c r="I76" i="9"/>
  <c r="K80" i="9"/>
  <c r="P93" i="9"/>
  <c r="M90" i="9"/>
  <c r="P124" i="9"/>
  <c r="M122" i="9"/>
  <c r="P122" i="9" s="1"/>
  <c r="M121" i="9"/>
  <c r="P121" i="9" s="1"/>
  <c r="K237" i="9"/>
  <c r="N267" i="9"/>
  <c r="N263" i="9"/>
  <c r="K462" i="9"/>
  <c r="I443" i="9"/>
  <c r="K443" i="9" s="1"/>
  <c r="M301" i="7"/>
  <c r="P301" i="7" s="1"/>
  <c r="O29" i="9"/>
  <c r="O49" i="9"/>
  <c r="L43" i="9"/>
  <c r="L26" i="9"/>
  <c r="I77" i="9"/>
  <c r="J143" i="9"/>
  <c r="J131" i="9" s="1"/>
  <c r="I143" i="9"/>
  <c r="K145" i="9"/>
  <c r="L155" i="9"/>
  <c r="O155" i="9" s="1"/>
  <c r="O157" i="9"/>
  <c r="L151" i="9"/>
  <c r="O320" i="9"/>
  <c r="L317" i="9"/>
  <c r="O317" i="9" s="1"/>
  <c r="N334" i="9"/>
  <c r="N330" i="9"/>
  <c r="P407" i="9"/>
  <c r="M404" i="9"/>
  <c r="M405" i="9"/>
  <c r="P405" i="9" s="1"/>
  <c r="I87" i="4"/>
  <c r="K87" i="4" s="1"/>
  <c r="K385" i="7"/>
  <c r="O74" i="8"/>
  <c r="O140" i="8"/>
  <c r="M183" i="8"/>
  <c r="M181" i="8" s="1"/>
  <c r="L217" i="8"/>
  <c r="O217" i="8" s="1"/>
  <c r="I260" i="8"/>
  <c r="K260" i="8" s="1"/>
  <c r="I276" i="8"/>
  <c r="K276" i="8" s="1"/>
  <c r="O303" i="8"/>
  <c r="O306" i="8"/>
  <c r="K537" i="8"/>
  <c r="K823" i="8"/>
  <c r="K826" i="8"/>
  <c r="L47" i="9"/>
  <c r="O47" i="9" s="1"/>
  <c r="L56" i="9"/>
  <c r="O56" i="9" s="1"/>
  <c r="L23" i="9"/>
  <c r="L21" i="9" s="1"/>
  <c r="O58" i="9"/>
  <c r="L55" i="9"/>
  <c r="P170" i="9"/>
  <c r="M167" i="9"/>
  <c r="L198" i="9"/>
  <c r="O198" i="9" s="1"/>
  <c r="I208" i="9"/>
  <c r="K208" i="9" s="1"/>
  <c r="K215" i="9"/>
  <c r="M264" i="7"/>
  <c r="P264" i="7" s="1"/>
  <c r="I76" i="8"/>
  <c r="K76" i="8" s="1"/>
  <c r="P61" i="9"/>
  <c r="M59" i="9"/>
  <c r="P59" i="9" s="1"/>
  <c r="M55" i="9"/>
  <c r="N72" i="9"/>
  <c r="N68" i="9"/>
  <c r="N66" i="9" s="1"/>
  <c r="N125" i="9"/>
  <c r="N121" i="9"/>
  <c r="N119" i="9" s="1"/>
  <c r="M264" i="9"/>
  <c r="P264" i="9" s="1"/>
  <c r="P266" i="9"/>
  <c r="M263" i="9"/>
  <c r="P263" i="9" s="1"/>
  <c r="O403" i="9"/>
  <c r="O424" i="9"/>
  <c r="N421" i="9"/>
  <c r="N33" i="9"/>
  <c r="N422" i="9"/>
  <c r="O282" i="9"/>
  <c r="L279" i="9"/>
  <c r="O755" i="9"/>
  <c r="L754" i="9"/>
  <c r="O754" i="9" s="1"/>
  <c r="L183" i="7"/>
  <c r="L181" i="7" s="1"/>
  <c r="I522" i="7"/>
  <c r="K522" i="7" s="1"/>
  <c r="I130" i="8"/>
  <c r="K130" i="8" s="1"/>
  <c r="J288" i="8"/>
  <c r="K288" i="8" s="1"/>
  <c r="K651" i="8"/>
  <c r="J721" i="8"/>
  <c r="K721" i="8" s="1"/>
  <c r="L9" i="9"/>
  <c r="O12" i="9"/>
  <c r="O19" i="9"/>
  <c r="N135" i="9"/>
  <c r="N134" i="9"/>
  <c r="N132" i="9" s="1"/>
  <c r="I190" i="9"/>
  <c r="K190" i="9" s="1"/>
  <c r="N348" i="9"/>
  <c r="O348" i="9" s="1"/>
  <c r="N347" i="9"/>
  <c r="O350" i="9"/>
  <c r="N23" i="9"/>
  <c r="P58" i="9"/>
  <c r="M152" i="9"/>
  <c r="P152" i="9" s="1"/>
  <c r="K204" i="9"/>
  <c r="I197" i="9"/>
  <c r="K197" i="9" s="1"/>
  <c r="L300" i="9"/>
  <c r="O300" i="9" s="1"/>
  <c r="M317" i="9"/>
  <c r="P333" i="9"/>
  <c r="M331" i="9"/>
  <c r="P331" i="9" s="1"/>
  <c r="I364" i="9"/>
  <c r="K364" i="9" s="1"/>
  <c r="N152" i="9"/>
  <c r="L217" i="9"/>
  <c r="O217" i="9" s="1"/>
  <c r="P269" i="9"/>
  <c r="O303" i="9"/>
  <c r="N351" i="9"/>
  <c r="O351" i="9" s="1"/>
  <c r="O353" i="9"/>
  <c r="M419" i="9"/>
  <c r="P420" i="9"/>
  <c r="L454" i="9"/>
  <c r="O454" i="9" s="1"/>
  <c r="O456" i="9"/>
  <c r="L446" i="9"/>
  <c r="L526" i="9"/>
  <c r="O526" i="9" s="1"/>
  <c r="O528" i="9"/>
  <c r="L525" i="9"/>
  <c r="L33" i="9"/>
  <c r="L31" i="9" s="1"/>
  <c r="O299" i="9"/>
  <c r="N419" i="9"/>
  <c r="M12" i="9"/>
  <c r="M19" i="9"/>
  <c r="N26" i="9"/>
  <c r="M34" i="9"/>
  <c r="P34" i="9" s="1"/>
  <c r="N43" i="9"/>
  <c r="O89" i="9"/>
  <c r="M125" i="9"/>
  <c r="P125" i="9" s="1"/>
  <c r="O166" i="9"/>
  <c r="P306" i="9"/>
  <c r="M304" i="9"/>
  <c r="P304" i="9" s="1"/>
  <c r="P320" i="9"/>
  <c r="K340" i="9"/>
  <c r="L404" i="9"/>
  <c r="O404" i="9" s="1"/>
  <c r="N12" i="9"/>
  <c r="P46" i="9"/>
  <c r="K98" i="9"/>
  <c r="P336" i="9"/>
  <c r="M334" i="9"/>
  <c r="P334" i="9" s="1"/>
  <c r="O346" i="9"/>
  <c r="P394" i="9"/>
  <c r="M392" i="9"/>
  <c r="P392" i="9" s="1"/>
  <c r="M391" i="9"/>
  <c r="O422" i="9"/>
  <c r="P350" i="9"/>
  <c r="M348" i="9"/>
  <c r="P397" i="9"/>
  <c r="M395" i="9"/>
  <c r="P395" i="9" s="1"/>
  <c r="L429" i="9"/>
  <c r="O429" i="9" s="1"/>
  <c r="O431" i="9"/>
  <c r="L421" i="9"/>
  <c r="K435" i="9"/>
  <c r="J433" i="9"/>
  <c r="J417" i="9" s="1"/>
  <c r="K417" i="9" s="1"/>
  <c r="M467" i="9"/>
  <c r="P467" i="9" s="1"/>
  <c r="P545" i="9"/>
  <c r="M544" i="9"/>
  <c r="P544" i="9" s="1"/>
  <c r="P772" i="9"/>
  <c r="M770" i="9"/>
  <c r="P770" i="9" s="1"/>
  <c r="L789" i="9"/>
  <c r="O789" i="9" s="1"/>
  <c r="O791" i="9"/>
  <c r="O807" i="9"/>
  <c r="L805" i="9"/>
  <c r="O805" i="9" s="1"/>
  <c r="O771" i="9"/>
  <c r="L770" i="9"/>
  <c r="O770" i="9" s="1"/>
  <c r="P739" i="9"/>
  <c r="M737" i="9"/>
  <c r="P737" i="9" s="1"/>
  <c r="N807" i="9"/>
  <c r="N805" i="9" s="1"/>
  <c r="N808" i="9"/>
  <c r="L639" i="9"/>
  <c r="O639" i="9" s="1"/>
  <c r="O641" i="9"/>
  <c r="L631" i="9"/>
  <c r="O631" i="9" s="1"/>
  <c r="O738" i="9"/>
  <c r="L737" i="9"/>
  <c r="O737" i="9" s="1"/>
  <c r="P353" i="9"/>
  <c r="M351" i="9"/>
  <c r="N544" i="9"/>
  <c r="N629" i="9"/>
  <c r="P756" i="9"/>
  <c r="M754" i="9"/>
  <c r="P754" i="9" s="1"/>
  <c r="O788" i="9"/>
  <c r="L786" i="9"/>
  <c r="O786" i="9" s="1"/>
  <c r="P468" i="9"/>
  <c r="L470" i="9"/>
  <c r="O470" i="9" s="1"/>
  <c r="P503" i="9"/>
  <c r="O656" i="9"/>
  <c r="K674" i="9"/>
  <c r="J721" i="9"/>
  <c r="K721" i="9" s="1"/>
  <c r="L555" i="9"/>
  <c r="O555" i="9" s="1"/>
  <c r="L658" i="9"/>
  <c r="O658" i="9" s="1"/>
  <c r="K537" i="9"/>
  <c r="L546" i="9"/>
  <c r="K593" i="9"/>
  <c r="L47" i="8"/>
  <c r="O47" i="8" s="1"/>
  <c r="K193" i="7"/>
  <c r="N404" i="7"/>
  <c r="N402" i="7" s="1"/>
  <c r="P140" i="8"/>
  <c r="P170" i="8"/>
  <c r="P186" i="8"/>
  <c r="L279" i="8"/>
  <c r="L277" i="8" s="1"/>
  <c r="L330" i="8"/>
  <c r="L328" i="8" s="1"/>
  <c r="K435" i="8"/>
  <c r="K440" i="8"/>
  <c r="L469" i="8"/>
  <c r="O469" i="8" s="1"/>
  <c r="J722" i="8"/>
  <c r="K722" i="8" s="1"/>
  <c r="I314" i="7"/>
  <c r="K314" i="7" s="1"/>
  <c r="L69" i="8"/>
  <c r="O69" i="8" s="1"/>
  <c r="L187" i="8"/>
  <c r="O187" i="8" s="1"/>
  <c r="O266" i="8"/>
  <c r="L331" i="8"/>
  <c r="O331" i="8" s="1"/>
  <c r="I364" i="8"/>
  <c r="L421" i="7"/>
  <c r="L419" i="7" s="1"/>
  <c r="J327" i="8"/>
  <c r="K327" i="8" s="1"/>
  <c r="L209" i="8"/>
  <c r="O209" i="8" s="1"/>
  <c r="I216" i="8"/>
  <c r="K216" i="8" s="1"/>
  <c r="L300" i="8"/>
  <c r="L298" i="8" s="1"/>
  <c r="O407" i="8"/>
  <c r="J143" i="7"/>
  <c r="J131" i="7" s="1"/>
  <c r="L546" i="7"/>
  <c r="O546" i="7" s="1"/>
  <c r="I77" i="8"/>
  <c r="K77" i="8" s="1"/>
  <c r="N121" i="8"/>
  <c r="N119" i="8" s="1"/>
  <c r="N317" i="8"/>
  <c r="N315" i="8" s="1"/>
  <c r="N348" i="8"/>
  <c r="O350" i="8"/>
  <c r="K669" i="8"/>
  <c r="K728" i="8"/>
  <c r="M43" i="8"/>
  <c r="M41" i="8" s="1"/>
  <c r="P61" i="8"/>
  <c r="M59" i="8"/>
  <c r="P59" i="8" s="1"/>
  <c r="O173" i="8"/>
  <c r="L171" i="8"/>
  <c r="O171" i="8" s="1"/>
  <c r="K699" i="3"/>
  <c r="M138" i="7"/>
  <c r="P138" i="7" s="1"/>
  <c r="K462" i="7"/>
  <c r="L91" i="8"/>
  <c r="N125" i="8"/>
  <c r="N152" i="8"/>
  <c r="N168" i="8"/>
  <c r="M171" i="8"/>
  <c r="P171" i="8" s="1"/>
  <c r="P173" i="8"/>
  <c r="K244" i="8"/>
  <c r="P285" i="8"/>
  <c r="M283" i="8"/>
  <c r="P283" i="8" s="1"/>
  <c r="L404" i="8"/>
  <c r="O404" i="8" s="1"/>
  <c r="O410" i="8"/>
  <c r="L408" i="8"/>
  <c r="O408" i="8" s="1"/>
  <c r="L547" i="8"/>
  <c r="O547" i="8" s="1"/>
  <c r="L546" i="8"/>
  <c r="O546" i="8" s="1"/>
  <c r="O549" i="8"/>
  <c r="L330" i="6"/>
  <c r="L328" i="6" s="1"/>
  <c r="N317" i="7"/>
  <c r="N315" i="7" s="1"/>
  <c r="M334" i="7"/>
  <c r="P334" i="7" s="1"/>
  <c r="K369" i="7"/>
  <c r="K365" i="7"/>
  <c r="M392" i="7"/>
  <c r="P392" i="7" s="1"/>
  <c r="L23" i="8"/>
  <c r="L21" i="8" s="1"/>
  <c r="L36" i="8"/>
  <c r="O36" i="8" s="1"/>
  <c r="M56" i="8"/>
  <c r="P56" i="8" s="1"/>
  <c r="M91" i="8"/>
  <c r="N134" i="8"/>
  <c r="N132" i="8" s="1"/>
  <c r="L135" i="8"/>
  <c r="O135" i="8" s="1"/>
  <c r="O137" i="8"/>
  <c r="L134" i="8"/>
  <c r="P282" i="8"/>
  <c r="M280" i="8"/>
  <c r="P280" i="8" s="1"/>
  <c r="P350" i="8"/>
  <c r="M347" i="8"/>
  <c r="O353" i="8"/>
  <c r="L351" i="8"/>
  <c r="O351" i="8" s="1"/>
  <c r="L318" i="7"/>
  <c r="O318" i="7" s="1"/>
  <c r="K370" i="7"/>
  <c r="N91" i="8"/>
  <c r="K116" i="8"/>
  <c r="O124" i="8"/>
  <c r="L122" i="8"/>
  <c r="O122" i="8" s="1"/>
  <c r="P137" i="8"/>
  <c r="M134" i="8"/>
  <c r="M187" i="8"/>
  <c r="P187" i="8" s="1"/>
  <c r="P189" i="8"/>
  <c r="L198" i="8"/>
  <c r="O198" i="8" s="1"/>
  <c r="N263" i="8"/>
  <c r="N261" i="8" s="1"/>
  <c r="K381" i="8"/>
  <c r="J537" i="8"/>
  <c r="J522" i="8" s="1"/>
  <c r="I785" i="5"/>
  <c r="K785" i="5" s="1"/>
  <c r="O91" i="6"/>
  <c r="L229" i="7"/>
  <c r="O282" i="7"/>
  <c r="O351" i="7"/>
  <c r="L68" i="8"/>
  <c r="L90" i="8"/>
  <c r="L88" i="8" s="1"/>
  <c r="O157" i="8"/>
  <c r="L151" i="8"/>
  <c r="O151" i="8" s="1"/>
  <c r="L167" i="8"/>
  <c r="O167" i="8" s="1"/>
  <c r="M279" i="8"/>
  <c r="M277" i="8" s="1"/>
  <c r="O320" i="8"/>
  <c r="L318" i="8"/>
  <c r="O318" i="8" s="1"/>
  <c r="M330" i="8"/>
  <c r="K374" i="8"/>
  <c r="O394" i="8"/>
  <c r="L391" i="8"/>
  <c r="J433" i="8"/>
  <c r="O186" i="8"/>
  <c r="L183" i="8"/>
  <c r="L184" i="8"/>
  <c r="O184" i="8" s="1"/>
  <c r="I190" i="5"/>
  <c r="K190" i="5" s="1"/>
  <c r="L421" i="5"/>
  <c r="L419" i="5" s="1"/>
  <c r="M183" i="7"/>
  <c r="M181" i="7" s="1"/>
  <c r="K309" i="7"/>
  <c r="O331" i="7"/>
  <c r="L347" i="7"/>
  <c r="L345" i="7" s="1"/>
  <c r="K821" i="7"/>
  <c r="K824" i="7"/>
  <c r="K827" i="7"/>
  <c r="L43" i="8"/>
  <c r="L41" i="8" s="1"/>
  <c r="O58" i="8"/>
  <c r="M68" i="8"/>
  <c r="K80" i="8"/>
  <c r="K83" i="8"/>
  <c r="M90" i="8"/>
  <c r="M135" i="8"/>
  <c r="P135" i="8" s="1"/>
  <c r="M167" i="8"/>
  <c r="O301" i="8"/>
  <c r="N300" i="8"/>
  <c r="N298" i="8" s="1"/>
  <c r="N330" i="8"/>
  <c r="N328" i="8" s="1"/>
  <c r="L392" i="8"/>
  <c r="O392" i="8" s="1"/>
  <c r="P394" i="8"/>
  <c r="M391" i="8"/>
  <c r="I443" i="8"/>
  <c r="K443" i="8" s="1"/>
  <c r="O535" i="8"/>
  <c r="L533" i="8"/>
  <c r="O533" i="8" s="1"/>
  <c r="O557" i="8"/>
  <c r="K576" i="8"/>
  <c r="I559" i="8"/>
  <c r="K559" i="8" s="1"/>
  <c r="I785" i="8"/>
  <c r="K785" i="8" s="1"/>
  <c r="K800" i="8"/>
  <c r="P184" i="8"/>
  <c r="L238" i="8"/>
  <c r="O238" i="8" s="1"/>
  <c r="K338" i="8"/>
  <c r="J364" i="8"/>
  <c r="K821" i="8"/>
  <c r="K824" i="8"/>
  <c r="K827" i="8"/>
  <c r="L263" i="8"/>
  <c r="L261" i="8" s="1"/>
  <c r="O264" i="8"/>
  <c r="P333" i="8"/>
  <c r="K385" i="8"/>
  <c r="K672" i="8"/>
  <c r="L230" i="8"/>
  <c r="K673" i="8"/>
  <c r="K723" i="8"/>
  <c r="K726" i="8"/>
  <c r="K822" i="8"/>
  <c r="K825" i="8"/>
  <c r="K828" i="8"/>
  <c r="M90" i="7"/>
  <c r="M88" i="7" s="1"/>
  <c r="N15" i="8"/>
  <c r="N44" i="8"/>
  <c r="N23" i="8"/>
  <c r="L26" i="8"/>
  <c r="O61" i="8"/>
  <c r="O184" i="6"/>
  <c r="K823" i="6"/>
  <c r="K826" i="6"/>
  <c r="M304" i="7"/>
  <c r="P304" i="7" s="1"/>
  <c r="K338" i="7"/>
  <c r="O12" i="8"/>
  <c r="M26" i="8"/>
  <c r="O32" i="8"/>
  <c r="L29" i="8"/>
  <c r="N43" i="8"/>
  <c r="O46" i="8"/>
  <c r="L59" i="8"/>
  <c r="O59" i="8" s="1"/>
  <c r="K111" i="8"/>
  <c r="L125" i="8"/>
  <c r="O125" i="8" s="1"/>
  <c r="M152" i="8"/>
  <c r="P152" i="8" s="1"/>
  <c r="I190" i="8"/>
  <c r="K190" i="8" s="1"/>
  <c r="K225" i="8"/>
  <c r="M318" i="8"/>
  <c r="P318" i="8" s="1"/>
  <c r="P320" i="8"/>
  <c r="M317" i="8"/>
  <c r="P739" i="8"/>
  <c r="M737" i="8"/>
  <c r="P737" i="8" s="1"/>
  <c r="M122" i="6"/>
  <c r="P122" i="6" s="1"/>
  <c r="I148" i="6"/>
  <c r="K148" i="6" s="1"/>
  <c r="M135" i="7"/>
  <c r="P135" i="7" s="1"/>
  <c r="K822" i="7"/>
  <c r="K828" i="7"/>
  <c r="P12" i="8"/>
  <c r="M9" i="8"/>
  <c r="N26" i="8"/>
  <c r="N16" i="8" s="1"/>
  <c r="P32" i="8"/>
  <c r="M29" i="8"/>
  <c r="P46" i="8"/>
  <c r="L55" i="8"/>
  <c r="L121" i="8"/>
  <c r="O121" i="8" s="1"/>
  <c r="I208" i="8"/>
  <c r="K208" i="8" s="1"/>
  <c r="K255" i="8"/>
  <c r="I248" i="8"/>
  <c r="I233" i="8"/>
  <c r="K233" i="8" s="1"/>
  <c r="O316" i="8"/>
  <c r="M321" i="8"/>
  <c r="P321" i="8" s="1"/>
  <c r="P323" i="8"/>
  <c r="M405" i="8"/>
  <c r="P405" i="8" s="1"/>
  <c r="P407" i="8"/>
  <c r="M404" i="8"/>
  <c r="N9" i="8"/>
  <c r="N29" i="8"/>
  <c r="N28" i="8" s="1"/>
  <c r="N31" i="8"/>
  <c r="N68" i="8"/>
  <c r="N66" i="8" s="1"/>
  <c r="K99" i="8"/>
  <c r="K144" i="8"/>
  <c r="M155" i="8"/>
  <c r="P155" i="8" s="1"/>
  <c r="P266" i="8"/>
  <c r="M263" i="8"/>
  <c r="M467" i="8"/>
  <c r="P467" i="8" s="1"/>
  <c r="P468" i="8"/>
  <c r="P545" i="8"/>
  <c r="M544" i="8"/>
  <c r="P544" i="8" s="1"/>
  <c r="O660" i="6"/>
  <c r="M121" i="7"/>
  <c r="P121" i="7" s="1"/>
  <c r="K144" i="7"/>
  <c r="M187" i="7"/>
  <c r="P187" i="7" s="1"/>
  <c r="I276" i="7"/>
  <c r="K276" i="7" s="1"/>
  <c r="N279" i="7"/>
  <c r="N277" i="7" s="1"/>
  <c r="K359" i="7"/>
  <c r="O25" i="8"/>
  <c r="L15" i="8"/>
  <c r="P33" i="8"/>
  <c r="M30" i="8"/>
  <c r="P30" i="8" s="1"/>
  <c r="O54" i="8"/>
  <c r="O120" i="8"/>
  <c r="K145" i="8"/>
  <c r="I143" i="8"/>
  <c r="M151" i="8"/>
  <c r="L228" i="8"/>
  <c r="O262" i="8"/>
  <c r="M264" i="8"/>
  <c r="P264" i="8" s="1"/>
  <c r="M304" i="8"/>
  <c r="P304" i="8" s="1"/>
  <c r="P306" i="8"/>
  <c r="O403" i="8"/>
  <c r="K460" i="8"/>
  <c r="I442" i="8"/>
  <c r="K442" i="8" s="1"/>
  <c r="P350" i="7"/>
  <c r="P410" i="7"/>
  <c r="K649" i="7"/>
  <c r="P25" i="8"/>
  <c r="M15" i="8"/>
  <c r="P58" i="8"/>
  <c r="M23" i="8"/>
  <c r="K87" i="8"/>
  <c r="I86" i="8"/>
  <c r="K86" i="8" s="1"/>
  <c r="K98" i="8"/>
  <c r="O150" i="8"/>
  <c r="L526" i="8"/>
  <c r="O526" i="8" s="1"/>
  <c r="O528" i="8"/>
  <c r="L525" i="8"/>
  <c r="O525" i="8" s="1"/>
  <c r="L33" i="8"/>
  <c r="O738" i="8"/>
  <c r="L737" i="8"/>
  <c r="O737" i="8" s="1"/>
  <c r="L789" i="8"/>
  <c r="O789" i="8" s="1"/>
  <c r="O791" i="8"/>
  <c r="O807" i="8"/>
  <c r="L805" i="8"/>
  <c r="O805" i="8" s="1"/>
  <c r="P756" i="8"/>
  <c r="M754" i="8"/>
  <c r="P754" i="8" s="1"/>
  <c r="N279" i="8"/>
  <c r="O282" i="8"/>
  <c r="O299" i="8"/>
  <c r="P419" i="8"/>
  <c r="L429" i="8"/>
  <c r="O429" i="8" s="1"/>
  <c r="O431" i="8"/>
  <c r="L421" i="8"/>
  <c r="M502" i="8"/>
  <c r="P502" i="8" s="1"/>
  <c r="P503" i="8"/>
  <c r="L639" i="8"/>
  <c r="O639" i="8" s="1"/>
  <c r="O641" i="8"/>
  <c r="L631" i="8"/>
  <c r="O631" i="8" s="1"/>
  <c r="O755" i="8"/>
  <c r="L754" i="8"/>
  <c r="O754" i="8" s="1"/>
  <c r="P772" i="8"/>
  <c r="M770" i="8"/>
  <c r="P770" i="8" s="1"/>
  <c r="N807" i="8"/>
  <c r="N808" i="8"/>
  <c r="M267" i="8"/>
  <c r="P267" i="8" s="1"/>
  <c r="P269" i="8"/>
  <c r="P278" i="8"/>
  <c r="M301" i="8"/>
  <c r="P301" i="8" s="1"/>
  <c r="P303" i="8"/>
  <c r="M408" i="8"/>
  <c r="P408" i="8" s="1"/>
  <c r="P410" i="8"/>
  <c r="L454" i="8"/>
  <c r="O454" i="8" s="1"/>
  <c r="O456" i="8"/>
  <c r="L446" i="8"/>
  <c r="O446" i="8" s="1"/>
  <c r="N544" i="8"/>
  <c r="N414" i="8" s="1"/>
  <c r="O771" i="8"/>
  <c r="L770" i="8"/>
  <c r="O770" i="8" s="1"/>
  <c r="I197" i="8"/>
  <c r="K197" i="8" s="1"/>
  <c r="K340" i="8"/>
  <c r="K379" i="8"/>
  <c r="L788" i="8"/>
  <c r="N805" i="8"/>
  <c r="L280" i="8"/>
  <c r="O280" i="8" s="1"/>
  <c r="L283" i="8"/>
  <c r="O283" i="8" s="1"/>
  <c r="M331" i="8"/>
  <c r="P331" i="8" s="1"/>
  <c r="M334" i="8"/>
  <c r="P334" i="8" s="1"/>
  <c r="M348" i="8"/>
  <c r="M351" i="8"/>
  <c r="P351" i="8" s="1"/>
  <c r="K674" i="8"/>
  <c r="N688" i="8"/>
  <c r="L533" i="5"/>
  <c r="O533" i="5" s="1"/>
  <c r="L167" i="6"/>
  <c r="L165" i="6" s="1"/>
  <c r="L447" i="6"/>
  <c r="O447" i="6" s="1"/>
  <c r="M55" i="7"/>
  <c r="M53" i="7" s="1"/>
  <c r="M94" i="7"/>
  <c r="P94" i="7" s="1"/>
  <c r="K99" i="7"/>
  <c r="M122" i="7"/>
  <c r="P122" i="7" s="1"/>
  <c r="L330" i="7"/>
  <c r="L328" i="7" s="1"/>
  <c r="M23" i="7"/>
  <c r="M13" i="7" s="1"/>
  <c r="M11" i="7" s="1"/>
  <c r="M348" i="7"/>
  <c r="P348" i="7" s="1"/>
  <c r="K362" i="7"/>
  <c r="O456" i="7"/>
  <c r="M167" i="6"/>
  <c r="M165" i="6" s="1"/>
  <c r="P96" i="7"/>
  <c r="M125" i="7"/>
  <c r="P125" i="7" s="1"/>
  <c r="O154" i="7"/>
  <c r="K215" i="7"/>
  <c r="K355" i="7"/>
  <c r="P71" i="6"/>
  <c r="M59" i="7"/>
  <c r="L138" i="7"/>
  <c r="O138" i="7" s="1"/>
  <c r="K146" i="7"/>
  <c r="M155" i="7"/>
  <c r="P155" i="7" s="1"/>
  <c r="M167" i="7"/>
  <c r="M165" i="7" s="1"/>
  <c r="O269" i="7"/>
  <c r="L334" i="7"/>
  <c r="O334" i="7" s="1"/>
  <c r="L33" i="7"/>
  <c r="O33" i="7" s="1"/>
  <c r="J722" i="7"/>
  <c r="I260" i="6"/>
  <c r="K260" i="6" s="1"/>
  <c r="M43" i="7"/>
  <c r="M41" i="7" s="1"/>
  <c r="N134" i="7"/>
  <c r="N132" i="7" s="1"/>
  <c r="L231" i="7"/>
  <c r="O350" i="7"/>
  <c r="K372" i="7"/>
  <c r="M391" i="7"/>
  <c r="P391" i="7" s="1"/>
  <c r="M404" i="7"/>
  <c r="P404" i="7" s="1"/>
  <c r="L121" i="6"/>
  <c r="O121" i="6" s="1"/>
  <c r="P93" i="7"/>
  <c r="K378" i="7"/>
  <c r="K381" i="7"/>
  <c r="K593" i="7"/>
  <c r="K651" i="7"/>
  <c r="K99" i="6"/>
  <c r="I87" i="6"/>
  <c r="K87" i="6" s="1"/>
  <c r="N68" i="7"/>
  <c r="N66" i="7" s="1"/>
  <c r="N72" i="7"/>
  <c r="L688" i="7"/>
  <c r="O688" i="7" s="1"/>
  <c r="O690" i="7"/>
  <c r="L687" i="7"/>
  <c r="O687" i="7" s="1"/>
  <c r="O394" i="6"/>
  <c r="L392" i="6"/>
  <c r="O392" i="6" s="1"/>
  <c r="L43" i="7"/>
  <c r="L41" i="7" s="1"/>
  <c r="O49" i="7"/>
  <c r="L47" i="7"/>
  <c r="O47" i="7" s="1"/>
  <c r="M151" i="7"/>
  <c r="P151" i="7" s="1"/>
  <c r="P154" i="7"/>
  <c r="M152" i="7"/>
  <c r="P152" i="7" s="1"/>
  <c r="L304" i="7"/>
  <c r="O304" i="7" s="1"/>
  <c r="O306" i="7"/>
  <c r="N59" i="7"/>
  <c r="O59" i="7" s="1"/>
  <c r="O61" i="7"/>
  <c r="I275" i="7"/>
  <c r="K275" i="7" s="1"/>
  <c r="K288" i="7"/>
  <c r="J288" i="7"/>
  <c r="J275" i="7" s="1"/>
  <c r="P320" i="7"/>
  <c r="M318" i="7"/>
  <c r="P318" i="7" s="1"/>
  <c r="P397" i="7"/>
  <c r="M395" i="7"/>
  <c r="P395" i="7" s="1"/>
  <c r="L688" i="6"/>
  <c r="O688" i="6" s="1"/>
  <c r="O690" i="6"/>
  <c r="L687" i="6"/>
  <c r="L685" i="6" s="1"/>
  <c r="M347" i="7"/>
  <c r="M345" i="7" s="1"/>
  <c r="M351" i="7"/>
  <c r="P351" i="7" s="1"/>
  <c r="J721" i="7"/>
  <c r="O336" i="6"/>
  <c r="L334" i="6"/>
  <c r="O334" i="6" s="1"/>
  <c r="P333" i="7"/>
  <c r="M331" i="7"/>
  <c r="P331" i="7" s="1"/>
  <c r="K672" i="7"/>
  <c r="K669" i="7"/>
  <c r="M43" i="4"/>
  <c r="N151" i="4"/>
  <c r="N149" i="4" s="1"/>
  <c r="M90" i="5"/>
  <c r="M88" i="5" s="1"/>
  <c r="K340" i="6"/>
  <c r="K190" i="7"/>
  <c r="M318" i="6"/>
  <c r="P318" i="6" s="1"/>
  <c r="M47" i="7"/>
  <c r="P47" i="7" s="1"/>
  <c r="I143" i="7"/>
  <c r="K159" i="7"/>
  <c r="M168" i="7"/>
  <c r="K255" i="7"/>
  <c r="L283" i="7"/>
  <c r="O283" i="7" s="1"/>
  <c r="N318" i="7"/>
  <c r="M321" i="7"/>
  <c r="P321" i="7" s="1"/>
  <c r="O333" i="7"/>
  <c r="J327" i="7"/>
  <c r="K327" i="7" s="1"/>
  <c r="M405" i="7"/>
  <c r="P405" i="7" s="1"/>
  <c r="I442" i="7"/>
  <c r="K442" i="7" s="1"/>
  <c r="K381" i="4"/>
  <c r="L391" i="4"/>
  <c r="O391" i="4" s="1"/>
  <c r="I314" i="6"/>
  <c r="K314" i="6" s="1"/>
  <c r="M330" i="6"/>
  <c r="M328" i="6" s="1"/>
  <c r="P336" i="6"/>
  <c r="N347" i="6"/>
  <c r="N345" i="6" s="1"/>
  <c r="L632" i="6"/>
  <c r="O632" i="6" s="1"/>
  <c r="M91" i="7"/>
  <c r="P91" i="7" s="1"/>
  <c r="N90" i="7"/>
  <c r="N121" i="7"/>
  <c r="N119" i="7" s="1"/>
  <c r="L135" i="7"/>
  <c r="O135" i="7" s="1"/>
  <c r="N168" i="7"/>
  <c r="M171" i="7"/>
  <c r="P171" i="7" s="1"/>
  <c r="L217" i="7"/>
  <c r="O217" i="7" s="1"/>
  <c r="K224" i="7"/>
  <c r="L279" i="7"/>
  <c r="K340" i="7"/>
  <c r="K374" i="7"/>
  <c r="N405" i="7"/>
  <c r="L36" i="7"/>
  <c r="O36" i="7" s="1"/>
  <c r="M171" i="6"/>
  <c r="P171" i="6" s="1"/>
  <c r="M347" i="6"/>
  <c r="M345" i="6" s="1"/>
  <c r="L405" i="6"/>
  <c r="O405" i="6" s="1"/>
  <c r="I559" i="6"/>
  <c r="I543" i="6" s="1"/>
  <c r="K543" i="6" s="1"/>
  <c r="K649" i="6"/>
  <c r="K822" i="6"/>
  <c r="L55" i="7"/>
  <c r="L53" i="7" s="1"/>
  <c r="L238" i="7"/>
  <c r="O238" i="7" s="1"/>
  <c r="M300" i="7"/>
  <c r="P300" i="7" s="1"/>
  <c r="L348" i="7"/>
  <c r="O348" i="7" s="1"/>
  <c r="K379" i="7"/>
  <c r="K823" i="7"/>
  <c r="I433" i="5"/>
  <c r="I417" i="5" s="1"/>
  <c r="L135" i="6"/>
  <c r="O135" i="6" s="1"/>
  <c r="K723" i="6"/>
  <c r="J721" i="6"/>
  <c r="K721" i="6" s="1"/>
  <c r="N26" i="7"/>
  <c r="N16" i="7" s="1"/>
  <c r="N14" i="7" s="1"/>
  <c r="O157" i="7"/>
  <c r="P184" i="7"/>
  <c r="N183" i="7"/>
  <c r="N181" i="7" s="1"/>
  <c r="L209" i="7"/>
  <c r="O209" i="7" s="1"/>
  <c r="I433" i="7"/>
  <c r="I417" i="7" s="1"/>
  <c r="I628" i="7"/>
  <c r="K628" i="7" s="1"/>
  <c r="L657" i="7"/>
  <c r="O657" i="7" s="1"/>
  <c r="I77" i="7"/>
  <c r="K79" i="7"/>
  <c r="O96" i="7"/>
  <c r="L94" i="7"/>
  <c r="O94" i="7" s="1"/>
  <c r="O182" i="7"/>
  <c r="M545" i="7"/>
  <c r="P555" i="7"/>
  <c r="P756" i="7"/>
  <c r="M754" i="7"/>
  <c r="P754" i="7" s="1"/>
  <c r="N121" i="4"/>
  <c r="N119" i="4" s="1"/>
  <c r="K725" i="4"/>
  <c r="L279" i="5"/>
  <c r="L277" i="5" s="1"/>
  <c r="P44" i="6"/>
  <c r="L72" i="6"/>
  <c r="O72" i="6" s="1"/>
  <c r="M94" i="6"/>
  <c r="P94" i="6" s="1"/>
  <c r="L125" i="6"/>
  <c r="O125" i="6" s="1"/>
  <c r="L187" i="6"/>
  <c r="O187" i="6" s="1"/>
  <c r="O264" i="6"/>
  <c r="O791" i="6"/>
  <c r="L788" i="6"/>
  <c r="L786" i="6" s="1"/>
  <c r="O786" i="6" s="1"/>
  <c r="O29" i="7"/>
  <c r="L125" i="7"/>
  <c r="O125" i="7" s="1"/>
  <c r="O127" i="7"/>
  <c r="O133" i="7"/>
  <c r="N187" i="7"/>
  <c r="N301" i="7"/>
  <c r="N300" i="7"/>
  <c r="N298" i="7" s="1"/>
  <c r="P46" i="6"/>
  <c r="I233" i="6"/>
  <c r="K233" i="6" s="1"/>
  <c r="I237" i="6"/>
  <c r="K237" i="6" s="1"/>
  <c r="M283" i="6"/>
  <c r="P283" i="6" s="1"/>
  <c r="P285" i="6"/>
  <c r="O528" i="6"/>
  <c r="L526" i="6"/>
  <c r="O526" i="6" s="1"/>
  <c r="M9" i="7"/>
  <c r="I297" i="5"/>
  <c r="K297" i="5" s="1"/>
  <c r="L198" i="6"/>
  <c r="O198" i="6" s="1"/>
  <c r="P333" i="6"/>
  <c r="N330" i="6"/>
  <c r="N328" i="6" s="1"/>
  <c r="K381" i="6"/>
  <c r="N391" i="6"/>
  <c r="N389" i="6" s="1"/>
  <c r="N19" i="7"/>
  <c r="N12" i="7"/>
  <c r="M19" i="7"/>
  <c r="M15" i="7"/>
  <c r="P25" i="7"/>
  <c r="N56" i="7"/>
  <c r="O56" i="7" s="1"/>
  <c r="P58" i="7"/>
  <c r="O58" i="7"/>
  <c r="N55" i="7"/>
  <c r="N53" i="7" s="1"/>
  <c r="P67" i="7"/>
  <c r="L264" i="7"/>
  <c r="O264" i="7" s="1"/>
  <c r="L263" i="7"/>
  <c r="O266" i="7"/>
  <c r="L209" i="5"/>
  <c r="O209" i="5" s="1"/>
  <c r="L229" i="5"/>
  <c r="P56" i="6"/>
  <c r="N280" i="6"/>
  <c r="N279" i="6"/>
  <c r="N277" i="6" s="1"/>
  <c r="N44" i="7"/>
  <c r="O44" i="7" s="1"/>
  <c r="N23" i="7"/>
  <c r="N21" i="7" s="1"/>
  <c r="O46" i="7"/>
  <c r="N43" i="7"/>
  <c r="N41" i="7" s="1"/>
  <c r="K115" i="7"/>
  <c r="I112" i="7"/>
  <c r="K112" i="7" s="1"/>
  <c r="M151" i="5"/>
  <c r="P151" i="5" s="1"/>
  <c r="K379" i="5"/>
  <c r="K647" i="5"/>
  <c r="M90" i="6"/>
  <c r="M88" i="6" s="1"/>
  <c r="M121" i="6"/>
  <c r="P121" i="6" s="1"/>
  <c r="P184" i="6"/>
  <c r="M279" i="6"/>
  <c r="M277" i="6" s="1"/>
  <c r="P277" i="6" s="1"/>
  <c r="M301" i="6"/>
  <c r="P301" i="6" s="1"/>
  <c r="M300" i="6"/>
  <c r="M298" i="6" s="1"/>
  <c r="K466" i="6"/>
  <c r="K537" i="6"/>
  <c r="I522" i="6"/>
  <c r="K522" i="6" s="1"/>
  <c r="L304" i="6"/>
  <c r="O304" i="6" s="1"/>
  <c r="J327" i="6"/>
  <c r="K327" i="6" s="1"/>
  <c r="L408" i="6"/>
  <c r="O408" i="6" s="1"/>
  <c r="M29" i="7"/>
  <c r="P61" i="7"/>
  <c r="L69" i="7"/>
  <c r="O69" i="7" s="1"/>
  <c r="M72" i="7"/>
  <c r="P72" i="7" s="1"/>
  <c r="N151" i="7"/>
  <c r="N149" i="7" s="1"/>
  <c r="P182" i="7"/>
  <c r="O186" i="7"/>
  <c r="L184" i="7"/>
  <c r="O184" i="7" s="1"/>
  <c r="K260" i="7"/>
  <c r="L447" i="7"/>
  <c r="O447" i="7" s="1"/>
  <c r="O449" i="7"/>
  <c r="L446" i="7"/>
  <c r="P166" i="7"/>
  <c r="O170" i="7"/>
  <c r="L168" i="7"/>
  <c r="M283" i="7"/>
  <c r="P283" i="7" s="1"/>
  <c r="P285" i="7"/>
  <c r="N334" i="7"/>
  <c r="N330" i="7"/>
  <c r="L392" i="7"/>
  <c r="O392" i="7" s="1"/>
  <c r="O394" i="7"/>
  <c r="L391" i="7"/>
  <c r="P403" i="7"/>
  <c r="L68" i="7"/>
  <c r="O68" i="7" s="1"/>
  <c r="O93" i="7"/>
  <c r="L91" i="7"/>
  <c r="O91" i="7" s="1"/>
  <c r="K204" i="7"/>
  <c r="K244" i="7"/>
  <c r="I237" i="7"/>
  <c r="P316" i="7"/>
  <c r="L321" i="7"/>
  <c r="O321" i="7" s="1"/>
  <c r="O301" i="6"/>
  <c r="L26" i="7"/>
  <c r="L23" i="7"/>
  <c r="M68" i="7"/>
  <c r="P68" i="7" s="1"/>
  <c r="L121" i="7"/>
  <c r="L134" i="7"/>
  <c r="O134" i="7" s="1"/>
  <c r="P186" i="7"/>
  <c r="O189" i="7"/>
  <c r="L187" i="7"/>
  <c r="O187" i="7" s="1"/>
  <c r="L198" i="7"/>
  <c r="O198" i="7" s="1"/>
  <c r="I233" i="7"/>
  <c r="K233" i="7" s="1"/>
  <c r="M267" i="7"/>
  <c r="P267" i="7" s="1"/>
  <c r="M263" i="7"/>
  <c r="P263" i="7" s="1"/>
  <c r="M280" i="7"/>
  <c r="P280" i="7" s="1"/>
  <c r="M279" i="7"/>
  <c r="P279" i="7" s="1"/>
  <c r="K824" i="6"/>
  <c r="M26" i="7"/>
  <c r="P32" i="7"/>
  <c r="P46" i="7"/>
  <c r="I76" i="7"/>
  <c r="L90" i="7"/>
  <c r="O124" i="7"/>
  <c r="M134" i="7"/>
  <c r="L151" i="7"/>
  <c r="L167" i="7"/>
  <c r="O173" i="7"/>
  <c r="L171" i="7"/>
  <c r="O171" i="7" s="1"/>
  <c r="K176" i="7"/>
  <c r="I174" i="7"/>
  <c r="L249" i="7"/>
  <c r="O249" i="7" s="1"/>
  <c r="N263" i="7"/>
  <c r="N261" i="7" s="1"/>
  <c r="O407" i="7"/>
  <c r="L405" i="7"/>
  <c r="O405" i="7" s="1"/>
  <c r="L404" i="7"/>
  <c r="O303" i="7"/>
  <c r="O397" i="7"/>
  <c r="O424" i="7"/>
  <c r="J433" i="7"/>
  <c r="J417" i="7" s="1"/>
  <c r="I434" i="7"/>
  <c r="K438" i="7"/>
  <c r="I559" i="7"/>
  <c r="K647" i="7"/>
  <c r="O755" i="7"/>
  <c r="L754" i="7"/>
  <c r="O754" i="7" s="1"/>
  <c r="L789" i="7"/>
  <c r="O789" i="7" s="1"/>
  <c r="O791" i="7"/>
  <c r="O807" i="7"/>
  <c r="L805" i="7"/>
  <c r="O805" i="7" s="1"/>
  <c r="K465" i="7"/>
  <c r="O549" i="7"/>
  <c r="L547" i="7"/>
  <c r="O547" i="7" s="1"/>
  <c r="P772" i="7"/>
  <c r="M770" i="7"/>
  <c r="P770" i="7" s="1"/>
  <c r="O410" i="7"/>
  <c r="L408" i="7"/>
  <c r="O408" i="7" s="1"/>
  <c r="O535" i="7"/>
  <c r="L525" i="7"/>
  <c r="O525" i="7" s="1"/>
  <c r="O771" i="7"/>
  <c r="L770" i="7"/>
  <c r="O770" i="7" s="1"/>
  <c r="N807" i="7"/>
  <c r="N805" i="7" s="1"/>
  <c r="N808" i="7"/>
  <c r="L317" i="7"/>
  <c r="O317" i="7" s="1"/>
  <c r="O353" i="7"/>
  <c r="N391" i="7"/>
  <c r="N389" i="7" s="1"/>
  <c r="L477" i="7"/>
  <c r="O477" i="7" s="1"/>
  <c r="O479" i="7"/>
  <c r="L469" i="7"/>
  <c r="O469" i="7" s="1"/>
  <c r="N502" i="7"/>
  <c r="L639" i="7"/>
  <c r="O639" i="7" s="1"/>
  <c r="O641" i="7"/>
  <c r="L631" i="7"/>
  <c r="P739" i="7"/>
  <c r="M737" i="7"/>
  <c r="P737" i="7" s="1"/>
  <c r="L300" i="7"/>
  <c r="M317" i="7"/>
  <c r="P317" i="7" s="1"/>
  <c r="N347" i="7"/>
  <c r="N345" i="7" s="1"/>
  <c r="P353" i="7"/>
  <c r="M419" i="7"/>
  <c r="P525" i="7"/>
  <c r="N544" i="7"/>
  <c r="O557" i="7"/>
  <c r="L555" i="7"/>
  <c r="O555" i="7" s="1"/>
  <c r="K594" i="7"/>
  <c r="N655" i="7"/>
  <c r="O738" i="7"/>
  <c r="L737" i="7"/>
  <c r="O737" i="7" s="1"/>
  <c r="O788" i="7"/>
  <c r="L786" i="7"/>
  <c r="O786" i="7" s="1"/>
  <c r="O545" i="7"/>
  <c r="O656" i="7"/>
  <c r="K674" i="7"/>
  <c r="J537" i="7"/>
  <c r="J522" i="7" s="1"/>
  <c r="I654" i="7"/>
  <c r="K654" i="7" s="1"/>
  <c r="L658" i="7"/>
  <c r="O658" i="7" s="1"/>
  <c r="K675" i="7"/>
  <c r="M183" i="6"/>
  <c r="M181" i="6" s="1"/>
  <c r="K462" i="6"/>
  <c r="I443" i="6"/>
  <c r="K443" i="6" s="1"/>
  <c r="N317" i="6"/>
  <c r="N315" i="6" s="1"/>
  <c r="L36" i="6"/>
  <c r="O36" i="6" s="1"/>
  <c r="L555" i="6"/>
  <c r="O555" i="6" s="1"/>
  <c r="L546" i="6"/>
  <c r="L544" i="6" s="1"/>
  <c r="O544" i="6" s="1"/>
  <c r="O557" i="6"/>
  <c r="K800" i="6"/>
  <c r="I785" i="6"/>
  <c r="K785" i="6" s="1"/>
  <c r="I77" i="6"/>
  <c r="K77" i="6" s="1"/>
  <c r="K79" i="6"/>
  <c r="M135" i="6"/>
  <c r="P135" i="6" s="1"/>
  <c r="P137" i="6"/>
  <c r="P74" i="5"/>
  <c r="N121" i="6"/>
  <c r="N119" i="6" s="1"/>
  <c r="N122" i="6"/>
  <c r="M408" i="6"/>
  <c r="P408" i="6" s="1"/>
  <c r="K675" i="6"/>
  <c r="K673" i="6"/>
  <c r="N404" i="4"/>
  <c r="N402" i="4" s="1"/>
  <c r="N55" i="6"/>
  <c r="N53" i="6" s="1"/>
  <c r="N59" i="6"/>
  <c r="O59" i="6" s="1"/>
  <c r="K651" i="6"/>
  <c r="I628" i="6"/>
  <c r="K628" i="6" s="1"/>
  <c r="N90" i="5"/>
  <c r="N88" i="5" s="1"/>
  <c r="L330" i="5"/>
  <c r="L328" i="5" s="1"/>
  <c r="O93" i="6"/>
  <c r="O170" i="6"/>
  <c r="I174" i="6"/>
  <c r="I164" i="6" s="1"/>
  <c r="K164" i="6" s="1"/>
  <c r="L217" i="6"/>
  <c r="O217" i="6" s="1"/>
  <c r="L231" i="6"/>
  <c r="O320" i="6"/>
  <c r="K362" i="6"/>
  <c r="K369" i="6"/>
  <c r="K372" i="6"/>
  <c r="K385" i="6"/>
  <c r="L404" i="6"/>
  <c r="L402" i="6" s="1"/>
  <c r="O402" i="6" s="1"/>
  <c r="O58" i="6"/>
  <c r="I76" i="6"/>
  <c r="K76" i="6" s="1"/>
  <c r="N151" i="6"/>
  <c r="N149" i="6" s="1"/>
  <c r="P170" i="6"/>
  <c r="K288" i="6"/>
  <c r="O353" i="6"/>
  <c r="J364" i="6"/>
  <c r="K378" i="6"/>
  <c r="K720" i="6"/>
  <c r="P91" i="6"/>
  <c r="L171" i="6"/>
  <c r="O171" i="6" s="1"/>
  <c r="L228" i="6"/>
  <c r="L263" i="6"/>
  <c r="L261" i="6" s="1"/>
  <c r="O285" i="6"/>
  <c r="K379" i="6"/>
  <c r="J433" i="6"/>
  <c r="J417" i="6" s="1"/>
  <c r="K340" i="5"/>
  <c r="K360" i="5"/>
  <c r="O44" i="6"/>
  <c r="O46" i="6"/>
  <c r="N43" i="6"/>
  <c r="N41" i="6" s="1"/>
  <c r="P61" i="6"/>
  <c r="N183" i="6"/>
  <c r="N181" i="6" s="1"/>
  <c r="O186" i="6"/>
  <c r="I248" i="6"/>
  <c r="K248" i="6" s="1"/>
  <c r="N263" i="6"/>
  <c r="N261" i="6" s="1"/>
  <c r="K374" i="6"/>
  <c r="K726" i="6"/>
  <c r="K821" i="6"/>
  <c r="O318" i="5"/>
  <c r="P282" i="4"/>
  <c r="K80" i="6"/>
  <c r="M125" i="6"/>
  <c r="P125" i="6" s="1"/>
  <c r="N152" i="6"/>
  <c r="P152" i="6" s="1"/>
  <c r="L155" i="6"/>
  <c r="O155" i="6" s="1"/>
  <c r="M187" i="6"/>
  <c r="P187" i="6" s="1"/>
  <c r="L238" i="6"/>
  <c r="O238" i="6" s="1"/>
  <c r="L229" i="6"/>
  <c r="O269" i="6"/>
  <c r="L267" i="6"/>
  <c r="O267" i="6" s="1"/>
  <c r="K287" i="6"/>
  <c r="I276" i="6"/>
  <c r="K276" i="6" s="1"/>
  <c r="M392" i="6"/>
  <c r="P392" i="6" s="1"/>
  <c r="M391" i="6"/>
  <c r="O397" i="6"/>
  <c r="L395" i="6"/>
  <c r="O395" i="6" s="1"/>
  <c r="L391" i="6"/>
  <c r="O391" i="6" s="1"/>
  <c r="L422" i="6"/>
  <c r="O422" i="6" s="1"/>
  <c r="O472" i="6"/>
  <c r="L469" i="6"/>
  <c r="O469" i="6" s="1"/>
  <c r="L230" i="5"/>
  <c r="M300" i="5"/>
  <c r="M298" i="5" s="1"/>
  <c r="N26" i="6"/>
  <c r="N16" i="6" s="1"/>
  <c r="L47" i="6"/>
  <c r="O47" i="6" s="1"/>
  <c r="I130" i="6"/>
  <c r="K130" i="6" s="1"/>
  <c r="L134" i="6"/>
  <c r="O134" i="6" s="1"/>
  <c r="L138" i="6"/>
  <c r="O138" i="6" s="1"/>
  <c r="M155" i="6"/>
  <c r="P155" i="6" s="1"/>
  <c r="L168" i="6"/>
  <c r="O168" i="6" s="1"/>
  <c r="P189" i="6"/>
  <c r="K204" i="6"/>
  <c r="I216" i="6"/>
  <c r="K216" i="6" s="1"/>
  <c r="L230" i="6"/>
  <c r="M264" i="6"/>
  <c r="P264" i="6" s="1"/>
  <c r="M263" i="6"/>
  <c r="M395" i="6"/>
  <c r="P395" i="6" s="1"/>
  <c r="P397" i="6"/>
  <c r="P407" i="6"/>
  <c r="M404" i="6"/>
  <c r="P404" i="6" s="1"/>
  <c r="K460" i="6"/>
  <c r="M395" i="4"/>
  <c r="P395" i="4" s="1"/>
  <c r="M69" i="5"/>
  <c r="P69" i="5" s="1"/>
  <c r="L183" i="5"/>
  <c r="L181" i="5" s="1"/>
  <c r="L546" i="5"/>
  <c r="O546" i="5" s="1"/>
  <c r="L687" i="5"/>
  <c r="L685" i="5" s="1"/>
  <c r="O685" i="5" s="1"/>
  <c r="L43" i="6"/>
  <c r="N47" i="6"/>
  <c r="L56" i="6"/>
  <c r="O56" i="6" s="1"/>
  <c r="M23" i="6"/>
  <c r="M21" i="6" s="1"/>
  <c r="L26" i="6"/>
  <c r="M134" i="6"/>
  <c r="P134" i="6" s="1"/>
  <c r="M168" i="6"/>
  <c r="P168" i="6" s="1"/>
  <c r="L209" i="6"/>
  <c r="O209" i="6" s="1"/>
  <c r="P282" i="6"/>
  <c r="M280" i="6"/>
  <c r="P280" i="6" s="1"/>
  <c r="I297" i="6"/>
  <c r="K297" i="6" s="1"/>
  <c r="L300" i="6"/>
  <c r="L298" i="6" s="1"/>
  <c r="M321" i="6"/>
  <c r="P321" i="6" s="1"/>
  <c r="N351" i="6"/>
  <c r="P351" i="6" s="1"/>
  <c r="P353" i="6"/>
  <c r="K360" i="6"/>
  <c r="N392" i="6"/>
  <c r="P394" i="6"/>
  <c r="O549" i="6"/>
  <c r="K647" i="6"/>
  <c r="M155" i="4"/>
  <c r="P155" i="4" s="1"/>
  <c r="L33" i="6"/>
  <c r="L68" i="6"/>
  <c r="L66" i="6" s="1"/>
  <c r="N90" i="6"/>
  <c r="N88" i="6" s="1"/>
  <c r="K435" i="6"/>
  <c r="I433" i="6"/>
  <c r="I654" i="6"/>
  <c r="K654" i="6" s="1"/>
  <c r="K825" i="6"/>
  <c r="K828" i="6"/>
  <c r="L138" i="2"/>
  <c r="O138" i="2" s="1"/>
  <c r="I364" i="5"/>
  <c r="M404" i="5"/>
  <c r="P404" i="5" s="1"/>
  <c r="O61" i="6"/>
  <c r="M68" i="6"/>
  <c r="M66" i="6" s="1"/>
  <c r="O71" i="6"/>
  <c r="P154" i="6"/>
  <c r="I208" i="6"/>
  <c r="K208" i="6" s="1"/>
  <c r="L249" i="6"/>
  <c r="O249" i="6" s="1"/>
  <c r="L317" i="6"/>
  <c r="O317" i="6" s="1"/>
  <c r="O333" i="6"/>
  <c r="L331" i="6"/>
  <c r="L347" i="6"/>
  <c r="L348" i="6"/>
  <c r="I364" i="6"/>
  <c r="K672" i="6"/>
  <c r="M317" i="6"/>
  <c r="K338" i="6"/>
  <c r="K370" i="6"/>
  <c r="O657" i="6"/>
  <c r="K700" i="6"/>
  <c r="K728" i="6"/>
  <c r="O350" i="6"/>
  <c r="M304" i="6"/>
  <c r="P304" i="6" s="1"/>
  <c r="N331" i="6"/>
  <c r="P331" i="6" s="1"/>
  <c r="N348" i="6"/>
  <c r="P348" i="6" s="1"/>
  <c r="P350" i="6"/>
  <c r="K359" i="6"/>
  <c r="L477" i="6"/>
  <c r="O477" i="6" s="1"/>
  <c r="J722" i="6"/>
  <c r="K722" i="6" s="1"/>
  <c r="L789" i="6"/>
  <c r="O789" i="6" s="1"/>
  <c r="K827" i="6"/>
  <c r="O29" i="6"/>
  <c r="O19" i="6"/>
  <c r="K143" i="6"/>
  <c r="I131" i="6"/>
  <c r="K131" i="6" s="1"/>
  <c r="P12" i="6"/>
  <c r="M9" i="6"/>
  <c r="L280" i="6"/>
  <c r="O280" i="6" s="1"/>
  <c r="O282" i="6"/>
  <c r="L279" i="6"/>
  <c r="I434" i="6"/>
  <c r="K440" i="6"/>
  <c r="L167" i="3"/>
  <c r="L165" i="3" s="1"/>
  <c r="N43" i="4"/>
  <c r="N41" i="4" s="1"/>
  <c r="L68" i="4"/>
  <c r="O68" i="4" s="1"/>
  <c r="I443" i="4"/>
  <c r="K443" i="4" s="1"/>
  <c r="L68" i="5"/>
  <c r="O68" i="5" s="1"/>
  <c r="L155" i="5"/>
  <c r="O155" i="5" s="1"/>
  <c r="I276" i="5"/>
  <c r="K276" i="5" s="1"/>
  <c r="L280" i="5"/>
  <c r="O280" i="5" s="1"/>
  <c r="O282" i="5"/>
  <c r="M318" i="5"/>
  <c r="P318" i="5" s="1"/>
  <c r="K370" i="5"/>
  <c r="M392" i="5"/>
  <c r="P392" i="5" s="1"/>
  <c r="P15" i="6"/>
  <c r="L55" i="6"/>
  <c r="P89" i="6"/>
  <c r="N134" i="6"/>
  <c r="N132" i="6" s="1"/>
  <c r="P140" i="6"/>
  <c r="K145" i="6"/>
  <c r="P182" i="6"/>
  <c r="N405" i="6"/>
  <c r="N404" i="6"/>
  <c r="N402" i="6" s="1"/>
  <c r="P656" i="6"/>
  <c r="M655" i="6"/>
  <c r="P655" i="6" s="1"/>
  <c r="N151" i="5"/>
  <c r="N149" i="5" s="1"/>
  <c r="L231" i="3"/>
  <c r="O336" i="4"/>
  <c r="M405" i="4"/>
  <c r="P405" i="4" s="1"/>
  <c r="M68" i="5"/>
  <c r="P68" i="5" s="1"/>
  <c r="L283" i="5"/>
  <c r="O283" i="5" s="1"/>
  <c r="L321" i="5"/>
  <c r="O321" i="5" s="1"/>
  <c r="L446" i="5"/>
  <c r="O446" i="5" s="1"/>
  <c r="N29" i="6"/>
  <c r="N28" i="6" s="1"/>
  <c r="P32" i="6"/>
  <c r="M29" i="6"/>
  <c r="M43" i="6"/>
  <c r="N23" i="6"/>
  <c r="M55" i="6"/>
  <c r="P58" i="6"/>
  <c r="L90" i="6"/>
  <c r="I112" i="6"/>
  <c r="K112" i="6" s="1"/>
  <c r="P127" i="6"/>
  <c r="O154" i="6"/>
  <c r="N167" i="6"/>
  <c r="L183" i="6"/>
  <c r="O431" i="6"/>
  <c r="L421" i="6"/>
  <c r="O421" i="6" s="1"/>
  <c r="L429" i="6"/>
  <c r="O429" i="6" s="1"/>
  <c r="N404" i="5"/>
  <c r="N402" i="5" s="1"/>
  <c r="I443" i="5"/>
  <c r="K443" i="5" s="1"/>
  <c r="L9" i="6"/>
  <c r="L15" i="6"/>
  <c r="O25" i="6"/>
  <c r="P33" i="6"/>
  <c r="P49" i="6"/>
  <c r="N69" i="6"/>
  <c r="O69" i="6" s="1"/>
  <c r="O96" i="6"/>
  <c r="K115" i="6"/>
  <c r="P150" i="6"/>
  <c r="P299" i="6"/>
  <c r="P772" i="6"/>
  <c r="M770" i="6"/>
  <c r="P770" i="6" s="1"/>
  <c r="O266" i="5"/>
  <c r="L23" i="6"/>
  <c r="L21" i="6" s="1"/>
  <c r="J143" i="6"/>
  <c r="J131" i="6" s="1"/>
  <c r="L151" i="6"/>
  <c r="P351" i="4"/>
  <c r="K359" i="4"/>
  <c r="L151" i="5"/>
  <c r="O151" i="5" s="1"/>
  <c r="K369" i="5"/>
  <c r="K385" i="5"/>
  <c r="L657" i="5"/>
  <c r="O657" i="5" s="1"/>
  <c r="N15" i="6"/>
  <c r="M26" i="6"/>
  <c r="O35" i="6"/>
  <c r="N68" i="6"/>
  <c r="P74" i="6"/>
  <c r="P93" i="6"/>
  <c r="K98" i="6"/>
  <c r="K144" i="6"/>
  <c r="M151" i="6"/>
  <c r="P186" i="6"/>
  <c r="I190" i="6"/>
  <c r="K190" i="6" s="1"/>
  <c r="L533" i="6"/>
  <c r="O533" i="6" s="1"/>
  <c r="L525" i="6"/>
  <c r="O535" i="6"/>
  <c r="K592" i="6"/>
  <c r="O755" i="6"/>
  <c r="L754" i="6"/>
  <c r="O754" i="6" s="1"/>
  <c r="O316" i="6"/>
  <c r="O323" i="6"/>
  <c r="K365" i="6"/>
  <c r="N655" i="6"/>
  <c r="N757" i="6"/>
  <c r="P303" i="6"/>
  <c r="K437" i="6"/>
  <c r="O456" i="6"/>
  <c r="L446" i="6"/>
  <c r="O446" i="6" s="1"/>
  <c r="K593" i="6"/>
  <c r="O641" i="6"/>
  <c r="L631" i="6"/>
  <c r="O631" i="6" s="1"/>
  <c r="P739" i="6"/>
  <c r="M737" i="6"/>
  <c r="P737" i="6" s="1"/>
  <c r="N754" i="6"/>
  <c r="O771" i="6"/>
  <c r="L770" i="6"/>
  <c r="O770" i="6" s="1"/>
  <c r="O655" i="6"/>
  <c r="O266" i="6"/>
  <c r="O303" i="6"/>
  <c r="J537" i="6"/>
  <c r="J522" i="6" s="1"/>
  <c r="K669" i="6"/>
  <c r="O738" i="6"/>
  <c r="L737" i="6"/>
  <c r="O737" i="6" s="1"/>
  <c r="P756" i="6"/>
  <c r="M754" i="6"/>
  <c r="P754" i="6" s="1"/>
  <c r="O807" i="6"/>
  <c r="L805" i="6"/>
  <c r="O805" i="6" s="1"/>
  <c r="N807" i="6"/>
  <c r="N805" i="6" s="1"/>
  <c r="N808" i="6"/>
  <c r="N300" i="6"/>
  <c r="K538" i="6"/>
  <c r="P545" i="6"/>
  <c r="M544" i="6"/>
  <c r="P544" i="6" s="1"/>
  <c r="N547" i="6"/>
  <c r="O547" i="6" s="1"/>
  <c r="N687" i="6"/>
  <c r="N685" i="6" s="1"/>
  <c r="N688" i="6"/>
  <c r="K699" i="6"/>
  <c r="K725" i="6"/>
  <c r="N740" i="6"/>
  <c r="P266" i="6"/>
  <c r="P269" i="6"/>
  <c r="J355" i="6"/>
  <c r="K355" i="6" s="1"/>
  <c r="L470" i="6"/>
  <c r="O470" i="6" s="1"/>
  <c r="K674" i="6"/>
  <c r="N505" i="6"/>
  <c r="P58" i="5"/>
  <c r="L134" i="5"/>
  <c r="N155" i="5"/>
  <c r="N167" i="5"/>
  <c r="N165" i="5" s="1"/>
  <c r="I314" i="5"/>
  <c r="K314" i="5" s="1"/>
  <c r="J364" i="5"/>
  <c r="K378" i="5"/>
  <c r="N405" i="5"/>
  <c r="P410" i="5"/>
  <c r="O690" i="5"/>
  <c r="K822" i="5"/>
  <c r="K828" i="5"/>
  <c r="L33" i="5"/>
  <c r="O33" i="5" s="1"/>
  <c r="M134" i="5"/>
  <c r="P134" i="5" s="1"/>
  <c r="L264" i="5"/>
  <c r="O264" i="5" s="1"/>
  <c r="N300" i="5"/>
  <c r="N298" i="5" s="1"/>
  <c r="M330" i="5"/>
  <c r="M328" i="5" s="1"/>
  <c r="J327" i="5"/>
  <c r="K327" i="5" s="1"/>
  <c r="L36" i="5"/>
  <c r="O36" i="5" s="1"/>
  <c r="M347" i="4"/>
  <c r="M345" i="4" s="1"/>
  <c r="I112" i="5"/>
  <c r="K112" i="5" s="1"/>
  <c r="N134" i="5"/>
  <c r="N132" i="5" s="1"/>
  <c r="K338" i="3"/>
  <c r="M69" i="4"/>
  <c r="P69" i="4" s="1"/>
  <c r="L122" i="5"/>
  <c r="O122" i="5" s="1"/>
  <c r="K224" i="5"/>
  <c r="O336" i="5"/>
  <c r="P350" i="5"/>
  <c r="K362" i="5"/>
  <c r="O71" i="4"/>
  <c r="L334" i="4"/>
  <c r="O334" i="4" s="1"/>
  <c r="K338" i="4"/>
  <c r="I434" i="4"/>
  <c r="I418" i="4" s="1"/>
  <c r="K418" i="4" s="1"/>
  <c r="I86" i="5"/>
  <c r="K86" i="5" s="1"/>
  <c r="L217" i="5"/>
  <c r="O217" i="5" s="1"/>
  <c r="L249" i="5"/>
  <c r="O249" i="5" s="1"/>
  <c r="P334" i="5"/>
  <c r="O269" i="4"/>
  <c r="L267" i="4"/>
  <c r="O267" i="4" s="1"/>
  <c r="O127" i="5"/>
  <c r="L125" i="5"/>
  <c r="O125" i="5" s="1"/>
  <c r="L121" i="5"/>
  <c r="O121" i="5" s="1"/>
  <c r="N184" i="5"/>
  <c r="O184" i="5" s="1"/>
  <c r="N183" i="5"/>
  <c r="O186" i="5"/>
  <c r="I364" i="3"/>
  <c r="K651" i="4"/>
  <c r="I628" i="4"/>
  <c r="K628" i="4" s="1"/>
  <c r="L26" i="5"/>
  <c r="L24" i="5" s="1"/>
  <c r="L90" i="5"/>
  <c r="L88" i="5" s="1"/>
  <c r="O96" i="5"/>
  <c r="L94" i="5"/>
  <c r="O94" i="5" s="1"/>
  <c r="N121" i="5"/>
  <c r="N119" i="5" s="1"/>
  <c r="N122" i="5"/>
  <c r="L639" i="3"/>
  <c r="O639" i="3" s="1"/>
  <c r="I233" i="4"/>
  <c r="K233" i="4" s="1"/>
  <c r="O173" i="5"/>
  <c r="L171" i="5"/>
  <c r="O171" i="5" s="1"/>
  <c r="I197" i="5"/>
  <c r="K197" i="5" s="1"/>
  <c r="K204" i="5"/>
  <c r="I237" i="5"/>
  <c r="K237" i="5" s="1"/>
  <c r="K244" i="5"/>
  <c r="P269" i="5"/>
  <c r="M267" i="5"/>
  <c r="P267" i="5" s="1"/>
  <c r="P348" i="5"/>
  <c r="L526" i="3"/>
  <c r="O526" i="3" s="1"/>
  <c r="I174" i="5"/>
  <c r="K176" i="5"/>
  <c r="M44" i="4"/>
  <c r="M47" i="4"/>
  <c r="P47" i="4" s="1"/>
  <c r="L167" i="5"/>
  <c r="L300" i="5"/>
  <c r="M391" i="5"/>
  <c r="P391" i="5" s="1"/>
  <c r="P397" i="5"/>
  <c r="M395" i="5"/>
  <c r="P395" i="5" s="1"/>
  <c r="K649" i="5"/>
  <c r="P58" i="4"/>
  <c r="M26" i="5"/>
  <c r="M24" i="5" s="1"/>
  <c r="N91" i="5"/>
  <c r="O91" i="5" s="1"/>
  <c r="O93" i="5"/>
  <c r="N23" i="5"/>
  <c r="N21" i="5" s="1"/>
  <c r="P170" i="5"/>
  <c r="M167" i="5"/>
  <c r="N283" i="5"/>
  <c r="N279" i="5"/>
  <c r="N55" i="5"/>
  <c r="N53" i="5" s="1"/>
  <c r="O61" i="5"/>
  <c r="N59" i="5"/>
  <c r="O59" i="5" s="1"/>
  <c r="M347" i="5"/>
  <c r="M345" i="5" s="1"/>
  <c r="M351" i="5"/>
  <c r="I442" i="5"/>
  <c r="K442" i="5" s="1"/>
  <c r="K460" i="5"/>
  <c r="N279" i="4"/>
  <c r="N277" i="4" s="1"/>
  <c r="J722" i="4"/>
  <c r="K722" i="4" s="1"/>
  <c r="L317" i="5"/>
  <c r="L315" i="5" s="1"/>
  <c r="L331" i="5"/>
  <c r="K628" i="5"/>
  <c r="J722" i="5"/>
  <c r="I314" i="4"/>
  <c r="K314" i="4" s="1"/>
  <c r="O56" i="5"/>
  <c r="K146" i="5"/>
  <c r="L168" i="5"/>
  <c r="O168" i="5" s="1"/>
  <c r="O170" i="5"/>
  <c r="L187" i="5"/>
  <c r="O187" i="5" s="1"/>
  <c r="O189" i="5"/>
  <c r="L238" i="5"/>
  <c r="M279" i="5"/>
  <c r="P285" i="5"/>
  <c r="O303" i="5"/>
  <c r="L334" i="5"/>
  <c r="O334" i="5" s="1"/>
  <c r="M405" i="5"/>
  <c r="P405" i="5" s="1"/>
  <c r="K593" i="5"/>
  <c r="K673" i="5"/>
  <c r="K378" i="4"/>
  <c r="P46" i="5"/>
  <c r="N68" i="5"/>
  <c r="N66" i="5" s="1"/>
  <c r="I148" i="5"/>
  <c r="K148" i="5" s="1"/>
  <c r="L152" i="5"/>
  <c r="O152" i="5" s="1"/>
  <c r="L228" i="5"/>
  <c r="P306" i="5"/>
  <c r="K374" i="5"/>
  <c r="K669" i="5"/>
  <c r="J721" i="5"/>
  <c r="M330" i="4"/>
  <c r="M328" i="4" s="1"/>
  <c r="O49" i="5"/>
  <c r="P137" i="5"/>
  <c r="P140" i="5"/>
  <c r="L198" i="5"/>
  <c r="O198" i="5" s="1"/>
  <c r="I208" i="5"/>
  <c r="K208" i="5" s="1"/>
  <c r="I260" i="5"/>
  <c r="K260" i="5" s="1"/>
  <c r="M263" i="5"/>
  <c r="P263" i="5" s="1"/>
  <c r="N317" i="5"/>
  <c r="N315" i="5" s="1"/>
  <c r="K651" i="5"/>
  <c r="P56" i="5"/>
  <c r="P61" i="5"/>
  <c r="N26" i="5"/>
  <c r="P93" i="5"/>
  <c r="P186" i="5"/>
  <c r="L231" i="5"/>
  <c r="O301" i="5"/>
  <c r="K372" i="5"/>
  <c r="K821" i="5"/>
  <c r="K827" i="5"/>
  <c r="P15" i="5"/>
  <c r="M59" i="5"/>
  <c r="O299" i="5"/>
  <c r="N395" i="5"/>
  <c r="N391" i="5"/>
  <c r="N389" i="5" s="1"/>
  <c r="N122" i="4"/>
  <c r="O186" i="4"/>
  <c r="I237" i="4"/>
  <c r="K237" i="4" s="1"/>
  <c r="L229" i="4"/>
  <c r="O323" i="4"/>
  <c r="K370" i="4"/>
  <c r="K720" i="4"/>
  <c r="N19" i="5"/>
  <c r="O25" i="5"/>
  <c r="L15" i="5"/>
  <c r="P33" i="5"/>
  <c r="M30" i="5"/>
  <c r="P30" i="5" s="1"/>
  <c r="P35" i="5"/>
  <c r="L43" i="5"/>
  <c r="L41" i="5" s="1"/>
  <c r="N44" i="5"/>
  <c r="P44" i="5" s="1"/>
  <c r="M23" i="5"/>
  <c r="L55" i="5"/>
  <c r="L53" i="5" s="1"/>
  <c r="O120" i="5"/>
  <c r="M155" i="5"/>
  <c r="P155" i="5" s="1"/>
  <c r="P157" i="5"/>
  <c r="I233" i="5"/>
  <c r="K233" i="5" s="1"/>
  <c r="P280" i="5"/>
  <c r="I275" i="5"/>
  <c r="J288" i="5"/>
  <c r="J275" i="5" s="1"/>
  <c r="L348" i="5"/>
  <c r="O348" i="5" s="1"/>
  <c r="O350" i="5"/>
  <c r="L347" i="5"/>
  <c r="M69" i="3"/>
  <c r="P69" i="3" s="1"/>
  <c r="M334" i="4"/>
  <c r="P334" i="4" s="1"/>
  <c r="O32" i="5"/>
  <c r="L29" i="5"/>
  <c r="M43" i="5"/>
  <c r="M55" i="5"/>
  <c r="M122" i="5"/>
  <c r="P122" i="5" s="1"/>
  <c r="P124" i="5"/>
  <c r="K255" i="5"/>
  <c r="I248" i="5"/>
  <c r="O262" i="5"/>
  <c r="N331" i="5"/>
  <c r="P333" i="5"/>
  <c r="N330" i="5"/>
  <c r="L392" i="5"/>
  <c r="O392" i="5" s="1"/>
  <c r="O394" i="5"/>
  <c r="L391" i="5"/>
  <c r="P403" i="5"/>
  <c r="P67" i="5"/>
  <c r="K360" i="3"/>
  <c r="I628" i="3"/>
  <c r="K628" i="3" s="1"/>
  <c r="K708" i="3"/>
  <c r="M55" i="4"/>
  <c r="M53" i="4" s="1"/>
  <c r="N55" i="4"/>
  <c r="N53" i="4" s="1"/>
  <c r="N167" i="4"/>
  <c r="N165" i="4" s="1"/>
  <c r="L231" i="4"/>
  <c r="M280" i="4"/>
  <c r="L347" i="4"/>
  <c r="L345" i="4" s="1"/>
  <c r="J374" i="4"/>
  <c r="K374" i="4" s="1"/>
  <c r="N43" i="5"/>
  <c r="N41" i="5" s="1"/>
  <c r="O46" i="5"/>
  <c r="P49" i="5"/>
  <c r="O58" i="5"/>
  <c r="O74" i="5"/>
  <c r="L72" i="5"/>
  <c r="O72" i="5" s="1"/>
  <c r="I77" i="5"/>
  <c r="K145" i="5"/>
  <c r="I143" i="5"/>
  <c r="N267" i="5"/>
  <c r="N263" i="5"/>
  <c r="N261" i="5" s="1"/>
  <c r="M317" i="5"/>
  <c r="P323" i="5"/>
  <c r="O755" i="5"/>
  <c r="L754" i="5"/>
  <c r="O754" i="5" s="1"/>
  <c r="M134" i="4"/>
  <c r="M132" i="4" s="1"/>
  <c r="P186" i="4"/>
  <c r="N183" i="4"/>
  <c r="N181" i="4" s="1"/>
  <c r="N280" i="4"/>
  <c r="O280" i="4" s="1"/>
  <c r="K309" i="4"/>
  <c r="O333" i="4"/>
  <c r="L547" i="4"/>
  <c r="O547" i="4" s="1"/>
  <c r="L12" i="5"/>
  <c r="P25" i="5"/>
  <c r="I76" i="5"/>
  <c r="I87" i="5"/>
  <c r="K87" i="5" s="1"/>
  <c r="M125" i="5"/>
  <c r="P125" i="5" s="1"/>
  <c r="P127" i="5"/>
  <c r="O150" i="5"/>
  <c r="M545" i="5"/>
  <c r="P555" i="5"/>
  <c r="O71" i="5"/>
  <c r="L69" i="5"/>
  <c r="O69" i="5" s="1"/>
  <c r="M264" i="5"/>
  <c r="P264" i="5" s="1"/>
  <c r="P266" i="5"/>
  <c r="L631" i="1"/>
  <c r="L629" i="1" s="1"/>
  <c r="N23" i="4"/>
  <c r="N13" i="4" s="1"/>
  <c r="O74" i="4"/>
  <c r="L249" i="4"/>
  <c r="O249" i="4" s="1"/>
  <c r="N347" i="4"/>
  <c r="O535" i="4"/>
  <c r="K723" i="4"/>
  <c r="N9" i="5"/>
  <c r="M12" i="5"/>
  <c r="L23" i="5"/>
  <c r="M31" i="5"/>
  <c r="P31" i="5" s="1"/>
  <c r="O54" i="5"/>
  <c r="M152" i="5"/>
  <c r="P152" i="5" s="1"/>
  <c r="P154" i="5"/>
  <c r="N351" i="5"/>
  <c r="O351" i="5" s="1"/>
  <c r="N347" i="5"/>
  <c r="P353" i="5"/>
  <c r="O407" i="5"/>
  <c r="L405" i="5"/>
  <c r="O405" i="5" s="1"/>
  <c r="L404" i="5"/>
  <c r="M91" i="5"/>
  <c r="M94" i="5"/>
  <c r="P94" i="5" s="1"/>
  <c r="P133" i="5"/>
  <c r="L135" i="5"/>
  <c r="O135" i="5" s="1"/>
  <c r="L138" i="5"/>
  <c r="O138" i="5" s="1"/>
  <c r="M168" i="5"/>
  <c r="P168" i="5" s="1"/>
  <c r="M171" i="5"/>
  <c r="P171" i="5" s="1"/>
  <c r="M184" i="5"/>
  <c r="M187" i="5"/>
  <c r="P187" i="5" s="1"/>
  <c r="O269" i="5"/>
  <c r="P303" i="5"/>
  <c r="O320" i="5"/>
  <c r="O333" i="5"/>
  <c r="P336" i="5"/>
  <c r="P346" i="5"/>
  <c r="O353" i="5"/>
  <c r="O397" i="5"/>
  <c r="L447" i="5"/>
  <c r="O447" i="5" s="1"/>
  <c r="O449" i="5"/>
  <c r="I559" i="5"/>
  <c r="L639" i="5"/>
  <c r="O639" i="5" s="1"/>
  <c r="O641" i="5"/>
  <c r="L631" i="5"/>
  <c r="P772" i="5"/>
  <c r="M770" i="5"/>
  <c r="P770" i="5" s="1"/>
  <c r="L789" i="5"/>
  <c r="O789" i="5" s="1"/>
  <c r="O791" i="5"/>
  <c r="O807" i="5"/>
  <c r="L805" i="5"/>
  <c r="O805" i="5" s="1"/>
  <c r="J143" i="5"/>
  <c r="J131" i="5" s="1"/>
  <c r="K338" i="5"/>
  <c r="K465" i="5"/>
  <c r="L477" i="5"/>
  <c r="O477" i="5" s="1"/>
  <c r="O479" i="5"/>
  <c r="L469" i="5"/>
  <c r="O549" i="5"/>
  <c r="L547" i="5"/>
  <c r="O547" i="5" s="1"/>
  <c r="J592" i="5"/>
  <c r="O771" i="5"/>
  <c r="L770" i="5"/>
  <c r="O770" i="5" s="1"/>
  <c r="M301" i="5"/>
  <c r="P301" i="5" s="1"/>
  <c r="K355" i="5"/>
  <c r="K381" i="5"/>
  <c r="O410" i="5"/>
  <c r="L408" i="5"/>
  <c r="O408" i="5" s="1"/>
  <c r="K592" i="5"/>
  <c r="P739" i="5"/>
  <c r="M737" i="5"/>
  <c r="P737" i="5" s="1"/>
  <c r="N807" i="5"/>
  <c r="N805" i="5" s="1"/>
  <c r="N808" i="5"/>
  <c r="L422" i="5"/>
  <c r="O422" i="5" s="1"/>
  <c r="O424" i="5"/>
  <c r="O738" i="5"/>
  <c r="L737" i="5"/>
  <c r="O737" i="5" s="1"/>
  <c r="L263" i="5"/>
  <c r="P282" i="5"/>
  <c r="O306" i="5"/>
  <c r="K365" i="5"/>
  <c r="M419" i="5"/>
  <c r="J433" i="5"/>
  <c r="I434" i="5"/>
  <c r="K438" i="5"/>
  <c r="N467" i="5"/>
  <c r="N502" i="5"/>
  <c r="P525" i="5"/>
  <c r="N544" i="5"/>
  <c r="O557" i="5"/>
  <c r="L555" i="5"/>
  <c r="O555" i="5" s="1"/>
  <c r="K594" i="5"/>
  <c r="P756" i="5"/>
  <c r="M754" i="5"/>
  <c r="P754" i="5" s="1"/>
  <c r="O788" i="5"/>
  <c r="L786" i="5"/>
  <c r="O786" i="5" s="1"/>
  <c r="O545" i="5"/>
  <c r="O656" i="5"/>
  <c r="K674" i="5"/>
  <c r="J537" i="5"/>
  <c r="I654" i="5"/>
  <c r="K654" i="5" s="1"/>
  <c r="L658" i="5"/>
  <c r="O658" i="5" s="1"/>
  <c r="K675" i="5"/>
  <c r="L525" i="5"/>
  <c r="O525" i="5" s="1"/>
  <c r="M122" i="4"/>
  <c r="P122" i="4" s="1"/>
  <c r="N152" i="4"/>
  <c r="P152" i="4" s="1"/>
  <c r="P154" i="4"/>
  <c r="M167" i="4"/>
  <c r="M165" i="4" s="1"/>
  <c r="L187" i="4"/>
  <c r="O187" i="4" s="1"/>
  <c r="M264" i="4"/>
  <c r="P264" i="4" s="1"/>
  <c r="M283" i="4"/>
  <c r="P283" i="4" s="1"/>
  <c r="M300" i="4"/>
  <c r="M298" i="4" s="1"/>
  <c r="J327" i="4"/>
  <c r="K327" i="4" s="1"/>
  <c r="K372" i="4"/>
  <c r="L404" i="4"/>
  <c r="O404" i="4" s="1"/>
  <c r="L469" i="4"/>
  <c r="L467" i="4" s="1"/>
  <c r="I559" i="4"/>
  <c r="K559" i="4" s="1"/>
  <c r="M90" i="4"/>
  <c r="M88" i="4" s="1"/>
  <c r="P96" i="4"/>
  <c r="J433" i="4"/>
  <c r="J417" i="4" s="1"/>
  <c r="L183" i="3"/>
  <c r="L181" i="3" s="1"/>
  <c r="O186" i="3"/>
  <c r="I559" i="3"/>
  <c r="I543" i="3" s="1"/>
  <c r="K543" i="3" s="1"/>
  <c r="N44" i="4"/>
  <c r="O44" i="4" s="1"/>
  <c r="P46" i="4"/>
  <c r="M56" i="4"/>
  <c r="P56" i="4" s="1"/>
  <c r="N134" i="4"/>
  <c r="N132" i="4" s="1"/>
  <c r="P140" i="4"/>
  <c r="L171" i="4"/>
  <c r="O171" i="4" s="1"/>
  <c r="P189" i="4"/>
  <c r="L198" i="4"/>
  <c r="O198" i="4" s="1"/>
  <c r="L230" i="4"/>
  <c r="M267" i="4"/>
  <c r="P267" i="4" s="1"/>
  <c r="K287" i="4"/>
  <c r="K360" i="4"/>
  <c r="L395" i="4"/>
  <c r="O395" i="4" s="1"/>
  <c r="N405" i="4"/>
  <c r="O407" i="4"/>
  <c r="O456" i="4"/>
  <c r="I654" i="4"/>
  <c r="M152" i="3"/>
  <c r="P152" i="3" s="1"/>
  <c r="K159" i="4"/>
  <c r="P184" i="4"/>
  <c r="L330" i="4"/>
  <c r="L328" i="4" s="1"/>
  <c r="O353" i="4"/>
  <c r="L687" i="4"/>
  <c r="O687" i="4" s="1"/>
  <c r="K822" i="4"/>
  <c r="K825" i="4"/>
  <c r="K828" i="4"/>
  <c r="P91" i="3"/>
  <c r="M155" i="3"/>
  <c r="P155" i="3" s="1"/>
  <c r="K669" i="3"/>
  <c r="O93" i="4"/>
  <c r="L183" i="4"/>
  <c r="L181" i="4" s="1"/>
  <c r="K255" i="4"/>
  <c r="M55" i="2"/>
  <c r="M53" i="2" s="1"/>
  <c r="L347" i="2"/>
  <c r="L345" i="2" s="1"/>
  <c r="L555" i="3"/>
  <c r="O555" i="3" s="1"/>
  <c r="L33" i="4"/>
  <c r="L31" i="4" s="1"/>
  <c r="O31" i="4" s="1"/>
  <c r="N59" i="4"/>
  <c r="P59" i="4" s="1"/>
  <c r="N68" i="4"/>
  <c r="N66" i="4" s="1"/>
  <c r="M135" i="4"/>
  <c r="P135" i="4" s="1"/>
  <c r="N168" i="4"/>
  <c r="P168" i="4" s="1"/>
  <c r="M304" i="4"/>
  <c r="P304" i="4" s="1"/>
  <c r="K369" i="4"/>
  <c r="K379" i="4"/>
  <c r="L392" i="4"/>
  <c r="O392" i="4" s="1"/>
  <c r="O479" i="4"/>
  <c r="J537" i="4"/>
  <c r="J522" i="4" s="1"/>
  <c r="L632" i="4"/>
  <c r="O632" i="4" s="1"/>
  <c r="L657" i="4"/>
  <c r="K726" i="4"/>
  <c r="I785" i="4"/>
  <c r="K785" i="4" s="1"/>
  <c r="N183" i="2"/>
  <c r="N181" i="2" s="1"/>
  <c r="L230" i="2"/>
  <c r="I434" i="2"/>
  <c r="K434" i="2" s="1"/>
  <c r="O93" i="3"/>
  <c r="M125" i="3"/>
  <c r="P125" i="3" s="1"/>
  <c r="I174" i="3"/>
  <c r="K174" i="3" s="1"/>
  <c r="L279" i="3"/>
  <c r="O279" i="3" s="1"/>
  <c r="N404" i="3"/>
  <c r="N402" i="3" s="1"/>
  <c r="O46" i="4"/>
  <c r="L91" i="4"/>
  <c r="N90" i="4"/>
  <c r="N88" i="4" s="1"/>
  <c r="K98" i="4"/>
  <c r="O124" i="4"/>
  <c r="P137" i="4"/>
  <c r="L184" i="4"/>
  <c r="O184" i="4" s="1"/>
  <c r="I190" i="4"/>
  <c r="K190" i="4" s="1"/>
  <c r="M263" i="4"/>
  <c r="P263" i="4" s="1"/>
  <c r="O306" i="4"/>
  <c r="L317" i="4"/>
  <c r="P333" i="4"/>
  <c r="L348" i="4"/>
  <c r="P353" i="4"/>
  <c r="M392" i="4"/>
  <c r="P392" i="4" s="1"/>
  <c r="P410" i="4"/>
  <c r="O431" i="4"/>
  <c r="K440" i="4"/>
  <c r="O528" i="4"/>
  <c r="K672" i="4"/>
  <c r="L168" i="3"/>
  <c r="O49" i="4"/>
  <c r="N91" i="4"/>
  <c r="P91" i="4" s="1"/>
  <c r="L94" i="4"/>
  <c r="O94" i="4" s="1"/>
  <c r="L121" i="4"/>
  <c r="O121" i="4" s="1"/>
  <c r="I208" i="4"/>
  <c r="K208" i="4" s="1"/>
  <c r="L209" i="4"/>
  <c r="O209" i="4" s="1"/>
  <c r="I260" i="4"/>
  <c r="K260" i="4" s="1"/>
  <c r="O264" i="4"/>
  <c r="M279" i="4"/>
  <c r="M277" i="4" s="1"/>
  <c r="P306" i="4"/>
  <c r="L331" i="4"/>
  <c r="L351" i="4"/>
  <c r="O351" i="4" s="1"/>
  <c r="O394" i="4"/>
  <c r="L421" i="4"/>
  <c r="L525" i="4"/>
  <c r="K673" i="4"/>
  <c r="O690" i="4"/>
  <c r="K728" i="4"/>
  <c r="K823" i="4"/>
  <c r="K826" i="4"/>
  <c r="K314" i="2"/>
  <c r="I77" i="3"/>
  <c r="I65" i="3" s="1"/>
  <c r="K65" i="3" s="1"/>
  <c r="L36" i="4"/>
  <c r="O127" i="4"/>
  <c r="P138" i="4"/>
  <c r="M151" i="4"/>
  <c r="M149" i="4" s="1"/>
  <c r="L167" i="4"/>
  <c r="L165" i="4" s="1"/>
  <c r="O303" i="4"/>
  <c r="L318" i="4"/>
  <c r="O318" i="4" s="1"/>
  <c r="P336" i="4"/>
  <c r="K355" i="4"/>
  <c r="K362" i="4"/>
  <c r="I442" i="4"/>
  <c r="K442" i="4" s="1"/>
  <c r="M90" i="3"/>
  <c r="M88" i="3" s="1"/>
  <c r="L90" i="4"/>
  <c r="L88" i="4" s="1"/>
  <c r="L217" i="4"/>
  <c r="O217" i="4" s="1"/>
  <c r="M391" i="4"/>
  <c r="P391" i="4" s="1"/>
  <c r="K821" i="4"/>
  <c r="K824" i="4"/>
  <c r="K827" i="4"/>
  <c r="P329" i="4"/>
  <c r="M68" i="1"/>
  <c r="M66" i="1" s="1"/>
  <c r="L330" i="1"/>
  <c r="L328" i="1" s="1"/>
  <c r="M134" i="2"/>
  <c r="P134" i="2" s="1"/>
  <c r="M321" i="2"/>
  <c r="P321" i="2" s="1"/>
  <c r="L43" i="3"/>
  <c r="L41" i="3" s="1"/>
  <c r="M43" i="3"/>
  <c r="M41" i="3" s="1"/>
  <c r="N151" i="3"/>
  <c r="N149" i="3" s="1"/>
  <c r="N167" i="3"/>
  <c r="P173" i="3"/>
  <c r="N184" i="3"/>
  <c r="O184" i="3" s="1"/>
  <c r="L263" i="3"/>
  <c r="L261" i="3" s="1"/>
  <c r="P269" i="3"/>
  <c r="M267" i="3"/>
  <c r="P267" i="3" s="1"/>
  <c r="K359" i="3"/>
  <c r="O410" i="3"/>
  <c r="L408" i="3"/>
  <c r="O408" i="3" s="1"/>
  <c r="K723" i="3"/>
  <c r="J721" i="3"/>
  <c r="K721" i="3" s="1"/>
  <c r="K821" i="3"/>
  <c r="K824" i="3"/>
  <c r="K827" i="3"/>
  <c r="P35" i="4"/>
  <c r="M34" i="4"/>
  <c r="P34" i="4" s="1"/>
  <c r="M68" i="4"/>
  <c r="P74" i="4"/>
  <c r="M26" i="4"/>
  <c r="K176" i="4"/>
  <c r="I174" i="4"/>
  <c r="I216" i="4"/>
  <c r="K216" i="4" s="1"/>
  <c r="K224" i="4"/>
  <c r="N301" i="4"/>
  <c r="O301" i="4" s="1"/>
  <c r="N300" i="4"/>
  <c r="N298" i="4" s="1"/>
  <c r="P140" i="3"/>
  <c r="L155" i="3"/>
  <c r="O155" i="3" s="1"/>
  <c r="O266" i="4"/>
  <c r="L263" i="4"/>
  <c r="O278" i="4"/>
  <c r="K244" i="2"/>
  <c r="L47" i="3"/>
  <c r="O47" i="3" s="1"/>
  <c r="K325" i="3"/>
  <c r="I314" i="3"/>
  <c r="K314" i="3" s="1"/>
  <c r="N347" i="3"/>
  <c r="N345" i="3" s="1"/>
  <c r="P348" i="3"/>
  <c r="N392" i="3"/>
  <c r="N391" i="3"/>
  <c r="N389" i="3" s="1"/>
  <c r="P15" i="4"/>
  <c r="P29" i="4"/>
  <c r="L56" i="4"/>
  <c r="O56" i="4" s="1"/>
  <c r="L23" i="4"/>
  <c r="O58" i="4"/>
  <c r="L55" i="4"/>
  <c r="M138" i="2"/>
  <c r="P138" i="2" s="1"/>
  <c r="K729" i="2"/>
  <c r="L90" i="3"/>
  <c r="L88" i="3" s="1"/>
  <c r="I112" i="3"/>
  <c r="K112" i="3" s="1"/>
  <c r="J143" i="3"/>
  <c r="J131" i="3" s="1"/>
  <c r="L230" i="3"/>
  <c r="O306" i="3"/>
  <c r="L304" i="3"/>
  <c r="O304" i="3" s="1"/>
  <c r="M121" i="4"/>
  <c r="P127" i="4"/>
  <c r="L138" i="4"/>
  <c r="O138" i="4" s="1"/>
  <c r="L134" i="4"/>
  <c r="O140" i="4"/>
  <c r="L155" i="4"/>
  <c r="O155" i="4" s="1"/>
  <c r="L151" i="4"/>
  <c r="O157" i="4"/>
  <c r="O166" i="4"/>
  <c r="M171" i="4"/>
  <c r="P171" i="4" s="1"/>
  <c r="P173" i="4"/>
  <c r="N317" i="4"/>
  <c r="N315" i="4" s="1"/>
  <c r="N318" i="4"/>
  <c r="N267" i="4"/>
  <c r="N263" i="4"/>
  <c r="N261" i="4" s="1"/>
  <c r="N26" i="4"/>
  <c r="N16" i="4" s="1"/>
  <c r="I364" i="2"/>
  <c r="N68" i="3"/>
  <c r="N66" i="3" s="1"/>
  <c r="I87" i="3"/>
  <c r="K87" i="3" s="1"/>
  <c r="N90" i="3"/>
  <c r="P303" i="3"/>
  <c r="M301" i="3"/>
  <c r="P301" i="3" s="1"/>
  <c r="P22" i="4"/>
  <c r="M19" i="4"/>
  <c r="M12" i="4"/>
  <c r="I112" i="4"/>
  <c r="K112" i="4" s="1"/>
  <c r="K116" i="4"/>
  <c r="O150" i="4"/>
  <c r="L238" i="4"/>
  <c r="L228" i="4"/>
  <c r="L283" i="4"/>
  <c r="O283" i="4" s="1"/>
  <c r="L279" i="4"/>
  <c r="O285" i="4"/>
  <c r="K340" i="3"/>
  <c r="K370" i="3"/>
  <c r="K378" i="3"/>
  <c r="K381" i="3"/>
  <c r="L631" i="3"/>
  <c r="O631" i="3" s="1"/>
  <c r="I654" i="3"/>
  <c r="K654" i="3" s="1"/>
  <c r="K822" i="3"/>
  <c r="K825" i="3"/>
  <c r="K828" i="3"/>
  <c r="N9" i="4"/>
  <c r="N15" i="4"/>
  <c r="L26" i="4"/>
  <c r="L24" i="4" s="1"/>
  <c r="N29" i="4"/>
  <c r="N28" i="4" s="1"/>
  <c r="O61" i="4"/>
  <c r="O67" i="4"/>
  <c r="M183" i="4"/>
  <c r="M181" i="4" s="1"/>
  <c r="J226" i="4"/>
  <c r="J180" i="4" s="1"/>
  <c r="J288" i="4"/>
  <c r="I275" i="4"/>
  <c r="L300" i="4"/>
  <c r="N331" i="4"/>
  <c r="N330" i="4"/>
  <c r="N328" i="4" s="1"/>
  <c r="L408" i="4"/>
  <c r="O408" i="4" s="1"/>
  <c r="O410" i="4"/>
  <c r="P420" i="4"/>
  <c r="M419" i="4"/>
  <c r="I433" i="4"/>
  <c r="K435" i="4"/>
  <c r="K700" i="3"/>
  <c r="O135" i="4"/>
  <c r="O170" i="4"/>
  <c r="P346" i="4"/>
  <c r="I364" i="4"/>
  <c r="P390" i="4"/>
  <c r="K729" i="3"/>
  <c r="L43" i="4"/>
  <c r="P93" i="4"/>
  <c r="K111" i="4"/>
  <c r="K145" i="4"/>
  <c r="I143" i="4"/>
  <c r="N227" i="4"/>
  <c r="K248" i="4"/>
  <c r="K297" i="4"/>
  <c r="N348" i="4"/>
  <c r="O350" i="4"/>
  <c r="O788" i="4"/>
  <c r="L786" i="4"/>
  <c r="O786" i="4" s="1"/>
  <c r="K79" i="4"/>
  <c r="I77" i="4"/>
  <c r="N469" i="4"/>
  <c r="N467" i="4" s="1"/>
  <c r="O472" i="4"/>
  <c r="N470" i="4"/>
  <c r="O470" i="4" s="1"/>
  <c r="L15" i="4"/>
  <c r="M23" i="4"/>
  <c r="M21" i="4" s="1"/>
  <c r="L29" i="4"/>
  <c r="M30" i="4"/>
  <c r="P30" i="4" s="1"/>
  <c r="I76" i="4"/>
  <c r="O137" i="4"/>
  <c r="J143" i="4"/>
  <c r="J131" i="4" s="1"/>
  <c r="K146" i="4"/>
  <c r="O154" i="4"/>
  <c r="P170" i="4"/>
  <c r="P182" i="4"/>
  <c r="I197" i="4"/>
  <c r="K197" i="4" s="1"/>
  <c r="O282" i="4"/>
  <c r="P303" i="4"/>
  <c r="M318" i="4"/>
  <c r="P318" i="4" s="1"/>
  <c r="P320" i="4"/>
  <c r="M317" i="4"/>
  <c r="P317" i="4" s="1"/>
  <c r="P323" i="4"/>
  <c r="M404" i="4"/>
  <c r="K365" i="4"/>
  <c r="N391" i="4"/>
  <c r="N389" i="4" s="1"/>
  <c r="O424" i="4"/>
  <c r="L502" i="4"/>
  <c r="O502" i="4" s="1"/>
  <c r="O557" i="4"/>
  <c r="L546" i="4"/>
  <c r="P739" i="4"/>
  <c r="M737" i="4"/>
  <c r="P737" i="4" s="1"/>
  <c r="N754" i="4"/>
  <c r="O771" i="4"/>
  <c r="L770" i="4"/>
  <c r="O770" i="4" s="1"/>
  <c r="O807" i="4"/>
  <c r="L805" i="4"/>
  <c r="O805" i="4" s="1"/>
  <c r="O630" i="4"/>
  <c r="J669" i="4"/>
  <c r="K675" i="4"/>
  <c r="L789" i="4"/>
  <c r="O789" i="4" s="1"/>
  <c r="O791" i="4"/>
  <c r="N807" i="4"/>
  <c r="N805" i="4" s="1"/>
  <c r="N808" i="4"/>
  <c r="M629" i="4"/>
  <c r="P629" i="4" s="1"/>
  <c r="L639" i="4"/>
  <c r="O639" i="4" s="1"/>
  <c r="O641" i="4"/>
  <c r="L631" i="4"/>
  <c r="O631" i="4" s="1"/>
  <c r="O738" i="4"/>
  <c r="L737" i="4"/>
  <c r="O737" i="4" s="1"/>
  <c r="P756" i="4"/>
  <c r="M754" i="4"/>
  <c r="P754" i="4" s="1"/>
  <c r="N770" i="4"/>
  <c r="O403" i="4"/>
  <c r="N419" i="4"/>
  <c r="N444" i="4"/>
  <c r="O503" i="4"/>
  <c r="I522" i="4"/>
  <c r="K522" i="4" s="1"/>
  <c r="K537" i="4"/>
  <c r="I592" i="4"/>
  <c r="K592" i="4" s="1"/>
  <c r="K593" i="4"/>
  <c r="P686" i="4"/>
  <c r="M685" i="4"/>
  <c r="P685" i="4" s="1"/>
  <c r="K701" i="4"/>
  <c r="K340" i="4"/>
  <c r="P350" i="4"/>
  <c r="K385" i="4"/>
  <c r="L446" i="4"/>
  <c r="O449" i="4"/>
  <c r="M467" i="4"/>
  <c r="P467" i="4" s="1"/>
  <c r="N505" i="4"/>
  <c r="N523" i="4"/>
  <c r="P545" i="4"/>
  <c r="K594" i="4"/>
  <c r="N685" i="4"/>
  <c r="O755" i="4"/>
  <c r="L754" i="4"/>
  <c r="O754" i="4" s="1"/>
  <c r="P772" i="4"/>
  <c r="M770" i="4"/>
  <c r="P770" i="4" s="1"/>
  <c r="J721" i="4"/>
  <c r="K721" i="4" s="1"/>
  <c r="M786" i="4"/>
  <c r="P786" i="4" s="1"/>
  <c r="M805" i="4"/>
  <c r="P805" i="4" s="1"/>
  <c r="L125" i="3"/>
  <c r="O125" i="3" s="1"/>
  <c r="L632" i="2"/>
  <c r="O632" i="2" s="1"/>
  <c r="M47" i="3"/>
  <c r="P47" i="3" s="1"/>
  <c r="N55" i="3"/>
  <c r="N53" i="3" s="1"/>
  <c r="P93" i="3"/>
  <c r="K116" i="3"/>
  <c r="M151" i="3"/>
  <c r="M149" i="3" s="1"/>
  <c r="P149" i="3" s="1"/>
  <c r="N168" i="3"/>
  <c r="L187" i="3"/>
  <c r="O187" i="3" s="1"/>
  <c r="L229" i="3"/>
  <c r="L321" i="3"/>
  <c r="O321" i="3" s="1"/>
  <c r="J433" i="3"/>
  <c r="J417" i="3" s="1"/>
  <c r="K462" i="3"/>
  <c r="L546" i="3"/>
  <c r="L544" i="3" s="1"/>
  <c r="K673" i="3"/>
  <c r="P49" i="3"/>
  <c r="O96" i="3"/>
  <c r="N26" i="3"/>
  <c r="N16" i="3" s="1"/>
  <c r="N14" i="3" s="1"/>
  <c r="I237" i="3"/>
  <c r="K237" i="3" s="1"/>
  <c r="K372" i="3"/>
  <c r="O71" i="3"/>
  <c r="O140" i="3"/>
  <c r="O266" i="3"/>
  <c r="P350" i="3"/>
  <c r="M347" i="3"/>
  <c r="K725" i="3"/>
  <c r="J722" i="3"/>
  <c r="K722" i="3" s="1"/>
  <c r="L639" i="1"/>
  <c r="O639" i="1" s="1"/>
  <c r="M304" i="3"/>
  <c r="P304" i="3" s="1"/>
  <c r="L55" i="3"/>
  <c r="J327" i="3"/>
  <c r="K327" i="3" s="1"/>
  <c r="K197" i="1"/>
  <c r="O44" i="3"/>
  <c r="M26" i="3"/>
  <c r="M16" i="3" s="1"/>
  <c r="P58" i="3"/>
  <c r="P61" i="3"/>
  <c r="L217" i="3"/>
  <c r="O217" i="3" s="1"/>
  <c r="L249" i="3"/>
  <c r="O249" i="3" s="1"/>
  <c r="K271" i="3"/>
  <c r="N279" i="3"/>
  <c r="N277" i="3" s="1"/>
  <c r="K355" i="3"/>
  <c r="L788" i="1"/>
  <c r="L786" i="1" s="1"/>
  <c r="O44" i="2"/>
  <c r="N90" i="2"/>
  <c r="N88" i="2" s="1"/>
  <c r="O46" i="3"/>
  <c r="M56" i="3"/>
  <c r="P56" i="3" s="1"/>
  <c r="M134" i="3"/>
  <c r="O170" i="3"/>
  <c r="N183" i="3"/>
  <c r="M283" i="3"/>
  <c r="P283" i="3" s="1"/>
  <c r="L301" i="3"/>
  <c r="O301" i="3" s="1"/>
  <c r="L300" i="3"/>
  <c r="O300" i="3" s="1"/>
  <c r="P397" i="3"/>
  <c r="M395" i="3"/>
  <c r="P395" i="3" s="1"/>
  <c r="O407" i="3"/>
  <c r="L404" i="3"/>
  <c r="O404" i="3" s="1"/>
  <c r="L688" i="3"/>
  <c r="O688" i="3" s="1"/>
  <c r="O690" i="3"/>
  <c r="P46" i="2"/>
  <c r="I112" i="2"/>
  <c r="K112" i="2" s="1"/>
  <c r="L155" i="2"/>
  <c r="O155" i="2" s="1"/>
  <c r="N167" i="2"/>
  <c r="N165" i="2" s="1"/>
  <c r="N347" i="2"/>
  <c r="N345" i="2" s="1"/>
  <c r="L447" i="2"/>
  <c r="O447" i="2" s="1"/>
  <c r="J721" i="2"/>
  <c r="K721" i="2" s="1"/>
  <c r="K826" i="2"/>
  <c r="L26" i="3"/>
  <c r="L24" i="3" s="1"/>
  <c r="M59" i="3"/>
  <c r="P59" i="3" s="1"/>
  <c r="K81" i="3"/>
  <c r="N121" i="3"/>
  <c r="N119" i="3" s="1"/>
  <c r="M135" i="3"/>
  <c r="P135" i="3" s="1"/>
  <c r="L171" i="3"/>
  <c r="O171" i="3" s="1"/>
  <c r="I190" i="3"/>
  <c r="K190" i="3" s="1"/>
  <c r="N263" i="3"/>
  <c r="N300" i="3"/>
  <c r="N298" i="3" s="1"/>
  <c r="M321" i="3"/>
  <c r="P321" i="3" s="1"/>
  <c r="N330" i="3"/>
  <c r="N328" i="3" s="1"/>
  <c r="K385" i="3"/>
  <c r="M404" i="3"/>
  <c r="P404" i="3" s="1"/>
  <c r="K435" i="3"/>
  <c r="L687" i="3"/>
  <c r="O687" i="3" s="1"/>
  <c r="L122" i="2"/>
  <c r="O122" i="2" s="1"/>
  <c r="M155" i="2"/>
  <c r="P155" i="2" s="1"/>
  <c r="I276" i="2"/>
  <c r="K276" i="2" s="1"/>
  <c r="L122" i="3"/>
  <c r="O122" i="3" s="1"/>
  <c r="M184" i="3"/>
  <c r="P186" i="3"/>
  <c r="M183" i="3"/>
  <c r="M181" i="3" s="1"/>
  <c r="K288" i="3"/>
  <c r="I275" i="3"/>
  <c r="K275" i="3" s="1"/>
  <c r="O397" i="3"/>
  <c r="L405" i="3"/>
  <c r="O405" i="3" s="1"/>
  <c r="L657" i="3"/>
  <c r="L655" i="3" s="1"/>
  <c r="L658" i="3"/>
  <c r="O658" i="3" s="1"/>
  <c r="N229" i="1"/>
  <c r="J226" i="1"/>
  <c r="J180" i="1" s="1"/>
  <c r="L228" i="1"/>
  <c r="I143" i="2"/>
  <c r="K143" i="2" s="1"/>
  <c r="L36" i="3"/>
  <c r="O36" i="3" s="1"/>
  <c r="N43" i="3"/>
  <c r="P74" i="3"/>
  <c r="M72" i="3"/>
  <c r="P72" i="3" s="1"/>
  <c r="M68" i="3"/>
  <c r="P68" i="3" s="1"/>
  <c r="I148" i="3"/>
  <c r="K148" i="3" s="1"/>
  <c r="K159" i="3"/>
  <c r="L209" i="3"/>
  <c r="O209" i="3" s="1"/>
  <c r="P266" i="3"/>
  <c r="M263" i="3"/>
  <c r="P263" i="3" s="1"/>
  <c r="I276" i="3"/>
  <c r="K276" i="3" s="1"/>
  <c r="O303" i="3"/>
  <c r="P331" i="3"/>
  <c r="P333" i="3"/>
  <c r="N405" i="3"/>
  <c r="I434" i="3"/>
  <c r="I418" i="3" s="1"/>
  <c r="K418" i="3" s="1"/>
  <c r="K438" i="3"/>
  <c r="O456" i="3"/>
  <c r="J143" i="2"/>
  <c r="J131" i="2" s="1"/>
  <c r="L151" i="2"/>
  <c r="L149" i="2" s="1"/>
  <c r="L283" i="2"/>
  <c r="O283" i="2" s="1"/>
  <c r="K359" i="2"/>
  <c r="K362" i="2"/>
  <c r="L688" i="2"/>
  <c r="M55" i="3"/>
  <c r="M94" i="3"/>
  <c r="P94" i="3" s="1"/>
  <c r="P96" i="3"/>
  <c r="O154" i="3"/>
  <c r="L151" i="3"/>
  <c r="O151" i="3" s="1"/>
  <c r="M168" i="3"/>
  <c r="P170" i="3"/>
  <c r="M167" i="3"/>
  <c r="L198" i="3"/>
  <c r="O198" i="3" s="1"/>
  <c r="O269" i="3"/>
  <c r="L267" i="3"/>
  <c r="O267" i="3" s="1"/>
  <c r="P320" i="3"/>
  <c r="M317" i="3"/>
  <c r="P317" i="3" s="1"/>
  <c r="K379" i="3"/>
  <c r="P410" i="3"/>
  <c r="I433" i="3"/>
  <c r="I417" i="3" s="1"/>
  <c r="I233" i="3"/>
  <c r="K233" i="3" s="1"/>
  <c r="M330" i="3"/>
  <c r="K369" i="3"/>
  <c r="K374" i="3"/>
  <c r="I76" i="3"/>
  <c r="K76" i="3" s="1"/>
  <c r="M279" i="3"/>
  <c r="P279" i="3" s="1"/>
  <c r="K674" i="3"/>
  <c r="K823" i="3"/>
  <c r="K826" i="3"/>
  <c r="P12" i="3"/>
  <c r="M9" i="3"/>
  <c r="K495" i="1"/>
  <c r="L546" i="1"/>
  <c r="L544" i="1" s="1"/>
  <c r="K176" i="2"/>
  <c r="K255" i="2"/>
  <c r="M283" i="2"/>
  <c r="P283" i="2" s="1"/>
  <c r="N300" i="2"/>
  <c r="N298" i="2" s="1"/>
  <c r="K325" i="2"/>
  <c r="K385" i="2"/>
  <c r="L33" i="2"/>
  <c r="L31" i="2" s="1"/>
  <c r="O31" i="2" s="1"/>
  <c r="I654" i="2"/>
  <c r="K654" i="2" s="1"/>
  <c r="L228" i="3"/>
  <c r="N280" i="3"/>
  <c r="I297" i="3"/>
  <c r="K297" i="3" s="1"/>
  <c r="K309" i="3"/>
  <c r="L422" i="3"/>
  <c r="O424" i="3"/>
  <c r="L421" i="3"/>
  <c r="O421" i="3" s="1"/>
  <c r="L33" i="3"/>
  <c r="L657" i="2"/>
  <c r="L655" i="2" s="1"/>
  <c r="O655" i="2" s="1"/>
  <c r="O660" i="2"/>
  <c r="K669" i="2"/>
  <c r="O316" i="3"/>
  <c r="N631" i="3"/>
  <c r="N629" i="3" s="1"/>
  <c r="N632" i="3"/>
  <c r="N330" i="2"/>
  <c r="N328" i="2" s="1"/>
  <c r="I86" i="3"/>
  <c r="K86" i="3" s="1"/>
  <c r="K98" i="3"/>
  <c r="O166" i="3"/>
  <c r="K144" i="1"/>
  <c r="K115" i="2"/>
  <c r="K215" i="2"/>
  <c r="M317" i="2"/>
  <c r="M315" i="2" s="1"/>
  <c r="K340" i="2"/>
  <c r="N348" i="2"/>
  <c r="L392" i="2"/>
  <c r="O392" i="2" s="1"/>
  <c r="M395" i="2"/>
  <c r="P395" i="2" s="1"/>
  <c r="I443" i="2"/>
  <c r="K443" i="2" s="1"/>
  <c r="K827" i="2"/>
  <c r="P25" i="3"/>
  <c r="M15" i="3"/>
  <c r="P44" i="3"/>
  <c r="L56" i="3"/>
  <c r="O56" i="3" s="1"/>
  <c r="O58" i="3"/>
  <c r="L23" i="3"/>
  <c r="L21" i="3" s="1"/>
  <c r="O89" i="3"/>
  <c r="P124" i="3"/>
  <c r="M121" i="3"/>
  <c r="N321" i="3"/>
  <c r="N317" i="3"/>
  <c r="N315" i="3" s="1"/>
  <c r="O403" i="3"/>
  <c r="P421" i="3"/>
  <c r="M419" i="3"/>
  <c r="K675" i="2"/>
  <c r="K146" i="3"/>
  <c r="I130" i="3"/>
  <c r="K130" i="3" s="1"/>
  <c r="K460" i="1"/>
  <c r="K379" i="2"/>
  <c r="P19" i="3"/>
  <c r="L59" i="3"/>
  <c r="O59" i="3" s="1"/>
  <c r="O61" i="3"/>
  <c r="K224" i="3"/>
  <c r="I216" i="3"/>
  <c r="K216" i="3" s="1"/>
  <c r="L334" i="3"/>
  <c r="O334" i="3" s="1"/>
  <c r="O336" i="3"/>
  <c r="L330" i="3"/>
  <c r="O472" i="3"/>
  <c r="L469" i="3"/>
  <c r="L470" i="3"/>
  <c r="O470" i="3" s="1"/>
  <c r="P124" i="2"/>
  <c r="I433" i="2"/>
  <c r="I417" i="2" s="1"/>
  <c r="I559" i="2"/>
  <c r="I543" i="2" s="1"/>
  <c r="K543" i="2" s="1"/>
  <c r="K822" i="2"/>
  <c r="K828" i="2"/>
  <c r="P32" i="3"/>
  <c r="M29" i="3"/>
  <c r="M31" i="3"/>
  <c r="P31" i="3" s="1"/>
  <c r="L72" i="3"/>
  <c r="O72" i="3" s="1"/>
  <c r="O74" i="3"/>
  <c r="L317" i="3"/>
  <c r="O317" i="3" s="1"/>
  <c r="O320" i="3"/>
  <c r="L318" i="3"/>
  <c r="O318" i="3" s="1"/>
  <c r="L351" i="3"/>
  <c r="O351" i="3" s="1"/>
  <c r="O353" i="3"/>
  <c r="L347" i="3"/>
  <c r="P394" i="3"/>
  <c r="M391" i="3"/>
  <c r="M392" i="3"/>
  <c r="P392" i="3" s="1"/>
  <c r="P46" i="3"/>
  <c r="L121" i="3"/>
  <c r="O121" i="3" s="1"/>
  <c r="L134" i="3"/>
  <c r="O150" i="3"/>
  <c r="O262" i="3"/>
  <c r="P282" i="3"/>
  <c r="L283" i="3"/>
  <c r="O283" i="3" s="1"/>
  <c r="O285" i="3"/>
  <c r="M300" i="3"/>
  <c r="O390" i="3"/>
  <c r="N421" i="3"/>
  <c r="N422" i="3"/>
  <c r="L477" i="3"/>
  <c r="O477" i="3" s="1"/>
  <c r="O479" i="3"/>
  <c r="N544" i="3"/>
  <c r="P631" i="3"/>
  <c r="M629" i="3"/>
  <c r="P629" i="3" s="1"/>
  <c r="P755" i="3"/>
  <c r="M754" i="3"/>
  <c r="P754" i="3" s="1"/>
  <c r="L15" i="3"/>
  <c r="M23" i="3"/>
  <c r="M21" i="3" s="1"/>
  <c r="L29" i="3"/>
  <c r="M30" i="3"/>
  <c r="P30" i="3" s="1"/>
  <c r="N31" i="3"/>
  <c r="K80" i="3"/>
  <c r="O137" i="3"/>
  <c r="O182" i="3"/>
  <c r="I208" i="3"/>
  <c r="K208" i="3" s="1"/>
  <c r="J288" i="3"/>
  <c r="J275" i="3" s="1"/>
  <c r="O299" i="3"/>
  <c r="M334" i="3"/>
  <c r="P334" i="3" s="1"/>
  <c r="M351" i="3"/>
  <c r="P351" i="3" s="1"/>
  <c r="L447" i="3"/>
  <c r="O447" i="3" s="1"/>
  <c r="O449" i="3"/>
  <c r="P687" i="3"/>
  <c r="M685" i="3"/>
  <c r="P685" i="3" s="1"/>
  <c r="N23" i="3"/>
  <c r="O120" i="3"/>
  <c r="N134" i="3"/>
  <c r="N132" i="3" s="1"/>
  <c r="O264" i="3"/>
  <c r="P336" i="3"/>
  <c r="P353" i="3"/>
  <c r="P407" i="3"/>
  <c r="O420" i="3"/>
  <c r="L446" i="3"/>
  <c r="O446" i="3" s="1"/>
  <c r="N446" i="3"/>
  <c r="N444" i="3" s="1"/>
  <c r="N447" i="3"/>
  <c r="L68" i="3"/>
  <c r="O91" i="3"/>
  <c r="P189" i="3"/>
  <c r="K255" i="3"/>
  <c r="I248" i="3"/>
  <c r="K248" i="3" s="1"/>
  <c r="P278" i="3"/>
  <c r="L280" i="3"/>
  <c r="O280" i="3" s="1"/>
  <c r="O282" i="3"/>
  <c r="L331" i="3"/>
  <c r="O331" i="3" s="1"/>
  <c r="O333" i="3"/>
  <c r="L348" i="3"/>
  <c r="O348" i="3" s="1"/>
  <c r="O350" i="3"/>
  <c r="K362" i="3"/>
  <c r="P446" i="3"/>
  <c r="M444" i="3"/>
  <c r="P444" i="3" s="1"/>
  <c r="K111" i="3"/>
  <c r="K145" i="3"/>
  <c r="I143" i="3"/>
  <c r="K204" i="3"/>
  <c r="I197" i="3"/>
  <c r="K197" i="3" s="1"/>
  <c r="L238" i="3"/>
  <c r="J364" i="3"/>
  <c r="K365" i="3"/>
  <c r="L392" i="3"/>
  <c r="O392" i="3" s="1"/>
  <c r="O394" i="3"/>
  <c r="L391" i="3"/>
  <c r="O391" i="3" s="1"/>
  <c r="N419" i="3"/>
  <c r="O445" i="3"/>
  <c r="K466" i="3"/>
  <c r="L632" i="3"/>
  <c r="O632" i="3" s="1"/>
  <c r="O634" i="3"/>
  <c r="O686" i="3"/>
  <c r="P738" i="3"/>
  <c r="M737" i="3"/>
  <c r="P737" i="3" s="1"/>
  <c r="L770" i="3"/>
  <c r="O770" i="3" s="1"/>
  <c r="N807" i="3"/>
  <c r="N805" i="3" s="1"/>
  <c r="N808" i="3"/>
  <c r="I522" i="3"/>
  <c r="K522" i="3" s="1"/>
  <c r="K537" i="3"/>
  <c r="O630" i="3"/>
  <c r="L754" i="3"/>
  <c r="O754" i="3" s="1"/>
  <c r="P771" i="3"/>
  <c r="M770" i="3"/>
  <c r="P770" i="3" s="1"/>
  <c r="L789" i="3"/>
  <c r="O789" i="3" s="1"/>
  <c r="O791" i="3"/>
  <c r="O504" i="3"/>
  <c r="L502" i="3"/>
  <c r="O502" i="3" s="1"/>
  <c r="N504" i="3"/>
  <c r="N502" i="3" s="1"/>
  <c r="N505" i="3"/>
  <c r="P524" i="3"/>
  <c r="M523" i="3"/>
  <c r="P523" i="3" s="1"/>
  <c r="I592" i="3"/>
  <c r="K592" i="3" s="1"/>
  <c r="K593" i="3"/>
  <c r="O660" i="3"/>
  <c r="N657" i="3"/>
  <c r="N655" i="3" s="1"/>
  <c r="N658" i="3"/>
  <c r="I442" i="3"/>
  <c r="K442" i="3" s="1"/>
  <c r="J537" i="3"/>
  <c r="J522" i="3" s="1"/>
  <c r="L547" i="3"/>
  <c r="O547" i="3" s="1"/>
  <c r="L786" i="3"/>
  <c r="O786" i="3" s="1"/>
  <c r="L805" i="3"/>
  <c r="O805" i="3" s="1"/>
  <c r="L533" i="3"/>
  <c r="O533" i="3" s="1"/>
  <c r="K675" i="3"/>
  <c r="M786" i="3"/>
  <c r="P786" i="3" s="1"/>
  <c r="K800" i="3"/>
  <c r="M805" i="3"/>
  <c r="P805" i="3" s="1"/>
  <c r="L525" i="3"/>
  <c r="O56" i="2"/>
  <c r="I76" i="2"/>
  <c r="K76" i="2" s="1"/>
  <c r="K78" i="2"/>
  <c r="K204" i="2"/>
  <c r="I197" i="2"/>
  <c r="K197" i="2" s="1"/>
  <c r="K288" i="2"/>
  <c r="I297" i="2"/>
  <c r="K297" i="2" s="1"/>
  <c r="P410" i="2"/>
  <c r="M408" i="2"/>
  <c r="P408" i="2" s="1"/>
  <c r="O549" i="2"/>
  <c r="M168" i="2"/>
  <c r="M167" i="2"/>
  <c r="M347" i="2"/>
  <c r="P350" i="2"/>
  <c r="M348" i="2"/>
  <c r="L408" i="2"/>
  <c r="O408" i="2" s="1"/>
  <c r="O410" i="2"/>
  <c r="I785" i="2"/>
  <c r="K785" i="2" s="1"/>
  <c r="K800" i="2"/>
  <c r="O269" i="2"/>
  <c r="L267" i="2"/>
  <c r="O267" i="2" s="1"/>
  <c r="O479" i="2"/>
  <c r="L477" i="2"/>
  <c r="O477" i="2" s="1"/>
  <c r="P49" i="2"/>
  <c r="M47" i="2"/>
  <c r="P47" i="2" s="1"/>
  <c r="P127" i="2"/>
  <c r="M125" i="2"/>
  <c r="P125" i="2" s="1"/>
  <c r="L171" i="2"/>
  <c r="O171" i="2" s="1"/>
  <c r="O173" i="2"/>
  <c r="M330" i="2"/>
  <c r="P333" i="2"/>
  <c r="M331" i="2"/>
  <c r="O353" i="2"/>
  <c r="L351" i="2"/>
  <c r="O351" i="2" s="1"/>
  <c r="J722" i="2"/>
  <c r="K722" i="2" s="1"/>
  <c r="N125" i="2"/>
  <c r="N121" i="2"/>
  <c r="N119" i="2" s="1"/>
  <c r="L228" i="2"/>
  <c r="P137" i="1"/>
  <c r="K699" i="1"/>
  <c r="K720" i="1"/>
  <c r="M121" i="2"/>
  <c r="P121" i="2" s="1"/>
  <c r="O264" i="2"/>
  <c r="N331" i="2"/>
  <c r="I190" i="2"/>
  <c r="K190" i="2" s="1"/>
  <c r="M334" i="2"/>
  <c r="P334" i="2" s="1"/>
  <c r="K672" i="2"/>
  <c r="O44" i="1"/>
  <c r="N263" i="1"/>
  <c r="N261" i="1" s="1"/>
  <c r="K293" i="1"/>
  <c r="K311" i="1"/>
  <c r="N134" i="2"/>
  <c r="N132" i="2" s="1"/>
  <c r="K360" i="2"/>
  <c r="L526" i="2"/>
  <c r="O526" i="2" s="1"/>
  <c r="K674" i="2"/>
  <c r="N279" i="2"/>
  <c r="N277" i="2" s="1"/>
  <c r="N280" i="2"/>
  <c r="O280" i="2" s="1"/>
  <c r="L405" i="2"/>
  <c r="O405" i="2" s="1"/>
  <c r="O407" i="2"/>
  <c r="L404" i="2"/>
  <c r="M56" i="2"/>
  <c r="P56" i="2" s="1"/>
  <c r="L72" i="2"/>
  <c r="O72" i="2" s="1"/>
  <c r="K146" i="2"/>
  <c r="K159" i="2"/>
  <c r="I148" i="2"/>
  <c r="K148" i="2" s="1"/>
  <c r="P306" i="2"/>
  <c r="M300" i="2"/>
  <c r="M298" i="2" s="1"/>
  <c r="P407" i="2"/>
  <c r="M404" i="2"/>
  <c r="P404" i="2" s="1"/>
  <c r="K628" i="2"/>
  <c r="K651" i="2"/>
  <c r="M134" i="1"/>
  <c r="M132" i="1" s="1"/>
  <c r="P140" i="1"/>
  <c r="J194" i="1"/>
  <c r="N43" i="2"/>
  <c r="N41" i="2" s="1"/>
  <c r="O58" i="2"/>
  <c r="M72" i="2"/>
  <c r="P72" i="2" s="1"/>
  <c r="L94" i="2"/>
  <c r="O94" i="2" s="1"/>
  <c r="O96" i="2"/>
  <c r="P137" i="2"/>
  <c r="M135" i="2"/>
  <c r="P135" i="2" s="1"/>
  <c r="M151" i="2"/>
  <c r="M149" i="2" s="1"/>
  <c r="M267" i="2"/>
  <c r="P267" i="2" s="1"/>
  <c r="L304" i="2"/>
  <c r="O304" i="2" s="1"/>
  <c r="K365" i="2"/>
  <c r="K378" i="2"/>
  <c r="O397" i="2"/>
  <c r="L395" i="2"/>
  <c r="O395" i="2" s="1"/>
  <c r="L454" i="1"/>
  <c r="O454" i="1" s="1"/>
  <c r="N167" i="1"/>
  <c r="N165" i="1" s="1"/>
  <c r="L231" i="1"/>
  <c r="J465" i="1"/>
  <c r="K465" i="1" s="1"/>
  <c r="J604" i="1"/>
  <c r="L632" i="1"/>
  <c r="O46" i="2"/>
  <c r="P58" i="2"/>
  <c r="L135" i="2"/>
  <c r="O135" i="2" s="1"/>
  <c r="L152" i="2"/>
  <c r="O152" i="2" s="1"/>
  <c r="M304" i="2"/>
  <c r="P304" i="2" s="1"/>
  <c r="K370" i="2"/>
  <c r="M391" i="2"/>
  <c r="P391" i="2" s="1"/>
  <c r="P394" i="2"/>
  <c r="M392" i="2"/>
  <c r="P392" i="2" s="1"/>
  <c r="M405" i="2"/>
  <c r="P405" i="2" s="1"/>
  <c r="J236" i="1"/>
  <c r="K291" i="1"/>
  <c r="M91" i="2"/>
  <c r="M90" i="2"/>
  <c r="M88" i="2" s="1"/>
  <c r="L121" i="2"/>
  <c r="O127" i="2"/>
  <c r="L125" i="2"/>
  <c r="O125" i="2" s="1"/>
  <c r="L263" i="2"/>
  <c r="L261" i="2" s="1"/>
  <c r="O266" i="2"/>
  <c r="O282" i="2"/>
  <c r="N392" i="2"/>
  <c r="N391" i="2"/>
  <c r="N389" i="2" s="1"/>
  <c r="L33" i="1"/>
  <c r="P336" i="1"/>
  <c r="K379" i="1"/>
  <c r="K643" i="1"/>
  <c r="L55" i="2"/>
  <c r="L53" i="2" s="1"/>
  <c r="L184" i="2"/>
  <c r="L183" i="2"/>
  <c r="L181" i="2" s="1"/>
  <c r="M263" i="2"/>
  <c r="P263" i="2" s="1"/>
  <c r="P266" i="2"/>
  <c r="M264" i="2"/>
  <c r="P264" i="2" s="1"/>
  <c r="P282" i="2"/>
  <c r="M279" i="2"/>
  <c r="L300" i="2"/>
  <c r="L298" i="2" s="1"/>
  <c r="O336" i="2"/>
  <c r="L334" i="2"/>
  <c r="O334" i="2" s="1"/>
  <c r="P353" i="2"/>
  <c r="M351" i="2"/>
  <c r="P351" i="2" s="1"/>
  <c r="K824" i="2"/>
  <c r="N23" i="2"/>
  <c r="N21" i="2" s="1"/>
  <c r="P152" i="2"/>
  <c r="K164" i="2"/>
  <c r="I233" i="2"/>
  <c r="K233" i="2" s="1"/>
  <c r="L229" i="2"/>
  <c r="J537" i="2"/>
  <c r="K537" i="2" s="1"/>
  <c r="O547" i="2"/>
  <c r="K649" i="2"/>
  <c r="L69" i="2"/>
  <c r="O69" i="2" s="1"/>
  <c r="K174" i="2"/>
  <c r="O350" i="2"/>
  <c r="L391" i="2"/>
  <c r="O391" i="2" s="1"/>
  <c r="L422" i="2"/>
  <c r="O422" i="2" s="1"/>
  <c r="I442" i="2"/>
  <c r="K442" i="2" s="1"/>
  <c r="I592" i="2"/>
  <c r="K592" i="2" s="1"/>
  <c r="K647" i="2"/>
  <c r="K825" i="2"/>
  <c r="N68" i="2"/>
  <c r="N66" i="2" s="1"/>
  <c r="L279" i="2"/>
  <c r="N317" i="2"/>
  <c r="N315" i="2" s="1"/>
  <c r="J327" i="2"/>
  <c r="K327" i="2" s="1"/>
  <c r="K369" i="2"/>
  <c r="N404" i="2"/>
  <c r="N402" i="2" s="1"/>
  <c r="K823" i="2"/>
  <c r="L198" i="2"/>
  <c r="O198" i="2" s="1"/>
  <c r="L209" i="2"/>
  <c r="O209" i="2" s="1"/>
  <c r="K338" i="2"/>
  <c r="K723" i="2"/>
  <c r="K821" i="2"/>
  <c r="K110" i="1"/>
  <c r="K159" i="1"/>
  <c r="P323" i="1"/>
  <c r="M321" i="1"/>
  <c r="P321" i="1" s="1"/>
  <c r="N15" i="2"/>
  <c r="P89" i="2"/>
  <c r="L91" i="2"/>
  <c r="O93" i="2"/>
  <c r="L90" i="2"/>
  <c r="P166" i="2"/>
  <c r="L168" i="2"/>
  <c r="O170" i="2"/>
  <c r="L167" i="2"/>
  <c r="L165" i="2" s="1"/>
  <c r="L36" i="1"/>
  <c r="P61" i="1"/>
  <c r="M90" i="1"/>
  <c r="M88" i="1" s="1"/>
  <c r="K103" i="1"/>
  <c r="K107" i="1"/>
  <c r="J112" i="1"/>
  <c r="M122" i="1"/>
  <c r="P122" i="1" s="1"/>
  <c r="N134" i="1"/>
  <c r="N132" i="1" s="1"/>
  <c r="O173" i="1"/>
  <c r="N19" i="2"/>
  <c r="I77" i="2"/>
  <c r="K79" i="2"/>
  <c r="L231" i="2"/>
  <c r="L238" i="2"/>
  <c r="L23" i="2"/>
  <c r="N29" i="2"/>
  <c r="N28" i="2" s="1"/>
  <c r="N31" i="2"/>
  <c r="N59" i="2"/>
  <c r="N26" i="2"/>
  <c r="N16" i="2" s="1"/>
  <c r="P61" i="2"/>
  <c r="N55" i="2"/>
  <c r="N53" i="2" s="1"/>
  <c r="O61" i="2"/>
  <c r="O133" i="2"/>
  <c r="O431" i="2"/>
  <c r="L421" i="2"/>
  <c r="L36" i="2"/>
  <c r="L34" i="2" s="1"/>
  <c r="O34" i="2" s="1"/>
  <c r="L429" i="2"/>
  <c r="O429" i="2" s="1"/>
  <c r="O49" i="2"/>
  <c r="L43" i="2"/>
  <c r="L26" i="2"/>
  <c r="P71" i="2"/>
  <c r="M68" i="2"/>
  <c r="P68" i="2" s="1"/>
  <c r="O182" i="2"/>
  <c r="O333" i="2"/>
  <c r="L330" i="2"/>
  <c r="L331" i="2"/>
  <c r="M94" i="1"/>
  <c r="P94" i="1" s="1"/>
  <c r="J100" i="1"/>
  <c r="K100" i="1" s="1"/>
  <c r="N138" i="1"/>
  <c r="P138" i="1" s="1"/>
  <c r="O71" i="1"/>
  <c r="N151" i="1"/>
  <c r="N149" i="1" s="1"/>
  <c r="K260" i="1"/>
  <c r="K294" i="1"/>
  <c r="O35" i="2"/>
  <c r="L29" i="2"/>
  <c r="L15" i="2"/>
  <c r="L47" i="2"/>
  <c r="O47" i="2" s="1"/>
  <c r="K224" i="2"/>
  <c r="I216" i="2"/>
  <c r="K216" i="2" s="1"/>
  <c r="P42" i="2"/>
  <c r="P189" i="2"/>
  <c r="M187" i="2"/>
  <c r="P187" i="2" s="1"/>
  <c r="N267" i="2"/>
  <c r="N263" i="2"/>
  <c r="K314" i="1"/>
  <c r="K378" i="1"/>
  <c r="I401" i="1"/>
  <c r="K401" i="1" s="1"/>
  <c r="K644" i="1"/>
  <c r="K728" i="1"/>
  <c r="K822" i="1"/>
  <c r="K828" i="1"/>
  <c r="M23" i="2"/>
  <c r="M30" i="2"/>
  <c r="P30" i="2" s="1"/>
  <c r="N91" i="2"/>
  <c r="P93" i="2"/>
  <c r="N168" i="2"/>
  <c r="P170" i="2"/>
  <c r="L217" i="2"/>
  <c r="O217" i="2" s="1"/>
  <c r="I260" i="2"/>
  <c r="K260" i="2" s="1"/>
  <c r="P299" i="2"/>
  <c r="K365" i="1"/>
  <c r="I434" i="1"/>
  <c r="I418" i="1" s="1"/>
  <c r="K542" i="1"/>
  <c r="K671" i="1"/>
  <c r="M15" i="2"/>
  <c r="M29" i="2"/>
  <c r="M44" i="2"/>
  <c r="P44" i="2" s="1"/>
  <c r="L68" i="2"/>
  <c r="N184" i="2"/>
  <c r="P186" i="2"/>
  <c r="O189" i="2"/>
  <c r="K225" i="2"/>
  <c r="L249" i="2"/>
  <c r="O249" i="2" s="1"/>
  <c r="P316" i="2"/>
  <c r="O456" i="2"/>
  <c r="L446" i="2"/>
  <c r="L454" i="2"/>
  <c r="O454" i="2" s="1"/>
  <c r="L533" i="2"/>
  <c r="O533" i="2" s="1"/>
  <c r="L525" i="2"/>
  <c r="O525" i="2" s="1"/>
  <c r="O535" i="2"/>
  <c r="K237" i="2"/>
  <c r="I226" i="2"/>
  <c r="K226" i="2" s="1"/>
  <c r="O303" i="2"/>
  <c r="N301" i="2"/>
  <c r="L318" i="2"/>
  <c r="O318" i="2" s="1"/>
  <c r="O320" i="2"/>
  <c r="L317" i="2"/>
  <c r="L315" i="2" s="1"/>
  <c r="N687" i="2"/>
  <c r="O687" i="2" s="1"/>
  <c r="N688" i="2"/>
  <c r="O690" i="2"/>
  <c r="J288" i="1"/>
  <c r="J275" i="1" s="1"/>
  <c r="K275" i="1" s="1"/>
  <c r="O306" i="1"/>
  <c r="K359" i="1"/>
  <c r="N449" i="1"/>
  <c r="N447" i="1" s="1"/>
  <c r="O447" i="1" s="1"/>
  <c r="L12" i="2"/>
  <c r="L19" i="2"/>
  <c r="M26" i="2"/>
  <c r="M43" i="2"/>
  <c r="K86" i="2"/>
  <c r="M94" i="2"/>
  <c r="P94" i="2" s="1"/>
  <c r="K98" i="2"/>
  <c r="L134" i="2"/>
  <c r="O134" i="2" s="1"/>
  <c r="N151" i="2"/>
  <c r="O154" i="2"/>
  <c r="M171" i="2"/>
  <c r="P171" i="2" s="1"/>
  <c r="M183" i="2"/>
  <c r="O186" i="2"/>
  <c r="P303" i="2"/>
  <c r="L321" i="2"/>
  <c r="O321" i="2" s="1"/>
  <c r="O323" i="2"/>
  <c r="J374" i="2"/>
  <c r="K381" i="2"/>
  <c r="K372" i="1"/>
  <c r="K483" i="1"/>
  <c r="I87" i="2"/>
  <c r="K87" i="2" s="1"/>
  <c r="K99" i="2"/>
  <c r="P154" i="2"/>
  <c r="O738" i="2"/>
  <c r="L737" i="2"/>
  <c r="O737" i="2" s="1"/>
  <c r="N523" i="2"/>
  <c r="P545" i="2"/>
  <c r="M544" i="2"/>
  <c r="P544" i="2" s="1"/>
  <c r="K725" i="2"/>
  <c r="O755" i="2"/>
  <c r="L754" i="2"/>
  <c r="O754" i="2" s="1"/>
  <c r="N786" i="2"/>
  <c r="I275" i="2"/>
  <c r="K275" i="2" s="1"/>
  <c r="L348" i="2"/>
  <c r="K355" i="2"/>
  <c r="K372" i="2"/>
  <c r="N544" i="2"/>
  <c r="N655" i="2"/>
  <c r="O771" i="2"/>
  <c r="L770" i="2"/>
  <c r="O770" i="2" s="1"/>
  <c r="L789" i="2"/>
  <c r="O789" i="2" s="1"/>
  <c r="O791" i="2"/>
  <c r="N807" i="2"/>
  <c r="N805" i="2" s="1"/>
  <c r="N808" i="2"/>
  <c r="P318" i="2"/>
  <c r="P320" i="2"/>
  <c r="K538" i="2"/>
  <c r="O641" i="2"/>
  <c r="L631" i="2"/>
  <c r="L469" i="2"/>
  <c r="O469" i="2" s="1"/>
  <c r="L555" i="2"/>
  <c r="O555" i="2" s="1"/>
  <c r="L685" i="2"/>
  <c r="M737" i="2"/>
  <c r="P737" i="2" s="1"/>
  <c r="M754" i="2"/>
  <c r="P754" i="2" s="1"/>
  <c r="M770" i="2"/>
  <c r="P770" i="2" s="1"/>
  <c r="L786" i="2"/>
  <c r="O786" i="2" s="1"/>
  <c r="L805" i="2"/>
  <c r="O805" i="2" s="1"/>
  <c r="J433" i="2"/>
  <c r="L546" i="2"/>
  <c r="J233" i="1"/>
  <c r="O410" i="1"/>
  <c r="L408" i="1"/>
  <c r="O408" i="1" s="1"/>
  <c r="M23" i="1"/>
  <c r="M21" i="1" s="1"/>
  <c r="P157" i="1"/>
  <c r="L198" i="1"/>
  <c r="J235" i="1"/>
  <c r="M69" i="1"/>
  <c r="P69" i="1" s="1"/>
  <c r="L47" i="1"/>
  <c r="O47" i="1" s="1"/>
  <c r="P71" i="1"/>
  <c r="K109" i="1"/>
  <c r="M135" i="1"/>
  <c r="P135" i="1" s="1"/>
  <c r="K290" i="1"/>
  <c r="K439" i="1"/>
  <c r="M183" i="1"/>
  <c r="M181" i="1" s="1"/>
  <c r="O191" i="1"/>
  <c r="N68" i="1"/>
  <c r="N66" i="1" s="1"/>
  <c r="I77" i="1"/>
  <c r="I65" i="1" s="1"/>
  <c r="N198" i="1"/>
  <c r="K257" i="1"/>
  <c r="M280" i="1"/>
  <c r="P280" i="1" s="1"/>
  <c r="M279" i="1"/>
  <c r="M277" i="1" s="1"/>
  <c r="L279" i="1"/>
  <c r="L277" i="1" s="1"/>
  <c r="O280" i="1"/>
  <c r="K325" i="1"/>
  <c r="K340" i="1"/>
  <c r="M347" i="1"/>
  <c r="M345" i="1" s="1"/>
  <c r="K374" i="1"/>
  <c r="K381" i="1"/>
  <c r="I388" i="1"/>
  <c r="K388" i="1" s="1"/>
  <c r="K487" i="1"/>
  <c r="K492" i="1"/>
  <c r="J701" i="1"/>
  <c r="K701" i="1" s="1"/>
  <c r="J583" i="1"/>
  <c r="J577" i="1" s="1"/>
  <c r="K577" i="1" s="1"/>
  <c r="N690" i="1"/>
  <c r="N687" i="1" s="1"/>
  <c r="N685" i="1" s="1"/>
  <c r="O318" i="1"/>
  <c r="M330" i="1"/>
  <c r="M328" i="1" s="1"/>
  <c r="K369" i="1"/>
  <c r="J364" i="1"/>
  <c r="J675" i="1"/>
  <c r="J669" i="1" s="1"/>
  <c r="J654" i="1" s="1"/>
  <c r="K246" i="1"/>
  <c r="K258" i="1"/>
  <c r="K297" i="1"/>
  <c r="P320" i="1"/>
  <c r="M334" i="1"/>
  <c r="P334" i="1" s="1"/>
  <c r="J434" i="1"/>
  <c r="J418" i="1" s="1"/>
  <c r="K489" i="1"/>
  <c r="K541" i="1"/>
  <c r="J603" i="1"/>
  <c r="L658" i="1"/>
  <c r="K700" i="1"/>
  <c r="J708" i="1"/>
  <c r="K708" i="1" s="1"/>
  <c r="P318" i="1"/>
  <c r="N317" i="1"/>
  <c r="N315" i="1" s="1"/>
  <c r="L395" i="1"/>
  <c r="O395" i="1" s="1"/>
  <c r="N472" i="1"/>
  <c r="O472" i="1" s="1"/>
  <c r="K485" i="1"/>
  <c r="N528" i="1"/>
  <c r="O528" i="1" s="1"/>
  <c r="K647" i="1"/>
  <c r="K823" i="1"/>
  <c r="K826" i="1"/>
  <c r="N91" i="1"/>
  <c r="O91" i="1" s="1"/>
  <c r="P93" i="1"/>
  <c r="N90" i="1"/>
  <c r="N88" i="1" s="1"/>
  <c r="L68" i="1"/>
  <c r="L66" i="1" s="1"/>
  <c r="L69" i="1"/>
  <c r="O69" i="1" s="1"/>
  <c r="N217" i="1"/>
  <c r="I248" i="1"/>
  <c r="K248" i="1" s="1"/>
  <c r="K255" i="1"/>
  <c r="M301" i="1"/>
  <c r="M300" i="1"/>
  <c r="M298" i="1" s="1"/>
  <c r="M55" i="1"/>
  <c r="M53" i="1" s="1"/>
  <c r="M56" i="1"/>
  <c r="P56" i="1" s="1"/>
  <c r="P127" i="1"/>
  <c r="M125" i="1"/>
  <c r="P125" i="1" s="1"/>
  <c r="P32" i="1"/>
  <c r="P46" i="1"/>
  <c r="M44" i="1"/>
  <c r="P44" i="1" s="1"/>
  <c r="J327" i="1"/>
  <c r="K327" i="1" s="1"/>
  <c r="L392" i="1"/>
  <c r="O392" i="1" s="1"/>
  <c r="L391" i="1"/>
  <c r="O391" i="1" s="1"/>
  <c r="M26" i="1"/>
  <c r="M24" i="1" s="1"/>
  <c r="M47" i="1"/>
  <c r="P47" i="1" s="1"/>
  <c r="M43" i="1"/>
  <c r="M41" i="1" s="1"/>
  <c r="I76" i="1"/>
  <c r="I64" i="1" s="1"/>
  <c r="K174" i="1"/>
  <c r="I164" i="1"/>
  <c r="P49" i="1"/>
  <c r="L167" i="1"/>
  <c r="L168" i="1"/>
  <c r="O168" i="1" s="1"/>
  <c r="N184" i="1"/>
  <c r="O184" i="1" s="1"/>
  <c r="N183" i="1"/>
  <c r="N181" i="1" s="1"/>
  <c r="I190" i="1"/>
  <c r="K190" i="1" s="1"/>
  <c r="K193" i="1"/>
  <c r="K276" i="1"/>
  <c r="K287" i="1"/>
  <c r="N321" i="1"/>
  <c r="O350" i="1"/>
  <c r="L348" i="1"/>
  <c r="L405" i="1"/>
  <c r="O405" i="1" s="1"/>
  <c r="L404" i="1"/>
  <c r="O404" i="1" s="1"/>
  <c r="K114" i="1"/>
  <c r="J111" i="1"/>
  <c r="K111" i="1" s="1"/>
  <c r="O74" i="1"/>
  <c r="K83" i="1"/>
  <c r="N121" i="1"/>
  <c r="N119" i="1" s="1"/>
  <c r="N122" i="1"/>
  <c r="O170" i="1"/>
  <c r="N230" i="1"/>
  <c r="N264" i="1"/>
  <c r="O264" i="1" s="1"/>
  <c r="K271" i="1"/>
  <c r="N331" i="1"/>
  <c r="P331" i="1" s="1"/>
  <c r="P333" i="1"/>
  <c r="N330" i="1"/>
  <c r="P351" i="1"/>
  <c r="K116" i="1"/>
  <c r="O135" i="1"/>
  <c r="P168" i="1"/>
  <c r="P186" i="1"/>
  <c r="P266" i="1"/>
  <c r="L300" i="1"/>
  <c r="L298" i="1" s="1"/>
  <c r="O351" i="1"/>
  <c r="K370" i="1"/>
  <c r="K435" i="1"/>
  <c r="J466" i="1"/>
  <c r="K466" i="1" s="1"/>
  <c r="J568" i="1"/>
  <c r="K568" i="1" s="1"/>
  <c r="J596" i="1"/>
  <c r="N634" i="1"/>
  <c r="O634" i="1" s="1"/>
  <c r="M72" i="1"/>
  <c r="P72" i="1" s="1"/>
  <c r="K81" i="1"/>
  <c r="K86" i="1"/>
  <c r="K102" i="1"/>
  <c r="O127" i="1"/>
  <c r="M187" i="1"/>
  <c r="P187" i="1" s="1"/>
  <c r="K310" i="1"/>
  <c r="P353" i="1"/>
  <c r="J561" i="1"/>
  <c r="K561" i="1" s="1"/>
  <c r="J595" i="1"/>
  <c r="J620" i="1"/>
  <c r="K670" i="1"/>
  <c r="J729" i="1"/>
  <c r="K729" i="1" s="1"/>
  <c r="L55" i="1"/>
  <c r="L53" i="1" s="1"/>
  <c r="O56" i="1"/>
  <c r="N26" i="1"/>
  <c r="N16" i="1" s="1"/>
  <c r="K79" i="1"/>
  <c r="J76" i="1"/>
  <c r="J64" i="1" s="1"/>
  <c r="O93" i="1"/>
  <c r="I112" i="1"/>
  <c r="J143" i="1"/>
  <c r="J131" i="1" s="1"/>
  <c r="M151" i="1"/>
  <c r="L209" i="1"/>
  <c r="K214" i="1"/>
  <c r="L217" i="1"/>
  <c r="K223" i="1"/>
  <c r="I235" i="1"/>
  <c r="L263" i="1"/>
  <c r="L261" i="1" s="1"/>
  <c r="O285" i="1"/>
  <c r="P306" i="1"/>
  <c r="O333" i="1"/>
  <c r="O334" i="1"/>
  <c r="K360" i="1"/>
  <c r="K437" i="1"/>
  <c r="K440" i="1"/>
  <c r="K538" i="1"/>
  <c r="N549" i="1"/>
  <c r="N546" i="1" s="1"/>
  <c r="N544" i="1" s="1"/>
  <c r="J569" i="1"/>
  <c r="K569" i="1" s="1"/>
  <c r="K649" i="1"/>
  <c r="N660" i="1"/>
  <c r="N658" i="1" s="1"/>
  <c r="J722" i="1"/>
  <c r="K722" i="1" s="1"/>
  <c r="K824" i="1"/>
  <c r="K827" i="1"/>
  <c r="L43" i="1"/>
  <c r="L41" i="1" s="1"/>
  <c r="L23" i="1"/>
  <c r="N59" i="1"/>
  <c r="O59" i="1" s="1"/>
  <c r="K80" i="1"/>
  <c r="K145" i="1"/>
  <c r="N209" i="1"/>
  <c r="N238" i="1"/>
  <c r="N231" i="1"/>
  <c r="N424" i="1"/>
  <c r="N421" i="1" s="1"/>
  <c r="N419" i="1" s="1"/>
  <c r="J560" i="1"/>
  <c r="K560" i="1" s="1"/>
  <c r="K726" i="1"/>
  <c r="O12" i="1"/>
  <c r="L9" i="1"/>
  <c r="P19" i="1"/>
  <c r="L19" i="1"/>
  <c r="O22" i="1"/>
  <c r="K99" i="1"/>
  <c r="J87" i="1"/>
  <c r="K87" i="1" s="1"/>
  <c r="I237" i="1"/>
  <c r="K244" i="1"/>
  <c r="I233" i="1"/>
  <c r="N249" i="1"/>
  <c r="N228" i="1"/>
  <c r="O303" i="1"/>
  <c r="N300" i="1"/>
  <c r="P303" i="1"/>
  <c r="O320" i="1"/>
  <c r="N773" i="1"/>
  <c r="N772" i="1"/>
  <c r="N770" i="1" s="1"/>
  <c r="O787" i="1"/>
  <c r="M12" i="1"/>
  <c r="N19" i="1"/>
  <c r="N23" i="1"/>
  <c r="M30" i="1"/>
  <c r="P30" i="1" s="1"/>
  <c r="L26" i="1"/>
  <c r="O58" i="1"/>
  <c r="K78" i="1"/>
  <c r="K104" i="1"/>
  <c r="L121" i="1"/>
  <c r="L119" i="1" s="1"/>
  <c r="O124" i="1"/>
  <c r="O125" i="1"/>
  <c r="O140" i="1"/>
  <c r="L249" i="1"/>
  <c r="M267" i="1"/>
  <c r="P267" i="1" s="1"/>
  <c r="P269" i="1"/>
  <c r="N301" i="1"/>
  <c r="O301" i="1" s="1"/>
  <c r="L317" i="1"/>
  <c r="L90" i="1"/>
  <c r="L229" i="1"/>
  <c r="L238" i="1"/>
  <c r="N55" i="1"/>
  <c r="M59" i="1"/>
  <c r="K106" i="1"/>
  <c r="M121" i="1"/>
  <c r="L134" i="1"/>
  <c r="P173" i="1"/>
  <c r="L230" i="1"/>
  <c r="M29" i="1"/>
  <c r="O96" i="1"/>
  <c r="K146" i="1"/>
  <c r="I130" i="1"/>
  <c r="K130" i="1" s="1"/>
  <c r="P154" i="1"/>
  <c r="O154" i="1"/>
  <c r="N152" i="1"/>
  <c r="P545" i="1"/>
  <c r="M544" i="1"/>
  <c r="P544" i="1" s="1"/>
  <c r="K84" i="1"/>
  <c r="K113" i="1"/>
  <c r="O120" i="1"/>
  <c r="I131" i="1"/>
  <c r="O157" i="1"/>
  <c r="L151" i="1"/>
  <c r="O316" i="1"/>
  <c r="J355" i="1"/>
  <c r="K355" i="1" s="1"/>
  <c r="K362" i="1"/>
  <c r="O503" i="1"/>
  <c r="L502" i="1"/>
  <c r="O502" i="1" s="1"/>
  <c r="O137" i="1"/>
  <c r="L187" i="1"/>
  <c r="O187" i="1" s="1"/>
  <c r="L183" i="1"/>
  <c r="O323" i="1"/>
  <c r="M15" i="1"/>
  <c r="N15" i="1"/>
  <c r="M34" i="1"/>
  <c r="P34" i="1" s="1"/>
  <c r="N43" i="1"/>
  <c r="N41" i="1" s="1"/>
  <c r="O46" i="1"/>
  <c r="P58" i="1"/>
  <c r="O61" i="1"/>
  <c r="J77" i="1"/>
  <c r="K82" i="1"/>
  <c r="K148" i="1"/>
  <c r="J208" i="1"/>
  <c r="K208" i="1" s="1"/>
  <c r="K215" i="1"/>
  <c r="K247" i="1"/>
  <c r="I236" i="1"/>
  <c r="P282" i="1"/>
  <c r="N279" i="1"/>
  <c r="N277" i="1" s="1"/>
  <c r="O336" i="1"/>
  <c r="K672" i="1"/>
  <c r="K674" i="1"/>
  <c r="I654" i="1"/>
  <c r="K673" i="1"/>
  <c r="K723" i="1"/>
  <c r="J721" i="1"/>
  <c r="K721" i="1" s="1"/>
  <c r="K98" i="1"/>
  <c r="K115" i="1"/>
  <c r="M167" i="1"/>
  <c r="P285" i="1"/>
  <c r="O299" i="1"/>
  <c r="M317" i="1"/>
  <c r="P407" i="1"/>
  <c r="M405" i="1"/>
  <c r="P405" i="1" s="1"/>
  <c r="M404" i="1"/>
  <c r="P404" i="1" s="1"/>
  <c r="P421" i="1"/>
  <c r="M419" i="1"/>
  <c r="L421" i="1"/>
  <c r="J628" i="1"/>
  <c r="K628" i="1" s="1"/>
  <c r="K651" i="1"/>
  <c r="M770" i="1"/>
  <c r="P770" i="1" s="1"/>
  <c r="P771" i="1"/>
  <c r="I785" i="1"/>
  <c r="K785" i="1" s="1"/>
  <c r="K800" i="1"/>
  <c r="P170" i="1"/>
  <c r="K224" i="1"/>
  <c r="I216" i="1"/>
  <c r="K216" i="1" s="1"/>
  <c r="M263" i="1"/>
  <c r="P278" i="1"/>
  <c r="K309" i="1"/>
  <c r="K312" i="1"/>
  <c r="K338" i="1"/>
  <c r="O353" i="1"/>
  <c r="P390" i="1"/>
  <c r="N404" i="1"/>
  <c r="N402" i="1" s="1"/>
  <c r="L422" i="1"/>
  <c r="I443" i="1"/>
  <c r="K443" i="1" s="1"/>
  <c r="K462" i="1"/>
  <c r="N791" i="1"/>
  <c r="J164" i="1"/>
  <c r="K225" i="1"/>
  <c r="P262" i="1"/>
  <c r="P394" i="1"/>
  <c r="M392" i="1"/>
  <c r="P392" i="1" s="1"/>
  <c r="M391" i="1"/>
  <c r="P391" i="1" s="1"/>
  <c r="J537" i="1"/>
  <c r="K176" i="1"/>
  <c r="O186" i="1"/>
  <c r="K204" i="1"/>
  <c r="P299" i="1"/>
  <c r="N347" i="1"/>
  <c r="N348" i="1"/>
  <c r="N391" i="1"/>
  <c r="N389" i="1" s="1"/>
  <c r="P403" i="1"/>
  <c r="I559" i="1"/>
  <c r="L655" i="1"/>
  <c r="O656" i="1"/>
  <c r="L770" i="1"/>
  <c r="O770" i="1" s="1"/>
  <c r="P445" i="1"/>
  <c r="M444" i="1"/>
  <c r="P444" i="1" s="1"/>
  <c r="K498" i="1"/>
  <c r="M502" i="1"/>
  <c r="P502" i="1" s="1"/>
  <c r="L547" i="1"/>
  <c r="O557" i="1"/>
  <c r="L555" i="1"/>
  <c r="O555" i="1" s="1"/>
  <c r="P630" i="1"/>
  <c r="M629" i="1"/>
  <c r="P629" i="1" s="1"/>
  <c r="O686" i="1"/>
  <c r="O266" i="1"/>
  <c r="O269" i="1"/>
  <c r="O282" i="1"/>
  <c r="L347" i="1"/>
  <c r="P350" i="1"/>
  <c r="O431" i="1"/>
  <c r="K438" i="1"/>
  <c r="J679" i="1"/>
  <c r="J678" i="1" s="1"/>
  <c r="M685" i="1"/>
  <c r="P685" i="1" s="1"/>
  <c r="K725" i="1"/>
  <c r="M754" i="1"/>
  <c r="P754" i="1" s="1"/>
  <c r="P755" i="1"/>
  <c r="O806" i="1"/>
  <c r="L805" i="1"/>
  <c r="O805" i="1" s="1"/>
  <c r="K821" i="1"/>
  <c r="I364" i="1"/>
  <c r="M395" i="1"/>
  <c r="P395" i="1" s="1"/>
  <c r="M408" i="1"/>
  <c r="P408" i="1" s="1"/>
  <c r="K433" i="1"/>
  <c r="I417" i="1"/>
  <c r="K417" i="1" s="1"/>
  <c r="L446" i="1"/>
  <c r="O468" i="1"/>
  <c r="O479" i="1"/>
  <c r="L477" i="1"/>
  <c r="O477" i="1" s="1"/>
  <c r="L469" i="1"/>
  <c r="L467" i="1" s="1"/>
  <c r="O524" i="1"/>
  <c r="L533" i="1"/>
  <c r="O533" i="1" s="1"/>
  <c r="L525" i="1"/>
  <c r="L523" i="1" s="1"/>
  <c r="O535" i="1"/>
  <c r="J582" i="1"/>
  <c r="J576" i="1" s="1"/>
  <c r="J621" i="1"/>
  <c r="M737" i="1"/>
  <c r="P737" i="1" s="1"/>
  <c r="P738" i="1"/>
  <c r="M786" i="1"/>
  <c r="P786" i="1" s="1"/>
  <c r="N805" i="1"/>
  <c r="K825" i="1"/>
  <c r="K385" i="1"/>
  <c r="I442" i="1"/>
  <c r="K442" i="1" s="1"/>
  <c r="N502" i="1"/>
  <c r="N737" i="1"/>
  <c r="L687" i="1"/>
  <c r="N31" i="5" l="1"/>
  <c r="M28" i="5"/>
  <c r="P28" i="5" s="1"/>
  <c r="N414" i="5"/>
  <c r="N31" i="7"/>
  <c r="N30" i="7"/>
  <c r="N28" i="7" s="1"/>
  <c r="N414" i="7"/>
  <c r="L9" i="7"/>
  <c r="O9" i="7" s="1"/>
  <c r="O657" i="19"/>
  <c r="O345" i="22"/>
  <c r="N31" i="11"/>
  <c r="O31" i="11" s="1"/>
  <c r="N28" i="11"/>
  <c r="M28" i="11"/>
  <c r="P28" i="11" s="1"/>
  <c r="N414" i="11"/>
  <c r="N31" i="15"/>
  <c r="P121" i="5"/>
  <c r="O12" i="19"/>
  <c r="L9" i="19"/>
  <c r="O9" i="19" s="1"/>
  <c r="P91" i="22"/>
  <c r="M261" i="21"/>
  <c r="P261" i="21" s="1"/>
  <c r="P90" i="17"/>
  <c r="P279" i="18"/>
  <c r="O261" i="19"/>
  <c r="O347" i="22"/>
  <c r="O53" i="22"/>
  <c r="O68" i="18"/>
  <c r="P298" i="21"/>
  <c r="I64" i="2"/>
  <c r="K64" i="2" s="1"/>
  <c r="M315" i="19"/>
  <c r="P315" i="19" s="1"/>
  <c r="L523" i="21"/>
  <c r="O523" i="21" s="1"/>
  <c r="P301" i="21"/>
  <c r="P88" i="22"/>
  <c r="K275" i="16"/>
  <c r="P167" i="13"/>
  <c r="L315" i="14"/>
  <c r="O315" i="14" s="1"/>
  <c r="P41" i="18"/>
  <c r="P90" i="21"/>
  <c r="L786" i="22"/>
  <c r="O786" i="22" s="1"/>
  <c r="O88" i="17"/>
  <c r="P300" i="21"/>
  <c r="O300" i="21"/>
  <c r="O168" i="21"/>
  <c r="O391" i="22"/>
  <c r="O298" i="21"/>
  <c r="O90" i="17"/>
  <c r="O165" i="17"/>
  <c r="M261" i="19"/>
  <c r="P261" i="19" s="1"/>
  <c r="P90" i="22"/>
  <c r="M119" i="19"/>
  <c r="P119" i="19" s="1"/>
  <c r="P263" i="22"/>
  <c r="O263" i="21"/>
  <c r="O55" i="22"/>
  <c r="P315" i="18"/>
  <c r="P55" i="8"/>
  <c r="P53" i="22"/>
  <c r="O317" i="18"/>
  <c r="O33" i="22"/>
  <c r="K174" i="22"/>
  <c r="P149" i="21"/>
  <c r="O151" i="19"/>
  <c r="O318" i="18"/>
  <c r="L444" i="21"/>
  <c r="O444" i="21" s="1"/>
  <c r="M389" i="22"/>
  <c r="P389" i="22" s="1"/>
  <c r="M165" i="22"/>
  <c r="P165" i="22" s="1"/>
  <c r="P279" i="21"/>
  <c r="L315" i="22"/>
  <c r="O315" i="22" s="1"/>
  <c r="M16" i="22"/>
  <c r="P16" i="22" s="1"/>
  <c r="L298" i="22"/>
  <c r="O298" i="22" s="1"/>
  <c r="O469" i="17"/>
  <c r="P348" i="20"/>
  <c r="L402" i="20"/>
  <c r="O402" i="20" s="1"/>
  <c r="O55" i="21"/>
  <c r="O43" i="18"/>
  <c r="O43" i="21"/>
  <c r="L544" i="22"/>
  <c r="O544" i="22" s="1"/>
  <c r="P347" i="22"/>
  <c r="P90" i="14"/>
  <c r="O167" i="20"/>
  <c r="L786" i="21"/>
  <c r="O786" i="21" s="1"/>
  <c r="O301" i="21"/>
  <c r="P151" i="22"/>
  <c r="O347" i="10"/>
  <c r="O43" i="12"/>
  <c r="M149" i="15"/>
  <c r="P149" i="15" s="1"/>
  <c r="P151" i="19"/>
  <c r="O151" i="22"/>
  <c r="L467" i="22"/>
  <c r="O467" i="22" s="1"/>
  <c r="L315" i="13"/>
  <c r="O315" i="13" s="1"/>
  <c r="P183" i="14"/>
  <c r="L31" i="19"/>
  <c r="O31" i="19" s="1"/>
  <c r="O149" i="21"/>
  <c r="P345" i="14"/>
  <c r="O167" i="15"/>
  <c r="P167" i="15"/>
  <c r="L685" i="18"/>
  <c r="O685" i="18" s="1"/>
  <c r="I418" i="19"/>
  <c r="K418" i="19" s="1"/>
  <c r="O33" i="21"/>
  <c r="P59" i="21"/>
  <c r="L227" i="22"/>
  <c r="O53" i="13"/>
  <c r="P134" i="22"/>
  <c r="P68" i="17"/>
  <c r="O546" i="20"/>
  <c r="P55" i="22"/>
  <c r="M315" i="22"/>
  <c r="P315" i="22" s="1"/>
  <c r="P151" i="16"/>
  <c r="M66" i="16"/>
  <c r="P66" i="16" s="1"/>
  <c r="P183" i="20"/>
  <c r="P55" i="13"/>
  <c r="L132" i="21"/>
  <c r="O132" i="21" s="1"/>
  <c r="P181" i="21"/>
  <c r="P181" i="22"/>
  <c r="I418" i="20"/>
  <c r="K418" i="20" s="1"/>
  <c r="O544" i="20"/>
  <c r="M298" i="20"/>
  <c r="P298" i="20" s="1"/>
  <c r="O347" i="20"/>
  <c r="L119" i="21"/>
  <c r="O119" i="21" s="1"/>
  <c r="P183" i="21"/>
  <c r="O657" i="22"/>
  <c r="L34" i="13"/>
  <c r="O34" i="13" s="1"/>
  <c r="O347" i="18"/>
  <c r="O345" i="20"/>
  <c r="P43" i="20"/>
  <c r="K364" i="21"/>
  <c r="P23" i="21"/>
  <c r="I543" i="20"/>
  <c r="K543" i="20" s="1"/>
  <c r="P151" i="21"/>
  <c r="L132" i="22"/>
  <c r="O132" i="22" s="1"/>
  <c r="P261" i="22"/>
  <c r="L402" i="22"/>
  <c r="O402" i="22" s="1"/>
  <c r="P345" i="21"/>
  <c r="K434" i="21"/>
  <c r="O261" i="22"/>
  <c r="I180" i="22"/>
  <c r="K180" i="22" s="1"/>
  <c r="P121" i="22"/>
  <c r="P43" i="22"/>
  <c r="M21" i="21"/>
  <c r="P21" i="21" s="1"/>
  <c r="O43" i="22"/>
  <c r="M402" i="22"/>
  <c r="P402" i="22" s="1"/>
  <c r="P279" i="17"/>
  <c r="O446" i="22"/>
  <c r="M66" i="22"/>
  <c r="P66" i="22" s="1"/>
  <c r="L132" i="11"/>
  <c r="O132" i="11" s="1"/>
  <c r="K77" i="15"/>
  <c r="N66" i="18"/>
  <c r="O66" i="18" s="1"/>
  <c r="M389" i="19"/>
  <c r="P389" i="19" s="1"/>
  <c r="M132" i="21"/>
  <c r="P132" i="21" s="1"/>
  <c r="L34" i="22"/>
  <c r="O34" i="22" s="1"/>
  <c r="O36" i="22"/>
  <c r="K433" i="22"/>
  <c r="I417" i="22"/>
  <c r="K417" i="22" s="1"/>
  <c r="L119" i="15"/>
  <c r="O119" i="15" s="1"/>
  <c r="L389" i="19"/>
  <c r="O389" i="19" s="1"/>
  <c r="L34" i="20"/>
  <c r="O34" i="20" s="1"/>
  <c r="M277" i="20"/>
  <c r="P277" i="20" s="1"/>
  <c r="O263" i="20"/>
  <c r="O33" i="20"/>
  <c r="P348" i="21"/>
  <c r="L402" i="21"/>
  <c r="O402" i="21" s="1"/>
  <c r="O655" i="22"/>
  <c r="P56" i="22"/>
  <c r="P183" i="22"/>
  <c r="M16" i="18"/>
  <c r="P16" i="18" s="1"/>
  <c r="P90" i="18"/>
  <c r="K77" i="21"/>
  <c r="P168" i="21"/>
  <c r="L629" i="22"/>
  <c r="O629" i="22" s="1"/>
  <c r="L66" i="22"/>
  <c r="O66" i="22" s="1"/>
  <c r="P279" i="22"/>
  <c r="M277" i="22"/>
  <c r="P277" i="22" s="1"/>
  <c r="M402" i="11"/>
  <c r="P402" i="11" s="1"/>
  <c r="P167" i="17"/>
  <c r="O167" i="17"/>
  <c r="M66" i="20"/>
  <c r="P66" i="20" s="1"/>
  <c r="O279" i="21"/>
  <c r="O347" i="21"/>
  <c r="P345" i="22"/>
  <c r="L523" i="16"/>
  <c r="O523" i="16" s="1"/>
  <c r="O183" i="18"/>
  <c r="O168" i="18"/>
  <c r="O167" i="19"/>
  <c r="L389" i="20"/>
  <c r="O389" i="20" s="1"/>
  <c r="O345" i="21"/>
  <c r="O263" i="22"/>
  <c r="L30" i="22"/>
  <c r="O421" i="22"/>
  <c r="L419" i="22"/>
  <c r="O351" i="22"/>
  <c r="P351" i="22"/>
  <c r="P330" i="22"/>
  <c r="O330" i="22"/>
  <c r="P331" i="22"/>
  <c r="O331" i="22"/>
  <c r="O90" i="22"/>
  <c r="L88" i="22"/>
  <c r="O88" i="22" s="1"/>
  <c r="P15" i="22"/>
  <c r="O263" i="19"/>
  <c r="P331" i="21"/>
  <c r="O330" i="21"/>
  <c r="I543" i="22"/>
  <c r="K543" i="22" s="1"/>
  <c r="K559" i="22"/>
  <c r="O26" i="22"/>
  <c r="L24" i="22"/>
  <c r="L16" i="22"/>
  <c r="K77" i="22"/>
  <c r="I65" i="22"/>
  <c r="K65" i="22" s="1"/>
  <c r="M9" i="22"/>
  <c r="P26" i="22"/>
  <c r="O687" i="22"/>
  <c r="L685" i="22"/>
  <c r="O685" i="22" s="1"/>
  <c r="P545" i="22"/>
  <c r="M544" i="22"/>
  <c r="N13" i="22"/>
  <c r="N20" i="22"/>
  <c r="N18" i="22" s="1"/>
  <c r="O41" i="22"/>
  <c r="O183" i="8"/>
  <c r="O525" i="22"/>
  <c r="L523" i="22"/>
  <c r="O523" i="22" s="1"/>
  <c r="N328" i="22"/>
  <c r="O19" i="22"/>
  <c r="P348" i="22"/>
  <c r="O348" i="22"/>
  <c r="P41" i="22"/>
  <c r="M261" i="15"/>
  <c r="P261" i="15" s="1"/>
  <c r="P53" i="19"/>
  <c r="K433" i="19"/>
  <c r="P43" i="21"/>
  <c r="P88" i="21"/>
  <c r="L119" i="22"/>
  <c r="O119" i="22" s="1"/>
  <c r="O121" i="22"/>
  <c r="L277" i="22"/>
  <c r="O277" i="22" s="1"/>
  <c r="P23" i="22"/>
  <c r="M20" i="22"/>
  <c r="M13" i="22"/>
  <c r="L165" i="22"/>
  <c r="O165" i="22" s="1"/>
  <c r="N24" i="22"/>
  <c r="P24" i="22" s="1"/>
  <c r="I418" i="22"/>
  <c r="K418" i="22" s="1"/>
  <c r="K434" i="22"/>
  <c r="N444" i="22"/>
  <c r="N21" i="22"/>
  <c r="P21" i="22" s="1"/>
  <c r="P19" i="22"/>
  <c r="O183" i="22"/>
  <c r="L181" i="22"/>
  <c r="O181" i="22" s="1"/>
  <c r="M298" i="22"/>
  <c r="P298" i="22" s="1"/>
  <c r="I64" i="22"/>
  <c r="K64" i="22" s="1"/>
  <c r="K76" i="22"/>
  <c r="L21" i="22"/>
  <c r="O23" i="22"/>
  <c r="L13" i="22"/>
  <c r="L20" i="22"/>
  <c r="P55" i="21"/>
  <c r="L16" i="21"/>
  <c r="O16" i="21" s="1"/>
  <c r="K559" i="16"/>
  <c r="M402" i="21"/>
  <c r="P402" i="21" s="1"/>
  <c r="L227" i="21"/>
  <c r="P328" i="14"/>
  <c r="I64" i="15"/>
  <c r="K64" i="15" s="1"/>
  <c r="O263" i="17"/>
  <c r="P26" i="21"/>
  <c r="O165" i="21"/>
  <c r="P69" i="21"/>
  <c r="O347" i="14"/>
  <c r="L685" i="17"/>
  <c r="O685" i="17" s="1"/>
  <c r="L149" i="20"/>
  <c r="O149" i="20" s="1"/>
  <c r="L119" i="20"/>
  <c r="O119" i="20" s="1"/>
  <c r="M24" i="21"/>
  <c r="M20" i="21"/>
  <c r="M18" i="21" s="1"/>
  <c r="L30" i="21"/>
  <c r="L28" i="21" s="1"/>
  <c r="L629" i="20"/>
  <c r="O629" i="20" s="1"/>
  <c r="O300" i="19"/>
  <c r="L419" i="20"/>
  <c r="O419" i="20" s="1"/>
  <c r="P331" i="20"/>
  <c r="L315" i="20"/>
  <c r="O315" i="20" s="1"/>
  <c r="N24" i="20"/>
  <c r="O24" i="20" s="1"/>
  <c r="K275" i="21"/>
  <c r="O68" i="21"/>
  <c r="N20" i="21"/>
  <c r="N18" i="21" s="1"/>
  <c r="O91" i="21"/>
  <c r="L149" i="19"/>
  <c r="O149" i="19" s="1"/>
  <c r="O69" i="18"/>
  <c r="O183" i="20"/>
  <c r="O21" i="21"/>
  <c r="I226" i="21"/>
  <c r="K226" i="21" s="1"/>
  <c r="O261" i="16"/>
  <c r="P330" i="18"/>
  <c r="P69" i="18"/>
  <c r="O330" i="20"/>
  <c r="O151" i="21"/>
  <c r="L88" i="21"/>
  <c r="O88" i="21" s="1"/>
  <c r="O90" i="21"/>
  <c r="L389" i="11"/>
  <c r="O389" i="11" s="1"/>
  <c r="L315" i="8"/>
  <c r="O315" i="8" s="1"/>
  <c r="O151" i="14"/>
  <c r="O687" i="16"/>
  <c r="P184" i="18"/>
  <c r="M149" i="20"/>
  <c r="P149" i="20" s="1"/>
  <c r="N328" i="21"/>
  <c r="O328" i="21" s="1"/>
  <c r="L389" i="21"/>
  <c r="O389" i="21" s="1"/>
  <c r="M41" i="21"/>
  <c r="P41" i="21" s="1"/>
  <c r="O26" i="21"/>
  <c r="M119" i="21"/>
  <c r="P119" i="21" s="1"/>
  <c r="L181" i="21"/>
  <c r="O181" i="21" s="1"/>
  <c r="O183" i="21"/>
  <c r="K174" i="21"/>
  <c r="I164" i="21"/>
  <c r="K164" i="21" s="1"/>
  <c r="O183" i="9"/>
  <c r="L389" i="18"/>
  <c r="O389" i="18" s="1"/>
  <c r="P347" i="19"/>
  <c r="L402" i="19"/>
  <c r="O402" i="19" s="1"/>
  <c r="O44" i="19"/>
  <c r="O347" i="19"/>
  <c r="L261" i="21"/>
  <c r="O261" i="21" s="1"/>
  <c r="N24" i="21"/>
  <c r="P165" i="21"/>
  <c r="K76" i="21"/>
  <c r="I64" i="21"/>
  <c r="K64" i="21" s="1"/>
  <c r="P183" i="9"/>
  <c r="M298" i="10"/>
  <c r="P298" i="10" s="1"/>
  <c r="K559" i="12"/>
  <c r="L389" i="12"/>
  <c r="O389" i="12" s="1"/>
  <c r="P167" i="14"/>
  <c r="O55" i="14"/>
  <c r="K76" i="19"/>
  <c r="L66" i="20"/>
  <c r="O66" i="20" s="1"/>
  <c r="O53" i="20"/>
  <c r="N277" i="21"/>
  <c r="O277" i="21" s="1"/>
  <c r="O469" i="21"/>
  <c r="P167" i="21"/>
  <c r="O167" i="21"/>
  <c r="O56" i="15"/>
  <c r="L419" i="19"/>
  <c r="O419" i="19" s="1"/>
  <c r="P347" i="21"/>
  <c r="L24" i="21"/>
  <c r="L315" i="21"/>
  <c r="O315" i="21" s="1"/>
  <c r="O317" i="21"/>
  <c r="O36" i="21"/>
  <c r="L34" i="21"/>
  <c r="O34" i="21" s="1"/>
  <c r="P16" i="21"/>
  <c r="O687" i="13"/>
  <c r="O183" i="15"/>
  <c r="P183" i="16"/>
  <c r="O151" i="17"/>
  <c r="L315" i="18"/>
  <c r="O315" i="18" s="1"/>
  <c r="L345" i="19"/>
  <c r="O345" i="19" s="1"/>
  <c r="O183" i="19"/>
  <c r="I417" i="19"/>
  <c r="K417" i="19" s="1"/>
  <c r="N165" i="20"/>
  <c r="O165" i="20" s="1"/>
  <c r="O26" i="20"/>
  <c r="J417" i="21"/>
  <c r="K417" i="21" s="1"/>
  <c r="K433" i="21"/>
  <c r="L544" i="21"/>
  <c r="O544" i="21" s="1"/>
  <c r="M315" i="21"/>
  <c r="P315" i="21" s="1"/>
  <c r="P19" i="21"/>
  <c r="I543" i="17"/>
  <c r="K543" i="17" s="1"/>
  <c r="N24" i="18"/>
  <c r="O24" i="18" s="1"/>
  <c r="P317" i="18"/>
  <c r="P121" i="18"/>
  <c r="O263" i="18"/>
  <c r="P26" i="18"/>
  <c r="P183" i="19"/>
  <c r="O90" i="20"/>
  <c r="P330" i="20"/>
  <c r="P330" i="21"/>
  <c r="M328" i="21"/>
  <c r="M544" i="21"/>
  <c r="P544" i="21" s="1"/>
  <c r="P545" i="21"/>
  <c r="M414" i="21"/>
  <c r="P414" i="21" s="1"/>
  <c r="P419" i="21"/>
  <c r="P280" i="21"/>
  <c r="O280" i="21"/>
  <c r="O15" i="21"/>
  <c r="N30" i="21"/>
  <c r="N31" i="21"/>
  <c r="O31" i="21" s="1"/>
  <c r="L20" i="21"/>
  <c r="L13" i="21"/>
  <c r="O23" i="21"/>
  <c r="P68" i="21"/>
  <c r="N66" i="21"/>
  <c r="N14" i="21"/>
  <c r="P14" i="21" s="1"/>
  <c r="N9" i="21"/>
  <c r="N13" i="21"/>
  <c r="P13" i="21" s="1"/>
  <c r="N53" i="21"/>
  <c r="L9" i="21"/>
  <c r="P183" i="15"/>
  <c r="O43" i="16"/>
  <c r="K417" i="17"/>
  <c r="L119" i="19"/>
  <c r="O119" i="19" s="1"/>
  <c r="L685" i="20"/>
  <c r="O685" i="20" s="1"/>
  <c r="M402" i="20"/>
  <c r="P402" i="20" s="1"/>
  <c r="L419" i="21"/>
  <c r="O421" i="21"/>
  <c r="O29" i="21"/>
  <c r="P55" i="11"/>
  <c r="O53" i="17"/>
  <c r="N20" i="18"/>
  <c r="N18" i="18" s="1"/>
  <c r="M402" i="19"/>
  <c r="P402" i="19" s="1"/>
  <c r="K174" i="19"/>
  <c r="P345" i="19"/>
  <c r="P91" i="20"/>
  <c r="P391" i="21"/>
  <c r="M389" i="21"/>
  <c r="P389" i="21" s="1"/>
  <c r="K143" i="21"/>
  <c r="I131" i="21"/>
  <c r="K131" i="21" s="1"/>
  <c r="L41" i="21"/>
  <c r="P301" i="16"/>
  <c r="L30" i="19"/>
  <c r="O30" i="19" s="1"/>
  <c r="M41" i="20"/>
  <c r="P41" i="20" s="1"/>
  <c r="P56" i="20"/>
  <c r="O631" i="21"/>
  <c r="N629" i="21"/>
  <c r="N414" i="21" s="1"/>
  <c r="L685" i="21"/>
  <c r="O685" i="21" s="1"/>
  <c r="O687" i="21"/>
  <c r="M9" i="21"/>
  <c r="P12" i="21"/>
  <c r="M11" i="21"/>
  <c r="M10" i="21"/>
  <c r="L227" i="19"/>
  <c r="O330" i="18"/>
  <c r="O44" i="18"/>
  <c r="P351" i="19"/>
  <c r="K433" i="20"/>
  <c r="J417" i="20"/>
  <c r="K417" i="20" s="1"/>
  <c r="N88" i="20"/>
  <c r="O31" i="20"/>
  <c r="P90" i="20"/>
  <c r="O43" i="20"/>
  <c r="O469" i="20"/>
  <c r="L467" i="20"/>
  <c r="O467" i="20" s="1"/>
  <c r="O55" i="20"/>
  <c r="O56" i="19"/>
  <c r="L786" i="19"/>
  <c r="O786" i="19" s="1"/>
  <c r="M132" i="19"/>
  <c r="P132" i="19" s="1"/>
  <c r="L523" i="17"/>
  <c r="O523" i="17" s="1"/>
  <c r="L181" i="19"/>
  <c r="O181" i="19" s="1"/>
  <c r="P55" i="19"/>
  <c r="L41" i="20"/>
  <c r="O41" i="20" s="1"/>
  <c r="I64" i="20"/>
  <c r="K64" i="20" s="1"/>
  <c r="K76" i="20"/>
  <c r="O167" i="14"/>
  <c r="P181" i="16"/>
  <c r="O152" i="17"/>
  <c r="L629" i="19"/>
  <c r="O629" i="19" s="1"/>
  <c r="L467" i="19"/>
  <c r="O467" i="19" s="1"/>
  <c r="O328" i="20"/>
  <c r="L261" i="20"/>
  <c r="O261" i="20" s="1"/>
  <c r="P152" i="17"/>
  <c r="M132" i="20"/>
  <c r="P132" i="20" s="1"/>
  <c r="L16" i="20"/>
  <c r="O16" i="20" s="1"/>
  <c r="K364" i="17"/>
  <c r="O347" i="17"/>
  <c r="L34" i="18"/>
  <c r="O34" i="18" s="1"/>
  <c r="P43" i="18"/>
  <c r="L30" i="20"/>
  <c r="L28" i="20" s="1"/>
  <c r="O28" i="20" s="1"/>
  <c r="P328" i="20"/>
  <c r="K76" i="18"/>
  <c r="L544" i="19"/>
  <c r="O544" i="19" s="1"/>
  <c r="M149" i="19"/>
  <c r="P149" i="19" s="1"/>
  <c r="O300" i="20"/>
  <c r="L298" i="20"/>
  <c r="O298" i="20" s="1"/>
  <c r="O55" i="15"/>
  <c r="K433" i="17"/>
  <c r="O68" i="17"/>
  <c r="I65" i="20"/>
  <c r="K65" i="20" s="1"/>
  <c r="K77" i="20"/>
  <c r="O9" i="20"/>
  <c r="M28" i="20"/>
  <c r="P28" i="20" s="1"/>
  <c r="P29" i="20"/>
  <c r="P56" i="19"/>
  <c r="P391" i="20"/>
  <c r="M389" i="20"/>
  <c r="P389" i="20" s="1"/>
  <c r="O181" i="20"/>
  <c r="P167" i="20"/>
  <c r="P26" i="20"/>
  <c r="M16" i="20"/>
  <c r="P16" i="20" s="1"/>
  <c r="P317" i="20"/>
  <c r="M315" i="20"/>
  <c r="P315" i="20" s="1"/>
  <c r="O347" i="8"/>
  <c r="P55" i="15"/>
  <c r="P167" i="16"/>
  <c r="I418" i="17"/>
  <c r="K418" i="17" s="1"/>
  <c r="L544" i="18"/>
  <c r="O544" i="18" s="1"/>
  <c r="L444" i="20"/>
  <c r="O444" i="20" s="1"/>
  <c r="P55" i="20"/>
  <c r="M53" i="20"/>
  <c r="P53" i="20" s="1"/>
  <c r="O29" i="20"/>
  <c r="L277" i="20"/>
  <c r="O277" i="20" s="1"/>
  <c r="P23" i="20"/>
  <c r="M20" i="20"/>
  <c r="M18" i="20" s="1"/>
  <c r="M13" i="20"/>
  <c r="M11" i="20" s="1"/>
  <c r="M21" i="20"/>
  <c r="P347" i="20"/>
  <c r="M345" i="20"/>
  <c r="P345" i="20" s="1"/>
  <c r="I418" i="16"/>
  <c r="K418" i="16" s="1"/>
  <c r="O300" i="16"/>
  <c r="O91" i="17"/>
  <c r="N328" i="18"/>
  <c r="O328" i="18" s="1"/>
  <c r="P168" i="20"/>
  <c r="L132" i="20"/>
  <c r="O132" i="20" s="1"/>
  <c r="P12" i="20"/>
  <c r="M9" i="20"/>
  <c r="P19" i="20"/>
  <c r="M414" i="20"/>
  <c r="P414" i="20" s="1"/>
  <c r="N655" i="20"/>
  <c r="O655" i="20" s="1"/>
  <c r="O525" i="20"/>
  <c r="L523" i="20"/>
  <c r="O523" i="20" s="1"/>
  <c r="P263" i="20"/>
  <c r="M261" i="20"/>
  <c r="P261" i="20" s="1"/>
  <c r="N21" i="20"/>
  <c r="N20" i="20"/>
  <c r="N18" i="20" s="1"/>
  <c r="N13" i="20"/>
  <c r="O238" i="20"/>
  <c r="L227" i="20"/>
  <c r="O15" i="20"/>
  <c r="K248" i="20"/>
  <c r="I226" i="20"/>
  <c r="M24" i="20"/>
  <c r="N414" i="20"/>
  <c r="I131" i="20"/>
  <c r="K131" i="20" s="1"/>
  <c r="K143" i="20"/>
  <c r="M119" i="20"/>
  <c r="P119" i="20" s="1"/>
  <c r="P121" i="20"/>
  <c r="M181" i="20"/>
  <c r="P181" i="20" s="1"/>
  <c r="O23" i="20"/>
  <c r="L20" i="20"/>
  <c r="L13" i="20"/>
  <c r="L21" i="20"/>
  <c r="P15" i="20"/>
  <c r="M315" i="17"/>
  <c r="P315" i="17" s="1"/>
  <c r="L41" i="18"/>
  <c r="O41" i="18" s="1"/>
  <c r="P88" i="19"/>
  <c r="O43" i="17"/>
  <c r="O88" i="19"/>
  <c r="O36" i="19"/>
  <c r="L34" i="19"/>
  <c r="O34" i="19" s="1"/>
  <c r="O168" i="19"/>
  <c r="P298" i="19"/>
  <c r="O55" i="19"/>
  <c r="M277" i="19"/>
  <c r="P277" i="19" s="1"/>
  <c r="P279" i="19"/>
  <c r="M165" i="19"/>
  <c r="P165" i="19" s="1"/>
  <c r="P167" i="19"/>
  <c r="O23" i="19"/>
  <c r="L20" i="19"/>
  <c r="L13" i="19"/>
  <c r="L21" i="19"/>
  <c r="O657" i="14"/>
  <c r="L149" i="18"/>
  <c r="O149" i="18" s="1"/>
  <c r="N21" i="18"/>
  <c r="O21" i="18" s="1"/>
  <c r="L132" i="19"/>
  <c r="O132" i="19" s="1"/>
  <c r="O134" i="19"/>
  <c r="L277" i="19"/>
  <c r="O277" i="19" s="1"/>
  <c r="P26" i="19"/>
  <c r="M16" i="19"/>
  <c r="P16" i="19" s="1"/>
  <c r="L165" i="19"/>
  <c r="O165" i="19" s="1"/>
  <c r="P68" i="19"/>
  <c r="M66" i="19"/>
  <c r="P66" i="19" s="1"/>
  <c r="O59" i="14"/>
  <c r="L402" i="15"/>
  <c r="O402" i="15" s="1"/>
  <c r="L523" i="15"/>
  <c r="O523" i="15" s="1"/>
  <c r="P56" i="15"/>
  <c r="P298" i="16"/>
  <c r="L132" i="16"/>
  <c r="O132" i="16" s="1"/>
  <c r="L41" i="17"/>
  <c r="O41" i="17" s="1"/>
  <c r="N24" i="17"/>
  <c r="O24" i="17" s="1"/>
  <c r="O347" i="16"/>
  <c r="K364" i="16"/>
  <c r="O23" i="18"/>
  <c r="P23" i="18"/>
  <c r="O328" i="19"/>
  <c r="L523" i="19"/>
  <c r="O523" i="19" s="1"/>
  <c r="K364" i="19"/>
  <c r="M24" i="19"/>
  <c r="N24" i="19"/>
  <c r="O90" i="19"/>
  <c r="P348" i="15"/>
  <c r="M53" i="15"/>
  <c r="P53" i="15" s="1"/>
  <c r="P300" i="16"/>
  <c r="I131" i="16"/>
  <c r="K131" i="16" s="1"/>
  <c r="O149" i="16"/>
  <c r="N13" i="18"/>
  <c r="N10" i="18" s="1"/>
  <c r="N8" i="18" s="1"/>
  <c r="K143" i="19"/>
  <c r="I131" i="19"/>
  <c r="K131" i="19" s="1"/>
  <c r="L41" i="19"/>
  <c r="O41" i="19" s="1"/>
  <c r="O43" i="19"/>
  <c r="P23" i="19"/>
  <c r="M20" i="19"/>
  <c r="M18" i="19" s="1"/>
  <c r="M13" i="19"/>
  <c r="P330" i="19"/>
  <c r="O330" i="19"/>
  <c r="P90" i="19"/>
  <c r="L523" i="14"/>
  <c r="O523" i="14" s="1"/>
  <c r="O469" i="15"/>
  <c r="N21" i="15"/>
  <c r="O151" i="16"/>
  <c r="P56" i="16"/>
  <c r="L31" i="18"/>
  <c r="O31" i="18" s="1"/>
  <c r="L13" i="18"/>
  <c r="L11" i="18" s="1"/>
  <c r="N37" i="19"/>
  <c r="O446" i="19"/>
  <c r="O26" i="19"/>
  <c r="L24" i="19"/>
  <c r="L16" i="19"/>
  <c r="P328" i="19"/>
  <c r="O345" i="14"/>
  <c r="N20" i="15"/>
  <c r="N18" i="15" s="1"/>
  <c r="N181" i="18"/>
  <c r="O181" i="18" s="1"/>
  <c r="P167" i="18"/>
  <c r="P300" i="19"/>
  <c r="P43" i="19"/>
  <c r="M41" i="19"/>
  <c r="P41" i="19" s="1"/>
  <c r="O317" i="19"/>
  <c r="L315" i="19"/>
  <c r="O315" i="19" s="1"/>
  <c r="N20" i="19"/>
  <c r="N13" i="19"/>
  <c r="N21" i="19"/>
  <c r="P21" i="19" s="1"/>
  <c r="O68" i="19"/>
  <c r="L66" i="19"/>
  <c r="O66" i="19" s="1"/>
  <c r="M181" i="19"/>
  <c r="P181" i="19" s="1"/>
  <c r="P545" i="19"/>
  <c r="M544" i="19"/>
  <c r="P9" i="19"/>
  <c r="P183" i="12"/>
  <c r="O90" i="15"/>
  <c r="O152" i="16"/>
  <c r="N165" i="18"/>
  <c r="P165" i="18" s="1"/>
  <c r="L261" i="18"/>
  <c r="O261" i="18" s="1"/>
  <c r="P301" i="19"/>
  <c r="O301" i="19"/>
  <c r="P13" i="16"/>
  <c r="O55" i="16"/>
  <c r="M277" i="17"/>
  <c r="P277" i="17" s="1"/>
  <c r="L30" i="18"/>
  <c r="O30" i="18" s="1"/>
  <c r="O53" i="19"/>
  <c r="O687" i="14"/>
  <c r="M21" i="16"/>
  <c r="P279" i="16"/>
  <c r="P300" i="17"/>
  <c r="N13" i="17"/>
  <c r="N10" i="17" s="1"/>
  <c r="N8" i="17" s="1"/>
  <c r="J522" i="18"/>
  <c r="K522" i="18" s="1"/>
  <c r="O687" i="19"/>
  <c r="L685" i="19"/>
  <c r="O685" i="19" s="1"/>
  <c r="I543" i="19"/>
  <c r="K543" i="19" s="1"/>
  <c r="K559" i="19"/>
  <c r="M28" i="19"/>
  <c r="P28" i="19" s="1"/>
  <c r="P29" i="19"/>
  <c r="K226" i="19"/>
  <c r="I180" i="19"/>
  <c r="K180" i="19" s="1"/>
  <c r="O298" i="19"/>
  <c r="M165" i="16"/>
  <c r="P165" i="16" s="1"/>
  <c r="M149" i="18"/>
  <c r="P149" i="18" s="1"/>
  <c r="P15" i="19"/>
  <c r="I65" i="19"/>
  <c r="K65" i="19" s="1"/>
  <c r="K77" i="19"/>
  <c r="O263" i="16"/>
  <c r="M119" i="16"/>
  <c r="P119" i="16" s="1"/>
  <c r="P69" i="17"/>
  <c r="M16" i="17"/>
  <c r="M14" i="17" s="1"/>
  <c r="P14" i="17" s="1"/>
  <c r="L655" i="17"/>
  <c r="O655" i="17" s="1"/>
  <c r="O55" i="17"/>
  <c r="O55" i="18"/>
  <c r="N119" i="18"/>
  <c r="O525" i="18"/>
  <c r="O263" i="12"/>
  <c r="O90" i="14"/>
  <c r="O152" i="14"/>
  <c r="L149" i="17"/>
  <c r="O149" i="17" s="1"/>
  <c r="L655" i="16"/>
  <c r="O655" i="16" s="1"/>
  <c r="P348" i="17"/>
  <c r="K275" i="18"/>
  <c r="O56" i="18"/>
  <c r="O184" i="16"/>
  <c r="L315" i="16"/>
  <c r="O315" i="16" s="1"/>
  <c r="J364" i="18"/>
  <c r="K364" i="18" s="1"/>
  <c r="M389" i="18"/>
  <c r="P389" i="18" s="1"/>
  <c r="P26" i="15"/>
  <c r="L544" i="17"/>
  <c r="O544" i="17" s="1"/>
  <c r="P347" i="17"/>
  <c r="P330" i="9"/>
  <c r="I418" i="13"/>
  <c r="K418" i="13" s="1"/>
  <c r="P347" i="14"/>
  <c r="I226" i="15"/>
  <c r="K226" i="15" s="1"/>
  <c r="L227" i="15"/>
  <c r="N10" i="15"/>
  <c r="P91" i="16"/>
  <c r="N345" i="18"/>
  <c r="O345" i="18" s="1"/>
  <c r="M149" i="12"/>
  <c r="P149" i="12" s="1"/>
  <c r="N14" i="15"/>
  <c r="P331" i="18"/>
  <c r="L132" i="18"/>
  <c r="O132" i="18" s="1"/>
  <c r="L149" i="12"/>
  <c r="O149" i="12" s="1"/>
  <c r="L227" i="14"/>
  <c r="L389" i="15"/>
  <c r="O389" i="15" s="1"/>
  <c r="M88" i="18"/>
  <c r="P88" i="18" s="1"/>
  <c r="M13" i="18"/>
  <c r="M20" i="18"/>
  <c r="M18" i="18" s="1"/>
  <c r="P331" i="10"/>
  <c r="O56" i="14"/>
  <c r="K364" i="15"/>
  <c r="N24" i="15"/>
  <c r="O467" i="17"/>
  <c r="P330" i="17"/>
  <c r="L345" i="17"/>
  <c r="O345" i="17" s="1"/>
  <c r="P59" i="18"/>
  <c r="P91" i="18"/>
  <c r="O9" i="18"/>
  <c r="P183" i="17"/>
  <c r="P347" i="18"/>
  <c r="M345" i="18"/>
  <c r="K288" i="18"/>
  <c r="L227" i="18"/>
  <c r="O238" i="18"/>
  <c r="M132" i="18"/>
  <c r="P132" i="18" s="1"/>
  <c r="P134" i="18"/>
  <c r="K433" i="18"/>
  <c r="L629" i="18"/>
  <c r="O629" i="18" s="1"/>
  <c r="L419" i="18"/>
  <c r="O421" i="18"/>
  <c r="O167" i="18"/>
  <c r="L165" i="18"/>
  <c r="P23" i="16"/>
  <c r="P345" i="17"/>
  <c r="O446" i="18"/>
  <c r="L444" i="18"/>
  <c r="O444" i="18" s="1"/>
  <c r="O279" i="18"/>
  <c r="L277" i="18"/>
  <c r="O277" i="18" s="1"/>
  <c r="I418" i="18"/>
  <c r="K418" i="18" s="1"/>
  <c r="K434" i="18"/>
  <c r="K237" i="18"/>
  <c r="I226" i="18"/>
  <c r="O29" i="18"/>
  <c r="O300" i="18"/>
  <c r="L298" i="18"/>
  <c r="O298" i="18" s="1"/>
  <c r="K417" i="18"/>
  <c r="O469" i="18"/>
  <c r="L467" i="18"/>
  <c r="O467" i="18" s="1"/>
  <c r="O26" i="18"/>
  <c r="L16" i="18"/>
  <c r="O16" i="18" s="1"/>
  <c r="O331" i="17"/>
  <c r="P347" i="15"/>
  <c r="M328" i="18"/>
  <c r="I131" i="18"/>
  <c r="K131" i="18" s="1"/>
  <c r="K143" i="18"/>
  <c r="P29" i="18"/>
  <c r="M28" i="18"/>
  <c r="P28" i="18" s="1"/>
  <c r="P300" i="18"/>
  <c r="M298" i="18"/>
  <c r="P298" i="18" s="1"/>
  <c r="P419" i="18"/>
  <c r="M414" i="18"/>
  <c r="P414" i="18" s="1"/>
  <c r="P68" i="18"/>
  <c r="M66" i="18"/>
  <c r="O470" i="18"/>
  <c r="M277" i="18"/>
  <c r="P277" i="18" s="1"/>
  <c r="N414" i="18"/>
  <c r="L20" i="18"/>
  <c r="N655" i="18"/>
  <c r="O655" i="18" s="1"/>
  <c r="M261" i="18"/>
  <c r="P261" i="18" s="1"/>
  <c r="P263" i="18"/>
  <c r="P15" i="18"/>
  <c r="L119" i="18"/>
  <c r="O121" i="18"/>
  <c r="L53" i="18"/>
  <c r="O53" i="18" s="1"/>
  <c r="O391" i="17"/>
  <c r="L389" i="17"/>
  <c r="O389" i="17" s="1"/>
  <c r="L402" i="18"/>
  <c r="O402" i="18" s="1"/>
  <c r="O404" i="18"/>
  <c r="O90" i="18"/>
  <c r="L88" i="18"/>
  <c r="O88" i="18" s="1"/>
  <c r="M9" i="18"/>
  <c r="O15" i="18"/>
  <c r="M53" i="18"/>
  <c r="P55" i="18"/>
  <c r="P404" i="18"/>
  <c r="M402" i="18"/>
  <c r="P402" i="18" s="1"/>
  <c r="K77" i="18"/>
  <c r="I65" i="18"/>
  <c r="K65" i="18" s="1"/>
  <c r="P183" i="18"/>
  <c r="M181" i="18"/>
  <c r="M16" i="15"/>
  <c r="P16" i="15" s="1"/>
  <c r="M24" i="15"/>
  <c r="P91" i="15"/>
  <c r="P300" i="15"/>
  <c r="O347" i="15"/>
  <c r="P168" i="16"/>
  <c r="L119" i="16"/>
  <c r="O119" i="16" s="1"/>
  <c r="L119" i="17"/>
  <c r="O119" i="17" s="1"/>
  <c r="O36" i="17"/>
  <c r="P90" i="16"/>
  <c r="N298" i="17"/>
  <c r="P298" i="17" s="1"/>
  <c r="L685" i="10"/>
  <c r="O685" i="10" s="1"/>
  <c r="I164" i="14"/>
  <c r="K164" i="14" s="1"/>
  <c r="M119" i="15"/>
  <c r="P119" i="15" s="1"/>
  <c r="O469" i="16"/>
  <c r="L13" i="16"/>
  <c r="L11" i="16" s="1"/>
  <c r="P317" i="16"/>
  <c r="M165" i="15"/>
  <c r="P165" i="15" s="1"/>
  <c r="O277" i="16"/>
  <c r="M88" i="16"/>
  <c r="P88" i="16" s="1"/>
  <c r="O23" i="16"/>
  <c r="N20" i="16"/>
  <c r="N18" i="16" s="1"/>
  <c r="O421" i="7"/>
  <c r="L132" i="10"/>
  <c r="O132" i="10" s="1"/>
  <c r="M277" i="11"/>
  <c r="P277" i="11" s="1"/>
  <c r="I543" i="13"/>
  <c r="K543" i="13" s="1"/>
  <c r="L119" i="14"/>
  <c r="O119" i="14" s="1"/>
  <c r="M345" i="15"/>
  <c r="P345" i="15" s="1"/>
  <c r="I418" i="15"/>
  <c r="K418" i="15" s="1"/>
  <c r="N21" i="16"/>
  <c r="O279" i="16"/>
  <c r="L30" i="17"/>
  <c r="O30" i="17" s="1"/>
  <c r="O33" i="17"/>
  <c r="L315" i="17"/>
  <c r="O315" i="17" s="1"/>
  <c r="O330" i="17"/>
  <c r="L328" i="17"/>
  <c r="O328" i="17" s="1"/>
  <c r="L41" i="12"/>
  <c r="O41" i="12" s="1"/>
  <c r="P348" i="14"/>
  <c r="P68" i="14"/>
  <c r="L544" i="16"/>
  <c r="O544" i="16" s="1"/>
  <c r="K288" i="17"/>
  <c r="K364" i="14"/>
  <c r="M328" i="17"/>
  <c r="P328" i="17" s="1"/>
  <c r="P44" i="17"/>
  <c r="L66" i="17"/>
  <c r="O66" i="17" s="1"/>
  <c r="P12" i="17"/>
  <c r="M9" i="17"/>
  <c r="M389" i="17"/>
  <c r="P389" i="17" s="1"/>
  <c r="P121" i="17"/>
  <c r="M119" i="17"/>
  <c r="P119" i="17" s="1"/>
  <c r="L261" i="17"/>
  <c r="O261" i="17" s="1"/>
  <c r="I131" i="17"/>
  <c r="K131" i="17" s="1"/>
  <c r="K143" i="17"/>
  <c r="M21" i="17"/>
  <c r="P21" i="17" s="1"/>
  <c r="P23" i="17"/>
  <c r="M20" i="17"/>
  <c r="M13" i="17"/>
  <c r="P151" i="17"/>
  <c r="M149" i="17"/>
  <c r="P149" i="17" s="1"/>
  <c r="O29" i="17"/>
  <c r="O421" i="17"/>
  <c r="L419" i="17"/>
  <c r="M414" i="17"/>
  <c r="P414" i="17" s="1"/>
  <c r="O631" i="17"/>
  <c r="L629" i="17"/>
  <c r="O629" i="17" s="1"/>
  <c r="O26" i="17"/>
  <c r="L16" i="17"/>
  <c r="O16" i="17" s="1"/>
  <c r="M132" i="17"/>
  <c r="P132" i="17" s="1"/>
  <c r="P134" i="17"/>
  <c r="O9" i="17"/>
  <c r="M88" i="17"/>
  <c r="P88" i="17" s="1"/>
  <c r="L227" i="17"/>
  <c r="O238" i="17"/>
  <c r="O446" i="17"/>
  <c r="L444" i="17"/>
  <c r="O444" i="17" s="1"/>
  <c r="L402" i="17"/>
  <c r="O402" i="17" s="1"/>
  <c r="I65" i="17"/>
  <c r="K65" i="17" s="1"/>
  <c r="K77" i="17"/>
  <c r="M41" i="17"/>
  <c r="P43" i="17"/>
  <c r="P26" i="17"/>
  <c r="N414" i="17"/>
  <c r="P19" i="17"/>
  <c r="P404" i="17"/>
  <c r="M402" i="17"/>
  <c r="P402" i="17" s="1"/>
  <c r="O279" i="17"/>
  <c r="L277" i="17"/>
  <c r="O277" i="17" s="1"/>
  <c r="O15" i="17"/>
  <c r="M165" i="17"/>
  <c r="P165" i="17" s="1"/>
  <c r="N181" i="17"/>
  <c r="O181" i="17" s="1"/>
  <c r="O183" i="17"/>
  <c r="L298" i="17"/>
  <c r="O300" i="17"/>
  <c r="O134" i="17"/>
  <c r="L132" i="17"/>
  <c r="O132" i="17" s="1"/>
  <c r="O788" i="17"/>
  <c r="L786" i="17"/>
  <c r="O786" i="17" s="1"/>
  <c r="P263" i="17"/>
  <c r="M261" i="17"/>
  <c r="P261" i="17" s="1"/>
  <c r="K76" i="17"/>
  <c r="I64" i="17"/>
  <c r="K64" i="17" s="1"/>
  <c r="M66" i="17"/>
  <c r="P66" i="17" s="1"/>
  <c r="P55" i="17"/>
  <c r="M53" i="17"/>
  <c r="P53" i="17" s="1"/>
  <c r="I226" i="17"/>
  <c r="M28" i="17"/>
  <c r="P28" i="17" s="1"/>
  <c r="P30" i="17"/>
  <c r="N20" i="17"/>
  <c r="N18" i="17" s="1"/>
  <c r="O23" i="17"/>
  <c r="L20" i="17"/>
  <c r="L13" i="17"/>
  <c r="L21" i="17"/>
  <c r="O21" i="17" s="1"/>
  <c r="O330" i="10"/>
  <c r="M66" i="12"/>
  <c r="P66" i="12" s="1"/>
  <c r="M119" i="14"/>
  <c r="P119" i="14" s="1"/>
  <c r="P330" i="15"/>
  <c r="O330" i="15"/>
  <c r="L402" i="16"/>
  <c r="O402" i="16" s="1"/>
  <c r="L315" i="15"/>
  <c r="O315" i="15" s="1"/>
  <c r="I418" i="10"/>
  <c r="K418" i="10" s="1"/>
  <c r="O167" i="11"/>
  <c r="O238" i="15"/>
  <c r="P279" i="15"/>
  <c r="O298" i="16"/>
  <c r="O298" i="15"/>
  <c r="L20" i="13"/>
  <c r="L18" i="13" s="1"/>
  <c r="I543" i="15"/>
  <c r="K543" i="15" s="1"/>
  <c r="P328" i="15"/>
  <c r="L227" i="16"/>
  <c r="O53" i="11"/>
  <c r="O55" i="11"/>
  <c r="O168" i="11"/>
  <c r="M277" i="14"/>
  <c r="P277" i="14" s="1"/>
  <c r="K433" i="13"/>
  <c r="I543" i="14"/>
  <c r="K543" i="14" s="1"/>
  <c r="N149" i="14"/>
  <c r="O149" i="14" s="1"/>
  <c r="P298" i="15"/>
  <c r="O68" i="15"/>
  <c r="L88" i="15"/>
  <c r="O88" i="15" s="1"/>
  <c r="L66" i="16"/>
  <c r="O66" i="16" s="1"/>
  <c r="O53" i="16"/>
  <c r="K77" i="16"/>
  <c r="I65" i="16"/>
  <c r="K65" i="16" s="1"/>
  <c r="O391" i="16"/>
  <c r="L389" i="16"/>
  <c r="O389" i="16" s="1"/>
  <c r="I64" i="16"/>
  <c r="K64" i="16" s="1"/>
  <c r="K76" i="16"/>
  <c r="P184" i="16"/>
  <c r="L31" i="16"/>
  <c r="O31" i="16" s="1"/>
  <c r="O183" i="16"/>
  <c r="L181" i="16"/>
  <c r="O181" i="16" s="1"/>
  <c r="N21" i="14"/>
  <c r="M21" i="15"/>
  <c r="P277" i="16"/>
  <c r="M165" i="13"/>
  <c r="P165" i="13" s="1"/>
  <c r="I226" i="16"/>
  <c r="P41" i="15"/>
  <c r="O41" i="15"/>
  <c r="O167" i="12"/>
  <c r="M315" i="12"/>
  <c r="P315" i="12" s="1"/>
  <c r="P56" i="13"/>
  <c r="O149" i="13"/>
  <c r="L165" i="14"/>
  <c r="O165" i="14" s="1"/>
  <c r="O687" i="15"/>
  <c r="O345" i="15"/>
  <c r="M181" i="15"/>
  <c r="P181" i="15" s="1"/>
  <c r="L165" i="15"/>
  <c r="O165" i="15" s="1"/>
  <c r="L34" i="15"/>
  <c r="O34" i="15" s="1"/>
  <c r="O300" i="15"/>
  <c r="K433" i="16"/>
  <c r="I417" i="16"/>
  <c r="K417" i="16" s="1"/>
  <c r="N328" i="16"/>
  <c r="O328" i="16" s="1"/>
  <c r="O330" i="16"/>
  <c r="P330" i="16"/>
  <c r="O168" i="16"/>
  <c r="P55" i="16"/>
  <c r="M53" i="16"/>
  <c r="O19" i="16"/>
  <c r="O26" i="16"/>
  <c r="L16" i="16"/>
  <c r="L20" i="16"/>
  <c r="P347" i="16"/>
  <c r="M345" i="16"/>
  <c r="P345" i="16" s="1"/>
  <c r="P404" i="16"/>
  <c r="M402" i="16"/>
  <c r="P402" i="16" s="1"/>
  <c r="M389" i="16"/>
  <c r="P389" i="16" s="1"/>
  <c r="O167" i="16"/>
  <c r="L165" i="16"/>
  <c r="O165" i="16" s="1"/>
  <c r="O9" i="16"/>
  <c r="P12" i="16"/>
  <c r="M11" i="16"/>
  <c r="M9" i="16"/>
  <c r="O631" i="16"/>
  <c r="L629" i="16"/>
  <c r="O629" i="16" s="1"/>
  <c r="O446" i="16"/>
  <c r="L444" i="16"/>
  <c r="O444" i="16" s="1"/>
  <c r="O345" i="16"/>
  <c r="M149" i="16"/>
  <c r="P149" i="16" s="1"/>
  <c r="N24" i="16"/>
  <c r="O24" i="16" s="1"/>
  <c r="N16" i="16"/>
  <c r="N14" i="16" s="1"/>
  <c r="P19" i="16"/>
  <c r="O328" i="13"/>
  <c r="N414" i="16"/>
  <c r="O90" i="16"/>
  <c r="L88" i="16"/>
  <c r="O88" i="16" s="1"/>
  <c r="N41" i="16"/>
  <c r="P43" i="16"/>
  <c r="L655" i="13"/>
  <c r="O655" i="13" s="1"/>
  <c r="P183" i="13"/>
  <c r="K417" i="14"/>
  <c r="P59" i="14"/>
  <c r="L181" i="15"/>
  <c r="O181" i="15" s="1"/>
  <c r="L53" i="15"/>
  <c r="O53" i="15" s="1"/>
  <c r="M414" i="16"/>
  <c r="P414" i="16" s="1"/>
  <c r="M261" i="16"/>
  <c r="P261" i="16" s="1"/>
  <c r="O91" i="16"/>
  <c r="M24" i="16"/>
  <c r="M16" i="16"/>
  <c r="P26" i="16"/>
  <c r="M20" i="16"/>
  <c r="O36" i="16"/>
  <c r="L30" i="16"/>
  <c r="L34" i="16"/>
  <c r="O34" i="16" s="1"/>
  <c r="N9" i="16"/>
  <c r="N11" i="16"/>
  <c r="O421" i="16"/>
  <c r="L419" i="16"/>
  <c r="M132" i="16"/>
  <c r="P132" i="16" s="1"/>
  <c r="P132" i="12"/>
  <c r="O181" i="14"/>
  <c r="O328" i="15"/>
  <c r="O261" i="15"/>
  <c r="P23" i="15"/>
  <c r="L389" i="13"/>
  <c r="O389" i="13" s="1"/>
  <c r="L298" i="14"/>
  <c r="O298" i="14" s="1"/>
  <c r="M53" i="11"/>
  <c r="P53" i="11" s="1"/>
  <c r="M389" i="14"/>
  <c r="P389" i="14" s="1"/>
  <c r="O263" i="14"/>
  <c r="N53" i="14"/>
  <c r="O53" i="14" s="1"/>
  <c r="O134" i="15"/>
  <c r="P43" i="15"/>
  <c r="O43" i="15"/>
  <c r="L655" i="15"/>
  <c r="O655" i="15" s="1"/>
  <c r="P88" i="13"/>
  <c r="L467" i="14"/>
  <c r="O467" i="14" s="1"/>
  <c r="M20" i="15"/>
  <c r="O33" i="15"/>
  <c r="L31" i="15"/>
  <c r="O31" i="15" s="1"/>
  <c r="L30" i="15"/>
  <c r="O30" i="15" s="1"/>
  <c r="L544" i="7"/>
  <c r="O544" i="7" s="1"/>
  <c r="I543" i="10"/>
  <c r="K543" i="10" s="1"/>
  <c r="M389" i="15"/>
  <c r="P389" i="15" s="1"/>
  <c r="O68" i="13"/>
  <c r="M315" i="15"/>
  <c r="P315" i="15" s="1"/>
  <c r="N37" i="15"/>
  <c r="O183" i="14"/>
  <c r="O631" i="15"/>
  <c r="L629" i="15"/>
  <c r="O629" i="15" s="1"/>
  <c r="M132" i="15"/>
  <c r="P132" i="15" s="1"/>
  <c r="P44" i="15"/>
  <c r="O44" i="15"/>
  <c r="N11" i="15"/>
  <c r="P11" i="15" s="1"/>
  <c r="O446" i="15"/>
  <c r="L444" i="15"/>
  <c r="O444" i="15" s="1"/>
  <c r="P29" i="15"/>
  <c r="M28" i="15"/>
  <c r="P28" i="15" s="1"/>
  <c r="O419" i="15"/>
  <c r="O29" i="15"/>
  <c r="O23" i="15"/>
  <c r="L20" i="15"/>
  <c r="L13" i="15"/>
  <c r="P15" i="15"/>
  <c r="M88" i="15"/>
  <c r="P88" i="15" s="1"/>
  <c r="P90" i="15"/>
  <c r="P184" i="15"/>
  <c r="O184" i="15"/>
  <c r="O26" i="15"/>
  <c r="L16" i="15"/>
  <c r="O16" i="15" s="1"/>
  <c r="L24" i="15"/>
  <c r="P13" i="15"/>
  <c r="M9" i="15"/>
  <c r="P404" i="15"/>
  <c r="M402" i="15"/>
  <c r="P402" i="15" s="1"/>
  <c r="O15" i="15"/>
  <c r="P68" i="15"/>
  <c r="M66" i="15"/>
  <c r="K364" i="7"/>
  <c r="O546" i="15"/>
  <c r="L544" i="15"/>
  <c r="O544" i="15" s="1"/>
  <c r="K433" i="15"/>
  <c r="I417" i="15"/>
  <c r="K417" i="15" s="1"/>
  <c r="L277" i="15"/>
  <c r="O277" i="15" s="1"/>
  <c r="L9" i="15"/>
  <c r="N9" i="15"/>
  <c r="O151" i="13"/>
  <c r="M181" i="14"/>
  <c r="P181" i="14" s="1"/>
  <c r="O88" i="14"/>
  <c r="O788" i="15"/>
  <c r="L786" i="15"/>
  <c r="O786" i="15" s="1"/>
  <c r="N414" i="15"/>
  <c r="L149" i="15"/>
  <c r="O149" i="15" s="1"/>
  <c r="O151" i="15"/>
  <c r="M414" i="15"/>
  <c r="P414" i="15" s="1"/>
  <c r="P168" i="15"/>
  <c r="O168" i="15"/>
  <c r="L21" i="15"/>
  <c r="O263" i="15"/>
  <c r="P181" i="12"/>
  <c r="P43" i="12"/>
  <c r="L261" i="14"/>
  <c r="O261" i="14" s="1"/>
  <c r="M261" i="14"/>
  <c r="P261" i="14" s="1"/>
  <c r="M261" i="11"/>
  <c r="P261" i="11" s="1"/>
  <c r="M132" i="11"/>
  <c r="P132" i="11" s="1"/>
  <c r="O43" i="14"/>
  <c r="P152" i="14"/>
  <c r="O33" i="13"/>
  <c r="K434" i="14"/>
  <c r="I418" i="14"/>
  <c r="K418" i="14" s="1"/>
  <c r="O181" i="12"/>
  <c r="O90" i="11"/>
  <c r="O238" i="14"/>
  <c r="L21" i="14"/>
  <c r="O23" i="14"/>
  <c r="L13" i="14"/>
  <c r="L20" i="14"/>
  <c r="L18" i="14" s="1"/>
  <c r="O43" i="10"/>
  <c r="M261" i="10"/>
  <c r="P261" i="10" s="1"/>
  <c r="K77" i="11"/>
  <c r="P351" i="11"/>
  <c r="O134" i="12"/>
  <c r="O88" i="12"/>
  <c r="P330" i="12"/>
  <c r="P151" i="13"/>
  <c r="M315" i="13"/>
  <c r="P315" i="13" s="1"/>
  <c r="P90" i="13"/>
  <c r="L389" i="14"/>
  <c r="O389" i="14" s="1"/>
  <c r="O330" i="14"/>
  <c r="P44" i="14"/>
  <c r="O279" i="14"/>
  <c r="L277" i="14"/>
  <c r="O277" i="14" s="1"/>
  <c r="I164" i="8"/>
  <c r="K164" i="8" s="1"/>
  <c r="O55" i="9"/>
  <c r="O328" i="14"/>
  <c r="L16" i="14"/>
  <c r="L30" i="10"/>
  <c r="O30" i="10" s="1"/>
  <c r="P300" i="12"/>
  <c r="L30" i="14"/>
  <c r="O30" i="14" s="1"/>
  <c r="L31" i="14"/>
  <c r="O31" i="14" s="1"/>
  <c r="O33" i="14"/>
  <c r="P330" i="14"/>
  <c r="L34" i="14"/>
  <c r="O34" i="14" s="1"/>
  <c r="P404" i="14"/>
  <c r="M402" i="14"/>
  <c r="P402" i="14" s="1"/>
  <c r="P184" i="10"/>
  <c r="L655" i="11"/>
  <c r="O655" i="11" s="1"/>
  <c r="M389" i="11"/>
  <c r="P389" i="11" s="1"/>
  <c r="O167" i="10"/>
  <c r="P183" i="11"/>
  <c r="L655" i="12"/>
  <c r="O655" i="12" s="1"/>
  <c r="M119" i="13"/>
  <c r="P119" i="13" s="1"/>
  <c r="O55" i="13"/>
  <c r="O525" i="13"/>
  <c r="O348" i="8"/>
  <c r="N181" i="11"/>
  <c r="P181" i="11" s="1"/>
  <c r="O151" i="11"/>
  <c r="P121" i="12"/>
  <c r="O330" i="12"/>
  <c r="L629" i="13"/>
  <c r="O629" i="13" s="1"/>
  <c r="P300" i="14"/>
  <c r="M298" i="14"/>
  <c r="P298" i="14" s="1"/>
  <c r="P41" i="14"/>
  <c r="I64" i="14"/>
  <c r="K64" i="14" s="1"/>
  <c r="K76" i="14"/>
  <c r="O29" i="14"/>
  <c r="I131" i="14"/>
  <c r="K131" i="14" s="1"/>
  <c r="K143" i="14"/>
  <c r="K248" i="14"/>
  <c r="I226" i="14"/>
  <c r="L66" i="14"/>
  <c r="O66" i="14" s="1"/>
  <c r="M88" i="14"/>
  <c r="P88" i="14" s="1"/>
  <c r="P23" i="14"/>
  <c r="M20" i="14"/>
  <c r="M13" i="14"/>
  <c r="M21" i="14"/>
  <c r="O167" i="9"/>
  <c r="K364" i="11"/>
  <c r="L685" i="12"/>
  <c r="O685" i="12" s="1"/>
  <c r="L132" i="12"/>
  <c r="O132" i="12" s="1"/>
  <c r="O546" i="14"/>
  <c r="L544" i="14"/>
  <c r="O544" i="14" s="1"/>
  <c r="L629" i="14"/>
  <c r="O629" i="14" s="1"/>
  <c r="L14" i="14"/>
  <c r="O15" i="14"/>
  <c r="M132" i="14"/>
  <c r="P132" i="14" s="1"/>
  <c r="O26" i="14"/>
  <c r="O90" i="12"/>
  <c r="K433" i="14"/>
  <c r="P15" i="14"/>
  <c r="O9" i="14"/>
  <c r="N16" i="14"/>
  <c r="N20" i="14"/>
  <c r="N18" i="14" s="1"/>
  <c r="P55" i="14"/>
  <c r="M53" i="14"/>
  <c r="P151" i="14"/>
  <c r="M149" i="14"/>
  <c r="P9" i="14"/>
  <c r="I65" i="14"/>
  <c r="K65" i="14" s="1"/>
  <c r="K77" i="14"/>
  <c r="O688" i="2"/>
  <c r="P167" i="10"/>
  <c r="L315" i="12"/>
  <c r="O315" i="12" s="1"/>
  <c r="K76" i="13"/>
  <c r="P55" i="12"/>
  <c r="M315" i="14"/>
  <c r="P315" i="14" s="1"/>
  <c r="P317" i="14"/>
  <c r="O41" i="14"/>
  <c r="P26" i="14"/>
  <c r="M16" i="14"/>
  <c r="P43" i="14"/>
  <c r="N11" i="14"/>
  <c r="N9" i="14"/>
  <c r="O134" i="14"/>
  <c r="L132" i="14"/>
  <c r="O132" i="14" s="1"/>
  <c r="O183" i="12"/>
  <c r="P300" i="13"/>
  <c r="L402" i="13"/>
  <c r="O402" i="13" s="1"/>
  <c r="O263" i="13"/>
  <c r="O446" i="14"/>
  <c r="L444" i="14"/>
  <c r="O444" i="14" s="1"/>
  <c r="O421" i="14"/>
  <c r="L419" i="14"/>
  <c r="L402" i="14"/>
  <c r="O402" i="14" s="1"/>
  <c r="O404" i="14"/>
  <c r="P24" i="14"/>
  <c r="P30" i="14"/>
  <c r="M28" i="14"/>
  <c r="P28" i="14" s="1"/>
  <c r="O24" i="14"/>
  <c r="M165" i="14"/>
  <c r="P165" i="14" s="1"/>
  <c r="L685" i="9"/>
  <c r="O685" i="9" s="1"/>
  <c r="L66" i="9"/>
  <c r="O66" i="9" s="1"/>
  <c r="P168" i="9"/>
  <c r="M315" i="10"/>
  <c r="P315" i="10" s="1"/>
  <c r="O264" i="11"/>
  <c r="P351" i="12"/>
  <c r="O261" i="11"/>
  <c r="P330" i="13"/>
  <c r="L30" i="13"/>
  <c r="O30" i="13" s="1"/>
  <c r="O134" i="13"/>
  <c r="P121" i="10"/>
  <c r="P298" i="13"/>
  <c r="N24" i="13"/>
  <c r="O330" i="13"/>
  <c r="K364" i="12"/>
  <c r="M132" i="13"/>
  <c r="P132" i="13" s="1"/>
  <c r="L13" i="13"/>
  <c r="L11" i="13" s="1"/>
  <c r="P298" i="12"/>
  <c r="M328" i="12"/>
  <c r="P328" i="12" s="1"/>
  <c r="P184" i="12"/>
  <c r="M53" i="12"/>
  <c r="P53" i="12" s="1"/>
  <c r="O55" i="12"/>
  <c r="O469" i="13"/>
  <c r="L467" i="13"/>
  <c r="O467" i="13" s="1"/>
  <c r="N261" i="13"/>
  <c r="O261" i="13" s="1"/>
  <c r="P68" i="13"/>
  <c r="M66" i="13"/>
  <c r="P66" i="13" s="1"/>
  <c r="L66" i="13"/>
  <c r="O66" i="13" s="1"/>
  <c r="L34" i="12"/>
  <c r="O34" i="12" s="1"/>
  <c r="P90" i="12"/>
  <c r="P328" i="13"/>
  <c r="N181" i="13"/>
  <c r="P181" i="13" s="1"/>
  <c r="M261" i="13"/>
  <c r="P261" i="13" s="1"/>
  <c r="P263" i="13"/>
  <c r="O43" i="13"/>
  <c r="N41" i="13"/>
  <c r="O41" i="13" s="1"/>
  <c r="L328" i="12"/>
  <c r="O328" i="12" s="1"/>
  <c r="P134" i="12"/>
  <c r="O53" i="12"/>
  <c r="O546" i="13"/>
  <c r="L544" i="13"/>
  <c r="O544" i="13" s="1"/>
  <c r="O121" i="13"/>
  <c r="L119" i="13"/>
  <c r="O119" i="13" s="1"/>
  <c r="P43" i="13"/>
  <c r="M41" i="13"/>
  <c r="O525" i="12"/>
  <c r="N414" i="13"/>
  <c r="P15" i="13"/>
  <c r="O90" i="13"/>
  <c r="L88" i="13"/>
  <c r="M9" i="13"/>
  <c r="O167" i="13"/>
  <c r="L165" i="13"/>
  <c r="O165" i="13" s="1"/>
  <c r="O168" i="13"/>
  <c r="O21" i="13"/>
  <c r="P151" i="10"/>
  <c r="M261" i="12"/>
  <c r="P261" i="12" s="1"/>
  <c r="P23" i="13"/>
  <c r="M20" i="13"/>
  <c r="M21" i="13"/>
  <c r="P21" i="13" s="1"/>
  <c r="M13" i="13"/>
  <c r="K237" i="13"/>
  <c r="I226" i="13"/>
  <c r="M149" i="13"/>
  <c r="P149" i="13" s="1"/>
  <c r="O279" i="13"/>
  <c r="L277" i="13"/>
  <c r="O277" i="13" s="1"/>
  <c r="O19" i="13"/>
  <c r="L444" i="13"/>
  <c r="O444" i="13" s="1"/>
  <c r="P347" i="13"/>
  <c r="M345" i="13"/>
  <c r="O29" i="13"/>
  <c r="L227" i="13"/>
  <c r="M16" i="11"/>
  <c r="P16" i="11" s="1"/>
  <c r="L419" i="13"/>
  <c r="O421" i="13"/>
  <c r="O347" i="13"/>
  <c r="N345" i="13"/>
  <c r="O345" i="13" s="1"/>
  <c r="O15" i="13"/>
  <c r="P404" i="13"/>
  <c r="M402" i="13"/>
  <c r="P402" i="13" s="1"/>
  <c r="I65" i="13"/>
  <c r="K65" i="13" s="1"/>
  <c r="K77" i="13"/>
  <c r="P29" i="13"/>
  <c r="M28" i="13"/>
  <c r="P28" i="13" s="1"/>
  <c r="M414" i="13"/>
  <c r="P414" i="13" s="1"/>
  <c r="P26" i="13"/>
  <c r="M24" i="13"/>
  <c r="M16" i="13"/>
  <c r="P16" i="13" s="1"/>
  <c r="O300" i="13"/>
  <c r="L298" i="13"/>
  <c r="O298" i="13" s="1"/>
  <c r="L9" i="13"/>
  <c r="O12" i="13"/>
  <c r="P53" i="13"/>
  <c r="N13" i="13"/>
  <c r="N20" i="13"/>
  <c r="N18" i="13" s="1"/>
  <c r="P391" i="13"/>
  <c r="M389" i="13"/>
  <c r="P389" i="13" s="1"/>
  <c r="O23" i="13"/>
  <c r="M277" i="13"/>
  <c r="P277" i="13" s="1"/>
  <c r="P279" i="13"/>
  <c r="L24" i="13"/>
  <c r="L16" i="13"/>
  <c r="L14" i="13" s="1"/>
  <c r="O14" i="13" s="1"/>
  <c r="O26" i="13"/>
  <c r="O183" i="13"/>
  <c r="L181" i="13"/>
  <c r="P55" i="6"/>
  <c r="L31" i="7"/>
  <c r="O31" i="7" s="1"/>
  <c r="M24" i="9"/>
  <c r="P90" i="10"/>
  <c r="O330" i="11"/>
  <c r="O91" i="11"/>
  <c r="O263" i="11"/>
  <c r="L629" i="12"/>
  <c r="O629" i="12" s="1"/>
  <c r="K434" i="12"/>
  <c r="N261" i="12"/>
  <c r="O261" i="12" s="1"/>
  <c r="P167" i="12"/>
  <c r="O165" i="12"/>
  <c r="M389" i="12"/>
  <c r="P389" i="12" s="1"/>
  <c r="P43" i="10"/>
  <c r="P347" i="11"/>
  <c r="N24" i="11"/>
  <c r="P24" i="11" s="1"/>
  <c r="N20" i="11"/>
  <c r="N18" i="11" s="1"/>
  <c r="L31" i="10"/>
  <c r="O31" i="10" s="1"/>
  <c r="P44" i="10"/>
  <c r="L685" i="11"/>
  <c r="O685" i="11" s="1"/>
  <c r="P26" i="11"/>
  <c r="P90" i="11"/>
  <c r="O345" i="11"/>
  <c r="L165" i="9"/>
  <c r="O165" i="9" s="1"/>
  <c r="O347" i="9"/>
  <c r="L34" i="9"/>
  <c r="O34" i="9" s="1"/>
  <c r="L629" i="10"/>
  <c r="O629" i="10" s="1"/>
  <c r="O53" i="10"/>
  <c r="M88" i="12"/>
  <c r="P88" i="12" s="1"/>
  <c r="M165" i="12"/>
  <c r="P165" i="12" s="1"/>
  <c r="N24" i="12"/>
  <c r="O24" i="12" s="1"/>
  <c r="L31" i="12"/>
  <c r="O31" i="12" s="1"/>
  <c r="L30" i="12"/>
  <c r="O30" i="12" s="1"/>
  <c r="I543" i="8"/>
  <c r="K543" i="8" s="1"/>
  <c r="N53" i="8"/>
  <c r="P53" i="8" s="1"/>
  <c r="L467" i="9"/>
  <c r="O467" i="9" s="1"/>
  <c r="L444" i="11"/>
  <c r="O444" i="11" s="1"/>
  <c r="O121" i="12"/>
  <c r="L119" i="12"/>
  <c r="O119" i="12" s="1"/>
  <c r="O55" i="8"/>
  <c r="M149" i="9"/>
  <c r="P149" i="9" s="1"/>
  <c r="L655" i="9"/>
  <c r="O655" i="9" s="1"/>
  <c r="L119" i="10"/>
  <c r="O119" i="10" s="1"/>
  <c r="P134" i="10"/>
  <c r="L544" i="10"/>
  <c r="O544" i="10" s="1"/>
  <c r="O55" i="10"/>
  <c r="L419" i="11"/>
  <c r="O419" i="11" s="1"/>
  <c r="O33" i="11"/>
  <c r="P165" i="7"/>
  <c r="P167" i="7"/>
  <c r="K559" i="9"/>
  <c r="O88" i="10"/>
  <c r="O263" i="10"/>
  <c r="L298" i="11"/>
  <c r="O298" i="11" s="1"/>
  <c r="L402" i="12"/>
  <c r="O402" i="12" s="1"/>
  <c r="O546" i="12"/>
  <c r="L544" i="12"/>
  <c r="O544" i="12" s="1"/>
  <c r="K434" i="9"/>
  <c r="M41" i="10"/>
  <c r="P41" i="10" s="1"/>
  <c r="P68" i="11"/>
  <c r="P279" i="12"/>
  <c r="M277" i="12"/>
  <c r="P277" i="12" s="1"/>
  <c r="I64" i="6"/>
  <c r="K64" i="6" s="1"/>
  <c r="N24" i="10"/>
  <c r="L149" i="11"/>
  <c r="O149" i="11" s="1"/>
  <c r="N20" i="12"/>
  <c r="N18" i="12" s="1"/>
  <c r="N13" i="12"/>
  <c r="N10" i="12" s="1"/>
  <c r="P347" i="12"/>
  <c r="M345" i="12"/>
  <c r="K237" i="12"/>
  <c r="I226" i="12"/>
  <c r="O19" i="12"/>
  <c r="N21" i="12"/>
  <c r="O21" i="12" s="1"/>
  <c r="N14" i="12"/>
  <c r="I131" i="12"/>
  <c r="K131" i="12" s="1"/>
  <c r="K143" i="12"/>
  <c r="P53" i="7"/>
  <c r="O328" i="11"/>
  <c r="K433" i="12"/>
  <c r="I417" i="12"/>
  <c r="K417" i="12" s="1"/>
  <c r="O469" i="12"/>
  <c r="L467" i="12"/>
  <c r="O467" i="12" s="1"/>
  <c r="N345" i="12"/>
  <c r="O345" i="12" s="1"/>
  <c r="O347" i="12"/>
  <c r="P26" i="12"/>
  <c r="M16" i="12"/>
  <c r="M24" i="12"/>
  <c r="N9" i="12"/>
  <c r="P23" i="12"/>
  <c r="M20" i="12"/>
  <c r="M18" i="12" s="1"/>
  <c r="M13" i="12"/>
  <c r="M11" i="12" s="1"/>
  <c r="M21" i="12"/>
  <c r="P56" i="12"/>
  <c r="P404" i="12"/>
  <c r="M402" i="12"/>
  <c r="P402" i="12" s="1"/>
  <c r="M414" i="12"/>
  <c r="P414" i="12" s="1"/>
  <c r="P419" i="12"/>
  <c r="O12" i="12"/>
  <c r="L9" i="12"/>
  <c r="O26" i="12"/>
  <c r="L16" i="12"/>
  <c r="I64" i="8"/>
  <c r="K64" i="8" s="1"/>
  <c r="L444" i="12"/>
  <c r="O444" i="12" s="1"/>
  <c r="O300" i="12"/>
  <c r="L298" i="12"/>
  <c r="O298" i="12" s="1"/>
  <c r="L227" i="12"/>
  <c r="O249" i="12"/>
  <c r="K76" i="12"/>
  <c r="I64" i="12"/>
  <c r="K64" i="12" s="1"/>
  <c r="L66" i="12"/>
  <c r="O66" i="12" s="1"/>
  <c r="O23" i="12"/>
  <c r="L13" i="12"/>
  <c r="L11" i="12" s="1"/>
  <c r="L20" i="12"/>
  <c r="L18" i="12" s="1"/>
  <c r="P149" i="4"/>
  <c r="L419" i="12"/>
  <c r="O421" i="12"/>
  <c r="I65" i="12"/>
  <c r="K65" i="12" s="1"/>
  <c r="K77" i="12"/>
  <c r="K174" i="12"/>
  <c r="I164" i="12"/>
  <c r="K164" i="12" s="1"/>
  <c r="P19" i="12"/>
  <c r="P41" i="12"/>
  <c r="L277" i="12"/>
  <c r="O277" i="12" s="1"/>
  <c r="O279" i="12"/>
  <c r="P12" i="12"/>
  <c r="M9" i="12"/>
  <c r="P168" i="11"/>
  <c r="P300" i="11"/>
  <c r="L315" i="11"/>
  <c r="O315" i="11" s="1"/>
  <c r="K76" i="11"/>
  <c r="I64" i="11"/>
  <c r="K64" i="11" s="1"/>
  <c r="O279" i="11"/>
  <c r="L277" i="11"/>
  <c r="O277" i="11" s="1"/>
  <c r="O183" i="11"/>
  <c r="P151" i="6"/>
  <c r="M402" i="7"/>
  <c r="P402" i="7" s="1"/>
  <c r="M165" i="10"/>
  <c r="P165" i="10" s="1"/>
  <c r="O347" i="11"/>
  <c r="L119" i="11"/>
  <c r="O119" i="11" s="1"/>
  <c r="N21" i="11"/>
  <c r="O56" i="10"/>
  <c r="P348" i="11"/>
  <c r="M119" i="11"/>
  <c r="P119" i="11" s="1"/>
  <c r="L66" i="11"/>
  <c r="O66" i="11" s="1"/>
  <c r="M315" i="11"/>
  <c r="P315" i="11" s="1"/>
  <c r="O90" i="10"/>
  <c r="N13" i="11"/>
  <c r="P91" i="11"/>
  <c r="K434" i="11"/>
  <c r="I418" i="11"/>
  <c r="K418" i="11" s="1"/>
  <c r="L132" i="6"/>
  <c r="O132" i="6" s="1"/>
  <c r="L402" i="10"/>
  <c r="O402" i="10" s="1"/>
  <c r="P56" i="11"/>
  <c r="L544" i="8"/>
  <c r="O544" i="8" s="1"/>
  <c r="M345" i="11"/>
  <c r="P345" i="11" s="1"/>
  <c r="L544" i="11"/>
  <c r="O544" i="11" s="1"/>
  <c r="N165" i="11"/>
  <c r="P44" i="11"/>
  <c r="O36" i="11"/>
  <c r="L30" i="11"/>
  <c r="O30" i="11" s="1"/>
  <c r="L34" i="11"/>
  <c r="O34" i="11" s="1"/>
  <c r="O9" i="11"/>
  <c r="M119" i="8"/>
  <c r="P119" i="8" s="1"/>
  <c r="P348" i="10"/>
  <c r="O469" i="11"/>
  <c r="K559" i="11"/>
  <c r="I543" i="11"/>
  <c r="K543" i="11" s="1"/>
  <c r="P23" i="11"/>
  <c r="M20" i="11"/>
  <c r="M13" i="11"/>
  <c r="M11" i="11" s="1"/>
  <c r="P151" i="11"/>
  <c r="M149" i="11"/>
  <c r="P149" i="11" s="1"/>
  <c r="O279" i="10"/>
  <c r="L277" i="10"/>
  <c r="O277" i="10" s="1"/>
  <c r="P167" i="11"/>
  <c r="O279" i="5"/>
  <c r="O687" i="6"/>
  <c r="L132" i="9"/>
  <c r="O132" i="9" s="1"/>
  <c r="O467" i="11"/>
  <c r="I226" i="11"/>
  <c r="K237" i="11"/>
  <c r="P502" i="11"/>
  <c r="M414" i="11"/>
  <c r="P414" i="11" s="1"/>
  <c r="I131" i="11"/>
  <c r="K131" i="11" s="1"/>
  <c r="K143" i="11"/>
  <c r="L41" i="11"/>
  <c r="O43" i="11"/>
  <c r="O88" i="11"/>
  <c r="M21" i="11"/>
  <c r="P88" i="11"/>
  <c r="L402" i="11"/>
  <c r="O402" i="11" s="1"/>
  <c r="O404" i="11"/>
  <c r="M41" i="11"/>
  <c r="P43" i="11"/>
  <c r="K417" i="11"/>
  <c r="O26" i="11"/>
  <c r="L16" i="11"/>
  <c r="O16" i="11" s="1"/>
  <c r="O421" i="5"/>
  <c r="O631" i="11"/>
  <c r="L629" i="11"/>
  <c r="O629" i="11" s="1"/>
  <c r="L523" i="11"/>
  <c r="O523" i="11" s="1"/>
  <c r="O29" i="11"/>
  <c r="K433" i="11"/>
  <c r="L13" i="11"/>
  <c r="O23" i="11"/>
  <c r="L21" i="11"/>
  <c r="L20" i="11"/>
  <c r="P345" i="6"/>
  <c r="P330" i="11"/>
  <c r="M328" i="11"/>
  <c r="P328" i="11" s="1"/>
  <c r="O15" i="11"/>
  <c r="L227" i="11"/>
  <c r="P12" i="11"/>
  <c r="M9" i="11"/>
  <c r="L24" i="11"/>
  <c r="I65" i="8"/>
  <c r="K65" i="8" s="1"/>
  <c r="N345" i="10"/>
  <c r="O345" i="10" s="1"/>
  <c r="P347" i="10"/>
  <c r="M66" i="9"/>
  <c r="P66" i="9" s="1"/>
  <c r="L227" i="9"/>
  <c r="L298" i="10"/>
  <c r="O298" i="10" s="1"/>
  <c r="L66" i="10"/>
  <c r="O66" i="10" s="1"/>
  <c r="L21" i="10"/>
  <c r="O21" i="10" s="1"/>
  <c r="L13" i="10"/>
  <c r="L11" i="10" s="1"/>
  <c r="L655" i="10"/>
  <c r="O655" i="10" s="1"/>
  <c r="N261" i="10"/>
  <c r="O261" i="10" s="1"/>
  <c r="L227" i="5"/>
  <c r="P183" i="8"/>
  <c r="L315" i="10"/>
  <c r="O315" i="10" s="1"/>
  <c r="P183" i="10"/>
  <c r="L467" i="10"/>
  <c r="O467" i="10" s="1"/>
  <c r="I64" i="10"/>
  <c r="K64" i="10" s="1"/>
  <c r="K76" i="10"/>
  <c r="O43" i="4"/>
  <c r="O347" i="6"/>
  <c r="P90" i="7"/>
  <c r="L685" i="8"/>
  <c r="O685" i="8" s="1"/>
  <c r="O391" i="10"/>
  <c r="L389" i="10"/>
  <c r="O389" i="10" s="1"/>
  <c r="O167" i="6"/>
  <c r="M277" i="9"/>
  <c r="P277" i="9" s="1"/>
  <c r="M88" i="10"/>
  <c r="P88" i="10" s="1"/>
  <c r="O165" i="10"/>
  <c r="P348" i="9"/>
  <c r="K433" i="10"/>
  <c r="P351" i="9"/>
  <c r="O238" i="10"/>
  <c r="L227" i="10"/>
  <c r="O15" i="10"/>
  <c r="P404" i="10"/>
  <c r="M402" i="10"/>
  <c r="P402" i="10" s="1"/>
  <c r="I131" i="10"/>
  <c r="K131" i="10" s="1"/>
  <c r="K143" i="10"/>
  <c r="I65" i="10"/>
  <c r="K65" i="10" s="1"/>
  <c r="K77" i="10"/>
  <c r="P12" i="10"/>
  <c r="M9" i="10"/>
  <c r="N20" i="10"/>
  <c r="N18" i="10" s="1"/>
  <c r="N13" i="10"/>
  <c r="O23" i="10"/>
  <c r="L629" i="9"/>
  <c r="O629" i="9" s="1"/>
  <c r="M389" i="10"/>
  <c r="P389" i="10" s="1"/>
  <c r="L9" i="10"/>
  <c r="M181" i="10"/>
  <c r="P68" i="10"/>
  <c r="M66" i="10"/>
  <c r="P66" i="10" s="1"/>
  <c r="O26" i="10"/>
  <c r="L16" i="10"/>
  <c r="L14" i="10" s="1"/>
  <c r="O14" i="10" s="1"/>
  <c r="L24" i="10"/>
  <c r="L20" i="10"/>
  <c r="O421" i="10"/>
  <c r="L419" i="10"/>
  <c r="I164" i="10"/>
  <c r="K164" i="10" s="1"/>
  <c r="K174" i="10"/>
  <c r="N328" i="10"/>
  <c r="O328" i="10" s="1"/>
  <c r="N9" i="10"/>
  <c r="P30" i="10"/>
  <c r="M28" i="10"/>
  <c r="P28" i="10" s="1"/>
  <c r="O687" i="5"/>
  <c r="P43" i="4"/>
  <c r="L34" i="8"/>
  <c r="O34" i="8" s="1"/>
  <c r="O181" i="9"/>
  <c r="M277" i="10"/>
  <c r="P277" i="10" s="1"/>
  <c r="L149" i="10"/>
  <c r="O149" i="10" s="1"/>
  <c r="O29" i="10"/>
  <c r="K237" i="10"/>
  <c r="I226" i="10"/>
  <c r="P330" i="10"/>
  <c r="O446" i="10"/>
  <c r="L444" i="10"/>
  <c r="O444" i="10" s="1"/>
  <c r="P23" i="10"/>
  <c r="M20" i="10"/>
  <c r="M18" i="10" s="1"/>
  <c r="M13" i="10"/>
  <c r="M11" i="10" s="1"/>
  <c r="M21" i="10"/>
  <c r="P21" i="10" s="1"/>
  <c r="M414" i="10"/>
  <c r="P414" i="10" s="1"/>
  <c r="O525" i="10"/>
  <c r="L523" i="10"/>
  <c r="O523" i="10" s="1"/>
  <c r="P19" i="10"/>
  <c r="M53" i="10"/>
  <c r="P53" i="10" s="1"/>
  <c r="P55" i="10"/>
  <c r="P26" i="10"/>
  <c r="M16" i="10"/>
  <c r="M24" i="10"/>
  <c r="L34" i="10"/>
  <c r="O34" i="10" s="1"/>
  <c r="O36" i="10"/>
  <c r="O183" i="10"/>
  <c r="N181" i="10"/>
  <c r="O181" i="10" s="1"/>
  <c r="L41" i="10"/>
  <c r="O151" i="4"/>
  <c r="L389" i="4"/>
  <c r="O389" i="4" s="1"/>
  <c r="K559" i="6"/>
  <c r="O300" i="6"/>
  <c r="O279" i="8"/>
  <c r="L467" i="8"/>
  <c r="O467" i="8" s="1"/>
  <c r="M261" i="9"/>
  <c r="P261" i="9" s="1"/>
  <c r="L119" i="9"/>
  <c r="O119" i="9" s="1"/>
  <c r="P330" i="7"/>
  <c r="J275" i="8"/>
  <c r="K275" i="8" s="1"/>
  <c r="P347" i="9"/>
  <c r="O90" i="9"/>
  <c r="M41" i="4"/>
  <c r="P41" i="4" s="1"/>
  <c r="O345" i="7"/>
  <c r="M119" i="7"/>
  <c r="P119" i="7" s="1"/>
  <c r="P328" i="6"/>
  <c r="O345" i="8"/>
  <c r="I418" i="8"/>
  <c r="K418" i="8" s="1"/>
  <c r="P181" i="8"/>
  <c r="O328" i="8"/>
  <c r="M119" i="9"/>
  <c r="P119" i="9" s="1"/>
  <c r="P134" i="9"/>
  <c r="M132" i="9"/>
  <c r="P132" i="9" s="1"/>
  <c r="O404" i="6"/>
  <c r="L402" i="9"/>
  <c r="O402" i="9" s="1"/>
  <c r="M181" i="9"/>
  <c r="P181" i="9" s="1"/>
  <c r="M20" i="9"/>
  <c r="M18" i="9" s="1"/>
  <c r="O391" i="9"/>
  <c r="L389" i="9"/>
  <c r="O389" i="9" s="1"/>
  <c r="M402" i="6"/>
  <c r="P402" i="6" s="1"/>
  <c r="M132" i="6"/>
  <c r="P132" i="6" s="1"/>
  <c r="L149" i="8"/>
  <c r="O149" i="8" s="1"/>
  <c r="L53" i="9"/>
  <c r="O53" i="9" s="1"/>
  <c r="M21" i="9"/>
  <c r="O88" i="9"/>
  <c r="O88" i="8"/>
  <c r="O90" i="8"/>
  <c r="I226" i="9"/>
  <c r="K226" i="9" s="1"/>
  <c r="P298" i="5"/>
  <c r="M389" i="7"/>
  <c r="P389" i="7" s="1"/>
  <c r="M149" i="7"/>
  <c r="P149" i="7" s="1"/>
  <c r="O657" i="8"/>
  <c r="O421" i="9"/>
  <c r="L419" i="9"/>
  <c r="L298" i="9"/>
  <c r="O298" i="9" s="1"/>
  <c r="O446" i="9"/>
  <c r="L444" i="9"/>
  <c r="O444" i="9" s="1"/>
  <c r="N30" i="9"/>
  <c r="N28" i="9" s="1"/>
  <c r="N31" i="9"/>
  <c r="O31" i="9" s="1"/>
  <c r="P29" i="9"/>
  <c r="M28" i="9"/>
  <c r="P28" i="9" s="1"/>
  <c r="P347" i="4"/>
  <c r="L685" i="7"/>
  <c r="O685" i="7" s="1"/>
  <c r="P181" i="7"/>
  <c r="K364" i="8"/>
  <c r="O546" i="9"/>
  <c r="L544" i="9"/>
  <c r="O544" i="9" s="1"/>
  <c r="L315" i="9"/>
  <c r="O315" i="9" s="1"/>
  <c r="N345" i="9"/>
  <c r="P345" i="9" s="1"/>
  <c r="P55" i="9"/>
  <c r="M53" i="9"/>
  <c r="P404" i="9"/>
  <c r="M402" i="9"/>
  <c r="P402" i="9" s="1"/>
  <c r="O151" i="9"/>
  <c r="L149" i="9"/>
  <c r="O149" i="9" s="1"/>
  <c r="K77" i="9"/>
  <c r="I65" i="9"/>
  <c r="K65" i="9" s="1"/>
  <c r="N261" i="9"/>
  <c r="O261" i="9" s="1"/>
  <c r="O263" i="9"/>
  <c r="P90" i="9"/>
  <c r="M88" i="9"/>
  <c r="P88" i="9" s="1"/>
  <c r="N16" i="9"/>
  <c r="N14" i="9" s="1"/>
  <c r="N24" i="9"/>
  <c r="N414" i="9"/>
  <c r="L30" i="9"/>
  <c r="O33" i="9"/>
  <c r="N20" i="9"/>
  <c r="N18" i="9" s="1"/>
  <c r="N13" i="9"/>
  <c r="N21" i="9"/>
  <c r="O21" i="9" s="1"/>
  <c r="O9" i="9"/>
  <c r="O26" i="9"/>
  <c r="L16" i="9"/>
  <c r="M10" i="9"/>
  <c r="P19" i="9"/>
  <c r="O525" i="9"/>
  <c r="L523" i="9"/>
  <c r="O523" i="9" s="1"/>
  <c r="O279" i="9"/>
  <c r="L277" i="9"/>
  <c r="O277" i="9" s="1"/>
  <c r="O330" i="9"/>
  <c r="N328" i="9"/>
  <c r="O43" i="9"/>
  <c r="L41" i="9"/>
  <c r="M14" i="9"/>
  <c r="P23" i="9"/>
  <c r="P391" i="9"/>
  <c r="M389" i="9"/>
  <c r="P389" i="9" s="1"/>
  <c r="N9" i="9"/>
  <c r="M11" i="9"/>
  <c r="P12" i="9"/>
  <c r="M9" i="9"/>
  <c r="M414" i="9"/>
  <c r="P414" i="9" s="1"/>
  <c r="P419" i="9"/>
  <c r="P317" i="9"/>
  <c r="M315" i="9"/>
  <c r="P315" i="9" s="1"/>
  <c r="P167" i="9"/>
  <c r="M165" i="9"/>
  <c r="P165" i="9" s="1"/>
  <c r="K76" i="9"/>
  <c r="I64" i="9"/>
  <c r="K64" i="9" s="1"/>
  <c r="P300" i="9"/>
  <c r="M298" i="9"/>
  <c r="P298" i="9" s="1"/>
  <c r="P26" i="9"/>
  <c r="O330" i="8"/>
  <c r="K433" i="9"/>
  <c r="N41" i="9"/>
  <c r="P43" i="9"/>
  <c r="L24" i="9"/>
  <c r="O23" i="9"/>
  <c r="L20" i="9"/>
  <c r="L13" i="9"/>
  <c r="K143" i="9"/>
  <c r="I131" i="9"/>
  <c r="K131" i="9" s="1"/>
  <c r="O788" i="6"/>
  <c r="P347" i="6"/>
  <c r="P43" i="7"/>
  <c r="P348" i="8"/>
  <c r="O300" i="8"/>
  <c r="P55" i="7"/>
  <c r="L165" i="8"/>
  <c r="O165" i="8" s="1"/>
  <c r="L181" i="8"/>
  <c r="O181" i="8" s="1"/>
  <c r="O328" i="6"/>
  <c r="L523" i="8"/>
  <c r="O523" i="8" s="1"/>
  <c r="O68" i="8"/>
  <c r="L66" i="8"/>
  <c r="O66" i="8" s="1"/>
  <c r="L30" i="7"/>
  <c r="O30" i="7" s="1"/>
  <c r="L227" i="8"/>
  <c r="O263" i="8"/>
  <c r="P68" i="8"/>
  <c r="M66" i="8"/>
  <c r="P66" i="8" s="1"/>
  <c r="P330" i="8"/>
  <c r="M328" i="8"/>
  <c r="P328" i="8" s="1"/>
  <c r="M132" i="8"/>
  <c r="P132" i="8" s="1"/>
  <c r="P134" i="8"/>
  <c r="O298" i="8"/>
  <c r="M119" i="6"/>
  <c r="P119" i="6" s="1"/>
  <c r="I65" i="6"/>
  <c r="K65" i="6" s="1"/>
  <c r="L16" i="6"/>
  <c r="L14" i="6" s="1"/>
  <c r="L402" i="8"/>
  <c r="O402" i="8" s="1"/>
  <c r="O261" i="8"/>
  <c r="P91" i="8"/>
  <c r="L30" i="6"/>
  <c r="O30" i="6" s="1"/>
  <c r="L119" i="6"/>
  <c r="O119" i="6" s="1"/>
  <c r="L315" i="7"/>
  <c r="O315" i="7" s="1"/>
  <c r="M88" i="8"/>
  <c r="P88" i="8" s="1"/>
  <c r="P90" i="8"/>
  <c r="K433" i="8"/>
  <c r="J417" i="8"/>
  <c r="K417" i="8" s="1"/>
  <c r="N24" i="8"/>
  <c r="P391" i="8"/>
  <c r="M389" i="8"/>
  <c r="P389" i="8" s="1"/>
  <c r="P167" i="8"/>
  <c r="M165" i="8"/>
  <c r="P165" i="8" s="1"/>
  <c r="P347" i="8"/>
  <c r="M345" i="8"/>
  <c r="P345" i="8" s="1"/>
  <c r="O151" i="6"/>
  <c r="L34" i="6"/>
  <c r="O34" i="6" s="1"/>
  <c r="L389" i="8"/>
  <c r="O389" i="8" s="1"/>
  <c r="O391" i="8"/>
  <c r="P298" i="8"/>
  <c r="O134" i="8"/>
  <c r="L132" i="8"/>
  <c r="O132" i="8" s="1"/>
  <c r="O91" i="8"/>
  <c r="P300" i="8"/>
  <c r="O134" i="1"/>
  <c r="K364" i="5"/>
  <c r="L315" i="6"/>
  <c r="O315" i="6" s="1"/>
  <c r="P59" i="7"/>
  <c r="L419" i="8"/>
  <c r="O421" i="8"/>
  <c r="M21" i="8"/>
  <c r="M13" i="8"/>
  <c r="P23" i="8"/>
  <c r="M20" i="8"/>
  <c r="L53" i="8"/>
  <c r="L444" i="8"/>
  <c r="O444" i="8" s="1"/>
  <c r="P26" i="8"/>
  <c r="M16" i="8"/>
  <c r="P16" i="8" s="1"/>
  <c r="M24" i="8"/>
  <c r="P24" i="8" s="1"/>
  <c r="N14" i="8"/>
  <c r="P300" i="5"/>
  <c r="L66" i="5"/>
  <c r="O66" i="5" s="1"/>
  <c r="N24" i="7"/>
  <c r="P151" i="8"/>
  <c r="M149" i="8"/>
  <c r="P149" i="8" s="1"/>
  <c r="O15" i="8"/>
  <c r="P9" i="8"/>
  <c r="L9" i="8"/>
  <c r="M66" i="5"/>
  <c r="P66" i="5" s="1"/>
  <c r="P279" i="8"/>
  <c r="N277" i="8"/>
  <c r="O277" i="8" s="1"/>
  <c r="L31" i="8"/>
  <c r="O31" i="8" s="1"/>
  <c r="L30" i="8"/>
  <c r="O30" i="8" s="1"/>
  <c r="O33" i="8"/>
  <c r="K143" i="8"/>
  <c r="I131" i="8"/>
  <c r="K131" i="8" s="1"/>
  <c r="P263" i="8"/>
  <c r="M261" i="8"/>
  <c r="P261" i="8" s="1"/>
  <c r="P404" i="8"/>
  <c r="M402" i="8"/>
  <c r="P402" i="8" s="1"/>
  <c r="L629" i="8"/>
  <c r="O629" i="8" s="1"/>
  <c r="O26" i="8"/>
  <c r="L24" i="8"/>
  <c r="O24" i="8" s="1"/>
  <c r="L16" i="8"/>
  <c r="O16" i="8" s="1"/>
  <c r="L13" i="8"/>
  <c r="O168" i="7"/>
  <c r="M21" i="7"/>
  <c r="P21" i="7" s="1"/>
  <c r="O788" i="8"/>
  <c r="L786" i="8"/>
  <c r="O786" i="8" s="1"/>
  <c r="P317" i="8"/>
  <c r="M315" i="8"/>
  <c r="P315" i="8" s="1"/>
  <c r="P43" i="8"/>
  <c r="O43" i="8"/>
  <c r="N41" i="8"/>
  <c r="P41" i="8" s="1"/>
  <c r="N13" i="8"/>
  <c r="N21" i="8"/>
  <c r="O21" i="8" s="1"/>
  <c r="N20" i="8"/>
  <c r="N18" i="8" s="1"/>
  <c r="L20" i="8"/>
  <c r="M402" i="5"/>
  <c r="P402" i="5" s="1"/>
  <c r="O43" i="7"/>
  <c r="M414" i="8"/>
  <c r="P414" i="8" s="1"/>
  <c r="P15" i="8"/>
  <c r="L119" i="8"/>
  <c r="O119" i="8" s="1"/>
  <c r="K248" i="8"/>
  <c r="I226" i="8"/>
  <c r="M28" i="8"/>
  <c r="P28" i="8" s="1"/>
  <c r="P29" i="8"/>
  <c r="O29" i="8"/>
  <c r="P44" i="8"/>
  <c r="O44" i="8"/>
  <c r="O23" i="8"/>
  <c r="O328" i="4"/>
  <c r="P168" i="7"/>
  <c r="I226" i="6"/>
  <c r="K226" i="6" s="1"/>
  <c r="P132" i="4"/>
  <c r="L149" i="5"/>
  <c r="O149" i="5" s="1"/>
  <c r="N328" i="7"/>
  <c r="P328" i="7" s="1"/>
  <c r="O546" i="6"/>
  <c r="P345" i="7"/>
  <c r="L132" i="7"/>
  <c r="O132" i="7" s="1"/>
  <c r="K559" i="3"/>
  <c r="P151" i="4"/>
  <c r="L544" i="5"/>
  <c r="O544" i="5" s="1"/>
  <c r="P91" i="5"/>
  <c r="P90" i="5"/>
  <c r="P43" i="6"/>
  <c r="P181" i="6"/>
  <c r="P330" i="6"/>
  <c r="P183" i="6"/>
  <c r="L34" i="7"/>
  <c r="O34" i="7" s="1"/>
  <c r="O330" i="7"/>
  <c r="P183" i="7"/>
  <c r="N88" i="7"/>
  <c r="P88" i="7" s="1"/>
  <c r="K143" i="7"/>
  <c r="I131" i="7"/>
  <c r="K131" i="7" s="1"/>
  <c r="L66" i="4"/>
  <c r="O66" i="4" s="1"/>
  <c r="L523" i="7"/>
  <c r="O523" i="7" s="1"/>
  <c r="O181" i="7"/>
  <c r="M149" i="5"/>
  <c r="P149" i="5" s="1"/>
  <c r="K174" i="6"/>
  <c r="K364" i="6"/>
  <c r="O263" i="6"/>
  <c r="M277" i="7"/>
  <c r="P277" i="7" s="1"/>
  <c r="P317" i="5"/>
  <c r="L30" i="5"/>
  <c r="O30" i="5" s="1"/>
  <c r="O261" i="6"/>
  <c r="P279" i="6"/>
  <c r="M298" i="7"/>
  <c r="P298" i="7" s="1"/>
  <c r="O183" i="7"/>
  <c r="L227" i="7"/>
  <c r="O279" i="7"/>
  <c r="L277" i="7"/>
  <c r="O277" i="7" s="1"/>
  <c r="L655" i="7"/>
  <c r="O655" i="7" s="1"/>
  <c r="P165" i="4"/>
  <c r="P167" i="4"/>
  <c r="O238" i="5"/>
  <c r="O183" i="5"/>
  <c r="O330" i="6"/>
  <c r="P347" i="7"/>
  <c r="O347" i="7"/>
  <c r="I418" i="7"/>
  <c r="K418" i="7" s="1"/>
  <c r="K434" i="7"/>
  <c r="O404" i="7"/>
  <c r="L402" i="7"/>
  <c r="O402" i="7" s="1"/>
  <c r="L149" i="7"/>
  <c r="O149" i="7" s="1"/>
  <c r="O151" i="7"/>
  <c r="P41" i="7"/>
  <c r="M315" i="7"/>
  <c r="P315" i="7" s="1"/>
  <c r="L66" i="7"/>
  <c r="O66" i="7" s="1"/>
  <c r="O55" i="7"/>
  <c r="P44" i="7"/>
  <c r="I164" i="7"/>
  <c r="K164" i="7" s="1"/>
  <c r="K174" i="7"/>
  <c r="P134" i="7"/>
  <c r="M132" i="7"/>
  <c r="P132" i="7" s="1"/>
  <c r="M20" i="7"/>
  <c r="M18" i="7" s="1"/>
  <c r="M16" i="7"/>
  <c r="M14" i="7" s="1"/>
  <c r="P14" i="7" s="1"/>
  <c r="P26" i="7"/>
  <c r="L119" i="7"/>
  <c r="O119" i="7" s="1"/>
  <c r="O121" i="7"/>
  <c r="N9" i="7"/>
  <c r="L298" i="7"/>
  <c r="O298" i="7" s="1"/>
  <c r="O300" i="7"/>
  <c r="O26" i="7"/>
  <c r="L16" i="7"/>
  <c r="K237" i="7"/>
  <c r="I226" i="7"/>
  <c r="O391" i="7"/>
  <c r="L389" i="7"/>
  <c r="O389" i="7" s="1"/>
  <c r="P29" i="7"/>
  <c r="M28" i="7"/>
  <c r="P28" i="7" s="1"/>
  <c r="N20" i="7"/>
  <c r="N18" i="7" s="1"/>
  <c r="N13" i="7"/>
  <c r="P23" i="7"/>
  <c r="L227" i="6"/>
  <c r="M13" i="6"/>
  <c r="M11" i="6" s="1"/>
  <c r="P419" i="7"/>
  <c r="K559" i="7"/>
  <c r="I543" i="7"/>
  <c r="K543" i="7" s="1"/>
  <c r="L88" i="7"/>
  <c r="O90" i="7"/>
  <c r="O419" i="7"/>
  <c r="L24" i="7"/>
  <c r="L261" i="7"/>
  <c r="O261" i="7" s="1"/>
  <c r="O263" i="7"/>
  <c r="M66" i="7"/>
  <c r="P66" i="7" s="1"/>
  <c r="P15" i="7"/>
  <c r="K417" i="7"/>
  <c r="P545" i="7"/>
  <c r="M544" i="7"/>
  <c r="P544" i="7" s="1"/>
  <c r="K77" i="7"/>
  <c r="I65" i="7"/>
  <c r="K65" i="7" s="1"/>
  <c r="L467" i="7"/>
  <c r="O467" i="7" s="1"/>
  <c r="I64" i="7"/>
  <c r="K64" i="7" s="1"/>
  <c r="K76" i="7"/>
  <c r="M261" i="7"/>
  <c r="P261" i="7" s="1"/>
  <c r="P19" i="7"/>
  <c r="P9" i="7"/>
  <c r="K433" i="7"/>
  <c r="O631" i="7"/>
  <c r="L629" i="7"/>
  <c r="O629" i="7" s="1"/>
  <c r="O167" i="7"/>
  <c r="L165" i="7"/>
  <c r="O165" i="7" s="1"/>
  <c r="O23" i="7"/>
  <c r="L20" i="7"/>
  <c r="L13" i="7"/>
  <c r="L21" i="7"/>
  <c r="O21" i="7" s="1"/>
  <c r="L444" i="7"/>
  <c r="O444" i="7" s="1"/>
  <c r="O446" i="7"/>
  <c r="O41" i="7"/>
  <c r="O53" i="7"/>
  <c r="P56" i="7"/>
  <c r="M24" i="7"/>
  <c r="O53" i="5"/>
  <c r="P183" i="5"/>
  <c r="L467" i="6"/>
  <c r="O467" i="6" s="1"/>
  <c r="P59" i="6"/>
  <c r="O345" i="2"/>
  <c r="M41" i="6"/>
  <c r="P41" i="6" s="1"/>
  <c r="O26" i="6"/>
  <c r="P317" i="6"/>
  <c r="M315" i="6"/>
  <c r="P315" i="6" s="1"/>
  <c r="O26" i="5"/>
  <c r="O331" i="6"/>
  <c r="O68" i="6"/>
  <c r="O152" i="6"/>
  <c r="O351" i="6"/>
  <c r="O348" i="6"/>
  <c r="P184" i="5"/>
  <c r="L345" i="6"/>
  <c r="O345" i="6" s="1"/>
  <c r="N345" i="4"/>
  <c r="O345" i="4" s="1"/>
  <c r="O152" i="4"/>
  <c r="O167" i="3"/>
  <c r="J364" i="4"/>
  <c r="K364" i="4" s="1"/>
  <c r="M132" i="5"/>
  <c r="P132" i="5" s="1"/>
  <c r="L419" i="6"/>
  <c r="O419" i="6" s="1"/>
  <c r="P23" i="6"/>
  <c r="L24" i="6"/>
  <c r="P69" i="6"/>
  <c r="K433" i="6"/>
  <c r="I417" i="6"/>
  <c r="K417" i="6" s="1"/>
  <c r="L31" i="6"/>
  <c r="O31" i="6" s="1"/>
  <c r="O33" i="6"/>
  <c r="O43" i="6"/>
  <c r="L41" i="6"/>
  <c r="O41" i="6" s="1"/>
  <c r="P263" i="6"/>
  <c r="M261" i="6"/>
  <c r="P261" i="6" s="1"/>
  <c r="P181" i="4"/>
  <c r="P44" i="4"/>
  <c r="N277" i="5"/>
  <c r="O277" i="5" s="1"/>
  <c r="L655" i="5"/>
  <c r="O655" i="5" s="1"/>
  <c r="L444" i="5"/>
  <c r="O444" i="5" s="1"/>
  <c r="O300" i="5"/>
  <c r="M20" i="6"/>
  <c r="M18" i="6" s="1"/>
  <c r="N24" i="6"/>
  <c r="M53" i="6"/>
  <c r="P53" i="6" s="1"/>
  <c r="M389" i="6"/>
  <c r="P389" i="6" s="1"/>
  <c r="P391" i="6"/>
  <c r="P90" i="6"/>
  <c r="K434" i="4"/>
  <c r="P88" i="6"/>
  <c r="L629" i="3"/>
  <c r="O629" i="3" s="1"/>
  <c r="O348" i="4"/>
  <c r="N13" i="5"/>
  <c r="N11" i="5" s="1"/>
  <c r="N24" i="5"/>
  <c r="O24" i="5" s="1"/>
  <c r="P59" i="5"/>
  <c r="N14" i="6"/>
  <c r="L389" i="6"/>
  <c r="O389" i="6" s="1"/>
  <c r="N414" i="6"/>
  <c r="P55" i="3"/>
  <c r="O469" i="4"/>
  <c r="O90" i="4"/>
  <c r="P298" i="4"/>
  <c r="I226" i="4"/>
  <c r="L34" i="5"/>
  <c r="O34" i="5" s="1"/>
  <c r="L16" i="5"/>
  <c r="L14" i="5" s="1"/>
  <c r="P26" i="5"/>
  <c r="M261" i="5"/>
  <c r="P261" i="5" s="1"/>
  <c r="O685" i="6"/>
  <c r="N298" i="6"/>
  <c r="O298" i="6" s="1"/>
  <c r="N9" i="6"/>
  <c r="L13" i="6"/>
  <c r="L20" i="6"/>
  <c r="O23" i="6"/>
  <c r="O9" i="6"/>
  <c r="O55" i="6"/>
  <c r="L53" i="6"/>
  <c r="O183" i="6"/>
  <c r="L181" i="6"/>
  <c r="O181" i="6" s="1"/>
  <c r="N20" i="6"/>
  <c r="N18" i="6" s="1"/>
  <c r="N21" i="6"/>
  <c r="O21" i="6" s="1"/>
  <c r="N13" i="6"/>
  <c r="P68" i="6"/>
  <c r="L444" i="6"/>
  <c r="O444" i="6" s="1"/>
  <c r="L629" i="6"/>
  <c r="O629" i="6" s="1"/>
  <c r="M149" i="6"/>
  <c r="P149" i="6" s="1"/>
  <c r="P9" i="6"/>
  <c r="O263" i="3"/>
  <c r="O347" i="4"/>
  <c r="N16" i="5"/>
  <c r="N14" i="5" s="1"/>
  <c r="P300" i="6"/>
  <c r="P167" i="6"/>
  <c r="N165" i="6"/>
  <c r="P165" i="6" s="1"/>
  <c r="O90" i="6"/>
  <c r="L88" i="6"/>
  <c r="O88" i="6" s="1"/>
  <c r="K434" i="6"/>
  <c r="I418" i="6"/>
  <c r="K418" i="6" s="1"/>
  <c r="L149" i="6"/>
  <c r="O149" i="6" s="1"/>
  <c r="M414" i="6"/>
  <c r="P414" i="6" s="1"/>
  <c r="O525" i="6"/>
  <c r="L523" i="6"/>
  <c r="O523" i="6" s="1"/>
  <c r="M24" i="6"/>
  <c r="M16" i="6"/>
  <c r="P26" i="6"/>
  <c r="O15" i="6"/>
  <c r="P29" i="6"/>
  <c r="M28" i="6"/>
  <c r="P28" i="6" s="1"/>
  <c r="L277" i="6"/>
  <c r="O277" i="6" s="1"/>
  <c r="O279" i="6"/>
  <c r="N66" i="6"/>
  <c r="P183" i="2"/>
  <c r="N165" i="3"/>
  <c r="O165" i="3" s="1"/>
  <c r="P88" i="4"/>
  <c r="P280" i="4"/>
  <c r="O331" i="5"/>
  <c r="L298" i="5"/>
  <c r="O298" i="5" s="1"/>
  <c r="O279" i="4"/>
  <c r="P263" i="1"/>
  <c r="O53" i="2"/>
  <c r="K77" i="3"/>
  <c r="P167" i="3"/>
  <c r="O88" i="4"/>
  <c r="O165" i="4"/>
  <c r="M389" i="5"/>
  <c r="P389" i="5" s="1"/>
  <c r="L31" i="5"/>
  <c r="O31" i="5" s="1"/>
  <c r="O134" i="5"/>
  <c r="L132" i="5"/>
  <c r="O132" i="5" s="1"/>
  <c r="K235" i="1"/>
  <c r="K364" i="3"/>
  <c r="O467" i="4"/>
  <c r="M261" i="4"/>
  <c r="P261" i="4" s="1"/>
  <c r="P277" i="4"/>
  <c r="L298" i="3"/>
  <c r="O298" i="3" s="1"/>
  <c r="L277" i="3"/>
  <c r="O277" i="3" s="1"/>
  <c r="O168" i="4"/>
  <c r="O315" i="5"/>
  <c r="L165" i="5"/>
  <c r="O165" i="5" s="1"/>
  <c r="O167" i="5"/>
  <c r="P181" i="1"/>
  <c r="K417" i="3"/>
  <c r="P134" i="4"/>
  <c r="O91" i="4"/>
  <c r="O183" i="4"/>
  <c r="O55" i="5"/>
  <c r="O44" i="5"/>
  <c r="P279" i="5"/>
  <c r="M277" i="5"/>
  <c r="N181" i="5"/>
  <c r="N688" i="1"/>
  <c r="O688" i="1" s="1"/>
  <c r="M402" i="3"/>
  <c r="P402" i="3" s="1"/>
  <c r="I164" i="3"/>
  <c r="K164" i="3" s="1"/>
  <c r="L402" i="4"/>
  <c r="O402" i="4" s="1"/>
  <c r="L685" i="4"/>
  <c r="O685" i="4" s="1"/>
  <c r="O317" i="5"/>
  <c r="O88" i="5"/>
  <c r="P55" i="4"/>
  <c r="M16" i="5"/>
  <c r="M14" i="5" s="1"/>
  <c r="N20" i="5"/>
  <c r="N18" i="5" s="1"/>
  <c r="O90" i="5"/>
  <c r="O657" i="3"/>
  <c r="N21" i="4"/>
  <c r="P21" i="4" s="1"/>
  <c r="O168" i="3"/>
  <c r="O181" i="4"/>
  <c r="P167" i="5"/>
  <c r="M165" i="5"/>
  <c r="P165" i="5" s="1"/>
  <c r="O347" i="3"/>
  <c r="P183" i="4"/>
  <c r="I543" i="4"/>
  <c r="K543" i="4" s="1"/>
  <c r="L119" i="5"/>
  <c r="O119" i="5" s="1"/>
  <c r="K174" i="5"/>
  <c r="I164" i="5"/>
  <c r="K164" i="5" s="1"/>
  <c r="O41" i="5"/>
  <c r="K143" i="5"/>
  <c r="I131" i="5"/>
  <c r="K131" i="5" s="1"/>
  <c r="P330" i="5"/>
  <c r="N328" i="5"/>
  <c r="P328" i="5" s="1"/>
  <c r="K248" i="5"/>
  <c r="I226" i="5"/>
  <c r="O330" i="5"/>
  <c r="J594" i="1"/>
  <c r="K594" i="1" s="1"/>
  <c r="O183" i="3"/>
  <c r="O167" i="4"/>
  <c r="O59" i="4"/>
  <c r="N14" i="4"/>
  <c r="P90" i="3"/>
  <c r="O134" i="4"/>
  <c r="P279" i="4"/>
  <c r="N10" i="4"/>
  <c r="N8" i="4" s="1"/>
  <c r="M315" i="5"/>
  <c r="P315" i="5" s="1"/>
  <c r="O404" i="5"/>
  <c r="L402" i="5"/>
  <c r="O402" i="5" s="1"/>
  <c r="P351" i="5"/>
  <c r="L20" i="5"/>
  <c r="L13" i="5"/>
  <c r="L11" i="5" s="1"/>
  <c r="O23" i="5"/>
  <c r="L21" i="5"/>
  <c r="O21" i="5" s="1"/>
  <c r="P88" i="5"/>
  <c r="P43" i="5"/>
  <c r="M41" i="5"/>
  <c r="K288" i="5"/>
  <c r="L16" i="3"/>
  <c r="O16" i="3" s="1"/>
  <c r="I418" i="5"/>
  <c r="K418" i="5" s="1"/>
  <c r="K434" i="5"/>
  <c r="K559" i="5"/>
  <c r="I543" i="5"/>
  <c r="K543" i="5" s="1"/>
  <c r="M9" i="5"/>
  <c r="P12" i="5"/>
  <c r="I64" i="5"/>
  <c r="K64" i="5" s="1"/>
  <c r="K76" i="5"/>
  <c r="I65" i="5"/>
  <c r="K65" i="5" s="1"/>
  <c r="K77" i="5"/>
  <c r="O29" i="5"/>
  <c r="K275" i="5"/>
  <c r="M20" i="5"/>
  <c r="M13" i="5"/>
  <c r="P23" i="5"/>
  <c r="M21" i="5"/>
  <c r="P21" i="5" s="1"/>
  <c r="O15" i="5"/>
  <c r="O55" i="3"/>
  <c r="J522" i="5"/>
  <c r="K522" i="5" s="1"/>
  <c r="K537" i="5"/>
  <c r="J417" i="5"/>
  <c r="K417" i="5" s="1"/>
  <c r="K433" i="5"/>
  <c r="P545" i="5"/>
  <c r="M544" i="5"/>
  <c r="P544" i="5" s="1"/>
  <c r="O391" i="5"/>
  <c r="L389" i="5"/>
  <c r="O389" i="5" s="1"/>
  <c r="P331" i="5"/>
  <c r="O347" i="5"/>
  <c r="L345" i="5"/>
  <c r="I64" i="3"/>
  <c r="K64" i="3" s="1"/>
  <c r="M315" i="4"/>
  <c r="P315" i="4" s="1"/>
  <c r="L523" i="5"/>
  <c r="O523" i="5" s="1"/>
  <c r="M414" i="5"/>
  <c r="P414" i="5" s="1"/>
  <c r="P419" i="5"/>
  <c r="O263" i="5"/>
  <c r="O469" i="5"/>
  <c r="L467" i="5"/>
  <c r="O467" i="5" s="1"/>
  <c r="O12" i="5"/>
  <c r="L9" i="5"/>
  <c r="L261" i="5"/>
  <c r="O261" i="5" s="1"/>
  <c r="O43" i="5"/>
  <c r="O631" i="5"/>
  <c r="L629" i="5"/>
  <c r="O629" i="5" s="1"/>
  <c r="P347" i="5"/>
  <c r="N345" i="5"/>
  <c r="P345" i="5" s="1"/>
  <c r="O419" i="5"/>
  <c r="P55" i="5"/>
  <c r="M53" i="5"/>
  <c r="P53" i="5" s="1"/>
  <c r="K112" i="1"/>
  <c r="O331" i="2"/>
  <c r="N24" i="3"/>
  <c r="O24" i="3" s="1"/>
  <c r="P151" i="3"/>
  <c r="O347" i="2"/>
  <c r="L277" i="4"/>
  <c r="O277" i="4" s="1"/>
  <c r="P90" i="4"/>
  <c r="O331" i="4"/>
  <c r="N24" i="4"/>
  <c r="O24" i="4" s="1"/>
  <c r="O317" i="4"/>
  <c r="L315" i="4"/>
  <c r="O315" i="4" s="1"/>
  <c r="P43" i="2"/>
  <c r="L53" i="3"/>
  <c r="O53" i="3" s="1"/>
  <c r="P184" i="3"/>
  <c r="P16" i="3"/>
  <c r="P330" i="4"/>
  <c r="P348" i="4"/>
  <c r="P300" i="4"/>
  <c r="P53" i="4"/>
  <c r="L34" i="4"/>
  <c r="O34" i="4" s="1"/>
  <c r="O36" i="4"/>
  <c r="L419" i="4"/>
  <c r="O419" i="4" s="1"/>
  <c r="O421" i="4"/>
  <c r="O525" i="4"/>
  <c r="L523" i="4"/>
  <c r="O523" i="4" s="1"/>
  <c r="P347" i="2"/>
  <c r="L655" i="4"/>
  <c r="O655" i="4" s="1"/>
  <c r="O657" i="4"/>
  <c r="I131" i="2"/>
  <c r="K131" i="2" s="1"/>
  <c r="L41" i="4"/>
  <c r="O41" i="4" s="1"/>
  <c r="L30" i="1"/>
  <c r="L28" i="1" s="1"/>
  <c r="O33" i="2"/>
  <c r="O330" i="3"/>
  <c r="N88" i="3"/>
  <c r="O88" i="3" s="1"/>
  <c r="N181" i="3"/>
  <c r="P181" i="3" s="1"/>
  <c r="L119" i="4"/>
  <c r="O119" i="4" s="1"/>
  <c r="M389" i="4"/>
  <c r="P389" i="4" s="1"/>
  <c r="L149" i="4"/>
  <c r="O149" i="4" s="1"/>
  <c r="O90" i="3"/>
  <c r="O33" i="4"/>
  <c r="L30" i="4"/>
  <c r="O30" i="4" s="1"/>
  <c r="P348" i="2"/>
  <c r="L389" i="2"/>
  <c r="O389" i="2" s="1"/>
  <c r="I418" i="2"/>
  <c r="K418" i="2" s="1"/>
  <c r="P347" i="3"/>
  <c r="N414" i="4"/>
  <c r="J654" i="4"/>
  <c r="K654" i="4" s="1"/>
  <c r="K669" i="4"/>
  <c r="O546" i="4"/>
  <c r="L544" i="4"/>
  <c r="O544" i="4" s="1"/>
  <c r="P404" i="4"/>
  <c r="M402" i="4"/>
  <c r="P402" i="4" s="1"/>
  <c r="O15" i="4"/>
  <c r="L298" i="4"/>
  <c r="O298" i="4" s="1"/>
  <c r="O300" i="4"/>
  <c r="N547" i="1"/>
  <c r="O547" i="1" s="1"/>
  <c r="M66" i="3"/>
  <c r="P66" i="3" s="1"/>
  <c r="M165" i="3"/>
  <c r="P315" i="2"/>
  <c r="L629" i="4"/>
  <c r="O629" i="4" s="1"/>
  <c r="O330" i="4"/>
  <c r="L9" i="4"/>
  <c r="K433" i="4"/>
  <c r="I417" i="4"/>
  <c r="K417" i="4" s="1"/>
  <c r="O26" i="4"/>
  <c r="L16" i="4"/>
  <c r="O16" i="4" s="1"/>
  <c r="O23" i="4"/>
  <c r="L20" i="4"/>
  <c r="L13" i="4"/>
  <c r="L21" i="4"/>
  <c r="O263" i="4"/>
  <c r="L261" i="4"/>
  <c r="O261" i="4" s="1"/>
  <c r="N20" i="4"/>
  <c r="N18" i="4" s="1"/>
  <c r="P68" i="4"/>
  <c r="M66" i="4"/>
  <c r="M315" i="3"/>
  <c r="P315" i="3" s="1"/>
  <c r="I64" i="4"/>
  <c r="K64" i="4" s="1"/>
  <c r="K76" i="4"/>
  <c r="M414" i="4"/>
  <c r="P414" i="4" s="1"/>
  <c r="P419" i="4"/>
  <c r="J275" i="4"/>
  <c r="K275" i="4" s="1"/>
  <c r="K288" i="4"/>
  <c r="M132" i="2"/>
  <c r="P132" i="2" s="1"/>
  <c r="L444" i="4"/>
  <c r="O446" i="4"/>
  <c r="M119" i="4"/>
  <c r="P119" i="4" s="1"/>
  <c r="P121" i="4"/>
  <c r="M28" i="4"/>
  <c r="P28" i="4" s="1"/>
  <c r="K174" i="4"/>
  <c r="I164" i="4"/>
  <c r="K164" i="4" s="1"/>
  <c r="O660" i="1"/>
  <c r="K288" i="1"/>
  <c r="O655" i="3"/>
  <c r="O315" i="2"/>
  <c r="P298" i="2"/>
  <c r="L444" i="3"/>
  <c r="O444" i="3" s="1"/>
  <c r="L149" i="3"/>
  <c r="O149" i="3" s="1"/>
  <c r="O546" i="3"/>
  <c r="O29" i="4"/>
  <c r="I65" i="4"/>
  <c r="K65" i="4" s="1"/>
  <c r="K77" i="4"/>
  <c r="P331" i="4"/>
  <c r="O238" i="4"/>
  <c r="L227" i="4"/>
  <c r="M9" i="4"/>
  <c r="P12" i="4"/>
  <c r="P301" i="4"/>
  <c r="P328" i="4"/>
  <c r="O348" i="1"/>
  <c r="L132" i="4"/>
  <c r="O132" i="4" s="1"/>
  <c r="P23" i="4"/>
  <c r="M20" i="4"/>
  <c r="M18" i="4" s="1"/>
  <c r="M13" i="4"/>
  <c r="M11" i="4" s="1"/>
  <c r="I131" i="4"/>
  <c r="K131" i="4" s="1"/>
  <c r="K143" i="4"/>
  <c r="P19" i="4"/>
  <c r="N11" i="4"/>
  <c r="O55" i="4"/>
  <c r="L53" i="4"/>
  <c r="O53" i="4" s="1"/>
  <c r="P26" i="4"/>
  <c r="M16" i="4"/>
  <c r="M24" i="4"/>
  <c r="K364" i="1"/>
  <c r="P132" i="1"/>
  <c r="O300" i="2"/>
  <c r="N261" i="3"/>
  <c r="O261" i="3" s="1"/>
  <c r="O183" i="2"/>
  <c r="N227" i="1"/>
  <c r="O138" i="1"/>
  <c r="P26" i="3"/>
  <c r="M261" i="3"/>
  <c r="P261" i="3" s="1"/>
  <c r="M345" i="3"/>
  <c r="P345" i="3" s="1"/>
  <c r="K418" i="1"/>
  <c r="M277" i="3"/>
  <c r="P277" i="3" s="1"/>
  <c r="M24" i="3"/>
  <c r="P168" i="3"/>
  <c r="K434" i="3"/>
  <c r="M53" i="3"/>
  <c r="P53" i="3" s="1"/>
  <c r="P264" i="1"/>
  <c r="O298" i="2"/>
  <c r="O544" i="3"/>
  <c r="P330" i="3"/>
  <c r="M328" i="3"/>
  <c r="P328" i="3" s="1"/>
  <c r="P43" i="3"/>
  <c r="O43" i="3"/>
  <c r="L13" i="1"/>
  <c r="L11" i="1" s="1"/>
  <c r="O261" i="1"/>
  <c r="M402" i="2"/>
  <c r="P402" i="2" s="1"/>
  <c r="P317" i="2"/>
  <c r="O90" i="2"/>
  <c r="M345" i="2"/>
  <c r="P345" i="2" s="1"/>
  <c r="P300" i="2"/>
  <c r="P331" i="2"/>
  <c r="L328" i="3"/>
  <c r="O328" i="3" s="1"/>
  <c r="L685" i="3"/>
  <c r="O685" i="3" s="1"/>
  <c r="O26" i="3"/>
  <c r="L402" i="3"/>
  <c r="O402" i="3" s="1"/>
  <c r="K433" i="3"/>
  <c r="P90" i="2"/>
  <c r="O198" i="1"/>
  <c r="P330" i="1"/>
  <c r="L31" i="1"/>
  <c r="M13" i="1"/>
  <c r="O167" i="2"/>
  <c r="P167" i="2"/>
  <c r="L389" i="3"/>
  <c r="O389" i="3" s="1"/>
  <c r="L34" i="3"/>
  <c r="O34" i="3" s="1"/>
  <c r="P183" i="3"/>
  <c r="P134" i="3"/>
  <c r="M132" i="3"/>
  <c r="P132" i="3" s="1"/>
  <c r="P55" i="1"/>
  <c r="M16" i="1"/>
  <c r="M14" i="1" s="1"/>
  <c r="O348" i="2"/>
  <c r="L119" i="3"/>
  <c r="O119" i="3" s="1"/>
  <c r="N41" i="3"/>
  <c r="O15" i="3"/>
  <c r="P168" i="2"/>
  <c r="P280" i="2"/>
  <c r="K143" i="3"/>
  <c r="I131" i="3"/>
  <c r="K131" i="3" s="1"/>
  <c r="L132" i="3"/>
  <c r="O132" i="3" s="1"/>
  <c r="O134" i="3"/>
  <c r="P121" i="3"/>
  <c r="M119" i="3"/>
  <c r="P119" i="3" s="1"/>
  <c r="L315" i="3"/>
  <c r="O315" i="3" s="1"/>
  <c r="P9" i="3"/>
  <c r="K559" i="2"/>
  <c r="P330" i="2"/>
  <c r="L66" i="3"/>
  <c r="O66" i="3" s="1"/>
  <c r="O68" i="3"/>
  <c r="O29" i="3"/>
  <c r="L9" i="3"/>
  <c r="I226" i="3"/>
  <c r="M28" i="3"/>
  <c r="P28" i="3" s="1"/>
  <c r="P29" i="3"/>
  <c r="O33" i="3"/>
  <c r="L30" i="3"/>
  <c r="O30" i="3" s="1"/>
  <c r="L31" i="3"/>
  <c r="O31" i="3" s="1"/>
  <c r="N414" i="3"/>
  <c r="O238" i="3"/>
  <c r="L227" i="3"/>
  <c r="P347" i="1"/>
  <c r="O330" i="1"/>
  <c r="O279" i="2"/>
  <c r="O657" i="2"/>
  <c r="P23" i="3"/>
  <c r="M20" i="3"/>
  <c r="M13" i="3"/>
  <c r="O469" i="3"/>
  <c r="L467" i="3"/>
  <c r="O467" i="3" s="1"/>
  <c r="M414" i="3"/>
  <c r="P414" i="3" s="1"/>
  <c r="P419" i="3"/>
  <c r="N657" i="1"/>
  <c r="N655" i="1" s="1"/>
  <c r="O655" i="1" s="1"/>
  <c r="O317" i="1"/>
  <c r="O217" i="1"/>
  <c r="O317" i="2"/>
  <c r="L88" i="2"/>
  <c r="O88" i="2" s="1"/>
  <c r="P91" i="2"/>
  <c r="O263" i="2"/>
  <c r="N13" i="2"/>
  <c r="N10" i="2" s="1"/>
  <c r="L277" i="2"/>
  <c r="O277" i="2" s="1"/>
  <c r="O525" i="3"/>
  <c r="L523" i="3"/>
  <c r="O523" i="3" s="1"/>
  <c r="L345" i="3"/>
  <c r="O345" i="3" s="1"/>
  <c r="L419" i="3"/>
  <c r="N21" i="3"/>
  <c r="P21" i="3" s="1"/>
  <c r="N13" i="3"/>
  <c r="N20" i="3"/>
  <c r="N18" i="3" s="1"/>
  <c r="P300" i="3"/>
  <c r="M298" i="3"/>
  <c r="P298" i="3" s="1"/>
  <c r="P391" i="3"/>
  <c r="M389" i="3"/>
  <c r="P389" i="3" s="1"/>
  <c r="O23" i="3"/>
  <c r="L20" i="3"/>
  <c r="L13" i="3"/>
  <c r="M14" i="3"/>
  <c r="P14" i="3" s="1"/>
  <c r="P15" i="3"/>
  <c r="O422" i="3"/>
  <c r="P91" i="1"/>
  <c r="O263" i="1"/>
  <c r="P134" i="1"/>
  <c r="O43" i="2"/>
  <c r="M165" i="2"/>
  <c r="P165" i="2" s="1"/>
  <c r="M389" i="2"/>
  <c r="P389" i="2" s="1"/>
  <c r="K675" i="1"/>
  <c r="K654" i="1"/>
  <c r="N469" i="1"/>
  <c r="N467" i="1" s="1"/>
  <c r="O467" i="1" s="1"/>
  <c r="O658" i="1"/>
  <c r="M119" i="2"/>
  <c r="P119" i="2" s="1"/>
  <c r="P151" i="1"/>
  <c r="P301" i="1"/>
  <c r="O549" i="1"/>
  <c r="O424" i="1"/>
  <c r="K669" i="1"/>
  <c r="L20" i="1"/>
  <c r="L18" i="1" s="1"/>
  <c r="M149" i="1"/>
  <c r="P149" i="1" s="1"/>
  <c r="J593" i="1"/>
  <c r="J592" i="1" s="1"/>
  <c r="K592" i="1" s="1"/>
  <c r="O184" i="2"/>
  <c r="M328" i="2"/>
  <c r="P328" i="2" s="1"/>
  <c r="K236" i="1"/>
  <c r="N14" i="1"/>
  <c r="P90" i="1"/>
  <c r="P88" i="2"/>
  <c r="O404" i="2"/>
  <c r="L402" i="2"/>
  <c r="O402" i="2" s="1"/>
  <c r="L523" i="2"/>
  <c r="O523" i="2" s="1"/>
  <c r="M66" i="2"/>
  <c r="P66" i="2" s="1"/>
  <c r="P184" i="2"/>
  <c r="N20" i="2"/>
  <c r="N18" i="2" s="1"/>
  <c r="L119" i="2"/>
  <c r="O119" i="2" s="1"/>
  <c r="O121" i="2"/>
  <c r="N526" i="1"/>
  <c r="O526" i="1" s="1"/>
  <c r="N422" i="1"/>
  <c r="O422" i="1" s="1"/>
  <c r="L132" i="2"/>
  <c r="O132" i="2" s="1"/>
  <c r="N14" i="2"/>
  <c r="M261" i="2"/>
  <c r="P261" i="2" s="1"/>
  <c r="N525" i="1"/>
  <c r="N523" i="1" s="1"/>
  <c r="O523" i="1" s="1"/>
  <c r="P279" i="2"/>
  <c r="M277" i="2"/>
  <c r="P277" i="2" s="1"/>
  <c r="O41" i="1"/>
  <c r="J522" i="2"/>
  <c r="K522" i="2" s="1"/>
  <c r="N261" i="2"/>
  <c r="O261" i="2" s="1"/>
  <c r="O151" i="2"/>
  <c r="P151" i="2"/>
  <c r="P26" i="2"/>
  <c r="M16" i="2"/>
  <c r="P16" i="2" s="1"/>
  <c r="M24" i="2"/>
  <c r="O68" i="2"/>
  <c r="L66" i="2"/>
  <c r="O66" i="2" s="1"/>
  <c r="L41" i="2"/>
  <c r="N149" i="2"/>
  <c r="P53" i="2"/>
  <c r="L227" i="2"/>
  <c r="O238" i="2"/>
  <c r="P183" i="1"/>
  <c r="N470" i="1"/>
  <c r="O470" i="1" s="1"/>
  <c r="K233" i="1"/>
  <c r="L21" i="1"/>
  <c r="M20" i="1"/>
  <c r="M18" i="1" s="1"/>
  <c r="O66" i="1"/>
  <c r="O546" i="2"/>
  <c r="L544" i="2"/>
  <c r="O544" i="2" s="1"/>
  <c r="N685" i="2"/>
  <c r="N414" i="2" s="1"/>
  <c r="O19" i="2"/>
  <c r="M41" i="2"/>
  <c r="O330" i="2"/>
  <c r="L328" i="2"/>
  <c r="O328" i="2" s="1"/>
  <c r="L24" i="2"/>
  <c r="L16" i="2"/>
  <c r="O16" i="2" s="1"/>
  <c r="O26" i="2"/>
  <c r="P55" i="2"/>
  <c r="O55" i="2"/>
  <c r="O23" i="2"/>
  <c r="L20" i="2"/>
  <c r="L13" i="2"/>
  <c r="L11" i="2" s="1"/>
  <c r="L21" i="2"/>
  <c r="O21" i="2" s="1"/>
  <c r="O168" i="2"/>
  <c r="O91" i="2"/>
  <c r="M414" i="2"/>
  <c r="P414" i="2" s="1"/>
  <c r="O12" i="2"/>
  <c r="L9" i="2"/>
  <c r="P29" i="2"/>
  <c r="M28" i="2"/>
  <c r="P28" i="2" s="1"/>
  <c r="N446" i="1"/>
  <c r="N444" i="1" s="1"/>
  <c r="O209" i="1"/>
  <c r="P68" i="1"/>
  <c r="O631" i="2"/>
  <c r="L629" i="2"/>
  <c r="O629" i="2" s="1"/>
  <c r="M181" i="2"/>
  <c r="P181" i="2" s="1"/>
  <c r="P301" i="2"/>
  <c r="O301" i="2"/>
  <c r="O165" i="2"/>
  <c r="P15" i="2"/>
  <c r="O181" i="2"/>
  <c r="O36" i="2"/>
  <c r="L30" i="2"/>
  <c r="O30" i="2" s="1"/>
  <c r="K77" i="2"/>
  <c r="I65" i="2"/>
  <c r="K65" i="2" s="1"/>
  <c r="J417" i="2"/>
  <c r="K417" i="2" s="1"/>
  <c r="K433" i="2"/>
  <c r="K374" i="2"/>
  <c r="J364" i="2"/>
  <c r="K364" i="2" s="1"/>
  <c r="P23" i="2"/>
  <c r="M20" i="2"/>
  <c r="M13" i="2"/>
  <c r="M21" i="2"/>
  <c r="P21" i="2" s="1"/>
  <c r="L402" i="1"/>
  <c r="O402" i="1" s="1"/>
  <c r="L132" i="1"/>
  <c r="O132" i="1" s="1"/>
  <c r="K131" i="1"/>
  <c r="O449" i="1"/>
  <c r="O23" i="1"/>
  <c r="P66" i="1"/>
  <c r="L467" i="2"/>
  <c r="O467" i="2" s="1"/>
  <c r="O446" i="2"/>
  <c r="L444" i="2"/>
  <c r="O444" i="2" s="1"/>
  <c r="I180" i="2"/>
  <c r="K180" i="2" s="1"/>
  <c r="M9" i="2"/>
  <c r="O15" i="2"/>
  <c r="O421" i="2"/>
  <c r="L419" i="2"/>
  <c r="P59" i="2"/>
  <c r="O59" i="2"/>
  <c r="O36" i="1"/>
  <c r="L34" i="1"/>
  <c r="O34" i="1" s="1"/>
  <c r="N24" i="2"/>
  <c r="O29" i="2"/>
  <c r="N9" i="2"/>
  <c r="K64" i="1"/>
  <c r="O687" i="1"/>
  <c r="O690" i="1"/>
  <c r="L389" i="1"/>
  <c r="O389" i="1" s="1"/>
  <c r="K434" i="1"/>
  <c r="N345" i="1"/>
  <c r="P345" i="1" s="1"/>
  <c r="O277" i="1"/>
  <c r="K143" i="1"/>
  <c r="O121" i="1"/>
  <c r="P88" i="1"/>
  <c r="N328" i="1"/>
  <c r="O328" i="1" s="1"/>
  <c r="P26" i="1"/>
  <c r="P59" i="1"/>
  <c r="L165" i="1"/>
  <c r="O165" i="1" s="1"/>
  <c r="O167" i="1"/>
  <c r="M402" i="1"/>
  <c r="P402" i="1" s="1"/>
  <c r="M261" i="1"/>
  <c r="P261" i="1" s="1"/>
  <c r="P277" i="1"/>
  <c r="K76" i="1"/>
  <c r="L315" i="1"/>
  <c r="O315" i="1" s="1"/>
  <c r="O249" i="1"/>
  <c r="N24" i="1"/>
  <c r="P24" i="1" s="1"/>
  <c r="P184" i="1"/>
  <c r="K164" i="1"/>
  <c r="O119" i="1"/>
  <c r="O68" i="1"/>
  <c r="N632" i="1"/>
  <c r="O632" i="1" s="1"/>
  <c r="N631" i="1"/>
  <c r="O421" i="1"/>
  <c r="O331" i="1"/>
  <c r="J559" i="1"/>
  <c r="J543" i="1" s="1"/>
  <c r="K576" i="1"/>
  <c r="O300" i="1"/>
  <c r="N298" i="1"/>
  <c r="O298" i="1" s="1"/>
  <c r="N9" i="1"/>
  <c r="O279" i="1"/>
  <c r="P317" i="1"/>
  <c r="M315" i="1"/>
  <c r="P315" i="1" s="1"/>
  <c r="O238" i="1"/>
  <c r="L227" i="1"/>
  <c r="L419" i="1"/>
  <c r="P279" i="1"/>
  <c r="N53" i="1"/>
  <c r="P53" i="1" s="1"/>
  <c r="P12" i="1"/>
  <c r="M9" i="1"/>
  <c r="K237" i="1"/>
  <c r="I226" i="1"/>
  <c r="P41" i="1"/>
  <c r="N20" i="1"/>
  <c r="N21" i="1"/>
  <c r="O19" i="1"/>
  <c r="O791" i="1"/>
  <c r="N788" i="1"/>
  <c r="N789" i="1"/>
  <c r="O789" i="1" s="1"/>
  <c r="N33" i="1"/>
  <c r="N13" i="1" s="1"/>
  <c r="K537" i="1"/>
  <c r="J522" i="1"/>
  <c r="K522" i="1" s="1"/>
  <c r="P419" i="1"/>
  <c r="M414" i="1"/>
  <c r="P414" i="1" s="1"/>
  <c r="I543" i="1"/>
  <c r="P348" i="1"/>
  <c r="O151" i="1"/>
  <c r="L149" i="1"/>
  <c r="O149" i="1" s="1"/>
  <c r="L88" i="1"/>
  <c r="O90" i="1"/>
  <c r="L24" i="1"/>
  <c r="O26" i="1"/>
  <c r="L16" i="1"/>
  <c r="O544" i="1"/>
  <c r="P300" i="1"/>
  <c r="O9" i="1"/>
  <c r="P167" i="1"/>
  <c r="M165" i="1"/>
  <c r="P165" i="1" s="1"/>
  <c r="J65" i="1"/>
  <c r="K65" i="1" s="1"/>
  <c r="K77" i="1"/>
  <c r="P121" i="1"/>
  <c r="M119" i="1"/>
  <c r="P23" i="1"/>
  <c r="L181" i="1"/>
  <c r="O181" i="1" s="1"/>
  <c r="O183" i="1"/>
  <c r="O55" i="1"/>
  <c r="L444" i="1"/>
  <c r="O347" i="1"/>
  <c r="L345" i="1"/>
  <c r="L685" i="1"/>
  <c r="O685" i="1" s="1"/>
  <c r="M389" i="1"/>
  <c r="P389" i="1" s="1"/>
  <c r="O43" i="1"/>
  <c r="P43" i="1"/>
  <c r="P15" i="1"/>
  <c r="P152" i="1"/>
  <c r="O152" i="1"/>
  <c r="M28" i="1"/>
  <c r="P28" i="1" s="1"/>
  <c r="P29" i="1"/>
  <c r="O546" i="1"/>
  <c r="O11" i="5" l="1"/>
  <c r="M10" i="18"/>
  <c r="P10" i="18" s="1"/>
  <c r="M14" i="18"/>
  <c r="P14" i="18" s="1"/>
  <c r="N10" i="9"/>
  <c r="N8" i="9" s="1"/>
  <c r="P24" i="20"/>
  <c r="P66" i="18"/>
  <c r="P24" i="18"/>
  <c r="M14" i="22"/>
  <c r="P14" i="22" s="1"/>
  <c r="O20" i="22"/>
  <c r="P24" i="21"/>
  <c r="O21" i="22"/>
  <c r="L14" i="20"/>
  <c r="O14" i="20" s="1"/>
  <c r="L14" i="21"/>
  <c r="O14" i="21" s="1"/>
  <c r="P20" i="22"/>
  <c r="M37" i="22"/>
  <c r="P328" i="21"/>
  <c r="P18" i="21"/>
  <c r="O30" i="22"/>
  <c r="L28" i="22"/>
  <c r="O28" i="22" s="1"/>
  <c r="N37" i="21"/>
  <c r="M18" i="22"/>
  <c r="P18" i="22" s="1"/>
  <c r="N10" i="22"/>
  <c r="N8" i="22" s="1"/>
  <c r="N11" i="22"/>
  <c r="P9" i="22"/>
  <c r="O16" i="22"/>
  <c r="L14" i="22"/>
  <c r="O14" i="22" s="1"/>
  <c r="P328" i="22"/>
  <c r="N37" i="22"/>
  <c r="O328" i="22"/>
  <c r="P544" i="22"/>
  <c r="M414" i="22"/>
  <c r="P414" i="22" s="1"/>
  <c r="O24" i="22"/>
  <c r="O419" i="22"/>
  <c r="L414" i="22"/>
  <c r="P20" i="21"/>
  <c r="O13" i="22"/>
  <c r="L10" i="22"/>
  <c r="L11" i="22"/>
  <c r="O444" i="22"/>
  <c r="N414" i="22"/>
  <c r="L18" i="22"/>
  <c r="O18" i="22" s="1"/>
  <c r="P13" i="22"/>
  <c r="M10" i="22"/>
  <c r="M11" i="22"/>
  <c r="L37" i="22"/>
  <c r="P16" i="17"/>
  <c r="O21" i="20"/>
  <c r="I180" i="21"/>
  <c r="K180" i="21" s="1"/>
  <c r="N11" i="18"/>
  <c r="O11" i="18" s="1"/>
  <c r="P277" i="21"/>
  <c r="P18" i="18"/>
  <c r="P328" i="18"/>
  <c r="P53" i="21"/>
  <c r="P21" i="18"/>
  <c r="P18" i="20"/>
  <c r="O53" i="21"/>
  <c r="O24" i="21"/>
  <c r="P24" i="17"/>
  <c r="N11" i="17"/>
  <c r="L28" i="19"/>
  <c r="O28" i="19" s="1"/>
  <c r="O66" i="21"/>
  <c r="P66" i="21"/>
  <c r="N28" i="21"/>
  <c r="O30" i="21"/>
  <c r="O629" i="21"/>
  <c r="M37" i="21"/>
  <c r="O9" i="21"/>
  <c r="N37" i="20"/>
  <c r="O28" i="21"/>
  <c r="L37" i="21"/>
  <c r="O41" i="21"/>
  <c r="N10" i="21"/>
  <c r="N8" i="21" s="1"/>
  <c r="N11" i="21"/>
  <c r="P11" i="21" s="1"/>
  <c r="O13" i="21"/>
  <c r="L10" i="21"/>
  <c r="L11" i="21"/>
  <c r="O20" i="21"/>
  <c r="L18" i="21"/>
  <c r="O18" i="21" s="1"/>
  <c r="L28" i="18"/>
  <c r="O28" i="18" s="1"/>
  <c r="P21" i="20"/>
  <c r="P165" i="20"/>
  <c r="P9" i="21"/>
  <c r="M8" i="21"/>
  <c r="L414" i="21"/>
  <c r="O414" i="21" s="1"/>
  <c r="O419" i="21"/>
  <c r="O88" i="20"/>
  <c r="P88" i="20"/>
  <c r="O13" i="18"/>
  <c r="M14" i="20"/>
  <c r="P14" i="20" s="1"/>
  <c r="I180" i="15"/>
  <c r="K180" i="15" s="1"/>
  <c r="O165" i="18"/>
  <c r="M14" i="19"/>
  <c r="P14" i="19" s="1"/>
  <c r="O30" i="20"/>
  <c r="P21" i="16"/>
  <c r="O24" i="19"/>
  <c r="L414" i="20"/>
  <c r="O414" i="20" s="1"/>
  <c r="O20" i="16"/>
  <c r="P9" i="20"/>
  <c r="M37" i="20"/>
  <c r="O13" i="20"/>
  <c r="L10" i="20"/>
  <c r="L11" i="20"/>
  <c r="K226" i="20"/>
  <c r="I180" i="20"/>
  <c r="K180" i="20" s="1"/>
  <c r="N10" i="20"/>
  <c r="N8" i="20" s="1"/>
  <c r="N11" i="20"/>
  <c r="P11" i="20" s="1"/>
  <c r="O20" i="20"/>
  <c r="L18" i="20"/>
  <c r="O18" i="20" s="1"/>
  <c r="L37" i="20"/>
  <c r="P13" i="20"/>
  <c r="M10" i="20"/>
  <c r="P20" i="20"/>
  <c r="O21" i="15"/>
  <c r="P21" i="15"/>
  <c r="P181" i="18"/>
  <c r="L414" i="19"/>
  <c r="O414" i="19" s="1"/>
  <c r="P13" i="19"/>
  <c r="M10" i="19"/>
  <c r="M11" i="19"/>
  <c r="O24" i="15"/>
  <c r="O21" i="16"/>
  <c r="L37" i="19"/>
  <c r="O37" i="19" s="1"/>
  <c r="L14" i="19"/>
  <c r="O14" i="19" s="1"/>
  <c r="O16" i="19"/>
  <c r="L18" i="19"/>
  <c r="O20" i="19"/>
  <c r="N10" i="19"/>
  <c r="N8" i="19" s="1"/>
  <c r="N11" i="19"/>
  <c r="O21" i="14"/>
  <c r="P20" i="19"/>
  <c r="N18" i="19"/>
  <c r="P18" i="19" s="1"/>
  <c r="O21" i="19"/>
  <c r="M10" i="15"/>
  <c r="P10" i="15" s="1"/>
  <c r="N37" i="18"/>
  <c r="M37" i="19"/>
  <c r="P37" i="19" s="1"/>
  <c r="P24" i="19"/>
  <c r="L11" i="19"/>
  <c r="L10" i="19"/>
  <c r="O13" i="19"/>
  <c r="O119" i="18"/>
  <c r="P119" i="18"/>
  <c r="N8" i="15"/>
  <c r="P345" i="18"/>
  <c r="P544" i="19"/>
  <c r="M414" i="19"/>
  <c r="P414" i="19" s="1"/>
  <c r="P20" i="16"/>
  <c r="L14" i="18"/>
  <c r="O14" i="18" s="1"/>
  <c r="L10" i="18"/>
  <c r="O10" i="18" s="1"/>
  <c r="P20" i="18"/>
  <c r="P24" i="15"/>
  <c r="P13" i="18"/>
  <c r="M11" i="18"/>
  <c r="M14" i="15"/>
  <c r="P14" i="15" s="1"/>
  <c r="P20" i="17"/>
  <c r="P9" i="18"/>
  <c r="O298" i="17"/>
  <c r="P53" i="18"/>
  <c r="M37" i="18"/>
  <c r="O20" i="18"/>
  <c r="L18" i="18"/>
  <c r="O18" i="18" s="1"/>
  <c r="L37" i="18"/>
  <c r="L414" i="18"/>
  <c r="O414" i="18" s="1"/>
  <c r="O419" i="18"/>
  <c r="K226" i="18"/>
  <c r="I180" i="18"/>
  <c r="K180" i="18" s="1"/>
  <c r="O11" i="16"/>
  <c r="L28" i="17"/>
  <c r="O28" i="17" s="1"/>
  <c r="O13" i="16"/>
  <c r="I180" i="17"/>
  <c r="K180" i="17" s="1"/>
  <c r="K226" i="17"/>
  <c r="P181" i="17"/>
  <c r="P41" i="17"/>
  <c r="M37" i="17"/>
  <c r="L14" i="17"/>
  <c r="O14" i="17" s="1"/>
  <c r="M18" i="17"/>
  <c r="P18" i="17" s="1"/>
  <c r="P9" i="17"/>
  <c r="O13" i="17"/>
  <c r="L10" i="17"/>
  <c r="L11" i="17"/>
  <c r="L37" i="17"/>
  <c r="O20" i="17"/>
  <c r="L18" i="17"/>
  <c r="O18" i="17" s="1"/>
  <c r="N37" i="17"/>
  <c r="O419" i="17"/>
  <c r="L414" i="17"/>
  <c r="O414" i="17" s="1"/>
  <c r="P13" i="17"/>
  <c r="M10" i="17"/>
  <c r="P10" i="17" s="1"/>
  <c r="M11" i="17"/>
  <c r="O24" i="10"/>
  <c r="P21" i="14"/>
  <c r="M18" i="16"/>
  <c r="P18" i="16" s="1"/>
  <c r="O18" i="14"/>
  <c r="P149" i="14"/>
  <c r="M14" i="11"/>
  <c r="P14" i="11" s="1"/>
  <c r="P328" i="16"/>
  <c r="N37" i="14"/>
  <c r="P53" i="14"/>
  <c r="N10" i="16"/>
  <c r="N8" i="16" s="1"/>
  <c r="L18" i="16"/>
  <c r="O18" i="16" s="1"/>
  <c r="K226" i="16"/>
  <c r="I180" i="16"/>
  <c r="K180" i="16" s="1"/>
  <c r="L414" i="16"/>
  <c r="O414" i="16" s="1"/>
  <c r="O419" i="16"/>
  <c r="P16" i="16"/>
  <c r="M10" i="16"/>
  <c r="M8" i="16" s="1"/>
  <c r="M14" i="16"/>
  <c r="P14" i="16" s="1"/>
  <c r="P9" i="16"/>
  <c r="O16" i="16"/>
  <c r="L14" i="16"/>
  <c r="O14" i="16" s="1"/>
  <c r="O30" i="16"/>
  <c r="L28" i="16"/>
  <c r="O28" i="16" s="1"/>
  <c r="P24" i="16"/>
  <c r="P11" i="16"/>
  <c r="L37" i="16"/>
  <c r="L10" i="16"/>
  <c r="L28" i="15"/>
  <c r="O28" i="15" s="1"/>
  <c r="P41" i="16"/>
  <c r="N37" i="16"/>
  <c r="O41" i="16"/>
  <c r="P53" i="16"/>
  <c r="M37" i="16"/>
  <c r="P24" i="13"/>
  <c r="O16" i="14"/>
  <c r="L414" i="15"/>
  <c r="O414" i="15" s="1"/>
  <c r="P20" i="15"/>
  <c r="M18" i="15"/>
  <c r="P18" i="15" s="1"/>
  <c r="L28" i="10"/>
  <c r="O28" i="10" s="1"/>
  <c r="L28" i="14"/>
  <c r="O28" i="14" s="1"/>
  <c r="O9" i="15"/>
  <c r="L14" i="15"/>
  <c r="O14" i="15" s="1"/>
  <c r="O13" i="15"/>
  <c r="L10" i="15"/>
  <c r="O10" i="15" s="1"/>
  <c r="L11" i="15"/>
  <c r="O11" i="15" s="1"/>
  <c r="L37" i="15"/>
  <c r="O37" i="15" s="1"/>
  <c r="P66" i="15"/>
  <c r="M37" i="15"/>
  <c r="P37" i="15" s="1"/>
  <c r="O20" i="15"/>
  <c r="L18" i="15"/>
  <c r="O18" i="15" s="1"/>
  <c r="P24" i="9"/>
  <c r="O24" i="13"/>
  <c r="P9" i="15"/>
  <c r="O181" i="11"/>
  <c r="N37" i="11"/>
  <c r="P24" i="10"/>
  <c r="O24" i="11"/>
  <c r="O13" i="14"/>
  <c r="L10" i="14"/>
  <c r="L8" i="14" s="1"/>
  <c r="L11" i="14"/>
  <c r="O11" i="14" s="1"/>
  <c r="O181" i="13"/>
  <c r="P41" i="13"/>
  <c r="P16" i="14"/>
  <c r="O20" i="14"/>
  <c r="L37" i="14"/>
  <c r="P20" i="14"/>
  <c r="M18" i="14"/>
  <c r="P18" i="14" s="1"/>
  <c r="M37" i="14"/>
  <c r="M14" i="14"/>
  <c r="L414" i="14"/>
  <c r="O414" i="14" s="1"/>
  <c r="O419" i="14"/>
  <c r="N14" i="14"/>
  <c r="O14" i="14" s="1"/>
  <c r="N10" i="14"/>
  <c r="K226" i="14"/>
  <c r="I180" i="14"/>
  <c r="K180" i="14" s="1"/>
  <c r="L28" i="13"/>
  <c r="O28" i="13" s="1"/>
  <c r="P13" i="14"/>
  <c r="M10" i="14"/>
  <c r="M11" i="14"/>
  <c r="P11" i="14" s="1"/>
  <c r="N37" i="13"/>
  <c r="O20" i="13"/>
  <c r="O9" i="13"/>
  <c r="P345" i="13"/>
  <c r="P20" i="13"/>
  <c r="M18" i="13"/>
  <c r="P18" i="13" s="1"/>
  <c r="M14" i="13"/>
  <c r="P14" i="13" s="1"/>
  <c r="N10" i="13"/>
  <c r="N8" i="13" s="1"/>
  <c r="N11" i="13"/>
  <c r="O11" i="13" s="1"/>
  <c r="O13" i="13"/>
  <c r="K226" i="13"/>
  <c r="I180" i="13"/>
  <c r="K180" i="13" s="1"/>
  <c r="M37" i="13"/>
  <c r="P9" i="13"/>
  <c r="O18" i="13"/>
  <c r="P13" i="13"/>
  <c r="M10" i="13"/>
  <c r="M11" i="13"/>
  <c r="O88" i="13"/>
  <c r="L37" i="13"/>
  <c r="L37" i="12"/>
  <c r="O16" i="13"/>
  <c r="L10" i="13"/>
  <c r="L414" i="13"/>
  <c r="O414" i="13" s="1"/>
  <c r="O419" i="13"/>
  <c r="P18" i="12"/>
  <c r="L14" i="11"/>
  <c r="O14" i="11" s="1"/>
  <c r="P18" i="10"/>
  <c r="O18" i="12"/>
  <c r="L28" i="12"/>
  <c r="O28" i="12" s="1"/>
  <c r="N37" i="12"/>
  <c r="P20" i="12"/>
  <c r="P24" i="12"/>
  <c r="L414" i="12"/>
  <c r="O414" i="12" s="1"/>
  <c r="O419" i="12"/>
  <c r="N8" i="12"/>
  <c r="P9" i="12"/>
  <c r="O9" i="12"/>
  <c r="N11" i="12"/>
  <c r="O11" i="12" s="1"/>
  <c r="P345" i="12"/>
  <c r="L28" i="11"/>
  <c r="O28" i="11" s="1"/>
  <c r="O20" i="12"/>
  <c r="P21" i="12"/>
  <c r="K226" i="12"/>
  <c r="I180" i="12"/>
  <c r="K180" i="12" s="1"/>
  <c r="P165" i="11"/>
  <c r="M37" i="12"/>
  <c r="O13" i="12"/>
  <c r="L10" i="12"/>
  <c r="O10" i="12" s="1"/>
  <c r="O16" i="12"/>
  <c r="L14" i="12"/>
  <c r="O14" i="12" s="1"/>
  <c r="P13" i="12"/>
  <c r="M10" i="12"/>
  <c r="P10" i="12" s="1"/>
  <c r="P16" i="12"/>
  <c r="M14" i="12"/>
  <c r="P14" i="12" s="1"/>
  <c r="N10" i="11"/>
  <c r="N8" i="11" s="1"/>
  <c r="N11" i="11"/>
  <c r="P11" i="11" s="1"/>
  <c r="O165" i="11"/>
  <c r="O16" i="6"/>
  <c r="O21" i="11"/>
  <c r="P165" i="3"/>
  <c r="P24" i="7"/>
  <c r="P13" i="9"/>
  <c r="P345" i="10"/>
  <c r="P21" i="11"/>
  <c r="P9" i="11"/>
  <c r="O20" i="11"/>
  <c r="L18" i="11"/>
  <c r="O18" i="11" s="1"/>
  <c r="P13" i="11"/>
  <c r="M10" i="11"/>
  <c r="M8" i="11" s="1"/>
  <c r="P20" i="11"/>
  <c r="M18" i="11"/>
  <c r="P18" i="11" s="1"/>
  <c r="L10" i="11"/>
  <c r="L11" i="11"/>
  <c r="O13" i="11"/>
  <c r="O41" i="11"/>
  <c r="L37" i="11"/>
  <c r="K226" i="11"/>
  <c r="I180" i="11"/>
  <c r="K180" i="11" s="1"/>
  <c r="L414" i="11"/>
  <c r="O414" i="11" s="1"/>
  <c r="P41" i="11"/>
  <c r="M37" i="11"/>
  <c r="P13" i="6"/>
  <c r="I180" i="9"/>
  <c r="K180" i="9" s="1"/>
  <c r="M37" i="10"/>
  <c r="P14" i="9"/>
  <c r="O24" i="7"/>
  <c r="L28" i="6"/>
  <c r="O28" i="6" s="1"/>
  <c r="N11" i="9"/>
  <c r="P11" i="9" s="1"/>
  <c r="P16" i="10"/>
  <c r="M14" i="10"/>
  <c r="P14" i="10" s="1"/>
  <c r="P20" i="10"/>
  <c r="L414" i="10"/>
  <c r="O414" i="10" s="1"/>
  <c r="O419" i="10"/>
  <c r="I180" i="10"/>
  <c r="K180" i="10" s="1"/>
  <c r="K226" i="10"/>
  <c r="N10" i="10"/>
  <c r="N8" i="10" s="1"/>
  <c r="O13" i="10"/>
  <c r="N11" i="10"/>
  <c r="O11" i="10" s="1"/>
  <c r="O20" i="10"/>
  <c r="L18" i="10"/>
  <c r="O18" i="10" s="1"/>
  <c r="P181" i="10"/>
  <c r="O9" i="10"/>
  <c r="I180" i="6"/>
  <c r="K180" i="6" s="1"/>
  <c r="O41" i="10"/>
  <c r="L37" i="10"/>
  <c r="P328" i="10"/>
  <c r="O16" i="10"/>
  <c r="L10" i="10"/>
  <c r="L8" i="10" s="1"/>
  <c r="P9" i="10"/>
  <c r="P13" i="10"/>
  <c r="M10" i="10"/>
  <c r="N37" i="10"/>
  <c r="O24" i="9"/>
  <c r="P20" i="9"/>
  <c r="P21" i="9"/>
  <c r="L28" i="7"/>
  <c r="O28" i="7" s="1"/>
  <c r="P16" i="9"/>
  <c r="M10" i="6"/>
  <c r="M8" i="6" s="1"/>
  <c r="O345" i="9"/>
  <c r="O13" i="9"/>
  <c r="L10" i="9"/>
  <c r="L11" i="9"/>
  <c r="O20" i="9"/>
  <c r="L18" i="9"/>
  <c r="O18" i="9" s="1"/>
  <c r="P9" i="9"/>
  <c r="M8" i="9"/>
  <c r="O41" i="9"/>
  <c r="L37" i="9"/>
  <c r="O30" i="9"/>
  <c r="L28" i="9"/>
  <c r="O28" i="9" s="1"/>
  <c r="L414" i="9"/>
  <c r="O414" i="9" s="1"/>
  <c r="O419" i="9"/>
  <c r="P328" i="9"/>
  <c r="O328" i="9"/>
  <c r="P53" i="9"/>
  <c r="M37" i="9"/>
  <c r="P41" i="9"/>
  <c r="N37" i="9"/>
  <c r="P18" i="9"/>
  <c r="O16" i="9"/>
  <c r="L14" i="9"/>
  <c r="O14" i="9" s="1"/>
  <c r="L28" i="8"/>
  <c r="O28" i="8" s="1"/>
  <c r="L14" i="8"/>
  <c r="O14" i="8" s="1"/>
  <c r="P277" i="8"/>
  <c r="O328" i="7"/>
  <c r="M14" i="8"/>
  <c r="P14" i="8" s="1"/>
  <c r="P21" i="8"/>
  <c r="O9" i="8"/>
  <c r="P13" i="8"/>
  <c r="M10" i="8"/>
  <c r="M11" i="8"/>
  <c r="K226" i="8"/>
  <c r="I180" i="8"/>
  <c r="K180" i="8" s="1"/>
  <c r="N10" i="8"/>
  <c r="N8" i="8" s="1"/>
  <c r="N11" i="8"/>
  <c r="O181" i="3"/>
  <c r="N37" i="8"/>
  <c r="O41" i="8"/>
  <c r="M37" i="8"/>
  <c r="O53" i="8"/>
  <c r="L37" i="8"/>
  <c r="O419" i="8"/>
  <c r="L414" i="8"/>
  <c r="O414" i="8" s="1"/>
  <c r="O20" i="8"/>
  <c r="L18" i="8"/>
  <c r="O18" i="8" s="1"/>
  <c r="L11" i="8"/>
  <c r="L10" i="8"/>
  <c r="O13" i="8"/>
  <c r="P20" i="8"/>
  <c r="M18" i="8"/>
  <c r="P18" i="8" s="1"/>
  <c r="N37" i="7"/>
  <c r="P345" i="4"/>
  <c r="P14" i="5"/>
  <c r="L28" i="5"/>
  <c r="O28" i="5" s="1"/>
  <c r="L37" i="7"/>
  <c r="O88" i="7"/>
  <c r="P18" i="7"/>
  <c r="L414" i="7"/>
  <c r="O414" i="7" s="1"/>
  <c r="O13" i="7"/>
  <c r="L10" i="7"/>
  <c r="L11" i="7"/>
  <c r="N10" i="7"/>
  <c r="N8" i="7" s="1"/>
  <c r="P13" i="7"/>
  <c r="K226" i="7"/>
  <c r="I180" i="7"/>
  <c r="K180" i="7" s="1"/>
  <c r="O20" i="7"/>
  <c r="L18" i="7"/>
  <c r="O18" i="7" s="1"/>
  <c r="M414" i="7"/>
  <c r="P414" i="7" s="1"/>
  <c r="N11" i="7"/>
  <c r="P11" i="7" s="1"/>
  <c r="M37" i="7"/>
  <c r="P16" i="7"/>
  <c r="M10" i="7"/>
  <c r="O16" i="7"/>
  <c r="L14" i="7"/>
  <c r="O14" i="7" s="1"/>
  <c r="P20" i="7"/>
  <c r="P24" i="6"/>
  <c r="P16" i="5"/>
  <c r="O24" i="6"/>
  <c r="N37" i="4"/>
  <c r="O14" i="6"/>
  <c r="O165" i="6"/>
  <c r="L14" i="3"/>
  <c r="O14" i="3" s="1"/>
  <c r="P24" i="5"/>
  <c r="P298" i="6"/>
  <c r="O14" i="5"/>
  <c r="P277" i="5"/>
  <c r="L414" i="6"/>
  <c r="O414" i="6" s="1"/>
  <c r="P18" i="6"/>
  <c r="P21" i="6"/>
  <c r="O16" i="5"/>
  <c r="O328" i="5"/>
  <c r="M37" i="6"/>
  <c r="P16" i="6"/>
  <c r="M14" i="6"/>
  <c r="P14" i="6" s="1"/>
  <c r="N10" i="6"/>
  <c r="N8" i="6" s="1"/>
  <c r="N11" i="6"/>
  <c r="P11" i="6" s="1"/>
  <c r="O20" i="6"/>
  <c r="L18" i="6"/>
  <c r="O18" i="6" s="1"/>
  <c r="I180" i="4"/>
  <c r="K180" i="4" s="1"/>
  <c r="K226" i="4"/>
  <c r="N10" i="5"/>
  <c r="N8" i="5" s="1"/>
  <c r="O53" i="6"/>
  <c r="L37" i="6"/>
  <c r="O13" i="6"/>
  <c r="L10" i="6"/>
  <c r="L11" i="6"/>
  <c r="O66" i="6"/>
  <c r="N37" i="6"/>
  <c r="P66" i="6"/>
  <c r="P20" i="6"/>
  <c r="L28" i="4"/>
  <c r="O28" i="4" s="1"/>
  <c r="O345" i="5"/>
  <c r="O181" i="5"/>
  <c r="P181" i="5"/>
  <c r="O21" i="4"/>
  <c r="O525" i="1"/>
  <c r="M10" i="1"/>
  <c r="M8" i="1" s="1"/>
  <c r="L414" i="5"/>
  <c r="O414" i="5" s="1"/>
  <c r="O20" i="5"/>
  <c r="L18" i="5"/>
  <c r="O18" i="5" s="1"/>
  <c r="N37" i="5"/>
  <c r="P9" i="5"/>
  <c r="P24" i="4"/>
  <c r="P13" i="5"/>
  <c r="M10" i="5"/>
  <c r="P20" i="5"/>
  <c r="M18" i="5"/>
  <c r="P18" i="5" s="1"/>
  <c r="K226" i="5"/>
  <c r="I180" i="5"/>
  <c r="K180" i="5" s="1"/>
  <c r="L37" i="5"/>
  <c r="O9" i="5"/>
  <c r="M11" i="5"/>
  <c r="P11" i="5" s="1"/>
  <c r="P41" i="5"/>
  <c r="M37" i="5"/>
  <c r="O13" i="5"/>
  <c r="L10" i="5"/>
  <c r="P24" i="3"/>
  <c r="O444" i="1"/>
  <c r="N11" i="2"/>
  <c r="O11" i="2" s="1"/>
  <c r="P88" i="3"/>
  <c r="L14" i="4"/>
  <c r="O14" i="4" s="1"/>
  <c r="P18" i="4"/>
  <c r="P20" i="4"/>
  <c r="O657" i="1"/>
  <c r="O446" i="1"/>
  <c r="P9" i="4"/>
  <c r="O9" i="4"/>
  <c r="L37" i="3"/>
  <c r="M37" i="3"/>
  <c r="P11" i="4"/>
  <c r="P328" i="1"/>
  <c r="P13" i="4"/>
  <c r="M10" i="4"/>
  <c r="P10" i="4" s="1"/>
  <c r="P66" i="4"/>
  <c r="M37" i="4"/>
  <c r="O13" i="4"/>
  <c r="L10" i="4"/>
  <c r="O10" i="4" s="1"/>
  <c r="L11" i="4"/>
  <c r="O11" i="4" s="1"/>
  <c r="P16" i="4"/>
  <c r="M14" i="4"/>
  <c r="P14" i="4" s="1"/>
  <c r="O20" i="4"/>
  <c r="L18" i="4"/>
  <c r="O18" i="4" s="1"/>
  <c r="O444" i="4"/>
  <c r="L414" i="4"/>
  <c r="O414" i="4" s="1"/>
  <c r="L37" i="4"/>
  <c r="M11" i="1"/>
  <c r="O41" i="3"/>
  <c r="P41" i="3"/>
  <c r="O345" i="1"/>
  <c r="N37" i="3"/>
  <c r="P16" i="1"/>
  <c r="N10" i="3"/>
  <c r="N8" i="3" s="1"/>
  <c r="N11" i="3"/>
  <c r="P14" i="1"/>
  <c r="O21" i="3"/>
  <c r="O20" i="2"/>
  <c r="O13" i="3"/>
  <c r="L10" i="3"/>
  <c r="L11" i="3"/>
  <c r="O419" i="3"/>
  <c r="L414" i="3"/>
  <c r="O414" i="3" s="1"/>
  <c r="P13" i="3"/>
  <c r="M10" i="3"/>
  <c r="M11" i="3"/>
  <c r="P20" i="3"/>
  <c r="M18" i="3"/>
  <c r="P18" i="3" s="1"/>
  <c r="K226" i="3"/>
  <c r="I180" i="3"/>
  <c r="K180" i="3" s="1"/>
  <c r="O20" i="3"/>
  <c r="L18" i="3"/>
  <c r="O18" i="3" s="1"/>
  <c r="N8" i="2"/>
  <c r="O9" i="3"/>
  <c r="O20" i="1"/>
  <c r="L28" i="3"/>
  <c r="O28" i="3" s="1"/>
  <c r="O469" i="1"/>
  <c r="P24" i="2"/>
  <c r="K593" i="1"/>
  <c r="L14" i="2"/>
  <c r="O14" i="2" s="1"/>
  <c r="N37" i="2"/>
  <c r="O21" i="1"/>
  <c r="O9" i="2"/>
  <c r="P149" i="2"/>
  <c r="O149" i="2"/>
  <c r="P9" i="2"/>
  <c r="P13" i="2"/>
  <c r="M10" i="2"/>
  <c r="P10" i="2" s="1"/>
  <c r="M11" i="2"/>
  <c r="M14" i="2"/>
  <c r="P14" i="2" s="1"/>
  <c r="M37" i="2"/>
  <c r="P41" i="2"/>
  <c r="O41" i="2"/>
  <c r="L37" i="2"/>
  <c r="P20" i="2"/>
  <c r="M18" i="2"/>
  <c r="P18" i="2" s="1"/>
  <c r="L10" i="2"/>
  <c r="O10" i="2" s="1"/>
  <c r="O13" i="2"/>
  <c r="O24" i="1"/>
  <c r="K559" i="1"/>
  <c r="K543" i="1"/>
  <c r="L28" i="2"/>
  <c r="O28" i="2" s="1"/>
  <c r="L414" i="2"/>
  <c r="O414" i="2" s="1"/>
  <c r="O419" i="2"/>
  <c r="O685" i="2"/>
  <c r="O24" i="2"/>
  <c r="L18" i="2"/>
  <c r="O18" i="2" s="1"/>
  <c r="P21" i="1"/>
  <c r="N629" i="1"/>
  <c r="O629" i="1" s="1"/>
  <c r="O631" i="1"/>
  <c r="O53" i="1"/>
  <c r="N11" i="1"/>
  <c r="O11" i="1" s="1"/>
  <c r="N10" i="1"/>
  <c r="N8" i="1" s="1"/>
  <c r="P13" i="1"/>
  <c r="O13" i="1"/>
  <c r="O16" i="1"/>
  <c r="L14" i="1"/>
  <c r="O14" i="1" s="1"/>
  <c r="L10" i="1"/>
  <c r="N37" i="1"/>
  <c r="O88" i="1"/>
  <c r="L37" i="1"/>
  <c r="K226" i="1"/>
  <c r="I180" i="1"/>
  <c r="K180" i="1" s="1"/>
  <c r="P298" i="1"/>
  <c r="P119" i="1"/>
  <c r="M37" i="1"/>
  <c r="P9" i="1"/>
  <c r="O419" i="1"/>
  <c r="L414" i="1"/>
  <c r="O33" i="1"/>
  <c r="N30" i="1"/>
  <c r="N31" i="1"/>
  <c r="O31" i="1" s="1"/>
  <c r="O788" i="1"/>
  <c r="N786" i="1"/>
  <c r="N18" i="1"/>
  <c r="P18" i="1" s="1"/>
  <c r="P20" i="1"/>
  <c r="O10" i="5" l="1"/>
  <c r="O11" i="7"/>
  <c r="P10" i="9"/>
  <c r="O11" i="11"/>
  <c r="O11" i="9"/>
  <c r="P11" i="18"/>
  <c r="M8" i="18"/>
  <c r="P8" i="18" s="1"/>
  <c r="P37" i="20"/>
  <c r="P37" i="22"/>
  <c r="P10" i="22"/>
  <c r="O37" i="21"/>
  <c r="P37" i="21"/>
  <c r="P11" i="22"/>
  <c r="O11" i="22"/>
  <c r="O11" i="17"/>
  <c r="O414" i="22"/>
  <c r="O37" i="22"/>
  <c r="O10" i="21"/>
  <c r="O10" i="22"/>
  <c r="L8" i="22"/>
  <c r="O8" i="22" s="1"/>
  <c r="O37" i="20"/>
  <c r="M8" i="22"/>
  <c r="P8" i="22" s="1"/>
  <c r="P11" i="17"/>
  <c r="O11" i="21"/>
  <c r="L8" i="21"/>
  <c r="O8" i="21" s="1"/>
  <c r="P8" i="21"/>
  <c r="P10" i="21"/>
  <c r="O11" i="20"/>
  <c r="P10" i="20"/>
  <c r="O10" i="20"/>
  <c r="L8" i="20"/>
  <c r="O8" i="20" s="1"/>
  <c r="M8" i="20"/>
  <c r="P8" i="20" s="1"/>
  <c r="P37" i="18"/>
  <c r="O11" i="19"/>
  <c r="O18" i="19"/>
  <c r="L8" i="19"/>
  <c r="O8" i="19" s="1"/>
  <c r="O10" i="19"/>
  <c r="O37" i="18"/>
  <c r="P11" i="19"/>
  <c r="L8" i="18"/>
  <c r="O8" i="18" s="1"/>
  <c r="P10" i="19"/>
  <c r="M8" i="19"/>
  <c r="P8" i="19" s="1"/>
  <c r="M8" i="15"/>
  <c r="P8" i="15" s="1"/>
  <c r="P37" i="13"/>
  <c r="O37" i="17"/>
  <c r="P37" i="17"/>
  <c r="P8" i="16"/>
  <c r="O10" i="17"/>
  <c r="L8" i="17"/>
  <c r="O8" i="17" s="1"/>
  <c r="M8" i="17"/>
  <c r="P8" i="17" s="1"/>
  <c r="O10" i="14"/>
  <c r="O37" i="16"/>
  <c r="P10" i="16"/>
  <c r="O37" i="14"/>
  <c r="P37" i="14"/>
  <c r="P37" i="16"/>
  <c r="O10" i="16"/>
  <c r="L8" i="16"/>
  <c r="O8" i="16" s="1"/>
  <c r="O37" i="11"/>
  <c r="L8" i="15"/>
  <c r="O8" i="15" s="1"/>
  <c r="P37" i="11"/>
  <c r="O37" i="13"/>
  <c r="N8" i="14"/>
  <c r="O8" i="14" s="1"/>
  <c r="P10" i="14"/>
  <c r="M8" i="14"/>
  <c r="P14" i="14"/>
  <c r="P11" i="13"/>
  <c r="O10" i="13"/>
  <c r="P10" i="13"/>
  <c r="O37" i="12"/>
  <c r="M8" i="13"/>
  <c r="P8" i="13" s="1"/>
  <c r="L8" i="13"/>
  <c r="O8" i="13" s="1"/>
  <c r="P8" i="11"/>
  <c r="P37" i="12"/>
  <c r="P11" i="12"/>
  <c r="L8" i="12"/>
  <c r="O8" i="12" s="1"/>
  <c r="O11" i="3"/>
  <c r="M8" i="12"/>
  <c r="P8" i="12" s="1"/>
  <c r="P10" i="11"/>
  <c r="P11" i="10"/>
  <c r="O10" i="11"/>
  <c r="L8" i="11"/>
  <c r="O8" i="11" s="1"/>
  <c r="P37" i="10"/>
  <c r="P10" i="10"/>
  <c r="O10" i="10"/>
  <c r="O8" i="10"/>
  <c r="O37" i="10"/>
  <c r="M8" i="10"/>
  <c r="P8" i="10" s="1"/>
  <c r="P37" i="9"/>
  <c r="P37" i="8"/>
  <c r="O37" i="9"/>
  <c r="P8" i="9"/>
  <c r="P8" i="6"/>
  <c r="O10" i="8"/>
  <c r="O10" i="9"/>
  <c r="L8" i="9"/>
  <c r="O8" i="9" s="1"/>
  <c r="O37" i="7"/>
  <c r="O37" i="8"/>
  <c r="O11" i="8"/>
  <c r="P11" i="8"/>
  <c r="P10" i="8"/>
  <c r="M8" i="8"/>
  <c r="P8" i="8" s="1"/>
  <c r="L8" i="8"/>
  <c r="O8" i="8" s="1"/>
  <c r="P37" i="7"/>
  <c r="P37" i="4"/>
  <c r="O37" i="4"/>
  <c r="P10" i="7"/>
  <c r="M8" i="7"/>
  <c r="P8" i="7" s="1"/>
  <c r="O10" i="7"/>
  <c r="L8" i="7"/>
  <c r="O8" i="7" s="1"/>
  <c r="O11" i="6"/>
  <c r="P37" i="6"/>
  <c r="O37" i="6"/>
  <c r="P10" i="6"/>
  <c r="P10" i="5"/>
  <c r="O10" i="6"/>
  <c r="L8" i="6"/>
  <c r="O8" i="6" s="1"/>
  <c r="P37" i="5"/>
  <c r="P11" i="1"/>
  <c r="M8" i="5"/>
  <c r="P8" i="5" s="1"/>
  <c r="O37" i="5"/>
  <c r="P11" i="2"/>
  <c r="L8" i="5"/>
  <c r="O8" i="5" s="1"/>
  <c r="L8" i="4"/>
  <c r="O8" i="4" s="1"/>
  <c r="O37" i="3"/>
  <c r="M8" i="4"/>
  <c r="P8" i="4" s="1"/>
  <c r="O10" i="3"/>
  <c r="L8" i="3"/>
  <c r="O8" i="3" s="1"/>
  <c r="P10" i="1"/>
  <c r="P37" i="2"/>
  <c r="P37" i="3"/>
  <c r="P10" i="3"/>
  <c r="M8" i="3"/>
  <c r="P8" i="3" s="1"/>
  <c r="P11" i="3"/>
  <c r="M8" i="2"/>
  <c r="P8" i="2" s="1"/>
  <c r="O37" i="2"/>
  <c r="P37" i="1"/>
  <c r="O37" i="1"/>
  <c r="L8" i="2"/>
  <c r="O8" i="2" s="1"/>
  <c r="O30" i="1"/>
  <c r="N28" i="1"/>
  <c r="O28" i="1" s="1"/>
  <c r="P8" i="1"/>
  <c r="O786" i="1"/>
  <c r="N414" i="1"/>
  <c r="O414" i="1" s="1"/>
  <c r="O18" i="1"/>
  <c r="O10" i="1"/>
  <c r="L8" i="1"/>
  <c r="O8" i="1" s="1"/>
  <c r="P8" i="14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A3" authorId="0" shapeId="0" xr:uid="{9A5603C6-D10B-4156-9DD6-25A72C4D8EFC}">
      <text>
        <r>
          <rPr>
            <sz val="10"/>
            <color rgb="FF000000"/>
            <rFont val="Arial"/>
            <scheme val="minor"/>
          </rPr>
          <t>จังหวัดใส่วันที่เองไม่ได้
	-Anonymous
แก้ไขได้แล้วค่ะ
	-Itsariyabhorn Boonphokha</t>
        </r>
      </text>
    </comment>
  </commentList>
</comments>
</file>

<file path=xl/sharedStrings.xml><?xml version="1.0" encoding="utf-8"?>
<sst xmlns="http://schemas.openxmlformats.org/spreadsheetml/2006/main" count="34188" uniqueCount="360">
  <si>
    <t>รายละเอียดแผนงาน/โครงการ ผลผลิต/กิจกรรม ปีงบประมาณ พ.ศ. 2566</t>
  </si>
  <si>
    <t>ภาคกลาง</t>
  </si>
  <si>
    <t>แผนงาน/โครงการ/กิจกรรม</t>
  </si>
  <si>
    <t>หน่วย</t>
  </si>
  <si>
    <t>แผนงาน-ผลงาน</t>
  </si>
  <si>
    <t>งบประมาณ (บาท)</t>
  </si>
  <si>
    <t>ผลการเบิกจ่าย</t>
  </si>
  <si>
    <t>แผนงาน</t>
  </si>
  <si>
    <t>ผลงาน</t>
  </si>
  <si>
    <t>ร้อยละ</t>
  </si>
  <si>
    <t>ได้รับ</t>
  </si>
  <si>
    <t>จัดสรร</t>
  </si>
  <si>
    <t>บาท</t>
  </si>
  <si>
    <t>ร้อยละ(ได้รับ)</t>
  </si>
  <si>
    <t>ร้อยละ(จัดสรร)</t>
  </si>
  <si>
    <t>รวม งบประมาณตาม พรบ.+ งบประมาณกองทุน</t>
  </si>
  <si>
    <t>◾</t>
  </si>
  <si>
    <t>รวมงบประมาณ</t>
  </si>
  <si>
    <t>- ส.ป.ก.ส่วนกลาง</t>
  </si>
  <si>
    <t>- ส.ป.ก.จังหวัด</t>
  </si>
  <si>
    <t>งบดำเนินงาน</t>
  </si>
  <si>
    <t>งบลงทุน</t>
  </si>
  <si>
    <t>รวม งบประมาณตาม พรบ.</t>
  </si>
  <si>
    <t>รวม งบประมาณกองทุน</t>
  </si>
  <si>
    <t>งบประมาณตาม พรบ.งบประมาณ 2566</t>
  </si>
  <si>
    <t>แผนงานบุคลากรภาครัฐ</t>
  </si>
  <si>
    <t>รายการค่าใช้จ่ายบุคลากรภาครัฐ</t>
  </si>
  <si>
    <t>กิจกรรมพัฒนาการเกษตรยั่งยืน</t>
  </si>
  <si>
    <t>แผนงานพื้นฐานด้านการสร้างความสามารถในการแข่งขัน</t>
  </si>
  <si>
    <t>ผลผลิตที่ 1 การปฏิรูปที่ดินเพื่อเกษตรกรรม</t>
  </si>
  <si>
    <t>กิจกรรมบริหารจัดการ</t>
  </si>
  <si>
    <t>แผนงานยุทธศาสตร์การเกษตรสร้างมูลค่า</t>
  </si>
  <si>
    <t>โครงการที่ 1 : โครงการระบบส่งเสริมเกษตรแบบแปลงใหญ่</t>
  </si>
  <si>
    <t>กิจกรรมส่งเสริมการเกษตรแบบแปลงใหญ่</t>
  </si>
  <si>
    <t>แปลง</t>
  </si>
  <si>
    <t>ราย</t>
  </si>
  <si>
    <t xml:space="preserve">- ส.ป.ก.ส่วนกลาง </t>
  </si>
  <si>
    <t xml:space="preserve">- ส.ป.ก.จังหวัด  </t>
  </si>
  <si>
    <t>ขั้นตอนการดำเนินงาน</t>
  </si>
  <si>
    <t xml:space="preserve"> - อบรมเกษตรกร  </t>
  </si>
  <si>
    <t xml:space="preserve"> - แปลงใหญ่ ปี 2566</t>
  </si>
  <si>
    <t xml:space="preserve"> - แปลงใหญ่ ปี 2565</t>
  </si>
  <si>
    <t xml:space="preserve"> - แปลงใหญ่ ปี 2564</t>
  </si>
  <si>
    <t xml:space="preserve"> - สนับสนุนปัจจัยการผลิต</t>
  </si>
  <si>
    <t>โครงการที่ 2 : โครงการพัฒนาเกษตรกรรมยั่งยืน</t>
  </si>
  <si>
    <t>กิจกรรมส่งเสริมและพัฒนาเกษตรทฤษฎีใหม่ในเขตปฏิรูปที่ดิน</t>
  </si>
  <si>
    <t>ไร่</t>
  </si>
  <si>
    <t>- พื้นที่ที่ได้รับการส่งเสริมเป็นเกษตรทฤษฎีใหม่</t>
  </si>
  <si>
    <t>- อบรมเกษตรกร (โดย ส.ป.ก.จังหวัด)</t>
  </si>
  <si>
    <t>กลุ่ม</t>
  </si>
  <si>
    <t>ขั้นที่ 1</t>
  </si>
  <si>
    <r>
      <rPr>
        <sz val="15"/>
        <color theme="1"/>
        <rFont val="Arial"/>
      </rPr>
      <t xml:space="preserve">- เกษตรกรที่เข้าร่วมโครงการขั้นที่ 1 </t>
    </r>
    <r>
      <rPr>
        <b/>
        <sz val="15"/>
        <color rgb="FFFF0000"/>
        <rFont val="Arial"/>
      </rPr>
      <t>ทั้งหมด</t>
    </r>
  </si>
  <si>
    <r>
      <rPr>
        <sz val="14"/>
        <color theme="1"/>
        <rFont val="Arial"/>
      </rPr>
      <t>- เกษตรกร</t>
    </r>
    <r>
      <rPr>
        <b/>
        <sz val="14"/>
        <color rgb="FFFF0000"/>
        <rFont val="Arial"/>
      </rPr>
      <t>เฉพาะ</t>
    </r>
    <r>
      <rPr>
        <sz val="14"/>
        <color theme="1"/>
        <rFont val="Arial"/>
      </rPr>
      <t>ที่ได้รับการอบรม การปรับเปลี่ยนรูปแบบการผลิต ฯ</t>
    </r>
  </si>
  <si>
    <t>ขั้นที่ 2</t>
  </si>
  <si>
    <r>
      <rPr>
        <sz val="15"/>
        <color theme="1"/>
        <rFont val="Arial"/>
      </rPr>
      <t xml:space="preserve">- เกษตรกรที่เข้าร่วมโครงการขั้นที่ 2 </t>
    </r>
    <r>
      <rPr>
        <b/>
        <sz val="15"/>
        <color rgb="FFFF0000"/>
        <rFont val="Arial"/>
      </rPr>
      <t>ทั้งหมด</t>
    </r>
  </si>
  <si>
    <r>
      <rPr>
        <sz val="14"/>
        <color theme="1"/>
        <rFont val="Arial"/>
      </rPr>
      <t>- เกษตรกร</t>
    </r>
    <r>
      <rPr>
        <b/>
        <sz val="14"/>
        <color rgb="FFFF0000"/>
        <rFont val="Arial"/>
      </rPr>
      <t>เฉพาะ</t>
    </r>
    <r>
      <rPr>
        <sz val="14"/>
        <color theme="1"/>
        <rFont val="Arial"/>
      </rPr>
      <t>ที่ได้รับการอบรม การเพิ่มมูลค่าผลผลิต การแปรรูป ฯ</t>
    </r>
  </si>
  <si>
    <t>ขั้นที่ 3</t>
  </si>
  <si>
    <r>
      <rPr>
        <sz val="15"/>
        <color theme="1"/>
        <rFont val="Arial"/>
      </rPr>
      <t xml:space="preserve">- เกษตรกรที่เข้าร่วมโครงการขั้นที่ 3 </t>
    </r>
    <r>
      <rPr>
        <b/>
        <sz val="15"/>
        <color rgb="FFFF0000"/>
        <rFont val="Arial"/>
      </rPr>
      <t>ทั้งหมด</t>
    </r>
  </si>
  <si>
    <r>
      <rPr>
        <sz val="13"/>
        <color theme="1"/>
        <rFont val="Arial"/>
      </rPr>
      <t>- เกษตรกร</t>
    </r>
    <r>
      <rPr>
        <b/>
        <sz val="13"/>
        <color rgb="FFFF0000"/>
        <rFont val="Arial"/>
      </rPr>
      <t>เฉพาะ</t>
    </r>
    <r>
      <rPr>
        <sz val="13"/>
        <color theme="1"/>
        <rFont val="Arial"/>
      </rPr>
      <t>ที่ได้รับการอบรม เตรียมความพร้อมในการรับรองมาตรฐาน ฯ</t>
    </r>
  </si>
  <si>
    <t>- สนับสนุนปัจจัยการผลิต</t>
  </si>
  <si>
    <r>
      <rPr>
        <sz val="15"/>
        <color theme="1"/>
        <rFont val="Arial"/>
      </rPr>
      <t xml:space="preserve">- ขั้นที่ 1 (เกษตรกรที่เข้าร่วมโครงการ </t>
    </r>
    <r>
      <rPr>
        <b/>
        <sz val="15"/>
        <color rgb="FFFF0000"/>
        <rFont val="Arial"/>
      </rPr>
      <t>ทั้งหมด</t>
    </r>
    <r>
      <rPr>
        <sz val="15"/>
        <color theme="1"/>
        <rFont val="Arial"/>
      </rPr>
      <t>)</t>
    </r>
  </si>
  <si>
    <r>
      <rPr>
        <sz val="15"/>
        <color theme="1"/>
        <rFont val="Arial"/>
      </rPr>
      <t xml:space="preserve">- ขั้นที่ 1 (เกษตรกร </t>
    </r>
    <r>
      <rPr>
        <b/>
        <sz val="15"/>
        <color rgb="FFFF0000"/>
        <rFont val="Arial"/>
      </rPr>
      <t>เฉพาะ</t>
    </r>
    <r>
      <rPr>
        <sz val="15"/>
        <color theme="1"/>
        <rFont val="Arial"/>
      </rPr>
      <t xml:space="preserve"> ที่ได้รับการอบรม)</t>
    </r>
  </si>
  <si>
    <t>- ขั้นที่ 2</t>
  </si>
  <si>
    <t>- ขั้นที่ 3</t>
  </si>
  <si>
    <t>โครงการที่ 3 : โครงการพัฒนาธุรกิจชุมชน</t>
  </si>
  <si>
    <t>กิจกรรมพัฒนาธุรกิจชุมชนในเขตปฏิรูปที่ดิน  (เฉพาะงบลงทุน)</t>
  </si>
  <si>
    <t>โครงการที่ 4 : โครงการส่งเสริมและพัฒนาสินค้าเกษตรชีวภาพ</t>
  </si>
  <si>
    <t>กิจกรรมส่งเสริมการแปรรูปสมุนไพรด้วยโรงอบพลังงานแสงอาทิตย์ต้นทุนต่ำในเขตปฏิรูปที่ดิน</t>
  </si>
  <si>
    <t>โรงอบ</t>
  </si>
  <si>
    <t>แห่ง</t>
  </si>
  <si>
    <t>อบรมเกษตรกร</t>
  </si>
  <si>
    <t>- การเตรียมการ (การจัดทำฐานข้อมูลสมุนไพรและแผนการผลิต ฯ)</t>
  </si>
  <si>
    <t>- อบรมเกษตรกร (เกษตรกรรายเดิมอบรมสองหลักสูตรต่อเนื่อง)</t>
  </si>
  <si>
    <t>- หลักสูตรการดูแลรักษาโรงอบพลังงานแสงอาทิตย์ต้นทุนต่ำ ฯ</t>
  </si>
  <si>
    <t>- หลักสูตรการเพิ่มมูลค่าผลิตภัณฑ์สมุนไพร มาตรฐานสินค้า ฯ</t>
  </si>
  <si>
    <t>- จัดทำโรงอบ (งบลงทุน)</t>
  </si>
  <si>
    <t>โครงการที่ 5 : โครงการยกระดับคุณภาพมาตรฐานสินค้าเกษตร</t>
  </si>
  <si>
    <t xml:space="preserve">กิจกรรมตรวจรับรองสินค้าเกษตรในเขตปฏิรูปที่ดินตามมาตรฐาน GAP </t>
  </si>
  <si>
    <t>- เกษตรกรยื่นขอรับการรับรองมาตรฐานสินค้า (โดย ส.ป.ก.จังหวัด)</t>
  </si>
  <si>
    <t>- ตรวจประเมินเพื่อการรับรองมาตรฐานสินค้า (โดย ส.ป.ก.ส่วนกลาง)</t>
  </si>
  <si>
    <t>- เกษตรกรได้การรับรองสินค้าตามมาตรฐาน GAP (โดย ส.ป.ก.ส่วนกลาง)</t>
  </si>
  <si>
    <t>แผนงานยุทธศาสตร์เสริมสร้างพลังทางสังคม</t>
  </si>
  <si>
    <t>โครงการที่ 1 : โครงการส่งเสริมการดำเนินงานอันเนื่องมาจากพระราชดำริ</t>
  </si>
  <si>
    <t xml:space="preserve">กิจกรรมพัฒนาและส่งเสริมศิลปหัตถกรรม  </t>
  </si>
  <si>
    <t xml:space="preserve">- หลักสูตรศิลปาชีพเพื่อเกษตรในเขตปฏิรูปที่ดิน (โดย ส.ป.ก.จังหวัด)  </t>
  </si>
  <si>
    <t xml:space="preserve"> - อบรมเกษตรกร</t>
  </si>
  <si>
    <t xml:space="preserve">- หลักสูตรศิลปาชีพเพื่อผู้สนใจ (โดย ศพส.)  </t>
  </si>
  <si>
    <t xml:space="preserve"> - อบรมเกษตรกร </t>
  </si>
  <si>
    <t>กิจกรรมพัฒนาตามแนวทางพระราชดำริ</t>
  </si>
  <si>
    <t>(1) โครงการคลินิกเกษตรเคลื่อนที่ในพระราชานุเคราะห์ ฯ</t>
  </si>
  <si>
    <t>ครั้ง</t>
  </si>
  <si>
    <t>- ออกหน่วยบริการคลินิกเกษตรเคลื่อนที่</t>
  </si>
  <si>
    <t>- เกษตรกรใช้บริการคลินิก</t>
  </si>
  <si>
    <t>- บริการเบ็ดเสร็จ</t>
  </si>
  <si>
    <t>- บริการต่อเนื่อง</t>
  </si>
  <si>
    <t>(2) โครงการอนุรักษ์พันธุกรรมพืชฯ (อพ.สธ.)</t>
  </si>
  <si>
    <t>โรงเรียน</t>
  </si>
  <si>
    <t>- ค่าบริหารโครงการ</t>
  </si>
  <si>
    <t>- งบอบรม</t>
  </si>
  <si>
    <t>- วัสดุการเกษตร</t>
  </si>
  <si>
    <t>- งบปัจจัยต้นแบบ/ศูนย์/กิจกรรม</t>
  </si>
  <si>
    <t>- จัดฝึกอบรม</t>
  </si>
  <si>
    <t>- โรงเรียนที่เข้าร่วมโครงการ</t>
  </si>
  <si>
    <t>- ต้นแบบ</t>
  </si>
  <si>
    <t>โรงเรียน/ราย</t>
  </si>
  <si>
    <t>(3) โครงการเพิ่มศักยภาพระบบงานเกษตรภายใต้แผนพัฒนาเด็ก ฯ</t>
  </si>
  <si>
    <t>- สนับสนุนวัสดุการเกษตร</t>
  </si>
  <si>
    <t>- ฝึกอบรมเด็กและเยาวชน</t>
  </si>
  <si>
    <t xml:space="preserve">(4) โครงการพัฒนาและรณรงค์การใช้หญ้าแฝก </t>
  </si>
  <si>
    <t>กล้า</t>
  </si>
  <si>
    <t>- งบปลูกแฝก (ค่าขนกล้า)</t>
  </si>
  <si>
    <t>- ส่งเสริมการปลูกหญ้าแฝก</t>
  </si>
  <si>
    <t xml:space="preserve"> - ประสานขอรับพันธุ์กล้าจากสำนักงานพัฒนาที่ดิน</t>
  </si>
  <si>
    <t xml:space="preserve"> - ปลูกหญ้าแฝก</t>
  </si>
  <si>
    <t>- การฝึกอบรมการพัฒนาผลิตภัณฑ์และเชื่อมโยงการตลาด</t>
  </si>
  <si>
    <t>(5) โครงการอันเนื่องมาจากพระราชดำริพัฒนาความรู้ 12 โครงการ</t>
  </si>
  <si>
    <t>- งบปัจจัยรายบุคคล</t>
  </si>
  <si>
    <t xml:space="preserve"> - อบรมเกษตรกรในพื้นที่โครงการ</t>
  </si>
  <si>
    <t xml:space="preserve"> - รายบุคคล</t>
  </si>
  <si>
    <t xml:space="preserve"> - แปลง/ศูนย์/แห่ง</t>
  </si>
  <si>
    <t>(5) โครงการพัชรสุธาคชานุรักษ์</t>
  </si>
  <si>
    <t>(6) โครงการพัฒนาพื้นที่ราบเชิงเขา</t>
  </si>
  <si>
    <t>โครงการที่ 2 : โครงการพัฒนาผู้แทนเกษตรกร</t>
  </si>
  <si>
    <t>กิจกรรมพัฒนาผู้แทนเกษตรกรในเขตปฏิรูปที่ดิน</t>
  </si>
  <si>
    <t xml:space="preserve"> - อบรม หลักสูตรการพัฒนาผู้แทนเกษตรกรในระดับพื้นที่ (โดย ส.ป.ก.จังหวัด)</t>
  </si>
  <si>
    <t xml:space="preserve"> - อบรม หลักสูตรการพัฒนาภาวะผู้นำแก่ผู้นำเกษตรกร (โดย สพท.)</t>
  </si>
  <si>
    <t>แผนงานยุทธศาสตร์จัดการมลพิษและสิ่งแวดล้อม</t>
  </si>
  <si>
    <t>โครงการที่ 1 : โครงการเฝ้าระวังการเผาซากพืช วัชพืช และวัสดุทางการเกษตรในเขตปฏิรูปที่ดิน</t>
  </si>
  <si>
    <t>กิจกรรมเฝ้าระวังการเผาซากพืช วัชพืช และวัสดุทางการเกษตร ฯ</t>
  </si>
  <si>
    <t>- พื้นที่ที่ได้รับการส่งเสริมและเฝ้าระวังให้มีการลดการเผา</t>
  </si>
  <si>
    <t>- อบรมเกษตรกร (เกษตรกรรายเดิมอบรมหลักสูตรต่อเนื่อง)</t>
  </si>
  <si>
    <t>หลักสูตร แนวทางการเฝ้าระวังการเผาไหม้ฯ</t>
  </si>
  <si>
    <r>
      <rPr>
        <sz val="15"/>
        <color theme="1"/>
        <rFont val="Arial"/>
      </rPr>
      <t xml:space="preserve">- เกษตรกรที่เข้าร่วมโครงการ </t>
    </r>
    <r>
      <rPr>
        <b/>
        <sz val="15"/>
        <color rgb="FFFF0000"/>
        <rFont val="Arial"/>
      </rPr>
      <t>ทั้งหมด</t>
    </r>
  </si>
  <si>
    <r>
      <rPr>
        <sz val="15"/>
        <color theme="1"/>
        <rFont val="Arial"/>
      </rPr>
      <t xml:space="preserve">- เกษตรกร </t>
    </r>
    <r>
      <rPr>
        <b/>
        <sz val="15"/>
        <color rgb="FFFF0000"/>
        <rFont val="Arial"/>
      </rPr>
      <t>เฉพาะ</t>
    </r>
    <r>
      <rPr>
        <sz val="15"/>
        <color theme="1"/>
        <rFont val="Arial"/>
      </rPr>
      <t xml:space="preserve"> ที่ได้รับการอบรม แนวทางการเฝ้าระวังการเผาไหม้ฯ</t>
    </r>
  </si>
  <si>
    <t>หลักสูตร การบริหารจัดการเศษวัสดุเหลือใช้ฯ</t>
  </si>
  <si>
    <r>
      <rPr>
        <sz val="15"/>
        <color theme="1"/>
        <rFont val="Arial"/>
      </rPr>
      <t xml:space="preserve">- เกษตรกรที่เข้าร่วมโครงการ </t>
    </r>
    <r>
      <rPr>
        <b/>
        <sz val="15"/>
        <color rgb="FFFF0000"/>
        <rFont val="Arial"/>
      </rPr>
      <t>ทั้งหมด</t>
    </r>
  </si>
  <si>
    <r>
      <rPr>
        <sz val="15"/>
        <color theme="1"/>
        <rFont val="Arial"/>
      </rPr>
      <t xml:space="preserve">- เกษตรกร </t>
    </r>
    <r>
      <rPr>
        <b/>
        <sz val="15"/>
        <color rgb="FFFF0000"/>
        <rFont val="Arial"/>
      </rPr>
      <t>เฉพาะ</t>
    </r>
    <r>
      <rPr>
        <sz val="15"/>
        <color theme="1"/>
        <rFont val="Arial"/>
      </rPr>
      <t xml:space="preserve"> ที่ได้รับการอบรม การบริหารจัดการเศษวัสดุเหลือใช้ฯ</t>
    </r>
  </si>
  <si>
    <t>แผนงานบูรณาการพัฒนาและส่งเสริมเศรษฐกิจฐานราก</t>
  </si>
  <si>
    <t>โครงการที่ 1 : โครงการพัฒนาเกษตรกรปราดเปรื่อง (Smart Farmer)</t>
  </si>
  <si>
    <t>กิจกรรมพัฒนาเกษตรกรปราดเปรื่องในเขตปฏิรูปที่ดิน (Smart Farmer)</t>
  </si>
  <si>
    <t>- เตรียมความพร้อมและทำแผนพัฒนาเกษตรกร (เตรียมแล้วให้ใส่ 1)</t>
  </si>
  <si>
    <t>- พัฒนาเกษตรกร (ฝึกอบรมและขยายผลองค์ความรู้ฯ)</t>
  </si>
  <si>
    <t>- ศึกษาดูงาน</t>
  </si>
  <si>
    <t>- คัดเลือกเกษตรกรปราดเปรื่องต้นแบบ</t>
  </si>
  <si>
    <t>โครงการที่ 2 : โครงการส่งเสริมและพัฒนาอาชีพเพื่อแก้ไขปัญหาที่ดินทำกินของเกษตรกร</t>
  </si>
  <si>
    <t>กิจกรรมบริหารจัดการพื้นที่ที่ดินแปลงรวม</t>
  </si>
  <si>
    <t>พื้นที่</t>
  </si>
  <si>
    <t xml:space="preserve"> - ประสาน/สำรวจพื้นที่/ประสานหน่วยงานที่เกี่ยวข้อง</t>
  </si>
  <si>
    <t>โครงการที่ 3 : โครงการบริหารจัดการที่ดินทำกินแก่เกษตรกรรายย่อยและผู้ด้อยโอกาส</t>
  </si>
  <si>
    <t>กิจกรรมศูนย์บริการประชาชน</t>
  </si>
  <si>
    <t>- ให้บริการเกษตรกร ณ ศูนย์บริการประชาชน</t>
  </si>
  <si>
    <t>- ออกศูนย์บริการเคลื่อนที่ในเขตปฏิรูปที่ดิน</t>
  </si>
  <si>
    <t>- ตำบลที่ออกให้บริการ</t>
  </si>
  <si>
    <t>ตำบล</t>
  </si>
  <si>
    <t>- จำนวนผู้มารับบริการ</t>
  </si>
  <si>
    <t>- จำนวนผู้รับบริการจากระบบออนไลน์</t>
  </si>
  <si>
    <t>- จำนวนผู้รับบริการจากการออกรับบริการร่วมกับหน่วยงานภายนอกอื่น ๆ</t>
  </si>
  <si>
    <t>กิจกรรมจัดที่ดิน</t>
  </si>
  <si>
    <t>จัดที่ดิน แปลงเกษตรกรรม</t>
  </si>
  <si>
    <t>แผนงานตาม พ.ร.บ.</t>
  </si>
  <si>
    <t>(พื้นที่คงค้างการจัดที่ดิน (X-Ray, 0-3) + จัดที่ดินแทนที่ กรณีสละสิทธิแบ่งแปลงและเสียชีวิตแบ่งแปลง)</t>
  </si>
  <si>
    <t>- รังวัด</t>
  </si>
  <si>
    <t>- สอบสวนสิทธิ</t>
  </si>
  <si>
    <t>- มอบ ส.ป.ก. 4-01</t>
  </si>
  <si>
    <t>*ข้อมูลจาก ALRO Land Online</t>
  </si>
  <si>
    <t>แผนงานตาม พ.ร.บ. + แผนงานแก้ไขปัญหาเร่งด่วน</t>
  </si>
  <si>
    <t>-- พื้นที่คงค้างการจัดที่ดิน</t>
  </si>
  <si>
    <t>(X-Ray, 0-3)</t>
  </si>
  <si>
    <t>-- จัดที่ดินแทนที่</t>
  </si>
  <si>
    <t>(กรณีสละสิทธิแบ่งแปลง เสียชีวิตแบ่งแปลง สละสิทธิเต็มแปลง เสียชีวิตเต็มแปลง)</t>
  </si>
  <si>
    <t>งานพิพาท</t>
  </si>
  <si>
    <t>แผนงานบูรณาการบริหารจัดการทรัพยากรน้ำ</t>
  </si>
  <si>
    <t>โครงการที่ 1 : โครงการพัฒนาแหล่งน้ำเพื่อการเกษตรในเขตปฏิรูปที่ดิน</t>
  </si>
  <si>
    <t xml:space="preserve">กิจกรรมขุดสระน้ำพร้อมระบบส่งน้ำ </t>
  </si>
  <si>
    <t>- ความก้าวหน้า</t>
  </si>
  <si>
    <t xml:space="preserve">- ขุดสระน้ำพร้อมระบบส่งน้ำ </t>
  </si>
  <si>
    <t>กิจกรรมขุดสระน้ำเก็บน้ำสาธารณะ</t>
  </si>
  <si>
    <t>- พัฒนาแหล่งน้ำ/ขุดสระเก็บน้ำสาธารณะ</t>
  </si>
  <si>
    <t>- จำนวนปริมาตรกักเก็บน้ำ</t>
  </si>
  <si>
    <t>ลบ.ม.</t>
  </si>
  <si>
    <t>งบประมาณกองทุนการปฏิรูปที่ดินเพื่อเกษตรกรรม</t>
  </si>
  <si>
    <t>โครงการเพื่อการปฏิรูปที่ดินเพื่อเกษตรกรรมที่เร่งด่วนและเป็นภารกิจของ ส.ป.ก. โดยตรง แต่ไม่ได้รับจัดสรรเงินงบประมาณ</t>
  </si>
  <si>
    <t>แผนงานยุทธศาสตร์เกษตรสร้างมูลค่า</t>
  </si>
  <si>
    <t>โครงการพัฒนาธุรกิจชุมชนในเขตปฏิรูปที่ดิน</t>
  </si>
  <si>
    <t xml:space="preserve"> - ส.ป.ก.ส่วนกลาง </t>
  </si>
  <si>
    <t xml:space="preserve"> - ส.ป.ก.จังหวัด  </t>
  </si>
  <si>
    <t xml:space="preserve">1) ฝึกอบรม </t>
  </si>
  <si>
    <t xml:space="preserve">2) วัสดุการเกษตร </t>
  </si>
  <si>
    <t>3) จ้างเหมาบริการ</t>
  </si>
  <si>
    <t>4) ดำเนินงาน (ค่าใช้สอย เบี้ยเลี้ยง ที่พัก พาหนะ ฯ)</t>
  </si>
  <si>
    <t>อบรมเกษตรกร กลุ่มเกษตรกร วิสาหกิจชุมชน</t>
  </si>
  <si>
    <t>และสหกรณ์การเกษตรในเขตปฏิรูปที่ดิน</t>
  </si>
  <si>
    <t xml:space="preserve"> - หลักสูตรที่ 1 การมีส่วนร่วมและการเสริมสร้างความเข็มแข็งของชุมชน</t>
  </si>
  <si>
    <t>(อบรมรวมทั้งกลุ่มเกษตรกร วิสาหกิจชุมชน และสหกรณ์การเกษตร)</t>
  </si>
  <si>
    <t>- หลักสูตรที่ 2 การจัดทำแผนธุรกิจและการบริหารจัดการกลุ่ม</t>
  </si>
  <si>
    <t>(อบรมสหกรณ์การเกษตรในเขตปฏิรูปที่ดิน)</t>
  </si>
  <si>
    <t>- หลักสูตรที่ 3 การเพิ่มมูลค่าสินค้า</t>
  </si>
  <si>
    <t>(อบรมกลุ่มเกษตรกร วิสาหกิจชุมชน)</t>
  </si>
  <si>
    <t>- หลักสูตรที่ 4 โดย สพท.</t>
  </si>
  <si>
    <t>โครงการส่งเสริมเกษตรอินทรีย์ในเขตปฏิรูปที่ดิน</t>
  </si>
  <si>
    <t xml:space="preserve"> - อบรม หลักสูตรสำหรับพัฒนากลไกผู้นำเกษตรกรและเจ้าหน้าที่</t>
  </si>
  <si>
    <t>ด้านส่งเสริมเกษตรอินทรีย์ (โดย สพท.)</t>
  </si>
  <si>
    <t xml:space="preserve"> - อบรม หลักสูตรสำหรับส่งเสริมเกษตรอินทรีย์โดยใช้กระบวนการ</t>
  </si>
  <si>
    <t>โรงเรียนเกษตรกร (โดย ส.ป.ก.จังหวัด)</t>
  </si>
  <si>
    <t>- พื้นที่ในเขตปฏิรูปที่ดินได้รับการส่งเสริมเกษตรอินทรีย์</t>
  </si>
  <si>
    <t>โครงการส่งเสริมระบบวนเกษตรในเขตปฏิรูปที่ดิน</t>
  </si>
  <si>
    <t>- อบรมเกษตรกร</t>
  </si>
  <si>
    <t>- ขั้นที่ 1</t>
  </si>
  <si>
    <t>- พื้นที่ที่ได้รับการส่งเสริมเป็นวนเกษตร</t>
  </si>
  <si>
    <r>
      <rPr>
        <sz val="15"/>
        <color theme="1"/>
        <rFont val="Arial"/>
      </rPr>
      <t>- เกษตรกรที่เข้าร่วมโครงการขั้นที่ 1</t>
    </r>
    <r>
      <rPr>
        <sz val="15"/>
        <color rgb="FFFF0000"/>
        <rFont val="Arial"/>
      </rPr>
      <t xml:space="preserve"> ทั้งหมด</t>
    </r>
  </si>
  <si>
    <r>
      <rPr>
        <sz val="15"/>
        <color theme="1"/>
        <rFont val="Arial"/>
      </rPr>
      <t>- เกษตรก</t>
    </r>
    <r>
      <rPr>
        <sz val="15"/>
        <color rgb="FFFF0000"/>
        <rFont val="Arial"/>
      </rPr>
      <t>รเฉพา</t>
    </r>
    <r>
      <rPr>
        <sz val="15"/>
        <color theme="1"/>
        <rFont val="Arial"/>
      </rPr>
      <t>ะที่ได้รับการอบรม ขั้นที่ 1</t>
    </r>
  </si>
  <si>
    <r>
      <rPr>
        <sz val="15"/>
        <color theme="1"/>
        <rFont val="Arial"/>
      </rPr>
      <t>- เกษตรกรที่เข้าร่วมโครงการขั้นที่ 2</t>
    </r>
    <r>
      <rPr>
        <sz val="15"/>
        <color rgb="FFFF0000"/>
        <rFont val="Arial"/>
      </rPr>
      <t xml:space="preserve"> ทั้งหมด</t>
    </r>
  </si>
  <si>
    <r>
      <rPr>
        <sz val="15"/>
        <color theme="1"/>
        <rFont val="Arial"/>
      </rPr>
      <t>- เกษตรก</t>
    </r>
    <r>
      <rPr>
        <sz val="15"/>
        <color rgb="FFFF0000"/>
        <rFont val="Arial"/>
      </rPr>
      <t>รเฉพา</t>
    </r>
    <r>
      <rPr>
        <sz val="15"/>
        <color theme="1"/>
        <rFont val="Arial"/>
      </rPr>
      <t>ะที่ได้รับการอบรม ขั้นที่ 2</t>
    </r>
  </si>
  <si>
    <r>
      <rPr>
        <sz val="15"/>
        <color theme="1"/>
        <rFont val="Arial"/>
      </rPr>
      <t>- เกษตรกรที่เข้าร่วมโครงการขั้นที่ 3</t>
    </r>
    <r>
      <rPr>
        <sz val="15"/>
        <color rgb="FFFF0000"/>
        <rFont val="Arial"/>
      </rPr>
      <t xml:space="preserve"> ทั้งหมด</t>
    </r>
  </si>
  <si>
    <r>
      <rPr>
        <sz val="15"/>
        <color theme="1"/>
        <rFont val="Arial"/>
      </rPr>
      <t>- เกษตรก</t>
    </r>
    <r>
      <rPr>
        <sz val="15"/>
        <color rgb="FFFF0000"/>
        <rFont val="Arial"/>
      </rPr>
      <t>รเฉพา</t>
    </r>
    <r>
      <rPr>
        <sz val="15"/>
        <color theme="1"/>
        <rFont val="Arial"/>
      </rPr>
      <t>ะที่ได้รับการอบรม ขั้นที่ 3</t>
    </r>
  </si>
  <si>
    <r>
      <rPr>
        <sz val="15"/>
        <color theme="1"/>
        <rFont val="Arial"/>
      </rPr>
      <t>- เกษตรกรขั้นที่ 1 (</t>
    </r>
    <r>
      <rPr>
        <sz val="15"/>
        <color rgb="FFFF0000"/>
        <rFont val="Arial"/>
      </rPr>
      <t>เฉพาะ</t>
    </r>
    <r>
      <rPr>
        <sz val="15"/>
        <color theme="1"/>
        <rFont val="Arial"/>
      </rPr>
      <t>) ที่ได้รับการอบรม</t>
    </r>
  </si>
  <si>
    <r>
      <rPr>
        <sz val="15"/>
        <color theme="1"/>
        <rFont val="Arial"/>
      </rPr>
      <t xml:space="preserve"> - เกษตรกรขั้นที่ 1 (เกษตรกรที่เข้าร่วมโครงกา</t>
    </r>
    <r>
      <rPr>
        <sz val="15"/>
        <color rgb="FFFF0000"/>
        <rFont val="Arial"/>
      </rPr>
      <t>รทั้งหม</t>
    </r>
    <r>
      <rPr>
        <sz val="15"/>
        <color theme="1"/>
        <rFont val="Arial"/>
      </rPr>
      <t>ด)</t>
    </r>
  </si>
  <si>
    <r>
      <rPr>
        <sz val="15"/>
        <color theme="1"/>
        <rFont val="Arial"/>
      </rPr>
      <t>- เกษตรกรขั้นที่ 2 (</t>
    </r>
    <r>
      <rPr>
        <sz val="15"/>
        <color rgb="FFFF0000"/>
        <rFont val="Arial"/>
      </rPr>
      <t>เฉพาะ</t>
    </r>
    <r>
      <rPr>
        <sz val="15"/>
        <color theme="1"/>
        <rFont val="Arial"/>
      </rPr>
      <t>) ที่ได้รับการอบรม</t>
    </r>
  </si>
  <si>
    <r>
      <rPr>
        <sz val="15"/>
        <color theme="1"/>
        <rFont val="Arial"/>
      </rPr>
      <t>- เกษตรกรขั้นที่ 2 (เกษตรกรที่เข้าร่วมโครงการ</t>
    </r>
    <r>
      <rPr>
        <sz val="15"/>
        <color rgb="FFFF0000"/>
        <rFont val="Arial"/>
      </rPr>
      <t>ทั้งหมด</t>
    </r>
    <r>
      <rPr>
        <sz val="15"/>
        <color theme="1"/>
        <rFont val="Arial"/>
      </rPr>
      <t>)</t>
    </r>
  </si>
  <si>
    <t>โครงการส่งเสริมและขยายพันธุ์พืชในเขตปฏิรูปที่ดิน</t>
  </si>
  <si>
    <t>ดำเนินการโดย สพท.</t>
  </si>
  <si>
    <t>- สนับสนุนกล้าไม้</t>
  </si>
  <si>
    <t>- ผู้สนใจเข้าศึกษาดูงาน</t>
  </si>
  <si>
    <t>- ศูนย์ส่งเสริมและขยายพันธุ์ฯ จ.พระนครศรีอยุธยา</t>
  </si>
  <si>
    <t>- ศูนย์ส่งเสริมและขยายพันธุ์ฯ จ.ฉะเชิงเทรา</t>
  </si>
  <si>
    <t xml:space="preserve">โครงการส่งเสริมและพัฒนาอาชีพเพื่อแก้ไขปัญหาที่ดินทำกินของเกษตรกร </t>
  </si>
  <si>
    <t>กิจกรรมยกระดับรายได้เกษตรกรในเขตปฏิรูปที่ดินเพื่อลดความเหลื่อมล้ำ</t>
  </si>
  <si>
    <t>- จัดฝึกอบรมเกษตรกรตามหลักสูตร</t>
  </si>
  <si>
    <t>- หลักสูตร 1 จัดทำ พัฒนา สรุปและถอดบทเรียนแผนชุมชน</t>
  </si>
  <si>
    <t>- หลักสูตร 2 การพัฒนาอาชีพ ส่งเสริมและสนับสนุนองค์ความรู้ฯ</t>
  </si>
  <si>
    <t>- หลักสูตร 3 การพัฒนาสถาบันเกษตรกรในพื้นที่ คทช.</t>
  </si>
  <si>
    <t>- หลักสูตร 4 การพัฒนาหรือศึกษาดูงานการเพิ่มประสิทธิภาพการผลิต</t>
  </si>
  <si>
    <t>โครงการตรวจสอบที่ดินในเขตปฏิรูปที่ดิน</t>
  </si>
  <si>
    <t>5) ค่าธรรมเนียมศาล</t>
  </si>
  <si>
    <t>ตรวจสอบการถือครอง (กรณีแผนงานปกติ)</t>
  </si>
  <si>
    <t>1. ผลการลงพื้นที่หาข้อมูลเบื้องต้นจากผู้ที่น่าเชื่อถือได้</t>
  </si>
  <si>
    <t>1.1 ใช้ประโยชน์ด้วยตนเอง</t>
  </si>
  <si>
    <t>1.2 ไม่ใช้ประโยชน์ในที่ดิน (รวมไม่ทราบข้อมูล)</t>
  </si>
  <si>
    <t>1.3 เสียชีวิต</t>
  </si>
  <si>
    <t>2. ผลการพิจารณาของคณะอนุกรรมการ</t>
  </si>
  <si>
    <t>2.1 ใช้ประโยชน์ด้วยตนเอง</t>
  </si>
  <si>
    <t>2.2 ไม่ใช้ประโยชน์ในที่ดิน (รวมไม่ทราบข้อมูล)</t>
  </si>
  <si>
    <t>2.3 เสียชีวิต</t>
  </si>
  <si>
    <t>3. สรุปผลการตรวจสอบการถือครอง</t>
  </si>
  <si>
    <t>3.1 ใช้ประโยชน์ด้วยตนเอง</t>
  </si>
  <si>
    <t>3.2 ไม่ใช้ประโยชน์ในที่ดิน (รวมไม่ทราบข้อมูล)</t>
  </si>
  <si>
    <t>3.3 เสียชีวิต</t>
  </si>
  <si>
    <t>- เสียชีวิต ทายาททำประโยชน์</t>
  </si>
  <si>
    <t>- เสียชีวิต บุคคลอื่นทำประโยชน์</t>
  </si>
  <si>
    <t>3.4 ไม่มาให้ข้อเท็จจริง</t>
  </si>
  <si>
    <t>3.5 บอกเลิกสัญญาเช่า/เช่าซื้อ</t>
  </si>
  <si>
    <t>ตรวจสอบการถือครอง (กรณีผิดปกติ)</t>
  </si>
  <si>
    <t>สรุป</t>
  </si>
  <si>
    <t>1. เกษตรกรมีชีวิตอยู่</t>
  </si>
  <si>
    <t>1.1 ปฏิบัติตามระเบียบ (ผลจากการลงพื้นที่/ยุติเรื่อง)</t>
  </si>
  <si>
    <t>1.2 ไม่ปฏิบัติตามระเบียบ (หลังจากทำหนังสือแจ้งเตือน/แจ้งสิทธิ)</t>
  </si>
  <si>
    <t>1.3 คปจ.สั่งให้สิ้นสิทธิ</t>
  </si>
  <si>
    <t>2. เกษตรกรเสียชีวิต</t>
  </si>
  <si>
    <t>2.1 เสียชีวิต ทายาททำประโยชน์</t>
  </si>
  <si>
    <t>2.2  เสียชีวิต บุคคลอื่นทำประโยชน์</t>
  </si>
  <si>
    <t>3. กรณีอื่นๆ ( เช่น พื้นที่นอกเขตฯ ฐานข้อมูลคลาดเคลื่อน)</t>
  </si>
  <si>
    <t>ตรวจสอบการใช้ที่ดินผิดวัตถุประสงค์ โดยแผนที่ภาพถ่ายทางอากาศ/ดาวเทียม</t>
  </si>
  <si>
    <t xml:space="preserve"> - สผส. ตรวจสอบ ติดตามการใช้ประโยชน์ที่ดินรายแปลง</t>
  </si>
  <si>
    <t>ด้วยภาพถ่ายทางอากาศและ/หรือภาพดาวเทียมรายละเอียดสูง</t>
  </si>
  <si>
    <t>- ใช้ที่ผิดวัตถุประสงค์</t>
  </si>
  <si>
    <t>- ส่งข้อมูลกรณีใช้ที่ผิดวัตถุประสงค์ให้ ส.ป.ก.จังหวัด ตรวจสอบ</t>
  </si>
  <si>
    <t xml:space="preserve"> - ส.ป.ก.จังหวัด ตรวจสอบ ติดตามการใช้ประโยชน์ที่ดินรายแปลง</t>
  </si>
  <si>
    <t xml:space="preserve">  แปลงที่ใช้ที่ดินผิดวัตถุประสงค์ จากการตรวจพบของ สผส.</t>
  </si>
  <si>
    <t>- ใช้ที่ดินตามวัตถุประสงค์</t>
  </si>
  <si>
    <t>- อื่น ๆ</t>
  </si>
  <si>
    <t>โครงการจัดที่ดินชุมชนในเขตปฏิรูปที่ดิน</t>
  </si>
  <si>
    <t>- จัดทำประชาคม</t>
  </si>
  <si>
    <t>ชุมชน</t>
  </si>
  <si>
    <t>- จัดทำวงรอบ</t>
  </si>
  <si>
    <t>ชุุมชน</t>
  </si>
  <si>
    <t>- สำรวจรังวัด</t>
  </si>
  <si>
    <t>- คปจ.</t>
  </si>
  <si>
    <t>- จัดทำสัญญาเข้าทำประโยชน์ (ส.ป.ก. 4-118)</t>
  </si>
  <si>
    <t>โครงการบริหารจัดการที่ดินเอกชน</t>
  </si>
  <si>
    <t>กิจกรรมการจัดหาที่ดินเอกชน</t>
  </si>
  <si>
    <t>1. การจัดหาที่ดินเพื่อการจัดซื้อที่ดินเอกชน ปี 2566</t>
  </si>
  <si>
    <t>- จัดทำป้ายประชาสัมพันธ์เพื่อประกาศพื้นที่</t>
  </si>
  <si>
    <t>- ปิดป้ายประชาสัมพันธ์เพื่อประกาศพื้นที่</t>
  </si>
  <si>
    <t>- รับคำเสนอขาย/ตรวจสอบความถูกต้องหนังสือแสดงสิทธิในที่ดิน</t>
  </si>
  <si>
    <t>- ตรวจสอบสภาพพื้นที่ แปลงที่ดิน การทำประโยชน์/ต่อรองราคา</t>
  </si>
  <si>
    <t>- คณะอนุกรรมการจัดซื้อที่ดินพิจารณาความเหมาะสมของที่ดิน</t>
  </si>
  <si>
    <t>- นำเสนอ คปจ./อกก.คง.</t>
  </si>
  <si>
    <t>- อำนาจ คปจ. เห็นชอบและอนุมัติ กรณีราคาไม่เกิน 1.5 เท่า</t>
  </si>
  <si>
    <t>- อำนาจ อกก.คง. เห็นชอบและอนุมัติ กรณีราคาเกิน 1.5 เท่า</t>
  </si>
  <si>
    <t>2. จัดซื้อที่ดินงานต่อเนื่อง</t>
  </si>
  <si>
    <t>- นำเสนอ คปจ.</t>
  </si>
  <si>
    <t>- ประกาศเขตปฏิรูปที่ดิน</t>
  </si>
  <si>
    <t>- จดทะเบียนสิทธิและนิติกรรม และชำระมูลค่าที่ดิน</t>
  </si>
  <si>
    <t>กิจกรรมการจัดที่ดินเอกชน 7 กิจกรรม</t>
  </si>
  <si>
    <t>1. สำรวจรังวัดปูผังแบ่งแปลงที่ดิน (แปลงว่าง) *</t>
  </si>
  <si>
    <t>2. จัดทำสัญญาเช่า/เช่าซื้อ (แปลงว่าง) *</t>
  </si>
  <si>
    <t>3. ปรับปรุงสิทธิ</t>
  </si>
  <si>
    <t>- การเช่าไปสู่การเช่าซื้อ</t>
  </si>
  <si>
    <t>- การเช่าซื้อไปสู่การเช่า</t>
  </si>
  <si>
    <t>4. การสำรวจรังวัดแบ่งแยกในนามเดิมยื่นคำขอออกโฉนดที่ดินกับ สนง.ที่ดิน</t>
  </si>
  <si>
    <t>- แปลงต้นขั้ว</t>
  </si>
  <si>
    <t>- แปลงยื่นสำรวจรังวัดแบ่งแยก</t>
  </si>
  <si>
    <t>- อยู่ระหว่างยื่นดำเนินการ</t>
  </si>
  <si>
    <t>- ดำเนินการเรียบร้อยแล้ว</t>
  </si>
  <si>
    <t>5. จดทะเบียนสิทธิและนิติกรรม (ตามสัญญาเช่าซื้อ) *</t>
  </si>
  <si>
    <t>6. โอนสิทธิและมรดกสิทธิการเช่า/เช่าซื้อ เต็มแปลง/แบ่งแปลง *</t>
  </si>
  <si>
    <t>- เต็มแปลง</t>
  </si>
  <si>
    <t>- แบ่งแปลง</t>
  </si>
  <si>
    <t>7. การเจรจาไกล่เกลี่ยข้อพิพาท</t>
  </si>
  <si>
    <t>- อยู่ระหว่างแก้ไขปัญหา</t>
  </si>
  <si>
    <t>- ยุติเรื่อง</t>
  </si>
  <si>
    <t>* กิจกรรมที่ 1,2,5,6 ข้อมูลจาก ALRO Land Online</t>
  </si>
  <si>
    <t xml:space="preserve">โครงการจัดทำและปรับปรุงฐานข้อมูลที่ดินและแผนที่ กมร. </t>
  </si>
  <si>
    <t>จัดทำและปรับปรุงฐานข้อมูลที่ดินและแผนที่ กมร.</t>
  </si>
  <si>
    <t>ระวาง</t>
  </si>
  <si>
    <t>โครงการตรวจสอบมาตรฐานแผนที่ตามระเบียบ กมร.</t>
  </si>
  <si>
    <t>ตรวจสอบมาตรฐานแผนที่ตามระเบียบ กมร.</t>
  </si>
  <si>
    <t>โครงการสำรวจวางโครงหมุดหลักฐานแผนที่ด้วยเครื่อง GNSS</t>
  </si>
  <si>
    <t>สำรวจวางโครงหมุดหลักฐานแผนที่ด้วยเครื่อง GNSS</t>
  </si>
  <si>
    <t>โครงการสำรวจรังวัดปรับปรุงแผนที่แปลงที่ดินมาตรฐาน RTK GNSS Network</t>
  </si>
  <si>
    <t>ดำเนินการโดย ส.ป.ก. จังหวัด (ข้อมูลจาก สผส.)</t>
  </si>
  <si>
    <t>ดำเนินการโดย สผส.</t>
  </si>
  <si>
    <t>โครงการสำรวจวางโครงหมุดหลักฐานแผนที่ และปักหลักเขต</t>
  </si>
  <si>
    <t>สำรวจวางโครงหมุดหลักฐานแผนที่ และปักหลักเขต</t>
  </si>
  <si>
    <t>การดำเนินงานกองทุนการปฏิรูปที่ดินเพื่อเกษตรกรรม</t>
  </si>
  <si>
    <t>แผนการจัดเก็บหนี้ต้นเงินกู้ที่ครบกำหนดชำระ</t>
  </si>
  <si>
    <t>แผนการจัดเก็บหนี้ต้นเงินกู้ค้างชำระ</t>
  </si>
  <si>
    <t>แผนการจัดเก็บรายได้ค่าเช่าและเงินต้นค่าเช่าซื้อ</t>
  </si>
  <si>
    <t>แผนการให้สินเชื่อเงินกองทุนฯ</t>
  </si>
  <si>
    <t>สำนักงานการปฏิรูปที่ดินจังหวัด กาญจนบุรี</t>
  </si>
  <si>
    <t>(5) โครงการพัฒนาพื้นที่สูงแบบโครงการหลวงห้วยเขย่ง</t>
  </si>
  <si>
    <t>การดำเนินงานกองทุนการปฏิรูปที่ดินเพื่อเกษตรกรรม (ใช้ข้อมูลจาก สบท.)</t>
  </si>
  <si>
    <t>สำนักงานการปฏิรูปที่ดินจังหวัด จันทบุรี</t>
  </si>
  <si>
    <r>
      <rPr>
        <sz val="15"/>
        <color theme="1"/>
        <rFont val="Arial"/>
      </rPr>
      <t xml:space="preserve">- เกษตรกร </t>
    </r>
    <r>
      <rPr>
        <b/>
        <sz val="15"/>
        <color rgb="FFFF0000"/>
        <rFont val="Arial"/>
      </rPr>
      <t>เฉพาะ</t>
    </r>
    <r>
      <rPr>
        <sz val="15"/>
        <color theme="1"/>
        <rFont val="Arial"/>
      </rPr>
      <t xml:space="preserve"> ที่ได้รับการอบรม แนวทางการเฝ้าระวัง</t>
    </r>
  </si>
  <si>
    <t>สำนักงานการปฏิรูปที่ดินจังหวัด ฉะเชิงเทรา</t>
  </si>
  <si>
    <t>(5) โครงการที่ดินพระราชทาน</t>
  </si>
  <si>
    <t xml:space="preserve">(6) โครงการพัชรสุธาคชานุรักษ์ </t>
  </si>
  <si>
    <t>สำนักงานการปฏิรูปที่ดินจังหวัด ชลบุรี</t>
  </si>
  <si>
    <t>สำนักงานการปฏิรูปที่ดินจังหวัด ชัยนาท</t>
  </si>
  <si>
    <t>สำนักงานการปฏิรูปที่ดินจังหวัด ตราด</t>
  </si>
  <si>
    <t>สำนักงานการปฏิรูปที่ดินจังหวัด นครนายก</t>
  </si>
  <si>
    <t xml:space="preserve">(5) โครงการที่ดินพระราชทาน  </t>
  </si>
  <si>
    <t>สำนักงานการปฏิรูปที่ดินจังหวัด นครปฐม</t>
  </si>
  <si>
    <t>- รายโรงเรียน</t>
  </si>
  <si>
    <t>- โรงเรียน/แปลง</t>
  </si>
  <si>
    <t>สำนักงานการปฏิรูปที่ดินจังหวัด ปทุมธานี</t>
  </si>
  <si>
    <t>สำนักงานการปฏิรูปที่ดินจังหวัด ประจวบคีรีขันธ์</t>
  </si>
  <si>
    <t>ข้อมูล ณ วันที่ 29 ธันวาคม 2565</t>
  </si>
  <si>
    <t>สำนักงานการปฏิรูปที่ดินจังหวัด ปราจีนบุรี</t>
  </si>
  <si>
    <t>(5) พัฒนาพื้นที่ที่ราบเชิงเขาจังหวัดสระแก้ว-ปราจีนบุรี</t>
  </si>
  <si>
    <t>สำนักงานการปฏิรูปที่ดินจังหวัด พระนครศรีอยุธยา</t>
  </si>
  <si>
    <t>สำนักงานการปฏิรูปที่ดินจังหวัด เพชรบุรี</t>
  </si>
  <si>
    <t>สำนักงานการปฏิรูปที่ดินจังหวัด ระยอง</t>
  </si>
  <si>
    <t>สำนักงานการปฏิรูปที่ดินจังหวัด ราชบุรี</t>
  </si>
  <si>
    <t>สำนักงานการปฏิรูปที่ดินจังหวัด ลพบุรี</t>
  </si>
  <si>
    <t>สำนักงานการปฏิรูปที่ดินจังหวัด สระแก้ว</t>
  </si>
  <si>
    <t>สำนักงานการปฏิรูปที่ดินจังหวัด สระบุรี</t>
  </si>
  <si>
    <t>สำนักงานการปฏิรูปที่ดินจังหวัด สิงห์บุรี</t>
  </si>
  <si>
    <t>สำนักงานการปฏิรูปที่ดินจังหวัด สุพรรณบุรี</t>
  </si>
  <si>
    <t>สำนักงานการปฏิรูปที่ดินจังหวัด อ่างทอง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</si>
</sst>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1" formatCode="_-* #,##0_-;\-* #,##0_-;_-* &quot;-&quot;_-;_-@_-"/>
    <numFmt numFmtId="187" formatCode="_-* #,##0_-;\-* #,##0_-;_-* &quot;-&quot;??_-;_-@"/>
    <numFmt numFmtId="188" formatCode="_-* #,##0.00_-;\-* #,##0.00_-;_-* &quot;-&quot;??_-;_-@"/>
    <numFmt numFmtId="189" formatCode="_-* #,##0_-;\-* #,##0_-;_-* &quot;-&quot;_-;_-@"/>
    <numFmt numFmtId="190" formatCode="_(* #,##0_);_(* \(#,##0\);_(* &quot;-&quot;??_);_(@_)"/>
    <numFmt numFmtId="191" formatCode="_-* #,##0.00_-;\-* #,##0.00_-;_-* &quot;-&quot;????_-;_-@"/>
  </numFmts>
  <fonts count="75">
    <font>
      <sz val="10"/>
      <color rgb="FF000000"/>
      <name val="Arial"/>
      <scheme val="minor"/>
    </font>
    <font>
      <b/>
      <sz val="15"/>
      <color theme="1"/>
      <name val="Arial"/>
    </font>
    <font>
      <sz val="10"/>
      <color theme="1"/>
      <name val="Arial"/>
    </font>
    <font>
      <sz val="10"/>
      <name val="Arial"/>
    </font>
    <font>
      <sz val="15"/>
      <color theme="1"/>
      <name val="Arial"/>
      <scheme val="minor"/>
    </font>
    <font>
      <b/>
      <u/>
      <sz val="15"/>
      <color theme="1"/>
      <name val="Arial"/>
    </font>
    <font>
      <b/>
      <sz val="15"/>
      <color theme="1"/>
      <name val="Arial"/>
      <scheme val="minor"/>
    </font>
    <font>
      <sz val="10"/>
      <color rgb="FFFF0000"/>
      <name val="Arial"/>
    </font>
    <font>
      <sz val="15"/>
      <color rgb="FFFF0000"/>
      <name val="Arial"/>
    </font>
    <font>
      <sz val="15"/>
      <color rgb="FFFF0000"/>
      <name val="Arial"/>
      <scheme val="minor"/>
    </font>
    <font>
      <u/>
      <sz val="15"/>
      <color theme="1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sz val="15"/>
      <color theme="1"/>
      <name val="Arial"/>
    </font>
    <font>
      <b/>
      <sz val="15"/>
      <color rgb="FFFF0000"/>
      <name val="Arial"/>
    </font>
    <font>
      <b/>
      <u/>
      <sz val="15"/>
      <color theme="1"/>
      <name val="Arial"/>
    </font>
    <font>
      <sz val="14"/>
      <color theme="1"/>
      <name val="Arial"/>
    </font>
    <font>
      <sz val="13"/>
      <color theme="1"/>
      <name val="Arial"/>
    </font>
    <font>
      <u/>
      <sz val="15"/>
      <color theme="1"/>
      <name val="Arial"/>
    </font>
    <font>
      <b/>
      <sz val="10"/>
      <color theme="1"/>
      <name val="Arial"/>
    </font>
    <font>
      <b/>
      <u/>
      <sz val="15"/>
      <color theme="1"/>
      <name val="Arial"/>
    </font>
    <font>
      <b/>
      <sz val="10"/>
      <color theme="1"/>
      <name val="Arial"/>
      <scheme val="minor"/>
    </font>
    <font>
      <u/>
      <sz val="15"/>
      <color rgb="FFFF0000"/>
      <name val="Arial"/>
    </font>
    <font>
      <sz val="10"/>
      <color rgb="FFFF0000"/>
      <name val="Arial"/>
      <scheme val="minor"/>
    </font>
    <font>
      <u/>
      <sz val="15"/>
      <color rgb="FFFF0000"/>
      <name val="Arial"/>
    </font>
    <font>
      <b/>
      <sz val="15"/>
      <color rgb="FFFF0000"/>
      <name val="Arial"/>
      <scheme val="minor"/>
    </font>
    <font>
      <b/>
      <u/>
      <sz val="15"/>
      <color rgb="FFFF0000"/>
      <name val="Arial"/>
    </font>
    <font>
      <b/>
      <u/>
      <sz val="15"/>
      <color theme="1"/>
      <name val="Arial"/>
    </font>
    <font>
      <sz val="15"/>
      <color rgb="FF000000"/>
      <name val="Arial"/>
      <scheme val="minor"/>
    </font>
    <font>
      <sz val="10"/>
      <color rgb="FF000000"/>
      <name val="Arial"/>
    </font>
    <font>
      <b/>
      <sz val="15"/>
      <color rgb="FF000000"/>
      <name val="Arial"/>
    </font>
    <font>
      <b/>
      <sz val="15"/>
      <color rgb="FF000000"/>
      <name val="Arial"/>
      <scheme val="minor"/>
    </font>
    <font>
      <sz val="10"/>
      <color rgb="FF000000"/>
      <name val="Arial"/>
      <scheme val="minor"/>
    </font>
    <font>
      <b/>
      <u/>
      <sz val="15"/>
      <color rgb="FF000000"/>
      <name val="Arial"/>
    </font>
    <font>
      <sz val="15"/>
      <color rgb="FF000000"/>
      <name val="Arial"/>
    </font>
    <font>
      <b/>
      <u/>
      <sz val="15"/>
      <color rgb="FF000000"/>
      <name val="Arial"/>
    </font>
    <font>
      <b/>
      <u/>
      <sz val="15"/>
      <color rgb="FFFF0000"/>
      <name val="Arial"/>
    </font>
    <font>
      <b/>
      <u/>
      <sz val="15"/>
      <color rgb="FFFF0000"/>
      <name val="Arial"/>
    </font>
    <font>
      <b/>
      <sz val="15"/>
      <color rgb="FFFFFFFF"/>
      <name val="Arial"/>
    </font>
    <font>
      <sz val="15"/>
      <color theme="1"/>
      <name val="Sarabun"/>
    </font>
    <font>
      <b/>
      <u/>
      <sz val="15"/>
      <color theme="1"/>
      <name val="Arial"/>
    </font>
    <font>
      <b/>
      <u/>
      <sz val="15"/>
      <color theme="1"/>
      <name val="Arial"/>
    </font>
    <font>
      <sz val="13"/>
      <color rgb="FFFF0000"/>
      <name val="Arial"/>
      <scheme val="minor"/>
    </font>
    <font>
      <sz val="10"/>
      <color rgb="FF1155CC"/>
      <name val="Arial"/>
    </font>
    <font>
      <b/>
      <sz val="15"/>
      <color rgb="FF1155CC"/>
      <name val="Arial"/>
    </font>
    <font>
      <b/>
      <u/>
      <sz val="15"/>
      <color rgb="FF1155CC"/>
      <name val="Arial"/>
    </font>
    <font>
      <b/>
      <sz val="15"/>
      <color rgb="FF1155CC"/>
      <name val="Arial"/>
      <scheme val="minor"/>
    </font>
    <font>
      <sz val="15"/>
      <color rgb="FF1155CC"/>
      <name val="Arial"/>
      <scheme val="minor"/>
    </font>
    <font>
      <sz val="10"/>
      <color rgb="FF1155CC"/>
      <name val="Arial"/>
      <scheme val="minor"/>
    </font>
    <font>
      <sz val="13"/>
      <color rgb="FF1155CC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b/>
      <u/>
      <sz val="15"/>
      <color theme="1"/>
      <name val="Arial"/>
      <scheme val="minor"/>
    </font>
    <font>
      <u/>
      <sz val="15"/>
      <color theme="1"/>
      <name val="Arial"/>
      <scheme val="minor"/>
    </font>
    <font>
      <b/>
      <u/>
      <sz val="15"/>
      <color theme="1"/>
      <name val="Arial"/>
      <scheme val="minor"/>
    </font>
    <font>
      <i/>
      <sz val="15"/>
      <color rgb="FFFF00FF"/>
      <name val="Arial"/>
      <scheme val="minor"/>
    </font>
    <font>
      <b/>
      <u/>
      <sz val="15"/>
      <color theme="1"/>
      <name val="Arial"/>
      <scheme val="minor"/>
    </font>
    <font>
      <b/>
      <u/>
      <sz val="15"/>
      <color rgb="FFFF0000"/>
      <name val="Arial"/>
      <scheme val="minor"/>
    </font>
    <font>
      <u/>
      <sz val="15"/>
      <color rgb="FFFF0000"/>
      <name val="Arial"/>
      <scheme val="minor"/>
    </font>
    <font>
      <b/>
      <u/>
      <sz val="15"/>
      <color rgb="FFFF0000"/>
      <name val="Arial"/>
      <scheme val="minor"/>
    </font>
    <font>
      <b/>
      <u/>
      <sz val="15"/>
      <color theme="1"/>
      <name val="Arial"/>
      <scheme val="minor"/>
    </font>
    <font>
      <sz val="14"/>
      <color theme="1"/>
      <name val="Arial"/>
      <scheme val="minor"/>
    </font>
    <font>
      <b/>
      <u/>
      <sz val="15"/>
      <color theme="1"/>
      <name val="Arial"/>
      <scheme val="minor"/>
    </font>
    <font>
      <b/>
      <sz val="14"/>
      <color theme="1"/>
      <name val="Arial"/>
      <scheme val="minor"/>
    </font>
    <font>
      <u/>
      <sz val="15"/>
      <color theme="1"/>
      <name val="Arial"/>
      <scheme val="minor"/>
    </font>
    <font>
      <b/>
      <u/>
      <sz val="15"/>
      <color theme="1"/>
      <name val="Arial"/>
      <scheme val="minor"/>
    </font>
    <font>
      <i/>
      <sz val="15"/>
      <color rgb="FF999999"/>
      <name val="Arial"/>
      <scheme val="minor"/>
    </font>
    <font>
      <b/>
      <u/>
      <sz val="15"/>
      <color rgb="FFFF0000"/>
      <name val="Arial"/>
      <scheme val="minor"/>
    </font>
    <font>
      <b/>
      <u/>
      <sz val="15"/>
      <color rgb="FFFF0000"/>
      <name val="Arial"/>
      <scheme val="minor"/>
    </font>
    <font>
      <u/>
      <sz val="15"/>
      <color rgb="FFFF0000"/>
      <name val="Arial"/>
      <scheme val="minor"/>
    </font>
    <font>
      <b/>
      <u/>
      <sz val="15"/>
      <color rgb="FFFF0000"/>
      <name val="Arial"/>
      <scheme val="minor"/>
    </font>
    <font>
      <b/>
      <sz val="14"/>
      <color rgb="FFFF0000"/>
      <name val="Arial"/>
    </font>
    <font>
      <b/>
      <sz val="13"/>
      <color rgb="FFFF0000"/>
      <name val="Arial"/>
    </font>
  </fonts>
  <fills count="41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548135"/>
        <bgColor rgb="FF548135"/>
      </patternFill>
    </fill>
    <fill>
      <patternFill patternType="solid">
        <fgColor rgb="FFFCFAB0"/>
        <bgColor rgb="FFFCFAB0"/>
      </patternFill>
    </fill>
    <fill>
      <patternFill patternType="solid">
        <fgColor rgb="FFDADADA"/>
        <bgColor rgb="FFDADADA"/>
      </patternFill>
    </fill>
    <fill>
      <patternFill patternType="solid">
        <fgColor rgb="FFFAE6F6"/>
        <bgColor rgb="FFFAE6F6"/>
      </patternFill>
    </fill>
    <fill>
      <patternFill patternType="solid">
        <fgColor rgb="FFA8D08D"/>
        <bgColor rgb="FFA8D08D"/>
      </patternFill>
    </fill>
    <fill>
      <patternFill patternType="solid">
        <fgColor rgb="FF9BC2E6"/>
        <bgColor rgb="FF9BC2E6"/>
      </patternFill>
    </fill>
    <fill>
      <patternFill patternType="solid">
        <fgColor rgb="FFD9E2F3"/>
        <bgColor rgb="FFD9E2F3"/>
      </patternFill>
    </fill>
    <fill>
      <patternFill patternType="solid">
        <fgColor rgb="FFFFFF00"/>
        <bgColor rgb="FFFFFF00"/>
      </patternFill>
    </fill>
    <fill>
      <patternFill patternType="solid">
        <fgColor rgb="FFF4B084"/>
        <bgColor rgb="FFF4B084"/>
      </patternFill>
    </fill>
    <fill>
      <patternFill patternType="solid">
        <fgColor rgb="FFF9CB9C"/>
        <bgColor rgb="FFF9CB9C"/>
      </patternFill>
    </fill>
    <fill>
      <patternFill patternType="solid">
        <fgColor rgb="FFF8CBAD"/>
        <bgColor rgb="FFF8CBAD"/>
      </patternFill>
    </fill>
    <fill>
      <patternFill patternType="solid">
        <fgColor rgb="FFFCE4D6"/>
        <bgColor rgb="FFFCE4D6"/>
      </patternFill>
    </fill>
    <fill>
      <patternFill patternType="solid">
        <fgColor rgb="FFC776D4"/>
        <bgColor rgb="FFC776D4"/>
      </patternFill>
    </fill>
    <fill>
      <patternFill patternType="solid">
        <fgColor rgb="FFDB8DBF"/>
        <bgColor rgb="FFDB8DBF"/>
      </patternFill>
    </fill>
    <fill>
      <patternFill patternType="solid">
        <fgColor rgb="FFE9B9D8"/>
        <bgColor rgb="FFE9B9D8"/>
      </patternFill>
    </fill>
    <fill>
      <patternFill patternType="solid">
        <fgColor rgb="FFFCD8F3"/>
        <bgColor rgb="FFFCD8F3"/>
      </patternFill>
    </fill>
    <fill>
      <patternFill patternType="solid">
        <fgColor rgb="FF8EAADB"/>
        <bgColor rgb="FF8EAADB"/>
      </patternFill>
    </fill>
    <fill>
      <patternFill patternType="solid">
        <fgColor rgb="FFB4C6E7"/>
        <bgColor rgb="FFB4C6E7"/>
      </patternFill>
    </fill>
    <fill>
      <patternFill patternType="solid">
        <fgColor rgb="FFE2EFD9"/>
        <bgColor rgb="FFE2EFD9"/>
      </patternFill>
    </fill>
    <fill>
      <patternFill patternType="solid">
        <fgColor rgb="FFC5E0B3"/>
        <bgColor rgb="FFC5E0B3"/>
      </patternFill>
    </fill>
    <fill>
      <patternFill patternType="solid">
        <fgColor rgb="FFFEF2CB"/>
        <bgColor rgb="FFFEF2CB"/>
      </patternFill>
    </fill>
    <fill>
      <patternFill patternType="solid">
        <fgColor rgb="FFCC4125"/>
        <bgColor rgb="FFCC4125"/>
      </patternFill>
    </fill>
    <fill>
      <patternFill patternType="solid">
        <fgColor rgb="FFDD7E6B"/>
        <bgColor rgb="FFDD7E6B"/>
      </patternFill>
    </fill>
    <fill>
      <patternFill patternType="solid">
        <fgColor rgb="FFE6B8AF"/>
        <bgColor rgb="FFE6B8AF"/>
      </patternFill>
    </fill>
    <fill>
      <patternFill patternType="solid">
        <fgColor rgb="FFE072D8"/>
        <bgColor rgb="FFE072D8"/>
      </patternFill>
    </fill>
    <fill>
      <patternFill patternType="solid">
        <fgColor rgb="FFF0A6F0"/>
        <bgColor rgb="FFF0A6F0"/>
      </patternFill>
    </fill>
    <fill>
      <patternFill patternType="solid">
        <fgColor rgb="FFF5C7EC"/>
        <bgColor rgb="FFF5C7EC"/>
      </patternFill>
    </fill>
    <fill>
      <patternFill patternType="solid">
        <fgColor rgb="FFCFE2F3"/>
        <bgColor rgb="FFCFE2F3"/>
      </patternFill>
    </fill>
    <fill>
      <patternFill patternType="solid">
        <fgColor rgb="FFF1C232"/>
        <bgColor rgb="FFF1C232"/>
      </patternFill>
    </fill>
    <fill>
      <patternFill patternType="solid">
        <fgColor rgb="FFFFE599"/>
        <bgColor rgb="FFFFE599"/>
      </patternFill>
    </fill>
    <fill>
      <patternFill patternType="solid">
        <fgColor rgb="FFFFF2CC"/>
        <bgColor rgb="FFFFF2CC"/>
      </patternFill>
    </fill>
    <fill>
      <patternFill patternType="solid">
        <fgColor rgb="FFFF9933"/>
        <bgColor rgb="FFFF9933"/>
      </patternFill>
    </fill>
    <fill>
      <patternFill patternType="solid">
        <fgColor rgb="FFF4B083"/>
        <bgColor rgb="FFF4B083"/>
      </patternFill>
    </fill>
    <fill>
      <patternFill patternType="solid">
        <fgColor rgb="FFF7CAAC"/>
        <bgColor rgb="FFF7CAAC"/>
      </patternFill>
    </fill>
    <fill>
      <patternFill patternType="solid">
        <fgColor rgb="FF76A5AF"/>
        <bgColor rgb="FF76A5AF"/>
      </patternFill>
    </fill>
    <fill>
      <patternFill patternType="solid">
        <fgColor rgb="FFA2C4C9"/>
        <bgColor rgb="FFA2C4C9"/>
      </patternFill>
    </fill>
    <fill>
      <patternFill patternType="solid">
        <fgColor rgb="FFD0E0E3"/>
        <bgColor rgb="FFD0E0E3"/>
      </patternFill>
    </fill>
    <fill>
      <patternFill patternType="solid">
        <fgColor rgb="FFF3F3F3"/>
        <bgColor rgb="FFF3F3F3"/>
      </patternFill>
    </fill>
  </fills>
  <borders count="27"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hair">
        <color rgb="FF000000"/>
      </bottom>
      <diagonal/>
    </border>
    <border>
      <left/>
      <right/>
      <top style="thin">
        <color rgb="FF000000"/>
      </top>
      <bottom style="hair">
        <color rgb="FF000000"/>
      </bottom>
      <diagonal/>
    </border>
    <border>
      <left/>
      <right style="thin">
        <color rgb="FF000000"/>
      </right>
      <top style="thin">
        <color rgb="FF000000"/>
      </top>
      <bottom style="hair">
        <color rgb="FF000000"/>
      </bottom>
      <diagonal/>
    </border>
    <border>
      <left style="thin">
        <color rgb="FF000000"/>
      </left>
      <right/>
      <top/>
      <bottom style="hair">
        <color rgb="FF000000"/>
      </bottom>
      <diagonal/>
    </border>
    <border>
      <left/>
      <right/>
      <top/>
      <bottom style="hair">
        <color rgb="FF000000"/>
      </bottom>
      <diagonal/>
    </border>
    <border>
      <left/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/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thin">
        <color rgb="FF000000"/>
      </bottom>
      <diagonal/>
    </border>
    <border>
      <left/>
      <right/>
      <top style="hair">
        <color rgb="FF000000"/>
      </top>
      <bottom style="thin">
        <color rgb="FF000000"/>
      </bottom>
      <diagonal/>
    </border>
    <border>
      <left/>
      <right style="thin">
        <color rgb="FF000000"/>
      </right>
      <top style="hair">
        <color rgb="FF000000"/>
      </top>
      <bottom style="thin">
        <color rgb="FF000000"/>
      </bottom>
      <diagonal/>
    </border>
    <border>
      <left style="thin">
        <color rgb="FF000000"/>
      </left>
      <right/>
      <top style="hair">
        <color rgb="FF000000"/>
      </top>
      <bottom style="medium">
        <color rgb="FF000000"/>
      </bottom>
      <diagonal/>
    </border>
    <border>
      <left/>
      <right/>
      <top style="hair">
        <color rgb="FF000000"/>
      </top>
      <bottom style="medium">
        <color rgb="FF000000"/>
      </bottom>
      <diagonal/>
    </border>
    <border>
      <left/>
      <right style="thin">
        <color rgb="FF000000"/>
      </right>
      <top style="hair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thin">
        <color rgb="FF000000"/>
      </right>
      <top/>
      <bottom style="medium">
        <color rgb="FF000000"/>
      </bottom>
      <diagonal/>
    </border>
  </borders>
  <cellStyleXfs count="1">
    <xf numFmtId="0" fontId="0" fillId="0" borderId="0"/>
  </cellStyleXfs>
  <cellXfs count="870">
    <xf numFmtId="0" fontId="0" fillId="0" borderId="0" xfId="0" applyFont="1" applyAlignment="1"/>
    <xf numFmtId="0" fontId="2" fillId="2" borderId="1" xfId="0" applyFont="1" applyFill="1" applyBorder="1" applyAlignment="1"/>
    <xf numFmtId="187" fontId="2" fillId="2" borderId="1" xfId="0" applyNumberFormat="1" applyFont="1" applyFill="1" applyBorder="1" applyAlignment="1"/>
    <xf numFmtId="188" fontId="2" fillId="2" borderId="1" xfId="0" applyNumberFormat="1" applyFont="1" applyFill="1" applyBorder="1" applyAlignment="1"/>
    <xf numFmtId="188" fontId="1" fillId="4" borderId="4" xfId="0" applyNumberFormat="1" applyFont="1" applyFill="1" applyBorder="1" applyAlignment="1">
      <alignment horizontal="center"/>
    </xf>
    <xf numFmtId="187" fontId="1" fillId="4" borderId="4" xfId="0" applyNumberFormat="1" applyFont="1" applyFill="1" applyBorder="1" applyAlignment="1">
      <alignment horizontal="center" wrapText="1"/>
    </xf>
    <xf numFmtId="188" fontId="1" fillId="5" borderId="4" xfId="0" applyNumberFormat="1" applyFont="1" applyFill="1" applyBorder="1" applyAlignment="1">
      <alignment horizontal="center" wrapText="1"/>
    </xf>
    <xf numFmtId="188" fontId="1" fillId="7" borderId="4" xfId="0" applyNumberFormat="1" applyFont="1" applyFill="1" applyBorder="1" applyAlignment="1">
      <alignment horizontal="center" wrapText="1"/>
    </xf>
    <xf numFmtId="188" fontId="1" fillId="6" borderId="4" xfId="0" applyNumberFormat="1" applyFont="1" applyFill="1" applyBorder="1" applyAlignment="1">
      <alignment horizontal="center"/>
    </xf>
    <xf numFmtId="188" fontId="1" fillId="5" borderId="4" xfId="0" applyNumberFormat="1" applyFont="1" applyFill="1" applyBorder="1" applyAlignment="1">
      <alignment horizontal="center"/>
    </xf>
    <xf numFmtId="188" fontId="1" fillId="7" borderId="1" xfId="0" applyNumberFormat="1" applyFont="1" applyFill="1" applyBorder="1" applyAlignment="1">
      <alignment horizontal="center"/>
    </xf>
    <xf numFmtId="0" fontId="4" fillId="8" borderId="4" xfId="0" applyFont="1" applyFill="1" applyBorder="1" applyAlignment="1"/>
    <xf numFmtId="189" fontId="4" fillId="8" borderId="4" xfId="0" applyNumberFormat="1" applyFont="1" applyFill="1" applyBorder="1" applyAlignment="1"/>
    <xf numFmtId="188" fontId="4" fillId="8" borderId="4" xfId="0" applyNumberFormat="1" applyFont="1" applyFill="1" applyBorder="1" applyAlignment="1"/>
    <xf numFmtId="0" fontId="2" fillId="9" borderId="6" xfId="0" applyFont="1" applyFill="1" applyBorder="1" applyAlignment="1"/>
    <xf numFmtId="0" fontId="2" fillId="9" borderId="7" xfId="0" applyFont="1" applyFill="1" applyBorder="1" applyAlignment="1"/>
    <xf numFmtId="0" fontId="1" fillId="9" borderId="7" xfId="0" applyFont="1" applyFill="1" applyBorder="1" applyAlignment="1"/>
    <xf numFmtId="0" fontId="5" fillId="9" borderId="7" xfId="0" applyFont="1" applyFill="1" applyBorder="1" applyAlignment="1"/>
    <xf numFmtId="0" fontId="2" fillId="9" borderId="8" xfId="0" applyFont="1" applyFill="1" applyBorder="1" applyAlignment="1"/>
    <xf numFmtId="0" fontId="6" fillId="9" borderId="8" xfId="0" applyFont="1" applyFill="1" applyBorder="1" applyAlignment="1">
      <alignment horizontal="center"/>
    </xf>
    <xf numFmtId="189" fontId="4" fillId="9" borderId="8" xfId="0" applyNumberFormat="1" applyFont="1" applyFill="1" applyBorder="1" applyAlignment="1"/>
    <xf numFmtId="188" fontId="4" fillId="9" borderId="8" xfId="0" applyNumberFormat="1" applyFont="1" applyFill="1" applyBorder="1" applyAlignment="1"/>
    <xf numFmtId="188" fontId="6" fillId="9" borderId="8" xfId="0" applyNumberFormat="1" applyFont="1" applyFill="1" applyBorder="1" applyAlignment="1"/>
    <xf numFmtId="0" fontId="2" fillId="0" borderId="0" xfId="0" applyFont="1" applyAlignment="1"/>
    <xf numFmtId="0" fontId="7" fillId="9" borderId="9" xfId="0" applyFont="1" applyFill="1" applyBorder="1" applyAlignment="1"/>
    <xf numFmtId="0" fontId="7" fillId="9" borderId="10" xfId="0" applyFont="1" applyFill="1" applyBorder="1" applyAlignment="1"/>
    <xf numFmtId="0" fontId="8" fillId="9" borderId="10" xfId="0" applyFont="1" applyFill="1" applyBorder="1" applyAlignment="1"/>
    <xf numFmtId="0" fontId="7" fillId="9" borderId="11" xfId="0" applyFont="1" applyFill="1" applyBorder="1" applyAlignment="1"/>
    <xf numFmtId="0" fontId="9" fillId="9" borderId="11" xfId="0" applyFont="1" applyFill="1" applyBorder="1" applyAlignment="1">
      <alignment horizontal="center"/>
    </xf>
    <xf numFmtId="189" fontId="9" fillId="9" borderId="11" xfId="0" applyNumberFormat="1" applyFont="1" applyFill="1" applyBorder="1" applyAlignment="1"/>
    <xf numFmtId="188" fontId="9" fillId="9" borderId="11" xfId="0" applyNumberFormat="1" applyFont="1" applyFill="1" applyBorder="1" applyAlignment="1"/>
    <xf numFmtId="0" fontId="7" fillId="0" borderId="0" xfId="0" applyFont="1" applyAlignment="1"/>
    <xf numFmtId="0" fontId="2" fillId="2" borderId="9" xfId="0" applyFont="1" applyFill="1" applyBorder="1" applyAlignment="1"/>
    <xf numFmtId="0" fontId="2" fillId="2" borderId="10" xfId="0" applyFont="1" applyFill="1" applyBorder="1" applyAlignment="1"/>
    <xf numFmtId="0" fontId="10" fillId="2" borderId="10" xfId="0" applyFont="1" applyFill="1" applyBorder="1" applyAlignment="1"/>
    <xf numFmtId="0" fontId="2" fillId="2" borderId="11" xfId="0" applyFont="1" applyFill="1" applyBorder="1" applyAlignment="1"/>
    <xf numFmtId="0" fontId="4" fillId="2" borderId="11" xfId="0" applyFont="1" applyFill="1" applyBorder="1" applyAlignment="1">
      <alignment horizontal="center"/>
    </xf>
    <xf numFmtId="189" fontId="4" fillId="2" borderId="11" xfId="0" applyNumberFormat="1" applyFont="1" applyFill="1" applyBorder="1" applyAlignment="1"/>
    <xf numFmtId="188" fontId="4" fillId="2" borderId="11" xfId="0" applyNumberFormat="1" applyFont="1" applyFill="1" applyBorder="1" applyAlignment="1"/>
    <xf numFmtId="0" fontId="7" fillId="2" borderId="9" xfId="0" applyFont="1" applyFill="1" applyBorder="1" applyAlignment="1"/>
    <xf numFmtId="0" fontId="7" fillId="2" borderId="10" xfId="0" applyFont="1" applyFill="1" applyBorder="1" applyAlignment="1"/>
    <xf numFmtId="0" fontId="8" fillId="2" borderId="10" xfId="0" applyFont="1" applyFill="1" applyBorder="1" applyAlignment="1"/>
    <xf numFmtId="0" fontId="7" fillId="2" borderId="11" xfId="0" applyFont="1" applyFill="1" applyBorder="1" applyAlignment="1"/>
    <xf numFmtId="0" fontId="9" fillId="2" borderId="11" xfId="0" applyFont="1" applyFill="1" applyBorder="1" applyAlignment="1">
      <alignment horizontal="center"/>
    </xf>
    <xf numFmtId="189" fontId="9" fillId="2" borderId="11" xfId="0" applyNumberFormat="1" applyFont="1" applyFill="1" applyBorder="1" applyAlignment="1"/>
    <xf numFmtId="188" fontId="9" fillId="2" borderId="11" xfId="0" applyNumberFormat="1" applyFont="1" applyFill="1" applyBorder="1" applyAlignment="1"/>
    <xf numFmtId="0" fontId="7" fillId="2" borderId="5" xfId="0" applyFont="1" applyFill="1" applyBorder="1" applyAlignment="1"/>
    <xf numFmtId="0" fontId="7" fillId="2" borderId="1" xfId="0" applyFont="1" applyFill="1" applyBorder="1" applyAlignment="1"/>
    <xf numFmtId="0" fontId="8" fillId="2" borderId="1" xfId="0" applyFont="1" applyFill="1" applyBorder="1" applyAlignment="1"/>
    <xf numFmtId="0" fontId="8" fillId="2" borderId="4" xfId="0" applyFont="1" applyFill="1" applyBorder="1" applyAlignment="1"/>
    <xf numFmtId="0" fontId="9" fillId="2" borderId="4" xfId="0" applyFont="1" applyFill="1" applyBorder="1" applyAlignment="1">
      <alignment horizontal="center"/>
    </xf>
    <xf numFmtId="189" fontId="9" fillId="2" borderId="4" xfId="0" applyNumberFormat="1" applyFont="1" applyFill="1" applyBorder="1" applyAlignment="1"/>
    <xf numFmtId="188" fontId="9" fillId="2" borderId="4" xfId="0" applyNumberFormat="1" applyFont="1" applyFill="1" applyBorder="1" applyAlignment="1"/>
    <xf numFmtId="0" fontId="1" fillId="10" borderId="5" xfId="0" applyFont="1" applyFill="1" applyBorder="1" applyAlignment="1"/>
    <xf numFmtId="0" fontId="2" fillId="10" borderId="1" xfId="0" applyFont="1" applyFill="1" applyBorder="1" applyAlignment="1"/>
    <xf numFmtId="0" fontId="2" fillId="10" borderId="4" xfId="0" applyFont="1" applyFill="1" applyBorder="1" applyAlignment="1"/>
    <xf numFmtId="0" fontId="4" fillId="10" borderId="4" xfId="0" applyFont="1" applyFill="1" applyBorder="1" applyAlignment="1"/>
    <xf numFmtId="189" fontId="4" fillId="10" borderId="4" xfId="0" applyNumberFormat="1" applyFont="1" applyFill="1" applyBorder="1" applyAlignment="1"/>
    <xf numFmtId="188" fontId="4" fillId="10" borderId="4" xfId="0" applyNumberFormat="1" applyFont="1" applyFill="1" applyBorder="1" applyAlignment="1"/>
    <xf numFmtId="188" fontId="6" fillId="10" borderId="4" xfId="0" applyNumberFormat="1" applyFont="1" applyFill="1" applyBorder="1" applyAlignment="1"/>
    <xf numFmtId="0" fontId="1" fillId="11" borderId="5" xfId="0" applyFont="1" applyFill="1" applyBorder="1" applyAlignment="1"/>
    <xf numFmtId="0" fontId="2" fillId="11" borderId="1" xfId="0" applyFont="1" applyFill="1" applyBorder="1" applyAlignment="1"/>
    <xf numFmtId="0" fontId="2" fillId="11" borderId="4" xfId="0" applyFont="1" applyFill="1" applyBorder="1" applyAlignment="1"/>
    <xf numFmtId="0" fontId="4" fillId="11" borderId="4" xfId="0" applyFont="1" applyFill="1" applyBorder="1" applyAlignment="1"/>
    <xf numFmtId="189" fontId="4" fillId="11" borderId="4" xfId="0" applyNumberFormat="1" applyFont="1" applyFill="1" applyBorder="1" applyAlignment="1"/>
    <xf numFmtId="188" fontId="4" fillId="11" borderId="4" xfId="0" applyNumberFormat="1" applyFont="1" applyFill="1" applyBorder="1" applyAlignment="1"/>
    <xf numFmtId="0" fontId="2" fillId="12" borderId="9" xfId="0" applyFont="1" applyFill="1" applyBorder="1" applyAlignment="1"/>
    <xf numFmtId="0" fontId="1" fillId="12" borderId="10" xfId="0" applyFont="1" applyFill="1" applyBorder="1" applyAlignment="1"/>
    <xf numFmtId="0" fontId="2" fillId="12" borderId="10" xfId="0" applyFont="1" applyFill="1" applyBorder="1" applyAlignment="1"/>
    <xf numFmtId="0" fontId="2" fillId="12" borderId="11" xfId="0" applyFont="1" applyFill="1" applyBorder="1" applyAlignment="1"/>
    <xf numFmtId="0" fontId="4" fillId="12" borderId="11" xfId="0" applyFont="1" applyFill="1" applyBorder="1" applyAlignment="1"/>
    <xf numFmtId="189" fontId="4" fillId="12" borderId="11" xfId="0" applyNumberFormat="1" applyFont="1" applyFill="1" applyBorder="1" applyAlignment="1"/>
    <xf numFmtId="188" fontId="4" fillId="12" borderId="11" xfId="0" applyNumberFormat="1" applyFont="1" applyFill="1" applyBorder="1" applyAlignment="1"/>
    <xf numFmtId="0" fontId="2" fillId="13" borderId="9" xfId="0" applyFont="1" applyFill="1" applyBorder="1" applyAlignment="1"/>
    <xf numFmtId="0" fontId="4" fillId="13" borderId="11" xfId="0" applyFont="1" applyFill="1" applyBorder="1" applyAlignment="1"/>
    <xf numFmtId="189" fontId="4" fillId="13" borderId="11" xfId="0" applyNumberFormat="1" applyFont="1" applyFill="1" applyBorder="1" applyAlignment="1"/>
    <xf numFmtId="188" fontId="4" fillId="13" borderId="11" xfId="0" applyNumberFormat="1" applyFont="1" applyFill="1" applyBorder="1" applyAlignment="1"/>
    <xf numFmtId="0" fontId="2" fillId="14" borderId="12" xfId="0" applyFont="1" applyFill="1" applyBorder="1" applyAlignment="1"/>
    <xf numFmtId="0" fontId="2" fillId="14" borderId="13" xfId="0" applyFont="1" applyFill="1" applyBorder="1" applyAlignment="1"/>
    <xf numFmtId="0" fontId="1" fillId="14" borderId="13" xfId="0" applyFont="1" applyFill="1" applyBorder="1" applyAlignment="1"/>
    <xf numFmtId="0" fontId="11" fillId="14" borderId="13" xfId="0" applyFont="1" applyFill="1" applyBorder="1" applyAlignment="1"/>
    <xf numFmtId="0" fontId="2" fillId="14" borderId="14" xfId="0" applyFont="1" applyFill="1" applyBorder="1" applyAlignment="1"/>
    <xf numFmtId="0" fontId="6" fillId="14" borderId="14" xfId="0" applyFont="1" applyFill="1" applyBorder="1" applyAlignment="1">
      <alignment horizontal="center"/>
    </xf>
    <xf numFmtId="189" fontId="4" fillId="14" borderId="14" xfId="0" applyNumberFormat="1" applyFont="1" applyFill="1" applyBorder="1" applyAlignment="1"/>
    <xf numFmtId="188" fontId="4" fillId="14" borderId="14" xfId="0" applyNumberFormat="1" applyFont="1" applyFill="1" applyBorder="1" applyAlignment="1"/>
    <xf numFmtId="188" fontId="6" fillId="14" borderId="14" xfId="0" applyNumberFormat="1" applyFont="1" applyFill="1" applyBorder="1" applyAlignment="1"/>
    <xf numFmtId="0" fontId="7" fillId="14" borderId="9" xfId="0" applyFont="1" applyFill="1" applyBorder="1" applyAlignment="1"/>
    <xf numFmtId="0" fontId="7" fillId="14" borderId="10" xfId="0" applyFont="1" applyFill="1" applyBorder="1" applyAlignment="1"/>
    <xf numFmtId="0" fontId="8" fillId="14" borderId="10" xfId="0" applyFont="1" applyFill="1" applyBorder="1" applyAlignment="1"/>
    <xf numFmtId="0" fontId="8" fillId="14" borderId="11" xfId="0" applyFont="1" applyFill="1" applyBorder="1" applyAlignment="1"/>
    <xf numFmtId="0" fontId="9" fillId="14" borderId="11" xfId="0" applyFont="1" applyFill="1" applyBorder="1" applyAlignment="1">
      <alignment horizontal="center"/>
    </xf>
    <xf numFmtId="189" fontId="9" fillId="14" borderId="11" xfId="0" applyNumberFormat="1" applyFont="1" applyFill="1" applyBorder="1" applyAlignment="1"/>
    <xf numFmtId="188" fontId="9" fillId="14" borderId="11" xfId="0" applyNumberFormat="1" applyFont="1" applyFill="1" applyBorder="1" applyAlignment="1"/>
    <xf numFmtId="188" fontId="9" fillId="2" borderId="11" xfId="0" applyNumberFormat="1" applyFont="1" applyFill="1" applyBorder="1" applyAlignment="1"/>
    <xf numFmtId="0" fontId="4" fillId="15" borderId="4" xfId="0" applyFont="1" applyFill="1" applyBorder="1" applyAlignment="1"/>
    <xf numFmtId="189" fontId="4" fillId="15" borderId="4" xfId="0" applyNumberFormat="1" applyFont="1" applyFill="1" applyBorder="1" applyAlignment="1"/>
    <xf numFmtId="188" fontId="4" fillId="15" borderId="4" xfId="0" applyNumberFormat="1" applyFont="1" applyFill="1" applyBorder="1" applyAlignment="1"/>
    <xf numFmtId="0" fontId="2" fillId="16" borderId="9" xfId="0" applyFont="1" applyFill="1" applyBorder="1" applyAlignment="1"/>
    <xf numFmtId="0" fontId="4" fillId="16" borderId="11" xfId="0" applyFont="1" applyFill="1" applyBorder="1" applyAlignment="1"/>
    <xf numFmtId="189" fontId="4" fillId="16" borderId="11" xfId="0" applyNumberFormat="1" applyFont="1" applyFill="1" applyBorder="1" applyAlignment="1"/>
    <xf numFmtId="188" fontId="4" fillId="16" borderId="11" xfId="0" applyNumberFormat="1" applyFont="1" applyFill="1" applyBorder="1" applyAlignment="1"/>
    <xf numFmtId="0" fontId="2" fillId="17" borderId="9" xfId="0" applyFont="1" applyFill="1" applyBorder="1" applyAlignment="1"/>
    <xf numFmtId="0" fontId="1" fillId="17" borderId="10" xfId="0" applyFont="1" applyFill="1" applyBorder="1" applyAlignment="1"/>
    <xf numFmtId="0" fontId="2" fillId="17" borderId="10" xfId="0" applyFont="1" applyFill="1" applyBorder="1" applyAlignment="1"/>
    <xf numFmtId="0" fontId="2" fillId="17" borderId="11" xfId="0" applyFont="1" applyFill="1" applyBorder="1" applyAlignment="1"/>
    <xf numFmtId="0" fontId="4" fillId="17" borderId="11" xfId="0" applyFont="1" applyFill="1" applyBorder="1" applyAlignment="1"/>
    <xf numFmtId="189" fontId="4" fillId="17" borderId="11" xfId="0" applyNumberFormat="1" applyFont="1" applyFill="1" applyBorder="1" applyAlignment="1"/>
    <xf numFmtId="188" fontId="4" fillId="17" borderId="11" xfId="0" applyNumberFormat="1" applyFont="1" applyFill="1" applyBorder="1" applyAlignment="1"/>
    <xf numFmtId="0" fontId="2" fillId="18" borderId="12" xfId="0" applyFont="1" applyFill="1" applyBorder="1" applyAlignment="1"/>
    <xf numFmtId="0" fontId="2" fillId="18" borderId="13" xfId="0" applyFont="1" applyFill="1" applyBorder="1" applyAlignment="1"/>
    <xf numFmtId="0" fontId="1" fillId="18" borderId="13" xfId="0" applyFont="1" applyFill="1" applyBorder="1" applyAlignment="1"/>
    <xf numFmtId="0" fontId="12" fillId="18" borderId="13" xfId="0" applyFont="1" applyFill="1" applyBorder="1" applyAlignment="1"/>
    <xf numFmtId="0" fontId="2" fillId="18" borderId="14" xfId="0" applyFont="1" applyFill="1" applyBorder="1" applyAlignment="1"/>
    <xf numFmtId="0" fontId="6" fillId="18" borderId="14" xfId="0" applyFont="1" applyFill="1" applyBorder="1" applyAlignment="1">
      <alignment horizontal="center"/>
    </xf>
    <xf numFmtId="189" fontId="4" fillId="18" borderId="14" xfId="0" applyNumberFormat="1" applyFont="1" applyFill="1" applyBorder="1" applyAlignment="1"/>
    <xf numFmtId="188" fontId="4" fillId="18" borderId="14" xfId="0" applyNumberFormat="1" applyFont="1" applyFill="1" applyBorder="1" applyAlignment="1"/>
    <xf numFmtId="188" fontId="6" fillId="18" borderId="14" xfId="0" applyNumberFormat="1" applyFont="1" applyFill="1" applyBorder="1" applyAlignment="1"/>
    <xf numFmtId="0" fontId="7" fillId="18" borderId="9" xfId="0" applyFont="1" applyFill="1" applyBorder="1" applyAlignment="1"/>
    <xf numFmtId="0" fontId="7" fillId="18" borderId="10" xfId="0" applyFont="1" applyFill="1" applyBorder="1" applyAlignment="1"/>
    <xf numFmtId="0" fontId="8" fillId="18" borderId="10" xfId="0" applyFont="1" applyFill="1" applyBorder="1" applyAlignment="1"/>
    <xf numFmtId="0" fontId="8" fillId="18" borderId="11" xfId="0" applyFont="1" applyFill="1" applyBorder="1" applyAlignment="1"/>
    <xf numFmtId="0" fontId="9" fillId="18" borderId="11" xfId="0" applyFont="1" applyFill="1" applyBorder="1" applyAlignment="1">
      <alignment horizontal="center"/>
    </xf>
    <xf numFmtId="189" fontId="9" fillId="18" borderId="11" xfId="0" applyNumberFormat="1" applyFont="1" applyFill="1" applyBorder="1" applyAlignment="1"/>
    <xf numFmtId="188" fontId="9" fillId="18" borderId="11" xfId="0" applyNumberFormat="1" applyFont="1" applyFill="1" applyBorder="1" applyAlignment="1"/>
    <xf numFmtId="187" fontId="1" fillId="19" borderId="5" xfId="0" applyNumberFormat="1" applyFont="1" applyFill="1" applyBorder="1" applyAlignment="1"/>
    <xf numFmtId="187" fontId="2" fillId="19" borderId="1" xfId="0" applyNumberFormat="1" applyFont="1" applyFill="1" applyBorder="1" applyAlignment="1"/>
    <xf numFmtId="0" fontId="2" fillId="19" borderId="1" xfId="0" applyFont="1" applyFill="1" applyBorder="1" applyAlignment="1"/>
    <xf numFmtId="0" fontId="2" fillId="19" borderId="4" xfId="0" applyFont="1" applyFill="1" applyBorder="1" applyAlignment="1"/>
    <xf numFmtId="0" fontId="4" fillId="19" borderId="4" xfId="0" applyFont="1" applyFill="1" applyBorder="1" applyAlignment="1"/>
    <xf numFmtId="189" fontId="4" fillId="19" borderId="4" xfId="0" applyNumberFormat="1" applyFont="1" applyFill="1" applyBorder="1" applyAlignment="1"/>
    <xf numFmtId="188" fontId="4" fillId="19" borderId="4" xfId="0" applyNumberFormat="1" applyFont="1" applyFill="1" applyBorder="1" applyAlignment="1"/>
    <xf numFmtId="187" fontId="1" fillId="20" borderId="9" xfId="0" applyNumberFormat="1" applyFont="1" applyFill="1" applyBorder="1" applyAlignment="1"/>
    <xf numFmtId="0" fontId="2" fillId="20" borderId="10" xfId="0" applyFont="1" applyFill="1" applyBorder="1" applyAlignment="1"/>
    <xf numFmtId="187" fontId="2" fillId="20" borderId="10" xfId="0" applyNumberFormat="1" applyFont="1" applyFill="1" applyBorder="1" applyAlignment="1"/>
    <xf numFmtId="0" fontId="2" fillId="20" borderId="11" xfId="0" applyFont="1" applyFill="1" applyBorder="1" applyAlignment="1"/>
    <xf numFmtId="0" fontId="4" fillId="20" borderId="11" xfId="0" applyFont="1" applyFill="1" applyBorder="1" applyAlignment="1"/>
    <xf numFmtId="189" fontId="4" fillId="20" borderId="11" xfId="0" applyNumberFormat="1" applyFont="1" applyFill="1" applyBorder="1" applyAlignment="1"/>
    <xf numFmtId="188" fontId="4" fillId="20" borderId="11" xfId="0" applyNumberFormat="1" applyFont="1" applyFill="1" applyBorder="1" applyAlignment="1"/>
    <xf numFmtId="190" fontId="2" fillId="9" borderId="9" xfId="0" applyNumberFormat="1" applyFont="1" applyFill="1" applyBorder="1" applyAlignment="1"/>
    <xf numFmtId="0" fontId="1" fillId="9" borderId="10" xfId="0" applyFont="1" applyFill="1" applyBorder="1" applyAlignment="1"/>
    <xf numFmtId="0" fontId="2" fillId="9" borderId="10" xfId="0" applyFont="1" applyFill="1" applyBorder="1" applyAlignment="1"/>
    <xf numFmtId="187" fontId="2" fillId="9" borderId="10" xfId="0" applyNumberFormat="1" applyFont="1" applyFill="1" applyBorder="1" applyAlignment="1"/>
    <xf numFmtId="0" fontId="2" fillId="9" borderId="11" xfId="0" applyFont="1" applyFill="1" applyBorder="1" applyAlignment="1"/>
    <xf numFmtId="0" fontId="6" fillId="9" borderId="11" xfId="0" applyFont="1" applyFill="1" applyBorder="1" applyAlignment="1">
      <alignment horizontal="center" wrapText="1"/>
    </xf>
    <xf numFmtId="189" fontId="6" fillId="9" borderId="11" xfId="0" applyNumberFormat="1" applyFont="1" applyFill="1" applyBorder="1" applyAlignment="1"/>
    <xf numFmtId="188" fontId="6" fillId="9" borderId="11" xfId="0" applyNumberFormat="1" applyFont="1" applyFill="1" applyBorder="1" applyAlignment="1"/>
    <xf numFmtId="188" fontId="4" fillId="9" borderId="11" xfId="0" applyNumberFormat="1" applyFont="1" applyFill="1" applyBorder="1" applyAlignment="1"/>
    <xf numFmtId="190" fontId="2" fillId="2" borderId="12" xfId="0" applyNumberFormat="1" applyFont="1" applyFill="1" applyBorder="1" applyAlignment="1"/>
    <xf numFmtId="0" fontId="2" fillId="2" borderId="13" xfId="0" applyFont="1" applyFill="1" applyBorder="1" applyAlignment="1"/>
    <xf numFmtId="0" fontId="1" fillId="2" borderId="13" xfId="0" applyFont="1" applyFill="1" applyBorder="1" applyAlignment="1"/>
    <xf numFmtId="0" fontId="13" fillId="2" borderId="13" xfId="0" applyFont="1" applyFill="1" applyBorder="1" applyAlignment="1"/>
    <xf numFmtId="0" fontId="2" fillId="2" borderId="14" xfId="0" applyFont="1" applyFill="1" applyBorder="1" applyAlignment="1"/>
    <xf numFmtId="187" fontId="6" fillId="2" borderId="14" xfId="0" applyNumberFormat="1" applyFont="1" applyFill="1" applyBorder="1" applyAlignment="1">
      <alignment horizontal="center"/>
    </xf>
    <xf numFmtId="189" fontId="4" fillId="2" borderId="14" xfId="0" applyNumberFormat="1" applyFont="1" applyFill="1" applyBorder="1" applyAlignment="1"/>
    <xf numFmtId="188" fontId="4" fillId="2" borderId="14" xfId="0" applyNumberFormat="1" applyFont="1" applyFill="1" applyBorder="1" applyAlignment="1"/>
    <xf numFmtId="188" fontId="6" fillId="2" borderId="14" xfId="0" applyNumberFormat="1" applyFont="1" applyFill="1" applyBorder="1" applyAlignment="1"/>
    <xf numFmtId="190" fontId="7" fillId="2" borderId="9" xfId="0" applyNumberFormat="1" applyFont="1" applyFill="1" applyBorder="1" applyAlignment="1"/>
    <xf numFmtId="0" fontId="8" fillId="2" borderId="11" xfId="0" applyFont="1" applyFill="1" applyBorder="1" applyAlignment="1"/>
    <xf numFmtId="187" fontId="9" fillId="2" borderId="11" xfId="0" applyNumberFormat="1" applyFont="1" applyFill="1" applyBorder="1" applyAlignment="1">
      <alignment horizontal="center"/>
    </xf>
    <xf numFmtId="190" fontId="2" fillId="2" borderId="9" xfId="0" applyNumberFormat="1" applyFont="1" applyFill="1" applyBorder="1" applyAlignment="1"/>
    <xf numFmtId="0" fontId="14" fillId="2" borderId="10" xfId="0" applyFont="1" applyFill="1" applyBorder="1" applyAlignment="1"/>
    <xf numFmtId="187" fontId="4" fillId="0" borderId="11" xfId="0" applyNumberFormat="1" applyFont="1" applyBorder="1" applyAlignment="1">
      <alignment horizontal="center" wrapText="1"/>
    </xf>
    <xf numFmtId="189" fontId="4" fillId="0" borderId="11" xfId="0" applyNumberFormat="1" applyFont="1" applyBorder="1" applyAlignment="1"/>
    <xf numFmtId="188" fontId="4" fillId="0" borderId="11" xfId="0" applyNumberFormat="1" applyFont="1" applyBorder="1" applyAlignment="1"/>
    <xf numFmtId="0" fontId="15" fillId="2" borderId="10" xfId="0" applyFont="1" applyFill="1" applyBorder="1" applyAlignment="1"/>
    <xf numFmtId="187" fontId="9" fillId="0" borderId="11" xfId="0" applyNumberFormat="1" applyFont="1" applyBorder="1" applyAlignment="1">
      <alignment horizontal="center" wrapText="1"/>
    </xf>
    <xf numFmtId="189" fontId="9" fillId="0" borderId="11" xfId="0" applyNumberFormat="1" applyFont="1" applyBorder="1" applyAlignment="1"/>
    <xf numFmtId="188" fontId="9" fillId="0" borderId="11" xfId="0" applyNumberFormat="1" applyFont="1" applyBorder="1" applyAlignment="1"/>
    <xf numFmtId="187" fontId="4" fillId="0" borderId="11" xfId="0" applyNumberFormat="1" applyFont="1" applyBorder="1" applyAlignment="1">
      <alignment horizontal="center"/>
    </xf>
    <xf numFmtId="187" fontId="9" fillId="0" borderId="11" xfId="0" applyNumberFormat="1" applyFont="1" applyBorder="1" applyAlignment="1">
      <alignment horizontal="center"/>
    </xf>
    <xf numFmtId="187" fontId="2" fillId="0" borderId="9" xfId="0" applyNumberFormat="1" applyFont="1" applyBorder="1" applyAlignment="1"/>
    <xf numFmtId="187" fontId="2" fillId="0" borderId="10" xfId="0" applyNumberFormat="1" applyFont="1" applyBorder="1" applyAlignment="1"/>
    <xf numFmtId="0" fontId="16" fillId="21" borderId="10" xfId="0" quotePrefix="1" applyFont="1" applyFill="1" applyBorder="1" applyAlignment="1"/>
    <xf numFmtId="0" fontId="2" fillId="21" borderId="10" xfId="0" applyFont="1" applyFill="1" applyBorder="1" applyAlignment="1"/>
    <xf numFmtId="0" fontId="2" fillId="21" borderId="11" xfId="0" applyFont="1" applyFill="1" applyBorder="1" applyAlignment="1"/>
    <xf numFmtId="0" fontId="4" fillId="0" borderId="11" xfId="0" applyFont="1" applyBorder="1" applyAlignment="1"/>
    <xf numFmtId="0" fontId="14" fillId="0" borderId="10" xfId="0" quotePrefix="1" applyFont="1" applyBorder="1" applyAlignment="1"/>
    <xf numFmtId="0" fontId="14" fillId="0" borderId="10" xfId="0" applyFont="1" applyBorder="1" applyAlignment="1"/>
    <xf numFmtId="0" fontId="2" fillId="0" borderId="10" xfId="0" applyFont="1" applyBorder="1" applyAlignment="1"/>
    <xf numFmtId="0" fontId="2" fillId="0" borderId="11" xfId="0" applyFont="1" applyBorder="1" applyAlignment="1"/>
    <xf numFmtId="0" fontId="6" fillId="0" borderId="11" xfId="0" applyFont="1" applyBorder="1" applyAlignment="1">
      <alignment horizontal="center" wrapText="1"/>
    </xf>
    <xf numFmtId="0" fontId="14" fillId="0" borderId="10" xfId="0" applyFont="1" applyBorder="1" applyAlignment="1"/>
    <xf numFmtId="0" fontId="4" fillId="0" borderId="11" xfId="0" applyFont="1" applyBorder="1" applyAlignment="1">
      <alignment horizontal="center"/>
    </xf>
    <xf numFmtId="189" fontId="4" fillId="10" borderId="11" xfId="0" applyNumberFormat="1" applyFont="1" applyFill="1" applyBorder="1" applyAlignment="1"/>
    <xf numFmtId="189" fontId="4" fillId="0" borderId="11" xfId="0" applyNumberFormat="1" applyFont="1" applyBorder="1" applyAlignment="1"/>
    <xf numFmtId="0" fontId="4" fillId="0" borderId="11" xfId="0" applyFont="1" applyBorder="1" applyAlignment="1">
      <alignment horizontal="center" wrapText="1"/>
    </xf>
    <xf numFmtId="0" fontId="1" fillId="0" borderId="10" xfId="0" applyFont="1" applyBorder="1" applyAlignment="1"/>
    <xf numFmtId="0" fontId="4" fillId="0" borderId="10" xfId="0" applyFont="1" applyBorder="1" applyAlignment="1"/>
    <xf numFmtId="0" fontId="17" fillId="0" borderId="10" xfId="0" applyFont="1" applyBorder="1" applyAlignment="1"/>
    <xf numFmtId="0" fontId="4" fillId="2" borderId="11" xfId="0" applyFont="1" applyFill="1" applyBorder="1" applyAlignment="1"/>
    <xf numFmtId="0" fontId="18" fillId="0" borderId="10" xfId="0" applyFont="1" applyBorder="1" applyAlignment="1"/>
    <xf numFmtId="0" fontId="1" fillId="0" borderId="10" xfId="0" applyFont="1" applyBorder="1" applyAlignment="1"/>
    <xf numFmtId="0" fontId="6" fillId="0" borderId="11" xfId="0" applyFont="1" applyBorder="1" applyAlignment="1">
      <alignment horizontal="center"/>
    </xf>
    <xf numFmtId="189" fontId="6" fillId="0" borderId="11" xfId="0" applyNumberFormat="1" applyFont="1" applyBorder="1" applyAlignment="1"/>
    <xf numFmtId="189" fontId="6" fillId="2" borderId="11" xfId="0" applyNumberFormat="1" applyFont="1" applyFill="1" applyBorder="1" applyAlignment="1"/>
    <xf numFmtId="188" fontId="6" fillId="2" borderId="11" xfId="0" applyNumberFormat="1" applyFont="1" applyFill="1" applyBorder="1" applyAlignment="1"/>
    <xf numFmtId="0" fontId="6" fillId="2" borderId="11" xfId="0" applyFont="1" applyFill="1" applyBorder="1" applyAlignment="1">
      <alignment horizontal="center"/>
    </xf>
    <xf numFmtId="0" fontId="14" fillId="0" borderId="13" xfId="0" applyFont="1" applyBorder="1" applyAlignment="1"/>
    <xf numFmtId="0" fontId="4" fillId="0" borderId="15" xfId="0" applyFont="1" applyBorder="1" applyAlignment="1">
      <alignment horizontal="center"/>
    </xf>
    <xf numFmtId="0" fontId="4" fillId="0" borderId="16" xfId="0" applyFont="1" applyBorder="1" applyAlignment="1">
      <alignment horizontal="center"/>
    </xf>
    <xf numFmtId="190" fontId="2" fillId="20" borderId="10" xfId="0" applyNumberFormat="1" applyFont="1" applyFill="1" applyBorder="1" applyAlignment="1"/>
    <xf numFmtId="0" fontId="4" fillId="20" borderId="10" xfId="0" applyFont="1" applyFill="1" applyBorder="1" applyAlignment="1"/>
    <xf numFmtId="189" fontId="4" fillId="20" borderId="10" xfId="0" applyNumberFormat="1" applyFont="1" applyFill="1" applyBorder="1" applyAlignment="1"/>
    <xf numFmtId="188" fontId="4" fillId="20" borderId="10" xfId="0" applyNumberFormat="1" applyFont="1" applyFill="1" applyBorder="1" applyAlignment="1"/>
    <xf numFmtId="190" fontId="2" fillId="9" borderId="10" xfId="0" applyNumberFormat="1" applyFont="1" applyFill="1" applyBorder="1" applyAlignment="1"/>
    <xf numFmtId="189" fontId="4" fillId="9" borderId="11" xfId="0" applyNumberFormat="1" applyFont="1" applyFill="1" applyBorder="1" applyAlignment="1"/>
    <xf numFmtId="0" fontId="8" fillId="2" borderId="10" xfId="0" applyFont="1" applyFill="1" applyBorder="1" applyAlignment="1"/>
    <xf numFmtId="0" fontId="6" fillId="9" borderId="10" xfId="0" applyFont="1" applyFill="1" applyBorder="1" applyAlignment="1">
      <alignment horizontal="center" wrapText="1"/>
    </xf>
    <xf numFmtId="0" fontId="1" fillId="9" borderId="10" xfId="0" applyFont="1" applyFill="1" applyBorder="1" applyAlignment="1"/>
    <xf numFmtId="190" fontId="1" fillId="9" borderId="10" xfId="0" applyNumberFormat="1" applyFont="1" applyFill="1" applyBorder="1" applyAlignment="1"/>
    <xf numFmtId="0" fontId="1" fillId="2" borderId="10" xfId="0" applyFont="1" applyFill="1" applyBorder="1" applyAlignment="1"/>
    <xf numFmtId="0" fontId="14" fillId="2" borderId="10" xfId="0" applyFont="1" applyFill="1" applyBorder="1" applyAlignment="1"/>
    <xf numFmtId="0" fontId="19" fillId="2" borderId="10" xfId="0" applyFont="1" applyFill="1" applyBorder="1" applyAlignment="1"/>
    <xf numFmtId="0" fontId="14" fillId="2" borderId="11" xfId="0" applyFont="1" applyFill="1" applyBorder="1" applyAlignment="1"/>
    <xf numFmtId="189" fontId="4" fillId="10" borderId="11" xfId="0" applyNumberFormat="1" applyFont="1" applyFill="1" applyBorder="1" applyAlignment="1"/>
    <xf numFmtId="0" fontId="14" fillId="2" borderId="10" xfId="0" applyFont="1" applyFill="1" applyBorder="1" applyAlignment="1"/>
    <xf numFmtId="190" fontId="20" fillId="9" borderId="9" xfId="0" applyNumberFormat="1" applyFont="1" applyFill="1" applyBorder="1" applyAlignment="1"/>
    <xf numFmtId="0" fontId="21" fillId="9" borderId="10" xfId="0" applyFont="1" applyFill="1" applyBorder="1" applyAlignment="1"/>
    <xf numFmtId="0" fontId="20" fillId="9" borderId="10" xfId="0" applyFont="1" applyFill="1" applyBorder="1" applyAlignment="1"/>
    <xf numFmtId="0" fontId="1" fillId="9" borderId="11" xfId="0" applyFont="1" applyFill="1" applyBorder="1" applyAlignment="1"/>
    <xf numFmtId="187" fontId="6" fillId="9" borderId="11" xfId="0" applyNumberFormat="1" applyFont="1" applyFill="1" applyBorder="1" applyAlignment="1">
      <alignment horizontal="center"/>
    </xf>
    <xf numFmtId="0" fontId="22" fillId="0" borderId="0" xfId="0" applyFont="1"/>
    <xf numFmtId="0" fontId="8" fillId="2" borderId="10" xfId="0" applyFont="1" applyFill="1" applyBorder="1" applyAlignment="1"/>
    <xf numFmtId="0" fontId="23" fillId="2" borderId="10" xfId="0" applyFont="1" applyFill="1" applyBorder="1" applyAlignment="1"/>
    <xf numFmtId="0" fontId="24" fillId="0" borderId="0" xfId="0" applyFont="1"/>
    <xf numFmtId="190" fontId="7" fillId="2" borderId="17" xfId="0" applyNumberFormat="1" applyFont="1" applyFill="1" applyBorder="1" applyAlignment="1"/>
    <xf numFmtId="0" fontId="7" fillId="2" borderId="18" xfId="0" applyFont="1" applyFill="1" applyBorder="1" applyAlignment="1"/>
    <xf numFmtId="0" fontId="15" fillId="2" borderId="18" xfId="0" applyFont="1" applyFill="1" applyBorder="1" applyAlignment="1"/>
    <xf numFmtId="0" fontId="8" fillId="2" borderId="18" xfId="0" applyFont="1" applyFill="1" applyBorder="1" applyAlignment="1"/>
    <xf numFmtId="0" fontId="25" fillId="2" borderId="18" xfId="0" applyFont="1" applyFill="1" applyBorder="1" applyAlignment="1"/>
    <xf numFmtId="0" fontId="8" fillId="2" borderId="19" xfId="0" applyFont="1" applyFill="1" applyBorder="1" applyAlignment="1"/>
    <xf numFmtId="187" fontId="9" fillId="0" borderId="19" xfId="0" applyNumberFormat="1" applyFont="1" applyBorder="1" applyAlignment="1">
      <alignment horizontal="center"/>
    </xf>
    <xf numFmtId="189" fontId="9" fillId="2" borderId="19" xfId="0" applyNumberFormat="1" applyFont="1" applyFill="1" applyBorder="1" applyAlignment="1"/>
    <xf numFmtId="188" fontId="9" fillId="2" borderId="19" xfId="0" applyNumberFormat="1" applyFont="1" applyFill="1" applyBorder="1" applyAlignment="1"/>
    <xf numFmtId="187" fontId="1" fillId="7" borderId="5" xfId="0" applyNumberFormat="1" applyFont="1" applyFill="1" applyBorder="1" applyAlignment="1"/>
    <xf numFmtId="187" fontId="2" fillId="7" borderId="1" xfId="0" applyNumberFormat="1" applyFont="1" applyFill="1" applyBorder="1" applyAlignment="1"/>
    <xf numFmtId="0" fontId="2" fillId="7" borderId="1" xfId="0" applyFont="1" applyFill="1" applyBorder="1" applyAlignment="1"/>
    <xf numFmtId="0" fontId="2" fillId="7" borderId="4" xfId="0" applyFont="1" applyFill="1" applyBorder="1" applyAlignment="1"/>
    <xf numFmtId="0" fontId="4" fillId="7" borderId="4" xfId="0" applyFont="1" applyFill="1" applyBorder="1" applyAlignment="1"/>
    <xf numFmtId="189" fontId="4" fillId="7" borderId="4" xfId="0" applyNumberFormat="1" applyFont="1" applyFill="1" applyBorder="1" applyAlignment="1"/>
    <xf numFmtId="188" fontId="4" fillId="7" borderId="4" xfId="0" applyNumberFormat="1" applyFont="1" applyFill="1" applyBorder="1" applyAlignment="1"/>
    <xf numFmtId="187" fontId="1" fillId="22" borderId="9" xfId="0" applyNumberFormat="1" applyFont="1" applyFill="1" applyBorder="1" applyAlignment="1"/>
    <xf numFmtId="187" fontId="2" fillId="22" borderId="10" xfId="0" applyNumberFormat="1" applyFont="1" applyFill="1" applyBorder="1" applyAlignment="1"/>
    <xf numFmtId="0" fontId="2" fillId="22" borderId="10" xfId="0" applyFont="1" applyFill="1" applyBorder="1" applyAlignment="1"/>
    <xf numFmtId="0" fontId="2" fillId="22" borderId="11" xfId="0" applyFont="1" applyFill="1" applyBorder="1" applyAlignment="1"/>
    <xf numFmtId="0" fontId="4" fillId="22" borderId="11" xfId="0" applyFont="1" applyFill="1" applyBorder="1" applyAlignment="1"/>
    <xf numFmtId="189" fontId="4" fillId="22" borderId="11" xfId="0" applyNumberFormat="1" applyFont="1" applyFill="1" applyBorder="1" applyAlignment="1"/>
    <xf numFmtId="188" fontId="4" fillId="22" borderId="11" xfId="0" applyNumberFormat="1" applyFont="1" applyFill="1" applyBorder="1" applyAlignment="1"/>
    <xf numFmtId="187" fontId="2" fillId="21" borderId="9" xfId="0" applyNumberFormat="1" applyFont="1" applyFill="1" applyBorder="1" applyAlignment="1"/>
    <xf numFmtId="0" fontId="1" fillId="21" borderId="10" xfId="0" applyFont="1" applyFill="1" applyBorder="1" applyAlignment="1"/>
    <xf numFmtId="187" fontId="2" fillId="21" borderId="10" xfId="0" applyNumberFormat="1" applyFont="1" applyFill="1" applyBorder="1" applyAlignment="1"/>
    <xf numFmtId="0" fontId="6" fillId="21" borderId="11" xfId="0" applyFont="1" applyFill="1" applyBorder="1" applyAlignment="1">
      <alignment horizontal="center" wrapText="1"/>
    </xf>
    <xf numFmtId="189" fontId="6" fillId="21" borderId="11" xfId="0" applyNumberFormat="1" applyFont="1" applyFill="1" applyBorder="1" applyAlignment="1"/>
    <xf numFmtId="188" fontId="6" fillId="21" borderId="11" xfId="0" applyNumberFormat="1" applyFont="1" applyFill="1" applyBorder="1" applyAlignment="1"/>
    <xf numFmtId="188" fontId="4" fillId="21" borderId="11" xfId="0" applyNumberFormat="1" applyFont="1" applyFill="1" applyBorder="1" applyAlignment="1"/>
    <xf numFmtId="187" fontId="2" fillId="23" borderId="9" xfId="0" applyNumberFormat="1" applyFont="1" applyFill="1" applyBorder="1" applyAlignment="1"/>
    <xf numFmtId="0" fontId="2" fillId="23" borderId="10" xfId="0" applyFont="1" applyFill="1" applyBorder="1" applyAlignment="1"/>
    <xf numFmtId="187" fontId="14" fillId="23" borderId="10" xfId="0" applyNumberFormat="1" applyFont="1" applyFill="1" applyBorder="1" applyAlignment="1"/>
    <xf numFmtId="0" fontId="2" fillId="23" borderId="11" xfId="0" applyFont="1" applyFill="1" applyBorder="1" applyAlignment="1"/>
    <xf numFmtId="0" fontId="6" fillId="23" borderId="11" xfId="0" applyFont="1" applyFill="1" applyBorder="1" applyAlignment="1">
      <alignment horizontal="center" wrapText="1"/>
    </xf>
    <xf numFmtId="189" fontId="4" fillId="23" borderId="11" xfId="0" applyNumberFormat="1" applyFont="1" applyFill="1" applyBorder="1" applyAlignment="1"/>
    <xf numFmtId="188" fontId="4" fillId="23" borderId="11" xfId="0" applyNumberFormat="1" applyFont="1" applyFill="1" applyBorder="1" applyAlignment="1"/>
    <xf numFmtId="0" fontId="4" fillId="0" borderId="10" xfId="0" quotePrefix="1" applyFont="1" applyBorder="1" applyAlignment="1"/>
    <xf numFmtId="187" fontId="2" fillId="23" borderId="10" xfId="0" applyNumberFormat="1" applyFont="1" applyFill="1" applyBorder="1" applyAlignment="1"/>
    <xf numFmtId="187" fontId="8" fillId="23" borderId="10" xfId="0" applyNumberFormat="1" applyFont="1" applyFill="1" applyBorder="1" applyAlignment="1"/>
    <xf numFmtId="0" fontId="26" fillId="23" borderId="11" xfId="0" applyFont="1" applyFill="1" applyBorder="1" applyAlignment="1">
      <alignment horizontal="center" wrapText="1"/>
    </xf>
    <xf numFmtId="0" fontId="27" fillId="21" borderId="10" xfId="0" quotePrefix="1" applyFont="1" applyFill="1" applyBorder="1" applyAlignment="1"/>
    <xf numFmtId="0" fontId="8" fillId="0" borderId="10" xfId="0" quotePrefix="1" applyFont="1" applyBorder="1" applyAlignment="1"/>
    <xf numFmtId="0" fontId="8" fillId="0" borderId="10" xfId="0" applyFont="1" applyBorder="1" applyAlignment="1"/>
    <xf numFmtId="189" fontId="4" fillId="2" borderId="11" xfId="0" applyNumberFormat="1" applyFont="1" applyFill="1" applyBorder="1" applyAlignment="1"/>
    <xf numFmtId="0" fontId="1" fillId="23" borderId="10" xfId="0" applyFont="1" applyFill="1" applyBorder="1" applyAlignment="1"/>
    <xf numFmtId="189" fontId="6" fillId="23" borderId="11" xfId="0" applyNumberFormat="1" applyFont="1" applyFill="1" applyBorder="1" applyAlignment="1"/>
    <xf numFmtId="188" fontId="6" fillId="23" borderId="11" xfId="0" applyNumberFormat="1" applyFont="1" applyFill="1" applyBorder="1" applyAlignment="1"/>
    <xf numFmtId="0" fontId="28" fillId="2" borderId="13" xfId="0" quotePrefix="1" applyFont="1" applyFill="1" applyBorder="1" applyAlignment="1"/>
    <xf numFmtId="187" fontId="6" fillId="0" borderId="14" xfId="0" applyNumberFormat="1" applyFont="1" applyBorder="1" applyAlignment="1">
      <alignment horizontal="center" wrapText="1"/>
    </xf>
    <xf numFmtId="188" fontId="6" fillId="10" borderId="14" xfId="0" applyNumberFormat="1" applyFont="1" applyFill="1" applyBorder="1" applyAlignment="1"/>
    <xf numFmtId="0" fontId="4" fillId="2" borderId="11" xfId="0" applyFont="1" applyFill="1" applyBorder="1" applyAlignment="1">
      <alignment horizontal="center" wrapText="1"/>
    </xf>
    <xf numFmtId="0" fontId="6" fillId="23" borderId="11" xfId="0" applyFont="1" applyFill="1" applyBorder="1" applyAlignment="1">
      <alignment horizontal="center"/>
    </xf>
    <xf numFmtId="189" fontId="4" fillId="0" borderId="14" xfId="0" applyNumberFormat="1" applyFont="1" applyBorder="1" applyAlignment="1"/>
    <xf numFmtId="188" fontId="4" fillId="0" borderId="14" xfId="0" applyNumberFormat="1" applyFont="1" applyBorder="1" applyAlignment="1"/>
    <xf numFmtId="187" fontId="2" fillId="2" borderId="10" xfId="0" applyNumberFormat="1" applyFont="1" applyFill="1" applyBorder="1" applyAlignment="1"/>
    <xf numFmtId="0" fontId="14" fillId="2" borderId="10" xfId="0" applyFont="1" applyFill="1" applyBorder="1" applyAlignment="1"/>
    <xf numFmtId="188" fontId="29" fillId="2" borderId="11" xfId="0" applyNumberFormat="1" applyFont="1" applyFill="1" applyBorder="1" applyAlignment="1"/>
    <xf numFmtId="188" fontId="4" fillId="10" borderId="11" xfId="0" applyNumberFormat="1" applyFont="1" applyFill="1" applyBorder="1" applyAlignment="1"/>
    <xf numFmtId="187" fontId="2" fillId="2" borderId="9" xfId="0" applyNumberFormat="1" applyFont="1" applyFill="1" applyBorder="1" applyAlignment="1"/>
    <xf numFmtId="0" fontId="4" fillId="2" borderId="11" xfId="0" applyFont="1" applyFill="1" applyBorder="1" applyAlignment="1">
      <alignment horizontal="center"/>
    </xf>
    <xf numFmtId="0" fontId="2" fillId="2" borderId="0" xfId="0" applyFont="1" applyFill="1" applyAlignment="1"/>
    <xf numFmtId="0" fontId="2" fillId="0" borderId="13" xfId="0" applyFont="1" applyBorder="1" applyAlignment="1"/>
    <xf numFmtId="0" fontId="2" fillId="0" borderId="14" xfId="0" applyFont="1" applyBorder="1" applyAlignment="1"/>
    <xf numFmtId="0" fontId="14" fillId="0" borderId="14" xfId="0" applyFont="1" applyBorder="1" applyAlignment="1"/>
    <xf numFmtId="0" fontId="14" fillId="0" borderId="10" xfId="0" applyFont="1" applyBorder="1" applyAlignment="1">
      <alignment horizontal="center"/>
    </xf>
    <xf numFmtId="0" fontId="2" fillId="23" borderId="13" xfId="0" applyFont="1" applyFill="1" applyBorder="1" applyAlignment="1"/>
    <xf numFmtId="187" fontId="1" fillId="2" borderId="10" xfId="0" applyNumberFormat="1" applyFont="1" applyFill="1" applyBorder="1" applyAlignment="1"/>
    <xf numFmtId="187" fontId="30" fillId="23" borderId="9" xfId="0" applyNumberFormat="1" applyFont="1" applyFill="1" applyBorder="1" applyAlignment="1"/>
    <xf numFmtId="187" fontId="30" fillId="23" borderId="10" xfId="0" applyNumberFormat="1" applyFont="1" applyFill="1" applyBorder="1" applyAlignment="1"/>
    <xf numFmtId="0" fontId="31" fillId="23" borderId="10" xfId="0" applyFont="1" applyFill="1" applyBorder="1" applyAlignment="1"/>
    <xf numFmtId="0" fontId="30" fillId="23" borderId="10" xfId="0" applyFont="1" applyFill="1" applyBorder="1" applyAlignment="1"/>
    <xf numFmtId="0" fontId="30" fillId="23" borderId="11" xfId="0" applyFont="1" applyFill="1" applyBorder="1" applyAlignment="1"/>
    <xf numFmtId="0" fontId="32" fillId="23" borderId="11" xfId="0" applyFont="1" applyFill="1" applyBorder="1" applyAlignment="1">
      <alignment horizontal="center" wrapText="1"/>
    </xf>
    <xf numFmtId="189" fontId="32" fillId="23" borderId="11" xfId="0" applyNumberFormat="1" applyFont="1" applyFill="1" applyBorder="1" applyAlignment="1"/>
    <xf numFmtId="188" fontId="32" fillId="23" borderId="11" xfId="0" applyNumberFormat="1" applyFont="1" applyFill="1" applyBorder="1" applyAlignment="1"/>
    <xf numFmtId="188" fontId="29" fillId="23" borderId="11" xfId="0" applyNumberFormat="1" applyFont="1" applyFill="1" applyBorder="1" applyAlignment="1"/>
    <xf numFmtId="0" fontId="33" fillId="0" borderId="0" xfId="0" applyFont="1"/>
    <xf numFmtId="190" fontId="30" fillId="2" borderId="12" xfId="0" applyNumberFormat="1" applyFont="1" applyFill="1" applyBorder="1" applyAlignment="1"/>
    <xf numFmtId="0" fontId="30" fillId="2" borderId="13" xfId="0" applyFont="1" applyFill="1" applyBorder="1" applyAlignment="1"/>
    <xf numFmtId="0" fontId="31" fillId="2" borderId="13" xfId="0" applyFont="1" applyFill="1" applyBorder="1" applyAlignment="1"/>
    <xf numFmtId="0" fontId="34" fillId="2" borderId="13" xfId="0" applyFont="1" applyFill="1" applyBorder="1" applyAlignment="1"/>
    <xf numFmtId="0" fontId="30" fillId="2" borderId="14" xfId="0" applyFont="1" applyFill="1" applyBorder="1" applyAlignment="1"/>
    <xf numFmtId="187" fontId="32" fillId="0" borderId="14" xfId="0" applyNumberFormat="1" applyFont="1" applyBorder="1" applyAlignment="1">
      <alignment horizontal="center" wrapText="1"/>
    </xf>
    <xf numFmtId="189" fontId="29" fillId="0" borderId="14" xfId="0" applyNumberFormat="1" applyFont="1" applyBorder="1" applyAlignment="1"/>
    <xf numFmtId="188" fontId="29" fillId="0" borderId="14" xfId="0" applyNumberFormat="1" applyFont="1" applyBorder="1" applyAlignment="1"/>
    <xf numFmtId="188" fontId="32" fillId="2" borderId="14" xfId="0" applyNumberFormat="1" applyFont="1" applyFill="1" applyBorder="1" applyAlignment="1"/>
    <xf numFmtId="188" fontId="29" fillId="2" borderId="14" xfId="0" applyNumberFormat="1" applyFont="1" applyFill="1" applyBorder="1" applyAlignment="1"/>
    <xf numFmtId="0" fontId="30" fillId="0" borderId="0" xfId="0" applyFont="1" applyAlignment="1"/>
    <xf numFmtId="190" fontId="30" fillId="2" borderId="9" xfId="0" applyNumberFormat="1" applyFont="1" applyFill="1" applyBorder="1" applyAlignment="1"/>
    <xf numFmtId="187" fontId="30" fillId="2" borderId="10" xfId="0" applyNumberFormat="1" applyFont="1" applyFill="1" applyBorder="1" applyAlignment="1"/>
    <xf numFmtId="0" fontId="30" fillId="2" borderId="10" xfId="0" applyFont="1" applyFill="1" applyBorder="1" applyAlignment="1"/>
    <xf numFmtId="0" fontId="35" fillId="2" borderId="10" xfId="0" applyFont="1" applyFill="1" applyBorder="1" applyAlignment="1"/>
    <xf numFmtId="0" fontId="30" fillId="2" borderId="11" xfId="0" applyFont="1" applyFill="1" applyBorder="1" applyAlignment="1"/>
    <xf numFmtId="187" fontId="29" fillId="0" borderId="11" xfId="0" applyNumberFormat="1" applyFont="1" applyBorder="1" applyAlignment="1">
      <alignment horizontal="center" wrapText="1"/>
    </xf>
    <xf numFmtId="189" fontId="29" fillId="0" borderId="11" xfId="0" applyNumberFormat="1" applyFont="1" applyBorder="1" applyAlignment="1"/>
    <xf numFmtId="188" fontId="29" fillId="0" borderId="11" xfId="0" applyNumberFormat="1" applyFont="1" applyBorder="1" applyAlignment="1"/>
    <xf numFmtId="187" fontId="30" fillId="2" borderId="9" xfId="0" applyNumberFormat="1" applyFont="1" applyFill="1" applyBorder="1" applyAlignment="1"/>
    <xf numFmtId="187" fontId="31" fillId="2" borderId="10" xfId="0" applyNumberFormat="1" applyFont="1" applyFill="1" applyBorder="1" applyAlignment="1"/>
    <xf numFmtId="0" fontId="35" fillId="2" borderId="10" xfId="0" applyFont="1" applyFill="1" applyBorder="1" applyAlignment="1"/>
    <xf numFmtId="189" fontId="29" fillId="2" borderId="11" xfId="0" applyNumberFormat="1" applyFont="1" applyFill="1" applyBorder="1" applyAlignment="1"/>
    <xf numFmtId="0" fontId="30" fillId="2" borderId="0" xfId="0" applyFont="1" applyFill="1" applyAlignment="1"/>
    <xf numFmtId="187" fontId="30" fillId="0" borderId="9" xfId="0" applyNumberFormat="1" applyFont="1" applyBorder="1" applyAlignment="1"/>
    <xf numFmtId="187" fontId="30" fillId="0" borderId="10" xfId="0" applyNumberFormat="1" applyFont="1" applyBorder="1" applyAlignment="1"/>
    <xf numFmtId="0" fontId="36" fillId="21" borderId="10" xfId="0" quotePrefix="1" applyFont="1" applyFill="1" applyBorder="1" applyAlignment="1"/>
    <xf numFmtId="0" fontId="30" fillId="21" borderId="10" xfId="0" applyFont="1" applyFill="1" applyBorder="1" applyAlignment="1"/>
    <xf numFmtId="0" fontId="30" fillId="21" borderId="11" xfId="0" applyFont="1" applyFill="1" applyBorder="1" applyAlignment="1"/>
    <xf numFmtId="0" fontId="29" fillId="0" borderId="11" xfId="0" applyFont="1" applyBorder="1" applyAlignment="1"/>
    <xf numFmtId="0" fontId="35" fillId="0" borderId="10" xfId="0" applyFont="1" applyBorder="1" applyAlignment="1"/>
    <xf numFmtId="0" fontId="30" fillId="0" borderId="10" xfId="0" applyFont="1" applyBorder="1" applyAlignment="1"/>
    <xf numFmtId="0" fontId="30" fillId="0" borderId="11" xfId="0" applyFont="1" applyBorder="1" applyAlignment="1"/>
    <xf numFmtId="0" fontId="29" fillId="0" borderId="11" xfId="0" applyFont="1" applyBorder="1" applyAlignment="1">
      <alignment horizontal="center"/>
    </xf>
    <xf numFmtId="187" fontId="35" fillId="0" borderId="10" xfId="0" quotePrefix="1" applyNumberFormat="1" applyFont="1" applyBorder="1" applyAlignment="1"/>
    <xf numFmtId="0" fontId="35" fillId="0" borderId="10" xfId="0" quotePrefix="1" applyFont="1" applyBorder="1" applyAlignment="1"/>
    <xf numFmtId="187" fontId="7" fillId="23" borderId="9" xfId="0" applyNumberFormat="1" applyFont="1" applyFill="1" applyBorder="1" applyAlignment="1"/>
    <xf numFmtId="187" fontId="7" fillId="23" borderId="10" xfId="0" applyNumberFormat="1" applyFont="1" applyFill="1" applyBorder="1" applyAlignment="1"/>
    <xf numFmtId="0" fontId="15" fillId="23" borderId="10" xfId="0" applyFont="1" applyFill="1" applyBorder="1" applyAlignment="1"/>
    <xf numFmtId="0" fontId="7" fillId="23" borderId="10" xfId="0" applyFont="1" applyFill="1" applyBorder="1" applyAlignment="1"/>
    <xf numFmtId="0" fontId="7" fillId="23" borderId="11" xfId="0" applyFont="1" applyFill="1" applyBorder="1" applyAlignment="1"/>
    <xf numFmtId="189" fontId="26" fillId="23" borderId="11" xfId="0" applyNumberFormat="1" applyFont="1" applyFill="1" applyBorder="1" applyAlignment="1"/>
    <xf numFmtId="188" fontId="26" fillId="23" borderId="11" xfId="0" applyNumberFormat="1" applyFont="1" applyFill="1" applyBorder="1" applyAlignment="1"/>
    <xf numFmtId="188" fontId="9" fillId="23" borderId="11" xfId="0" applyNumberFormat="1" applyFont="1" applyFill="1" applyBorder="1" applyAlignment="1"/>
    <xf numFmtId="190" fontId="7" fillId="2" borderId="12" xfId="0" applyNumberFormat="1" applyFont="1" applyFill="1" applyBorder="1" applyAlignment="1"/>
    <xf numFmtId="0" fontId="7" fillId="2" borderId="13" xfId="0" applyFont="1" applyFill="1" applyBorder="1" applyAlignment="1"/>
    <xf numFmtId="0" fontId="15" fillId="2" borderId="13" xfId="0" applyFont="1" applyFill="1" applyBorder="1" applyAlignment="1"/>
    <xf numFmtId="0" fontId="37" fillId="2" borderId="13" xfId="0" applyFont="1" applyFill="1" applyBorder="1" applyAlignment="1"/>
    <xf numFmtId="0" fontId="7" fillId="2" borderId="14" xfId="0" applyFont="1" applyFill="1" applyBorder="1" applyAlignment="1"/>
    <xf numFmtId="187" fontId="26" fillId="0" borderId="14" xfId="0" applyNumberFormat="1" applyFont="1" applyBorder="1" applyAlignment="1">
      <alignment horizontal="center" wrapText="1"/>
    </xf>
    <xf numFmtId="189" fontId="9" fillId="0" borderId="14" xfId="0" applyNumberFormat="1" applyFont="1" applyBorder="1" applyAlignment="1"/>
    <xf numFmtId="188" fontId="9" fillId="0" borderId="14" xfId="0" applyNumberFormat="1" applyFont="1" applyBorder="1" applyAlignment="1"/>
    <xf numFmtId="188" fontId="26" fillId="2" borderId="14" xfId="0" applyNumberFormat="1" applyFont="1" applyFill="1" applyBorder="1" applyAlignment="1"/>
    <xf numFmtId="187" fontId="7" fillId="2" borderId="10" xfId="0" applyNumberFormat="1" applyFont="1" applyFill="1" applyBorder="1" applyAlignment="1"/>
    <xf numFmtId="188" fontId="9" fillId="10" borderId="11" xfId="0" applyNumberFormat="1" applyFont="1" applyFill="1" applyBorder="1" applyAlignment="1"/>
    <xf numFmtId="187" fontId="7" fillId="2" borderId="9" xfId="0" applyNumberFormat="1" applyFont="1" applyFill="1" applyBorder="1" applyAlignment="1"/>
    <xf numFmtId="187" fontId="15" fillId="2" borderId="10" xfId="0" applyNumberFormat="1" applyFont="1" applyFill="1" applyBorder="1" applyAlignment="1"/>
    <xf numFmtId="0" fontId="7" fillId="2" borderId="0" xfId="0" applyFont="1" applyFill="1" applyAlignment="1"/>
    <xf numFmtId="187" fontId="7" fillId="0" borderId="9" xfId="0" applyNumberFormat="1" applyFont="1" applyBorder="1" applyAlignment="1"/>
    <xf numFmtId="187" fontId="7" fillId="0" borderId="10" xfId="0" applyNumberFormat="1" applyFont="1" applyBorder="1" applyAlignment="1"/>
    <xf numFmtId="0" fontId="7" fillId="21" borderId="10" xfId="0" applyFont="1" applyFill="1" applyBorder="1" applyAlignment="1"/>
    <xf numFmtId="0" fontId="7" fillId="21" borderId="11" xfId="0" applyFont="1" applyFill="1" applyBorder="1" applyAlignment="1"/>
    <xf numFmtId="0" fontId="9" fillId="0" borderId="11" xfId="0" applyFont="1" applyBorder="1" applyAlignment="1"/>
    <xf numFmtId="0" fontId="8" fillId="0" borderId="10" xfId="0" applyFont="1" applyBorder="1" applyAlignment="1"/>
    <xf numFmtId="0" fontId="7" fillId="0" borderId="10" xfId="0" applyFont="1" applyBorder="1" applyAlignment="1"/>
    <xf numFmtId="0" fontId="7" fillId="0" borderId="11" xfId="0" applyFont="1" applyBorder="1" applyAlignment="1"/>
    <xf numFmtId="0" fontId="9" fillId="0" borderId="11" xfId="0" applyFont="1" applyBorder="1" applyAlignment="1">
      <alignment horizontal="center"/>
    </xf>
    <xf numFmtId="189" fontId="9" fillId="10" borderId="11" xfId="0" applyNumberFormat="1" applyFont="1" applyFill="1" applyBorder="1" applyAlignment="1"/>
    <xf numFmtId="187" fontId="8" fillId="0" borderId="10" xfId="0" quotePrefix="1" applyNumberFormat="1" applyFont="1" applyBorder="1" applyAlignment="1"/>
    <xf numFmtId="0" fontId="7" fillId="0" borderId="10" xfId="0" applyFont="1" applyBorder="1" applyAlignment="1"/>
    <xf numFmtId="0" fontId="8" fillId="0" borderId="10" xfId="0" quotePrefix="1" applyFont="1" applyBorder="1" applyAlignment="1"/>
    <xf numFmtId="0" fontId="38" fillId="2" borderId="13" xfId="0" quotePrefix="1" applyFont="1" applyFill="1" applyBorder="1" applyAlignment="1"/>
    <xf numFmtId="0" fontId="17" fillId="0" borderId="10" xfId="0" quotePrefix="1" applyFont="1" applyBorder="1" applyAlignment="1"/>
    <xf numFmtId="0" fontId="29" fillId="2" borderId="11" xfId="0" applyFont="1" applyFill="1" applyBorder="1" applyAlignment="1">
      <alignment horizontal="center"/>
    </xf>
    <xf numFmtId="187" fontId="2" fillId="0" borderId="5" xfId="0" applyNumberFormat="1" applyFont="1" applyBorder="1" applyAlignment="1"/>
    <xf numFmtId="187" fontId="2" fillId="0" borderId="1" xfId="0" applyNumberFormat="1" applyFont="1" applyBorder="1" applyAlignment="1"/>
    <xf numFmtId="0" fontId="8" fillId="0" borderId="1" xfId="0" quotePrefix="1" applyFont="1" applyBorder="1" applyAlignment="1"/>
    <xf numFmtId="0" fontId="2" fillId="0" borderId="1" xfId="0" applyFont="1" applyBorder="1" applyAlignment="1"/>
    <xf numFmtId="0" fontId="2" fillId="0" borderId="4" xfId="0" applyFont="1" applyBorder="1" applyAlignment="1"/>
    <xf numFmtId="189" fontId="4" fillId="2" borderId="4" xfId="0" applyNumberFormat="1" applyFont="1" applyFill="1" applyBorder="1" applyAlignment="1"/>
    <xf numFmtId="188" fontId="4" fillId="0" borderId="4" xfId="0" applyNumberFormat="1" applyFont="1" applyBorder="1" applyAlignment="1"/>
    <xf numFmtId="188" fontId="4" fillId="0" borderId="4" xfId="0" applyNumberFormat="1" applyFont="1" applyBorder="1" applyAlignment="1"/>
    <xf numFmtId="187" fontId="39" fillId="24" borderId="5" xfId="0" applyNumberFormat="1" applyFont="1" applyFill="1" applyBorder="1" applyAlignment="1"/>
    <xf numFmtId="187" fontId="2" fillId="24" borderId="1" xfId="0" applyNumberFormat="1" applyFont="1" applyFill="1" applyBorder="1" applyAlignment="1"/>
    <xf numFmtId="0" fontId="2" fillId="24" borderId="1" xfId="0" applyFont="1" applyFill="1" applyBorder="1" applyAlignment="1"/>
    <xf numFmtId="0" fontId="2" fillId="24" borderId="4" xfId="0" applyFont="1" applyFill="1" applyBorder="1" applyAlignment="1"/>
    <xf numFmtId="0" fontId="4" fillId="24" borderId="4" xfId="0" applyFont="1" applyFill="1" applyBorder="1" applyAlignment="1"/>
    <xf numFmtId="189" fontId="4" fillId="24" borderId="4" xfId="0" applyNumberFormat="1" applyFont="1" applyFill="1" applyBorder="1" applyAlignment="1"/>
    <xf numFmtId="188" fontId="4" fillId="24" borderId="4" xfId="0" applyNumberFormat="1" applyFont="1" applyFill="1" applyBorder="1" applyAlignment="1"/>
    <xf numFmtId="187" fontId="1" fillId="25" borderId="9" xfId="0" applyNumberFormat="1" applyFont="1" applyFill="1" applyBorder="1" applyAlignment="1"/>
    <xf numFmtId="0" fontId="2" fillId="25" borderId="10" xfId="0" applyFont="1" applyFill="1" applyBorder="1" applyAlignment="1"/>
    <xf numFmtId="187" fontId="2" fillId="25" borderId="10" xfId="0" applyNumberFormat="1" applyFont="1" applyFill="1" applyBorder="1" applyAlignment="1"/>
    <xf numFmtId="0" fontId="4" fillId="25" borderId="10" xfId="0" applyFont="1" applyFill="1" applyBorder="1" applyAlignment="1"/>
    <xf numFmtId="189" fontId="4" fillId="25" borderId="10" xfId="0" applyNumberFormat="1" applyFont="1" applyFill="1" applyBorder="1" applyAlignment="1"/>
    <xf numFmtId="189" fontId="4" fillId="25" borderId="11" xfId="0" applyNumberFormat="1" applyFont="1" applyFill="1" applyBorder="1" applyAlignment="1"/>
    <xf numFmtId="188" fontId="4" fillId="25" borderId="11" xfId="0" applyNumberFormat="1" applyFont="1" applyFill="1" applyBorder="1" applyAlignment="1"/>
    <xf numFmtId="190" fontId="2" fillId="26" borderId="9" xfId="0" applyNumberFormat="1" applyFont="1" applyFill="1" applyBorder="1" applyAlignment="1"/>
    <xf numFmtId="0" fontId="1" fillId="26" borderId="10" xfId="0" applyFont="1" applyFill="1" applyBorder="1" applyAlignment="1"/>
    <xf numFmtId="0" fontId="2" fillId="26" borderId="10" xfId="0" applyFont="1" applyFill="1" applyBorder="1" applyAlignment="1"/>
    <xf numFmtId="187" fontId="2" fillId="26" borderId="10" xfId="0" applyNumberFormat="1" applyFont="1" applyFill="1" applyBorder="1" applyAlignment="1"/>
    <xf numFmtId="0" fontId="2" fillId="26" borderId="11" xfId="0" applyFont="1" applyFill="1" applyBorder="1" applyAlignment="1"/>
    <xf numFmtId="0" fontId="6" fillId="26" borderId="11" xfId="0" applyFont="1" applyFill="1" applyBorder="1" applyAlignment="1">
      <alignment horizontal="center" wrapText="1"/>
    </xf>
    <xf numFmtId="189" fontId="6" fillId="26" borderId="11" xfId="0" applyNumberFormat="1" applyFont="1" applyFill="1" applyBorder="1" applyAlignment="1"/>
    <xf numFmtId="188" fontId="6" fillId="26" borderId="11" xfId="0" applyNumberFormat="1" applyFont="1" applyFill="1" applyBorder="1" applyAlignment="1"/>
    <xf numFmtId="188" fontId="4" fillId="26" borderId="11" xfId="0" applyNumberFormat="1" applyFont="1" applyFill="1" applyBorder="1" applyAlignment="1"/>
    <xf numFmtId="0" fontId="1" fillId="26" borderId="10" xfId="0" applyFont="1" applyFill="1" applyBorder="1" applyAlignment="1"/>
    <xf numFmtId="0" fontId="4" fillId="0" borderId="10" xfId="0" applyFont="1" applyBorder="1" applyAlignment="1"/>
    <xf numFmtId="188" fontId="6" fillId="0" borderId="11" xfId="0" applyNumberFormat="1" applyFont="1" applyBorder="1" applyAlignment="1"/>
    <xf numFmtId="0" fontId="40" fillId="0" borderId="10" xfId="0" applyFont="1" applyBorder="1" applyAlignment="1"/>
    <xf numFmtId="0" fontId="6" fillId="0" borderId="10" xfId="0" applyFont="1" applyBorder="1" applyAlignment="1"/>
    <xf numFmtId="187" fontId="2" fillId="0" borderId="12" xfId="0" applyNumberFormat="1" applyFont="1" applyBorder="1" applyAlignment="1"/>
    <xf numFmtId="187" fontId="2" fillId="0" borderId="13" xfId="0" applyNumberFormat="1" applyFont="1" applyBorder="1" applyAlignment="1"/>
    <xf numFmtId="0" fontId="40" fillId="0" borderId="13" xfId="0" applyFont="1" applyBorder="1" applyAlignment="1"/>
    <xf numFmtId="0" fontId="6" fillId="0" borderId="13" xfId="0" applyFont="1" applyBorder="1" applyAlignment="1"/>
    <xf numFmtId="0" fontId="4" fillId="0" borderId="14" xfId="0" applyFont="1" applyBorder="1" applyAlignment="1">
      <alignment horizontal="center"/>
    </xf>
    <xf numFmtId="189" fontId="4" fillId="0" borderId="14" xfId="0" applyNumberFormat="1" applyFont="1" applyBorder="1" applyAlignment="1"/>
    <xf numFmtId="189" fontId="4" fillId="2" borderId="14" xfId="0" applyNumberFormat="1" applyFont="1" applyFill="1" applyBorder="1" applyAlignment="1"/>
    <xf numFmtId="0" fontId="4" fillId="0" borderId="1" xfId="0" applyFont="1" applyBorder="1" applyAlignment="1"/>
    <xf numFmtId="0" fontId="4" fillId="0" borderId="4" xfId="0" applyFont="1" applyBorder="1" applyAlignment="1">
      <alignment horizontal="center"/>
    </xf>
    <xf numFmtId="189" fontId="4" fillId="0" borderId="4" xfId="0" applyNumberFormat="1" applyFont="1" applyBorder="1" applyAlignment="1"/>
    <xf numFmtId="189" fontId="4" fillId="10" borderId="4" xfId="0" applyNumberFormat="1" applyFont="1" applyFill="1" applyBorder="1" applyAlignment="1"/>
    <xf numFmtId="187" fontId="1" fillId="27" borderId="5" xfId="0" applyNumberFormat="1" applyFont="1" applyFill="1" applyBorder="1" applyAlignment="1"/>
    <xf numFmtId="187" fontId="2" fillId="27" borderId="1" xfId="0" applyNumberFormat="1" applyFont="1" applyFill="1" applyBorder="1" applyAlignment="1"/>
    <xf numFmtId="0" fontId="2" fillId="27" borderId="1" xfId="0" applyFont="1" applyFill="1" applyBorder="1" applyAlignment="1"/>
    <xf numFmtId="0" fontId="2" fillId="27" borderId="4" xfId="0" applyFont="1" applyFill="1" applyBorder="1" applyAlignment="1"/>
    <xf numFmtId="0" fontId="4" fillId="27" borderId="4" xfId="0" applyFont="1" applyFill="1" applyBorder="1" applyAlignment="1"/>
    <xf numFmtId="189" fontId="4" fillId="27" borderId="4" xfId="0" applyNumberFormat="1" applyFont="1" applyFill="1" applyBorder="1" applyAlignment="1"/>
    <xf numFmtId="188" fontId="4" fillId="27" borderId="4" xfId="0" applyNumberFormat="1" applyFont="1" applyFill="1" applyBorder="1" applyAlignment="1"/>
    <xf numFmtId="187" fontId="1" fillId="28" borderId="9" xfId="0" applyNumberFormat="1" applyFont="1" applyFill="1" applyBorder="1" applyAlignment="1"/>
    <xf numFmtId="187" fontId="2" fillId="28" borderId="10" xfId="0" applyNumberFormat="1" applyFont="1" applyFill="1" applyBorder="1" applyAlignment="1"/>
    <xf numFmtId="0" fontId="2" fillId="28" borderId="10" xfId="0" applyFont="1" applyFill="1" applyBorder="1" applyAlignment="1"/>
    <xf numFmtId="0" fontId="2" fillId="28" borderId="11" xfId="0" applyFont="1" applyFill="1" applyBorder="1" applyAlignment="1"/>
    <xf numFmtId="0" fontId="4" fillId="28" borderId="11" xfId="0" applyFont="1" applyFill="1" applyBorder="1" applyAlignment="1"/>
    <xf numFmtId="189" fontId="4" fillId="28" borderId="11" xfId="0" applyNumberFormat="1" applyFont="1" applyFill="1" applyBorder="1" applyAlignment="1"/>
    <xf numFmtId="188" fontId="4" fillId="28" borderId="11" xfId="0" applyNumberFormat="1" applyFont="1" applyFill="1" applyBorder="1" applyAlignment="1"/>
    <xf numFmtId="187" fontId="2" fillId="29" borderId="9" xfId="0" applyNumberFormat="1" applyFont="1" applyFill="1" applyBorder="1" applyAlignment="1"/>
    <xf numFmtId="0" fontId="1" fillId="29" borderId="10" xfId="0" applyFont="1" applyFill="1" applyBorder="1" applyAlignment="1"/>
    <xf numFmtId="0" fontId="2" fillId="29" borderId="10" xfId="0" applyFont="1" applyFill="1" applyBorder="1" applyAlignment="1"/>
    <xf numFmtId="0" fontId="2" fillId="29" borderId="11" xfId="0" applyFont="1" applyFill="1" applyBorder="1" applyAlignment="1"/>
    <xf numFmtId="0" fontId="6" fillId="29" borderId="11" xfId="0" applyFont="1" applyFill="1" applyBorder="1" applyAlignment="1">
      <alignment horizontal="center" wrapText="1"/>
    </xf>
    <xf numFmtId="189" fontId="6" fillId="29" borderId="11" xfId="0" applyNumberFormat="1" applyFont="1" applyFill="1" applyBorder="1" applyAlignment="1"/>
    <xf numFmtId="188" fontId="6" fillId="29" borderId="11" xfId="0" applyNumberFormat="1" applyFont="1" applyFill="1" applyBorder="1" applyAlignment="1"/>
    <xf numFmtId="188" fontId="4" fillId="29" borderId="11" xfId="0" applyNumberFormat="1" applyFont="1" applyFill="1" applyBorder="1" applyAlignment="1"/>
    <xf numFmtId="0" fontId="14" fillId="0" borderId="10" xfId="0" applyFont="1" applyBorder="1" applyAlignment="1"/>
    <xf numFmtId="0" fontId="4" fillId="0" borderId="11" xfId="0" applyFont="1" applyBorder="1" applyAlignment="1">
      <alignment horizontal="center"/>
    </xf>
    <xf numFmtId="0" fontId="4" fillId="28" borderId="10" xfId="0" applyFont="1" applyFill="1" applyBorder="1" applyAlignment="1"/>
    <xf numFmtId="190" fontId="2" fillId="29" borderId="9" xfId="0" applyNumberFormat="1" applyFont="1" applyFill="1" applyBorder="1" applyAlignment="1"/>
    <xf numFmtId="190" fontId="2" fillId="29" borderId="10" xfId="0" applyNumberFormat="1" applyFont="1" applyFill="1" applyBorder="1" applyAlignment="1"/>
    <xf numFmtId="187" fontId="2" fillId="29" borderId="10" xfId="0" applyNumberFormat="1" applyFont="1" applyFill="1" applyBorder="1" applyAlignment="1"/>
    <xf numFmtId="189" fontId="4" fillId="29" borderId="11" xfId="0" applyNumberFormat="1" applyFont="1" applyFill="1" applyBorder="1" applyAlignment="1"/>
    <xf numFmtId="0" fontId="41" fillId="23" borderId="10" xfId="0" applyFont="1" applyFill="1" applyBorder="1" applyAlignment="1"/>
    <xf numFmtId="0" fontId="4" fillId="23" borderId="11" xfId="0" applyFont="1" applyFill="1" applyBorder="1" applyAlignment="1"/>
    <xf numFmtId="187" fontId="2" fillId="8" borderId="9" xfId="0" applyNumberFormat="1" applyFont="1" applyFill="1" applyBorder="1" applyAlignment="1"/>
    <xf numFmtId="187" fontId="2" fillId="8" borderId="10" xfId="0" applyNumberFormat="1" applyFont="1" applyFill="1" applyBorder="1" applyAlignment="1"/>
    <xf numFmtId="0" fontId="15" fillId="8" borderId="10" xfId="0" applyFont="1" applyFill="1" applyBorder="1" applyAlignment="1"/>
    <xf numFmtId="0" fontId="42" fillId="8" borderId="10" xfId="0" applyFont="1" applyFill="1" applyBorder="1" applyAlignment="1"/>
    <xf numFmtId="0" fontId="2" fillId="8" borderId="10" xfId="0" applyFont="1" applyFill="1" applyBorder="1" applyAlignment="1"/>
    <xf numFmtId="0" fontId="2" fillId="8" borderId="11" xfId="0" applyFont="1" applyFill="1" applyBorder="1" applyAlignment="1"/>
    <xf numFmtId="0" fontId="6" fillId="8" borderId="11" xfId="0" applyFont="1" applyFill="1" applyBorder="1" applyAlignment="1">
      <alignment horizontal="center"/>
    </xf>
    <xf numFmtId="189" fontId="6" fillId="8" borderId="11" xfId="0" applyNumberFormat="1" applyFont="1" applyFill="1" applyBorder="1" applyAlignment="1"/>
    <xf numFmtId="189" fontId="6" fillId="8" borderId="11" xfId="0" applyNumberFormat="1" applyFont="1" applyFill="1" applyBorder="1" applyAlignment="1"/>
    <xf numFmtId="188" fontId="6" fillId="8" borderId="11" xfId="0" applyNumberFormat="1" applyFont="1" applyFill="1" applyBorder="1" applyAlignment="1"/>
    <xf numFmtId="188" fontId="4" fillId="8" borderId="11" xfId="0" applyNumberFormat="1" applyFont="1" applyFill="1" applyBorder="1" applyAlignment="1"/>
    <xf numFmtId="0" fontId="18" fillId="8" borderId="10" xfId="0" applyFont="1" applyFill="1" applyBorder="1" applyAlignment="1"/>
    <xf numFmtId="0" fontId="4" fillId="8" borderId="11" xfId="0" applyFont="1" applyFill="1" applyBorder="1" applyAlignment="1"/>
    <xf numFmtId="189" fontId="4" fillId="8" borderId="11" xfId="0" applyNumberFormat="1" applyFont="1" applyFill="1" applyBorder="1" applyAlignment="1"/>
    <xf numFmtId="187" fontId="43" fillId="0" borderId="9" xfId="0" applyNumberFormat="1" applyFont="1" applyBorder="1" applyAlignment="1"/>
    <xf numFmtId="187" fontId="44" fillId="8" borderId="9" xfId="0" applyNumberFormat="1" applyFont="1" applyFill="1" applyBorder="1" applyAlignment="1"/>
    <xf numFmtId="187" fontId="44" fillId="8" borderId="10" xfId="0" applyNumberFormat="1" applyFont="1" applyFill="1" applyBorder="1" applyAlignment="1"/>
    <xf numFmtId="0" fontId="45" fillId="8" borderId="10" xfId="0" applyFont="1" applyFill="1" applyBorder="1" applyAlignment="1"/>
    <xf numFmtId="0" fontId="46" fillId="8" borderId="10" xfId="0" applyFont="1" applyFill="1" applyBorder="1" applyAlignment="1"/>
    <xf numFmtId="0" fontId="44" fillId="8" borderId="10" xfId="0" applyFont="1" applyFill="1" applyBorder="1" applyAlignment="1"/>
    <xf numFmtId="0" fontId="44" fillId="8" borderId="11" xfId="0" applyFont="1" applyFill="1" applyBorder="1" applyAlignment="1"/>
    <xf numFmtId="0" fontId="47" fillId="8" borderId="11" xfId="0" applyFont="1" applyFill="1" applyBorder="1" applyAlignment="1">
      <alignment horizontal="center"/>
    </xf>
    <xf numFmtId="189" fontId="47" fillId="8" borderId="11" xfId="0" applyNumberFormat="1" applyFont="1" applyFill="1" applyBorder="1" applyAlignment="1"/>
    <xf numFmtId="188" fontId="47" fillId="8" borderId="11" xfId="0" applyNumberFormat="1" applyFont="1" applyFill="1" applyBorder="1" applyAlignment="1"/>
    <xf numFmtId="188" fontId="48" fillId="8" borderId="11" xfId="0" applyNumberFormat="1" applyFont="1" applyFill="1" applyBorder="1" applyAlignment="1"/>
    <xf numFmtId="0" fontId="49" fillId="0" borderId="0" xfId="0" applyFont="1"/>
    <xf numFmtId="187" fontId="44" fillId="30" borderId="9" xfId="0" applyNumberFormat="1" applyFont="1" applyFill="1" applyBorder="1" applyAlignment="1"/>
    <xf numFmtId="187" fontId="44" fillId="30" borderId="10" xfId="0" applyNumberFormat="1" applyFont="1" applyFill="1" applyBorder="1" applyAlignment="1"/>
    <xf numFmtId="0" fontId="45" fillId="30" borderId="10" xfId="0" applyFont="1" applyFill="1" applyBorder="1" applyAlignment="1"/>
    <xf numFmtId="0" fontId="45" fillId="30" borderId="10" xfId="0" applyFont="1" applyFill="1" applyBorder="1" applyAlignment="1"/>
    <xf numFmtId="0" fontId="44" fillId="30" borderId="10" xfId="0" applyFont="1" applyFill="1" applyBorder="1" applyAlignment="1"/>
    <xf numFmtId="0" fontId="44" fillId="30" borderId="11" xfId="0" applyFont="1" applyFill="1" applyBorder="1" applyAlignment="1"/>
    <xf numFmtId="0" fontId="47" fillId="30" borderId="11" xfId="0" applyFont="1" applyFill="1" applyBorder="1" applyAlignment="1">
      <alignment horizontal="center"/>
    </xf>
    <xf numFmtId="189" fontId="47" fillId="30" borderId="11" xfId="0" applyNumberFormat="1" applyFont="1" applyFill="1" applyBorder="1" applyAlignment="1"/>
    <xf numFmtId="189" fontId="47" fillId="30" borderId="11" xfId="0" applyNumberFormat="1" applyFont="1" applyFill="1" applyBorder="1" applyAlignment="1"/>
    <xf numFmtId="188" fontId="47" fillId="30" borderId="11" xfId="0" applyNumberFormat="1" applyFont="1" applyFill="1" applyBorder="1" applyAlignment="1"/>
    <xf numFmtId="188" fontId="48" fillId="30" borderId="11" xfId="0" applyNumberFormat="1" applyFont="1" applyFill="1" applyBorder="1" applyAlignment="1"/>
    <xf numFmtId="0" fontId="50" fillId="30" borderId="10" xfId="0" applyFont="1" applyFill="1" applyBorder="1" applyAlignment="1"/>
    <xf numFmtId="0" fontId="48" fillId="30" borderId="11" xfId="0" applyFont="1" applyFill="1" applyBorder="1" applyAlignment="1"/>
    <xf numFmtId="189" fontId="48" fillId="30" borderId="11" xfId="0" applyNumberFormat="1" applyFont="1" applyFill="1" applyBorder="1" applyAlignment="1"/>
    <xf numFmtId="41" fontId="47" fillId="30" borderId="11" xfId="0" applyNumberFormat="1" applyFont="1" applyFill="1" applyBorder="1" applyAlignment="1"/>
    <xf numFmtId="188" fontId="4" fillId="2" borderId="11" xfId="0" applyNumberFormat="1" applyFont="1" applyFill="1" applyBorder="1" applyAlignment="1"/>
    <xf numFmtId="0" fontId="14" fillId="0" borderId="1" xfId="0" applyFont="1" applyBorder="1" applyAlignment="1"/>
    <xf numFmtId="0" fontId="4" fillId="0" borderId="4" xfId="0" applyFont="1" applyBorder="1" applyAlignment="1">
      <alignment horizontal="center" wrapText="1"/>
    </xf>
    <xf numFmtId="189" fontId="4" fillId="2" borderId="4" xfId="0" applyNumberFormat="1" applyFont="1" applyFill="1" applyBorder="1" applyAlignment="1"/>
    <xf numFmtId="188" fontId="4" fillId="2" borderId="4" xfId="0" applyNumberFormat="1" applyFont="1" applyFill="1" applyBorder="1" applyAlignment="1"/>
    <xf numFmtId="187" fontId="1" fillId="31" borderId="5" xfId="0" applyNumberFormat="1" applyFont="1" applyFill="1" applyBorder="1" applyAlignment="1"/>
    <xf numFmtId="187" fontId="2" fillId="31" borderId="1" xfId="0" applyNumberFormat="1" applyFont="1" applyFill="1" applyBorder="1" applyAlignment="1"/>
    <xf numFmtId="0" fontId="2" fillId="31" borderId="1" xfId="0" applyFont="1" applyFill="1" applyBorder="1" applyAlignment="1"/>
    <xf numFmtId="0" fontId="2" fillId="31" borderId="4" xfId="0" applyFont="1" applyFill="1" applyBorder="1" applyAlignment="1"/>
    <xf numFmtId="0" fontId="4" fillId="31" borderId="4" xfId="0" applyFont="1" applyFill="1" applyBorder="1" applyAlignment="1"/>
    <xf numFmtId="189" fontId="4" fillId="31" borderId="4" xfId="0" applyNumberFormat="1" applyFont="1" applyFill="1" applyBorder="1" applyAlignment="1"/>
    <xf numFmtId="188" fontId="4" fillId="31" borderId="4" xfId="0" applyNumberFormat="1" applyFont="1" applyFill="1" applyBorder="1" applyAlignment="1"/>
    <xf numFmtId="187" fontId="1" fillId="32" borderId="9" xfId="0" applyNumberFormat="1" applyFont="1" applyFill="1" applyBorder="1" applyAlignment="1"/>
    <xf numFmtId="187" fontId="2" fillId="32" borderId="10" xfId="0" applyNumberFormat="1" applyFont="1" applyFill="1" applyBorder="1" applyAlignment="1"/>
    <xf numFmtId="0" fontId="2" fillId="32" borderId="10" xfId="0" applyFont="1" applyFill="1" applyBorder="1" applyAlignment="1"/>
    <xf numFmtId="0" fontId="4" fillId="32" borderId="11" xfId="0" applyFont="1" applyFill="1" applyBorder="1" applyAlignment="1"/>
    <xf numFmtId="189" fontId="4" fillId="32" borderId="11" xfId="0" applyNumberFormat="1" applyFont="1" applyFill="1" applyBorder="1" applyAlignment="1"/>
    <xf numFmtId="188" fontId="4" fillId="32" borderId="11" xfId="0" applyNumberFormat="1" applyFont="1" applyFill="1" applyBorder="1" applyAlignment="1"/>
    <xf numFmtId="187" fontId="2" fillId="33" borderId="9" xfId="0" applyNumberFormat="1" applyFont="1" applyFill="1" applyBorder="1" applyAlignment="1"/>
    <xf numFmtId="0" fontId="1" fillId="33" borderId="10" xfId="0" applyFont="1" applyFill="1" applyBorder="1" applyAlignment="1"/>
    <xf numFmtId="187" fontId="2" fillId="33" borderId="10" xfId="0" applyNumberFormat="1" applyFont="1" applyFill="1" applyBorder="1" applyAlignment="1"/>
    <xf numFmtId="0" fontId="2" fillId="33" borderId="10" xfId="0" applyFont="1" applyFill="1" applyBorder="1" applyAlignment="1"/>
    <xf numFmtId="0" fontId="2" fillId="33" borderId="11" xfId="0" applyFont="1" applyFill="1" applyBorder="1" applyAlignment="1"/>
    <xf numFmtId="0" fontId="6" fillId="33" borderId="11" xfId="0" applyFont="1" applyFill="1" applyBorder="1" applyAlignment="1">
      <alignment horizontal="center" wrapText="1"/>
    </xf>
    <xf numFmtId="189" fontId="6" fillId="33" borderId="11" xfId="0" applyNumberFormat="1" applyFont="1" applyFill="1" applyBorder="1" applyAlignment="1"/>
    <xf numFmtId="188" fontId="6" fillId="33" borderId="11" xfId="0" applyNumberFormat="1" applyFont="1" applyFill="1" applyBorder="1" applyAlignment="1"/>
    <xf numFmtId="188" fontId="4" fillId="33" borderId="11" xfId="0" applyNumberFormat="1" applyFont="1" applyFill="1" applyBorder="1" applyAlignment="1"/>
    <xf numFmtId="187" fontId="2" fillId="2" borderId="12" xfId="0" applyNumberFormat="1" applyFont="1" applyFill="1" applyBorder="1" applyAlignment="1"/>
    <xf numFmtId="187" fontId="2" fillId="2" borderId="13" xfId="0" applyNumberFormat="1" applyFont="1" applyFill="1" applyBorder="1" applyAlignment="1"/>
    <xf numFmtId="0" fontId="14" fillId="0" borderId="13" xfId="0" applyFont="1" applyBorder="1" applyAlignment="1"/>
    <xf numFmtId="0" fontId="14" fillId="2" borderId="14" xfId="0" applyFont="1" applyFill="1" applyBorder="1" applyAlignment="1">
      <alignment horizontal="center" wrapText="1"/>
    </xf>
    <xf numFmtId="188" fontId="2" fillId="2" borderId="14" xfId="0" applyNumberFormat="1" applyFont="1" applyFill="1" applyBorder="1" applyAlignment="1"/>
    <xf numFmtId="0" fontId="51" fillId="21" borderId="0" xfId="0" quotePrefix="1" applyFont="1" applyFill="1" applyAlignment="1"/>
    <xf numFmtId="0" fontId="2" fillId="21" borderId="0" xfId="0" applyFont="1" applyFill="1" applyAlignment="1"/>
    <xf numFmtId="0" fontId="2" fillId="21" borderId="3" xfId="0" applyFont="1" applyFill="1" applyBorder="1" applyAlignment="1"/>
    <xf numFmtId="187" fontId="4" fillId="0" borderId="15" xfId="0" applyNumberFormat="1" applyFont="1" applyBorder="1" applyAlignment="1">
      <alignment horizontal="center"/>
    </xf>
    <xf numFmtId="187" fontId="2" fillId="0" borderId="20" xfId="0" applyNumberFormat="1" applyFont="1" applyBorder="1" applyAlignment="1"/>
    <xf numFmtId="0" fontId="2" fillId="0" borderId="21" xfId="0" applyFont="1" applyBorder="1" applyAlignment="1"/>
    <xf numFmtId="0" fontId="14" fillId="0" borderId="21" xfId="0" applyFont="1" applyBorder="1" applyAlignment="1"/>
    <xf numFmtId="0" fontId="2" fillId="0" borderId="22" xfId="0" applyFont="1" applyBorder="1" applyAlignment="1"/>
    <xf numFmtId="0" fontId="4" fillId="0" borderId="23" xfId="0" applyFont="1" applyBorder="1" applyAlignment="1">
      <alignment horizontal="center"/>
    </xf>
    <xf numFmtId="189" fontId="4" fillId="2" borderId="22" xfId="0" applyNumberFormat="1" applyFont="1" applyFill="1" applyBorder="1" applyAlignment="1"/>
    <xf numFmtId="189" fontId="4" fillId="10" borderId="22" xfId="0" applyNumberFormat="1" applyFont="1" applyFill="1" applyBorder="1" applyAlignment="1"/>
    <xf numFmtId="188" fontId="4" fillId="2" borderId="22" xfId="0" applyNumberFormat="1" applyFont="1" applyFill="1" applyBorder="1" applyAlignment="1"/>
    <xf numFmtId="188" fontId="4" fillId="0" borderId="22" xfId="0" applyNumberFormat="1" applyFont="1" applyBorder="1" applyAlignment="1"/>
    <xf numFmtId="0" fontId="1" fillId="34" borderId="9" xfId="0" applyFont="1" applyFill="1" applyBorder="1" applyAlignment="1"/>
    <xf numFmtId="0" fontId="2" fillId="34" borderId="10" xfId="0" applyFont="1" applyFill="1" applyBorder="1" applyAlignment="1"/>
    <xf numFmtId="0" fontId="2" fillId="34" borderId="11" xfId="0" applyFont="1" applyFill="1" applyBorder="1" applyAlignment="1"/>
    <xf numFmtId="0" fontId="4" fillId="34" borderId="11" xfId="0" applyFont="1" applyFill="1" applyBorder="1" applyAlignment="1"/>
    <xf numFmtId="189" fontId="4" fillId="34" borderId="11" xfId="0" applyNumberFormat="1" applyFont="1" applyFill="1" applyBorder="1" applyAlignment="1"/>
    <xf numFmtId="188" fontId="4" fillId="34" borderId="11" xfId="0" applyNumberFormat="1" applyFont="1" applyFill="1" applyBorder="1" applyAlignment="1"/>
    <xf numFmtId="188" fontId="6" fillId="34" borderId="11" xfId="0" applyNumberFormat="1" applyFont="1" applyFill="1" applyBorder="1" applyAlignment="1"/>
    <xf numFmtId="0" fontId="1" fillId="35" borderId="9" xfId="0" applyFont="1" applyFill="1" applyBorder="1" applyAlignment="1"/>
    <xf numFmtId="0" fontId="2" fillId="35" borderId="10" xfId="0" applyFont="1" applyFill="1" applyBorder="1" applyAlignment="1"/>
    <xf numFmtId="0" fontId="4" fillId="35" borderId="10" xfId="0" applyFont="1" applyFill="1" applyBorder="1" applyAlignment="1"/>
    <xf numFmtId="189" fontId="4" fillId="35" borderId="10" xfId="0" applyNumberFormat="1" applyFont="1" applyFill="1" applyBorder="1" applyAlignment="1"/>
    <xf numFmtId="188" fontId="4" fillId="35" borderId="10" xfId="0" applyNumberFormat="1" applyFont="1" applyFill="1" applyBorder="1" applyAlignment="1"/>
    <xf numFmtId="188" fontId="4" fillId="35" borderId="11" xfId="0" applyNumberFormat="1" applyFont="1" applyFill="1" applyBorder="1" applyAlignment="1"/>
    <xf numFmtId="0" fontId="2" fillId="35" borderId="11" xfId="0" applyFont="1" applyFill="1" applyBorder="1" applyAlignment="1"/>
    <xf numFmtId="0" fontId="4" fillId="35" borderId="11" xfId="0" applyFont="1" applyFill="1" applyBorder="1" applyAlignment="1"/>
    <xf numFmtId="189" fontId="4" fillId="35" borderId="11" xfId="0" applyNumberFormat="1" applyFont="1" applyFill="1" applyBorder="1" applyAlignment="1"/>
    <xf numFmtId="187" fontId="1" fillId="36" borderId="10" xfId="0" applyNumberFormat="1" applyFont="1" applyFill="1" applyBorder="1" applyAlignment="1">
      <alignment wrapText="1"/>
    </xf>
    <xf numFmtId="187" fontId="1" fillId="36" borderId="10" xfId="0" applyNumberFormat="1" applyFont="1" applyFill="1" applyBorder="1" applyAlignment="1"/>
    <xf numFmtId="187" fontId="1" fillId="36" borderId="10" xfId="0" applyNumberFormat="1" applyFont="1" applyFill="1" applyBorder="1" applyAlignment="1"/>
    <xf numFmtId="0" fontId="2" fillId="36" borderId="10" xfId="0" applyFont="1" applyFill="1" applyBorder="1" applyAlignment="1"/>
    <xf numFmtId="0" fontId="2" fillId="36" borderId="11" xfId="0" applyFont="1" applyFill="1" applyBorder="1" applyAlignment="1"/>
    <xf numFmtId="0" fontId="6" fillId="36" borderId="11" xfId="0" applyFont="1" applyFill="1" applyBorder="1" applyAlignment="1">
      <alignment horizontal="center"/>
    </xf>
    <xf numFmtId="189" fontId="6" fillId="36" borderId="11" xfId="0" applyNumberFormat="1" applyFont="1" applyFill="1" applyBorder="1" applyAlignment="1"/>
    <xf numFmtId="188" fontId="6" fillId="36" borderId="11" xfId="0" applyNumberFormat="1" applyFont="1" applyFill="1" applyBorder="1" applyAlignment="1"/>
    <xf numFmtId="188" fontId="4" fillId="36" borderId="11" xfId="0" applyNumberFormat="1" applyFont="1" applyFill="1" applyBorder="1" applyAlignment="1"/>
    <xf numFmtId="0" fontId="2" fillId="36" borderId="9" xfId="0" applyFont="1" applyFill="1" applyBorder="1" applyAlignment="1"/>
    <xf numFmtId="187" fontId="4" fillId="2" borderId="9" xfId="0" applyNumberFormat="1" applyFont="1" applyFill="1" applyBorder="1" applyAlignment="1"/>
    <xf numFmtId="187" fontId="4" fillId="2" borderId="10" xfId="0" applyNumberFormat="1" applyFont="1" applyFill="1" applyBorder="1" applyAlignment="1"/>
    <xf numFmtId="0" fontId="4" fillId="2" borderId="10" xfId="0" applyFont="1" applyFill="1" applyBorder="1" applyAlignment="1"/>
    <xf numFmtId="0" fontId="4" fillId="2" borderId="10" xfId="0" applyFont="1" applyFill="1" applyBorder="1" applyAlignment="1"/>
    <xf numFmtId="0" fontId="4" fillId="0" borderId="0" xfId="0" applyFont="1" applyAlignment="1"/>
    <xf numFmtId="0" fontId="53" fillId="21" borderId="13" xfId="0" quotePrefix="1" applyFont="1" applyFill="1" applyBorder="1" applyAlignment="1"/>
    <xf numFmtId="0" fontId="2" fillId="21" borderId="13" xfId="0" applyFont="1" applyFill="1" applyBorder="1" applyAlignment="1"/>
    <xf numFmtId="0" fontId="2" fillId="21" borderId="14" xfId="0" applyFont="1" applyFill="1" applyBorder="1" applyAlignment="1"/>
    <xf numFmtId="0" fontId="4" fillId="0" borderId="14" xfId="0" applyFont="1" applyBorder="1" applyAlignment="1"/>
    <xf numFmtId="189" fontId="4" fillId="2" borderId="11" xfId="0" applyNumberFormat="1" applyFont="1" applyFill="1" applyBorder="1" applyAlignment="1">
      <alignment horizontal="right"/>
    </xf>
    <xf numFmtId="189" fontId="4" fillId="10" borderId="11" xfId="0" applyNumberFormat="1" applyFont="1" applyFill="1" applyBorder="1" applyAlignment="1">
      <alignment horizontal="right"/>
    </xf>
    <xf numFmtId="187" fontId="6" fillId="36" borderId="13" xfId="0" applyNumberFormat="1" applyFont="1" applyFill="1" applyBorder="1" applyAlignment="1">
      <alignment horizontal="right"/>
    </xf>
    <xf numFmtId="0" fontId="6" fillId="36" borderId="13" xfId="0" applyFont="1" applyFill="1" applyBorder="1" applyAlignment="1"/>
    <xf numFmtId="0" fontId="4" fillId="36" borderId="13" xfId="0" applyFont="1" applyFill="1" applyBorder="1" applyAlignment="1"/>
    <xf numFmtId="0" fontId="4" fillId="36" borderId="14" xfId="0" applyFont="1" applyFill="1" applyBorder="1" applyAlignment="1"/>
    <xf numFmtId="0" fontId="6" fillId="36" borderId="14" xfId="0" applyFont="1" applyFill="1" applyBorder="1" applyAlignment="1">
      <alignment horizontal="center"/>
    </xf>
    <xf numFmtId="189" fontId="6" fillId="36" borderId="14" xfId="0" applyNumberFormat="1" applyFont="1" applyFill="1" applyBorder="1" applyAlignment="1"/>
    <xf numFmtId="188" fontId="6" fillId="36" borderId="14" xfId="0" applyNumberFormat="1" applyFont="1" applyFill="1" applyBorder="1" applyAlignment="1"/>
    <xf numFmtId="188" fontId="4" fillId="36" borderId="14" xfId="0" applyNumberFormat="1" applyFont="1" applyFill="1" applyBorder="1" applyAlignment="1"/>
    <xf numFmtId="0" fontId="4" fillId="36" borderId="9" xfId="0" applyFont="1" applyFill="1" applyBorder="1" applyAlignment="1"/>
    <xf numFmtId="187" fontId="4" fillId="36" borderId="10" xfId="0" applyNumberFormat="1" applyFont="1" applyFill="1" applyBorder="1" applyAlignment="1"/>
    <xf numFmtId="0" fontId="4" fillId="36" borderId="10" xfId="0" applyFont="1" applyFill="1" applyBorder="1" applyAlignment="1"/>
    <xf numFmtId="0" fontId="4" fillId="36" borderId="11" xfId="0" applyFont="1" applyFill="1" applyBorder="1" applyAlignment="1"/>
    <xf numFmtId="190" fontId="4" fillId="2" borderId="9" xfId="0" applyNumberFormat="1" applyFont="1" applyFill="1" applyBorder="1" applyAlignment="1"/>
    <xf numFmtId="187" fontId="6" fillId="0" borderId="11" xfId="0" applyNumberFormat="1" applyFont="1" applyBorder="1" applyAlignment="1">
      <alignment horizontal="center" wrapText="1"/>
    </xf>
    <xf numFmtId="190" fontId="9" fillId="2" borderId="9" xfId="0" applyNumberFormat="1" applyFont="1" applyFill="1" applyBorder="1" applyAlignment="1"/>
    <xf numFmtId="0" fontId="9" fillId="2" borderId="10" xfId="0" applyFont="1" applyFill="1" applyBorder="1" applyAlignment="1"/>
    <xf numFmtId="0" fontId="9" fillId="0" borderId="10" xfId="0" applyFont="1" applyBorder="1" applyAlignment="1"/>
    <xf numFmtId="0" fontId="9" fillId="2" borderId="10" xfId="0" applyFont="1" applyFill="1" applyBorder="1" applyAlignment="1"/>
    <xf numFmtId="0" fontId="9" fillId="2" borderId="11" xfId="0" applyFont="1" applyFill="1" applyBorder="1" applyAlignment="1"/>
    <xf numFmtId="0" fontId="9" fillId="0" borderId="0" xfId="0" applyFont="1" applyAlignment="1"/>
    <xf numFmtId="187" fontId="9" fillId="2" borderId="10" xfId="0" applyNumberFormat="1" applyFont="1" applyFill="1" applyBorder="1" applyAlignment="1"/>
    <xf numFmtId="0" fontId="55" fillId="2" borderId="10" xfId="0" applyFont="1" applyFill="1" applyBorder="1" applyAlignment="1"/>
    <xf numFmtId="187" fontId="9" fillId="2" borderId="10" xfId="0" applyNumberFormat="1" applyFont="1" applyFill="1" applyBorder="1" applyAlignment="1"/>
    <xf numFmtId="187" fontId="4" fillId="0" borderId="9" xfId="0" applyNumberFormat="1" applyFont="1" applyBorder="1" applyAlignment="1"/>
    <xf numFmtId="187" fontId="4" fillId="0" borderId="10" xfId="0" applyNumberFormat="1" applyFont="1" applyBorder="1" applyAlignment="1"/>
    <xf numFmtId="187" fontId="56" fillId="21" borderId="10" xfId="0" applyNumberFormat="1" applyFont="1" applyFill="1" applyBorder="1" applyAlignment="1"/>
    <xf numFmtId="187" fontId="4" fillId="21" borderId="10" xfId="0" applyNumberFormat="1" applyFont="1" applyFill="1" applyBorder="1" applyAlignment="1"/>
    <xf numFmtId="0" fontId="4" fillId="21" borderId="10" xfId="0" applyFont="1" applyFill="1" applyBorder="1" applyAlignment="1"/>
    <xf numFmtId="0" fontId="4" fillId="21" borderId="11" xfId="0" applyFont="1" applyFill="1" applyBorder="1" applyAlignment="1"/>
    <xf numFmtId="187" fontId="9" fillId="0" borderId="9" xfId="0" applyNumberFormat="1" applyFont="1" applyBorder="1" applyAlignment="1"/>
    <xf numFmtId="187" fontId="9" fillId="0" borderId="10" xfId="0" applyNumberFormat="1" applyFont="1" applyBorder="1" applyAlignment="1"/>
    <xf numFmtId="187" fontId="9" fillId="0" borderId="10" xfId="0" applyNumberFormat="1" applyFont="1" applyBorder="1" applyAlignment="1"/>
    <xf numFmtId="189" fontId="9" fillId="2" borderId="11" xfId="0" applyNumberFormat="1" applyFont="1" applyFill="1" applyBorder="1" applyAlignment="1"/>
    <xf numFmtId="187" fontId="4" fillId="0" borderId="10" xfId="0" applyNumberFormat="1" applyFont="1" applyBorder="1" applyAlignment="1"/>
    <xf numFmtId="0" fontId="4" fillId="0" borderId="10" xfId="0" applyFont="1" applyBorder="1" applyAlignment="1"/>
    <xf numFmtId="0" fontId="57" fillId="2" borderId="11" xfId="0" applyFont="1" applyFill="1" applyBorder="1" applyAlignment="1"/>
    <xf numFmtId="187" fontId="58" fillId="21" borderId="10" xfId="0" quotePrefix="1" applyNumberFormat="1" applyFont="1" applyFill="1" applyBorder="1" applyAlignment="1"/>
    <xf numFmtId="187" fontId="6" fillId="0" borderId="10" xfId="0" applyNumberFormat="1" applyFont="1" applyBorder="1" applyAlignment="1"/>
    <xf numFmtId="0" fontId="4" fillId="2" borderId="11" xfId="0" applyFont="1" applyFill="1" applyBorder="1" applyAlignment="1">
      <alignment horizontal="center"/>
    </xf>
    <xf numFmtId="0" fontId="4" fillId="0" borderId="10" xfId="0" applyFont="1" applyBorder="1" applyAlignment="1"/>
    <xf numFmtId="187" fontId="6" fillId="0" borderId="10" xfId="0" applyNumberFormat="1" applyFont="1" applyBorder="1" applyAlignment="1"/>
    <xf numFmtId="0" fontId="4" fillId="0" borderId="10" xfId="0" applyFont="1" applyBorder="1" applyAlignment="1"/>
    <xf numFmtId="187" fontId="26" fillId="36" borderId="13" xfId="0" applyNumberFormat="1" applyFont="1" applyFill="1" applyBorder="1" applyAlignment="1">
      <alignment horizontal="right"/>
    </xf>
    <xf numFmtId="187" fontId="26" fillId="36" borderId="13" xfId="0" applyNumberFormat="1" applyFont="1" applyFill="1" applyBorder="1" applyAlignment="1"/>
    <xf numFmtId="187" fontId="9" fillId="36" borderId="13" xfId="0" applyNumberFormat="1" applyFont="1" applyFill="1" applyBorder="1" applyAlignment="1"/>
    <xf numFmtId="0" fontId="9" fillId="36" borderId="13" xfId="0" applyFont="1" applyFill="1" applyBorder="1" applyAlignment="1"/>
    <xf numFmtId="0" fontId="9" fillId="36" borderId="14" xfId="0" applyFont="1" applyFill="1" applyBorder="1" applyAlignment="1"/>
    <xf numFmtId="0" fontId="26" fillId="36" borderId="14" xfId="0" applyFont="1" applyFill="1" applyBorder="1" applyAlignment="1">
      <alignment horizontal="center"/>
    </xf>
    <xf numFmtId="189" fontId="26" fillId="36" borderId="14" xfId="0" applyNumberFormat="1" applyFont="1" applyFill="1" applyBorder="1" applyAlignment="1"/>
    <xf numFmtId="188" fontId="26" fillId="36" borderId="14" xfId="0" applyNumberFormat="1" applyFont="1" applyFill="1" applyBorder="1" applyAlignment="1"/>
    <xf numFmtId="188" fontId="9" fillId="36" borderId="14" xfId="0" applyNumberFormat="1" applyFont="1" applyFill="1" applyBorder="1" applyAlignment="1"/>
    <xf numFmtId="0" fontId="9" fillId="36" borderId="9" xfId="0" applyFont="1" applyFill="1" applyBorder="1" applyAlignment="1"/>
    <xf numFmtId="187" fontId="9" fillId="36" borderId="10" xfId="0" applyNumberFormat="1" applyFont="1" applyFill="1" applyBorder="1" applyAlignment="1"/>
    <xf numFmtId="187" fontId="9" fillId="36" borderId="10" xfId="0" applyNumberFormat="1" applyFont="1" applyFill="1" applyBorder="1" applyAlignment="1"/>
    <xf numFmtId="0" fontId="9" fillId="36" borderId="10" xfId="0" applyFont="1" applyFill="1" applyBorder="1" applyAlignment="1"/>
    <xf numFmtId="0" fontId="9" fillId="36" borderId="11" xfId="0" applyFont="1" applyFill="1" applyBorder="1" applyAlignment="1"/>
    <xf numFmtId="0" fontId="26" fillId="36" borderId="11" xfId="0" applyFont="1" applyFill="1" applyBorder="1" applyAlignment="1">
      <alignment horizontal="center"/>
    </xf>
    <xf numFmtId="189" fontId="26" fillId="36" borderId="11" xfId="0" applyNumberFormat="1" applyFont="1" applyFill="1" applyBorder="1" applyAlignment="1"/>
    <xf numFmtId="188" fontId="26" fillId="36" borderId="11" xfId="0" applyNumberFormat="1" applyFont="1" applyFill="1" applyBorder="1" applyAlignment="1"/>
    <xf numFmtId="188" fontId="9" fillId="36" borderId="11" xfId="0" applyNumberFormat="1" applyFont="1" applyFill="1" applyBorder="1" applyAlignment="1"/>
    <xf numFmtId="0" fontId="59" fillId="2" borderId="10" xfId="0" applyFont="1" applyFill="1" applyBorder="1" applyAlignment="1"/>
    <xf numFmtId="187" fontId="26" fillId="0" borderId="11" xfId="0" applyNumberFormat="1" applyFont="1" applyBorder="1" applyAlignment="1">
      <alignment horizontal="center" wrapText="1"/>
    </xf>
    <xf numFmtId="188" fontId="26" fillId="2" borderId="11" xfId="0" applyNumberFormat="1" applyFont="1" applyFill="1" applyBorder="1" applyAlignment="1"/>
    <xf numFmtId="0" fontId="60" fillId="2" borderId="10" xfId="0" applyFont="1" applyFill="1" applyBorder="1" applyAlignment="1"/>
    <xf numFmtId="187" fontId="9" fillId="2" borderId="9" xfId="0" applyNumberFormat="1" applyFont="1" applyFill="1" applyBorder="1" applyAlignment="1"/>
    <xf numFmtId="0" fontId="61" fillId="21" borderId="10" xfId="0" quotePrefix="1" applyFont="1" applyFill="1" applyBorder="1" applyAlignment="1"/>
    <xf numFmtId="0" fontId="9" fillId="21" borderId="10" xfId="0" applyFont="1" applyFill="1" applyBorder="1" applyAlignment="1"/>
    <xf numFmtId="0" fontId="9" fillId="21" borderId="11" xfId="0" applyFont="1" applyFill="1" applyBorder="1" applyAlignment="1"/>
    <xf numFmtId="0" fontId="9" fillId="0" borderId="11" xfId="0" applyFont="1" applyBorder="1" applyAlignment="1">
      <alignment horizontal="center" wrapText="1"/>
    </xf>
    <xf numFmtId="0" fontId="26" fillId="0" borderId="11" xfId="0" applyFont="1" applyBorder="1" applyAlignment="1">
      <alignment horizontal="center" wrapText="1"/>
    </xf>
    <xf numFmtId="189" fontId="26" fillId="2" borderId="11" xfId="0" applyNumberFormat="1" applyFont="1" applyFill="1" applyBorder="1" applyAlignment="1"/>
    <xf numFmtId="188" fontId="26" fillId="0" borderId="11" xfId="0" applyNumberFormat="1" applyFont="1" applyBorder="1" applyAlignment="1"/>
    <xf numFmtId="0" fontId="1" fillId="37" borderId="9" xfId="0" applyFont="1" applyFill="1" applyBorder="1" applyAlignment="1"/>
    <xf numFmtId="187" fontId="2" fillId="37" borderId="10" xfId="0" applyNumberFormat="1" applyFont="1" applyFill="1" applyBorder="1" applyAlignment="1"/>
    <xf numFmtId="0" fontId="2" fillId="37" borderId="10" xfId="0" applyFont="1" applyFill="1" applyBorder="1" applyAlignment="1"/>
    <xf numFmtId="0" fontId="2" fillId="37" borderId="11" xfId="0" applyFont="1" applyFill="1" applyBorder="1" applyAlignment="1"/>
    <xf numFmtId="0" fontId="4" fillId="37" borderId="11" xfId="0" applyFont="1" applyFill="1" applyBorder="1" applyAlignment="1"/>
    <xf numFmtId="189" fontId="4" fillId="37" borderId="11" xfId="0" applyNumberFormat="1" applyFont="1" applyFill="1" applyBorder="1" applyAlignment="1"/>
    <xf numFmtId="188" fontId="4" fillId="37" borderId="11" xfId="0" applyNumberFormat="1" applyFont="1" applyFill="1" applyBorder="1" applyAlignment="1"/>
    <xf numFmtId="187" fontId="6" fillId="38" borderId="13" xfId="0" applyNumberFormat="1" applyFont="1" applyFill="1" applyBorder="1" applyAlignment="1">
      <alignment horizontal="right"/>
    </xf>
    <xf numFmtId="187" fontId="6" fillId="38" borderId="13" xfId="0" applyNumberFormat="1" applyFont="1" applyFill="1" applyBorder="1" applyAlignment="1"/>
    <xf numFmtId="187" fontId="4" fillId="38" borderId="13" xfId="0" applyNumberFormat="1" applyFont="1" applyFill="1" applyBorder="1" applyAlignment="1"/>
    <xf numFmtId="0" fontId="4" fillId="38" borderId="13" xfId="0" applyFont="1" applyFill="1" applyBorder="1" applyAlignment="1"/>
    <xf numFmtId="0" fontId="4" fillId="38" borderId="14" xfId="0" applyFont="1" applyFill="1" applyBorder="1" applyAlignment="1"/>
    <xf numFmtId="189" fontId="4" fillId="38" borderId="14" xfId="0" applyNumberFormat="1" applyFont="1" applyFill="1" applyBorder="1" applyAlignment="1"/>
    <xf numFmtId="188" fontId="4" fillId="38" borderId="14" xfId="0" applyNumberFormat="1" applyFont="1" applyFill="1" applyBorder="1" applyAlignment="1"/>
    <xf numFmtId="190" fontId="4" fillId="39" borderId="9" xfId="0" applyNumberFormat="1" applyFont="1" applyFill="1" applyBorder="1" applyAlignment="1"/>
    <xf numFmtId="0" fontId="6" fillId="39" borderId="10" xfId="0" applyFont="1" applyFill="1" applyBorder="1" applyAlignment="1"/>
    <xf numFmtId="0" fontId="4" fillId="39" borderId="10" xfId="0" applyFont="1" applyFill="1" applyBorder="1" applyAlignment="1"/>
    <xf numFmtId="0" fontId="4" fillId="39" borderId="11" xfId="0" applyFont="1" applyFill="1" applyBorder="1" applyAlignment="1"/>
    <xf numFmtId="187" fontId="6" fillId="39" borderId="11" xfId="0" applyNumberFormat="1" applyFont="1" applyFill="1" applyBorder="1" applyAlignment="1">
      <alignment horizontal="center"/>
    </xf>
    <xf numFmtId="189" fontId="6" fillId="39" borderId="11" xfId="0" applyNumberFormat="1" applyFont="1" applyFill="1" applyBorder="1" applyAlignment="1"/>
    <xf numFmtId="188" fontId="6" fillId="39" borderId="11" xfId="0" applyNumberFormat="1" applyFont="1" applyFill="1" applyBorder="1" applyAlignment="1"/>
    <xf numFmtId="188" fontId="4" fillId="39" borderId="11" xfId="0" applyNumberFormat="1" applyFont="1" applyFill="1" applyBorder="1" applyAlignment="1"/>
    <xf numFmtId="0" fontId="62" fillId="21" borderId="10" xfId="0" quotePrefix="1" applyFont="1" applyFill="1" applyBorder="1" applyAlignment="1"/>
    <xf numFmtId="0" fontId="4" fillId="2" borderId="10" xfId="0" applyFont="1" applyFill="1" applyBorder="1" applyAlignment="1"/>
    <xf numFmtId="189" fontId="6" fillId="2" borderId="11" xfId="0" applyNumberFormat="1" applyFont="1" applyFill="1" applyBorder="1" applyAlignment="1"/>
    <xf numFmtId="0" fontId="4" fillId="2" borderId="0" xfId="0" applyFont="1" applyFill="1" applyAlignment="1"/>
    <xf numFmtId="0" fontId="4" fillId="2" borderId="10" xfId="0" applyFont="1" applyFill="1" applyBorder="1" applyAlignment="1"/>
    <xf numFmtId="0" fontId="63" fillId="2" borderId="10" xfId="0" applyFont="1" applyFill="1" applyBorder="1" applyAlignment="1"/>
    <xf numFmtId="0" fontId="6" fillId="38" borderId="13" xfId="0" applyFont="1" applyFill="1" applyBorder="1" applyAlignment="1"/>
    <xf numFmtId="0" fontId="6" fillId="38" borderId="14" xfId="0" applyFont="1" applyFill="1" applyBorder="1" applyAlignment="1">
      <alignment horizontal="center"/>
    </xf>
    <xf numFmtId="189" fontId="6" fillId="38" borderId="14" xfId="0" applyNumberFormat="1" applyFont="1" applyFill="1" applyBorder="1" applyAlignment="1"/>
    <xf numFmtId="188" fontId="6" fillId="38" borderId="14" xfId="0" applyNumberFormat="1" applyFont="1" applyFill="1" applyBorder="1" applyAlignment="1"/>
    <xf numFmtId="190" fontId="4" fillId="2" borderId="12" xfId="0" applyNumberFormat="1" applyFont="1" applyFill="1" applyBorder="1" applyAlignment="1"/>
    <xf numFmtId="0" fontId="4" fillId="2" borderId="13" xfId="0" applyFont="1" applyFill="1" applyBorder="1" applyAlignment="1"/>
    <xf numFmtId="0" fontId="4" fillId="2" borderId="14" xfId="0" applyFont="1" applyFill="1" applyBorder="1" applyAlignment="1"/>
    <xf numFmtId="187" fontId="4" fillId="39" borderId="9" xfId="0" applyNumberFormat="1" applyFont="1" applyFill="1" applyBorder="1" applyAlignment="1"/>
    <xf numFmtId="187" fontId="6" fillId="39" borderId="10" xfId="0" applyNumberFormat="1" applyFont="1" applyFill="1" applyBorder="1" applyAlignment="1"/>
    <xf numFmtId="187" fontId="4" fillId="39" borderId="10" xfId="0" applyNumberFormat="1" applyFont="1" applyFill="1" applyBorder="1" applyAlignment="1"/>
    <xf numFmtId="0" fontId="6" fillId="39" borderId="11" xfId="0" applyFont="1" applyFill="1" applyBorder="1" applyAlignment="1">
      <alignment horizontal="center" wrapText="1"/>
    </xf>
    <xf numFmtId="187" fontId="4" fillId="0" borderId="2" xfId="0" applyNumberFormat="1" applyFont="1" applyBorder="1" applyAlignment="1"/>
    <xf numFmtId="187" fontId="4" fillId="0" borderId="0" xfId="0" applyNumberFormat="1" applyFont="1" applyAlignment="1"/>
    <xf numFmtId="0" fontId="4" fillId="0" borderId="3" xfId="0" applyFont="1" applyBorder="1" applyAlignment="1"/>
    <xf numFmtId="0" fontId="4" fillId="0" borderId="3" xfId="0" applyFont="1" applyBorder="1" applyAlignment="1">
      <alignment horizontal="center"/>
    </xf>
    <xf numFmtId="189" fontId="4" fillId="0" borderId="3" xfId="0" applyNumberFormat="1" applyFont="1" applyBorder="1" applyAlignment="1"/>
    <xf numFmtId="189" fontId="4" fillId="10" borderId="3" xfId="0" applyNumberFormat="1" applyFont="1" applyFill="1" applyBorder="1" applyAlignment="1"/>
    <xf numFmtId="188" fontId="4" fillId="0" borderId="3" xfId="0" applyNumberFormat="1" applyFont="1" applyBorder="1" applyAlignment="1"/>
    <xf numFmtId="187" fontId="4" fillId="0" borderId="10" xfId="0" quotePrefix="1" applyNumberFormat="1" applyFont="1" applyBorder="1" applyAlignment="1"/>
    <xf numFmtId="187" fontId="65" fillId="39" borderId="10" xfId="0" applyNumberFormat="1" applyFont="1" applyFill="1" applyBorder="1" applyAlignment="1"/>
    <xf numFmtId="0" fontId="6" fillId="39" borderId="11" xfId="0" applyFont="1" applyFill="1" applyBorder="1" applyAlignment="1">
      <alignment horizontal="center"/>
    </xf>
    <xf numFmtId="189" fontId="6" fillId="39" borderId="11" xfId="0" applyNumberFormat="1" applyFont="1" applyFill="1" applyBorder="1" applyAlignment="1"/>
    <xf numFmtId="187" fontId="9" fillId="40" borderId="9" xfId="0" applyNumberFormat="1" applyFont="1" applyFill="1" applyBorder="1" applyAlignment="1"/>
    <xf numFmtId="187" fontId="9" fillId="40" borderId="10" xfId="0" applyNumberFormat="1" applyFont="1" applyFill="1" applyBorder="1" applyAlignment="1"/>
    <xf numFmtId="187" fontId="26" fillId="40" borderId="10" xfId="0" applyNumberFormat="1" applyFont="1" applyFill="1" applyBorder="1" applyAlignment="1"/>
    <xf numFmtId="0" fontId="9" fillId="40" borderId="10" xfId="0" applyFont="1" applyFill="1" applyBorder="1" applyAlignment="1"/>
    <xf numFmtId="0" fontId="9" fillId="40" borderId="11" xfId="0" applyFont="1" applyFill="1" applyBorder="1" applyAlignment="1"/>
    <xf numFmtId="0" fontId="26" fillId="40" borderId="11" xfId="0" applyFont="1" applyFill="1" applyBorder="1" applyAlignment="1">
      <alignment horizontal="center"/>
    </xf>
    <xf numFmtId="189" fontId="26" fillId="40" borderId="11" xfId="0" applyNumberFormat="1" applyFont="1" applyFill="1" applyBorder="1" applyAlignment="1"/>
    <xf numFmtId="189" fontId="26" fillId="40" borderId="11" xfId="0" applyNumberFormat="1" applyFont="1" applyFill="1" applyBorder="1" applyAlignment="1"/>
    <xf numFmtId="188" fontId="26" fillId="40" borderId="11" xfId="0" applyNumberFormat="1" applyFont="1" applyFill="1" applyBorder="1" applyAlignment="1"/>
    <xf numFmtId="188" fontId="9" fillId="40" borderId="11" xfId="0" applyNumberFormat="1" applyFont="1" applyFill="1" applyBorder="1" applyAlignment="1"/>
    <xf numFmtId="187" fontId="9" fillId="40" borderId="10" xfId="0" applyNumberFormat="1" applyFont="1" applyFill="1" applyBorder="1" applyAlignment="1"/>
    <xf numFmtId="0" fontId="9" fillId="0" borderId="10" xfId="0" applyFont="1" applyBorder="1" applyAlignment="1"/>
    <xf numFmtId="0" fontId="9" fillId="0" borderId="10" xfId="0" quotePrefix="1" applyFont="1" applyBorder="1" applyAlignment="1"/>
    <xf numFmtId="187" fontId="4" fillId="40" borderId="9" xfId="0" applyNumberFormat="1" applyFont="1" applyFill="1" applyBorder="1" applyAlignment="1"/>
    <xf numFmtId="187" fontId="4" fillId="40" borderId="10" xfId="0" applyNumberFormat="1" applyFont="1" applyFill="1" applyBorder="1" applyAlignment="1"/>
    <xf numFmtId="187" fontId="6" fillId="40" borderId="10" xfId="0" applyNumberFormat="1" applyFont="1" applyFill="1" applyBorder="1" applyAlignment="1"/>
    <xf numFmtId="0" fontId="4" fillId="40" borderId="10" xfId="0" applyFont="1" applyFill="1" applyBorder="1" applyAlignment="1"/>
    <xf numFmtId="0" fontId="4" fillId="40" borderId="11" xfId="0" applyFont="1" applyFill="1" applyBorder="1" applyAlignment="1"/>
    <xf numFmtId="0" fontId="6" fillId="40" borderId="11" xfId="0" applyFont="1" applyFill="1" applyBorder="1" applyAlignment="1">
      <alignment horizontal="center"/>
    </xf>
    <xf numFmtId="189" fontId="6" fillId="40" borderId="11" xfId="0" applyNumberFormat="1" applyFont="1" applyFill="1" applyBorder="1" applyAlignment="1"/>
    <xf numFmtId="188" fontId="6" fillId="40" borderId="11" xfId="0" applyNumberFormat="1" applyFont="1" applyFill="1" applyBorder="1" applyAlignment="1"/>
    <xf numFmtId="188" fontId="4" fillId="40" borderId="11" xfId="0" applyNumberFormat="1" applyFont="1" applyFill="1" applyBorder="1" applyAlignment="1"/>
    <xf numFmtId="187" fontId="4" fillId="40" borderId="10" xfId="0" applyNumberFormat="1" applyFont="1" applyFill="1" applyBorder="1" applyAlignment="1"/>
    <xf numFmtId="187" fontId="4" fillId="0" borderId="5" xfId="0" applyNumberFormat="1" applyFont="1" applyBorder="1" applyAlignment="1"/>
    <xf numFmtId="187" fontId="4" fillId="0" borderId="1" xfId="0" applyNumberFormat="1" applyFont="1" applyBorder="1" applyAlignment="1"/>
    <xf numFmtId="0" fontId="4" fillId="0" borderId="1" xfId="0" applyFont="1" applyBorder="1" applyAlignment="1"/>
    <xf numFmtId="0" fontId="4" fillId="0" borderId="4" xfId="0" applyFont="1" applyBorder="1" applyAlignment="1"/>
    <xf numFmtId="187" fontId="6" fillId="38" borderId="7" xfId="0" applyNumberFormat="1" applyFont="1" applyFill="1" applyBorder="1" applyAlignment="1">
      <alignment horizontal="right"/>
    </xf>
    <xf numFmtId="0" fontId="6" fillId="38" borderId="7" xfId="0" applyFont="1" applyFill="1" applyBorder="1" applyAlignment="1"/>
    <xf numFmtId="0" fontId="4" fillId="38" borderId="7" xfId="0" applyFont="1" applyFill="1" applyBorder="1" applyAlignment="1"/>
    <xf numFmtId="0" fontId="4" fillId="38" borderId="8" xfId="0" applyFont="1" applyFill="1" applyBorder="1" applyAlignment="1"/>
    <xf numFmtId="0" fontId="4" fillId="38" borderId="8" xfId="0" applyFont="1" applyFill="1" applyBorder="1" applyAlignment="1">
      <alignment horizontal="center"/>
    </xf>
    <xf numFmtId="189" fontId="6" fillId="38" borderId="8" xfId="0" applyNumberFormat="1" applyFont="1" applyFill="1" applyBorder="1" applyAlignment="1"/>
    <xf numFmtId="188" fontId="6" fillId="38" borderId="8" xfId="0" applyNumberFormat="1" applyFont="1" applyFill="1" applyBorder="1" applyAlignment="1"/>
    <xf numFmtId="188" fontId="4" fillId="38" borderId="8" xfId="0" applyNumberFormat="1" applyFont="1" applyFill="1" applyBorder="1" applyAlignment="1"/>
    <xf numFmtId="0" fontId="4" fillId="2" borderId="9" xfId="0" applyFont="1" applyFill="1" applyBorder="1" applyAlignment="1"/>
    <xf numFmtId="0" fontId="4" fillId="0" borderId="10" xfId="0" quotePrefix="1" applyFont="1" applyBorder="1" applyAlignment="1"/>
    <xf numFmtId="0" fontId="4" fillId="0" borderId="10" xfId="0" quotePrefix="1" applyFont="1" applyBorder="1" applyAlignment="1"/>
    <xf numFmtId="0" fontId="4" fillId="2" borderId="5" xfId="0" applyFont="1" applyFill="1" applyBorder="1" applyAlignment="1"/>
    <xf numFmtId="187" fontId="4" fillId="2" borderId="1" xfId="0" applyNumberFormat="1" applyFont="1" applyFill="1" applyBorder="1" applyAlignment="1"/>
    <xf numFmtId="0" fontId="4" fillId="2" borderId="1" xfId="0" applyFont="1" applyFill="1" applyBorder="1" applyAlignment="1"/>
    <xf numFmtId="0" fontId="6" fillId="38" borderId="7" xfId="0" applyFont="1" applyFill="1" applyBorder="1" applyAlignment="1">
      <alignment horizontal="right"/>
    </xf>
    <xf numFmtId="189" fontId="4" fillId="38" borderId="8" xfId="0" applyNumberFormat="1" applyFont="1" applyFill="1" applyBorder="1" applyAlignment="1"/>
    <xf numFmtId="0" fontId="6" fillId="0" borderId="11" xfId="0" applyFont="1" applyBorder="1" applyAlignment="1">
      <alignment horizontal="center"/>
    </xf>
    <xf numFmtId="0" fontId="4" fillId="39" borderId="13" xfId="0" applyFont="1" applyFill="1" applyBorder="1" applyAlignment="1"/>
    <xf numFmtId="0" fontId="6" fillId="39" borderId="13" xfId="0" applyFont="1" applyFill="1" applyBorder="1" applyAlignment="1"/>
    <xf numFmtId="0" fontId="4" fillId="39" borderId="14" xfId="0" applyFont="1" applyFill="1" applyBorder="1" applyAlignment="1"/>
    <xf numFmtId="189" fontId="4" fillId="39" borderId="14" xfId="0" applyNumberFormat="1" applyFont="1" applyFill="1" applyBorder="1" applyAlignment="1"/>
    <xf numFmtId="188" fontId="4" fillId="39" borderId="14" xfId="0" applyNumberFormat="1" applyFont="1" applyFill="1" applyBorder="1" applyAlignment="1"/>
    <xf numFmtId="0" fontId="66" fillId="2" borderId="10" xfId="0" applyFont="1" applyFill="1" applyBorder="1" applyAlignment="1"/>
    <xf numFmtId="0" fontId="9" fillId="2" borderId="10" xfId="0" applyFont="1" applyFill="1" applyBorder="1" applyAlignment="1"/>
    <xf numFmtId="0" fontId="67" fillId="21" borderId="10" xfId="0" applyFont="1" applyFill="1" applyBorder="1" applyAlignment="1"/>
    <xf numFmtId="0" fontId="4" fillId="21" borderId="10" xfId="0" applyFont="1" applyFill="1" applyBorder="1" applyAlignment="1"/>
    <xf numFmtId="0" fontId="4" fillId="0" borderId="11" xfId="0" applyFont="1" applyBorder="1" applyAlignment="1"/>
    <xf numFmtId="0" fontId="4" fillId="2" borderId="10" xfId="0" applyFont="1" applyFill="1" applyBorder="1" applyAlignment="1"/>
    <xf numFmtId="0" fontId="4" fillId="0" borderId="11" xfId="0" applyFont="1" applyBorder="1" applyAlignment="1">
      <alignment horizontal="center"/>
    </xf>
    <xf numFmtId="187" fontId="4" fillId="2" borderId="11" xfId="0" applyNumberFormat="1" applyFont="1" applyFill="1" applyBorder="1" applyAlignment="1"/>
    <xf numFmtId="191" fontId="4" fillId="2" borderId="11" xfId="0" applyNumberFormat="1" applyFont="1" applyFill="1" applyBorder="1" applyAlignment="1"/>
    <xf numFmtId="0" fontId="6" fillId="0" borderId="11" xfId="0" applyFont="1" applyBorder="1" applyAlignment="1">
      <alignment horizontal="center"/>
    </xf>
    <xf numFmtId="187" fontId="6" fillId="2" borderId="11" xfId="0" applyNumberFormat="1" applyFont="1" applyFill="1" applyBorder="1" applyAlignment="1"/>
    <xf numFmtId="0" fontId="63" fillId="2" borderId="10" xfId="0" applyFont="1" applyFill="1" applyBorder="1" applyAlignment="1"/>
    <xf numFmtId="0" fontId="4" fillId="0" borderId="5" xfId="0" applyFont="1" applyBorder="1" applyAlignment="1"/>
    <xf numFmtId="0" fontId="68" fillId="0" borderId="1" xfId="0" applyFont="1" applyBorder="1" applyAlignment="1"/>
    <xf numFmtId="187" fontId="4" fillId="2" borderId="4" xfId="0" applyNumberFormat="1" applyFont="1" applyFill="1" applyBorder="1" applyAlignment="1"/>
    <xf numFmtId="191" fontId="4" fillId="2" borderId="4" xfId="0" applyNumberFormat="1" applyFont="1" applyFill="1" applyBorder="1" applyAlignment="1"/>
    <xf numFmtId="0" fontId="26" fillId="38" borderId="7" xfId="0" applyFont="1" applyFill="1" applyBorder="1" applyAlignment="1">
      <alignment horizontal="right"/>
    </xf>
    <xf numFmtId="0" fontId="26" fillId="38" borderId="7" xfId="0" applyFont="1" applyFill="1" applyBorder="1" applyAlignment="1"/>
    <xf numFmtId="0" fontId="9" fillId="38" borderId="7" xfId="0" applyFont="1" applyFill="1" applyBorder="1" applyAlignment="1"/>
    <xf numFmtId="0" fontId="9" fillId="38" borderId="8" xfId="0" applyFont="1" applyFill="1" applyBorder="1" applyAlignment="1"/>
    <xf numFmtId="0" fontId="26" fillId="38" borderId="8" xfId="0" applyFont="1" applyFill="1" applyBorder="1" applyAlignment="1">
      <alignment horizontal="center"/>
    </xf>
    <xf numFmtId="189" fontId="9" fillId="38" borderId="8" xfId="0" applyNumberFormat="1" applyFont="1" applyFill="1" applyBorder="1" applyAlignment="1"/>
    <xf numFmtId="188" fontId="26" fillId="38" borderId="8" xfId="0" applyNumberFormat="1" applyFont="1" applyFill="1" applyBorder="1" applyAlignment="1"/>
    <xf numFmtId="188" fontId="9" fillId="38" borderId="8" xfId="0" applyNumberFormat="1" applyFont="1" applyFill="1" applyBorder="1" applyAlignment="1"/>
    <xf numFmtId="0" fontId="69" fillId="2" borderId="10" xfId="0" applyFont="1" applyFill="1" applyBorder="1" applyAlignment="1"/>
    <xf numFmtId="187" fontId="26" fillId="0" borderId="11" xfId="0" applyNumberFormat="1" applyFont="1" applyBorder="1" applyAlignment="1">
      <alignment horizontal="center"/>
    </xf>
    <xf numFmtId="0" fontId="70" fillId="21" borderId="10" xfId="0" applyFont="1" applyFill="1" applyBorder="1" applyAlignment="1"/>
    <xf numFmtId="0" fontId="26" fillId="38" borderId="13" xfId="0" applyFont="1" applyFill="1" applyBorder="1" applyAlignment="1">
      <alignment horizontal="right"/>
    </xf>
    <xf numFmtId="0" fontId="26" fillId="38" borderId="13" xfId="0" applyFont="1" applyFill="1" applyBorder="1" applyAlignment="1"/>
    <xf numFmtId="0" fontId="9" fillId="38" borderId="13" xfId="0" applyFont="1" applyFill="1" applyBorder="1" applyAlignment="1"/>
    <xf numFmtId="0" fontId="9" fillId="38" borderId="14" xfId="0" applyFont="1" applyFill="1" applyBorder="1" applyAlignment="1"/>
    <xf numFmtId="0" fontId="26" fillId="38" borderId="14" xfId="0" applyFont="1" applyFill="1" applyBorder="1" applyAlignment="1">
      <alignment horizontal="center"/>
    </xf>
    <xf numFmtId="189" fontId="9" fillId="38" borderId="14" xfId="0" applyNumberFormat="1" applyFont="1" applyFill="1" applyBorder="1" applyAlignment="1"/>
    <xf numFmtId="188" fontId="26" fillId="38" borderId="14" xfId="0" applyNumberFormat="1" applyFont="1" applyFill="1" applyBorder="1" applyAlignment="1"/>
    <xf numFmtId="188" fontId="9" fillId="38" borderId="14" xfId="0" applyNumberFormat="1" applyFont="1" applyFill="1" applyBorder="1" applyAlignment="1"/>
    <xf numFmtId="0" fontId="26" fillId="38" borderId="10" xfId="0" applyFont="1" applyFill="1" applyBorder="1" applyAlignment="1">
      <alignment horizontal="right"/>
    </xf>
    <xf numFmtId="0" fontId="26" fillId="38" borderId="10" xfId="0" applyFont="1" applyFill="1" applyBorder="1" applyAlignment="1"/>
    <xf numFmtId="0" fontId="9" fillId="38" borderId="10" xfId="0" applyFont="1" applyFill="1" applyBorder="1" applyAlignment="1"/>
    <xf numFmtId="0" fontId="9" fillId="38" borderId="11" xfId="0" applyFont="1" applyFill="1" applyBorder="1" applyAlignment="1"/>
    <xf numFmtId="0" fontId="26" fillId="38" borderId="11" xfId="0" applyFont="1" applyFill="1" applyBorder="1" applyAlignment="1">
      <alignment horizontal="center"/>
    </xf>
    <xf numFmtId="189" fontId="9" fillId="38" borderId="11" xfId="0" applyNumberFormat="1" applyFont="1" applyFill="1" applyBorder="1" applyAlignment="1"/>
    <xf numFmtId="188" fontId="26" fillId="38" borderId="11" xfId="0" applyNumberFormat="1" applyFont="1" applyFill="1" applyBorder="1" applyAlignment="1"/>
    <xf numFmtId="188" fontId="9" fillId="38" borderId="11" xfId="0" applyNumberFormat="1" applyFont="1" applyFill="1" applyBorder="1" applyAlignment="1"/>
    <xf numFmtId="187" fontId="9" fillId="0" borderId="11" xfId="0" applyNumberFormat="1" applyFont="1" applyBorder="1" applyAlignment="1"/>
    <xf numFmtId="0" fontId="32" fillId="38" borderId="10" xfId="0" applyFont="1" applyFill="1" applyBorder="1" applyAlignment="1">
      <alignment horizontal="right"/>
    </xf>
    <xf numFmtId="187" fontId="65" fillId="38" borderId="10" xfId="0" applyNumberFormat="1" applyFont="1" applyFill="1" applyBorder="1" applyAlignment="1"/>
    <xf numFmtId="0" fontId="4" fillId="38" borderId="10" xfId="0" applyFont="1" applyFill="1" applyBorder="1" applyAlignment="1"/>
    <xf numFmtId="0" fontId="4" fillId="38" borderId="11" xfId="0" applyFont="1" applyFill="1" applyBorder="1" applyAlignment="1"/>
    <xf numFmtId="187" fontId="6" fillId="38" borderId="11" xfId="0" applyNumberFormat="1" applyFont="1" applyFill="1" applyBorder="1" applyAlignment="1">
      <alignment horizontal="center"/>
    </xf>
    <xf numFmtId="189" fontId="4" fillId="38" borderId="11" xfId="0" applyNumberFormat="1" applyFont="1" applyFill="1" applyBorder="1" applyAlignment="1"/>
    <xf numFmtId="189" fontId="6" fillId="38" borderId="11" xfId="0" applyNumberFormat="1" applyFont="1" applyFill="1" applyBorder="1" applyAlignment="1"/>
    <xf numFmtId="188" fontId="6" fillId="38" borderId="11" xfId="0" applyNumberFormat="1" applyFont="1" applyFill="1" applyBorder="1" applyAlignment="1"/>
    <xf numFmtId="188" fontId="4" fillId="38" borderId="11" xfId="0" applyNumberFormat="1" applyFont="1" applyFill="1" applyBorder="1" applyAlignment="1"/>
    <xf numFmtId="187" fontId="4" fillId="0" borderId="11" xfId="0" applyNumberFormat="1" applyFont="1" applyBorder="1" applyAlignment="1"/>
    <xf numFmtId="187" fontId="9" fillId="38" borderId="10" xfId="0" applyNumberFormat="1" applyFont="1" applyFill="1" applyBorder="1" applyAlignment="1"/>
    <xf numFmtId="187" fontId="72" fillId="21" borderId="10" xfId="0" applyNumberFormat="1" applyFont="1" applyFill="1" applyBorder="1" applyAlignment="1"/>
    <xf numFmtId="187" fontId="9" fillId="2" borderId="24" xfId="0" applyNumberFormat="1" applyFont="1" applyFill="1" applyBorder="1" applyAlignment="1"/>
    <xf numFmtId="187" fontId="9" fillId="2" borderId="25" xfId="0" applyNumberFormat="1" applyFont="1" applyFill="1" applyBorder="1" applyAlignment="1"/>
    <xf numFmtId="0" fontId="9" fillId="2" borderId="25" xfId="0" applyFont="1" applyFill="1" applyBorder="1" applyAlignment="1"/>
    <xf numFmtId="0" fontId="9" fillId="2" borderId="25" xfId="0" applyFont="1" applyFill="1" applyBorder="1" applyAlignment="1"/>
    <xf numFmtId="0" fontId="9" fillId="2" borderId="26" xfId="0" applyFont="1" applyFill="1" applyBorder="1" applyAlignment="1"/>
    <xf numFmtId="187" fontId="9" fillId="0" borderId="26" xfId="0" applyNumberFormat="1" applyFont="1" applyBorder="1" applyAlignment="1">
      <alignment horizontal="center" wrapText="1"/>
    </xf>
    <xf numFmtId="189" fontId="9" fillId="2" borderId="26" xfId="0" applyNumberFormat="1" applyFont="1" applyFill="1" applyBorder="1" applyAlignment="1"/>
    <xf numFmtId="188" fontId="9" fillId="2" borderId="26" xfId="0" applyNumberFormat="1" applyFont="1" applyFill="1" applyBorder="1" applyAlignment="1"/>
    <xf numFmtId="0" fontId="6" fillId="10" borderId="9" xfId="0" applyFont="1" applyFill="1" applyBorder="1" applyAlignment="1"/>
    <xf numFmtId="0" fontId="4" fillId="10" borderId="10" xfId="0" applyFont="1" applyFill="1" applyBorder="1" applyAlignment="1"/>
    <xf numFmtId="187" fontId="4" fillId="10" borderId="10" xfId="0" applyNumberFormat="1" applyFont="1" applyFill="1" applyBorder="1" applyAlignment="1"/>
    <xf numFmtId="0" fontId="4" fillId="10" borderId="11" xfId="0" applyFont="1" applyFill="1" applyBorder="1" applyAlignment="1"/>
    <xf numFmtId="188" fontId="4" fillId="10" borderId="11" xfId="0" applyNumberFormat="1" applyFont="1" applyFill="1" applyBorder="1" applyAlignment="1"/>
    <xf numFmtId="0" fontId="4" fillId="2" borderId="4" xfId="0" applyFont="1" applyFill="1" applyBorder="1" applyAlignment="1"/>
    <xf numFmtId="0" fontId="4" fillId="2" borderId="4" xfId="0" applyFont="1" applyFill="1" applyBorder="1" applyAlignment="1">
      <alignment horizontal="center"/>
    </xf>
    <xf numFmtId="0" fontId="5" fillId="14" borderId="13" xfId="0" applyFont="1" applyFill="1" applyBorder="1" applyAlignment="1"/>
    <xf numFmtId="0" fontId="5" fillId="18" borderId="13" xfId="0" applyFont="1" applyFill="1" applyBorder="1" applyAlignment="1"/>
    <xf numFmtId="0" fontId="5" fillId="2" borderId="13" xfId="0" applyFont="1" applyFill="1" applyBorder="1" applyAlignment="1"/>
    <xf numFmtId="0" fontId="5" fillId="21" borderId="10" xfId="0" quotePrefix="1" applyFont="1" applyFill="1" applyBorder="1" applyAlignment="1"/>
    <xf numFmtId="0" fontId="5" fillId="9" borderId="10" xfId="0" applyFont="1" applyFill="1" applyBorder="1" applyAlignment="1"/>
    <xf numFmtId="0" fontId="23" fillId="2" borderId="18" xfId="0" applyFont="1" applyFill="1" applyBorder="1" applyAlignment="1"/>
    <xf numFmtId="0" fontId="5" fillId="2" borderId="13" xfId="0" quotePrefix="1" applyFont="1" applyFill="1" applyBorder="1" applyAlignment="1"/>
    <xf numFmtId="0" fontId="27" fillId="2" borderId="13" xfId="0" applyFont="1" applyFill="1" applyBorder="1" applyAlignment="1"/>
    <xf numFmtId="188" fontId="9" fillId="2" borderId="14" xfId="0" applyNumberFormat="1" applyFont="1" applyFill="1" applyBorder="1" applyAlignment="1"/>
    <xf numFmtId="188" fontId="29" fillId="10" borderId="11" xfId="0" applyNumberFormat="1" applyFont="1" applyFill="1" applyBorder="1" applyAlignment="1"/>
    <xf numFmtId="187" fontId="14" fillId="0" borderId="10" xfId="0" quotePrefix="1" applyNumberFormat="1" applyFont="1" applyBorder="1" applyAlignment="1"/>
    <xf numFmtId="189" fontId="4" fillId="26" borderId="11" xfId="0" applyNumberFormat="1" applyFont="1" applyFill="1" applyBorder="1" applyAlignment="1"/>
    <xf numFmtId="0" fontId="5" fillId="23" borderId="10" xfId="0" applyFont="1" applyFill="1" applyBorder="1" applyAlignment="1"/>
    <xf numFmtId="0" fontId="5" fillId="8" borderId="10" xfId="0" applyFont="1" applyFill="1" applyBorder="1" applyAlignment="1"/>
    <xf numFmtId="0" fontId="5" fillId="21" borderId="0" xfId="0" quotePrefix="1" applyFont="1" applyFill="1" applyAlignment="1"/>
    <xf numFmtId="0" fontId="5" fillId="21" borderId="13" xfId="0" quotePrefix="1" applyFont="1" applyFill="1" applyBorder="1" applyAlignment="1"/>
    <xf numFmtId="187" fontId="54" fillId="21" borderId="10" xfId="0" applyNumberFormat="1" applyFont="1" applyFill="1" applyBorder="1" applyAlignment="1"/>
    <xf numFmtId="187" fontId="54" fillId="21" borderId="10" xfId="0" quotePrefix="1" applyNumberFormat="1" applyFont="1" applyFill="1" applyBorder="1" applyAlignment="1"/>
    <xf numFmtId="0" fontId="59" fillId="21" borderId="10" xfId="0" quotePrefix="1" applyFont="1" applyFill="1" applyBorder="1" applyAlignment="1"/>
    <xf numFmtId="0" fontId="54" fillId="21" borderId="10" xfId="0" quotePrefix="1" applyFont="1" applyFill="1" applyBorder="1" applyAlignment="1"/>
    <xf numFmtId="0" fontId="54" fillId="21" borderId="10" xfId="0" applyFont="1" applyFill="1" applyBorder="1" applyAlignment="1"/>
    <xf numFmtId="0" fontId="59" fillId="21" borderId="10" xfId="0" applyFont="1" applyFill="1" applyBorder="1" applyAlignment="1"/>
    <xf numFmtId="187" fontId="59" fillId="21" borderId="10" xfId="0" applyNumberFormat="1" applyFont="1" applyFill="1" applyBorder="1" applyAlignment="1"/>
    <xf numFmtId="189" fontId="4" fillId="21" borderId="11" xfId="0" applyNumberFormat="1" applyFont="1" applyFill="1" applyBorder="1" applyAlignment="1"/>
    <xf numFmtId="0" fontId="1" fillId="0" borderId="0" xfId="0" applyFont="1" applyAlignment="1">
      <alignment horizontal="center"/>
    </xf>
    <xf numFmtId="0" fontId="0" fillId="0" borderId="0" xfId="0" applyFont="1" applyAlignment="1"/>
    <xf numFmtId="0" fontId="1" fillId="3" borderId="3" xfId="0" applyFont="1" applyFill="1" applyBorder="1" applyAlignment="1">
      <alignment horizontal="center"/>
    </xf>
    <xf numFmtId="0" fontId="3" fillId="0" borderId="4" xfId="0" applyFont="1" applyBorder="1"/>
    <xf numFmtId="0" fontId="1" fillId="4" borderId="1" xfId="0" applyFont="1" applyFill="1" applyBorder="1" applyAlignment="1">
      <alignment horizontal="center"/>
    </xf>
    <xf numFmtId="0" fontId="3" fillId="0" borderId="1" xfId="0" applyFont="1" applyBorder="1"/>
    <xf numFmtId="188" fontId="1" fillId="5" borderId="1" xfId="0" applyNumberFormat="1" applyFont="1" applyFill="1" applyBorder="1" applyAlignment="1">
      <alignment horizontal="center" wrapText="1"/>
    </xf>
    <xf numFmtId="188" fontId="1" fillId="6" borderId="1" xfId="0" applyNumberFormat="1" applyFont="1" applyFill="1" applyBorder="1" applyAlignment="1">
      <alignment horizontal="center"/>
    </xf>
    <xf numFmtId="0" fontId="1" fillId="3" borderId="2" xfId="0" applyFont="1" applyFill="1" applyBorder="1" applyAlignment="1">
      <alignment horizontal="center"/>
    </xf>
    <xf numFmtId="0" fontId="3" fillId="0" borderId="3" xfId="0" applyFont="1" applyBorder="1"/>
    <xf numFmtId="0" fontId="3" fillId="0" borderId="5" xfId="0" applyFont="1" applyBorder="1"/>
    <xf numFmtId="0" fontId="1" fillId="8" borderId="5" xfId="0" applyFont="1" applyFill="1" applyBorder="1" applyAlignment="1"/>
    <xf numFmtId="0" fontId="1" fillId="13" borderId="10" xfId="0" applyFont="1" applyFill="1" applyBorder="1" applyAlignment="1"/>
    <xf numFmtId="0" fontId="3" fillId="0" borderId="10" xfId="0" applyFont="1" applyBorder="1"/>
    <xf numFmtId="0" fontId="3" fillId="0" borderId="11" xfId="0" applyFont="1" applyBorder="1"/>
    <xf numFmtId="0" fontId="1" fillId="15" borderId="5" xfId="0" applyFont="1" applyFill="1" applyBorder="1" applyAlignment="1"/>
    <xf numFmtId="0" fontId="1" fillId="16" borderId="10" xfId="0" applyFont="1" applyFill="1" applyBorder="1" applyAlignment="1"/>
    <xf numFmtId="0" fontId="52" fillId="2" borderId="13" xfId="0" applyFont="1" applyFill="1" applyBorder="1" applyAlignment="1"/>
    <xf numFmtId="0" fontId="3" fillId="0" borderId="13" xfId="0" applyFont="1" applyBorder="1"/>
    <xf numFmtId="0" fontId="54" fillId="2" borderId="10" xfId="0" applyFont="1" applyFill="1" applyBorder="1" applyAlignment="1"/>
    <xf numFmtId="0" fontId="59" fillId="2" borderId="10" xfId="0" applyFont="1" applyFill="1" applyBorder="1" applyAlignment="1"/>
    <xf numFmtId="0" fontId="64" fillId="2" borderId="13" xfId="0" applyFont="1" applyFill="1" applyBorder="1" applyAlignment="1"/>
    <xf numFmtId="0" fontId="71" fillId="2" borderId="10" xfId="0" applyFont="1" applyFill="1" applyBorder="1" applyAlignment="1"/>
    <xf numFmtId="0" fontId="54" fillId="2" borderId="13" xfId="0" applyFont="1" applyFill="1" applyBorder="1" applyAlignment="1"/>
    <xf numFmtId="0" fontId="5" fillId="2" borderId="13" xfId="0" applyFont="1" applyFill="1" applyBorder="1" applyAlignment="1"/>
    <xf numFmtId="0" fontId="60" fillId="2" borderId="10" xfId="0" applyFont="1" applyFill="1" applyBorder="1" applyAlignme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outlinePr summaryBelow="0" summaryRight="0"/>
    <pageSetUpPr fitToPage="1"/>
  </sheetPr>
  <dimension ref="A1:Z828"/>
  <sheetViews>
    <sheetView tabSelected="1" view="pageBreakPreview" zoomScale="60" zoomScaleNormal="100" workbookViewId="0">
      <pane ySplit="6" topLeftCell="A7" activePane="bottomLeft" state="frozen"/>
      <selection activeCell="A2" sqref="A2:P2"/>
      <selection pane="bottomLeft" activeCell="A2" sqref="A2:P2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9" width="20.42578125" bestFit="1" customWidth="1"/>
    <col min="10" max="10" width="16.85546875" bestFit="1" customWidth="1"/>
    <col min="11" max="11" width="12.5703125" customWidth="1"/>
    <col min="12" max="14" width="23" bestFit="1" customWidth="1"/>
    <col min="15" max="16" width="17.5703125" customWidth="1"/>
  </cols>
  <sheetData>
    <row r="1" spans="1:26" ht="20.25" customHeight="1">
      <c r="A1" s="844" t="s">
        <v>0</v>
      </c>
      <c r="B1" s="845"/>
      <c r="C1" s="845"/>
      <c r="D1" s="845"/>
      <c r="E1" s="845"/>
      <c r="F1" s="845"/>
      <c r="G1" s="845"/>
      <c r="H1" s="845"/>
      <c r="I1" s="845"/>
      <c r="J1" s="845"/>
      <c r="K1" s="845"/>
      <c r="L1" s="845"/>
      <c r="M1" s="845"/>
      <c r="N1" s="845"/>
      <c r="O1" s="845"/>
      <c r="P1" s="845"/>
    </row>
    <row r="2" spans="1:26" ht="20.25" customHeight="1">
      <c r="A2" s="844" t="s">
        <v>1</v>
      </c>
      <c r="B2" s="845"/>
      <c r="C2" s="845"/>
      <c r="D2" s="845"/>
      <c r="E2" s="845"/>
      <c r="F2" s="845"/>
      <c r="G2" s="845"/>
      <c r="H2" s="845"/>
      <c r="I2" s="845"/>
      <c r="J2" s="845"/>
      <c r="K2" s="845"/>
      <c r="L2" s="845"/>
      <c r="M2" s="845"/>
      <c r="N2" s="845"/>
      <c r="O2" s="845"/>
      <c r="P2" s="845"/>
    </row>
    <row r="3" spans="1:26" ht="20.25" customHeight="1">
      <c r="A3" s="844" t="s">
        <v>347</v>
      </c>
      <c r="B3" s="845"/>
      <c r="C3" s="845"/>
      <c r="D3" s="845"/>
      <c r="E3" s="845"/>
      <c r="F3" s="845"/>
      <c r="G3" s="845"/>
      <c r="H3" s="845"/>
      <c r="I3" s="845"/>
      <c r="J3" s="845"/>
      <c r="K3" s="845"/>
      <c r="L3" s="845"/>
      <c r="M3" s="845"/>
      <c r="N3" s="845"/>
      <c r="O3" s="845"/>
      <c r="P3" s="845"/>
    </row>
    <row r="4" spans="1:26" ht="20.25" customHeight="1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20.25" customHeight="1">
      <c r="A5" s="852" t="s">
        <v>2</v>
      </c>
      <c r="B5" s="845"/>
      <c r="C5" s="845"/>
      <c r="D5" s="845"/>
      <c r="E5" s="845"/>
      <c r="F5" s="845"/>
      <c r="G5" s="853"/>
      <c r="H5" s="846" t="s">
        <v>3</v>
      </c>
      <c r="I5" s="848" t="s">
        <v>4</v>
      </c>
      <c r="J5" s="849"/>
      <c r="K5" s="847"/>
      <c r="L5" s="850" t="s">
        <v>5</v>
      </c>
      <c r="M5" s="847"/>
      <c r="N5" s="851" t="s">
        <v>6</v>
      </c>
      <c r="O5" s="849"/>
      <c r="P5" s="847"/>
    </row>
    <row r="6" spans="1:26" ht="20.25" customHeight="1">
      <c r="A6" s="854"/>
      <c r="B6" s="849"/>
      <c r="C6" s="849"/>
      <c r="D6" s="849"/>
      <c r="E6" s="849"/>
      <c r="F6" s="849"/>
      <c r="G6" s="847"/>
      <c r="H6" s="847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20.25" customHeight="1">
      <c r="A7" s="855" t="s">
        <v>15</v>
      </c>
      <c r="B7" s="849"/>
      <c r="C7" s="849"/>
      <c r="D7" s="849"/>
      <c r="E7" s="849"/>
      <c r="F7" s="849"/>
      <c r="G7" s="847"/>
      <c r="H7" s="11"/>
      <c r="I7" s="12"/>
      <c r="J7" s="12"/>
      <c r="K7" s="13"/>
      <c r="L7" s="13"/>
      <c r="M7" s="13"/>
      <c r="N7" s="13"/>
      <c r="O7" s="13"/>
      <c r="P7" s="13"/>
    </row>
    <row r="8" spans="1:26" ht="20.25" customHeight="1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91753434</v>
      </c>
      <c r="M8" s="22">
        <f t="shared" ca="1" si="0"/>
        <v>40506913</v>
      </c>
      <c r="N8" s="22">
        <f t="shared" ca="1" si="0"/>
        <v>24548350.299999986</v>
      </c>
      <c r="O8" s="22">
        <f t="shared" ref="O8:O16" ca="1" si="1">IF(L8&gt;0,N8*100/L8,0)</f>
        <v>26.7546937807254</v>
      </c>
      <c r="P8" s="22">
        <f t="shared" ref="P8:P16" ca="1" si="2">IF(M8&gt;0,N8*100/M8,0)</f>
        <v>60.602866231746631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20.25" hidden="1" customHeight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9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20.25" hidden="1" customHeight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ref="L10:N10" ca="1" si="4">L13+L16</f>
        <v>91753434</v>
      </c>
      <c r="M10" s="30">
        <f t="shared" ca="1" si="4"/>
        <v>40506913</v>
      </c>
      <c r="N10" s="30">
        <f t="shared" ca="1" si="4"/>
        <v>24548350.299999986</v>
      </c>
      <c r="O10" s="30">
        <f t="shared" ca="1" si="1"/>
        <v>26.7546937807254</v>
      </c>
      <c r="P10" s="30">
        <f t="shared" ca="1" si="2"/>
        <v>60.602866231746631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20.25" customHeight="1">
      <c r="A11" s="32"/>
      <c r="B11" s="33"/>
      <c r="C11" s="33"/>
      <c r="D11" s="34" t="s">
        <v>20</v>
      </c>
      <c r="E11" s="33"/>
      <c r="F11" s="33"/>
      <c r="G11" s="35"/>
      <c r="H11" s="36" t="s">
        <v>12</v>
      </c>
      <c r="I11" s="37"/>
      <c r="J11" s="37"/>
      <c r="K11" s="38"/>
      <c r="L11" s="38">
        <f t="shared" ref="L11:N11" ca="1" si="5">L12+L13</f>
        <v>81774234</v>
      </c>
      <c r="M11" s="38">
        <f t="shared" ca="1" si="5"/>
        <v>30059373</v>
      </c>
      <c r="N11" s="38">
        <f t="shared" ca="1" si="5"/>
        <v>16897610.299999986</v>
      </c>
      <c r="O11" s="38">
        <f t="shared" ca="1" si="1"/>
        <v>20.663734129261286</v>
      </c>
      <c r="P11" s="38">
        <f t="shared" ca="1" si="2"/>
        <v>56.214114313029704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20.25" hidden="1" customHeight="1">
      <c r="A12" s="39"/>
      <c r="B12" s="40"/>
      <c r="C12" s="40"/>
      <c r="D12" s="40"/>
      <c r="E12" s="41" t="s">
        <v>18</v>
      </c>
      <c r="F12" s="40"/>
      <c r="G12" s="42"/>
      <c r="H12" s="43" t="s">
        <v>12</v>
      </c>
      <c r="I12" s="44"/>
      <c r="J12" s="44"/>
      <c r="K12" s="45"/>
      <c r="L12" s="45">
        <f t="shared" ref="L12:N12" si="6">L22+L32</f>
        <v>0</v>
      </c>
      <c r="M12" s="45">
        <f t="shared" si="6"/>
        <v>0</v>
      </c>
      <c r="N12" s="45">
        <f t="shared" si="6"/>
        <v>0</v>
      </c>
      <c r="O12" s="45">
        <f t="shared" si="1"/>
        <v>0</v>
      </c>
      <c r="P12" s="45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20.25" hidden="1" customHeight="1">
      <c r="A13" s="39"/>
      <c r="B13" s="40"/>
      <c r="C13" s="40"/>
      <c r="D13" s="40"/>
      <c r="E13" s="41" t="s">
        <v>19</v>
      </c>
      <c r="F13" s="40"/>
      <c r="G13" s="42"/>
      <c r="H13" s="43" t="s">
        <v>12</v>
      </c>
      <c r="I13" s="44"/>
      <c r="J13" s="44"/>
      <c r="K13" s="45"/>
      <c r="L13" s="45">
        <f t="shared" ref="L13:N13" ca="1" si="7">L23+L33</f>
        <v>81774234</v>
      </c>
      <c r="M13" s="45">
        <f t="shared" ca="1" si="7"/>
        <v>30059373</v>
      </c>
      <c r="N13" s="45">
        <f t="shared" ca="1" si="7"/>
        <v>16897610.299999986</v>
      </c>
      <c r="O13" s="45">
        <f t="shared" ca="1" si="1"/>
        <v>20.663734129261286</v>
      </c>
      <c r="P13" s="45">
        <f t="shared" ca="1" si="2"/>
        <v>56.214114313029704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20.25" customHeight="1">
      <c r="A14" s="32"/>
      <c r="B14" s="33"/>
      <c r="C14" s="33"/>
      <c r="D14" s="34" t="s">
        <v>21</v>
      </c>
      <c r="E14" s="33"/>
      <c r="F14" s="33"/>
      <c r="G14" s="35"/>
      <c r="H14" s="36" t="s">
        <v>12</v>
      </c>
      <c r="I14" s="37"/>
      <c r="J14" s="37"/>
      <c r="K14" s="38"/>
      <c r="L14" s="38">
        <f t="shared" ref="L14:N14" ca="1" si="8">L15+L16</f>
        <v>9979200</v>
      </c>
      <c r="M14" s="38">
        <f t="shared" ca="1" si="8"/>
        <v>10447540</v>
      </c>
      <c r="N14" s="38">
        <f t="shared" ca="1" si="8"/>
        <v>7650740</v>
      </c>
      <c r="O14" s="38">
        <f t="shared" ca="1" si="1"/>
        <v>76.666867083533745</v>
      </c>
      <c r="P14" s="38">
        <f t="shared" ca="1" si="2"/>
        <v>73.230061813594403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20.25" hidden="1" customHeight="1">
      <c r="A15" s="39"/>
      <c r="B15" s="40"/>
      <c r="C15" s="40"/>
      <c r="D15" s="40"/>
      <c r="E15" s="41" t="s">
        <v>18</v>
      </c>
      <c r="F15" s="40"/>
      <c r="G15" s="42"/>
      <c r="H15" s="43" t="s">
        <v>12</v>
      </c>
      <c r="I15" s="44"/>
      <c r="J15" s="44"/>
      <c r="K15" s="45"/>
      <c r="L15" s="45">
        <f t="shared" ref="L15:N15" si="9">L25+L35</f>
        <v>0</v>
      </c>
      <c r="M15" s="45">
        <f t="shared" si="9"/>
        <v>0</v>
      </c>
      <c r="N15" s="45">
        <f t="shared" si="9"/>
        <v>0</v>
      </c>
      <c r="O15" s="45">
        <f t="shared" si="1"/>
        <v>0</v>
      </c>
      <c r="P15" s="45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20.25" hidden="1" customHeight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ref="L16:N16" ca="1" si="10">L26+L36</f>
        <v>9979200</v>
      </c>
      <c r="M16" s="52">
        <f t="shared" ca="1" si="10"/>
        <v>10447540</v>
      </c>
      <c r="N16" s="52">
        <f t="shared" ca="1" si="10"/>
        <v>7650740</v>
      </c>
      <c r="O16" s="52">
        <f t="shared" ca="1" si="1"/>
        <v>76.666867083533745</v>
      </c>
      <c r="P16" s="52">
        <f t="shared" ca="1" si="2"/>
        <v>73.230061813594403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20.25" customHeight="1">
      <c r="A17" s="855" t="s">
        <v>22</v>
      </c>
      <c r="B17" s="849"/>
      <c r="C17" s="849"/>
      <c r="D17" s="849"/>
      <c r="E17" s="849"/>
      <c r="F17" s="849"/>
      <c r="G17" s="847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20.25" customHeight="1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11">L19+L20</f>
        <v>69710033</v>
      </c>
      <c r="M18" s="22">
        <f t="shared" ca="1" si="11"/>
        <v>40506913</v>
      </c>
      <c r="N18" s="22">
        <f t="shared" ca="1" si="11"/>
        <v>22868501.679999989</v>
      </c>
      <c r="O18" s="22">
        <f t="shared" ref="O18:O26" ca="1" si="12">IF(L18&gt;0,N18*100/L18,0)</f>
        <v>32.805179822537156</v>
      </c>
      <c r="P18" s="22">
        <f t="shared" ref="P18:P26" ca="1" si="13">IF(M18&gt;0,N18*100/M18,0)</f>
        <v>56.455799729789312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20.25" hidden="1" customHeight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19" si="14">L22+L25</f>
        <v>0</v>
      </c>
      <c r="M19" s="30">
        <f t="shared" si="14"/>
        <v>0</v>
      </c>
      <c r="N19" s="30">
        <f t="shared" si="14"/>
        <v>0</v>
      </c>
      <c r="O19" s="30">
        <f t="shared" si="12"/>
        <v>0</v>
      </c>
      <c r="P19" s="30">
        <f t="shared" si="13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20.25" hidden="1" customHeight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ref="L20:N20" ca="1" si="15">L23+L26</f>
        <v>69710033</v>
      </c>
      <c r="M20" s="30">
        <f t="shared" ca="1" si="15"/>
        <v>40506913</v>
      </c>
      <c r="N20" s="30">
        <f t="shared" ca="1" si="15"/>
        <v>22868501.679999989</v>
      </c>
      <c r="O20" s="30">
        <f t="shared" ca="1" si="12"/>
        <v>32.805179822537156</v>
      </c>
      <c r="P20" s="30">
        <f t="shared" ca="1" si="13"/>
        <v>56.455799729789312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20.25" customHeight="1">
      <c r="A21" s="32"/>
      <c r="B21" s="33"/>
      <c r="C21" s="33"/>
      <c r="D21" s="34" t="s">
        <v>20</v>
      </c>
      <c r="E21" s="33"/>
      <c r="F21" s="33"/>
      <c r="G21" s="35"/>
      <c r="H21" s="36" t="s">
        <v>12</v>
      </c>
      <c r="I21" s="37"/>
      <c r="J21" s="37"/>
      <c r="K21" s="38"/>
      <c r="L21" s="38">
        <f t="shared" ref="L21:N21" ca="1" si="16">L22+L23</f>
        <v>59730833</v>
      </c>
      <c r="M21" s="38">
        <f t="shared" ca="1" si="16"/>
        <v>30059373</v>
      </c>
      <c r="N21" s="38">
        <f t="shared" ca="1" si="16"/>
        <v>15217761.679999989</v>
      </c>
      <c r="O21" s="38">
        <f t="shared" ca="1" si="12"/>
        <v>25.477229959274112</v>
      </c>
      <c r="P21" s="38">
        <f t="shared" ca="1" si="13"/>
        <v>50.625678985386649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20.25" hidden="1" customHeight="1">
      <c r="A22" s="39"/>
      <c r="B22" s="40"/>
      <c r="C22" s="40"/>
      <c r="D22" s="40"/>
      <c r="E22" s="41" t="s">
        <v>18</v>
      </c>
      <c r="F22" s="40"/>
      <c r="G22" s="42"/>
      <c r="H22" s="43" t="s">
        <v>12</v>
      </c>
      <c r="I22" s="44"/>
      <c r="J22" s="44"/>
      <c r="K22" s="45"/>
      <c r="L22" s="45">
        <f t="shared" ref="L22:N22" si="17">L45+L57+L70+L92+L123+L136+L153+L185+L169+L265+L281+L302+L319+L332+L349+L393+L406</f>
        <v>0</v>
      </c>
      <c r="M22" s="45">
        <f t="shared" si="17"/>
        <v>0</v>
      </c>
      <c r="N22" s="45">
        <f t="shared" si="17"/>
        <v>0</v>
      </c>
      <c r="O22" s="45">
        <f t="shared" si="12"/>
        <v>0</v>
      </c>
      <c r="P22" s="45">
        <f t="shared" si="13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20.25" hidden="1" customHeight="1">
      <c r="A23" s="39"/>
      <c r="B23" s="40"/>
      <c r="C23" s="40"/>
      <c r="D23" s="40"/>
      <c r="E23" s="41" t="s">
        <v>19</v>
      </c>
      <c r="F23" s="40"/>
      <c r="G23" s="42"/>
      <c r="H23" s="43" t="s">
        <v>12</v>
      </c>
      <c r="I23" s="44"/>
      <c r="J23" s="44"/>
      <c r="K23" s="45"/>
      <c r="L23" s="45">
        <f t="shared" ref="L23:N23" ca="1" si="18">L46+L58+L71+L93+L124+L137+L154+L186+L170+L266+L282+L303+L320+L333+L350+L394+L407</f>
        <v>59730833</v>
      </c>
      <c r="M23" s="45">
        <f t="shared" ca="1" si="18"/>
        <v>30059373</v>
      </c>
      <c r="N23" s="45">
        <f t="shared" ca="1" si="18"/>
        <v>15217761.679999989</v>
      </c>
      <c r="O23" s="45">
        <f t="shared" ca="1" si="12"/>
        <v>25.477229959274112</v>
      </c>
      <c r="P23" s="45">
        <f t="shared" ca="1" si="13"/>
        <v>50.625678985386649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20.25" customHeight="1">
      <c r="A24" s="32"/>
      <c r="B24" s="33"/>
      <c r="C24" s="33"/>
      <c r="D24" s="34" t="s">
        <v>21</v>
      </c>
      <c r="E24" s="33"/>
      <c r="F24" s="33"/>
      <c r="G24" s="35"/>
      <c r="H24" s="36" t="s">
        <v>12</v>
      </c>
      <c r="I24" s="37"/>
      <c r="J24" s="37"/>
      <c r="K24" s="38"/>
      <c r="L24" s="38">
        <f t="shared" ref="L24:N24" ca="1" si="19">L25+L26</f>
        <v>9979200</v>
      </c>
      <c r="M24" s="38">
        <f t="shared" ca="1" si="19"/>
        <v>10447540</v>
      </c>
      <c r="N24" s="38">
        <f t="shared" ca="1" si="19"/>
        <v>7650740</v>
      </c>
      <c r="O24" s="38">
        <f t="shared" ca="1" si="12"/>
        <v>76.666867083533745</v>
      </c>
      <c r="P24" s="38">
        <f t="shared" ca="1" si="13"/>
        <v>73.230061813594403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20.25" hidden="1" customHeight="1">
      <c r="A25" s="39"/>
      <c r="B25" s="40"/>
      <c r="C25" s="40"/>
      <c r="D25" s="40"/>
      <c r="E25" s="41" t="s">
        <v>18</v>
      </c>
      <c r="F25" s="40"/>
      <c r="G25" s="42"/>
      <c r="H25" s="43" t="s">
        <v>12</v>
      </c>
      <c r="I25" s="44"/>
      <c r="J25" s="44"/>
      <c r="K25" s="45"/>
      <c r="L25" s="45">
        <f t="shared" ref="L25:L26" si="20">L48+L60+L73+L95+L126+L139+L156+L188+L172+L268+L284+L305+L322+L335+L352+L396+L409</f>
        <v>0</v>
      </c>
      <c r="M25" s="45">
        <f>M48+M60+M73+M95+M126+M139+M156+M188+M172+M268+M284+M305+M462+M335+M352+M396+M409</f>
        <v>0</v>
      </c>
      <c r="N25" s="45">
        <f>N48+N60+N73+N95+N126+N139+N156+N188+N172+N268+N284+N305+N322+N335+N352+N396+N409</f>
        <v>0</v>
      </c>
      <c r="O25" s="45">
        <f t="shared" si="12"/>
        <v>0</v>
      </c>
      <c r="P25" s="45">
        <f t="shared" si="13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20.25" hidden="1" customHeight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20"/>
        <v>9979200</v>
      </c>
      <c r="M26" s="52">
        <f t="shared" ref="M26:N26" ca="1" si="21">M49+M61+M74+M96+M127+M140+M157+M189+M173+M269+M285+M306+M323+M336+M353+M397+M410</f>
        <v>10447540</v>
      </c>
      <c r="N26" s="52">
        <f t="shared" ca="1" si="21"/>
        <v>7650740</v>
      </c>
      <c r="O26" s="52">
        <f t="shared" ca="1" si="12"/>
        <v>76.666867083533745</v>
      </c>
      <c r="P26" s="52">
        <f t="shared" ca="1" si="13"/>
        <v>73.230061813594403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20.25" customHeight="1">
      <c r="A27" s="855" t="s">
        <v>23</v>
      </c>
      <c r="B27" s="849"/>
      <c r="C27" s="849"/>
      <c r="D27" s="849"/>
      <c r="E27" s="849"/>
      <c r="F27" s="849"/>
      <c r="G27" s="847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20.25" customHeight="1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22">L29+L30</f>
        <v>22043401</v>
      </c>
      <c r="M28" s="22">
        <f t="shared" si="22"/>
        <v>0</v>
      </c>
      <c r="N28" s="22">
        <f t="shared" ca="1" si="22"/>
        <v>1679848.6199999989</v>
      </c>
      <c r="O28" s="22">
        <f t="shared" ref="O28:O37" ca="1" si="23">IF(L28&gt;0,N28*100/L28,0)</f>
        <v>7.6206417512433715</v>
      </c>
      <c r="P28" s="22">
        <f t="shared" ref="P28:P31" si="24">IF(M28&gt;0,N28*100/M28,0)</f>
        <v>0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20.25" hidden="1" customHeight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29" si="25">L32+L35</f>
        <v>0</v>
      </c>
      <c r="M29" s="30">
        <f t="shared" si="25"/>
        <v>0</v>
      </c>
      <c r="N29" s="30">
        <f t="shared" si="25"/>
        <v>0</v>
      </c>
      <c r="O29" s="30">
        <f t="shared" si="23"/>
        <v>0</v>
      </c>
      <c r="P29" s="30">
        <f t="shared" si="24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20.25" hidden="1" customHeight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ref="L30:N30" ca="1" si="26">L33+L36</f>
        <v>22043401</v>
      </c>
      <c r="M30" s="30">
        <f t="shared" si="26"/>
        <v>0</v>
      </c>
      <c r="N30" s="30">
        <f t="shared" ca="1" si="26"/>
        <v>1679848.6199999989</v>
      </c>
      <c r="O30" s="30">
        <f t="shared" ca="1" si="23"/>
        <v>7.6206417512433715</v>
      </c>
      <c r="P30" s="30">
        <f t="shared" si="24"/>
        <v>0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20.25" customHeight="1">
      <c r="A31" s="32"/>
      <c r="B31" s="33"/>
      <c r="C31" s="33"/>
      <c r="D31" s="34" t="s">
        <v>20</v>
      </c>
      <c r="E31" s="33"/>
      <c r="F31" s="33"/>
      <c r="G31" s="35"/>
      <c r="H31" s="36" t="s">
        <v>12</v>
      </c>
      <c r="I31" s="37"/>
      <c r="J31" s="37"/>
      <c r="K31" s="38"/>
      <c r="L31" s="38">
        <f t="shared" ref="L31:N31" ca="1" si="27">L32+L33</f>
        <v>22043401</v>
      </c>
      <c r="M31" s="38">
        <f t="shared" si="27"/>
        <v>0</v>
      </c>
      <c r="N31" s="38">
        <f t="shared" ca="1" si="27"/>
        <v>1679848.6199999989</v>
      </c>
      <c r="O31" s="38">
        <f t="shared" ca="1" si="23"/>
        <v>7.6206417512433715</v>
      </c>
      <c r="P31" s="38">
        <f t="shared" si="24"/>
        <v>0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20.25" hidden="1" customHeight="1">
      <c r="A32" s="39"/>
      <c r="B32" s="40"/>
      <c r="C32" s="40"/>
      <c r="D32" s="40"/>
      <c r="E32" s="41" t="s">
        <v>18</v>
      </c>
      <c r="F32" s="40"/>
      <c r="G32" s="42"/>
      <c r="H32" s="43" t="s">
        <v>12</v>
      </c>
      <c r="I32" s="44"/>
      <c r="J32" s="44"/>
      <c r="K32" s="45"/>
      <c r="L32" s="45">
        <f t="shared" ref="L32:N32" si="28">L423+L448+L471+L506+L527+L548+L633+L659+L689+L741+L758+L774+L790+L809</f>
        <v>0</v>
      </c>
      <c r="M32" s="45">
        <f t="shared" si="28"/>
        <v>0</v>
      </c>
      <c r="N32" s="45">
        <f t="shared" si="28"/>
        <v>0</v>
      </c>
      <c r="O32" s="45">
        <f t="shared" si="23"/>
        <v>0</v>
      </c>
      <c r="P32" s="45">
        <f ca="1">IF(M46&gt;0,N32*100/M46,0)</f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20.25" hidden="1" customHeight="1">
      <c r="A33" s="39"/>
      <c r="B33" s="40"/>
      <c r="C33" s="40"/>
      <c r="D33" s="40"/>
      <c r="E33" s="41" t="s">
        <v>19</v>
      </c>
      <c r="F33" s="40"/>
      <c r="G33" s="42"/>
      <c r="H33" s="43" t="s">
        <v>12</v>
      </c>
      <c r="I33" s="44"/>
      <c r="J33" s="44"/>
      <c r="K33" s="45"/>
      <c r="L33" s="45">
        <f t="shared" ref="L33:N33" ca="1" si="29">L424+L449+L472+L507+L528+L549+L634+L660+L690+L742+L759+L775+L791+L810</f>
        <v>22043401</v>
      </c>
      <c r="M33" s="45">
        <f t="shared" si="29"/>
        <v>0</v>
      </c>
      <c r="N33" s="45">
        <f t="shared" ca="1" si="29"/>
        <v>1679848.6199999989</v>
      </c>
      <c r="O33" s="45">
        <f t="shared" ca="1" si="23"/>
        <v>7.6206417512433715</v>
      </c>
      <c r="P33" s="45">
        <f t="shared" ref="P33:P37" si="30">IF(M33&gt;0,N33*100/M33,0)</f>
        <v>0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20.25" customHeight="1">
      <c r="A34" s="32"/>
      <c r="B34" s="33"/>
      <c r="C34" s="33"/>
      <c r="D34" s="34" t="s">
        <v>21</v>
      </c>
      <c r="E34" s="33"/>
      <c r="F34" s="33"/>
      <c r="G34" s="35"/>
      <c r="H34" s="36" t="s">
        <v>12</v>
      </c>
      <c r="I34" s="37"/>
      <c r="J34" s="37"/>
      <c r="K34" s="38"/>
      <c r="L34" s="38">
        <f t="shared" ref="L34:N34" ca="1" si="31">L35+L36</f>
        <v>0</v>
      </c>
      <c r="M34" s="38">
        <f t="shared" si="31"/>
        <v>0</v>
      </c>
      <c r="N34" s="38">
        <f t="shared" si="31"/>
        <v>0</v>
      </c>
      <c r="O34" s="38">
        <f t="shared" ca="1" si="23"/>
        <v>0</v>
      </c>
      <c r="P34" s="38">
        <f t="shared" si="30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20.25" hidden="1" customHeight="1">
      <c r="A35" s="39"/>
      <c r="B35" s="40"/>
      <c r="C35" s="40"/>
      <c r="D35" s="40"/>
      <c r="E35" s="41" t="s">
        <v>18</v>
      </c>
      <c r="F35" s="40"/>
      <c r="G35" s="42"/>
      <c r="H35" s="43" t="s">
        <v>12</v>
      </c>
      <c r="I35" s="44"/>
      <c r="J35" s="44"/>
      <c r="K35" s="45"/>
      <c r="L35" s="45">
        <f t="shared" ref="L35:N35" si="32">L430+L455+L478+L513+L534+L556+L640+L666+L696+L748+L765+L781+L797+L816</f>
        <v>0</v>
      </c>
      <c r="M35" s="45">
        <f t="shared" si="32"/>
        <v>0</v>
      </c>
      <c r="N35" s="45">
        <f t="shared" si="32"/>
        <v>0</v>
      </c>
      <c r="O35" s="45">
        <f t="shared" si="23"/>
        <v>0</v>
      </c>
      <c r="P35" s="45">
        <f t="shared" si="30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20.25" hidden="1" customHeight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ref="L36:N36" ca="1" si="33">L431+L456+L479+L514+L535+L557+L641+L667+L697+L749+L766+L782+L798+L817</f>
        <v>0</v>
      </c>
      <c r="M36" s="52">
        <f t="shared" si="33"/>
        <v>0</v>
      </c>
      <c r="N36" s="52">
        <f t="shared" si="33"/>
        <v>0</v>
      </c>
      <c r="O36" s="52">
        <f t="shared" ca="1" si="23"/>
        <v>0</v>
      </c>
      <c r="P36" s="52">
        <f t="shared" si="30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20.25" customHeight="1">
      <c r="A37" s="53" t="s">
        <v>24</v>
      </c>
      <c r="B37" s="54"/>
      <c r="C37" s="54"/>
      <c r="D37" s="54"/>
      <c r="E37" s="54"/>
      <c r="F37" s="54"/>
      <c r="G37" s="55"/>
      <c r="H37" s="56"/>
      <c r="I37" s="57"/>
      <c r="J37" s="57"/>
      <c r="K37" s="58"/>
      <c r="L37" s="59">
        <f ca="1">L41+L53+L66+L88+L119+L132+L149+L165+L181+L261+L277+L298+L315+L328+L345+L389+L402</f>
        <v>69710033</v>
      </c>
      <c r="M37" s="59">
        <f ca="1">M41+M53+M66+M88+M119+M132+M149+M165+M181+M261+M277+M298+M315+M468+M345+M389+M402</f>
        <v>35727513</v>
      </c>
      <c r="N37" s="59">
        <f ca="1">N41+N53+N66+N88+N119+N132+N149+N165+N181+N261+N277+N298+N315+N328+N345+N389+N402</f>
        <v>22868501.679999989</v>
      </c>
      <c r="O37" s="59">
        <f t="shared" ca="1" si="23"/>
        <v>32.805179822537156</v>
      </c>
      <c r="P37" s="59">
        <f t="shared" ca="1" si="30"/>
        <v>64.008098408640961</v>
      </c>
    </row>
    <row r="38" spans="1:26" ht="20.25" customHeight="1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20.25" customHeight="1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20.25" customHeight="1">
      <c r="A40" s="73"/>
      <c r="B40" s="856" t="s">
        <v>27</v>
      </c>
      <c r="C40" s="857"/>
      <c r="D40" s="857"/>
      <c r="E40" s="857"/>
      <c r="F40" s="857"/>
      <c r="G40" s="858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20.25" customHeight="1">
      <c r="A41" s="77"/>
      <c r="B41" s="78"/>
      <c r="C41" s="79" t="s">
        <v>16</v>
      </c>
      <c r="D41" s="80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34">L42+L43</f>
        <v>8286238</v>
      </c>
      <c r="M41" s="85">
        <f t="shared" ca="1" si="34"/>
        <v>4287703</v>
      </c>
      <c r="N41" s="85">
        <f t="shared" ca="1" si="34"/>
        <v>2299936.9</v>
      </c>
      <c r="O41" s="85">
        <f t="shared" ref="O41:O45" ca="1" si="35">IF(L41&gt;0,N41*100/L41,0)</f>
        <v>27.756104760688746</v>
      </c>
      <c r="P41" s="85">
        <f t="shared" ref="P41:P49" ca="1" si="36">IF(M41&gt;0,N41*100/M41,0)</f>
        <v>53.64030344452496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20.25" hidden="1" customHeight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2" si="37">L45+L48</f>
        <v>0</v>
      </c>
      <c r="M42" s="92">
        <f t="shared" si="37"/>
        <v>0</v>
      </c>
      <c r="N42" s="92">
        <f t="shared" si="37"/>
        <v>0</v>
      </c>
      <c r="O42" s="92">
        <f t="shared" si="35"/>
        <v>0</v>
      </c>
      <c r="P42" s="92">
        <f t="shared" si="36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20.25" hidden="1" customHeight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ref="L43:N43" ca="1" si="38">L46+L49</f>
        <v>8286238</v>
      </c>
      <c r="M43" s="92">
        <f t="shared" ca="1" si="38"/>
        <v>4287703</v>
      </c>
      <c r="N43" s="92">
        <f t="shared" ca="1" si="38"/>
        <v>2299936.9</v>
      </c>
      <c r="O43" s="92">
        <f t="shared" ca="1" si="35"/>
        <v>27.756104760688746</v>
      </c>
      <c r="P43" s="92">
        <f t="shared" ca="1" si="36"/>
        <v>53.64030344452496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20.25" customHeight="1">
      <c r="A44" s="32"/>
      <c r="B44" s="33"/>
      <c r="C44" s="33"/>
      <c r="D44" s="34" t="s">
        <v>20</v>
      </c>
      <c r="E44" s="33"/>
      <c r="F44" s="33"/>
      <c r="G44" s="35"/>
      <c r="H44" s="36" t="s">
        <v>12</v>
      </c>
      <c r="I44" s="37"/>
      <c r="J44" s="37"/>
      <c r="K44" s="38"/>
      <c r="L44" s="38">
        <f t="shared" ref="L44:N44" ca="1" si="39">L45+L46</f>
        <v>8286238</v>
      </c>
      <c r="M44" s="38">
        <f t="shared" ca="1" si="39"/>
        <v>4287703</v>
      </c>
      <c r="N44" s="38">
        <f t="shared" ca="1" si="39"/>
        <v>2299936.9</v>
      </c>
      <c r="O44" s="38">
        <f t="shared" ca="1" si="35"/>
        <v>27.756104760688746</v>
      </c>
      <c r="P44" s="38">
        <f t="shared" ca="1" si="36"/>
        <v>53.64030344452496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20.25" hidden="1" customHeight="1">
      <c r="A45" s="39"/>
      <c r="B45" s="40"/>
      <c r="C45" s="40"/>
      <c r="D45" s="40"/>
      <c r="E45" s="41" t="s">
        <v>18</v>
      </c>
      <c r="F45" s="40"/>
      <c r="G45" s="42"/>
      <c r="H45" s="43" t="s">
        <v>12</v>
      </c>
      <c r="I45" s="44"/>
      <c r="J45" s="44"/>
      <c r="K45" s="45"/>
      <c r="L45" s="93">
        <v>0</v>
      </c>
      <c r="M45" s="93">
        <v>0</v>
      </c>
      <c r="N45" s="93">
        <v>0</v>
      </c>
      <c r="O45" s="45">
        <f t="shared" si="35"/>
        <v>0</v>
      </c>
      <c r="P45" s="45">
        <f t="shared" si="36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20.25" hidden="1" customHeight="1">
      <c r="A46" s="39"/>
      <c r="B46" s="40"/>
      <c r="C46" s="40"/>
      <c r="D46" s="40"/>
      <c r="E46" s="41" t="s">
        <v>19</v>
      </c>
      <c r="F46" s="40"/>
      <c r="G46" s="42"/>
      <c r="H46" s="43" t="s">
        <v>12</v>
      </c>
      <c r="I46" s="44"/>
      <c r="J46" s="44"/>
      <c r="K46" s="45"/>
      <c r="L46" s="45">
        <f ca="1">IFERROR(__xludf.DUMMYFUNCTION("IMPORTRANGE(""https://docs.google.com/spreadsheets/d/1hKO5uv94SSRZWOvrh72HRcpyoEQF9TsE_Cvxl77XNU4/edit?usp=share_link"",""กาญจนบุรี!L46"")+IMPORTRANGE(""https://docs.google.com/spreadsheets/d/1njBaP_xXd-Uotvo2D9zb01TTCFkLJLDK97Tk1l9Qux0/edit?usp=share_lin"&amp;"k"",""จันทบุรี!L46"")+IMPORTRANGE(""https://docs.google.com/spreadsheets/d/14xp6qUzrGFnUk_qnc1eEmfiaNRd4_grkhpfQH_46fa8/edit?usp=share_link"",""ฉะเชิงเทรา!L46"")+IMPORTRANGE(""https://docs.google.com/spreadsheets/d/1_Zwps30dlVa-pZFsorjVf1Pil6WXwzCsJU0U2wh"&amp;"O3NI/edit?usp=share_link"",""ชลบุรี!L46"")+IMPORTRANGE(""https://docs.google.com/spreadsheets/d/1xAsT4sUbBlom7l0acStESh_15nvjZcXjZM7fK5uZSq8/edit?usp=share_link"",""ชัยนาท!L46"")+IMPORTRANGE(""https://docs.google.com/spreadsheets/d/1vWPVBOAaZ6mHSI8yf95DNq"&amp;"HwTJ1cpeFsvqt6cxV34QA/edit?usp=share_link"",""ตราด!L46"")+IMPORTRANGE(""https://docs.google.com/spreadsheets/d/1phaeSb9lTGgzDpbvVqI9hfmOQQzUom07-HEvpbARzEg/edit?usp=share_link"",""นครนายก!L46"")+IMPORTRANGE(""https://docs.google.com/spreadsheets/d/1tpwhWw"&amp;"kqkBeiSWCcfB5f2fbwPRbM9hHOEDSDHpl2MIc/edit?usp=share_link"",""นครปฐม!L46"")+IMPORTRANGE(""https://docs.google.com/spreadsheets/d/1fJJCVBkBnhriyv0Cp5ZFMr0I_yrfdEITNpb4zILJgUQ/edit?usp=share_link"",""ปทุมธานี!L46"")+IMPORTRANGE(""https://docs.google.com/spr"&amp;"eadsheets/d/1W5Jj_S0gYw6wSO7QcMI02YgyOBDKYgmm0NSUk-AQEac/edit?usp=share_link"",""ประจวบคีรีขันธ์!L46"")+IMPORTRANGE(""https://docs.google.com/spreadsheets/d/1nYxRXgnCfTXtqUY1otYuTlnrzE0Tn-Y0YRsW5pkRVqo/edit?usp=share_link"",""ปราจีนบุรี!L46"")+IMPORTRANGE"&amp;"(""https://docs.google.com/spreadsheets/d/1nNHCLO8ZAXOMfQvxux7cf_hrzPAh8FAvaHq_ClKbZNo/edit?usp=share_link"",""พระนครศรีอยุธยา!L46"")+IMPORTRANGE(""https://docs.google.com/spreadsheets/d/1CdNicvf3i6yt4tJlCePe3V1Va76wYqW0QzMzTsaGRrA/edit?usp=share_link"","&amp;"""เพชรบุรี!L46"")+IMPORTRANGE(""https://docs.google.com/spreadsheets/d/1XiF77UIVHV0Kjc6xbXuOuJ10WgJYxd4p_22ngKVV5oM/edit?usp=share_link"",""ระยอง!L46"")+IMPORTRANGE(""https://docs.google.com/spreadsheets/d/1qU-W_9MCQD1pgIVXGEOjCFo9QqlmJywuebyGgaN92r8/edit"&amp;"?usp=share_link"",""ราชบุรี!L46"")+IMPORTRANGE(""https://docs.google.com/spreadsheets/d/1xYFIxIM_CspAP5Q-5Zx_V0T_Ut3cjryrjd2hss28vGk/edit?usp=share_link"",""ลพบุรี!L46"")+IMPORTRANGE(""https://docs.google.com/spreadsheets/d/11s9m3tKsCBdPWq6syhZm27eBGbKneD"&amp;"LZc75co106bio/edit?usp=share_link"",""สระแก้ว!L46"")+IMPORTRANGE(""https://docs.google.com/spreadsheets/d/1Nn1EvsFPtXldgpgVb3Rcng2K2cls68LFQsBh2FyW0Bg/edit?usp=share_link"",""สระบุรี!L46"")+IMPORTRANGE(""https://docs.google.com/spreadsheets/d/149xufxukrnE"&amp;"ciK3WPbNpHwUK8BKEJxp3UcBG3Al6dA4/edit?usp=share_link"",""สิงห์บุรี!L46"")+IMPORTRANGE(""https://docs.google.com/spreadsheets/d/132g-zJpz2uMKimp17uOIx8A7o3w1Z25zwJyXnwsB56c/edit?usp=share_link"",""สุพรรณบุรี!L46"")+IMPORTRANGE(""https://docs.google.com/spr"&amp;"eadsheets/d/12Q_U0nVnFdxDFwa0pej9xvx8ZvLC9Dpi_vRro_aiG5g/edit?usp=share_link"",""อ่างทอง!L46"")
"),8286238)</f>
        <v>8286238</v>
      </c>
      <c r="M46" s="45">
        <f ca="1">IFERROR(__xludf.DUMMYFUNCTION("IMPORTRANGE(""https://docs.google.com/spreadsheets/d/1hKO5uv94SSRZWOvrh72HRcpyoEQF9TsE_Cvxl77XNU4/edit?usp=share_link"",""กาญจนบุรี!M46"")+IMPORTRANGE(""https://docs.google.com/spreadsheets/d/1njBaP_xXd-Uotvo2D9zb01TTCFkLJLDK97Tk1l9Qux0/edit?usp=share_lin"&amp;"k"",""จันทบุรี!M46"")+IMPORTRANGE(""https://docs.google.com/spreadsheets/d/14xp6qUzrGFnUk_qnc1eEmfiaNRd4_grkhpfQH_46fa8/edit?usp=share_link"",""ฉะเชิงเทรา!M46"")+IMPORTRANGE(""https://docs.google.com/spreadsheets/d/1_Zwps30dlVa-pZFsorjVf1Pil6WXwzCsJU0U2wh"&amp;"O3NI/edit?usp=share_link"",""ชลบุรี!M46"")+IMPORTRANGE(""https://docs.google.com/spreadsheets/d/1xAsT4sUbBlom7l0acStESh_15nvjZcXjZM7fK5uZSq8/edit?usp=share_link"",""ชัยนาท!M46"")+IMPORTRANGE(""https://docs.google.com/spreadsheets/d/1vWPVBOAaZ6mHSI8yf95DNq"&amp;"HwTJ1cpeFsvqt6cxV34QA/edit?usp=share_link"",""ตราด!M46"")+IMPORTRANGE(""https://docs.google.com/spreadsheets/d/1phaeSb9lTGgzDpbvVqI9hfmOQQzUom07-HEvpbARzEg/edit?usp=share_link"",""นครนายก!M46"")+IMPORTRANGE(""https://docs.google.com/spreadsheets/d/1tpwhWw"&amp;"kqkBeiSWCcfB5f2fbwPRbM9hHOEDSDHpl2MIc/edit?usp=share_link"",""นครปฐม!M46"")+IMPORTRANGE(""https://docs.google.com/spreadsheets/d/1fJJCVBkBnhriyv0Cp5ZFMr0I_yrfdEITNpb4zILJgUQ/edit?usp=share_link"",""ปทุมธานี!M46"")+IMPORTRANGE(""https://docs.google.com/spr"&amp;"eadsheets/d/1W5Jj_S0gYw6wSO7QcMI02YgyOBDKYgmm0NSUk-AQEac/edit?usp=share_link"",""ประจวบคีรีขันธ์!M46"")+IMPORTRANGE(""https://docs.google.com/spreadsheets/d/1nYxRXgnCfTXtqUY1otYuTlnrzE0Tn-Y0YRsW5pkRVqo/edit?usp=share_link"",""ปราจีนบุรี!M46"")+IMPORTRANGE"&amp;"(""https://docs.google.com/spreadsheets/d/1nNHCLO8ZAXOMfQvxux7cf_hrzPAh8FAvaHq_ClKbZNo/edit?usp=share_link"",""พระนครศรีอยุธยา!M46"")+IMPORTRANGE(""https://docs.google.com/spreadsheets/d/1CdNicvf3i6yt4tJlCePe3V1Va76wYqW0QzMzTsaGRrA/edit?usp=share_link"","&amp;"""เพชรบุรี!M46"")+IMPORTRANGE(""https://docs.google.com/spreadsheets/d/1XiF77UIVHV0Kjc6xbXuOuJ10WgJYxd4p_22ngKVV5oM/edit?usp=share_link"",""ระยอง!M46"")+IMPORTRANGE(""https://docs.google.com/spreadsheets/d/1qU-W_9MCQD1pgIVXGEOjCFo9QqlmJywuebyGgaN92r8/edit"&amp;"?usp=share_link"",""ราชบุรี!M46"")+IMPORTRANGE(""https://docs.google.com/spreadsheets/d/1xYFIxIM_CspAP5Q-5Zx_V0T_Ut3cjryrjd2hss28vGk/edit?usp=share_link"",""ลพบุรี!M46"")+IMPORTRANGE(""https://docs.google.com/spreadsheets/d/11s9m3tKsCBdPWq6syhZm27eBGbKneD"&amp;"LZc75co106bio/edit?usp=share_link"",""สระแก้ว!M46"")+IMPORTRANGE(""https://docs.google.com/spreadsheets/d/1Nn1EvsFPtXldgpgVb3Rcng2K2cls68LFQsBh2FyW0Bg/edit?usp=share_link"",""สระบุรี!M46"")+IMPORTRANGE(""https://docs.google.com/spreadsheets/d/149xufxukrnE"&amp;"ciK3WPbNpHwUK8BKEJxp3UcBG3Al6dA4/edit?usp=share_link"",""สิงห์บุรี!M46"")+IMPORTRANGE(""https://docs.google.com/spreadsheets/d/132g-zJpz2uMKimp17uOIx8A7o3w1Z25zwJyXnwsB56c/edit?usp=share_link"",""สุพรรณบุรี!M46"")+IMPORTRANGE(""https://docs.google.com/spr"&amp;"eadsheets/d/12Q_U0nVnFdxDFwa0pej9xvx8ZvLC9Dpi_vRro_aiG5g/edit?usp=share_link"",""อ่างทอง!M46"")
"),4287703)</f>
        <v>4287703</v>
      </c>
      <c r="N46" s="45">
        <f ca="1">IFERROR(__xludf.DUMMYFUNCTION("IMPORTRANGE(""https://docs.google.com/spreadsheets/d/1hKO5uv94SSRZWOvrh72HRcpyoEQF9TsE_Cvxl77XNU4/edit?usp=share_link"",""กาญจนบุรี!n46"")+IMPORTRANGE(""https://docs.google.com/spreadsheets/d/1njBaP_xXd-Uotvo2D9zb01TTCFkLJLDK97Tk1l9Qux0/edit?usp=share_lin"&amp;"k"",""จันทบุรี!n46"")+IMPORTRANGE(""https://docs.google.com/spreadsheets/d/14xp6qUzrGFnUk_qnc1eEmfiaNRd4_grkhpfQH_46fa8/edit?usp=share_link"",""ฉะเชิงเทรา!n46"")+IMPORTRANGE(""https://docs.google.com/spreadsheets/d/1_Zwps30dlVa-pZFsorjVf1Pil6WXwzCsJU0U2wh"&amp;"O3NI/edit?usp=share_link"",""ชลบุรี!n46"")+IMPORTRANGE(""https://docs.google.com/spreadsheets/d/1xAsT4sUbBlom7l0acStESh_15nvjZcXjZM7fK5uZSq8/edit?usp=share_link"",""ชัยนาท!n46"")+IMPORTRANGE(""https://docs.google.com/spreadsheets/d/1vWPVBOAaZ6mHSI8yf95DNq"&amp;"HwTJ1cpeFsvqt6cxV34QA/edit?usp=share_link"",""ตราด!n46"")+IMPORTRANGE(""https://docs.google.com/spreadsheets/d/1phaeSb9lTGgzDpbvVqI9hfmOQQzUom07-HEvpbARzEg/edit?usp=share_link"",""นครนายก!n46"")+IMPORTRANGE(""https://docs.google.com/spreadsheets/d/1tpwhWw"&amp;"kqkBeiSWCcfB5f2fbwPRbM9hHOEDSDHpl2MIc/edit?usp=share_link"",""นครปฐม!n46"")+IMPORTRANGE(""https://docs.google.com/spreadsheets/d/1fJJCVBkBnhriyv0Cp5ZFMr0I_yrfdEITNpb4zILJgUQ/edit?usp=share_link"",""ปทุมธานี!n46"")+IMPORTRANGE(""https://docs.google.com/spr"&amp;"eadsheets/d/1W5Jj_S0gYw6wSO7QcMI02YgyOBDKYgmm0NSUk-AQEac/edit?usp=share_link"",""ประจวบคีรีขันธ์!n46"")+IMPORTRANGE(""https://docs.google.com/spreadsheets/d/1nYxRXgnCfTXtqUY1otYuTlnrzE0Tn-Y0YRsW5pkRVqo/edit?usp=share_link"",""ปราจีนบุรี!n46"")+IMPORTRANGE"&amp;"(""https://docs.google.com/spreadsheets/d/1nNHCLO8ZAXOMfQvxux7cf_hrzPAh8FAvaHq_ClKbZNo/edit?usp=share_link"",""พระนครศรีอยุธยา!n46"")+IMPORTRANGE(""https://docs.google.com/spreadsheets/d/1CdNicvf3i6yt4tJlCePe3V1Va76wYqW0QzMzTsaGRrA/edit?usp=share_link"","&amp;"""เพชรบุรี!n46"")+IMPORTRANGE(""https://docs.google.com/spreadsheets/d/1XiF77UIVHV0Kjc6xbXuOuJ10WgJYxd4p_22ngKVV5oM/edit?usp=share_link"",""ระยอง!n46"")+IMPORTRANGE(""https://docs.google.com/spreadsheets/d/1qU-W_9MCQD1pgIVXGEOjCFo9QqlmJywuebyGgaN92r8/edit"&amp;"?usp=share_link"",""ราชบุรี!n46"")+IMPORTRANGE(""https://docs.google.com/spreadsheets/d/1xYFIxIM_CspAP5Q-5Zx_V0T_Ut3cjryrjd2hss28vGk/edit?usp=share_link"",""ลพบุรี!n46"")+IMPORTRANGE(""https://docs.google.com/spreadsheets/d/11s9m3tKsCBdPWq6syhZm27eBGbKneD"&amp;"LZc75co106bio/edit?usp=share_link"",""สระแก้ว!n46"")+IMPORTRANGE(""https://docs.google.com/spreadsheets/d/1Nn1EvsFPtXldgpgVb3Rcng2K2cls68LFQsBh2FyW0Bg/edit?usp=share_link"",""สระบุรี!n46"")+IMPORTRANGE(""https://docs.google.com/spreadsheets/d/149xufxukrnE"&amp;"ciK3WPbNpHwUK8BKEJxp3UcBG3Al6dA4/edit?usp=share_link"",""สิงห์บุรี!n46"")+IMPORTRANGE(""https://docs.google.com/spreadsheets/d/132g-zJpz2uMKimp17uOIx8A7o3w1Z25zwJyXnwsB56c/edit?usp=share_link"",""สุพรรณบุรี!n46"")+IMPORTRANGE(""https://docs.google.com/spr"&amp;"eadsheets/d/12Q_U0nVnFdxDFwa0pej9xvx8ZvLC9Dpi_vRro_aiG5g/edit?usp=share_link"",""อ่างทอง!n46"")
"),2299936.9)</f>
        <v>2299936.9</v>
      </c>
      <c r="O46" s="45">
        <f ca="1">IF(M46&gt;0,N46*100/M46,0)</f>
        <v>53.64030344452496</v>
      </c>
      <c r="P46" s="45">
        <f t="shared" ca="1" si="36"/>
        <v>53.64030344452496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20.25" customHeight="1">
      <c r="A47" s="32"/>
      <c r="B47" s="33"/>
      <c r="C47" s="33"/>
      <c r="D47" s="34" t="s">
        <v>21</v>
      </c>
      <c r="E47" s="33"/>
      <c r="F47" s="33"/>
      <c r="G47" s="35"/>
      <c r="H47" s="36" t="s">
        <v>12</v>
      </c>
      <c r="I47" s="37"/>
      <c r="J47" s="37"/>
      <c r="K47" s="38"/>
      <c r="L47" s="38">
        <f t="shared" ref="L47:N47" ca="1" si="40">L48+L49</f>
        <v>0</v>
      </c>
      <c r="M47" s="38">
        <f t="shared" ca="1" si="40"/>
        <v>0</v>
      </c>
      <c r="N47" s="38">
        <f t="shared" ca="1" si="40"/>
        <v>0</v>
      </c>
      <c r="O47" s="38">
        <f t="shared" ref="O47:O49" ca="1" si="41">IF(L47&gt;0,N47*100/L47,0)</f>
        <v>0</v>
      </c>
      <c r="P47" s="38">
        <f t="shared" ca="1" si="36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20.25" hidden="1" customHeight="1">
      <c r="A48" s="39"/>
      <c r="B48" s="40"/>
      <c r="C48" s="40"/>
      <c r="D48" s="40"/>
      <c r="E48" s="41" t="s">
        <v>18</v>
      </c>
      <c r="F48" s="40"/>
      <c r="G48" s="42"/>
      <c r="H48" s="43" t="s">
        <v>12</v>
      </c>
      <c r="I48" s="44"/>
      <c r="J48" s="44"/>
      <c r="K48" s="45"/>
      <c r="L48" s="93">
        <v>0</v>
      </c>
      <c r="M48" s="93">
        <v>0</v>
      </c>
      <c r="N48" s="93">
        <v>0</v>
      </c>
      <c r="O48" s="45">
        <f t="shared" si="41"/>
        <v>0</v>
      </c>
      <c r="P48" s="45">
        <f t="shared" si="36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20.25" hidden="1" customHeight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hKO5uv94SSRZWOvrh72HRcpyoEQF9TsE_Cvxl77XNU4/edit?usp=share_link"",""กาญจนบุรี!L49"")+IMPORTRANGE(""https://docs.google.com/spreadsheets/d/1njBaP_xXd-Uotvo2D9zb01TTCFkLJLDK97Tk1l9Qux0/edit?usp=share_lin"&amp;"k"",""จันทบุรี!L49"")+IMPORTRANGE(""https://docs.google.com/spreadsheets/d/14xp6qUzrGFnUk_qnc1eEmfiaNRd4_grkhpfQH_46fa8/edit?usp=share_link"",""ฉะเชิงเทรา!L49"")+IMPORTRANGE(""https://docs.google.com/spreadsheets/d/1_Zwps30dlVa-pZFsorjVf1Pil6WXwzCsJU0U2wh"&amp;"O3NI/edit?usp=share_link"",""ชลบุรี!L49"")+IMPORTRANGE(""https://docs.google.com/spreadsheets/d/1xAsT4sUbBlom7l0acStESh_15nvjZcXjZM7fK5uZSq8/edit?usp=share_link"",""ชัยนาท!L49"")+IMPORTRANGE(""https://docs.google.com/spreadsheets/d/1vWPVBOAaZ6mHSI8yf95DNq"&amp;"HwTJ1cpeFsvqt6cxV34QA/edit?usp=share_link"",""ตราด!L49"")+IMPORTRANGE(""https://docs.google.com/spreadsheets/d/1phaeSb9lTGgzDpbvVqI9hfmOQQzUom07-HEvpbARzEg/edit?usp=share_link"",""นครนายก!L49"")+IMPORTRANGE(""https://docs.google.com/spreadsheets/d/1tpwhWw"&amp;"kqkBeiSWCcfB5f2fbwPRbM9hHOEDSDHpl2MIc/edit?usp=share_link"",""นครปฐม!L49"")+IMPORTRANGE(""https://docs.google.com/spreadsheets/d/1fJJCVBkBnhriyv0Cp5ZFMr0I_yrfdEITNpb4zILJgUQ/edit?usp=share_link"",""ปทุมธานี!L49"")+IMPORTRANGE(""https://docs.google.com/spr"&amp;"eadsheets/d/1W5Jj_S0gYw6wSO7QcMI02YgyOBDKYgmm0NSUk-AQEac/edit?usp=share_link"",""ประจวบคีรีขันธ์!L49"")+IMPORTRANGE(""https://docs.google.com/spreadsheets/d/1nYxRXgnCfTXtqUY1otYuTlnrzE0Tn-Y0YRsW5pkRVqo/edit?usp=share_link"",""ปราจีนบุรี!L49"")+IMPORTRANGE"&amp;"(""https://docs.google.com/spreadsheets/d/1nNHCLO8ZAXOMfQvxux7cf_hrzPAh8FAvaHq_ClKbZNo/edit?usp=share_link"",""พระนครศรีอยุธยา!L49"")+IMPORTRANGE(""https://docs.google.com/spreadsheets/d/1CdNicvf3i6yt4tJlCePe3V1Va76wYqW0QzMzTsaGRrA/edit?usp=share_link"","&amp;"""เพชรบุรี!L49"")+IMPORTRANGE(""https://docs.google.com/spreadsheets/d/1XiF77UIVHV0Kjc6xbXuOuJ10WgJYxd4p_22ngKVV5oM/edit?usp=share_link"",""ระยอง!L49"")+IMPORTRANGE(""https://docs.google.com/spreadsheets/d/1qU-W_9MCQD1pgIVXGEOjCFo9QqlmJywuebyGgaN92r8/edit"&amp;"?usp=share_link"",""ราชบุรี!L49"")+IMPORTRANGE(""https://docs.google.com/spreadsheets/d/1xYFIxIM_CspAP5Q-5Zx_V0T_Ut3cjryrjd2hss28vGk/edit?usp=share_link"",""ลพบุรี!L49"")+IMPORTRANGE(""https://docs.google.com/spreadsheets/d/11s9m3tKsCBdPWq6syhZm27eBGbKneD"&amp;"LZc75co106bio/edit?usp=share_link"",""สระแก้ว!L49"")+IMPORTRANGE(""https://docs.google.com/spreadsheets/d/1Nn1EvsFPtXldgpgVb3Rcng2K2cls68LFQsBh2FyW0Bg/edit?usp=share_link"",""สระบุรี!L49"")+IMPORTRANGE(""https://docs.google.com/spreadsheets/d/149xufxukrnE"&amp;"ciK3WPbNpHwUK8BKEJxp3UcBG3Al6dA4/edit?usp=share_link"",""สิงห์บุรี!L49"")+IMPORTRANGE(""https://docs.google.com/spreadsheets/d/132g-zJpz2uMKimp17uOIx8A7o3w1Z25zwJyXnwsB56c/edit?usp=share_link"",""สุพรรณบุรี!L49"")+IMPORTRANGE(""https://docs.google.com/spr"&amp;"eadsheets/d/12Q_U0nVnFdxDFwa0pej9xvx8ZvLC9Dpi_vRro_aiG5g/edit?usp=share_link"",""อ่างทอง!L49"")
"),0)</f>
        <v>0</v>
      </c>
      <c r="M49" s="52">
        <f ca="1">IFERROR(__xludf.DUMMYFUNCTION("IMPORTRANGE(""https://docs.google.com/spreadsheets/d/1hKO5uv94SSRZWOvrh72HRcpyoEQF9TsE_Cvxl77XNU4/edit?usp=share_link"",""กาญจนบุรี!M49"")+IMPORTRANGE(""https://docs.google.com/spreadsheets/d/1njBaP_xXd-Uotvo2D9zb01TTCFkLJLDK97Tk1l9Qux0/edit?usp=share_lin"&amp;"k"",""จันทบุรี!M49"")+IMPORTRANGE(""https://docs.google.com/spreadsheets/d/14xp6qUzrGFnUk_qnc1eEmfiaNRd4_grkhpfQH_46fa8/edit?usp=share_link"",""ฉะเชิงเทรา!M49"")+IMPORTRANGE(""https://docs.google.com/spreadsheets/d/1_Zwps30dlVa-pZFsorjVf1Pil6WXwzCsJU0U2wh"&amp;"O3NI/edit?usp=share_link"",""ชลบุรี!M49"")+IMPORTRANGE(""https://docs.google.com/spreadsheets/d/1xAsT4sUbBlom7l0acStESh_15nvjZcXjZM7fK5uZSq8/edit?usp=share_link"",""ชัยนาท!M49"")+IMPORTRANGE(""https://docs.google.com/spreadsheets/d/1vWPVBOAaZ6mHSI8yf95DNq"&amp;"HwTJ1cpeFsvqt6cxV34QA/edit?usp=share_link"",""ตราด!M49"")+IMPORTRANGE(""https://docs.google.com/spreadsheets/d/1phaeSb9lTGgzDpbvVqI9hfmOQQzUom07-HEvpbARzEg/edit?usp=share_link"",""นครนายก!M49"")+IMPORTRANGE(""https://docs.google.com/spreadsheets/d/1tpwhWw"&amp;"kqkBeiSWCcfB5f2fbwPRbM9hHOEDSDHpl2MIc/edit?usp=share_link"",""นครปฐม!M49"")+IMPORTRANGE(""https://docs.google.com/spreadsheets/d/1fJJCVBkBnhriyv0Cp5ZFMr0I_yrfdEITNpb4zILJgUQ/edit?usp=share_link"",""ปทุมธานี!M49"")+IMPORTRANGE(""https://docs.google.com/spr"&amp;"eadsheets/d/1W5Jj_S0gYw6wSO7QcMI02YgyOBDKYgmm0NSUk-AQEac/edit?usp=share_link"",""ประจวบคีรีขันธ์!M49"")+IMPORTRANGE(""https://docs.google.com/spreadsheets/d/1nYxRXgnCfTXtqUY1otYuTlnrzE0Tn-Y0YRsW5pkRVqo/edit?usp=share_link"",""ปราจีนบุรี!M49"")+IMPORTRANGE"&amp;"(""https://docs.google.com/spreadsheets/d/1nNHCLO8ZAXOMfQvxux7cf_hrzPAh8FAvaHq_ClKbZNo/edit?usp=share_link"",""พระนครศรีอยุธยา!M49"")+IMPORTRANGE(""https://docs.google.com/spreadsheets/d/1CdNicvf3i6yt4tJlCePe3V1Va76wYqW0QzMzTsaGRrA/edit?usp=share_link"","&amp;"""เพชรบุรี!M49"")+IMPORTRANGE(""https://docs.google.com/spreadsheets/d/1XiF77UIVHV0Kjc6xbXuOuJ10WgJYxd4p_22ngKVV5oM/edit?usp=share_link"",""ระยอง!M49"")+IMPORTRANGE(""https://docs.google.com/spreadsheets/d/1qU-W_9MCQD1pgIVXGEOjCFo9QqlmJywuebyGgaN92r8/edit"&amp;"?usp=share_link"",""ราชบุรี!M49"")+IMPORTRANGE(""https://docs.google.com/spreadsheets/d/1xYFIxIM_CspAP5Q-5Zx_V0T_Ut3cjryrjd2hss28vGk/edit?usp=share_link"",""ลพบุรี!M49"")+IMPORTRANGE(""https://docs.google.com/spreadsheets/d/11s9m3tKsCBdPWq6syhZm27eBGbKneD"&amp;"LZc75co106bio/edit?usp=share_link"",""สระแก้ว!M49"")+IMPORTRANGE(""https://docs.google.com/spreadsheets/d/1Nn1EvsFPtXldgpgVb3Rcng2K2cls68LFQsBh2FyW0Bg/edit?usp=share_link"",""สระบุรี!M49"")+IMPORTRANGE(""https://docs.google.com/spreadsheets/d/149xufxukrnE"&amp;"ciK3WPbNpHwUK8BKEJxp3UcBG3Al6dA4/edit?usp=share_link"",""สิงห์บุรี!M49"")+IMPORTRANGE(""https://docs.google.com/spreadsheets/d/132g-zJpz2uMKimp17uOIx8A7o3w1Z25zwJyXnwsB56c/edit?usp=share_link"",""สุพรรณบุรี!M49"")+IMPORTRANGE(""https://docs.google.com/spr"&amp;"eadsheets/d/12Q_U0nVnFdxDFwa0pej9xvx8ZvLC9Dpi_vRro_aiG5g/edit?usp=share_link"",""อ่างทอง!M49"")
"),0)</f>
        <v>0</v>
      </c>
      <c r="N49" s="52">
        <f ca="1">IFERROR(__xludf.DUMMYFUNCTION("IMPORTRANGE(""https://docs.google.com/spreadsheets/d/1hKO5uv94SSRZWOvrh72HRcpyoEQF9TsE_Cvxl77XNU4/edit?usp=share_link"",""กาญจนบุรี!n49"")+IMPORTRANGE(""https://docs.google.com/spreadsheets/d/1njBaP_xXd-Uotvo2D9zb01TTCFkLJLDK97Tk1l9Qux0/edit?usp=share_lin"&amp;"k"",""จันทบุรี!n49"")+IMPORTRANGE(""https://docs.google.com/spreadsheets/d/14xp6qUzrGFnUk_qnc1eEmfiaNRd4_grkhpfQH_46fa8/edit?usp=share_link"",""ฉะเชิงเทรา!n49"")+IMPORTRANGE(""https://docs.google.com/spreadsheets/d/1_Zwps30dlVa-pZFsorjVf1Pil6WXwzCsJU0U2wh"&amp;"O3NI/edit?usp=share_link"",""ชลบุรี!n49"")+IMPORTRANGE(""https://docs.google.com/spreadsheets/d/1xAsT4sUbBlom7l0acStESh_15nvjZcXjZM7fK5uZSq8/edit?usp=share_link"",""ชัยนาท!n49"")+IMPORTRANGE(""https://docs.google.com/spreadsheets/d/1vWPVBOAaZ6mHSI8yf95DNq"&amp;"HwTJ1cpeFsvqt6cxV34QA/edit?usp=share_link"",""ตราด!n49"")+IMPORTRANGE(""https://docs.google.com/spreadsheets/d/1phaeSb9lTGgzDpbvVqI9hfmOQQzUom07-HEvpbARzEg/edit?usp=share_link"",""นครนายก!n49"")+IMPORTRANGE(""https://docs.google.com/spreadsheets/d/1tpwhWw"&amp;"kqkBeiSWCcfB5f2fbwPRbM9hHOEDSDHpl2MIc/edit?usp=share_link"",""นครปฐม!n49"")+IMPORTRANGE(""https://docs.google.com/spreadsheets/d/1fJJCVBkBnhriyv0Cp5ZFMr0I_yrfdEITNpb4zILJgUQ/edit?usp=share_link"",""ปทุมธานี!n49"")+IMPORTRANGE(""https://docs.google.com/spr"&amp;"eadsheets/d/1W5Jj_S0gYw6wSO7QcMI02YgyOBDKYgmm0NSUk-AQEac/edit?usp=share_link"",""ประจวบคีรีขันธ์!n49"")+IMPORTRANGE(""https://docs.google.com/spreadsheets/d/1nYxRXgnCfTXtqUY1otYuTlnrzE0Tn-Y0YRsW5pkRVqo/edit?usp=share_link"",""ปราจีนบุรี!n49"")+IMPORTRANGE"&amp;"(""https://docs.google.com/spreadsheets/d/1nNHCLO8ZAXOMfQvxux7cf_hrzPAh8FAvaHq_ClKbZNo/edit?usp=share_link"",""พระนครศรีอยุธยา!n49"")+IMPORTRANGE(""https://docs.google.com/spreadsheets/d/1CdNicvf3i6yt4tJlCePe3V1Va76wYqW0QzMzTsaGRrA/edit?usp=share_link"","&amp;"""เพชรบุรี!n49"")+IMPORTRANGE(""https://docs.google.com/spreadsheets/d/1XiF77UIVHV0Kjc6xbXuOuJ10WgJYxd4p_22ngKVV5oM/edit?usp=share_link"",""ระยอง!n49"")+IMPORTRANGE(""https://docs.google.com/spreadsheets/d/1qU-W_9MCQD1pgIVXGEOjCFo9QqlmJywuebyGgaN92r8/edit"&amp;"?usp=share_link"",""ราชบุรี!n49"")+IMPORTRANGE(""https://docs.google.com/spreadsheets/d/1xYFIxIM_CspAP5Q-5Zx_V0T_Ut3cjryrjd2hss28vGk/edit?usp=share_link"",""ลพบุรี!n49"")+IMPORTRANGE(""https://docs.google.com/spreadsheets/d/11s9m3tKsCBdPWq6syhZm27eBGbKneD"&amp;"LZc75co106bio/edit?usp=share_link"",""สระแก้ว!n49"")+IMPORTRANGE(""https://docs.google.com/spreadsheets/d/1Nn1EvsFPtXldgpgVb3Rcng2K2cls68LFQsBh2FyW0Bg/edit?usp=share_link"",""สระบุรี!n49"")+IMPORTRANGE(""https://docs.google.com/spreadsheets/d/149xufxukrnE"&amp;"ciK3WPbNpHwUK8BKEJxp3UcBG3Al6dA4/edit?usp=share_link"",""สิงห์บุรี!n49"")+IMPORTRANGE(""https://docs.google.com/spreadsheets/d/132g-zJpz2uMKimp17uOIx8A7o3w1Z25zwJyXnwsB56c/edit?usp=share_link"",""สุพรรณบุรี!n49"")+IMPORTRANGE(""https://docs.google.com/spr"&amp;"eadsheets/d/12Q_U0nVnFdxDFwa0pej9xvx8ZvLC9Dpi_vRro_aiG5g/edit?usp=share_link"",""อ่างทอง!n49"")
"),0)</f>
        <v>0</v>
      </c>
      <c r="O49" s="52">
        <f t="shared" ca="1" si="41"/>
        <v>0</v>
      </c>
      <c r="P49" s="52">
        <f t="shared" ca="1" si="36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20.25" customHeight="1">
      <c r="A50" s="859" t="s">
        <v>28</v>
      </c>
      <c r="B50" s="849"/>
      <c r="C50" s="849"/>
      <c r="D50" s="849"/>
      <c r="E50" s="849"/>
      <c r="F50" s="849"/>
      <c r="G50" s="847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20.25" customHeight="1">
      <c r="A51" s="97"/>
      <c r="B51" s="860" t="s">
        <v>29</v>
      </c>
      <c r="C51" s="857"/>
      <c r="D51" s="857"/>
      <c r="E51" s="857"/>
      <c r="F51" s="857"/>
      <c r="G51" s="858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20.25" customHeight="1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20.25" customHeight="1">
      <c r="A53" s="108"/>
      <c r="B53" s="109"/>
      <c r="C53" s="110" t="s">
        <v>16</v>
      </c>
      <c r="D53" s="111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42">L54+L55</f>
        <v>19569900</v>
      </c>
      <c r="M53" s="116">
        <f t="shared" ca="1" si="42"/>
        <v>13269200</v>
      </c>
      <c r="N53" s="116">
        <f t="shared" ca="1" si="42"/>
        <v>9983604.2699999996</v>
      </c>
      <c r="O53" s="116">
        <f t="shared" ref="O53:O61" ca="1" si="43">IF(L53&gt;0,N53*100/L53,0)</f>
        <v>51.015101099136942</v>
      </c>
      <c r="P53" s="116">
        <f t="shared" ref="P53:P61" ca="1" si="44">IF(M53&gt;0,N53*100/M53,0)</f>
        <v>75.23893128447834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20.25" hidden="1" customHeight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4" si="45">L57+L60</f>
        <v>0</v>
      </c>
      <c r="M54" s="123">
        <f t="shared" si="45"/>
        <v>0</v>
      </c>
      <c r="N54" s="123">
        <f t="shared" si="45"/>
        <v>0</v>
      </c>
      <c r="O54" s="123">
        <f t="shared" si="43"/>
        <v>0</v>
      </c>
      <c r="P54" s="123">
        <f t="shared" si="44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20.25" hidden="1" customHeight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ref="L55:N55" ca="1" si="46">L58+L61</f>
        <v>19569900</v>
      </c>
      <c r="M55" s="123">
        <f t="shared" ca="1" si="46"/>
        <v>13269200</v>
      </c>
      <c r="N55" s="123">
        <f t="shared" ca="1" si="46"/>
        <v>9983604.2699999996</v>
      </c>
      <c r="O55" s="123">
        <f t="shared" ca="1" si="43"/>
        <v>51.015101099136942</v>
      </c>
      <c r="P55" s="123">
        <f t="shared" ca="1" si="44"/>
        <v>75.23893128447834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20.25" customHeight="1">
      <c r="A56" s="32"/>
      <c r="B56" s="33"/>
      <c r="C56" s="33"/>
      <c r="D56" s="34" t="s">
        <v>20</v>
      </c>
      <c r="E56" s="33"/>
      <c r="F56" s="33"/>
      <c r="G56" s="35"/>
      <c r="H56" s="36" t="s">
        <v>12</v>
      </c>
      <c r="I56" s="37"/>
      <c r="J56" s="37"/>
      <c r="K56" s="38"/>
      <c r="L56" s="38">
        <f t="shared" ref="L56:N56" ca="1" si="47">L57+L58</f>
        <v>14110200</v>
      </c>
      <c r="M56" s="38">
        <f t="shared" ca="1" si="47"/>
        <v>7338900</v>
      </c>
      <c r="N56" s="38">
        <f t="shared" ca="1" si="47"/>
        <v>5038104.2699999996</v>
      </c>
      <c r="O56" s="38">
        <f t="shared" ca="1" si="43"/>
        <v>35.705406514436362</v>
      </c>
      <c r="P56" s="38">
        <f t="shared" ca="1" si="44"/>
        <v>68.649310795895829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20.25" hidden="1" customHeight="1">
      <c r="A57" s="39"/>
      <c r="B57" s="40"/>
      <c r="C57" s="40"/>
      <c r="D57" s="40"/>
      <c r="E57" s="41" t="s">
        <v>18</v>
      </c>
      <c r="F57" s="40"/>
      <c r="G57" s="42"/>
      <c r="H57" s="43" t="s">
        <v>12</v>
      </c>
      <c r="I57" s="44"/>
      <c r="J57" s="44"/>
      <c r="K57" s="45"/>
      <c r="L57" s="93">
        <v>0</v>
      </c>
      <c r="M57" s="93">
        <v>0</v>
      </c>
      <c r="N57" s="93">
        <v>0</v>
      </c>
      <c r="O57" s="45">
        <f t="shared" si="43"/>
        <v>0</v>
      </c>
      <c r="P57" s="45">
        <f t="shared" si="44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20.25" hidden="1" customHeight="1">
      <c r="A58" s="39"/>
      <c r="B58" s="40"/>
      <c r="C58" s="40"/>
      <c r="D58" s="40"/>
      <c r="E58" s="41" t="s">
        <v>19</v>
      </c>
      <c r="F58" s="40"/>
      <c r="G58" s="42"/>
      <c r="H58" s="43" t="s">
        <v>12</v>
      </c>
      <c r="I58" s="44"/>
      <c r="J58" s="44"/>
      <c r="K58" s="45"/>
      <c r="L58" s="45">
        <f ca="1">IFERROR(__xludf.DUMMYFUNCTION("IMPORTRANGE(""https://docs.google.com/spreadsheets/d/1hKO5uv94SSRZWOvrh72HRcpyoEQF9TsE_Cvxl77XNU4/edit?usp=share_link"",""กาญจนบุรี!L58"")+IMPORTRANGE(""https://docs.google.com/spreadsheets/d/1njBaP_xXd-Uotvo2D9zb01TTCFkLJLDK97Tk1l9Qux0/edit?usp=share_lin"&amp;"k"",""จันทบุรี!L58"")+IMPORTRANGE(""https://docs.google.com/spreadsheets/d/14xp6qUzrGFnUk_qnc1eEmfiaNRd4_grkhpfQH_46fa8/edit?usp=share_link"",""ฉะเชิงเทรา!L58"")+IMPORTRANGE(""https://docs.google.com/spreadsheets/d/1_Zwps30dlVa-pZFsorjVf1Pil6WXwzCsJU0U2wh"&amp;"O3NI/edit?usp=share_link"",""ชลบุรี!L58"")+IMPORTRANGE(""https://docs.google.com/spreadsheets/d/1xAsT4sUbBlom7l0acStESh_15nvjZcXjZM7fK5uZSq8/edit?usp=share_link"",""ชัยนาท!L58"")+IMPORTRANGE(""https://docs.google.com/spreadsheets/d/1vWPVBOAaZ6mHSI8yf95DNq"&amp;"HwTJ1cpeFsvqt6cxV34QA/edit?usp=share_link"",""ตราด!L58"")+IMPORTRANGE(""https://docs.google.com/spreadsheets/d/1phaeSb9lTGgzDpbvVqI9hfmOQQzUom07-HEvpbARzEg/edit?usp=share_link"",""นครนายก!L58"")+IMPORTRANGE(""https://docs.google.com/spreadsheets/d/1tpwhWw"&amp;"kqkBeiSWCcfB5f2fbwPRbM9hHOEDSDHpl2MIc/edit?usp=share_link"",""นครปฐม!L58"")+IMPORTRANGE(""https://docs.google.com/spreadsheets/d/1fJJCVBkBnhriyv0Cp5ZFMr0I_yrfdEITNpb4zILJgUQ/edit?usp=share_link"",""ปทุมธานี!L58"")+IMPORTRANGE(""https://docs.google.com/spr"&amp;"eadsheets/d/1W5Jj_S0gYw6wSO7QcMI02YgyOBDKYgmm0NSUk-AQEac/edit?usp=share_link"",""ประจวบคีรีขันธ์!L58"")+IMPORTRANGE(""https://docs.google.com/spreadsheets/d/1nYxRXgnCfTXtqUY1otYuTlnrzE0Tn-Y0YRsW5pkRVqo/edit?usp=share_link"",""ปราจีนบุรี!L58"")+IMPORTRANGE"&amp;"(""https://docs.google.com/spreadsheets/d/1nNHCLO8ZAXOMfQvxux7cf_hrzPAh8FAvaHq_ClKbZNo/edit?usp=share_link"",""พระนครศรีอยุธยา!L58"")+IMPORTRANGE(""https://docs.google.com/spreadsheets/d/1CdNicvf3i6yt4tJlCePe3V1Va76wYqW0QzMzTsaGRrA/edit?usp=share_link"","&amp;"""เพชรบุรี!L58"")+IMPORTRANGE(""https://docs.google.com/spreadsheets/d/1XiF77UIVHV0Kjc6xbXuOuJ10WgJYxd4p_22ngKVV5oM/edit?usp=share_link"",""ระยอง!L58"")+IMPORTRANGE(""https://docs.google.com/spreadsheets/d/1qU-W_9MCQD1pgIVXGEOjCFo9QqlmJywuebyGgaN92r8/edit"&amp;"?usp=share_link"",""ราชบุรี!L58"")+IMPORTRANGE(""https://docs.google.com/spreadsheets/d/1xYFIxIM_CspAP5Q-5Zx_V0T_Ut3cjryrjd2hss28vGk/edit?usp=share_link"",""ลพบุรี!L58"")+IMPORTRANGE(""https://docs.google.com/spreadsheets/d/11s9m3tKsCBdPWq6syhZm27eBGbKneD"&amp;"LZc75co106bio/edit?usp=share_link"",""สระแก้ว!L58"")+IMPORTRANGE(""https://docs.google.com/spreadsheets/d/1Nn1EvsFPtXldgpgVb3Rcng2K2cls68LFQsBh2FyW0Bg/edit?usp=share_link"",""สระบุรี!L58"")+IMPORTRANGE(""https://docs.google.com/spreadsheets/d/149xufxukrnE"&amp;"ciK3WPbNpHwUK8BKEJxp3UcBG3Al6dA4/edit?usp=share_link"",""สิงห์บุรี!L58"")+IMPORTRANGE(""https://docs.google.com/spreadsheets/d/132g-zJpz2uMKimp17uOIx8A7o3w1Z25zwJyXnwsB56c/edit?usp=share_link"",""สุพรรณบุรี!L58"")+IMPORTRANGE(""https://docs.google.com/spr"&amp;"eadsheets/d/12Q_U0nVnFdxDFwa0pej9xvx8ZvLC9Dpi_vRro_aiG5g/edit?usp=share_link"",""อ่างทอง!L58"")
"),14110200)</f>
        <v>14110200</v>
      </c>
      <c r="M58" s="45">
        <f ca="1">IFERROR(__xludf.DUMMYFUNCTION("IMPORTRANGE(""https://docs.google.com/spreadsheets/d/1hKO5uv94SSRZWOvrh72HRcpyoEQF9TsE_Cvxl77XNU4/edit?usp=share_link"",""กาญจนบุรี!M58"")+IMPORTRANGE(""https://docs.google.com/spreadsheets/d/1njBaP_xXd-Uotvo2D9zb01TTCFkLJLDK97Tk1l9Qux0/edit?usp=share_lin"&amp;"k"",""จันทบุรี!M58"")+IMPORTRANGE(""https://docs.google.com/spreadsheets/d/14xp6qUzrGFnUk_qnc1eEmfiaNRd4_grkhpfQH_46fa8/edit?usp=share_link"",""ฉะเชิงเทรา!M58"")+IMPORTRANGE(""https://docs.google.com/spreadsheets/d/1_Zwps30dlVa-pZFsorjVf1Pil6WXwzCsJU0U2wh"&amp;"O3NI/edit?usp=share_link"",""ชลบุรี!M58"")+IMPORTRANGE(""https://docs.google.com/spreadsheets/d/1xAsT4sUbBlom7l0acStESh_15nvjZcXjZM7fK5uZSq8/edit?usp=share_link"",""ชัยนาท!M58"")+IMPORTRANGE(""https://docs.google.com/spreadsheets/d/1vWPVBOAaZ6mHSI8yf95DNq"&amp;"HwTJ1cpeFsvqt6cxV34QA/edit?usp=share_link"",""ตราด!M58"")+IMPORTRANGE(""https://docs.google.com/spreadsheets/d/1phaeSb9lTGgzDpbvVqI9hfmOQQzUom07-HEvpbARzEg/edit?usp=share_link"",""นครนายก!M58"")+IMPORTRANGE(""https://docs.google.com/spreadsheets/d/1tpwhWw"&amp;"kqkBeiSWCcfB5f2fbwPRbM9hHOEDSDHpl2MIc/edit?usp=share_link"",""นครปฐม!M58"")+IMPORTRANGE(""https://docs.google.com/spreadsheets/d/1fJJCVBkBnhriyv0Cp5ZFMr0I_yrfdEITNpb4zILJgUQ/edit?usp=share_link"",""ปทุมธานี!M58"")+IMPORTRANGE(""https://docs.google.com/spr"&amp;"eadsheets/d/1W5Jj_S0gYw6wSO7QcMI02YgyOBDKYgmm0NSUk-AQEac/edit?usp=share_link"",""ประจวบคีรีขันธ์!M58"")+IMPORTRANGE(""https://docs.google.com/spreadsheets/d/1nYxRXgnCfTXtqUY1otYuTlnrzE0Tn-Y0YRsW5pkRVqo/edit?usp=share_link"",""ปราจีนบุรี!M58"")+IMPORTRANGE"&amp;"(""https://docs.google.com/spreadsheets/d/1nNHCLO8ZAXOMfQvxux7cf_hrzPAh8FAvaHq_ClKbZNo/edit?usp=share_link"",""พระนครศรีอยุธยา!M58"")+IMPORTRANGE(""https://docs.google.com/spreadsheets/d/1CdNicvf3i6yt4tJlCePe3V1Va76wYqW0QzMzTsaGRrA/edit?usp=share_link"","&amp;"""เพชรบุรี!M58"")+IMPORTRANGE(""https://docs.google.com/spreadsheets/d/1XiF77UIVHV0Kjc6xbXuOuJ10WgJYxd4p_22ngKVV5oM/edit?usp=share_link"",""ระยอง!M58"")+IMPORTRANGE(""https://docs.google.com/spreadsheets/d/1qU-W_9MCQD1pgIVXGEOjCFo9QqlmJywuebyGgaN92r8/edit"&amp;"?usp=share_link"",""ราชบุรี!M58"")+IMPORTRANGE(""https://docs.google.com/spreadsheets/d/1xYFIxIM_CspAP5Q-5Zx_V0T_Ut3cjryrjd2hss28vGk/edit?usp=share_link"",""ลพบุรี!M58"")+IMPORTRANGE(""https://docs.google.com/spreadsheets/d/11s9m3tKsCBdPWq6syhZm27eBGbKneD"&amp;"LZc75co106bio/edit?usp=share_link"",""สระแก้ว!M58"")+IMPORTRANGE(""https://docs.google.com/spreadsheets/d/1Nn1EvsFPtXldgpgVb3Rcng2K2cls68LFQsBh2FyW0Bg/edit?usp=share_link"",""สระบุรี!M58"")+IMPORTRANGE(""https://docs.google.com/spreadsheets/d/149xufxukrnE"&amp;"ciK3WPbNpHwUK8BKEJxp3UcBG3Al6dA4/edit?usp=share_link"",""สิงห์บุรี!M58"")+IMPORTRANGE(""https://docs.google.com/spreadsheets/d/132g-zJpz2uMKimp17uOIx8A7o3w1Z25zwJyXnwsB56c/edit?usp=share_link"",""สุพรรณบุรี!M58"")+IMPORTRANGE(""https://docs.google.com/spr"&amp;"eadsheets/d/12Q_U0nVnFdxDFwa0pej9xvx8ZvLC9Dpi_vRro_aiG5g/edit?usp=share_link"",""อ่างทอง!M58"")
"),7338900)</f>
        <v>7338900</v>
      </c>
      <c r="N58" s="45">
        <f ca="1">IFERROR(__xludf.DUMMYFUNCTION("IMPORTRANGE(""https://docs.google.com/spreadsheets/d/1hKO5uv94SSRZWOvrh72HRcpyoEQF9TsE_Cvxl77XNU4/edit?usp=share_link"",""กาญจนบุรี!n58"")+IMPORTRANGE(""https://docs.google.com/spreadsheets/d/1njBaP_xXd-Uotvo2D9zb01TTCFkLJLDK97Tk1l9Qux0/edit?usp=share_lin"&amp;"k"",""จันทบุรี!n58"")+IMPORTRANGE(""https://docs.google.com/spreadsheets/d/14xp6qUzrGFnUk_qnc1eEmfiaNRd4_grkhpfQH_46fa8/edit?usp=share_link"",""ฉะเชิงเทรา!n58"")+IMPORTRANGE(""https://docs.google.com/spreadsheets/d/1_Zwps30dlVa-pZFsorjVf1Pil6WXwzCsJU0U2wh"&amp;"O3NI/edit?usp=share_link"",""ชลบุรี!n58"")+IMPORTRANGE(""https://docs.google.com/spreadsheets/d/1xAsT4sUbBlom7l0acStESh_15nvjZcXjZM7fK5uZSq8/edit?usp=share_link"",""ชัยนาท!n58"")+IMPORTRANGE(""https://docs.google.com/spreadsheets/d/1vWPVBOAaZ6mHSI8yf95DNq"&amp;"HwTJ1cpeFsvqt6cxV34QA/edit?usp=share_link"",""ตราด!n58"")+IMPORTRANGE(""https://docs.google.com/spreadsheets/d/1phaeSb9lTGgzDpbvVqI9hfmOQQzUom07-HEvpbARzEg/edit?usp=share_link"",""นครนายก!n58"")+IMPORTRANGE(""https://docs.google.com/spreadsheets/d/1tpwhWw"&amp;"kqkBeiSWCcfB5f2fbwPRbM9hHOEDSDHpl2MIc/edit?usp=share_link"",""นครปฐม!n58"")+IMPORTRANGE(""https://docs.google.com/spreadsheets/d/1fJJCVBkBnhriyv0Cp5ZFMr0I_yrfdEITNpb4zILJgUQ/edit?usp=share_link"",""ปทุมธานี!n58"")+IMPORTRANGE(""https://docs.google.com/spr"&amp;"eadsheets/d/1W5Jj_S0gYw6wSO7QcMI02YgyOBDKYgmm0NSUk-AQEac/edit?usp=share_link"",""ประจวบคีรีขันธ์!n58"")+IMPORTRANGE(""https://docs.google.com/spreadsheets/d/1nYxRXgnCfTXtqUY1otYuTlnrzE0Tn-Y0YRsW5pkRVqo/edit?usp=share_link"",""ปราจีนบุรี!n58"")+IMPORTRANGE"&amp;"(""https://docs.google.com/spreadsheets/d/1nNHCLO8ZAXOMfQvxux7cf_hrzPAh8FAvaHq_ClKbZNo/edit?usp=share_link"",""พระนครศรีอยุธยา!n58"")+IMPORTRANGE(""https://docs.google.com/spreadsheets/d/1CdNicvf3i6yt4tJlCePe3V1Va76wYqW0QzMzTsaGRrA/edit?usp=share_link"","&amp;"""เพชรบุรี!n58"")+IMPORTRANGE(""https://docs.google.com/spreadsheets/d/1XiF77UIVHV0Kjc6xbXuOuJ10WgJYxd4p_22ngKVV5oM/edit?usp=share_link"",""ระยอง!n58"")+IMPORTRANGE(""https://docs.google.com/spreadsheets/d/1qU-W_9MCQD1pgIVXGEOjCFo9QqlmJywuebyGgaN92r8/edit"&amp;"?usp=share_link"",""ราชบุรี!n58"")+IMPORTRANGE(""https://docs.google.com/spreadsheets/d/1xYFIxIM_CspAP5Q-5Zx_V0T_Ut3cjryrjd2hss28vGk/edit?usp=share_link"",""ลพบุรี!n58"")+IMPORTRANGE(""https://docs.google.com/spreadsheets/d/11s9m3tKsCBdPWq6syhZm27eBGbKneD"&amp;"LZc75co106bio/edit?usp=share_link"",""สระแก้ว!n58"")+IMPORTRANGE(""https://docs.google.com/spreadsheets/d/1Nn1EvsFPtXldgpgVb3Rcng2K2cls68LFQsBh2FyW0Bg/edit?usp=share_link"",""สระบุรี!n58"")+IMPORTRANGE(""https://docs.google.com/spreadsheets/d/149xufxukrnE"&amp;"ciK3WPbNpHwUK8BKEJxp3UcBG3Al6dA4/edit?usp=share_link"",""สิงห์บุรี!n58"")+IMPORTRANGE(""https://docs.google.com/spreadsheets/d/132g-zJpz2uMKimp17uOIx8A7o3w1Z25zwJyXnwsB56c/edit?usp=share_link"",""สุพรรณบุรี!n58"")+IMPORTRANGE(""https://docs.google.com/spr"&amp;"eadsheets/d/12Q_U0nVnFdxDFwa0pej9xvx8ZvLC9Dpi_vRro_aiG5g/edit?usp=share_link"",""อ่างทอง!n58"")
"),5038104.27)</f>
        <v>5038104.2699999996</v>
      </c>
      <c r="O58" s="45">
        <f t="shared" ca="1" si="43"/>
        <v>35.705406514436362</v>
      </c>
      <c r="P58" s="45">
        <f t="shared" ca="1" si="44"/>
        <v>68.649310795895829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20.25" customHeight="1">
      <c r="A59" s="32"/>
      <c r="B59" s="33"/>
      <c r="C59" s="33"/>
      <c r="D59" s="34" t="s">
        <v>21</v>
      </c>
      <c r="E59" s="33"/>
      <c r="F59" s="33"/>
      <c r="G59" s="35"/>
      <c r="H59" s="36" t="s">
        <v>12</v>
      </c>
      <c r="I59" s="37"/>
      <c r="J59" s="37"/>
      <c r="K59" s="38"/>
      <c r="L59" s="38">
        <f t="shared" ref="L59:N59" ca="1" si="48">L60+L61</f>
        <v>5459700</v>
      </c>
      <c r="M59" s="38">
        <f t="shared" ca="1" si="48"/>
        <v>5930300</v>
      </c>
      <c r="N59" s="38">
        <f t="shared" ca="1" si="48"/>
        <v>4945500</v>
      </c>
      <c r="O59" s="38">
        <f t="shared" ca="1" si="43"/>
        <v>90.581900104401342</v>
      </c>
      <c r="P59" s="38">
        <f t="shared" ca="1" si="44"/>
        <v>83.393757482758033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20.25" hidden="1" customHeight="1">
      <c r="A60" s="39"/>
      <c r="B60" s="40"/>
      <c r="C60" s="40"/>
      <c r="D60" s="40"/>
      <c r="E60" s="41" t="s">
        <v>18</v>
      </c>
      <c r="F60" s="40"/>
      <c r="G60" s="42"/>
      <c r="H60" s="43" t="s">
        <v>12</v>
      </c>
      <c r="I60" s="44"/>
      <c r="J60" s="44"/>
      <c r="K60" s="45"/>
      <c r="L60" s="93">
        <v>0</v>
      </c>
      <c r="M60" s="93">
        <v>0</v>
      </c>
      <c r="N60" s="93">
        <v>0</v>
      </c>
      <c r="O60" s="45">
        <f t="shared" si="43"/>
        <v>0</v>
      </c>
      <c r="P60" s="45">
        <f t="shared" si="44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20.25" hidden="1" customHeight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hKO5uv94SSRZWOvrh72HRcpyoEQF9TsE_Cvxl77XNU4/edit?usp=share_link"",""กาญจนบุรี!L61"")+IMPORTRANGE(""https://docs.google.com/spreadsheets/d/1njBaP_xXd-Uotvo2D9zb01TTCFkLJLDK97Tk1l9Qux0/edit?usp=share_lin"&amp;"k"",""จันทบุรี!L61"")+IMPORTRANGE(""https://docs.google.com/spreadsheets/d/14xp6qUzrGFnUk_qnc1eEmfiaNRd4_grkhpfQH_46fa8/edit?usp=share_link"",""ฉะเชิงเทรา!L61"")+IMPORTRANGE(""https://docs.google.com/spreadsheets/d/1_Zwps30dlVa-pZFsorjVf1Pil6WXwzCsJU0U2wh"&amp;"O3NI/edit?usp=share_link"",""ชลบุรี!L61"")+IMPORTRANGE(""https://docs.google.com/spreadsheets/d/1xAsT4sUbBlom7l0acStESh_15nvjZcXjZM7fK5uZSq8/edit?usp=share_link"",""ชัยนาท!L61"")+IMPORTRANGE(""https://docs.google.com/spreadsheets/d/1vWPVBOAaZ6mHSI8yf95DNq"&amp;"HwTJ1cpeFsvqt6cxV34QA/edit?usp=share_link"",""ตราด!L61"")+IMPORTRANGE(""https://docs.google.com/spreadsheets/d/1phaeSb9lTGgzDpbvVqI9hfmOQQzUom07-HEvpbARzEg/edit?usp=share_link"",""นครนายก!L61"")+IMPORTRANGE(""https://docs.google.com/spreadsheets/d/1tpwhWw"&amp;"kqkBeiSWCcfB5f2fbwPRbM9hHOEDSDHpl2MIc/edit?usp=share_link"",""นครปฐม!L61"")+IMPORTRANGE(""https://docs.google.com/spreadsheets/d/1fJJCVBkBnhriyv0Cp5ZFMr0I_yrfdEITNpb4zILJgUQ/edit?usp=share_link"",""ปทุมธานี!L61"")+IMPORTRANGE(""https://docs.google.com/spr"&amp;"eadsheets/d/1W5Jj_S0gYw6wSO7QcMI02YgyOBDKYgmm0NSUk-AQEac/edit?usp=share_link"",""ประจวบคีรีขันธ์!L61"")+IMPORTRANGE(""https://docs.google.com/spreadsheets/d/1nYxRXgnCfTXtqUY1otYuTlnrzE0Tn-Y0YRsW5pkRVqo/edit?usp=share_link"",""ปราจีนบุรี!L61"")+IMPORTRANGE"&amp;"(""https://docs.google.com/spreadsheets/d/1nNHCLO8ZAXOMfQvxux7cf_hrzPAh8FAvaHq_ClKbZNo/edit?usp=share_link"",""พระนครศรีอยุธยา!L61"")+IMPORTRANGE(""https://docs.google.com/spreadsheets/d/1CdNicvf3i6yt4tJlCePe3V1Va76wYqW0QzMzTsaGRrA/edit?usp=share_link"","&amp;"""เพชรบุรี!L61"")+IMPORTRANGE(""https://docs.google.com/spreadsheets/d/1XiF77UIVHV0Kjc6xbXuOuJ10WgJYxd4p_22ngKVV5oM/edit?usp=share_link"",""ระยอง!L61"")+IMPORTRANGE(""https://docs.google.com/spreadsheets/d/1qU-W_9MCQD1pgIVXGEOjCFo9QqlmJywuebyGgaN92r8/edit"&amp;"?usp=share_link"",""ราชบุรี!L61"")+IMPORTRANGE(""https://docs.google.com/spreadsheets/d/1xYFIxIM_CspAP5Q-5Zx_V0T_Ut3cjryrjd2hss28vGk/edit?usp=share_link"",""ลพบุรี!L61"")+IMPORTRANGE(""https://docs.google.com/spreadsheets/d/11s9m3tKsCBdPWq6syhZm27eBGbKneD"&amp;"LZc75co106bio/edit?usp=share_link"",""สระแก้ว!L61"")+IMPORTRANGE(""https://docs.google.com/spreadsheets/d/1Nn1EvsFPtXldgpgVb3Rcng2K2cls68LFQsBh2FyW0Bg/edit?usp=share_link"",""สระบุรี!L61"")+IMPORTRANGE(""https://docs.google.com/spreadsheets/d/149xufxukrnE"&amp;"ciK3WPbNpHwUK8BKEJxp3UcBG3Al6dA4/edit?usp=share_link"",""สิงห์บุรี!L61"")+IMPORTRANGE(""https://docs.google.com/spreadsheets/d/132g-zJpz2uMKimp17uOIx8A7o3w1Z25zwJyXnwsB56c/edit?usp=share_link"",""สุพรรณบุรี!L61"")+IMPORTRANGE(""https://docs.google.com/spr"&amp;"eadsheets/d/12Q_U0nVnFdxDFwa0pej9xvx8ZvLC9Dpi_vRro_aiG5g/edit?usp=share_link"",""อ่างทอง!L61"")
"),5459700)</f>
        <v>5459700</v>
      </c>
      <c r="M61" s="52">
        <f ca="1">IFERROR(__xludf.DUMMYFUNCTION("IMPORTRANGE(""https://docs.google.com/spreadsheets/d/1hKO5uv94SSRZWOvrh72HRcpyoEQF9TsE_Cvxl77XNU4/edit?usp=share_link"",""กาญจนบุรี!M61"")+IMPORTRANGE(""https://docs.google.com/spreadsheets/d/1njBaP_xXd-Uotvo2D9zb01TTCFkLJLDK97Tk1l9Qux0/edit?usp=share_lin"&amp;"k"",""จันทบุรี!M61"")+IMPORTRANGE(""https://docs.google.com/spreadsheets/d/14xp6qUzrGFnUk_qnc1eEmfiaNRd4_grkhpfQH_46fa8/edit?usp=share_link"",""ฉะเชิงเทรา!M61"")+IMPORTRANGE(""https://docs.google.com/spreadsheets/d/1_Zwps30dlVa-pZFsorjVf1Pil6WXwzCsJU0U2wh"&amp;"O3NI/edit?usp=share_link"",""ชลบุรี!M61"")+IMPORTRANGE(""https://docs.google.com/spreadsheets/d/1xAsT4sUbBlom7l0acStESh_15nvjZcXjZM7fK5uZSq8/edit?usp=share_link"",""ชัยนาท!M61"")+IMPORTRANGE(""https://docs.google.com/spreadsheets/d/1vWPVBOAaZ6mHSI8yf95DNq"&amp;"HwTJ1cpeFsvqt6cxV34QA/edit?usp=share_link"",""ตราด!M61"")+IMPORTRANGE(""https://docs.google.com/spreadsheets/d/1phaeSb9lTGgzDpbvVqI9hfmOQQzUom07-HEvpbARzEg/edit?usp=share_link"",""นครนายก!M61"")+IMPORTRANGE(""https://docs.google.com/spreadsheets/d/1tpwhWw"&amp;"kqkBeiSWCcfB5f2fbwPRbM9hHOEDSDHpl2MIc/edit?usp=share_link"",""นครปฐม!M61"")+IMPORTRANGE(""https://docs.google.com/spreadsheets/d/1fJJCVBkBnhriyv0Cp5ZFMr0I_yrfdEITNpb4zILJgUQ/edit?usp=share_link"",""ปทุมธานี!M61"")+IMPORTRANGE(""https://docs.google.com/spr"&amp;"eadsheets/d/1W5Jj_S0gYw6wSO7QcMI02YgyOBDKYgmm0NSUk-AQEac/edit?usp=share_link"",""ประจวบคีรีขันธ์!M61"")+IMPORTRANGE(""https://docs.google.com/spreadsheets/d/1nYxRXgnCfTXtqUY1otYuTlnrzE0Tn-Y0YRsW5pkRVqo/edit?usp=share_link"",""ปราจีนบุรี!M61"")+IMPORTRANGE"&amp;"(""https://docs.google.com/spreadsheets/d/1nNHCLO8ZAXOMfQvxux7cf_hrzPAh8FAvaHq_ClKbZNo/edit?usp=share_link"",""พระนครศรีอยุธยา!M61"")+IMPORTRANGE(""https://docs.google.com/spreadsheets/d/1CdNicvf3i6yt4tJlCePe3V1Va76wYqW0QzMzTsaGRrA/edit?usp=share_link"","&amp;"""เพชรบุรี!M61"")+IMPORTRANGE(""https://docs.google.com/spreadsheets/d/1XiF77UIVHV0Kjc6xbXuOuJ10WgJYxd4p_22ngKVV5oM/edit?usp=share_link"",""ระยอง!M61"")+IMPORTRANGE(""https://docs.google.com/spreadsheets/d/1qU-W_9MCQD1pgIVXGEOjCFo9QqlmJywuebyGgaN92r8/edit"&amp;"?usp=share_link"",""ราชบุรี!M61"")+IMPORTRANGE(""https://docs.google.com/spreadsheets/d/1xYFIxIM_CspAP5Q-5Zx_V0T_Ut3cjryrjd2hss28vGk/edit?usp=share_link"",""ลพบุรี!M61"")+IMPORTRANGE(""https://docs.google.com/spreadsheets/d/11s9m3tKsCBdPWq6syhZm27eBGbKneD"&amp;"LZc75co106bio/edit?usp=share_link"",""สระแก้ว!M61"")+IMPORTRANGE(""https://docs.google.com/spreadsheets/d/1Nn1EvsFPtXldgpgVb3Rcng2K2cls68LFQsBh2FyW0Bg/edit?usp=share_link"",""สระบุรี!M61"")+IMPORTRANGE(""https://docs.google.com/spreadsheets/d/149xufxukrnE"&amp;"ciK3WPbNpHwUK8BKEJxp3UcBG3Al6dA4/edit?usp=share_link"",""สิงห์บุรี!M61"")+IMPORTRANGE(""https://docs.google.com/spreadsheets/d/132g-zJpz2uMKimp17uOIx8A7o3w1Z25zwJyXnwsB56c/edit?usp=share_link"",""สุพรรณบุรี!M61"")+IMPORTRANGE(""https://docs.google.com/spr"&amp;"eadsheets/d/12Q_U0nVnFdxDFwa0pej9xvx8ZvLC9Dpi_vRro_aiG5g/edit?usp=share_link"",""อ่างทอง!M61"")
"),5930300)</f>
        <v>5930300</v>
      </c>
      <c r="N61" s="52">
        <f ca="1">IFERROR(__xludf.DUMMYFUNCTION("IMPORTRANGE(""https://docs.google.com/spreadsheets/d/1hKO5uv94SSRZWOvrh72HRcpyoEQF9TsE_Cvxl77XNU4/edit?usp=share_link"",""กาญจนบุรี!n61"")+IMPORTRANGE(""https://docs.google.com/spreadsheets/d/1njBaP_xXd-Uotvo2D9zb01TTCFkLJLDK97Tk1l9Qux0/edit?usp=share_lin"&amp;"k"",""จันทบุรี!n61"")+IMPORTRANGE(""https://docs.google.com/spreadsheets/d/14xp6qUzrGFnUk_qnc1eEmfiaNRd4_grkhpfQH_46fa8/edit?usp=share_link"",""ฉะเชิงเทรา!n61"")+IMPORTRANGE(""https://docs.google.com/spreadsheets/d/1_Zwps30dlVa-pZFsorjVf1Pil6WXwzCsJU0U2wh"&amp;"O3NI/edit?usp=share_link"",""ชลบุรี!n61"")+IMPORTRANGE(""https://docs.google.com/spreadsheets/d/1xAsT4sUbBlom7l0acStESh_15nvjZcXjZM7fK5uZSq8/edit?usp=share_link"",""ชัยนาท!n61"")+IMPORTRANGE(""https://docs.google.com/spreadsheets/d/1vWPVBOAaZ6mHSI8yf95DNq"&amp;"HwTJ1cpeFsvqt6cxV34QA/edit?usp=share_link"",""ตราด!n61"")+IMPORTRANGE(""https://docs.google.com/spreadsheets/d/1phaeSb9lTGgzDpbvVqI9hfmOQQzUom07-HEvpbARzEg/edit?usp=share_link"",""นครนายก!n61"")+IMPORTRANGE(""https://docs.google.com/spreadsheets/d/1tpwhWw"&amp;"kqkBeiSWCcfB5f2fbwPRbM9hHOEDSDHpl2MIc/edit?usp=share_link"",""นครปฐม!n61"")+IMPORTRANGE(""https://docs.google.com/spreadsheets/d/1fJJCVBkBnhriyv0Cp5ZFMr0I_yrfdEITNpb4zILJgUQ/edit?usp=share_link"",""ปทุมธานี!n61"")+IMPORTRANGE(""https://docs.google.com/spr"&amp;"eadsheets/d/1W5Jj_S0gYw6wSO7QcMI02YgyOBDKYgmm0NSUk-AQEac/edit?usp=share_link"",""ประจวบคีรีขันธ์!n61"")+IMPORTRANGE(""https://docs.google.com/spreadsheets/d/1nYxRXgnCfTXtqUY1otYuTlnrzE0Tn-Y0YRsW5pkRVqo/edit?usp=share_link"",""ปราจีนบุรี!n61"")+IMPORTRANGE"&amp;"(""https://docs.google.com/spreadsheets/d/1nNHCLO8ZAXOMfQvxux7cf_hrzPAh8FAvaHq_ClKbZNo/edit?usp=share_link"",""พระนครศรีอยุธยา!n61"")+IMPORTRANGE(""https://docs.google.com/spreadsheets/d/1CdNicvf3i6yt4tJlCePe3V1Va76wYqW0QzMzTsaGRrA/edit?usp=share_link"","&amp;"""เพชรบุรี!n61"")+IMPORTRANGE(""https://docs.google.com/spreadsheets/d/1XiF77UIVHV0Kjc6xbXuOuJ10WgJYxd4p_22ngKVV5oM/edit?usp=share_link"",""ระยอง!n61"")+IMPORTRANGE(""https://docs.google.com/spreadsheets/d/1qU-W_9MCQD1pgIVXGEOjCFo9QqlmJywuebyGgaN92r8/edit"&amp;"?usp=share_link"",""ราชบุรี!n61"")+IMPORTRANGE(""https://docs.google.com/spreadsheets/d/1xYFIxIM_CspAP5Q-5Zx_V0T_Ut3cjryrjd2hss28vGk/edit?usp=share_link"",""ลพบุรี!n61"")+IMPORTRANGE(""https://docs.google.com/spreadsheets/d/11s9m3tKsCBdPWq6syhZm27eBGbKneD"&amp;"LZc75co106bio/edit?usp=share_link"",""สระแก้ว!n61"")+IMPORTRANGE(""https://docs.google.com/spreadsheets/d/1Nn1EvsFPtXldgpgVb3Rcng2K2cls68LFQsBh2FyW0Bg/edit?usp=share_link"",""สระบุรี!n61"")+IMPORTRANGE(""https://docs.google.com/spreadsheets/d/149xufxukrnE"&amp;"ciK3WPbNpHwUK8BKEJxp3UcBG3Al6dA4/edit?usp=share_link"",""สิงห์บุรี!n61"")+IMPORTRANGE(""https://docs.google.com/spreadsheets/d/132g-zJpz2uMKimp17uOIx8A7o3w1Z25zwJyXnwsB56c/edit?usp=share_link"",""สุพรรณบุรี!n61"")+IMPORTRANGE(""https://docs.google.com/spr"&amp;"eadsheets/d/12Q_U0nVnFdxDFwa0pej9xvx8ZvLC9Dpi_vRro_aiG5g/edit?usp=share_link"",""อ่างทอง!n61"")
"),4945500)</f>
        <v>4945500</v>
      </c>
      <c r="O61" s="52">
        <f t="shared" ca="1" si="43"/>
        <v>90.581900104401342</v>
      </c>
      <c r="P61" s="52">
        <f t="shared" ca="1" si="44"/>
        <v>83.393757482758033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20.25" customHeight="1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20.25" customHeight="1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20.25" customHeight="1">
      <c r="A64" s="138"/>
      <c r="B64" s="139" t="s">
        <v>33</v>
      </c>
      <c r="C64" s="140"/>
      <c r="D64" s="141"/>
      <c r="E64" s="140"/>
      <c r="F64" s="140"/>
      <c r="G64" s="142"/>
      <c r="H64" s="143" t="s">
        <v>34</v>
      </c>
      <c r="I64" s="144">
        <f t="shared" ref="I64:J64" ca="1" si="49">I76</f>
        <v>8</v>
      </c>
      <c r="J64" s="144">
        <f t="shared" ca="1" si="49"/>
        <v>1</v>
      </c>
      <c r="K64" s="145">
        <f t="shared" ref="K64:K65" ca="1" si="50">IF(I64&gt;0,J64*100/I64,0)</f>
        <v>12.5</v>
      </c>
      <c r="L64" s="146"/>
      <c r="M64" s="146"/>
      <c r="N64" s="146"/>
      <c r="O64" s="146"/>
      <c r="P64" s="146"/>
    </row>
    <row r="65" spans="1:26" ht="20.25" customHeight="1">
      <c r="A65" s="138"/>
      <c r="B65" s="140"/>
      <c r="C65" s="140"/>
      <c r="D65" s="141"/>
      <c r="E65" s="140"/>
      <c r="F65" s="140"/>
      <c r="G65" s="142"/>
      <c r="H65" s="143" t="s">
        <v>35</v>
      </c>
      <c r="I65" s="144">
        <f t="shared" ref="I65:J65" ca="1" si="51">I77</f>
        <v>450</v>
      </c>
      <c r="J65" s="144">
        <f t="shared" ca="1" si="51"/>
        <v>53</v>
      </c>
      <c r="K65" s="145">
        <f t="shared" ca="1" si="50"/>
        <v>11.777777777777779</v>
      </c>
      <c r="L65" s="146"/>
      <c r="M65" s="146"/>
      <c r="N65" s="146"/>
      <c r="O65" s="146"/>
      <c r="P65" s="146"/>
    </row>
    <row r="66" spans="1:26" ht="20.25" customHeight="1">
      <c r="A66" s="147"/>
      <c r="B66" s="148"/>
      <c r="C66" s="149" t="s">
        <v>16</v>
      </c>
      <c r="D66" s="150" t="s">
        <v>17</v>
      </c>
      <c r="E66" s="148"/>
      <c r="F66" s="148"/>
      <c r="G66" s="151"/>
      <c r="H66" s="152" t="s">
        <v>12</v>
      </c>
      <c r="I66" s="153"/>
      <c r="J66" s="153"/>
      <c r="K66" s="154"/>
      <c r="L66" s="155">
        <f t="shared" ref="L66:N66" ca="1" si="52">L67+L68</f>
        <v>5761100</v>
      </c>
      <c r="M66" s="155">
        <f t="shared" ca="1" si="52"/>
        <v>2774050</v>
      </c>
      <c r="N66" s="155">
        <f t="shared" ca="1" si="52"/>
        <v>1091346.6599999999</v>
      </c>
      <c r="O66" s="155">
        <f t="shared" ref="O66:O74" ca="1" si="53">IF(L66&gt;0,N66*100/L66,0)</f>
        <v>18.943372966968113</v>
      </c>
      <c r="P66" s="155">
        <f t="shared" ref="P66:P74" ca="1" si="54">IF(M66&gt;0,N66*100/M66,0)</f>
        <v>39.341275752059261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20.25" hidden="1" customHeight="1">
      <c r="A67" s="156"/>
      <c r="B67" s="40"/>
      <c r="C67" s="40"/>
      <c r="D67" s="40"/>
      <c r="E67" s="41" t="s">
        <v>18</v>
      </c>
      <c r="F67" s="40"/>
      <c r="G67" s="157"/>
      <c r="H67" s="158" t="s">
        <v>12</v>
      </c>
      <c r="I67" s="44"/>
      <c r="J67" s="44"/>
      <c r="K67" s="45"/>
      <c r="L67" s="45">
        <f t="shared" ref="L67:N67" si="55">L70+L73</f>
        <v>0</v>
      </c>
      <c r="M67" s="45">
        <f t="shared" si="55"/>
        <v>0</v>
      </c>
      <c r="N67" s="45">
        <f t="shared" si="55"/>
        <v>0</v>
      </c>
      <c r="O67" s="45">
        <f t="shared" si="53"/>
        <v>0</v>
      </c>
      <c r="P67" s="45">
        <f t="shared" si="54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20.25" hidden="1" customHeight="1">
      <c r="A68" s="156"/>
      <c r="B68" s="40"/>
      <c r="C68" s="40"/>
      <c r="D68" s="40"/>
      <c r="E68" s="41" t="s">
        <v>19</v>
      </c>
      <c r="F68" s="40"/>
      <c r="G68" s="157"/>
      <c r="H68" s="158" t="s">
        <v>12</v>
      </c>
      <c r="I68" s="44"/>
      <c r="J68" s="44"/>
      <c r="K68" s="45"/>
      <c r="L68" s="45">
        <f t="shared" ref="L68:N68" ca="1" si="56">L71+L74</f>
        <v>5761100</v>
      </c>
      <c r="M68" s="45">
        <f t="shared" ca="1" si="56"/>
        <v>2774050</v>
      </c>
      <c r="N68" s="45">
        <f t="shared" ca="1" si="56"/>
        <v>1091346.6599999999</v>
      </c>
      <c r="O68" s="45">
        <f t="shared" ca="1" si="53"/>
        <v>18.943372966968113</v>
      </c>
      <c r="P68" s="45">
        <f t="shared" ca="1" si="54"/>
        <v>39.341275752059261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20.25" customHeight="1">
      <c r="A69" s="159"/>
      <c r="B69" s="33"/>
      <c r="C69" s="160"/>
      <c r="D69" s="34" t="s">
        <v>20</v>
      </c>
      <c r="E69" s="33"/>
      <c r="F69" s="33"/>
      <c r="G69" s="35"/>
      <c r="H69" s="161" t="s">
        <v>12</v>
      </c>
      <c r="I69" s="162"/>
      <c r="J69" s="162"/>
      <c r="K69" s="163"/>
      <c r="L69" s="38">
        <f t="shared" ref="L69:N69" ca="1" si="57">L70+L71</f>
        <v>5761100</v>
      </c>
      <c r="M69" s="38">
        <f t="shared" ca="1" si="57"/>
        <v>2774050</v>
      </c>
      <c r="N69" s="38">
        <f t="shared" ca="1" si="57"/>
        <v>1091346.6599999999</v>
      </c>
      <c r="O69" s="38">
        <f t="shared" ca="1" si="53"/>
        <v>18.943372966968113</v>
      </c>
      <c r="P69" s="38">
        <f t="shared" ca="1" si="54"/>
        <v>39.341275752059261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20.25" hidden="1" customHeight="1">
      <c r="A70" s="156"/>
      <c r="B70" s="40"/>
      <c r="C70" s="164"/>
      <c r="D70" s="40"/>
      <c r="E70" s="41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45">
        <f t="shared" si="53"/>
        <v>0</v>
      </c>
      <c r="P70" s="45">
        <f t="shared" si="54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20.25" hidden="1" customHeight="1">
      <c r="A71" s="156"/>
      <c r="B71" s="40"/>
      <c r="C71" s="164"/>
      <c r="D71" s="40"/>
      <c r="E71" s="41" t="s">
        <v>37</v>
      </c>
      <c r="F71" s="40"/>
      <c r="G71" s="157"/>
      <c r="H71" s="165" t="s">
        <v>12</v>
      </c>
      <c r="I71" s="166"/>
      <c r="J71" s="166"/>
      <c r="K71" s="167"/>
      <c r="L71" s="45">
        <f ca="1">IFERROR(__xludf.DUMMYFUNCTION("IMPORTRANGE(""https://docs.google.com/spreadsheets/d/1hKO5uv94SSRZWOvrh72HRcpyoEQF9TsE_Cvxl77XNU4/edit?usp=share_link"",""กาญจนบุรี!L71"")+IMPORTRANGE(""https://docs.google.com/spreadsheets/d/1njBaP_xXd-Uotvo2D9zb01TTCFkLJLDK97Tk1l9Qux0/edit?usp=share_lin"&amp;"k"",""จันทบุรี!L71"")+IMPORTRANGE(""https://docs.google.com/spreadsheets/d/14xp6qUzrGFnUk_qnc1eEmfiaNRd4_grkhpfQH_46fa8/edit?usp=share_link"",""ฉะเชิงเทรา!L71"")+IMPORTRANGE(""https://docs.google.com/spreadsheets/d/1_Zwps30dlVa-pZFsorjVf1Pil6WXwzCsJU0U2wh"&amp;"O3NI/edit?usp=share_link"",""ชลบุรี!L71"")+IMPORTRANGE(""https://docs.google.com/spreadsheets/d/1xAsT4sUbBlom7l0acStESh_15nvjZcXjZM7fK5uZSq8/edit?usp=share_link"",""ชัยนาท!L71"")+IMPORTRANGE(""https://docs.google.com/spreadsheets/d/1vWPVBOAaZ6mHSI8yf95DNq"&amp;"HwTJ1cpeFsvqt6cxV34QA/edit?usp=share_link"",""ตราด!L71"")+IMPORTRANGE(""https://docs.google.com/spreadsheets/d/1phaeSb9lTGgzDpbvVqI9hfmOQQzUom07-HEvpbARzEg/edit?usp=share_link"",""นครนายก!L71"")+IMPORTRANGE(""https://docs.google.com/spreadsheets/d/1tpwhWw"&amp;"kqkBeiSWCcfB5f2fbwPRbM9hHOEDSDHpl2MIc/edit?usp=share_link"",""นครปฐม!L71"")+IMPORTRANGE(""https://docs.google.com/spreadsheets/d/1fJJCVBkBnhriyv0Cp5ZFMr0I_yrfdEITNpb4zILJgUQ/edit?usp=share_link"",""ปทุมธานี!L71"")+IMPORTRANGE(""https://docs.google.com/spr"&amp;"eadsheets/d/1W5Jj_S0gYw6wSO7QcMI02YgyOBDKYgmm0NSUk-AQEac/edit?usp=share_link"",""ประจวบคีรีขันธ์!L71"")+IMPORTRANGE(""https://docs.google.com/spreadsheets/d/1nYxRXgnCfTXtqUY1otYuTlnrzE0Tn-Y0YRsW5pkRVqo/edit?usp=share_link"",""ปราจีนบุรี!L71"")+IMPORTRANGE"&amp;"(""https://docs.google.com/spreadsheets/d/1nNHCLO8ZAXOMfQvxux7cf_hrzPAh8FAvaHq_ClKbZNo/edit?usp=share_link"",""พระนครศรีอยุธยา!L71"")+IMPORTRANGE(""https://docs.google.com/spreadsheets/d/1CdNicvf3i6yt4tJlCePe3V1Va76wYqW0QzMzTsaGRrA/edit?usp=share_link"","&amp;"""เพชรบุรี!L71"")+IMPORTRANGE(""https://docs.google.com/spreadsheets/d/1XiF77UIVHV0Kjc6xbXuOuJ10WgJYxd4p_22ngKVV5oM/edit?usp=share_link"",""ระยอง!L71"")+IMPORTRANGE(""https://docs.google.com/spreadsheets/d/1qU-W_9MCQD1pgIVXGEOjCFo9QqlmJywuebyGgaN92r8/edit"&amp;"?usp=share_link"",""ราชบุรี!L71"")+IMPORTRANGE(""https://docs.google.com/spreadsheets/d/1xYFIxIM_CspAP5Q-5Zx_V0T_Ut3cjryrjd2hss28vGk/edit?usp=share_link"",""ลพบุรี!L71"")+IMPORTRANGE(""https://docs.google.com/spreadsheets/d/11s9m3tKsCBdPWq6syhZm27eBGbKneD"&amp;"LZc75co106bio/edit?usp=share_link"",""สระแก้ว!L71"")+IMPORTRANGE(""https://docs.google.com/spreadsheets/d/1Nn1EvsFPtXldgpgVb3Rcng2K2cls68LFQsBh2FyW0Bg/edit?usp=share_link"",""สระบุรี!L71"")+IMPORTRANGE(""https://docs.google.com/spreadsheets/d/149xufxukrnE"&amp;"ciK3WPbNpHwUK8BKEJxp3UcBG3Al6dA4/edit?usp=share_link"",""สิงห์บุรี!L71"")+IMPORTRANGE(""https://docs.google.com/spreadsheets/d/132g-zJpz2uMKimp17uOIx8A7o3w1Z25zwJyXnwsB56c/edit?usp=share_link"",""สุพรรณบุรี!L71"")+IMPORTRANGE(""https://docs.google.com/spr"&amp;"eadsheets/d/12Q_U0nVnFdxDFwa0pej9xvx8ZvLC9Dpi_vRro_aiG5g/edit?usp=share_link"",""อ่างทอง!L71"")
"),5761100)</f>
        <v>5761100</v>
      </c>
      <c r="M71" s="45">
        <f ca="1">IFERROR(__xludf.DUMMYFUNCTION("IMPORTRANGE(""https://docs.google.com/spreadsheets/d/1hKO5uv94SSRZWOvrh72HRcpyoEQF9TsE_Cvxl77XNU4/edit?usp=share_link"",""กาญจนบุรี!M71"")+IMPORTRANGE(""https://docs.google.com/spreadsheets/d/1njBaP_xXd-Uotvo2D9zb01TTCFkLJLDK97Tk1l9Qux0/edit?usp=share_lin"&amp;"k"",""จันทบุรี!M71"")+IMPORTRANGE(""https://docs.google.com/spreadsheets/d/14xp6qUzrGFnUk_qnc1eEmfiaNRd4_grkhpfQH_46fa8/edit?usp=share_link"",""ฉะเชิงเทรา!M71"")+IMPORTRANGE(""https://docs.google.com/spreadsheets/d/1_Zwps30dlVa-pZFsorjVf1Pil6WXwzCsJU0U2wh"&amp;"O3NI/edit?usp=share_link"",""ชลบุรี!M71"")+IMPORTRANGE(""https://docs.google.com/spreadsheets/d/1xAsT4sUbBlom7l0acStESh_15nvjZcXjZM7fK5uZSq8/edit?usp=share_link"",""ชัยนาท!M71"")+IMPORTRANGE(""https://docs.google.com/spreadsheets/d/1vWPVBOAaZ6mHSI8yf95DNq"&amp;"HwTJ1cpeFsvqt6cxV34QA/edit?usp=share_link"",""ตราด!M71"")+IMPORTRANGE(""https://docs.google.com/spreadsheets/d/1phaeSb9lTGgzDpbvVqI9hfmOQQzUom07-HEvpbARzEg/edit?usp=share_link"",""นครนายก!M71"")+IMPORTRANGE(""https://docs.google.com/spreadsheets/d/1tpwhWw"&amp;"kqkBeiSWCcfB5f2fbwPRbM9hHOEDSDHpl2MIc/edit?usp=share_link"",""นครปฐม!M71"")+IMPORTRANGE(""https://docs.google.com/spreadsheets/d/1fJJCVBkBnhriyv0Cp5ZFMr0I_yrfdEITNpb4zILJgUQ/edit?usp=share_link"",""ปทุมธานี!M71"")+IMPORTRANGE(""https://docs.google.com/spr"&amp;"eadsheets/d/1W5Jj_S0gYw6wSO7QcMI02YgyOBDKYgmm0NSUk-AQEac/edit?usp=share_link"",""ประจวบคีรีขันธ์!M71"")+IMPORTRANGE(""https://docs.google.com/spreadsheets/d/1nYxRXgnCfTXtqUY1otYuTlnrzE0Tn-Y0YRsW5pkRVqo/edit?usp=share_link"",""ปราจีนบุรี!M71"")+IMPORTRANGE"&amp;"(""https://docs.google.com/spreadsheets/d/1nNHCLO8ZAXOMfQvxux7cf_hrzPAh8FAvaHq_ClKbZNo/edit?usp=share_link"",""พระนครศรีอยุธยา!M71"")+IMPORTRANGE(""https://docs.google.com/spreadsheets/d/1CdNicvf3i6yt4tJlCePe3V1Va76wYqW0QzMzTsaGRrA/edit?usp=share_link"","&amp;"""เพชรบุรี!M71"")+IMPORTRANGE(""https://docs.google.com/spreadsheets/d/1XiF77UIVHV0Kjc6xbXuOuJ10WgJYxd4p_22ngKVV5oM/edit?usp=share_link"",""ระยอง!M71"")+IMPORTRANGE(""https://docs.google.com/spreadsheets/d/1qU-W_9MCQD1pgIVXGEOjCFo9QqlmJywuebyGgaN92r8/edit"&amp;"?usp=share_link"",""ราชบุรี!M71"")+IMPORTRANGE(""https://docs.google.com/spreadsheets/d/1xYFIxIM_CspAP5Q-5Zx_V0T_Ut3cjryrjd2hss28vGk/edit?usp=share_link"",""ลพบุรี!M71"")+IMPORTRANGE(""https://docs.google.com/spreadsheets/d/11s9m3tKsCBdPWq6syhZm27eBGbKneD"&amp;"LZc75co106bio/edit?usp=share_link"",""สระแก้ว!M71"")+IMPORTRANGE(""https://docs.google.com/spreadsheets/d/1Nn1EvsFPtXldgpgVb3Rcng2K2cls68LFQsBh2FyW0Bg/edit?usp=share_link"",""สระบุรี!M71"")+IMPORTRANGE(""https://docs.google.com/spreadsheets/d/149xufxukrnE"&amp;"ciK3WPbNpHwUK8BKEJxp3UcBG3Al6dA4/edit?usp=share_link"",""สิงห์บุรี!M71"")+IMPORTRANGE(""https://docs.google.com/spreadsheets/d/132g-zJpz2uMKimp17uOIx8A7o3w1Z25zwJyXnwsB56c/edit?usp=share_link"",""สุพรรณบุรี!M71"")+IMPORTRANGE(""https://docs.google.com/spr"&amp;"eadsheets/d/12Q_U0nVnFdxDFwa0pej9xvx8ZvLC9Dpi_vRro_aiG5g/edit?usp=share_link"",""อ่างทอง!M71"")
"),2774050)</f>
        <v>2774050</v>
      </c>
      <c r="N71" s="45">
        <f ca="1">IFERROR(__xludf.DUMMYFUNCTION("IMPORTRANGE(""https://docs.google.com/spreadsheets/d/1hKO5uv94SSRZWOvrh72HRcpyoEQF9TsE_Cvxl77XNU4/edit?usp=share_link"",""กาญจนบุรี!n71"")+IMPORTRANGE(""https://docs.google.com/spreadsheets/d/1njBaP_xXd-Uotvo2D9zb01TTCFkLJLDK97Tk1l9Qux0/edit?usp=share_lin"&amp;"k"",""จันทบุรี!n71"")+IMPORTRANGE(""https://docs.google.com/spreadsheets/d/14xp6qUzrGFnUk_qnc1eEmfiaNRd4_grkhpfQH_46fa8/edit?usp=share_link"",""ฉะเชิงเทรา!n71"")+IMPORTRANGE(""https://docs.google.com/spreadsheets/d/1_Zwps30dlVa-pZFsorjVf1Pil6WXwzCsJU0U2wh"&amp;"O3NI/edit?usp=share_link"",""ชลบุรี!n71"")+IMPORTRANGE(""https://docs.google.com/spreadsheets/d/1xAsT4sUbBlom7l0acStESh_15nvjZcXjZM7fK5uZSq8/edit?usp=share_link"",""ชัยนาท!n71"")+IMPORTRANGE(""https://docs.google.com/spreadsheets/d/1vWPVBOAaZ6mHSI8yf95DNq"&amp;"HwTJ1cpeFsvqt6cxV34QA/edit?usp=share_link"",""ตราด!n71"")+IMPORTRANGE(""https://docs.google.com/spreadsheets/d/1phaeSb9lTGgzDpbvVqI9hfmOQQzUom07-HEvpbARzEg/edit?usp=share_link"",""นครนายก!n71"")+IMPORTRANGE(""https://docs.google.com/spreadsheets/d/1tpwhWw"&amp;"kqkBeiSWCcfB5f2fbwPRbM9hHOEDSDHpl2MIc/edit?usp=share_link"",""นครปฐม!n71"")+IMPORTRANGE(""https://docs.google.com/spreadsheets/d/1fJJCVBkBnhriyv0Cp5ZFMr0I_yrfdEITNpb4zILJgUQ/edit?usp=share_link"",""ปทุมธานี!n71"")+IMPORTRANGE(""https://docs.google.com/spr"&amp;"eadsheets/d/1W5Jj_S0gYw6wSO7QcMI02YgyOBDKYgmm0NSUk-AQEac/edit?usp=share_link"",""ประจวบคีรีขันธ์!n71"")+IMPORTRANGE(""https://docs.google.com/spreadsheets/d/1nYxRXgnCfTXtqUY1otYuTlnrzE0Tn-Y0YRsW5pkRVqo/edit?usp=share_link"",""ปราจีนบุรี!n71"")+IMPORTRANGE"&amp;"(""https://docs.google.com/spreadsheets/d/1nNHCLO8ZAXOMfQvxux7cf_hrzPAh8FAvaHq_ClKbZNo/edit?usp=share_link"",""พระนครศรีอยุธยา!n71"")+IMPORTRANGE(""https://docs.google.com/spreadsheets/d/1CdNicvf3i6yt4tJlCePe3V1Va76wYqW0QzMzTsaGRrA/edit?usp=share_link"","&amp;"""เพชรบุรี!n71"")+IMPORTRANGE(""https://docs.google.com/spreadsheets/d/1XiF77UIVHV0Kjc6xbXuOuJ10WgJYxd4p_22ngKVV5oM/edit?usp=share_link"",""ระยอง!n71"")+IMPORTRANGE(""https://docs.google.com/spreadsheets/d/1qU-W_9MCQD1pgIVXGEOjCFo9QqlmJywuebyGgaN92r8/edit"&amp;"?usp=share_link"",""ราชบุรี!n71"")+IMPORTRANGE(""https://docs.google.com/spreadsheets/d/1xYFIxIM_CspAP5Q-5Zx_V0T_Ut3cjryrjd2hss28vGk/edit?usp=share_link"",""ลพบุรี!n71"")+IMPORTRANGE(""https://docs.google.com/spreadsheets/d/11s9m3tKsCBdPWq6syhZm27eBGbKneD"&amp;"LZc75co106bio/edit?usp=share_link"",""สระแก้ว!n71"")+IMPORTRANGE(""https://docs.google.com/spreadsheets/d/1Nn1EvsFPtXldgpgVb3Rcng2K2cls68LFQsBh2FyW0Bg/edit?usp=share_link"",""สระบุรี!n71"")+IMPORTRANGE(""https://docs.google.com/spreadsheets/d/149xufxukrnE"&amp;"ciK3WPbNpHwUK8BKEJxp3UcBG3Al6dA4/edit?usp=share_link"",""สิงห์บุรี!n71"")+IMPORTRANGE(""https://docs.google.com/spreadsheets/d/132g-zJpz2uMKimp17uOIx8A7o3w1Z25zwJyXnwsB56c/edit?usp=share_link"",""สุพรรณบุรี!n71"")+IMPORTRANGE(""https://docs.google.com/spr"&amp;"eadsheets/d/12Q_U0nVnFdxDFwa0pej9xvx8ZvLC9Dpi_vRro_aiG5g/edit?usp=share_link"",""อ่างทอง!n71"")
"),1091346.66)</f>
        <v>1091346.6599999999</v>
      </c>
      <c r="O71" s="45">
        <f t="shared" ca="1" si="53"/>
        <v>18.943372966968113</v>
      </c>
      <c r="P71" s="45">
        <f t="shared" ca="1" si="54"/>
        <v>39.341275752059261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20.25" customHeight="1">
      <c r="A72" s="159"/>
      <c r="B72" s="33"/>
      <c r="C72" s="160"/>
      <c r="D72" s="34" t="s">
        <v>21</v>
      </c>
      <c r="E72" s="33"/>
      <c r="F72" s="33"/>
      <c r="G72" s="35"/>
      <c r="H72" s="168" t="s">
        <v>12</v>
      </c>
      <c r="I72" s="162"/>
      <c r="J72" s="162"/>
      <c r="K72" s="163"/>
      <c r="L72" s="38">
        <f t="shared" ref="L72:N72" ca="1" si="58">L73+L74</f>
        <v>0</v>
      </c>
      <c r="M72" s="38">
        <f t="shared" ca="1" si="58"/>
        <v>0</v>
      </c>
      <c r="N72" s="38">
        <f t="shared" ca="1" si="58"/>
        <v>0</v>
      </c>
      <c r="O72" s="38">
        <f t="shared" ca="1" si="53"/>
        <v>0</v>
      </c>
      <c r="P72" s="38">
        <f t="shared" ca="1" si="54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20.25" hidden="1" customHeight="1">
      <c r="A73" s="156"/>
      <c r="B73" s="40"/>
      <c r="C73" s="164"/>
      <c r="D73" s="40"/>
      <c r="E73" s="41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45"/>
      <c r="N73" s="45"/>
      <c r="O73" s="45">
        <f t="shared" si="53"/>
        <v>0</v>
      </c>
      <c r="P73" s="45">
        <f t="shared" si="54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20.25" hidden="1" customHeight="1">
      <c r="A74" s="156"/>
      <c r="B74" s="40"/>
      <c r="C74" s="164"/>
      <c r="D74" s="40"/>
      <c r="E74" s="41" t="s">
        <v>19</v>
      </c>
      <c r="F74" s="40"/>
      <c r="G74" s="157"/>
      <c r="H74" s="169" t="s">
        <v>12</v>
      </c>
      <c r="I74" s="166"/>
      <c r="J74" s="166"/>
      <c r="K74" s="167"/>
      <c r="L74" s="45">
        <f ca="1">IFERROR(__xludf.DUMMYFUNCTION("IMPORTRANGE(""https://docs.google.com/spreadsheets/d/1hKO5uv94SSRZWOvrh72HRcpyoEQF9TsE_Cvxl77XNU4/edit?usp=share_link"",""กาญจนบุรี!L74"")+IMPORTRANGE(""https://docs.google.com/spreadsheets/d/1njBaP_xXd-Uotvo2D9zb01TTCFkLJLDK97Tk1l9Qux0/edit?usp=share_lin"&amp;"k"",""จันทบุรี!L74"")+IMPORTRANGE(""https://docs.google.com/spreadsheets/d/14xp6qUzrGFnUk_qnc1eEmfiaNRd4_grkhpfQH_46fa8/edit?usp=share_link"",""ฉะเชิงเทรา!L74"")+IMPORTRANGE(""https://docs.google.com/spreadsheets/d/1_Zwps30dlVa-pZFsorjVf1Pil6WXwzCsJU0U2wh"&amp;"O3NI/edit?usp=share_link"",""ชลบุรี!L74"")+IMPORTRANGE(""https://docs.google.com/spreadsheets/d/1xAsT4sUbBlom7l0acStESh_15nvjZcXjZM7fK5uZSq8/edit?usp=share_link"",""ชัยนาท!L74"")+IMPORTRANGE(""https://docs.google.com/spreadsheets/d/1vWPVBOAaZ6mHSI8yf95DNq"&amp;"HwTJ1cpeFsvqt6cxV34QA/edit?usp=share_link"",""ตราด!L74"")+IMPORTRANGE(""https://docs.google.com/spreadsheets/d/1phaeSb9lTGgzDpbvVqI9hfmOQQzUom07-HEvpbARzEg/edit?usp=share_link"",""นครนายก!L74"")+IMPORTRANGE(""https://docs.google.com/spreadsheets/d/1tpwhWw"&amp;"kqkBeiSWCcfB5f2fbwPRbM9hHOEDSDHpl2MIc/edit?usp=share_link"",""นครปฐม!L74"")+IMPORTRANGE(""https://docs.google.com/spreadsheets/d/1fJJCVBkBnhriyv0Cp5ZFMr0I_yrfdEITNpb4zILJgUQ/edit?usp=share_link"",""ปทุมธานี!L74"")+IMPORTRANGE(""https://docs.google.com/spr"&amp;"eadsheets/d/1W5Jj_S0gYw6wSO7QcMI02YgyOBDKYgmm0NSUk-AQEac/edit?usp=share_link"",""ประจวบคีรีขันธ์!L74"")+IMPORTRANGE(""https://docs.google.com/spreadsheets/d/1nYxRXgnCfTXtqUY1otYuTlnrzE0Tn-Y0YRsW5pkRVqo/edit?usp=share_link"",""ปราจีนบุรี!L74"")+IMPORTRANGE"&amp;"(""https://docs.google.com/spreadsheets/d/1nNHCLO8ZAXOMfQvxux7cf_hrzPAh8FAvaHq_ClKbZNo/edit?usp=share_link"",""พระนครศรีอยุธยา!L74"")+IMPORTRANGE(""https://docs.google.com/spreadsheets/d/1CdNicvf3i6yt4tJlCePe3V1Va76wYqW0QzMzTsaGRrA/edit?usp=share_link"","&amp;"""เพชรบุรี!L74"")+IMPORTRANGE(""https://docs.google.com/spreadsheets/d/1XiF77UIVHV0Kjc6xbXuOuJ10WgJYxd4p_22ngKVV5oM/edit?usp=share_link"",""ระยอง!L74"")+IMPORTRANGE(""https://docs.google.com/spreadsheets/d/1qU-W_9MCQD1pgIVXGEOjCFo9QqlmJywuebyGgaN92r8/edit"&amp;"?usp=share_link"",""ราชบุรี!L74"")+IMPORTRANGE(""https://docs.google.com/spreadsheets/d/1xYFIxIM_CspAP5Q-5Zx_V0T_Ut3cjryrjd2hss28vGk/edit?usp=share_link"",""ลพบุรี!L74"")+IMPORTRANGE(""https://docs.google.com/spreadsheets/d/11s9m3tKsCBdPWq6syhZm27eBGbKneD"&amp;"LZc75co106bio/edit?usp=share_link"",""สระแก้ว!L74"")+IMPORTRANGE(""https://docs.google.com/spreadsheets/d/1Nn1EvsFPtXldgpgVb3Rcng2K2cls68LFQsBh2FyW0Bg/edit?usp=share_link"",""สระบุรี!L74"")+IMPORTRANGE(""https://docs.google.com/spreadsheets/d/149xufxukrnE"&amp;"ciK3WPbNpHwUK8BKEJxp3UcBG3Al6dA4/edit?usp=share_link"",""สิงห์บุรี!L74"")+IMPORTRANGE(""https://docs.google.com/spreadsheets/d/132g-zJpz2uMKimp17uOIx8A7o3w1Z25zwJyXnwsB56c/edit?usp=share_link"",""สุพรรณบุรี!L74"")+IMPORTRANGE(""https://docs.google.com/spr"&amp;"eadsheets/d/12Q_U0nVnFdxDFwa0pej9xvx8ZvLC9Dpi_vRro_aiG5g/edit?usp=share_link"",""อ่างทอง!L74"")
"),0)</f>
        <v>0</v>
      </c>
      <c r="M74" s="45">
        <f ca="1">IFERROR(__xludf.DUMMYFUNCTION("IMPORTRANGE(""https://docs.google.com/spreadsheets/d/1hKO5uv94SSRZWOvrh72HRcpyoEQF9TsE_Cvxl77XNU4/edit?usp=share_link"",""กาญจนบุรี!M74"")+IMPORTRANGE(""https://docs.google.com/spreadsheets/d/1njBaP_xXd-Uotvo2D9zb01TTCFkLJLDK97Tk1l9Qux0/edit?usp=share_lin"&amp;"k"",""จันทบุรี!M74"")+IMPORTRANGE(""https://docs.google.com/spreadsheets/d/14xp6qUzrGFnUk_qnc1eEmfiaNRd4_grkhpfQH_46fa8/edit?usp=share_link"",""ฉะเชิงเทรา!M74"")+IMPORTRANGE(""https://docs.google.com/spreadsheets/d/1_Zwps30dlVa-pZFsorjVf1Pil6WXwzCsJU0U2wh"&amp;"O3NI/edit?usp=share_link"",""ชลบุรี!M74"")+IMPORTRANGE(""https://docs.google.com/spreadsheets/d/1xAsT4sUbBlom7l0acStESh_15nvjZcXjZM7fK5uZSq8/edit?usp=share_link"",""ชัยนาท!M74"")+IMPORTRANGE(""https://docs.google.com/spreadsheets/d/1vWPVBOAaZ6mHSI8yf95DNq"&amp;"HwTJ1cpeFsvqt6cxV34QA/edit?usp=share_link"",""ตราด!M74"")+IMPORTRANGE(""https://docs.google.com/spreadsheets/d/1phaeSb9lTGgzDpbvVqI9hfmOQQzUom07-HEvpbARzEg/edit?usp=share_link"",""นครนายก!M74"")+IMPORTRANGE(""https://docs.google.com/spreadsheets/d/1tpwhWw"&amp;"kqkBeiSWCcfB5f2fbwPRbM9hHOEDSDHpl2MIc/edit?usp=share_link"",""นครปฐม!M74"")+IMPORTRANGE(""https://docs.google.com/spreadsheets/d/1fJJCVBkBnhriyv0Cp5ZFMr0I_yrfdEITNpb4zILJgUQ/edit?usp=share_link"",""ปทุมธานี!M74"")+IMPORTRANGE(""https://docs.google.com/spr"&amp;"eadsheets/d/1W5Jj_S0gYw6wSO7QcMI02YgyOBDKYgmm0NSUk-AQEac/edit?usp=share_link"",""ประจวบคีรีขันธ์!M74"")+IMPORTRANGE(""https://docs.google.com/spreadsheets/d/1nYxRXgnCfTXtqUY1otYuTlnrzE0Tn-Y0YRsW5pkRVqo/edit?usp=share_link"",""ปราจีนบุรี!M74"")+IMPORTRANGE"&amp;"(""https://docs.google.com/spreadsheets/d/1nNHCLO8ZAXOMfQvxux7cf_hrzPAh8FAvaHq_ClKbZNo/edit?usp=share_link"",""พระนครศรีอยุธยา!M74"")+IMPORTRANGE(""https://docs.google.com/spreadsheets/d/1CdNicvf3i6yt4tJlCePe3V1Va76wYqW0QzMzTsaGRrA/edit?usp=share_link"","&amp;"""เพชรบุรี!M74"")+IMPORTRANGE(""https://docs.google.com/spreadsheets/d/1XiF77UIVHV0Kjc6xbXuOuJ10WgJYxd4p_22ngKVV5oM/edit?usp=share_link"",""ระยอง!M74"")+IMPORTRANGE(""https://docs.google.com/spreadsheets/d/1qU-W_9MCQD1pgIVXGEOjCFo9QqlmJywuebyGgaN92r8/edit"&amp;"?usp=share_link"",""ราชบุรี!M74"")+IMPORTRANGE(""https://docs.google.com/spreadsheets/d/1xYFIxIM_CspAP5Q-5Zx_V0T_Ut3cjryrjd2hss28vGk/edit?usp=share_link"",""ลพบุรี!M74"")+IMPORTRANGE(""https://docs.google.com/spreadsheets/d/11s9m3tKsCBdPWq6syhZm27eBGbKneD"&amp;"LZc75co106bio/edit?usp=share_link"",""สระแก้ว!M74"")+IMPORTRANGE(""https://docs.google.com/spreadsheets/d/1Nn1EvsFPtXldgpgVb3Rcng2K2cls68LFQsBh2FyW0Bg/edit?usp=share_link"",""สระบุรี!M74"")+IMPORTRANGE(""https://docs.google.com/spreadsheets/d/149xufxukrnE"&amp;"ciK3WPbNpHwUK8BKEJxp3UcBG3Al6dA4/edit?usp=share_link"",""สิงห์บุรี!M74"")+IMPORTRANGE(""https://docs.google.com/spreadsheets/d/132g-zJpz2uMKimp17uOIx8A7o3w1Z25zwJyXnwsB56c/edit?usp=share_link"",""สุพรรณบุรี!M74"")+IMPORTRANGE(""https://docs.google.com/spr"&amp;"eadsheets/d/12Q_U0nVnFdxDFwa0pej9xvx8ZvLC9Dpi_vRro_aiG5g/edit?usp=share_link"",""อ่างทอง!M74"")
"),0)</f>
        <v>0</v>
      </c>
      <c r="N74" s="45">
        <f ca="1">IFERROR(__xludf.DUMMYFUNCTION("IMPORTRANGE(""https://docs.google.com/spreadsheets/d/1hKO5uv94SSRZWOvrh72HRcpyoEQF9TsE_Cvxl77XNU4/edit?usp=share_link"",""กาญจนบุรี!N74"")+IMPORTRANGE(""https://docs.google.com/spreadsheets/d/1njBaP_xXd-Uotvo2D9zb01TTCFkLJLDK97Tk1l9Qux0/edit?usp=share_lin"&amp;"k"",""จันทบุรี!N74"")+IMPORTRANGE(""https://docs.google.com/spreadsheets/d/14xp6qUzrGFnUk_qnc1eEmfiaNRd4_grkhpfQH_46fa8/edit?usp=share_link"",""ฉะเชิงเทรา!N74"")+IMPORTRANGE(""https://docs.google.com/spreadsheets/d/1_Zwps30dlVa-pZFsorjVf1Pil6WXwzCsJU0U2wh"&amp;"O3NI/edit?usp=share_link"",""ชลบุรี!N74"")+IMPORTRANGE(""https://docs.google.com/spreadsheets/d/1xAsT4sUbBlom7l0acStESh_15nvjZcXjZM7fK5uZSq8/edit?usp=share_link"",""ชัยนาท!N74"")+IMPORTRANGE(""https://docs.google.com/spreadsheets/d/1vWPVBOAaZ6mHSI8yf95DNq"&amp;"HwTJ1cpeFsvqt6cxV34QA/edit?usp=share_link"",""ตราด!N74"")+IMPORTRANGE(""https://docs.google.com/spreadsheets/d/1phaeSb9lTGgzDpbvVqI9hfmOQQzUom07-HEvpbARzEg/edit?usp=share_link"",""นครนายก!N74"")+IMPORTRANGE(""https://docs.google.com/spreadsheets/d/1tpwhWw"&amp;"kqkBeiSWCcfB5f2fbwPRbM9hHOEDSDHpl2MIc/edit?usp=share_link"",""นครปฐม!N74"")+IMPORTRANGE(""https://docs.google.com/spreadsheets/d/1fJJCVBkBnhriyv0Cp5ZFMr0I_yrfdEITNpb4zILJgUQ/edit?usp=share_link"",""ปทุมธานี!N74"")+IMPORTRANGE(""https://docs.google.com/spr"&amp;"eadsheets/d/1W5Jj_S0gYw6wSO7QcMI02YgyOBDKYgmm0NSUk-AQEac/edit?usp=share_link"",""ประจวบคีรีขันธ์!N74"")+IMPORTRANGE(""https://docs.google.com/spreadsheets/d/1nYxRXgnCfTXtqUY1otYuTlnrzE0Tn-Y0YRsW5pkRVqo/edit?usp=share_link"",""ปราจีนบุรี!N74"")+IMPORTRANGE"&amp;"(""https://docs.google.com/spreadsheets/d/1nNHCLO8ZAXOMfQvxux7cf_hrzPAh8FAvaHq_ClKbZNo/edit?usp=share_link"",""พระนครศรีอยุธยา!N74"")+IMPORTRANGE(""https://docs.google.com/spreadsheets/d/1CdNicvf3i6yt4tJlCePe3V1Va76wYqW0QzMzTsaGRrA/edit?usp=share_link"","&amp;"""เพชรบุรี!N74"")+IMPORTRANGE(""https://docs.google.com/spreadsheets/d/1XiF77UIVHV0Kjc6xbXuOuJ10WgJYxd4p_22ngKVV5oM/edit?usp=share_link"",""ระยอง!N74"")+IMPORTRANGE(""https://docs.google.com/spreadsheets/d/1qU-W_9MCQD1pgIVXGEOjCFo9QqlmJywuebyGgaN92r8/edit"&amp;"?usp=share_link"",""ราชบุรี!N74"")+IMPORTRANGE(""https://docs.google.com/spreadsheets/d/1xYFIxIM_CspAP5Q-5Zx_V0T_Ut3cjryrjd2hss28vGk/edit?usp=share_link"",""ลพบุรี!N74"")+IMPORTRANGE(""https://docs.google.com/spreadsheets/d/11s9m3tKsCBdPWq6syhZm27eBGbKneD"&amp;"LZc75co106bio/edit?usp=share_link"",""สระแก้ว!N74"")+IMPORTRANGE(""https://docs.google.com/spreadsheets/d/1Nn1EvsFPtXldgpgVb3Rcng2K2cls68LFQsBh2FyW0Bg/edit?usp=share_link"",""สระบุรี!N74"")+IMPORTRANGE(""https://docs.google.com/spreadsheets/d/149xufxukrnE"&amp;"ciK3WPbNpHwUK8BKEJxp3UcBG3Al6dA4/edit?usp=share_link"",""สิงห์บุรี!N74"")+IMPORTRANGE(""https://docs.google.com/spreadsheets/d/132g-zJpz2uMKimp17uOIx8A7o3w1Z25zwJyXnwsB56c/edit?usp=share_link"",""สุพรรณบุรี!N74"")+IMPORTRANGE(""https://docs.google.com/spr"&amp;"eadsheets/d/12Q_U0nVnFdxDFwa0pej9xvx8ZvLC9Dpi_vRro_aiG5g/edit?usp=share_link"",""อ่างทอง!N74"")
"),0)</f>
        <v>0</v>
      </c>
      <c r="O74" s="45">
        <f t="shared" ca="1" si="53"/>
        <v>0</v>
      </c>
      <c r="P74" s="45">
        <f t="shared" ca="1" si="54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20.25" customHeight="1">
      <c r="A75" s="170"/>
      <c r="B75" s="171"/>
      <c r="C75" s="164" t="s">
        <v>16</v>
      </c>
      <c r="D75" s="172" t="s">
        <v>38</v>
      </c>
      <c r="E75" s="173"/>
      <c r="F75" s="173"/>
      <c r="G75" s="174"/>
      <c r="H75" s="175"/>
      <c r="I75" s="162"/>
      <c r="J75" s="162"/>
      <c r="K75" s="163"/>
      <c r="L75" s="163"/>
      <c r="M75" s="163"/>
      <c r="N75" s="163"/>
      <c r="O75" s="163"/>
      <c r="P75" s="163"/>
    </row>
    <row r="76" spans="1:26" ht="20.25" customHeight="1">
      <c r="A76" s="170"/>
      <c r="B76" s="171"/>
      <c r="C76" s="171"/>
      <c r="D76" s="176" t="s">
        <v>39</v>
      </c>
      <c r="E76" s="177"/>
      <c r="F76" s="178"/>
      <c r="G76" s="179"/>
      <c r="H76" s="180" t="s">
        <v>34</v>
      </c>
      <c r="I76" s="37">
        <f t="shared" ref="I76:J76" ca="1" si="59">I78+I80+I82</f>
        <v>8</v>
      </c>
      <c r="J76" s="37">
        <f t="shared" ca="1" si="59"/>
        <v>1</v>
      </c>
      <c r="K76" s="163">
        <f t="shared" ref="K76:K84" ca="1" si="60">IF(I76&gt;0,J76*100/I76,0)</f>
        <v>12.5</v>
      </c>
      <c r="L76" s="163"/>
      <c r="M76" s="163"/>
      <c r="N76" s="163"/>
      <c r="O76" s="163"/>
      <c r="P76" s="163"/>
    </row>
    <row r="77" spans="1:26" ht="20.25" customHeight="1">
      <c r="A77" s="170"/>
      <c r="B77" s="171"/>
      <c r="C77" s="171"/>
      <c r="D77" s="171"/>
      <c r="E77" s="178"/>
      <c r="F77" s="178"/>
      <c r="G77" s="179"/>
      <c r="H77" s="180" t="s">
        <v>35</v>
      </c>
      <c r="I77" s="37">
        <f t="shared" ref="I77:J77" ca="1" si="61">I79+I81+I83</f>
        <v>450</v>
      </c>
      <c r="J77" s="37">
        <f t="shared" ca="1" si="61"/>
        <v>53</v>
      </c>
      <c r="K77" s="163">
        <f t="shared" ca="1" si="60"/>
        <v>11.777777777777779</v>
      </c>
      <c r="L77" s="163"/>
      <c r="M77" s="163"/>
      <c r="N77" s="163"/>
      <c r="O77" s="163"/>
      <c r="P77" s="163"/>
    </row>
    <row r="78" spans="1:26" ht="20.25" customHeight="1">
      <c r="A78" s="170"/>
      <c r="B78" s="171"/>
      <c r="C78" s="171"/>
      <c r="D78" s="171"/>
      <c r="E78" s="181" t="s">
        <v>40</v>
      </c>
      <c r="F78" s="177"/>
      <c r="G78" s="179"/>
      <c r="H78" s="182" t="s">
        <v>34</v>
      </c>
      <c r="I78" s="162">
        <f ca="1">IFERROR(__xludf.DUMMYFUNCTION("IMPORTRANGE(""https://docs.google.com/spreadsheets/d/1hKO5uv94SSRZWOvrh72HRcpyoEQF9TsE_Cvxl77XNU4/edit?usp=share_link"",""กาญจนบุรี!I78"")+IMPORTRANGE(""https://docs.google.com/spreadsheets/d/1njBaP_xXd-Uotvo2D9zb01TTCFkLJLDK97Tk1l9Qux0/edit?usp=share_lin"&amp;"k"",""จันทบุรี!I78"")+IMPORTRANGE(""https://docs.google.com/spreadsheets/d/14xp6qUzrGFnUk_qnc1eEmfiaNRd4_grkhpfQH_46fa8/edit?usp=share_link"",""ฉะเชิงเทรา!I78"")+IMPORTRANGE(""https://docs.google.com/spreadsheets/d/1_Zwps30dlVa-pZFsorjVf1Pil6WXwzCsJU0U2wh"&amp;"O3NI/edit?usp=share_link"",""ชลบุรี!I78"")+IMPORTRANGE(""https://docs.google.com/spreadsheets/d/1xAsT4sUbBlom7l0acStESh_15nvjZcXjZM7fK5uZSq8/edit?usp=share_link"",""ชัยนาท!I78"")+IMPORTRANGE(""https://docs.google.com/spreadsheets/d/1vWPVBOAaZ6mHSI8yf95DNq"&amp;"HwTJ1cpeFsvqt6cxV34QA/edit?usp=share_link"",""ตราด!I78"")+IMPORTRANGE(""https://docs.google.com/spreadsheets/d/1phaeSb9lTGgzDpbvVqI9hfmOQQzUom07-HEvpbARzEg/edit?usp=share_link"",""นครนายก!I78"")+IMPORTRANGE(""https://docs.google.com/spreadsheets/d/1tpwhWw"&amp;"kqkBeiSWCcfB5f2fbwPRbM9hHOEDSDHpl2MIc/edit?usp=share_link"",""นครปฐม!I78"")+IMPORTRANGE(""https://docs.google.com/spreadsheets/d/1fJJCVBkBnhriyv0Cp5ZFMr0I_yrfdEITNpb4zILJgUQ/edit?usp=share_link"",""ปทุมธานี!I78"")+IMPORTRANGE(""https://docs.google.com/spr"&amp;"eadsheets/d/1W5Jj_S0gYw6wSO7QcMI02YgyOBDKYgmm0NSUk-AQEac/edit?usp=share_link"",""ประจวบคีรีขันธ์!I78"")+IMPORTRANGE(""https://docs.google.com/spreadsheets/d/1nYxRXgnCfTXtqUY1otYuTlnrzE0Tn-Y0YRsW5pkRVqo/edit?usp=share_link"",""ปราจีนบุรี!I78"")+IMPORTRANGE"&amp;"(""https://docs.google.com/spreadsheets/d/1nNHCLO8ZAXOMfQvxux7cf_hrzPAh8FAvaHq_ClKbZNo/edit?usp=share_link"",""พระนครศรีอยุธยา!I78"")+IMPORTRANGE(""https://docs.google.com/spreadsheets/d/1CdNicvf3i6yt4tJlCePe3V1Va76wYqW0QzMzTsaGRrA/edit?usp=share_link"","&amp;"""เพชรบุรี!I78"")+IMPORTRANGE(""https://docs.google.com/spreadsheets/d/1XiF77UIVHV0Kjc6xbXuOuJ10WgJYxd4p_22ngKVV5oM/edit?usp=share_link"",""ระยอง!I78"")+IMPORTRANGE(""https://docs.google.com/spreadsheets/d/1qU-W_9MCQD1pgIVXGEOjCFo9QqlmJywuebyGgaN92r8/edit"&amp;"?usp=share_link"",""ราชบุรี!I78"")+IMPORTRANGE(""https://docs.google.com/spreadsheets/d/1xYFIxIM_CspAP5Q-5Zx_V0T_Ut3cjryrjd2hss28vGk/edit?usp=share_link"",""ลพบุรี!I78"")+IMPORTRANGE(""https://docs.google.com/spreadsheets/d/11s9m3tKsCBdPWq6syhZm27eBGbKneD"&amp;"LZc75co106bio/edit?usp=share_link"",""สระแก้ว!I78"")+IMPORTRANGE(""https://docs.google.com/spreadsheets/d/1Nn1EvsFPtXldgpgVb3Rcng2K2cls68LFQsBh2FyW0Bg/edit?usp=share_link"",""สระบุรี!I78"")+IMPORTRANGE(""https://docs.google.com/spreadsheets/d/149xufxukrnE"&amp;"ciK3WPbNpHwUK8BKEJxp3UcBG3Al6dA4/edit?usp=share_link"",""สิงห์บุรี!I78"")+IMPORTRANGE(""https://docs.google.com/spreadsheets/d/132g-zJpz2uMKimp17uOIx8A7o3w1Z25zwJyXnwsB56c/edit?usp=share_link"",""สุพรรณบุรี!I78"")+IMPORTRANGE(""https://docs.google.com/spr"&amp;"eadsheets/d/12Q_U0nVnFdxDFwa0pej9xvx8ZvLC9Dpi_vRro_aiG5g/edit?usp=share_link"",""อ่างทอง!I78"")
"),4)</f>
        <v>4</v>
      </c>
      <c r="J78" s="183">
        <f ca="1">IFERROR(__xludf.DUMMYFUNCTION("IMPORTRANGE(""https://docs.google.com/spreadsheets/d/1hKO5uv94SSRZWOvrh72HRcpyoEQF9TsE_Cvxl77XNU4/edit?usp=share_link"",""กาญจนบุรี!J78"")+IMPORTRANGE(""https://docs.google.com/spreadsheets/d/1njBaP_xXd-Uotvo2D9zb01TTCFkLJLDK97Tk1l9Qux0/edit?usp=share_lin"&amp;"k"",""จันทบุรี!J78"")+IMPORTRANGE(""https://docs.google.com/spreadsheets/d/14xp6qUzrGFnUk_qnc1eEmfiaNRd4_grkhpfQH_46fa8/edit?usp=share_link"",""ฉะเชิงเทรา!J78"")+IMPORTRANGE(""https://docs.google.com/spreadsheets/d/1_Zwps30dlVa-pZFsorjVf1Pil6WXwzCsJU0U2wh"&amp;"O3NI/edit?usp=share_link"",""ชลบุรี!J78"")+IMPORTRANGE(""https://docs.google.com/spreadsheets/d/1xAsT4sUbBlom7l0acStESh_15nvjZcXjZM7fK5uZSq8/edit?usp=share_link"",""ชัยนาท!J78"")+IMPORTRANGE(""https://docs.google.com/spreadsheets/d/1vWPVBOAaZ6mHSI8yf95DNq"&amp;"HwTJ1cpeFsvqt6cxV34QA/edit?usp=share_link"",""ตราด!J78"")+IMPORTRANGE(""https://docs.google.com/spreadsheets/d/1phaeSb9lTGgzDpbvVqI9hfmOQQzUom07-HEvpbARzEg/edit?usp=share_link"",""นครนายก!J78"")+IMPORTRANGE(""https://docs.google.com/spreadsheets/d/1tpwhWw"&amp;"kqkBeiSWCcfB5f2fbwPRbM9hHOEDSDHpl2MIc/edit?usp=share_link"",""นครปฐม!J78"")+IMPORTRANGE(""https://docs.google.com/spreadsheets/d/1fJJCVBkBnhriyv0Cp5ZFMr0I_yrfdEITNpb4zILJgUQ/edit?usp=share_link"",""ปทุมธานี!J78"")+IMPORTRANGE(""https://docs.google.com/spr"&amp;"eadsheets/d/1W5Jj_S0gYw6wSO7QcMI02YgyOBDKYgmm0NSUk-AQEac/edit?usp=share_link"",""ประจวบคีรีขันธ์!J78"")+IMPORTRANGE(""https://docs.google.com/spreadsheets/d/1nYxRXgnCfTXtqUY1otYuTlnrzE0Tn-Y0YRsW5pkRVqo/edit?usp=share_link"",""ปราจีนบุรี!J78"")+IMPORTRANGE"&amp;"(""https://docs.google.com/spreadsheets/d/1nNHCLO8ZAXOMfQvxux7cf_hrzPAh8FAvaHq_ClKbZNo/edit?usp=share_link"",""พระนครศรีอยุธยา!J78"")+IMPORTRANGE(""https://docs.google.com/spreadsheets/d/1CdNicvf3i6yt4tJlCePe3V1Va76wYqW0QzMzTsaGRrA/edit?usp=share_link"","&amp;"""เพชรบุรี!J78"")+IMPORTRANGE(""https://docs.google.com/spreadsheets/d/1XiF77UIVHV0Kjc6xbXuOuJ10WgJYxd4p_22ngKVV5oM/edit?usp=share_link"",""ระยอง!J78"")+IMPORTRANGE(""https://docs.google.com/spreadsheets/d/1qU-W_9MCQD1pgIVXGEOjCFo9QqlmJywuebyGgaN92r8/edit"&amp;"?usp=share_link"",""ราชบุรี!J78"")+IMPORTRANGE(""https://docs.google.com/spreadsheets/d/1xYFIxIM_CspAP5Q-5Zx_V0T_Ut3cjryrjd2hss28vGk/edit?usp=share_link"",""ลพบุรี!J78"")+IMPORTRANGE(""https://docs.google.com/spreadsheets/d/11s9m3tKsCBdPWq6syhZm27eBGbKneD"&amp;"LZc75co106bio/edit?usp=share_link"",""สระแก้ว!J78"")+IMPORTRANGE(""https://docs.google.com/spreadsheets/d/1Nn1EvsFPtXldgpgVb3Rcng2K2cls68LFQsBh2FyW0Bg/edit?usp=share_link"",""สระบุรี!J78"")+IMPORTRANGE(""https://docs.google.com/spreadsheets/d/149xufxukrnE"&amp;"ciK3WPbNpHwUK8BKEJxp3UcBG3Al6dA4/edit?usp=share_link"",""สิงห์บุรี!J78"")+IMPORTRANGE(""https://docs.google.com/spreadsheets/d/132g-zJpz2uMKimp17uOIx8A7o3w1Z25zwJyXnwsB56c/edit?usp=share_link"",""สุพรรณบุรี!J78"")+IMPORTRANGE(""https://docs.google.com/spr"&amp;"eadsheets/d/12Q_U0nVnFdxDFwa0pej9xvx8ZvLC9Dpi_vRro_aiG5g/edit?usp=share_link"",""อ่างทอง!J78"")
"),0)</f>
        <v>0</v>
      </c>
      <c r="K78" s="163">
        <f t="shared" ca="1" si="60"/>
        <v>0</v>
      </c>
      <c r="L78" s="163"/>
      <c r="M78" s="163"/>
      <c r="N78" s="163"/>
      <c r="O78" s="163"/>
      <c r="P78" s="163"/>
    </row>
    <row r="79" spans="1:26" ht="20.25" customHeight="1">
      <c r="A79" s="170"/>
      <c r="B79" s="171"/>
      <c r="C79" s="171"/>
      <c r="D79" s="171"/>
      <c r="E79" s="178"/>
      <c r="F79" s="178"/>
      <c r="G79" s="179"/>
      <c r="H79" s="182" t="s">
        <v>35</v>
      </c>
      <c r="I79" s="162">
        <f ca="1">IFERROR(__xludf.DUMMYFUNCTION("IMPORTRANGE(""https://docs.google.com/spreadsheets/d/1hKO5uv94SSRZWOvrh72HRcpyoEQF9TsE_Cvxl77XNU4/edit?usp=share_link"",""กาญจนบุรี!I79"")+IMPORTRANGE(""https://docs.google.com/spreadsheets/d/1njBaP_xXd-Uotvo2D9zb01TTCFkLJLDK97Tk1l9Qux0/edit?usp=share_lin"&amp;"k"",""จันทบุรี!I79"")+IMPORTRANGE(""https://docs.google.com/spreadsheets/d/14xp6qUzrGFnUk_qnc1eEmfiaNRd4_grkhpfQH_46fa8/edit?usp=share_link"",""ฉะเชิงเทรา!I79"")+IMPORTRANGE(""https://docs.google.com/spreadsheets/d/1_Zwps30dlVa-pZFsorjVf1Pil6WXwzCsJU0U2wh"&amp;"O3NI/edit?usp=share_link"",""ชลบุรี!I79"")+IMPORTRANGE(""https://docs.google.com/spreadsheets/d/1xAsT4sUbBlom7l0acStESh_15nvjZcXjZM7fK5uZSq8/edit?usp=share_link"",""ชัยนาท!I79"")+IMPORTRANGE(""https://docs.google.com/spreadsheets/d/1vWPVBOAaZ6mHSI8yf95DNq"&amp;"HwTJ1cpeFsvqt6cxV34QA/edit?usp=share_link"",""ตราด!I79"")+IMPORTRANGE(""https://docs.google.com/spreadsheets/d/1phaeSb9lTGgzDpbvVqI9hfmOQQzUom07-HEvpbARzEg/edit?usp=share_link"",""นครนายก!I79"")+IMPORTRANGE(""https://docs.google.com/spreadsheets/d/1tpwhWw"&amp;"kqkBeiSWCcfB5f2fbwPRbM9hHOEDSDHpl2MIc/edit?usp=share_link"",""นครปฐม!I79"")+IMPORTRANGE(""https://docs.google.com/spreadsheets/d/1fJJCVBkBnhriyv0Cp5ZFMr0I_yrfdEITNpb4zILJgUQ/edit?usp=share_link"",""ปทุมธานี!I79"")+IMPORTRANGE(""https://docs.google.com/spr"&amp;"eadsheets/d/1W5Jj_S0gYw6wSO7QcMI02YgyOBDKYgmm0NSUk-AQEac/edit?usp=share_link"",""ประจวบคีรีขันธ์!I79"")+IMPORTRANGE(""https://docs.google.com/spreadsheets/d/1nYxRXgnCfTXtqUY1otYuTlnrzE0Tn-Y0YRsW5pkRVqo/edit?usp=share_link"",""ปราจีนบุรี!I79"")+IMPORTRANGE"&amp;"(""https://docs.google.com/spreadsheets/d/1nNHCLO8ZAXOMfQvxux7cf_hrzPAh8FAvaHq_ClKbZNo/edit?usp=share_link"",""พระนครศรีอยุธยา!I79"")+IMPORTRANGE(""https://docs.google.com/spreadsheets/d/1CdNicvf3i6yt4tJlCePe3V1Va76wYqW0QzMzTsaGRrA/edit?usp=share_link"","&amp;"""เพชรบุรี!I79"")+IMPORTRANGE(""https://docs.google.com/spreadsheets/d/1XiF77UIVHV0Kjc6xbXuOuJ10WgJYxd4p_22ngKVV5oM/edit?usp=share_link"",""ระยอง!I79"")+IMPORTRANGE(""https://docs.google.com/spreadsheets/d/1qU-W_9MCQD1pgIVXGEOjCFo9QqlmJywuebyGgaN92r8/edit"&amp;"?usp=share_link"",""ราชบุรี!I79"")+IMPORTRANGE(""https://docs.google.com/spreadsheets/d/1xYFIxIM_CspAP5Q-5Zx_V0T_Ut3cjryrjd2hss28vGk/edit?usp=share_link"",""ลพบุรี!I79"")+IMPORTRANGE(""https://docs.google.com/spreadsheets/d/11s9m3tKsCBdPWq6syhZm27eBGbKneD"&amp;"LZc75co106bio/edit?usp=share_link"",""สระแก้ว!I79"")+IMPORTRANGE(""https://docs.google.com/spreadsheets/d/1Nn1EvsFPtXldgpgVb3Rcng2K2cls68LFQsBh2FyW0Bg/edit?usp=share_link"",""สระบุรี!I79"")+IMPORTRANGE(""https://docs.google.com/spreadsheets/d/149xufxukrnE"&amp;"ciK3WPbNpHwUK8BKEJxp3UcBG3Al6dA4/edit?usp=share_link"",""สิงห์บุรี!I79"")+IMPORTRANGE(""https://docs.google.com/spreadsheets/d/132g-zJpz2uMKimp17uOIx8A7o3w1Z25zwJyXnwsB56c/edit?usp=share_link"",""สุพรรณบุรี!I79"")+IMPORTRANGE(""https://docs.google.com/spr"&amp;"eadsheets/d/12Q_U0nVnFdxDFwa0pej9xvx8ZvLC9Dpi_vRro_aiG5g/edit?usp=share_link"",""อ่างทอง!I79"")
"),170)</f>
        <v>170</v>
      </c>
      <c r="J79" s="183">
        <f ca="1">IFERROR(__xludf.DUMMYFUNCTION("IMPORTRANGE(""https://docs.google.com/spreadsheets/d/1hKO5uv94SSRZWOvrh72HRcpyoEQF9TsE_Cvxl77XNU4/edit?usp=share_link"",""กาญจนบุรี!J79"")+IMPORTRANGE(""https://docs.google.com/spreadsheets/d/1njBaP_xXd-Uotvo2D9zb01TTCFkLJLDK97Tk1l9Qux0/edit?usp=share_lin"&amp;"k"",""จันทบุรี!J79"")+IMPORTRANGE(""https://docs.google.com/spreadsheets/d/14xp6qUzrGFnUk_qnc1eEmfiaNRd4_grkhpfQH_46fa8/edit?usp=share_link"",""ฉะเชิงเทรา!J79"")+IMPORTRANGE(""https://docs.google.com/spreadsheets/d/1_Zwps30dlVa-pZFsorjVf1Pil6WXwzCsJU0U2wh"&amp;"O3NI/edit?usp=share_link"",""ชลบุรี!J79"")+IMPORTRANGE(""https://docs.google.com/spreadsheets/d/1xAsT4sUbBlom7l0acStESh_15nvjZcXjZM7fK5uZSq8/edit?usp=share_link"",""ชัยนาท!J79"")+IMPORTRANGE(""https://docs.google.com/spreadsheets/d/1vWPVBOAaZ6mHSI8yf95DNq"&amp;"HwTJ1cpeFsvqt6cxV34QA/edit?usp=share_link"",""ตราด!J79"")+IMPORTRANGE(""https://docs.google.com/spreadsheets/d/1phaeSb9lTGgzDpbvVqI9hfmOQQzUom07-HEvpbARzEg/edit?usp=share_link"",""นครนายก!J79"")+IMPORTRANGE(""https://docs.google.com/spreadsheets/d/1tpwhWw"&amp;"kqkBeiSWCcfB5f2fbwPRbM9hHOEDSDHpl2MIc/edit?usp=share_link"",""นครปฐม!J79"")+IMPORTRANGE(""https://docs.google.com/spreadsheets/d/1fJJCVBkBnhriyv0Cp5ZFMr0I_yrfdEITNpb4zILJgUQ/edit?usp=share_link"",""ปทุมธานี!J79"")+IMPORTRANGE(""https://docs.google.com/spr"&amp;"eadsheets/d/1W5Jj_S0gYw6wSO7QcMI02YgyOBDKYgmm0NSUk-AQEac/edit?usp=share_link"",""ประจวบคีรีขันธ์!J79"")+IMPORTRANGE(""https://docs.google.com/spreadsheets/d/1nYxRXgnCfTXtqUY1otYuTlnrzE0Tn-Y0YRsW5pkRVqo/edit?usp=share_link"",""ปราจีนบุรี!J79"")+IMPORTRANGE"&amp;"(""https://docs.google.com/spreadsheets/d/1nNHCLO8ZAXOMfQvxux7cf_hrzPAh8FAvaHq_ClKbZNo/edit?usp=share_link"",""พระนครศรีอยุธยา!J79"")+IMPORTRANGE(""https://docs.google.com/spreadsheets/d/1CdNicvf3i6yt4tJlCePe3V1Va76wYqW0QzMzTsaGRrA/edit?usp=share_link"","&amp;"""เพชรบุรี!J79"")+IMPORTRANGE(""https://docs.google.com/spreadsheets/d/1XiF77UIVHV0Kjc6xbXuOuJ10WgJYxd4p_22ngKVV5oM/edit?usp=share_link"",""ระยอง!J79"")+IMPORTRANGE(""https://docs.google.com/spreadsheets/d/1qU-W_9MCQD1pgIVXGEOjCFo9QqlmJywuebyGgaN92r8/edit"&amp;"?usp=share_link"",""ราชบุรี!J79"")+IMPORTRANGE(""https://docs.google.com/spreadsheets/d/1xYFIxIM_CspAP5Q-5Zx_V0T_Ut3cjryrjd2hss28vGk/edit?usp=share_link"",""ลพบุรี!J79"")+IMPORTRANGE(""https://docs.google.com/spreadsheets/d/11s9m3tKsCBdPWq6syhZm27eBGbKneD"&amp;"LZc75co106bio/edit?usp=share_link"",""สระแก้ว!J79"")+IMPORTRANGE(""https://docs.google.com/spreadsheets/d/1Nn1EvsFPtXldgpgVb3Rcng2K2cls68LFQsBh2FyW0Bg/edit?usp=share_link"",""สระบุรี!J79"")+IMPORTRANGE(""https://docs.google.com/spreadsheets/d/149xufxukrnE"&amp;"ciK3WPbNpHwUK8BKEJxp3UcBG3Al6dA4/edit?usp=share_link"",""สิงห์บุรี!J79"")+IMPORTRANGE(""https://docs.google.com/spreadsheets/d/132g-zJpz2uMKimp17uOIx8A7o3w1Z25zwJyXnwsB56c/edit?usp=share_link"",""สุพรรณบุรี!J79"")+IMPORTRANGE(""https://docs.google.com/spr"&amp;"eadsheets/d/12Q_U0nVnFdxDFwa0pej9xvx8ZvLC9Dpi_vRro_aiG5g/edit?usp=share_link"",""อ่างทอง!J79"")
"),0)</f>
        <v>0</v>
      </c>
      <c r="K79" s="163">
        <f t="shared" ca="1" si="60"/>
        <v>0</v>
      </c>
      <c r="L79" s="163"/>
      <c r="M79" s="163"/>
      <c r="N79" s="163"/>
      <c r="O79" s="163"/>
      <c r="P79" s="163"/>
    </row>
    <row r="80" spans="1:26" ht="20.25" customHeight="1">
      <c r="A80" s="170"/>
      <c r="B80" s="171"/>
      <c r="C80" s="171"/>
      <c r="D80" s="171"/>
      <c r="E80" s="181" t="s">
        <v>41</v>
      </c>
      <c r="F80" s="177"/>
      <c r="G80" s="179"/>
      <c r="H80" s="182" t="s">
        <v>34</v>
      </c>
      <c r="I80" s="162">
        <f ca="1">IFERROR(__xludf.DUMMYFUNCTION("IMPORTRANGE(""https://docs.google.com/spreadsheets/d/1hKO5uv94SSRZWOvrh72HRcpyoEQF9TsE_Cvxl77XNU4/edit?usp=share_link"",""กาญจนบุรี!I80"")+IMPORTRANGE(""https://docs.google.com/spreadsheets/d/1njBaP_xXd-Uotvo2D9zb01TTCFkLJLDK97Tk1l9Qux0/edit?usp=share_lin"&amp;"k"",""จันทบุรี!I80"")+IMPORTRANGE(""https://docs.google.com/spreadsheets/d/14xp6qUzrGFnUk_qnc1eEmfiaNRd4_grkhpfQH_46fa8/edit?usp=share_link"",""ฉะเชิงเทรา!I80"")+IMPORTRANGE(""https://docs.google.com/spreadsheets/d/1_Zwps30dlVa-pZFsorjVf1Pil6WXwzCsJU0U2wh"&amp;"O3NI/edit?usp=share_link"",""ชลบุรี!I80"")+IMPORTRANGE(""https://docs.google.com/spreadsheets/d/1xAsT4sUbBlom7l0acStESh_15nvjZcXjZM7fK5uZSq8/edit?usp=share_link"",""ชัยนาท!I80"")+IMPORTRANGE(""https://docs.google.com/spreadsheets/d/1vWPVBOAaZ6mHSI8yf95DNq"&amp;"HwTJ1cpeFsvqt6cxV34QA/edit?usp=share_link"",""ตราด!I80"")+IMPORTRANGE(""https://docs.google.com/spreadsheets/d/1phaeSb9lTGgzDpbvVqI9hfmOQQzUom07-HEvpbARzEg/edit?usp=share_link"",""นครนายก!I80"")+IMPORTRANGE(""https://docs.google.com/spreadsheets/d/1tpwhWw"&amp;"kqkBeiSWCcfB5f2fbwPRbM9hHOEDSDHpl2MIc/edit?usp=share_link"",""นครปฐม!I80"")+IMPORTRANGE(""https://docs.google.com/spreadsheets/d/1fJJCVBkBnhriyv0Cp5ZFMr0I_yrfdEITNpb4zILJgUQ/edit?usp=share_link"",""ปทุมธานี!I80"")+IMPORTRANGE(""https://docs.google.com/spr"&amp;"eadsheets/d/1W5Jj_S0gYw6wSO7QcMI02YgyOBDKYgmm0NSUk-AQEac/edit?usp=share_link"",""ประจวบคีรีขันธ์!I80"")+IMPORTRANGE(""https://docs.google.com/spreadsheets/d/1nYxRXgnCfTXtqUY1otYuTlnrzE0Tn-Y0YRsW5pkRVqo/edit?usp=share_link"",""ปราจีนบุรี!I80"")+IMPORTRANGE"&amp;"(""https://docs.google.com/spreadsheets/d/1nNHCLO8ZAXOMfQvxux7cf_hrzPAh8FAvaHq_ClKbZNo/edit?usp=share_link"",""พระนครศรีอยุธยา!I80"")+IMPORTRANGE(""https://docs.google.com/spreadsheets/d/1CdNicvf3i6yt4tJlCePe3V1Va76wYqW0QzMzTsaGRrA/edit?usp=share_link"","&amp;"""เพชรบุรี!I80"")+IMPORTRANGE(""https://docs.google.com/spreadsheets/d/1XiF77UIVHV0Kjc6xbXuOuJ10WgJYxd4p_22ngKVV5oM/edit?usp=share_link"",""ระยอง!I80"")+IMPORTRANGE(""https://docs.google.com/spreadsheets/d/1qU-W_9MCQD1pgIVXGEOjCFo9QqlmJywuebyGgaN92r8/edit"&amp;"?usp=share_link"",""ราชบุรี!I80"")+IMPORTRANGE(""https://docs.google.com/spreadsheets/d/1xYFIxIM_CspAP5Q-5Zx_V0T_Ut3cjryrjd2hss28vGk/edit?usp=share_link"",""ลพบุรี!I80"")+IMPORTRANGE(""https://docs.google.com/spreadsheets/d/11s9m3tKsCBdPWq6syhZm27eBGbKneD"&amp;"LZc75co106bio/edit?usp=share_link"",""สระแก้ว!I80"")+IMPORTRANGE(""https://docs.google.com/spreadsheets/d/1Nn1EvsFPtXldgpgVb3Rcng2K2cls68LFQsBh2FyW0Bg/edit?usp=share_link"",""สระบุรี!I80"")+IMPORTRANGE(""https://docs.google.com/spreadsheets/d/149xufxukrnE"&amp;"ciK3WPbNpHwUK8BKEJxp3UcBG3Al6dA4/edit?usp=share_link"",""สิงห์บุรี!I80"")+IMPORTRANGE(""https://docs.google.com/spreadsheets/d/132g-zJpz2uMKimp17uOIx8A7o3w1Z25zwJyXnwsB56c/edit?usp=share_link"",""สุพรรณบุรี!I80"")+IMPORTRANGE(""https://docs.google.com/spr"&amp;"eadsheets/d/12Q_U0nVnFdxDFwa0pej9xvx8ZvLC9Dpi_vRro_aiG5g/edit?usp=share_link"",""อ่างทอง!I80"")
"),2)</f>
        <v>2</v>
      </c>
      <c r="J80" s="183">
        <f ca="1">IFERROR(__xludf.DUMMYFUNCTION("IMPORTRANGE(""https://docs.google.com/spreadsheets/d/1hKO5uv94SSRZWOvrh72HRcpyoEQF9TsE_Cvxl77XNU4/edit?usp=share_link"",""กาญจนบุรี!J80"")+IMPORTRANGE(""https://docs.google.com/spreadsheets/d/1njBaP_xXd-Uotvo2D9zb01TTCFkLJLDK97Tk1l9Qux0/edit?usp=share_lin"&amp;"k"",""จันทบุรี!J80"")+IMPORTRANGE(""https://docs.google.com/spreadsheets/d/14xp6qUzrGFnUk_qnc1eEmfiaNRd4_grkhpfQH_46fa8/edit?usp=share_link"",""ฉะเชิงเทรา!J80"")+IMPORTRANGE(""https://docs.google.com/spreadsheets/d/1_Zwps30dlVa-pZFsorjVf1Pil6WXwzCsJU0U2wh"&amp;"O3NI/edit?usp=share_link"",""ชลบุรี!J80"")+IMPORTRANGE(""https://docs.google.com/spreadsheets/d/1xAsT4sUbBlom7l0acStESh_15nvjZcXjZM7fK5uZSq8/edit?usp=share_link"",""ชัยนาท!J80"")+IMPORTRANGE(""https://docs.google.com/spreadsheets/d/1vWPVBOAaZ6mHSI8yf95DNq"&amp;"HwTJ1cpeFsvqt6cxV34QA/edit?usp=share_link"",""ตราด!J80"")+IMPORTRANGE(""https://docs.google.com/spreadsheets/d/1phaeSb9lTGgzDpbvVqI9hfmOQQzUom07-HEvpbARzEg/edit?usp=share_link"",""นครนายก!J80"")+IMPORTRANGE(""https://docs.google.com/spreadsheets/d/1tpwhWw"&amp;"kqkBeiSWCcfB5f2fbwPRbM9hHOEDSDHpl2MIc/edit?usp=share_link"",""นครปฐม!J80"")+IMPORTRANGE(""https://docs.google.com/spreadsheets/d/1fJJCVBkBnhriyv0Cp5ZFMr0I_yrfdEITNpb4zILJgUQ/edit?usp=share_link"",""ปทุมธานี!J80"")+IMPORTRANGE(""https://docs.google.com/spr"&amp;"eadsheets/d/1W5Jj_S0gYw6wSO7QcMI02YgyOBDKYgmm0NSUk-AQEac/edit?usp=share_link"",""ประจวบคีรีขันธ์!J80"")+IMPORTRANGE(""https://docs.google.com/spreadsheets/d/1nYxRXgnCfTXtqUY1otYuTlnrzE0Tn-Y0YRsW5pkRVqo/edit?usp=share_link"",""ปราจีนบุรี!J80"")+IMPORTRANGE"&amp;"(""https://docs.google.com/spreadsheets/d/1nNHCLO8ZAXOMfQvxux7cf_hrzPAh8FAvaHq_ClKbZNo/edit?usp=share_link"",""พระนครศรีอยุธยา!J80"")+IMPORTRANGE(""https://docs.google.com/spreadsheets/d/1CdNicvf3i6yt4tJlCePe3V1Va76wYqW0QzMzTsaGRrA/edit?usp=share_link"","&amp;"""เพชรบุรี!J80"")+IMPORTRANGE(""https://docs.google.com/spreadsheets/d/1XiF77UIVHV0Kjc6xbXuOuJ10WgJYxd4p_22ngKVV5oM/edit?usp=share_link"",""ระยอง!J80"")+IMPORTRANGE(""https://docs.google.com/spreadsheets/d/1qU-W_9MCQD1pgIVXGEOjCFo9QqlmJywuebyGgaN92r8/edit"&amp;"?usp=share_link"",""ราชบุรี!J80"")+IMPORTRANGE(""https://docs.google.com/spreadsheets/d/1xYFIxIM_CspAP5Q-5Zx_V0T_Ut3cjryrjd2hss28vGk/edit?usp=share_link"",""ลพบุรี!J80"")+IMPORTRANGE(""https://docs.google.com/spreadsheets/d/11s9m3tKsCBdPWq6syhZm27eBGbKneD"&amp;"LZc75co106bio/edit?usp=share_link"",""สระแก้ว!J80"")+IMPORTRANGE(""https://docs.google.com/spreadsheets/d/1Nn1EvsFPtXldgpgVb3Rcng2K2cls68LFQsBh2FyW0Bg/edit?usp=share_link"",""สระบุรี!J80"")+IMPORTRANGE(""https://docs.google.com/spreadsheets/d/149xufxukrnE"&amp;"ciK3WPbNpHwUK8BKEJxp3UcBG3Al6dA4/edit?usp=share_link"",""สิงห์บุรี!J80"")+IMPORTRANGE(""https://docs.google.com/spreadsheets/d/132g-zJpz2uMKimp17uOIx8A7o3w1Z25zwJyXnwsB56c/edit?usp=share_link"",""สุพรรณบุรี!J80"")+IMPORTRANGE(""https://docs.google.com/spr"&amp;"eadsheets/d/12Q_U0nVnFdxDFwa0pej9xvx8ZvLC9Dpi_vRro_aiG5g/edit?usp=share_link"",""อ่างทอง!J80"")
"),0)</f>
        <v>0</v>
      </c>
      <c r="K80" s="163">
        <f t="shared" ca="1" si="60"/>
        <v>0</v>
      </c>
      <c r="L80" s="163"/>
      <c r="M80" s="163"/>
      <c r="N80" s="163"/>
      <c r="O80" s="163"/>
      <c r="P80" s="163"/>
    </row>
    <row r="81" spans="1:26" ht="20.25" customHeight="1">
      <c r="A81" s="170"/>
      <c r="B81" s="171"/>
      <c r="C81" s="171"/>
      <c r="D81" s="171"/>
      <c r="E81" s="178"/>
      <c r="F81" s="178"/>
      <c r="G81" s="179"/>
      <c r="H81" s="182" t="s">
        <v>35</v>
      </c>
      <c r="I81" s="162">
        <f ca="1">IFERROR(__xludf.DUMMYFUNCTION("IMPORTRANGE(""https://docs.google.com/spreadsheets/d/1hKO5uv94SSRZWOvrh72HRcpyoEQF9TsE_Cvxl77XNU4/edit?usp=share_link"",""กาญจนบุรี!I81"")+IMPORTRANGE(""https://docs.google.com/spreadsheets/d/1njBaP_xXd-Uotvo2D9zb01TTCFkLJLDK97Tk1l9Qux0/edit?usp=share_lin"&amp;"k"",""จันทบุรี!I81"")+IMPORTRANGE(""https://docs.google.com/spreadsheets/d/14xp6qUzrGFnUk_qnc1eEmfiaNRd4_grkhpfQH_46fa8/edit?usp=share_link"",""ฉะเชิงเทรา!I81"")+IMPORTRANGE(""https://docs.google.com/spreadsheets/d/1_Zwps30dlVa-pZFsorjVf1Pil6WXwzCsJU0U2wh"&amp;"O3NI/edit?usp=share_link"",""ชลบุรี!I81"")+IMPORTRANGE(""https://docs.google.com/spreadsheets/d/1xAsT4sUbBlom7l0acStESh_15nvjZcXjZM7fK5uZSq8/edit?usp=share_link"",""ชัยนาท!I81"")+IMPORTRANGE(""https://docs.google.com/spreadsheets/d/1vWPVBOAaZ6mHSI8yf95DNq"&amp;"HwTJ1cpeFsvqt6cxV34QA/edit?usp=share_link"",""ตราด!I81"")+IMPORTRANGE(""https://docs.google.com/spreadsheets/d/1phaeSb9lTGgzDpbvVqI9hfmOQQzUom07-HEvpbARzEg/edit?usp=share_link"",""นครนายก!I81"")+IMPORTRANGE(""https://docs.google.com/spreadsheets/d/1tpwhWw"&amp;"kqkBeiSWCcfB5f2fbwPRbM9hHOEDSDHpl2MIc/edit?usp=share_link"",""นครปฐม!I81"")+IMPORTRANGE(""https://docs.google.com/spreadsheets/d/1fJJCVBkBnhriyv0Cp5ZFMr0I_yrfdEITNpb4zILJgUQ/edit?usp=share_link"",""ปทุมธานี!I81"")+IMPORTRANGE(""https://docs.google.com/spr"&amp;"eadsheets/d/1W5Jj_S0gYw6wSO7QcMI02YgyOBDKYgmm0NSUk-AQEac/edit?usp=share_link"",""ประจวบคีรีขันธ์!I81"")+IMPORTRANGE(""https://docs.google.com/spreadsheets/d/1nYxRXgnCfTXtqUY1otYuTlnrzE0Tn-Y0YRsW5pkRVqo/edit?usp=share_link"",""ปราจีนบุรี!I81"")+IMPORTRANGE"&amp;"(""https://docs.google.com/spreadsheets/d/1nNHCLO8ZAXOMfQvxux7cf_hrzPAh8FAvaHq_ClKbZNo/edit?usp=share_link"",""พระนครศรีอยุธยา!I81"")+IMPORTRANGE(""https://docs.google.com/spreadsheets/d/1CdNicvf3i6yt4tJlCePe3V1Va76wYqW0QzMzTsaGRrA/edit?usp=share_link"","&amp;"""เพชรบุรี!I81"")+IMPORTRANGE(""https://docs.google.com/spreadsheets/d/1XiF77UIVHV0Kjc6xbXuOuJ10WgJYxd4p_22ngKVV5oM/edit?usp=share_link"",""ระยอง!I81"")+IMPORTRANGE(""https://docs.google.com/spreadsheets/d/1qU-W_9MCQD1pgIVXGEOjCFo9QqlmJywuebyGgaN92r8/edit"&amp;"?usp=share_link"",""ราชบุรี!I81"")+IMPORTRANGE(""https://docs.google.com/spreadsheets/d/1xYFIxIM_CspAP5Q-5Zx_V0T_Ut3cjryrjd2hss28vGk/edit?usp=share_link"",""ลพบุรี!I81"")+IMPORTRANGE(""https://docs.google.com/spreadsheets/d/11s9m3tKsCBdPWq6syhZm27eBGbKneD"&amp;"LZc75co106bio/edit?usp=share_link"",""สระแก้ว!I81"")+IMPORTRANGE(""https://docs.google.com/spreadsheets/d/1Nn1EvsFPtXldgpgVb3Rcng2K2cls68LFQsBh2FyW0Bg/edit?usp=share_link"",""สระบุรี!I81"")+IMPORTRANGE(""https://docs.google.com/spreadsheets/d/149xufxukrnE"&amp;"ciK3WPbNpHwUK8BKEJxp3UcBG3Al6dA4/edit?usp=share_link"",""สิงห์บุรี!I81"")+IMPORTRANGE(""https://docs.google.com/spreadsheets/d/132g-zJpz2uMKimp17uOIx8A7o3w1Z25zwJyXnwsB56c/edit?usp=share_link"",""สุพรรณบุรี!I81"")+IMPORTRANGE(""https://docs.google.com/spr"&amp;"eadsheets/d/12Q_U0nVnFdxDFwa0pej9xvx8ZvLC9Dpi_vRro_aiG5g/edit?usp=share_link"",""อ่างทอง!I81"")
"),150)</f>
        <v>150</v>
      </c>
      <c r="J81" s="183">
        <f ca="1">IFERROR(__xludf.DUMMYFUNCTION("IMPORTRANGE(""https://docs.google.com/spreadsheets/d/1hKO5uv94SSRZWOvrh72HRcpyoEQF9TsE_Cvxl77XNU4/edit?usp=share_link"",""กาญจนบุรี!J81"")+IMPORTRANGE(""https://docs.google.com/spreadsheets/d/1njBaP_xXd-Uotvo2D9zb01TTCFkLJLDK97Tk1l9Qux0/edit?usp=share_lin"&amp;"k"",""จันทบุรี!J81"")+IMPORTRANGE(""https://docs.google.com/spreadsheets/d/14xp6qUzrGFnUk_qnc1eEmfiaNRd4_grkhpfQH_46fa8/edit?usp=share_link"",""ฉะเชิงเทรา!J81"")+IMPORTRANGE(""https://docs.google.com/spreadsheets/d/1_Zwps30dlVa-pZFsorjVf1Pil6WXwzCsJU0U2wh"&amp;"O3NI/edit?usp=share_link"",""ชลบุรี!J81"")+IMPORTRANGE(""https://docs.google.com/spreadsheets/d/1xAsT4sUbBlom7l0acStESh_15nvjZcXjZM7fK5uZSq8/edit?usp=share_link"",""ชัยนาท!J81"")+IMPORTRANGE(""https://docs.google.com/spreadsheets/d/1vWPVBOAaZ6mHSI8yf95DNq"&amp;"HwTJ1cpeFsvqt6cxV34QA/edit?usp=share_link"",""ตราด!J81"")+IMPORTRANGE(""https://docs.google.com/spreadsheets/d/1phaeSb9lTGgzDpbvVqI9hfmOQQzUom07-HEvpbARzEg/edit?usp=share_link"",""นครนายก!J81"")+IMPORTRANGE(""https://docs.google.com/spreadsheets/d/1tpwhWw"&amp;"kqkBeiSWCcfB5f2fbwPRbM9hHOEDSDHpl2MIc/edit?usp=share_link"",""นครปฐม!J81"")+IMPORTRANGE(""https://docs.google.com/spreadsheets/d/1fJJCVBkBnhriyv0Cp5ZFMr0I_yrfdEITNpb4zILJgUQ/edit?usp=share_link"",""ปทุมธานี!J81"")+IMPORTRANGE(""https://docs.google.com/spr"&amp;"eadsheets/d/1W5Jj_S0gYw6wSO7QcMI02YgyOBDKYgmm0NSUk-AQEac/edit?usp=share_link"",""ประจวบคีรีขันธ์!J81"")+IMPORTRANGE(""https://docs.google.com/spreadsheets/d/1nYxRXgnCfTXtqUY1otYuTlnrzE0Tn-Y0YRsW5pkRVqo/edit?usp=share_link"",""ปราจีนบุรี!J81"")+IMPORTRANGE"&amp;"(""https://docs.google.com/spreadsheets/d/1nNHCLO8ZAXOMfQvxux7cf_hrzPAh8FAvaHq_ClKbZNo/edit?usp=share_link"",""พระนครศรีอยุธยา!J81"")+IMPORTRANGE(""https://docs.google.com/spreadsheets/d/1CdNicvf3i6yt4tJlCePe3V1Va76wYqW0QzMzTsaGRrA/edit?usp=share_link"","&amp;"""เพชรบุรี!J81"")+IMPORTRANGE(""https://docs.google.com/spreadsheets/d/1XiF77UIVHV0Kjc6xbXuOuJ10WgJYxd4p_22ngKVV5oM/edit?usp=share_link"",""ระยอง!J81"")+IMPORTRANGE(""https://docs.google.com/spreadsheets/d/1qU-W_9MCQD1pgIVXGEOjCFo9QqlmJywuebyGgaN92r8/edit"&amp;"?usp=share_link"",""ราชบุรี!J81"")+IMPORTRANGE(""https://docs.google.com/spreadsheets/d/1xYFIxIM_CspAP5Q-5Zx_V0T_Ut3cjryrjd2hss28vGk/edit?usp=share_link"",""ลพบุรี!J81"")+IMPORTRANGE(""https://docs.google.com/spreadsheets/d/11s9m3tKsCBdPWq6syhZm27eBGbKneD"&amp;"LZc75co106bio/edit?usp=share_link"",""สระแก้ว!J81"")+IMPORTRANGE(""https://docs.google.com/spreadsheets/d/1Nn1EvsFPtXldgpgVb3Rcng2K2cls68LFQsBh2FyW0Bg/edit?usp=share_link"",""สระบุรี!J81"")+IMPORTRANGE(""https://docs.google.com/spreadsheets/d/149xufxukrnE"&amp;"ciK3WPbNpHwUK8BKEJxp3UcBG3Al6dA4/edit?usp=share_link"",""สิงห์บุรี!J81"")+IMPORTRANGE(""https://docs.google.com/spreadsheets/d/132g-zJpz2uMKimp17uOIx8A7o3w1Z25zwJyXnwsB56c/edit?usp=share_link"",""สุพรรณบุรี!J81"")+IMPORTRANGE(""https://docs.google.com/spr"&amp;"eadsheets/d/12Q_U0nVnFdxDFwa0pej9xvx8ZvLC9Dpi_vRro_aiG5g/edit?usp=share_link"",""อ่างทอง!J81"")
"),0)</f>
        <v>0</v>
      </c>
      <c r="K81" s="163">
        <f t="shared" ca="1" si="60"/>
        <v>0</v>
      </c>
      <c r="L81" s="163"/>
      <c r="M81" s="163"/>
      <c r="N81" s="163"/>
      <c r="O81" s="163"/>
      <c r="P81" s="163"/>
    </row>
    <row r="82" spans="1:26" ht="20.25" customHeight="1">
      <c r="A82" s="170"/>
      <c r="B82" s="171"/>
      <c r="C82" s="171"/>
      <c r="D82" s="171"/>
      <c r="E82" s="181" t="s">
        <v>42</v>
      </c>
      <c r="F82" s="177"/>
      <c r="G82" s="179"/>
      <c r="H82" s="182" t="s">
        <v>34</v>
      </c>
      <c r="I82" s="184">
        <f ca="1">IFERROR(__xludf.DUMMYFUNCTION("IMPORTRANGE(""https://docs.google.com/spreadsheets/d/1hKO5uv94SSRZWOvrh72HRcpyoEQF9TsE_Cvxl77XNU4/edit?usp=share_link"",""กาญจนบุรี!I82"")+IMPORTRANGE(""https://docs.google.com/spreadsheets/d/1njBaP_xXd-Uotvo2D9zb01TTCFkLJLDK97Tk1l9Qux0/edit?usp=share_lin"&amp;"k"",""จันทบุรี!I82"")+IMPORTRANGE(""https://docs.google.com/spreadsheets/d/14xp6qUzrGFnUk_qnc1eEmfiaNRd4_grkhpfQH_46fa8/edit?usp=share_link"",""ฉะเชิงเทรา!I82"")+IMPORTRANGE(""https://docs.google.com/spreadsheets/d/1_Zwps30dlVa-pZFsorjVf1Pil6WXwzCsJU0U2wh"&amp;"O3NI/edit?usp=share_link"",""ชลบุรี!I82"")+IMPORTRANGE(""https://docs.google.com/spreadsheets/d/1xAsT4sUbBlom7l0acStESh_15nvjZcXjZM7fK5uZSq8/edit?usp=share_link"",""ชัยนาท!I82"")+IMPORTRANGE(""https://docs.google.com/spreadsheets/d/1vWPVBOAaZ6mHSI8yf95DNq"&amp;"HwTJ1cpeFsvqt6cxV34QA/edit?usp=share_link"",""ตราด!I82"")+IMPORTRANGE(""https://docs.google.com/spreadsheets/d/1phaeSb9lTGgzDpbvVqI9hfmOQQzUom07-HEvpbARzEg/edit?usp=share_link"",""นครนายก!I82"")+IMPORTRANGE(""https://docs.google.com/spreadsheets/d/1tpwhWw"&amp;"kqkBeiSWCcfB5f2fbwPRbM9hHOEDSDHpl2MIc/edit?usp=share_link"",""นครปฐม!I82"")+IMPORTRANGE(""https://docs.google.com/spreadsheets/d/1fJJCVBkBnhriyv0Cp5ZFMr0I_yrfdEITNpb4zILJgUQ/edit?usp=share_link"",""ปทุมธานี!I82"")+IMPORTRANGE(""https://docs.google.com/spr"&amp;"eadsheets/d/1W5Jj_S0gYw6wSO7QcMI02YgyOBDKYgmm0NSUk-AQEac/edit?usp=share_link"",""ประจวบคีรีขันธ์!I82"")+IMPORTRANGE(""https://docs.google.com/spreadsheets/d/1nYxRXgnCfTXtqUY1otYuTlnrzE0Tn-Y0YRsW5pkRVqo/edit?usp=share_link"",""ปราจีนบุรี!I82"")+IMPORTRANGE"&amp;"(""https://docs.google.com/spreadsheets/d/1nNHCLO8ZAXOMfQvxux7cf_hrzPAh8FAvaHq_ClKbZNo/edit?usp=share_link"",""พระนครศรีอยุธยา!I82"")+IMPORTRANGE(""https://docs.google.com/spreadsheets/d/1CdNicvf3i6yt4tJlCePe3V1Va76wYqW0QzMzTsaGRrA/edit?usp=share_link"","&amp;"""เพชรบุรี!I82"")+IMPORTRANGE(""https://docs.google.com/spreadsheets/d/1XiF77UIVHV0Kjc6xbXuOuJ10WgJYxd4p_22ngKVV5oM/edit?usp=share_link"",""ระยอง!I82"")+IMPORTRANGE(""https://docs.google.com/spreadsheets/d/1qU-W_9MCQD1pgIVXGEOjCFo9QqlmJywuebyGgaN92r8/edit"&amp;"?usp=share_link"",""ราชบุรี!I82"")+IMPORTRANGE(""https://docs.google.com/spreadsheets/d/1xYFIxIM_CspAP5Q-5Zx_V0T_Ut3cjryrjd2hss28vGk/edit?usp=share_link"",""ลพบุรี!I82"")+IMPORTRANGE(""https://docs.google.com/spreadsheets/d/11s9m3tKsCBdPWq6syhZm27eBGbKneD"&amp;"LZc75co106bio/edit?usp=share_link"",""สระแก้ว!I82"")+IMPORTRANGE(""https://docs.google.com/spreadsheets/d/1Nn1EvsFPtXldgpgVb3Rcng2K2cls68LFQsBh2FyW0Bg/edit?usp=share_link"",""สระบุรี!I82"")+IMPORTRANGE(""https://docs.google.com/spreadsheets/d/149xufxukrnE"&amp;"ciK3WPbNpHwUK8BKEJxp3UcBG3Al6dA4/edit?usp=share_link"",""สิงห์บุรี!I82"")+IMPORTRANGE(""https://docs.google.com/spreadsheets/d/132g-zJpz2uMKimp17uOIx8A7o3w1Z25zwJyXnwsB56c/edit?usp=share_link"",""สุพรรณบุรี!I82"")+IMPORTRANGE(""https://docs.google.com/spr"&amp;"eadsheets/d/12Q_U0nVnFdxDFwa0pej9xvx8ZvLC9Dpi_vRro_aiG5g/edit?usp=share_link"",""อ่างทอง!I82"")
"),2)</f>
        <v>2</v>
      </c>
      <c r="J82" s="183">
        <f ca="1">IFERROR(__xludf.DUMMYFUNCTION("IMPORTRANGE(""https://docs.google.com/spreadsheets/d/1hKO5uv94SSRZWOvrh72HRcpyoEQF9TsE_Cvxl77XNU4/edit?usp=share_link"",""กาญจนบุรี!J82"")+IMPORTRANGE(""https://docs.google.com/spreadsheets/d/1njBaP_xXd-Uotvo2D9zb01TTCFkLJLDK97Tk1l9Qux0/edit?usp=share_lin"&amp;"k"",""จันทบุรี!J82"")+IMPORTRANGE(""https://docs.google.com/spreadsheets/d/14xp6qUzrGFnUk_qnc1eEmfiaNRd4_grkhpfQH_46fa8/edit?usp=share_link"",""ฉะเชิงเทรา!J82"")+IMPORTRANGE(""https://docs.google.com/spreadsheets/d/1_Zwps30dlVa-pZFsorjVf1Pil6WXwzCsJU0U2wh"&amp;"O3NI/edit?usp=share_link"",""ชลบุรี!J82"")+IMPORTRANGE(""https://docs.google.com/spreadsheets/d/1xAsT4sUbBlom7l0acStESh_15nvjZcXjZM7fK5uZSq8/edit?usp=share_link"",""ชัยนาท!J82"")+IMPORTRANGE(""https://docs.google.com/spreadsheets/d/1vWPVBOAaZ6mHSI8yf95DNq"&amp;"HwTJ1cpeFsvqt6cxV34QA/edit?usp=share_link"",""ตราด!J82"")+IMPORTRANGE(""https://docs.google.com/spreadsheets/d/1phaeSb9lTGgzDpbvVqI9hfmOQQzUom07-HEvpbARzEg/edit?usp=share_link"",""นครนายก!J82"")+IMPORTRANGE(""https://docs.google.com/spreadsheets/d/1tpwhWw"&amp;"kqkBeiSWCcfB5f2fbwPRbM9hHOEDSDHpl2MIc/edit?usp=share_link"",""นครปฐม!J82"")+IMPORTRANGE(""https://docs.google.com/spreadsheets/d/1fJJCVBkBnhriyv0Cp5ZFMr0I_yrfdEITNpb4zILJgUQ/edit?usp=share_link"",""ปทุมธานี!J82"")+IMPORTRANGE(""https://docs.google.com/spr"&amp;"eadsheets/d/1W5Jj_S0gYw6wSO7QcMI02YgyOBDKYgmm0NSUk-AQEac/edit?usp=share_link"",""ประจวบคีรีขันธ์!J82"")+IMPORTRANGE(""https://docs.google.com/spreadsheets/d/1nYxRXgnCfTXtqUY1otYuTlnrzE0Tn-Y0YRsW5pkRVqo/edit?usp=share_link"",""ปราจีนบุรี!J82"")+IMPORTRANGE"&amp;"(""https://docs.google.com/spreadsheets/d/1nNHCLO8ZAXOMfQvxux7cf_hrzPAh8FAvaHq_ClKbZNo/edit?usp=share_link"",""พระนครศรีอยุธยา!J82"")+IMPORTRANGE(""https://docs.google.com/spreadsheets/d/1CdNicvf3i6yt4tJlCePe3V1Va76wYqW0QzMzTsaGRrA/edit?usp=share_link"","&amp;"""เพชรบุรี!J82"")+IMPORTRANGE(""https://docs.google.com/spreadsheets/d/1XiF77UIVHV0Kjc6xbXuOuJ10WgJYxd4p_22ngKVV5oM/edit?usp=share_link"",""ระยอง!J82"")+IMPORTRANGE(""https://docs.google.com/spreadsheets/d/1qU-W_9MCQD1pgIVXGEOjCFo9QqlmJywuebyGgaN92r8/edit"&amp;"?usp=share_link"",""ราชบุรี!J82"")+IMPORTRANGE(""https://docs.google.com/spreadsheets/d/1xYFIxIM_CspAP5Q-5Zx_V0T_Ut3cjryrjd2hss28vGk/edit?usp=share_link"",""ลพบุรี!J82"")+IMPORTRANGE(""https://docs.google.com/spreadsheets/d/11s9m3tKsCBdPWq6syhZm27eBGbKneD"&amp;"LZc75co106bio/edit?usp=share_link"",""สระแก้ว!J82"")+IMPORTRANGE(""https://docs.google.com/spreadsheets/d/1Nn1EvsFPtXldgpgVb3Rcng2K2cls68LFQsBh2FyW0Bg/edit?usp=share_link"",""สระบุรี!J82"")+IMPORTRANGE(""https://docs.google.com/spreadsheets/d/149xufxukrnE"&amp;"ciK3WPbNpHwUK8BKEJxp3UcBG3Al6dA4/edit?usp=share_link"",""สิงห์บุรี!J82"")+IMPORTRANGE(""https://docs.google.com/spreadsheets/d/132g-zJpz2uMKimp17uOIx8A7o3w1Z25zwJyXnwsB56c/edit?usp=share_link"",""สุพรรณบุรี!J82"")+IMPORTRANGE(""https://docs.google.com/spr"&amp;"eadsheets/d/12Q_U0nVnFdxDFwa0pej9xvx8ZvLC9Dpi_vRro_aiG5g/edit?usp=share_link"",""อ่างทอง!J82"")
"),1)</f>
        <v>1</v>
      </c>
      <c r="K82" s="163">
        <f t="shared" ca="1" si="60"/>
        <v>50</v>
      </c>
      <c r="L82" s="163"/>
      <c r="M82" s="163"/>
      <c r="N82" s="163"/>
      <c r="O82" s="163"/>
      <c r="P82" s="163"/>
    </row>
    <row r="83" spans="1:26" ht="20.25" customHeight="1">
      <c r="A83" s="170"/>
      <c r="B83" s="171"/>
      <c r="C83" s="171"/>
      <c r="D83" s="171"/>
      <c r="E83" s="178"/>
      <c r="F83" s="178"/>
      <c r="G83" s="179"/>
      <c r="H83" s="182" t="s">
        <v>35</v>
      </c>
      <c r="I83" s="162">
        <f ca="1">IFERROR(__xludf.DUMMYFUNCTION("IMPORTRANGE(""https://docs.google.com/spreadsheets/d/1hKO5uv94SSRZWOvrh72HRcpyoEQF9TsE_Cvxl77XNU4/edit?usp=share_link"",""กาญจนบุรี!I83"")+IMPORTRANGE(""https://docs.google.com/spreadsheets/d/1njBaP_xXd-Uotvo2D9zb01TTCFkLJLDK97Tk1l9Qux0/edit?usp=share_lin"&amp;"k"",""จันทบุรี!I83"")+IMPORTRANGE(""https://docs.google.com/spreadsheets/d/14xp6qUzrGFnUk_qnc1eEmfiaNRd4_grkhpfQH_46fa8/edit?usp=share_link"",""ฉะเชิงเทรา!I83"")+IMPORTRANGE(""https://docs.google.com/spreadsheets/d/1_Zwps30dlVa-pZFsorjVf1Pil6WXwzCsJU0U2wh"&amp;"O3NI/edit?usp=share_link"",""ชลบุรี!I83"")+IMPORTRANGE(""https://docs.google.com/spreadsheets/d/1xAsT4sUbBlom7l0acStESh_15nvjZcXjZM7fK5uZSq8/edit?usp=share_link"",""ชัยนาท!I83"")+IMPORTRANGE(""https://docs.google.com/spreadsheets/d/1vWPVBOAaZ6mHSI8yf95DNq"&amp;"HwTJ1cpeFsvqt6cxV34QA/edit?usp=share_link"",""ตราด!I83"")+IMPORTRANGE(""https://docs.google.com/spreadsheets/d/1phaeSb9lTGgzDpbvVqI9hfmOQQzUom07-HEvpbARzEg/edit?usp=share_link"",""นครนายก!I83"")+IMPORTRANGE(""https://docs.google.com/spreadsheets/d/1tpwhWw"&amp;"kqkBeiSWCcfB5f2fbwPRbM9hHOEDSDHpl2MIc/edit?usp=share_link"",""นครปฐม!I83"")+IMPORTRANGE(""https://docs.google.com/spreadsheets/d/1fJJCVBkBnhriyv0Cp5ZFMr0I_yrfdEITNpb4zILJgUQ/edit?usp=share_link"",""ปทุมธานี!I83"")+IMPORTRANGE(""https://docs.google.com/spr"&amp;"eadsheets/d/1W5Jj_S0gYw6wSO7QcMI02YgyOBDKYgmm0NSUk-AQEac/edit?usp=share_link"",""ประจวบคีรีขันธ์!I83"")+IMPORTRANGE(""https://docs.google.com/spreadsheets/d/1nYxRXgnCfTXtqUY1otYuTlnrzE0Tn-Y0YRsW5pkRVqo/edit?usp=share_link"",""ปราจีนบุรี!I83"")+IMPORTRANGE"&amp;"(""https://docs.google.com/spreadsheets/d/1nNHCLO8ZAXOMfQvxux7cf_hrzPAh8FAvaHq_ClKbZNo/edit?usp=share_link"",""พระนครศรีอยุธยา!I83"")+IMPORTRANGE(""https://docs.google.com/spreadsheets/d/1CdNicvf3i6yt4tJlCePe3V1Va76wYqW0QzMzTsaGRrA/edit?usp=share_link"","&amp;"""เพชรบุรี!I83"")+IMPORTRANGE(""https://docs.google.com/spreadsheets/d/1XiF77UIVHV0Kjc6xbXuOuJ10WgJYxd4p_22ngKVV5oM/edit?usp=share_link"",""ระยอง!I83"")+IMPORTRANGE(""https://docs.google.com/spreadsheets/d/1qU-W_9MCQD1pgIVXGEOjCFo9QqlmJywuebyGgaN92r8/edit"&amp;"?usp=share_link"",""ราชบุรี!I83"")+IMPORTRANGE(""https://docs.google.com/spreadsheets/d/1xYFIxIM_CspAP5Q-5Zx_V0T_Ut3cjryrjd2hss28vGk/edit?usp=share_link"",""ลพบุรี!I83"")+IMPORTRANGE(""https://docs.google.com/spreadsheets/d/11s9m3tKsCBdPWq6syhZm27eBGbKneD"&amp;"LZc75co106bio/edit?usp=share_link"",""สระแก้ว!I83"")+IMPORTRANGE(""https://docs.google.com/spreadsheets/d/1Nn1EvsFPtXldgpgVb3Rcng2K2cls68LFQsBh2FyW0Bg/edit?usp=share_link"",""สระบุรี!I83"")+IMPORTRANGE(""https://docs.google.com/spreadsheets/d/149xufxukrnE"&amp;"ciK3WPbNpHwUK8BKEJxp3UcBG3Al6dA4/edit?usp=share_link"",""สิงห์บุรี!I83"")+IMPORTRANGE(""https://docs.google.com/spreadsheets/d/132g-zJpz2uMKimp17uOIx8A7o3w1Z25zwJyXnwsB56c/edit?usp=share_link"",""สุพรรณบุรี!I83"")+IMPORTRANGE(""https://docs.google.com/spr"&amp;"eadsheets/d/12Q_U0nVnFdxDFwa0pej9xvx8ZvLC9Dpi_vRro_aiG5g/edit?usp=share_link"",""อ่างทอง!I83"")
"),130)</f>
        <v>130</v>
      </c>
      <c r="J83" s="183">
        <f ca="1">IFERROR(__xludf.DUMMYFUNCTION("IMPORTRANGE(""https://docs.google.com/spreadsheets/d/1hKO5uv94SSRZWOvrh72HRcpyoEQF9TsE_Cvxl77XNU4/edit?usp=share_link"",""กาญจนบุรี!J83"")+IMPORTRANGE(""https://docs.google.com/spreadsheets/d/1njBaP_xXd-Uotvo2D9zb01TTCFkLJLDK97Tk1l9Qux0/edit?usp=share_lin"&amp;"k"",""จันทบุรี!J83"")+IMPORTRANGE(""https://docs.google.com/spreadsheets/d/14xp6qUzrGFnUk_qnc1eEmfiaNRd4_grkhpfQH_46fa8/edit?usp=share_link"",""ฉะเชิงเทรา!J83"")+IMPORTRANGE(""https://docs.google.com/spreadsheets/d/1_Zwps30dlVa-pZFsorjVf1Pil6WXwzCsJU0U2wh"&amp;"O3NI/edit?usp=share_link"",""ชลบุรี!J83"")+IMPORTRANGE(""https://docs.google.com/spreadsheets/d/1xAsT4sUbBlom7l0acStESh_15nvjZcXjZM7fK5uZSq8/edit?usp=share_link"",""ชัยนาท!J83"")+IMPORTRANGE(""https://docs.google.com/spreadsheets/d/1vWPVBOAaZ6mHSI8yf95DNq"&amp;"HwTJ1cpeFsvqt6cxV34QA/edit?usp=share_link"",""ตราด!J83"")+IMPORTRANGE(""https://docs.google.com/spreadsheets/d/1phaeSb9lTGgzDpbvVqI9hfmOQQzUom07-HEvpbARzEg/edit?usp=share_link"",""นครนายก!J83"")+IMPORTRANGE(""https://docs.google.com/spreadsheets/d/1tpwhWw"&amp;"kqkBeiSWCcfB5f2fbwPRbM9hHOEDSDHpl2MIc/edit?usp=share_link"",""นครปฐม!J83"")+IMPORTRANGE(""https://docs.google.com/spreadsheets/d/1fJJCVBkBnhriyv0Cp5ZFMr0I_yrfdEITNpb4zILJgUQ/edit?usp=share_link"",""ปทุมธานี!J83"")+IMPORTRANGE(""https://docs.google.com/spr"&amp;"eadsheets/d/1W5Jj_S0gYw6wSO7QcMI02YgyOBDKYgmm0NSUk-AQEac/edit?usp=share_link"",""ประจวบคีรีขันธ์!J83"")+IMPORTRANGE(""https://docs.google.com/spreadsheets/d/1nYxRXgnCfTXtqUY1otYuTlnrzE0Tn-Y0YRsW5pkRVqo/edit?usp=share_link"",""ปราจีนบุรี!J83"")+IMPORTRANGE"&amp;"(""https://docs.google.com/spreadsheets/d/1nNHCLO8ZAXOMfQvxux7cf_hrzPAh8FAvaHq_ClKbZNo/edit?usp=share_link"",""พระนครศรีอยุธยา!J83"")+IMPORTRANGE(""https://docs.google.com/spreadsheets/d/1CdNicvf3i6yt4tJlCePe3V1Va76wYqW0QzMzTsaGRrA/edit?usp=share_link"","&amp;"""เพชรบุรี!J83"")+IMPORTRANGE(""https://docs.google.com/spreadsheets/d/1XiF77UIVHV0Kjc6xbXuOuJ10WgJYxd4p_22ngKVV5oM/edit?usp=share_link"",""ระยอง!J83"")+IMPORTRANGE(""https://docs.google.com/spreadsheets/d/1qU-W_9MCQD1pgIVXGEOjCFo9QqlmJywuebyGgaN92r8/edit"&amp;"?usp=share_link"",""ราชบุรี!J83"")+IMPORTRANGE(""https://docs.google.com/spreadsheets/d/1xYFIxIM_CspAP5Q-5Zx_V0T_Ut3cjryrjd2hss28vGk/edit?usp=share_link"",""ลพบุรี!J83"")+IMPORTRANGE(""https://docs.google.com/spreadsheets/d/11s9m3tKsCBdPWq6syhZm27eBGbKneD"&amp;"LZc75co106bio/edit?usp=share_link"",""สระแก้ว!J83"")+IMPORTRANGE(""https://docs.google.com/spreadsheets/d/1Nn1EvsFPtXldgpgVb3Rcng2K2cls68LFQsBh2FyW0Bg/edit?usp=share_link"",""สระบุรี!J83"")+IMPORTRANGE(""https://docs.google.com/spreadsheets/d/149xufxukrnE"&amp;"ciK3WPbNpHwUK8BKEJxp3UcBG3Al6dA4/edit?usp=share_link"",""สิงห์บุรี!J83"")+IMPORTRANGE(""https://docs.google.com/spreadsheets/d/132g-zJpz2uMKimp17uOIx8A7o3w1Z25zwJyXnwsB56c/edit?usp=share_link"",""สุพรรณบุรี!J83"")+IMPORTRANGE(""https://docs.google.com/spr"&amp;"eadsheets/d/12Q_U0nVnFdxDFwa0pej9xvx8ZvLC9Dpi_vRro_aiG5g/edit?usp=share_link"",""อ่างทอง!J83"")
"),53)</f>
        <v>53</v>
      </c>
      <c r="K83" s="163">
        <f t="shared" ca="1" si="60"/>
        <v>40.769230769230766</v>
      </c>
      <c r="L83" s="163"/>
      <c r="M83" s="163"/>
      <c r="N83" s="163"/>
      <c r="O83" s="163"/>
      <c r="P83" s="163"/>
    </row>
    <row r="84" spans="1:26" ht="20.25" customHeight="1">
      <c r="A84" s="170"/>
      <c r="B84" s="171"/>
      <c r="C84" s="171"/>
      <c r="D84" s="176" t="s">
        <v>43</v>
      </c>
      <c r="E84" s="177"/>
      <c r="F84" s="178"/>
      <c r="G84" s="179"/>
      <c r="H84" s="185" t="s">
        <v>34</v>
      </c>
      <c r="I84" s="162">
        <f ca="1">IFERROR(__xludf.DUMMYFUNCTION("IMPORTRANGE(""https://docs.google.com/spreadsheets/d/1hKO5uv94SSRZWOvrh72HRcpyoEQF9TsE_Cvxl77XNU4/edit?usp=share_link"",""กาญจนบุรี!I84"")+IMPORTRANGE(""https://docs.google.com/spreadsheets/d/1njBaP_xXd-Uotvo2D9zb01TTCFkLJLDK97Tk1l9Qux0/edit?usp=share_lin"&amp;"k"",""จันทบุรี!I84"")+IMPORTRANGE(""https://docs.google.com/spreadsheets/d/14xp6qUzrGFnUk_qnc1eEmfiaNRd4_grkhpfQH_46fa8/edit?usp=share_link"",""ฉะเชิงเทรา!I84"")+IMPORTRANGE(""https://docs.google.com/spreadsheets/d/1_Zwps30dlVa-pZFsorjVf1Pil6WXwzCsJU0U2wh"&amp;"O3NI/edit?usp=share_link"",""ชลบุรี!I84"")+IMPORTRANGE(""https://docs.google.com/spreadsheets/d/1xAsT4sUbBlom7l0acStESh_15nvjZcXjZM7fK5uZSq8/edit?usp=share_link"",""ชัยนาท!I84"")+IMPORTRANGE(""https://docs.google.com/spreadsheets/d/1vWPVBOAaZ6mHSI8yf95DNq"&amp;"HwTJ1cpeFsvqt6cxV34QA/edit?usp=share_link"",""ตราด!I84"")+IMPORTRANGE(""https://docs.google.com/spreadsheets/d/1phaeSb9lTGgzDpbvVqI9hfmOQQzUom07-HEvpbARzEg/edit?usp=share_link"",""นครนายก!I84"")+IMPORTRANGE(""https://docs.google.com/spreadsheets/d/1tpwhWw"&amp;"kqkBeiSWCcfB5f2fbwPRbM9hHOEDSDHpl2MIc/edit?usp=share_link"",""นครปฐม!I84"")+IMPORTRANGE(""https://docs.google.com/spreadsheets/d/1fJJCVBkBnhriyv0Cp5ZFMr0I_yrfdEITNpb4zILJgUQ/edit?usp=share_link"",""ปทุมธานี!I84"")+IMPORTRANGE(""https://docs.google.com/spr"&amp;"eadsheets/d/1W5Jj_S0gYw6wSO7QcMI02YgyOBDKYgmm0NSUk-AQEac/edit?usp=share_link"",""ประจวบคีรีขันธ์!I84"")+IMPORTRANGE(""https://docs.google.com/spreadsheets/d/1nYxRXgnCfTXtqUY1otYuTlnrzE0Tn-Y0YRsW5pkRVqo/edit?usp=share_link"",""ปราจีนบุรี!I84"")+IMPORTRANGE"&amp;"(""https://docs.google.com/spreadsheets/d/1nNHCLO8ZAXOMfQvxux7cf_hrzPAh8FAvaHq_ClKbZNo/edit?usp=share_link"",""พระนครศรีอยุธยา!I84"")+IMPORTRANGE(""https://docs.google.com/spreadsheets/d/1CdNicvf3i6yt4tJlCePe3V1Va76wYqW0QzMzTsaGRrA/edit?usp=share_link"","&amp;"""เพชรบุรี!I84"")+IMPORTRANGE(""https://docs.google.com/spreadsheets/d/1XiF77UIVHV0Kjc6xbXuOuJ10WgJYxd4p_22ngKVV5oM/edit?usp=share_link"",""ระยอง!I84"")+IMPORTRANGE(""https://docs.google.com/spreadsheets/d/1qU-W_9MCQD1pgIVXGEOjCFo9QqlmJywuebyGgaN92r8/edit"&amp;"?usp=share_link"",""ราชบุรี!I84"")+IMPORTRANGE(""https://docs.google.com/spreadsheets/d/1xYFIxIM_CspAP5Q-5Zx_V0T_Ut3cjryrjd2hss28vGk/edit?usp=share_link"",""ลพบุรี!I84"")+IMPORTRANGE(""https://docs.google.com/spreadsheets/d/11s9m3tKsCBdPWq6syhZm27eBGbKneD"&amp;"LZc75co106bio/edit?usp=share_link"",""สระแก้ว!I84"")+IMPORTRANGE(""https://docs.google.com/spreadsheets/d/1Nn1EvsFPtXldgpgVb3Rcng2K2cls68LFQsBh2FyW0Bg/edit?usp=share_link"",""สระบุรี!I84"")+IMPORTRANGE(""https://docs.google.com/spreadsheets/d/149xufxukrnE"&amp;"ciK3WPbNpHwUK8BKEJxp3UcBG3Al6dA4/edit?usp=share_link"",""สิงห์บุรี!I84"")+IMPORTRANGE(""https://docs.google.com/spreadsheets/d/132g-zJpz2uMKimp17uOIx8A7o3w1Z25zwJyXnwsB56c/edit?usp=share_link"",""สุพรรณบุรี!I84"")+IMPORTRANGE(""https://docs.google.com/spr"&amp;"eadsheets/d/12Q_U0nVnFdxDFwa0pej9xvx8ZvLC9Dpi_vRro_aiG5g/edit?usp=share_link"",""อ่างทอง!I84"")
"),8)</f>
        <v>8</v>
      </c>
      <c r="J84" s="183">
        <f ca="1">IFERROR(__xludf.DUMMYFUNCTION("IMPORTRANGE(""https://docs.google.com/spreadsheets/d/1hKO5uv94SSRZWOvrh72HRcpyoEQF9TsE_Cvxl77XNU4/edit?usp=share_link"",""กาญจนบุรี!J84"")+IMPORTRANGE(""https://docs.google.com/spreadsheets/d/1njBaP_xXd-Uotvo2D9zb01TTCFkLJLDK97Tk1l9Qux0/edit?usp=share_lin"&amp;"k"",""จันทบุรี!J84"")+IMPORTRANGE(""https://docs.google.com/spreadsheets/d/14xp6qUzrGFnUk_qnc1eEmfiaNRd4_grkhpfQH_46fa8/edit?usp=share_link"",""ฉะเชิงเทรา!J84"")+IMPORTRANGE(""https://docs.google.com/spreadsheets/d/1_Zwps30dlVa-pZFsorjVf1Pil6WXwzCsJU0U2wh"&amp;"O3NI/edit?usp=share_link"",""ชลบุรี!J84"")+IMPORTRANGE(""https://docs.google.com/spreadsheets/d/1xAsT4sUbBlom7l0acStESh_15nvjZcXjZM7fK5uZSq8/edit?usp=share_link"",""ชัยนาท!J84"")+IMPORTRANGE(""https://docs.google.com/spreadsheets/d/1vWPVBOAaZ6mHSI8yf95DNq"&amp;"HwTJ1cpeFsvqt6cxV34QA/edit?usp=share_link"",""ตราด!J84"")+IMPORTRANGE(""https://docs.google.com/spreadsheets/d/1phaeSb9lTGgzDpbvVqI9hfmOQQzUom07-HEvpbARzEg/edit?usp=share_link"",""นครนายก!J84"")+IMPORTRANGE(""https://docs.google.com/spreadsheets/d/1tpwhWw"&amp;"kqkBeiSWCcfB5f2fbwPRbM9hHOEDSDHpl2MIc/edit?usp=share_link"",""นครปฐม!J84"")+IMPORTRANGE(""https://docs.google.com/spreadsheets/d/1fJJCVBkBnhriyv0Cp5ZFMr0I_yrfdEITNpb4zILJgUQ/edit?usp=share_link"",""ปทุมธานี!J84"")+IMPORTRANGE(""https://docs.google.com/spr"&amp;"eadsheets/d/1W5Jj_S0gYw6wSO7QcMI02YgyOBDKYgmm0NSUk-AQEac/edit?usp=share_link"",""ประจวบคีรีขันธ์!J84"")+IMPORTRANGE(""https://docs.google.com/spreadsheets/d/1nYxRXgnCfTXtqUY1otYuTlnrzE0Tn-Y0YRsW5pkRVqo/edit?usp=share_link"",""ปราจีนบุรี!J84"")+IMPORTRANGE"&amp;"(""https://docs.google.com/spreadsheets/d/1nNHCLO8ZAXOMfQvxux7cf_hrzPAh8FAvaHq_ClKbZNo/edit?usp=share_link"",""พระนครศรีอยุธยา!J84"")+IMPORTRANGE(""https://docs.google.com/spreadsheets/d/1CdNicvf3i6yt4tJlCePe3V1Va76wYqW0QzMzTsaGRrA/edit?usp=share_link"","&amp;"""เพชรบุรี!J84"")+IMPORTRANGE(""https://docs.google.com/spreadsheets/d/1XiF77UIVHV0Kjc6xbXuOuJ10WgJYxd4p_22ngKVV5oM/edit?usp=share_link"",""ระยอง!J84"")+IMPORTRANGE(""https://docs.google.com/spreadsheets/d/1qU-W_9MCQD1pgIVXGEOjCFo9QqlmJywuebyGgaN92r8/edit"&amp;"?usp=share_link"",""ราชบุรี!J84"")+IMPORTRANGE(""https://docs.google.com/spreadsheets/d/1xYFIxIM_CspAP5Q-5Zx_V0T_Ut3cjryrjd2hss28vGk/edit?usp=share_link"",""ลพบุรี!J84"")+IMPORTRANGE(""https://docs.google.com/spreadsheets/d/11s9m3tKsCBdPWq6syhZm27eBGbKneD"&amp;"LZc75co106bio/edit?usp=share_link"",""สระแก้ว!J84"")+IMPORTRANGE(""https://docs.google.com/spreadsheets/d/1Nn1EvsFPtXldgpgVb3Rcng2K2cls68LFQsBh2FyW0Bg/edit?usp=share_link"",""สระบุรี!J84"")+IMPORTRANGE(""https://docs.google.com/spreadsheets/d/149xufxukrnE"&amp;"ciK3WPbNpHwUK8BKEJxp3UcBG3Al6dA4/edit?usp=share_link"",""สิงห์บุรี!J84"")+IMPORTRANGE(""https://docs.google.com/spreadsheets/d/132g-zJpz2uMKimp17uOIx8A7o3w1Z25zwJyXnwsB56c/edit?usp=share_link"",""สุพรรณบุรี!J84"")+IMPORTRANGE(""https://docs.google.com/spr"&amp;"eadsheets/d/12Q_U0nVnFdxDFwa0pej9xvx8ZvLC9Dpi_vRro_aiG5g/edit?usp=share_link"",""อ่างทอง!J84"")
"),0)</f>
        <v>0</v>
      </c>
      <c r="K84" s="163">
        <f t="shared" ca="1" si="60"/>
        <v>0</v>
      </c>
      <c r="L84" s="163"/>
      <c r="M84" s="163"/>
      <c r="N84" s="163"/>
      <c r="O84" s="163"/>
      <c r="P84" s="163"/>
    </row>
    <row r="85" spans="1:26" ht="20.25" customHeight="1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20.25" customHeight="1">
      <c r="A86" s="138"/>
      <c r="B86" s="139" t="s">
        <v>45</v>
      </c>
      <c r="C86" s="140"/>
      <c r="D86" s="141"/>
      <c r="E86" s="140"/>
      <c r="F86" s="140"/>
      <c r="G86" s="142"/>
      <c r="H86" s="143" t="s">
        <v>46</v>
      </c>
      <c r="I86" s="144">
        <f t="shared" ref="I86:J86" ca="1" si="62">I98</f>
        <v>645</v>
      </c>
      <c r="J86" s="144">
        <f t="shared" ca="1" si="62"/>
        <v>135</v>
      </c>
      <c r="K86" s="145">
        <f t="shared" ref="K86:K87" ca="1" si="63">IF(I86&gt;0,J86*100/I86,0)</f>
        <v>20.930232558139537</v>
      </c>
      <c r="L86" s="146"/>
      <c r="M86" s="146"/>
      <c r="N86" s="146"/>
      <c r="O86" s="146"/>
      <c r="P86" s="146"/>
    </row>
    <row r="87" spans="1:26" ht="20.25" customHeight="1">
      <c r="A87" s="138"/>
      <c r="B87" s="140"/>
      <c r="C87" s="140"/>
      <c r="D87" s="141"/>
      <c r="E87" s="140"/>
      <c r="F87" s="140"/>
      <c r="G87" s="142"/>
      <c r="H87" s="143" t="s">
        <v>35</v>
      </c>
      <c r="I87" s="144">
        <f t="shared" ref="I87:J87" ca="1" si="64">I99</f>
        <v>215</v>
      </c>
      <c r="J87" s="144">
        <f t="shared" ca="1" si="64"/>
        <v>30</v>
      </c>
      <c r="K87" s="145">
        <f t="shared" ca="1" si="63"/>
        <v>13.953488372093023</v>
      </c>
      <c r="L87" s="146"/>
      <c r="M87" s="146"/>
      <c r="N87" s="146"/>
      <c r="O87" s="146"/>
      <c r="P87" s="146"/>
    </row>
    <row r="88" spans="1:26" ht="20.25" customHeight="1">
      <c r="A88" s="147"/>
      <c r="B88" s="148"/>
      <c r="C88" s="149" t="s">
        <v>16</v>
      </c>
      <c r="D88" s="150" t="s">
        <v>17</v>
      </c>
      <c r="E88" s="148"/>
      <c r="F88" s="148"/>
      <c r="G88" s="151"/>
      <c r="H88" s="152" t="s">
        <v>12</v>
      </c>
      <c r="I88" s="153"/>
      <c r="J88" s="153"/>
      <c r="K88" s="154"/>
      <c r="L88" s="155">
        <f t="shared" ref="L88:N88" ca="1" si="65">L89+L90</f>
        <v>3424660</v>
      </c>
      <c r="M88" s="155">
        <f t="shared" ca="1" si="65"/>
        <v>1539160</v>
      </c>
      <c r="N88" s="155">
        <f t="shared" ca="1" si="65"/>
        <v>705520.86</v>
      </c>
      <c r="O88" s="155">
        <f t="shared" ref="O88:O96" ca="1" si="66">IF(L88&gt;0,N88*100/L88,0)</f>
        <v>20.60119427914012</v>
      </c>
      <c r="P88" s="155">
        <f t="shared" ref="P88:P96" ca="1" si="67">IF(M88&gt;0,N88*100/M88,0)</f>
        <v>45.838045427375974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20.25" hidden="1" customHeight="1">
      <c r="A89" s="156"/>
      <c r="B89" s="40"/>
      <c r="C89" s="40"/>
      <c r="D89" s="40"/>
      <c r="E89" s="41" t="s">
        <v>18</v>
      </c>
      <c r="F89" s="40"/>
      <c r="G89" s="157"/>
      <c r="H89" s="158" t="s">
        <v>12</v>
      </c>
      <c r="I89" s="44"/>
      <c r="J89" s="44"/>
      <c r="K89" s="45"/>
      <c r="L89" s="45">
        <f t="shared" ref="L89:N89" si="68">L92+L95</f>
        <v>0</v>
      </c>
      <c r="M89" s="45">
        <f t="shared" si="68"/>
        <v>0</v>
      </c>
      <c r="N89" s="45">
        <f t="shared" si="68"/>
        <v>0</v>
      </c>
      <c r="O89" s="45">
        <f t="shared" si="66"/>
        <v>0</v>
      </c>
      <c r="P89" s="45">
        <f t="shared" si="67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20.25" hidden="1" customHeight="1">
      <c r="A90" s="156"/>
      <c r="B90" s="40"/>
      <c r="C90" s="40"/>
      <c r="D90" s="40"/>
      <c r="E90" s="41" t="s">
        <v>19</v>
      </c>
      <c r="F90" s="40"/>
      <c r="G90" s="157"/>
      <c r="H90" s="158" t="s">
        <v>12</v>
      </c>
      <c r="I90" s="44"/>
      <c r="J90" s="44"/>
      <c r="K90" s="45"/>
      <c r="L90" s="45">
        <f t="shared" ref="L90:N90" ca="1" si="69">L93+L96</f>
        <v>3424660</v>
      </c>
      <c r="M90" s="45">
        <f t="shared" ca="1" si="69"/>
        <v>1539160</v>
      </c>
      <c r="N90" s="45">
        <f t="shared" ca="1" si="69"/>
        <v>705520.86</v>
      </c>
      <c r="O90" s="45">
        <f t="shared" ca="1" si="66"/>
        <v>20.60119427914012</v>
      </c>
      <c r="P90" s="45">
        <f t="shared" ca="1" si="67"/>
        <v>45.838045427375974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20.25" customHeight="1">
      <c r="A91" s="159"/>
      <c r="B91" s="33"/>
      <c r="C91" s="160"/>
      <c r="D91" s="34" t="s">
        <v>20</v>
      </c>
      <c r="E91" s="33"/>
      <c r="F91" s="33"/>
      <c r="G91" s="35"/>
      <c r="H91" s="161" t="s">
        <v>12</v>
      </c>
      <c r="I91" s="162"/>
      <c r="J91" s="162"/>
      <c r="K91" s="163"/>
      <c r="L91" s="38">
        <f t="shared" ref="L91:N91" ca="1" si="70">L92+L93</f>
        <v>3424660</v>
      </c>
      <c r="M91" s="38">
        <f t="shared" ca="1" si="70"/>
        <v>1539160</v>
      </c>
      <c r="N91" s="38">
        <f t="shared" ca="1" si="70"/>
        <v>705520.86</v>
      </c>
      <c r="O91" s="38">
        <f t="shared" ca="1" si="66"/>
        <v>20.60119427914012</v>
      </c>
      <c r="P91" s="38">
        <f t="shared" ca="1" si="67"/>
        <v>45.838045427375974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20.25" hidden="1" customHeight="1">
      <c r="A92" s="156"/>
      <c r="B92" s="40"/>
      <c r="C92" s="164"/>
      <c r="D92" s="40"/>
      <c r="E92" s="41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45">
        <f t="shared" si="66"/>
        <v>0</v>
      </c>
      <c r="P92" s="45">
        <f t="shared" si="67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20.25" hidden="1" customHeight="1">
      <c r="A93" s="156"/>
      <c r="B93" s="40"/>
      <c r="C93" s="164"/>
      <c r="D93" s="40"/>
      <c r="E93" s="41" t="s">
        <v>37</v>
      </c>
      <c r="F93" s="40"/>
      <c r="G93" s="157"/>
      <c r="H93" s="165" t="s">
        <v>12</v>
      </c>
      <c r="I93" s="166"/>
      <c r="J93" s="166"/>
      <c r="K93" s="167"/>
      <c r="L93" s="45">
        <f ca="1">IFERROR(__xludf.DUMMYFUNCTION("IMPORTRANGE(""https://docs.google.com/spreadsheets/d/1hKO5uv94SSRZWOvrh72HRcpyoEQF9TsE_Cvxl77XNU4/edit?usp=share_link"",""กาญจนบุรี!L93"")+IMPORTRANGE(""https://docs.google.com/spreadsheets/d/1njBaP_xXd-Uotvo2D9zb01TTCFkLJLDK97Tk1l9Qux0/edit?usp=share_lin"&amp;"k"",""จันทบุรี!L93"")+IMPORTRANGE(""https://docs.google.com/spreadsheets/d/14xp6qUzrGFnUk_qnc1eEmfiaNRd4_grkhpfQH_46fa8/edit?usp=share_link"",""ฉะเชิงเทรา!L93"")+IMPORTRANGE(""https://docs.google.com/spreadsheets/d/1_Zwps30dlVa-pZFsorjVf1Pil6WXwzCsJU0U2wh"&amp;"O3NI/edit?usp=share_link"",""ชลบุรี!L93"")+IMPORTRANGE(""https://docs.google.com/spreadsheets/d/1xAsT4sUbBlom7l0acStESh_15nvjZcXjZM7fK5uZSq8/edit?usp=share_link"",""ชัยนาท!L93"")+IMPORTRANGE(""https://docs.google.com/spreadsheets/d/1vWPVBOAaZ6mHSI8yf95DNq"&amp;"HwTJ1cpeFsvqt6cxV34QA/edit?usp=share_link"",""ตราด!L93"")+IMPORTRANGE(""https://docs.google.com/spreadsheets/d/1phaeSb9lTGgzDpbvVqI9hfmOQQzUom07-HEvpbARzEg/edit?usp=share_link"",""นครนายก!L93"")+IMPORTRANGE(""https://docs.google.com/spreadsheets/d/1tpwhWw"&amp;"kqkBeiSWCcfB5f2fbwPRbM9hHOEDSDHpl2MIc/edit?usp=share_link"",""นครปฐม!L93"")+IMPORTRANGE(""https://docs.google.com/spreadsheets/d/1fJJCVBkBnhriyv0Cp5ZFMr0I_yrfdEITNpb4zILJgUQ/edit?usp=share_link"",""ปทุมธานี!L93"")+IMPORTRANGE(""https://docs.google.com/spr"&amp;"eadsheets/d/1W5Jj_S0gYw6wSO7QcMI02YgyOBDKYgmm0NSUk-AQEac/edit?usp=share_link"",""ประจวบคีรีขันธ์!L93"")+IMPORTRANGE(""https://docs.google.com/spreadsheets/d/1nYxRXgnCfTXtqUY1otYuTlnrzE0Tn-Y0YRsW5pkRVqo/edit?usp=share_link"",""ปราจีนบุรี!L93"")+IMPORTRANGE"&amp;"(""https://docs.google.com/spreadsheets/d/1nNHCLO8ZAXOMfQvxux7cf_hrzPAh8FAvaHq_ClKbZNo/edit?usp=share_link"",""พระนครศรีอยุธยา!L93"")+IMPORTRANGE(""https://docs.google.com/spreadsheets/d/1CdNicvf3i6yt4tJlCePe3V1Va76wYqW0QzMzTsaGRrA/edit?usp=share_link"","&amp;"""เพชรบุรี!L93"")+IMPORTRANGE(""https://docs.google.com/spreadsheets/d/1XiF77UIVHV0Kjc6xbXuOuJ10WgJYxd4p_22ngKVV5oM/edit?usp=share_link"",""ระยอง!L93"")+IMPORTRANGE(""https://docs.google.com/spreadsheets/d/1qU-W_9MCQD1pgIVXGEOjCFo9QqlmJywuebyGgaN92r8/edit"&amp;"?usp=share_link"",""ราชบุรี!L93"")+IMPORTRANGE(""https://docs.google.com/spreadsheets/d/1xYFIxIM_CspAP5Q-5Zx_V0T_Ut3cjryrjd2hss28vGk/edit?usp=share_link"",""ลพบุรี!L93"")+IMPORTRANGE(""https://docs.google.com/spreadsheets/d/11s9m3tKsCBdPWq6syhZm27eBGbKneD"&amp;"LZc75co106bio/edit?usp=share_link"",""สระแก้ว!L93"")+IMPORTRANGE(""https://docs.google.com/spreadsheets/d/1Nn1EvsFPtXldgpgVb3Rcng2K2cls68LFQsBh2FyW0Bg/edit?usp=share_link"",""สระบุรี!L93"")+IMPORTRANGE(""https://docs.google.com/spreadsheets/d/149xufxukrnE"&amp;"ciK3WPbNpHwUK8BKEJxp3UcBG3Al6dA4/edit?usp=share_link"",""สิงห์บุรี!L93"")+IMPORTRANGE(""https://docs.google.com/spreadsheets/d/132g-zJpz2uMKimp17uOIx8A7o3w1Z25zwJyXnwsB56c/edit?usp=share_link"",""สุพรรณบุรี!L93"")+IMPORTRANGE(""https://docs.google.com/spr"&amp;"eadsheets/d/12Q_U0nVnFdxDFwa0pej9xvx8ZvLC9Dpi_vRro_aiG5g/edit?usp=share_link"",""อ่างทอง!L93"")
"),3424660)</f>
        <v>3424660</v>
      </c>
      <c r="M93" s="45">
        <f ca="1">IFERROR(__xludf.DUMMYFUNCTION("IMPORTRANGE(""https://docs.google.com/spreadsheets/d/1hKO5uv94SSRZWOvrh72HRcpyoEQF9TsE_Cvxl77XNU4/edit?usp=share_link"",""กาญจนบุรี!M93"")+IMPORTRANGE(""https://docs.google.com/spreadsheets/d/1njBaP_xXd-Uotvo2D9zb01TTCFkLJLDK97Tk1l9Qux0/edit?usp=share_lin"&amp;"k"",""จันทบุรี!M93"")+IMPORTRANGE(""https://docs.google.com/spreadsheets/d/14xp6qUzrGFnUk_qnc1eEmfiaNRd4_grkhpfQH_46fa8/edit?usp=share_link"",""ฉะเชิงเทรา!M93"")+IMPORTRANGE(""https://docs.google.com/spreadsheets/d/1_Zwps30dlVa-pZFsorjVf1Pil6WXwzCsJU0U2wh"&amp;"O3NI/edit?usp=share_link"",""ชลบุรี!M93"")+IMPORTRANGE(""https://docs.google.com/spreadsheets/d/1xAsT4sUbBlom7l0acStESh_15nvjZcXjZM7fK5uZSq8/edit?usp=share_link"",""ชัยนาท!M93"")+IMPORTRANGE(""https://docs.google.com/spreadsheets/d/1vWPVBOAaZ6mHSI8yf95DNq"&amp;"HwTJ1cpeFsvqt6cxV34QA/edit?usp=share_link"",""ตราด!M93"")+IMPORTRANGE(""https://docs.google.com/spreadsheets/d/1phaeSb9lTGgzDpbvVqI9hfmOQQzUom07-HEvpbARzEg/edit?usp=share_link"",""นครนายก!M93"")+IMPORTRANGE(""https://docs.google.com/spreadsheets/d/1tpwhWw"&amp;"kqkBeiSWCcfB5f2fbwPRbM9hHOEDSDHpl2MIc/edit?usp=share_link"",""นครปฐม!M93"")+IMPORTRANGE(""https://docs.google.com/spreadsheets/d/1fJJCVBkBnhriyv0Cp5ZFMr0I_yrfdEITNpb4zILJgUQ/edit?usp=share_link"",""ปทุมธานี!M93"")+IMPORTRANGE(""https://docs.google.com/spr"&amp;"eadsheets/d/1W5Jj_S0gYw6wSO7QcMI02YgyOBDKYgmm0NSUk-AQEac/edit?usp=share_link"",""ประจวบคีรีขันธ์!M93"")+IMPORTRANGE(""https://docs.google.com/spreadsheets/d/1nYxRXgnCfTXtqUY1otYuTlnrzE0Tn-Y0YRsW5pkRVqo/edit?usp=share_link"",""ปราจีนบุรี!M93"")+IMPORTRANGE"&amp;"(""https://docs.google.com/spreadsheets/d/1nNHCLO8ZAXOMfQvxux7cf_hrzPAh8FAvaHq_ClKbZNo/edit?usp=share_link"",""พระนครศรีอยุธยา!M93"")+IMPORTRANGE(""https://docs.google.com/spreadsheets/d/1CdNicvf3i6yt4tJlCePe3V1Va76wYqW0QzMzTsaGRrA/edit?usp=share_link"","&amp;"""เพชรบุรี!M93"")+IMPORTRANGE(""https://docs.google.com/spreadsheets/d/1XiF77UIVHV0Kjc6xbXuOuJ10WgJYxd4p_22ngKVV5oM/edit?usp=share_link"",""ระยอง!M93"")+IMPORTRANGE(""https://docs.google.com/spreadsheets/d/1qU-W_9MCQD1pgIVXGEOjCFo9QqlmJywuebyGgaN92r8/edit"&amp;"?usp=share_link"",""ราชบุรี!M93"")+IMPORTRANGE(""https://docs.google.com/spreadsheets/d/1xYFIxIM_CspAP5Q-5Zx_V0T_Ut3cjryrjd2hss28vGk/edit?usp=share_link"",""ลพบุรี!M93"")+IMPORTRANGE(""https://docs.google.com/spreadsheets/d/11s9m3tKsCBdPWq6syhZm27eBGbKneD"&amp;"LZc75co106bio/edit?usp=share_link"",""สระแก้ว!M93"")+IMPORTRANGE(""https://docs.google.com/spreadsheets/d/1Nn1EvsFPtXldgpgVb3Rcng2K2cls68LFQsBh2FyW0Bg/edit?usp=share_link"",""สระบุรี!M93"")+IMPORTRANGE(""https://docs.google.com/spreadsheets/d/149xufxukrnE"&amp;"ciK3WPbNpHwUK8BKEJxp3UcBG3Al6dA4/edit?usp=share_link"",""สิงห์บุรี!M93"")+IMPORTRANGE(""https://docs.google.com/spreadsheets/d/132g-zJpz2uMKimp17uOIx8A7o3w1Z25zwJyXnwsB56c/edit?usp=share_link"",""สุพรรณบุรี!M93"")+IMPORTRANGE(""https://docs.google.com/spr"&amp;"eadsheets/d/12Q_U0nVnFdxDFwa0pej9xvx8ZvLC9Dpi_vRro_aiG5g/edit?usp=share_link"",""อ่างทอง!M93"")
"),1539160)</f>
        <v>1539160</v>
      </c>
      <c r="N93" s="45">
        <f ca="1">IFERROR(__xludf.DUMMYFUNCTION("IMPORTRANGE(""https://docs.google.com/spreadsheets/d/1hKO5uv94SSRZWOvrh72HRcpyoEQF9TsE_Cvxl77XNU4/edit?usp=share_link"",""กาญจนบุรี!N93"")+IMPORTRANGE(""https://docs.google.com/spreadsheets/d/1njBaP_xXd-Uotvo2D9zb01TTCFkLJLDK97Tk1l9Qux0/edit?usp=share_lin"&amp;"k"",""จันทบุรี!N93"")+IMPORTRANGE(""https://docs.google.com/spreadsheets/d/14xp6qUzrGFnUk_qnc1eEmfiaNRd4_grkhpfQH_46fa8/edit?usp=share_link"",""ฉะเชิงเทรา!N93"")+IMPORTRANGE(""https://docs.google.com/spreadsheets/d/1_Zwps30dlVa-pZFsorjVf1Pil6WXwzCsJU0U2wh"&amp;"O3NI/edit?usp=share_link"",""ชลบุรี!N93"")+IMPORTRANGE(""https://docs.google.com/spreadsheets/d/1xAsT4sUbBlom7l0acStESh_15nvjZcXjZM7fK5uZSq8/edit?usp=share_link"",""ชัยนาท!N93"")+IMPORTRANGE(""https://docs.google.com/spreadsheets/d/1vWPVBOAaZ6mHSI8yf95DNq"&amp;"HwTJ1cpeFsvqt6cxV34QA/edit?usp=share_link"",""ตราด!N93"")+IMPORTRANGE(""https://docs.google.com/spreadsheets/d/1phaeSb9lTGgzDpbvVqI9hfmOQQzUom07-HEvpbARzEg/edit?usp=share_link"",""นครนายก!N93"")+IMPORTRANGE(""https://docs.google.com/spreadsheets/d/1tpwhWw"&amp;"kqkBeiSWCcfB5f2fbwPRbM9hHOEDSDHpl2MIc/edit?usp=share_link"",""นครปฐม!N93"")+IMPORTRANGE(""https://docs.google.com/spreadsheets/d/1fJJCVBkBnhriyv0Cp5ZFMr0I_yrfdEITNpb4zILJgUQ/edit?usp=share_link"",""ปทุมธานี!N93"")+IMPORTRANGE(""https://docs.google.com/spr"&amp;"eadsheets/d/1W5Jj_S0gYw6wSO7QcMI02YgyOBDKYgmm0NSUk-AQEac/edit?usp=share_link"",""ประจวบคีรีขันธ์!N93"")+IMPORTRANGE(""https://docs.google.com/spreadsheets/d/1nYxRXgnCfTXtqUY1otYuTlnrzE0Tn-Y0YRsW5pkRVqo/edit?usp=share_link"",""ปราจีนบุรี!N93"")+IMPORTRANGE"&amp;"(""https://docs.google.com/spreadsheets/d/1nNHCLO8ZAXOMfQvxux7cf_hrzPAh8FAvaHq_ClKbZNo/edit?usp=share_link"",""พระนครศรีอยุธยา!N93"")+IMPORTRANGE(""https://docs.google.com/spreadsheets/d/1CdNicvf3i6yt4tJlCePe3V1Va76wYqW0QzMzTsaGRrA/edit?usp=share_link"","&amp;"""เพชรบุรี!N93"")+IMPORTRANGE(""https://docs.google.com/spreadsheets/d/1XiF77UIVHV0Kjc6xbXuOuJ10WgJYxd4p_22ngKVV5oM/edit?usp=share_link"",""ระยอง!N93"")+IMPORTRANGE(""https://docs.google.com/spreadsheets/d/1qU-W_9MCQD1pgIVXGEOjCFo9QqlmJywuebyGgaN92r8/edit"&amp;"?usp=share_link"",""ราชบุรี!N93"")+IMPORTRANGE(""https://docs.google.com/spreadsheets/d/1xYFIxIM_CspAP5Q-5Zx_V0T_Ut3cjryrjd2hss28vGk/edit?usp=share_link"",""ลพบุรี!N93"")+IMPORTRANGE(""https://docs.google.com/spreadsheets/d/11s9m3tKsCBdPWq6syhZm27eBGbKneD"&amp;"LZc75co106bio/edit?usp=share_link"",""สระแก้ว!N93"")+IMPORTRANGE(""https://docs.google.com/spreadsheets/d/1Nn1EvsFPtXldgpgVb3Rcng2K2cls68LFQsBh2FyW0Bg/edit?usp=share_link"",""สระบุรี!N93"")+IMPORTRANGE(""https://docs.google.com/spreadsheets/d/149xufxukrnE"&amp;"ciK3WPbNpHwUK8BKEJxp3UcBG3Al6dA4/edit?usp=share_link"",""สิงห์บุรี!N93"")+IMPORTRANGE(""https://docs.google.com/spreadsheets/d/132g-zJpz2uMKimp17uOIx8A7o3w1Z25zwJyXnwsB56c/edit?usp=share_link"",""สุพรรณบุรี!N93"")+IMPORTRANGE(""https://docs.google.com/spr"&amp;"eadsheets/d/12Q_U0nVnFdxDFwa0pej9xvx8ZvLC9Dpi_vRro_aiG5g/edit?usp=share_link"",""อ่างทอง!N93"")
"),705520.86)</f>
        <v>705520.86</v>
      </c>
      <c r="O93" s="45">
        <f t="shared" ca="1" si="66"/>
        <v>20.60119427914012</v>
      </c>
      <c r="P93" s="45">
        <f t="shared" ca="1" si="67"/>
        <v>45.838045427375974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20.25" customHeight="1">
      <c r="A94" s="159"/>
      <c r="B94" s="33"/>
      <c r="C94" s="160"/>
      <c r="D94" s="34" t="s">
        <v>21</v>
      </c>
      <c r="E94" s="33"/>
      <c r="F94" s="33"/>
      <c r="G94" s="35"/>
      <c r="H94" s="168" t="s">
        <v>12</v>
      </c>
      <c r="I94" s="162"/>
      <c r="J94" s="162"/>
      <c r="K94" s="163"/>
      <c r="L94" s="38">
        <f t="shared" ref="L94:N94" ca="1" si="71">L95+L96</f>
        <v>0</v>
      </c>
      <c r="M94" s="38">
        <f t="shared" ca="1" si="71"/>
        <v>0</v>
      </c>
      <c r="N94" s="38">
        <f t="shared" ca="1" si="71"/>
        <v>0</v>
      </c>
      <c r="O94" s="38">
        <f t="shared" ca="1" si="66"/>
        <v>0</v>
      </c>
      <c r="P94" s="38">
        <f t="shared" ca="1" si="67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20.25" hidden="1" customHeight="1">
      <c r="A95" s="156"/>
      <c r="B95" s="40"/>
      <c r="C95" s="164"/>
      <c r="D95" s="40"/>
      <c r="E95" s="41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45">
        <f t="shared" si="66"/>
        <v>0</v>
      </c>
      <c r="P95" s="45">
        <f t="shared" si="67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20.25" hidden="1" customHeight="1">
      <c r="A96" s="156"/>
      <c r="B96" s="40"/>
      <c r="C96" s="164"/>
      <c r="D96" s="40"/>
      <c r="E96" s="41" t="s">
        <v>19</v>
      </c>
      <c r="F96" s="40"/>
      <c r="G96" s="157"/>
      <c r="H96" s="169" t="s">
        <v>12</v>
      </c>
      <c r="I96" s="166"/>
      <c r="J96" s="166"/>
      <c r="K96" s="167"/>
      <c r="L96" s="45">
        <f ca="1">IFERROR(__xludf.DUMMYFUNCTION("IMPORTRANGE(""https://docs.google.com/spreadsheets/d/1hKO5uv94SSRZWOvrh72HRcpyoEQF9TsE_Cvxl77XNU4/edit?usp=share_link"",""กาญจนบุรี!L96"")+IMPORTRANGE(""https://docs.google.com/spreadsheets/d/1njBaP_xXd-Uotvo2D9zb01TTCFkLJLDK97Tk1l9Qux0/edit?usp=share_lin"&amp;"k"",""จันทบุรี!L96"")+IMPORTRANGE(""https://docs.google.com/spreadsheets/d/14xp6qUzrGFnUk_qnc1eEmfiaNRd4_grkhpfQH_46fa8/edit?usp=share_link"",""ฉะเชิงเทรา!L96"")+IMPORTRANGE(""https://docs.google.com/spreadsheets/d/1_Zwps30dlVa-pZFsorjVf1Pil6WXwzCsJU0U2wh"&amp;"O3NI/edit?usp=share_link"",""ชลบุรี!L96"")+IMPORTRANGE(""https://docs.google.com/spreadsheets/d/1xAsT4sUbBlom7l0acStESh_15nvjZcXjZM7fK5uZSq8/edit?usp=share_link"",""ชัยนาท!L96"")+IMPORTRANGE(""https://docs.google.com/spreadsheets/d/1vWPVBOAaZ6mHSI8yf95DNq"&amp;"HwTJ1cpeFsvqt6cxV34QA/edit?usp=share_link"",""ตราด!L96"")+IMPORTRANGE(""https://docs.google.com/spreadsheets/d/1phaeSb9lTGgzDpbvVqI9hfmOQQzUom07-HEvpbARzEg/edit?usp=share_link"",""นครนายก!L96"")+IMPORTRANGE(""https://docs.google.com/spreadsheets/d/1tpwhWw"&amp;"kqkBeiSWCcfB5f2fbwPRbM9hHOEDSDHpl2MIc/edit?usp=share_link"",""นครปฐม!L96"")+IMPORTRANGE(""https://docs.google.com/spreadsheets/d/1fJJCVBkBnhriyv0Cp5ZFMr0I_yrfdEITNpb4zILJgUQ/edit?usp=share_link"",""ปทุมธานี!L96"")+IMPORTRANGE(""https://docs.google.com/spr"&amp;"eadsheets/d/1W5Jj_S0gYw6wSO7QcMI02YgyOBDKYgmm0NSUk-AQEac/edit?usp=share_link"",""ประจวบคีรีขันธ์!L96"")+IMPORTRANGE(""https://docs.google.com/spreadsheets/d/1nYxRXgnCfTXtqUY1otYuTlnrzE0Tn-Y0YRsW5pkRVqo/edit?usp=share_link"",""ปราจีนบุรี!L96"")+IMPORTRANGE"&amp;"(""https://docs.google.com/spreadsheets/d/1nNHCLO8ZAXOMfQvxux7cf_hrzPAh8FAvaHq_ClKbZNo/edit?usp=share_link"",""พระนครศรีอยุธยา!L96"")+IMPORTRANGE(""https://docs.google.com/spreadsheets/d/1CdNicvf3i6yt4tJlCePe3V1Va76wYqW0QzMzTsaGRrA/edit?usp=share_link"","&amp;"""เพชรบุรี!L96"")+IMPORTRANGE(""https://docs.google.com/spreadsheets/d/1XiF77UIVHV0Kjc6xbXuOuJ10WgJYxd4p_22ngKVV5oM/edit?usp=share_link"",""ระยอง!L96"")+IMPORTRANGE(""https://docs.google.com/spreadsheets/d/1qU-W_9MCQD1pgIVXGEOjCFo9QqlmJywuebyGgaN92r8/edit"&amp;"?usp=share_link"",""ราชบุรี!L96"")+IMPORTRANGE(""https://docs.google.com/spreadsheets/d/1xYFIxIM_CspAP5Q-5Zx_V0T_Ut3cjryrjd2hss28vGk/edit?usp=share_link"",""ลพบุรี!L96"")+IMPORTRANGE(""https://docs.google.com/spreadsheets/d/11s9m3tKsCBdPWq6syhZm27eBGbKneD"&amp;"LZc75co106bio/edit?usp=share_link"",""สระแก้ว!L96"")+IMPORTRANGE(""https://docs.google.com/spreadsheets/d/1Nn1EvsFPtXldgpgVb3Rcng2K2cls68LFQsBh2FyW0Bg/edit?usp=share_link"",""สระบุรี!L96"")+IMPORTRANGE(""https://docs.google.com/spreadsheets/d/149xufxukrnE"&amp;"ciK3WPbNpHwUK8BKEJxp3UcBG3Al6dA4/edit?usp=share_link"",""สิงห์บุรี!L96"")+IMPORTRANGE(""https://docs.google.com/spreadsheets/d/132g-zJpz2uMKimp17uOIx8A7o3w1Z25zwJyXnwsB56c/edit?usp=share_link"",""สุพรรณบุรี!L96"")+IMPORTRANGE(""https://docs.google.com/spr"&amp;"eadsheets/d/12Q_U0nVnFdxDFwa0pej9xvx8ZvLC9Dpi_vRro_aiG5g/edit?usp=share_link"",""อ่างทอง!L96"")
"),0)</f>
        <v>0</v>
      </c>
      <c r="M96" s="45">
        <f ca="1">IFERROR(__xludf.DUMMYFUNCTION("IMPORTRANGE(""https://docs.google.com/spreadsheets/d/1hKO5uv94SSRZWOvrh72HRcpyoEQF9TsE_Cvxl77XNU4/edit?usp=share_link"",""กาญจนบุรี!M96"")+IMPORTRANGE(""https://docs.google.com/spreadsheets/d/1njBaP_xXd-Uotvo2D9zb01TTCFkLJLDK97Tk1l9Qux0/edit?usp=share_lin"&amp;"k"",""จันทบุรี!M96"")+IMPORTRANGE(""https://docs.google.com/spreadsheets/d/14xp6qUzrGFnUk_qnc1eEmfiaNRd4_grkhpfQH_46fa8/edit?usp=share_link"",""ฉะเชิงเทรา!M96"")+IMPORTRANGE(""https://docs.google.com/spreadsheets/d/1_Zwps30dlVa-pZFsorjVf1Pil6WXwzCsJU0U2wh"&amp;"O3NI/edit?usp=share_link"",""ชลบุรี!M96"")+IMPORTRANGE(""https://docs.google.com/spreadsheets/d/1xAsT4sUbBlom7l0acStESh_15nvjZcXjZM7fK5uZSq8/edit?usp=share_link"",""ชัยนาท!M96"")+IMPORTRANGE(""https://docs.google.com/spreadsheets/d/1vWPVBOAaZ6mHSI8yf95DNq"&amp;"HwTJ1cpeFsvqt6cxV34QA/edit?usp=share_link"",""ตราด!M96"")+IMPORTRANGE(""https://docs.google.com/spreadsheets/d/1phaeSb9lTGgzDpbvVqI9hfmOQQzUom07-HEvpbARzEg/edit?usp=share_link"",""นครนายก!M96"")+IMPORTRANGE(""https://docs.google.com/spreadsheets/d/1tpwhWw"&amp;"kqkBeiSWCcfB5f2fbwPRbM9hHOEDSDHpl2MIc/edit?usp=share_link"",""นครปฐม!M96"")+IMPORTRANGE(""https://docs.google.com/spreadsheets/d/1fJJCVBkBnhriyv0Cp5ZFMr0I_yrfdEITNpb4zILJgUQ/edit?usp=share_link"",""ปทุมธานี!M96"")+IMPORTRANGE(""https://docs.google.com/spr"&amp;"eadsheets/d/1W5Jj_S0gYw6wSO7QcMI02YgyOBDKYgmm0NSUk-AQEac/edit?usp=share_link"",""ประจวบคีรีขันธ์!M96"")+IMPORTRANGE(""https://docs.google.com/spreadsheets/d/1nYxRXgnCfTXtqUY1otYuTlnrzE0Tn-Y0YRsW5pkRVqo/edit?usp=share_link"",""ปราจีนบุรี!M96"")+IMPORTRANGE"&amp;"(""https://docs.google.com/spreadsheets/d/1nNHCLO8ZAXOMfQvxux7cf_hrzPAh8FAvaHq_ClKbZNo/edit?usp=share_link"",""พระนครศรีอยุธยา!M96"")+IMPORTRANGE(""https://docs.google.com/spreadsheets/d/1CdNicvf3i6yt4tJlCePe3V1Va76wYqW0QzMzTsaGRrA/edit?usp=share_link"","&amp;"""เพชรบุรี!M96"")+IMPORTRANGE(""https://docs.google.com/spreadsheets/d/1XiF77UIVHV0Kjc6xbXuOuJ10WgJYxd4p_22ngKVV5oM/edit?usp=share_link"",""ระยอง!M96"")+IMPORTRANGE(""https://docs.google.com/spreadsheets/d/1qU-W_9MCQD1pgIVXGEOjCFo9QqlmJywuebyGgaN92r8/edit"&amp;"?usp=share_link"",""ราชบุรี!M96"")+IMPORTRANGE(""https://docs.google.com/spreadsheets/d/1xYFIxIM_CspAP5Q-5Zx_V0T_Ut3cjryrjd2hss28vGk/edit?usp=share_link"",""ลพบุรี!M96"")+IMPORTRANGE(""https://docs.google.com/spreadsheets/d/11s9m3tKsCBdPWq6syhZm27eBGbKneD"&amp;"LZc75co106bio/edit?usp=share_link"",""สระแก้ว!M96"")+IMPORTRANGE(""https://docs.google.com/spreadsheets/d/1Nn1EvsFPtXldgpgVb3Rcng2K2cls68LFQsBh2FyW0Bg/edit?usp=share_link"",""สระบุรี!M96"")+IMPORTRANGE(""https://docs.google.com/spreadsheets/d/149xufxukrnE"&amp;"ciK3WPbNpHwUK8BKEJxp3UcBG3Al6dA4/edit?usp=share_link"",""สิงห์บุรี!M96"")+IMPORTRANGE(""https://docs.google.com/spreadsheets/d/132g-zJpz2uMKimp17uOIx8A7o3w1Z25zwJyXnwsB56c/edit?usp=share_link"",""สุพรรณบุรี!M96"")+IMPORTRANGE(""https://docs.google.com/spr"&amp;"eadsheets/d/12Q_U0nVnFdxDFwa0pej9xvx8ZvLC9Dpi_vRro_aiG5g/edit?usp=share_link"",""อ่างทอง!M96"")
"),0)</f>
        <v>0</v>
      </c>
      <c r="N96" s="45">
        <f ca="1">IFERROR(__xludf.DUMMYFUNCTION("IMPORTRANGE(""https://docs.google.com/spreadsheets/d/1hKO5uv94SSRZWOvrh72HRcpyoEQF9TsE_Cvxl77XNU4/edit?usp=share_link"",""กาญจนบุรี!N96"")+IMPORTRANGE(""https://docs.google.com/spreadsheets/d/1njBaP_xXd-Uotvo2D9zb01TTCFkLJLDK97Tk1l9Qux0/edit?usp=share_lin"&amp;"k"",""จันทบุรี!N96"")+IMPORTRANGE(""https://docs.google.com/spreadsheets/d/14xp6qUzrGFnUk_qnc1eEmfiaNRd4_grkhpfQH_46fa8/edit?usp=share_link"",""ฉะเชิงเทรา!N96"")+IMPORTRANGE(""https://docs.google.com/spreadsheets/d/1_Zwps30dlVa-pZFsorjVf1Pil6WXwzCsJU0U2wh"&amp;"O3NI/edit?usp=share_link"",""ชลบุรี!N96"")+IMPORTRANGE(""https://docs.google.com/spreadsheets/d/1xAsT4sUbBlom7l0acStESh_15nvjZcXjZM7fK5uZSq8/edit?usp=share_link"",""ชัยนาท!N96"")+IMPORTRANGE(""https://docs.google.com/spreadsheets/d/1vWPVBOAaZ6mHSI8yf95DNq"&amp;"HwTJ1cpeFsvqt6cxV34QA/edit?usp=share_link"",""ตราด!N96"")+IMPORTRANGE(""https://docs.google.com/spreadsheets/d/1phaeSb9lTGgzDpbvVqI9hfmOQQzUom07-HEvpbARzEg/edit?usp=share_link"",""นครนายก!N96"")+IMPORTRANGE(""https://docs.google.com/spreadsheets/d/1tpwhWw"&amp;"kqkBeiSWCcfB5f2fbwPRbM9hHOEDSDHpl2MIc/edit?usp=share_link"",""นครปฐม!N96"")+IMPORTRANGE(""https://docs.google.com/spreadsheets/d/1fJJCVBkBnhriyv0Cp5ZFMr0I_yrfdEITNpb4zILJgUQ/edit?usp=share_link"",""ปทุมธานี!N96"")+IMPORTRANGE(""https://docs.google.com/spr"&amp;"eadsheets/d/1W5Jj_S0gYw6wSO7QcMI02YgyOBDKYgmm0NSUk-AQEac/edit?usp=share_link"",""ประจวบคีรีขันธ์!N96"")+IMPORTRANGE(""https://docs.google.com/spreadsheets/d/1nYxRXgnCfTXtqUY1otYuTlnrzE0Tn-Y0YRsW5pkRVqo/edit?usp=share_link"",""ปราจีนบุรี!N96"")+IMPORTRANGE"&amp;"(""https://docs.google.com/spreadsheets/d/1nNHCLO8ZAXOMfQvxux7cf_hrzPAh8FAvaHq_ClKbZNo/edit?usp=share_link"",""พระนครศรีอยุธยา!N96"")+IMPORTRANGE(""https://docs.google.com/spreadsheets/d/1CdNicvf3i6yt4tJlCePe3V1Va76wYqW0QzMzTsaGRrA/edit?usp=share_link"","&amp;"""เพชรบุรี!N96"")+IMPORTRANGE(""https://docs.google.com/spreadsheets/d/1XiF77UIVHV0Kjc6xbXuOuJ10WgJYxd4p_22ngKVV5oM/edit?usp=share_link"",""ระยอง!N96"")+IMPORTRANGE(""https://docs.google.com/spreadsheets/d/1qU-W_9MCQD1pgIVXGEOjCFo9QqlmJywuebyGgaN92r8/edit"&amp;"?usp=share_link"",""ราชบุรี!N96"")+IMPORTRANGE(""https://docs.google.com/spreadsheets/d/1xYFIxIM_CspAP5Q-5Zx_V0T_Ut3cjryrjd2hss28vGk/edit?usp=share_link"",""ลพบุรี!N96"")+IMPORTRANGE(""https://docs.google.com/spreadsheets/d/11s9m3tKsCBdPWq6syhZm27eBGbKneD"&amp;"LZc75co106bio/edit?usp=share_link"",""สระแก้ว!N96"")+IMPORTRANGE(""https://docs.google.com/spreadsheets/d/1Nn1EvsFPtXldgpgVb3Rcng2K2cls68LFQsBh2FyW0Bg/edit?usp=share_link"",""สระบุรี!N96"")+IMPORTRANGE(""https://docs.google.com/spreadsheets/d/149xufxukrnE"&amp;"ciK3WPbNpHwUK8BKEJxp3UcBG3Al6dA4/edit?usp=share_link"",""สิงห์บุรี!N96"")+IMPORTRANGE(""https://docs.google.com/spreadsheets/d/132g-zJpz2uMKimp17uOIx8A7o3w1Z25zwJyXnwsB56c/edit?usp=share_link"",""สุพรรณบุรี!N96"")+IMPORTRANGE(""https://docs.google.com/spr"&amp;"eadsheets/d/12Q_U0nVnFdxDFwa0pej9xvx8ZvLC9Dpi_vRro_aiG5g/edit?usp=share_link"",""อ่างทอง!N96"")
"),0)</f>
        <v>0</v>
      </c>
      <c r="O96" s="45">
        <f t="shared" ca="1" si="66"/>
        <v>0</v>
      </c>
      <c r="P96" s="45">
        <f t="shared" ca="1" si="67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20.25" customHeight="1">
      <c r="A97" s="170"/>
      <c r="B97" s="171"/>
      <c r="C97" s="164" t="s">
        <v>16</v>
      </c>
      <c r="D97" s="172" t="s">
        <v>38</v>
      </c>
      <c r="E97" s="173"/>
      <c r="F97" s="173"/>
      <c r="G97" s="174"/>
      <c r="H97" s="175"/>
      <c r="I97" s="162"/>
      <c r="J97" s="37"/>
      <c r="K97" s="38"/>
      <c r="L97" s="38"/>
      <c r="M97" s="38"/>
      <c r="N97" s="38"/>
      <c r="O97" s="163"/>
      <c r="P97" s="163"/>
    </row>
    <row r="98" spans="1:16" ht="20.25" customHeight="1">
      <c r="A98" s="170"/>
      <c r="B98" s="171"/>
      <c r="C98" s="171"/>
      <c r="D98" s="181" t="s">
        <v>47</v>
      </c>
      <c r="E98" s="177"/>
      <c r="F98" s="178"/>
      <c r="G98" s="179"/>
      <c r="H98" s="36" t="s">
        <v>46</v>
      </c>
      <c r="I98" s="37">
        <f ca="1">IFERROR(__xludf.DUMMYFUNCTION("IMPORTRANGE(""https://docs.google.com/spreadsheets/d/1hKO5uv94SSRZWOvrh72HRcpyoEQF9TsE_Cvxl77XNU4/edit?usp=share_link"",""กาญจนบุรี!I98"")+IMPORTRANGE(""https://docs.google.com/spreadsheets/d/1njBaP_xXd-Uotvo2D9zb01TTCFkLJLDK97Tk1l9Qux0/edit?usp=share_lin"&amp;"k"",""จันทบุรี!I98"")+IMPORTRANGE(""https://docs.google.com/spreadsheets/d/14xp6qUzrGFnUk_qnc1eEmfiaNRd4_grkhpfQH_46fa8/edit?usp=share_link"",""ฉะเชิงเทรา!I98"")+IMPORTRANGE(""https://docs.google.com/spreadsheets/d/1_Zwps30dlVa-pZFsorjVf1Pil6WXwzCsJU0U2wh"&amp;"O3NI/edit?usp=share_link"",""ชลบุรี!I98"")+IMPORTRANGE(""https://docs.google.com/spreadsheets/d/1xAsT4sUbBlom7l0acStESh_15nvjZcXjZM7fK5uZSq8/edit?usp=share_link"",""ชัยนาท!I98"")+IMPORTRANGE(""https://docs.google.com/spreadsheets/d/1vWPVBOAaZ6mHSI8yf95DNq"&amp;"HwTJ1cpeFsvqt6cxV34QA/edit?usp=share_link"",""ตราด!I98"")+IMPORTRANGE(""https://docs.google.com/spreadsheets/d/1phaeSb9lTGgzDpbvVqI9hfmOQQzUom07-HEvpbARzEg/edit?usp=share_link"",""นครนายก!I98"")+IMPORTRANGE(""https://docs.google.com/spreadsheets/d/1tpwhWw"&amp;"kqkBeiSWCcfB5f2fbwPRbM9hHOEDSDHpl2MIc/edit?usp=share_link"",""นครปฐม!I98"")+IMPORTRANGE(""https://docs.google.com/spreadsheets/d/1fJJCVBkBnhriyv0Cp5ZFMr0I_yrfdEITNpb4zILJgUQ/edit?usp=share_link"",""ปทุมธานี!I98"")+IMPORTRANGE(""https://docs.google.com/spr"&amp;"eadsheets/d/1W5Jj_S0gYw6wSO7QcMI02YgyOBDKYgmm0NSUk-AQEac/edit?usp=share_link"",""ประจวบคีรีขันธ์!I98"")+IMPORTRANGE(""https://docs.google.com/spreadsheets/d/1nYxRXgnCfTXtqUY1otYuTlnrzE0Tn-Y0YRsW5pkRVqo/edit?usp=share_link"",""ปราจีนบุรี!I98"")+IMPORTRANGE"&amp;"(""https://docs.google.com/spreadsheets/d/1nNHCLO8ZAXOMfQvxux7cf_hrzPAh8FAvaHq_ClKbZNo/edit?usp=share_link"",""พระนครศรีอยุธยา!I98"")+IMPORTRANGE(""https://docs.google.com/spreadsheets/d/1CdNicvf3i6yt4tJlCePe3V1Va76wYqW0QzMzTsaGRrA/edit?usp=share_link"","&amp;"""เพชรบุรี!I98"")+IMPORTRANGE(""https://docs.google.com/spreadsheets/d/1XiF77UIVHV0Kjc6xbXuOuJ10WgJYxd4p_22ngKVV5oM/edit?usp=share_link"",""ระยอง!I98"")+IMPORTRANGE(""https://docs.google.com/spreadsheets/d/1qU-W_9MCQD1pgIVXGEOjCFo9QqlmJywuebyGgaN92r8/edit"&amp;"?usp=share_link"",""ราชบุรี!I98"")+IMPORTRANGE(""https://docs.google.com/spreadsheets/d/1xYFIxIM_CspAP5Q-5Zx_V0T_Ut3cjryrjd2hss28vGk/edit?usp=share_link"",""ลพบุรี!I98"")+IMPORTRANGE(""https://docs.google.com/spreadsheets/d/11s9m3tKsCBdPWq6syhZm27eBGbKneD"&amp;"LZc75co106bio/edit?usp=share_link"",""สระแก้ว!I98"")+IMPORTRANGE(""https://docs.google.com/spreadsheets/d/1Nn1EvsFPtXldgpgVb3Rcng2K2cls68LFQsBh2FyW0Bg/edit?usp=share_link"",""สระบุรี!I98"")+IMPORTRANGE(""https://docs.google.com/spreadsheets/d/149xufxukrnE"&amp;"ciK3WPbNpHwUK8BKEJxp3UcBG3Al6dA4/edit?usp=share_link"",""สิงห์บุรี!I98"")+IMPORTRANGE(""https://docs.google.com/spreadsheets/d/132g-zJpz2uMKimp17uOIx8A7o3w1Z25zwJyXnwsB56c/edit?usp=share_link"",""สุพรรณบุรี!I98"")+IMPORTRANGE(""https://docs.google.com/spr"&amp;"eadsheets/d/12Q_U0nVnFdxDFwa0pej9xvx8ZvLC9Dpi_vRro_aiG5g/edit?usp=share_link"",""อ่างทอง!I98"")
"),645)</f>
        <v>645</v>
      </c>
      <c r="J98" s="37">
        <f ca="1">J102</f>
        <v>135</v>
      </c>
      <c r="K98" s="38">
        <f t="shared" ref="K98:K100" ca="1" si="72">IF(I98&gt;0,J98*100/I98,0)</f>
        <v>20.930232558139537</v>
      </c>
      <c r="L98" s="38"/>
      <c r="M98" s="38"/>
      <c r="N98" s="38"/>
      <c r="O98" s="163"/>
      <c r="P98" s="163"/>
    </row>
    <row r="99" spans="1:16" ht="20.25" customHeight="1">
      <c r="A99" s="170"/>
      <c r="B99" s="171"/>
      <c r="C99" s="171"/>
      <c r="D99" s="181" t="s">
        <v>48</v>
      </c>
      <c r="E99" s="177"/>
      <c r="F99" s="178"/>
      <c r="G99" s="179"/>
      <c r="H99" s="36" t="s">
        <v>35</v>
      </c>
      <c r="I99" s="37">
        <f ca="1">IFERROR(__xludf.DUMMYFUNCTION("IMPORTRANGE(""https://docs.google.com/spreadsheets/d/1hKO5uv94SSRZWOvrh72HRcpyoEQF9TsE_Cvxl77XNU4/edit?usp=share_link"",""กาญจนบุรี!I99"")+IMPORTRANGE(""https://docs.google.com/spreadsheets/d/1njBaP_xXd-Uotvo2D9zb01TTCFkLJLDK97Tk1l9Qux0/edit?usp=share_lin"&amp;"k"",""จันทบุรี!I99"")+IMPORTRANGE(""https://docs.google.com/spreadsheets/d/14xp6qUzrGFnUk_qnc1eEmfiaNRd4_grkhpfQH_46fa8/edit?usp=share_link"",""ฉะเชิงเทรา!I99"")+IMPORTRANGE(""https://docs.google.com/spreadsheets/d/1_Zwps30dlVa-pZFsorjVf1Pil6WXwzCsJU0U2wh"&amp;"O3NI/edit?usp=share_link"",""ชลบุรี!I99"")+IMPORTRANGE(""https://docs.google.com/spreadsheets/d/1xAsT4sUbBlom7l0acStESh_15nvjZcXjZM7fK5uZSq8/edit?usp=share_link"",""ชัยนาท!I99"")+IMPORTRANGE(""https://docs.google.com/spreadsheets/d/1vWPVBOAaZ6mHSI8yf95DNq"&amp;"HwTJ1cpeFsvqt6cxV34QA/edit?usp=share_link"",""ตราด!I99"")+IMPORTRANGE(""https://docs.google.com/spreadsheets/d/1phaeSb9lTGgzDpbvVqI9hfmOQQzUom07-HEvpbARzEg/edit?usp=share_link"",""นครนายก!I99"")+IMPORTRANGE(""https://docs.google.com/spreadsheets/d/1tpwhWw"&amp;"kqkBeiSWCcfB5f2fbwPRbM9hHOEDSDHpl2MIc/edit?usp=share_link"",""นครปฐม!I99"")+IMPORTRANGE(""https://docs.google.com/spreadsheets/d/1fJJCVBkBnhriyv0Cp5ZFMr0I_yrfdEITNpb4zILJgUQ/edit?usp=share_link"",""ปทุมธานี!I99"")+IMPORTRANGE(""https://docs.google.com/spr"&amp;"eadsheets/d/1W5Jj_S0gYw6wSO7QcMI02YgyOBDKYgmm0NSUk-AQEac/edit?usp=share_link"",""ประจวบคีรีขันธ์!I99"")+IMPORTRANGE(""https://docs.google.com/spreadsheets/d/1nYxRXgnCfTXtqUY1otYuTlnrzE0Tn-Y0YRsW5pkRVqo/edit?usp=share_link"",""ปราจีนบุรี!I99"")+IMPORTRANGE"&amp;"(""https://docs.google.com/spreadsheets/d/1nNHCLO8ZAXOMfQvxux7cf_hrzPAh8FAvaHq_ClKbZNo/edit?usp=share_link"",""พระนครศรีอยุธยา!I99"")+IMPORTRANGE(""https://docs.google.com/spreadsheets/d/1CdNicvf3i6yt4tJlCePe3V1Va76wYqW0QzMzTsaGRrA/edit?usp=share_link"","&amp;"""เพชรบุรี!I99"")+IMPORTRANGE(""https://docs.google.com/spreadsheets/d/1XiF77UIVHV0Kjc6xbXuOuJ10WgJYxd4p_22ngKVV5oM/edit?usp=share_link"",""ระยอง!I99"")+IMPORTRANGE(""https://docs.google.com/spreadsheets/d/1qU-W_9MCQD1pgIVXGEOjCFo9QqlmJywuebyGgaN92r8/edit"&amp;"?usp=share_link"",""ราชบุรี!I99"")+IMPORTRANGE(""https://docs.google.com/spreadsheets/d/1xYFIxIM_CspAP5Q-5Zx_V0T_Ut3cjryrjd2hss28vGk/edit?usp=share_link"",""ลพบุรี!I99"")+IMPORTRANGE(""https://docs.google.com/spreadsheets/d/11s9m3tKsCBdPWq6syhZm27eBGbKneD"&amp;"LZc75co106bio/edit?usp=share_link"",""สระแก้ว!I99"")+IMPORTRANGE(""https://docs.google.com/spreadsheets/d/1Nn1EvsFPtXldgpgVb3Rcng2K2cls68LFQsBh2FyW0Bg/edit?usp=share_link"",""สระบุรี!I99"")+IMPORTRANGE(""https://docs.google.com/spreadsheets/d/149xufxukrnE"&amp;"ciK3WPbNpHwUK8BKEJxp3UcBG3Al6dA4/edit?usp=share_link"",""สิงห์บุรี!I99"")+IMPORTRANGE(""https://docs.google.com/spreadsheets/d/132g-zJpz2uMKimp17uOIx8A7o3w1Z25zwJyXnwsB56c/edit?usp=share_link"",""สุพรรณบุรี!I99"")+IMPORTRANGE(""https://docs.google.com/spr"&amp;"eadsheets/d/12Q_U0nVnFdxDFwa0pej9xvx8ZvLC9Dpi_vRro_aiG5g/edit?usp=share_link"",""อ่างทอง!I99"")
"),215)</f>
        <v>215</v>
      </c>
      <c r="J99" s="37">
        <f ca="1">J104</f>
        <v>30</v>
      </c>
      <c r="K99" s="38">
        <f t="shared" ca="1" si="72"/>
        <v>13.953488372093023</v>
      </c>
      <c r="L99" s="38"/>
      <c r="M99" s="38"/>
      <c r="N99" s="38"/>
      <c r="O99" s="163"/>
      <c r="P99" s="163"/>
    </row>
    <row r="100" spans="1:16" ht="20.25" customHeight="1">
      <c r="A100" s="170"/>
      <c r="B100" s="171"/>
      <c r="C100" s="171"/>
      <c r="D100" s="171"/>
      <c r="E100" s="178"/>
      <c r="F100" s="178"/>
      <c r="G100" s="179"/>
      <c r="H100" s="36" t="s">
        <v>49</v>
      </c>
      <c r="I100" s="37">
        <f ca="1">IFERROR(__xludf.DUMMYFUNCTION("IMPORTRANGE(""https://docs.google.com/spreadsheets/d/1hKO5uv94SSRZWOvrh72HRcpyoEQF9TsE_Cvxl77XNU4/edit?usp=share_link"",""กาญจนบุรี!I100"")+IMPORTRANGE(""https://docs.google.com/spreadsheets/d/1njBaP_xXd-Uotvo2D9zb01TTCFkLJLDK97Tk1l9Qux0/edit?usp=share_li"&amp;"nk"",""จันทบุรี!I100"")+IMPORTRANGE(""https://docs.google.com/spreadsheets/d/14xp6qUzrGFnUk_qnc1eEmfiaNRd4_grkhpfQH_46fa8/edit?usp=share_link"",""ฉะเชิงเทรา!I100"")+IMPORTRANGE(""https://docs.google.com/spreadsheets/d/1_Zwps30dlVa-pZFsorjVf1Pil6WXwzCsJU0U"&amp;"2whO3NI/edit?usp=share_link"",""ชลบุรี!I100"")+IMPORTRANGE(""https://docs.google.com/spreadsheets/d/1xAsT4sUbBlom7l0acStESh_15nvjZcXjZM7fK5uZSq8/edit?usp=share_link"",""ชัยนาท!I100"")+IMPORTRANGE(""https://docs.google.com/spreadsheets/d/1vWPVBOAaZ6mHSI8yf"&amp;"95DNqHwTJ1cpeFsvqt6cxV34QA/edit?usp=share_link"",""ตราด!I100"")+IMPORTRANGE(""https://docs.google.com/spreadsheets/d/1phaeSb9lTGgzDpbvVqI9hfmOQQzUom07-HEvpbARzEg/edit?usp=share_link"",""นครนายก!I100"")+IMPORTRANGE(""https://docs.google.com/spreadsheets/d/"&amp;"1tpwhWwkqkBeiSWCcfB5f2fbwPRbM9hHOEDSDHpl2MIc/edit?usp=share_link"",""นครปฐม!I100"")+IMPORTRANGE(""https://docs.google.com/spreadsheets/d/1fJJCVBkBnhriyv0Cp5ZFMr0I_yrfdEITNpb4zILJgUQ/edit?usp=share_link"",""ปทุมธานี!I100"")+IMPORTRANGE(""https://docs.googl"&amp;"e.com/spreadsheets/d/1W5Jj_S0gYw6wSO7QcMI02YgyOBDKYgmm0NSUk-AQEac/edit?usp=share_link"",""ประจวบคีรีขันธ์!I100"")+IMPORTRANGE(""https://docs.google.com/spreadsheets/d/1nYxRXgnCfTXtqUY1otYuTlnrzE0Tn-Y0YRsW5pkRVqo/edit?usp=share_link"",""ปราจีนบุรี!I100"")+"&amp;"IMPORTRANGE(""https://docs.google.com/spreadsheets/d/1nNHCLO8ZAXOMfQvxux7cf_hrzPAh8FAvaHq_ClKbZNo/edit?usp=share_link"",""พระนครศรีอยุธยา!I100"")+IMPORTRANGE(""https://docs.google.com/spreadsheets/d/1CdNicvf3i6yt4tJlCePe3V1Va76wYqW0QzMzTsaGRrA/edit?usp=sh"&amp;"are_link"",""เพชรบุรี!I100"")+IMPORTRANGE(""https://docs.google.com/spreadsheets/d/1XiF77UIVHV0Kjc6xbXuOuJ10WgJYxd4p_22ngKVV5oM/edit?usp=share_link"",""ระยอง!I100"")+IMPORTRANGE(""https://docs.google.com/spreadsheets/d/1qU-W_9MCQD1pgIVXGEOjCFo9QqlmJywueby"&amp;"GgaN92r8/edit?usp=share_link"",""ราชบุรี!I100"")+IMPORTRANGE(""https://docs.google.com/spreadsheets/d/1xYFIxIM_CspAP5Q-5Zx_V0T_Ut3cjryrjd2hss28vGk/edit?usp=share_link"",""ลพบุรี!I100"")+IMPORTRANGE(""https://docs.google.com/spreadsheets/d/11s9m3tKsCBdPWq6"&amp;"syhZm27eBGbKneDLZc75co106bio/edit?usp=share_link"",""สระแก้ว!I100"")+IMPORTRANGE(""https://docs.google.com/spreadsheets/d/1Nn1EvsFPtXldgpgVb3Rcng2K2cls68LFQsBh2FyW0Bg/edit?usp=share_link"",""สระบุรี!I100"")+IMPORTRANGE(""https://docs.google.com/spreadshee"&amp;"ts/d/149xufxukrnEciK3WPbNpHwUK8BKEJxp3UcBG3Al6dA4/edit?usp=share_link"",""สิงห์บุรี!I100"")+IMPORTRANGE(""https://docs.google.com/spreadsheets/d/132g-zJpz2uMKimp17uOIx8A7o3w1Z25zwJyXnwsB56c/edit?usp=share_link"",""สุพรรณบุรี!I100"")+IMPORTRANGE(""https://"&amp;"docs.google.com/spreadsheets/d/12Q_U0nVnFdxDFwa0pej9xvx8ZvLC9Dpi_vRro_aiG5g/edit?usp=share_link"",""อ่างทอง!I100"")
"),38)</f>
        <v>38</v>
      </c>
      <c r="J100" s="37">
        <f ca="1">J107+J110</f>
        <v>2</v>
      </c>
      <c r="K100" s="38">
        <f t="shared" ca="1" si="72"/>
        <v>5.2631578947368425</v>
      </c>
      <c r="L100" s="38"/>
      <c r="M100" s="38"/>
      <c r="N100" s="38"/>
      <c r="O100" s="163"/>
      <c r="P100" s="163"/>
    </row>
    <row r="101" spans="1:16" ht="20.25" customHeight="1">
      <c r="A101" s="170"/>
      <c r="B101" s="171"/>
      <c r="C101" s="171"/>
      <c r="D101" s="178"/>
      <c r="E101" s="186" t="s">
        <v>50</v>
      </c>
      <c r="F101" s="178"/>
      <c r="G101" s="179"/>
      <c r="H101" s="36"/>
      <c r="I101" s="37"/>
      <c r="J101" s="37"/>
      <c r="K101" s="38"/>
      <c r="L101" s="38"/>
      <c r="M101" s="38"/>
      <c r="N101" s="38"/>
      <c r="O101" s="163"/>
      <c r="P101" s="163"/>
    </row>
    <row r="102" spans="1:16" ht="20.25" customHeight="1">
      <c r="A102" s="170"/>
      <c r="B102" s="171"/>
      <c r="C102" s="171"/>
      <c r="D102" s="178"/>
      <c r="E102" s="187" t="s">
        <v>47</v>
      </c>
      <c r="F102" s="178"/>
      <c r="G102" s="179"/>
      <c r="H102" s="36" t="s">
        <v>46</v>
      </c>
      <c r="I102" s="37">
        <f ca="1">IFERROR(__xludf.DUMMYFUNCTION("IMPORTRANGE(""https://docs.google.com/spreadsheets/d/1hKO5uv94SSRZWOvrh72HRcpyoEQF9TsE_Cvxl77XNU4/edit?usp=share_link"",""กาญจนบุรี!I102"")+IMPORTRANGE(""https://docs.google.com/spreadsheets/d/1njBaP_xXd-Uotvo2D9zb01TTCFkLJLDK97Tk1l9Qux0/edit?usp=share_li"&amp;"nk"",""จันทบุรี!I102"")+IMPORTRANGE(""https://docs.google.com/spreadsheets/d/14xp6qUzrGFnUk_qnc1eEmfiaNRd4_grkhpfQH_46fa8/edit?usp=share_link"",""ฉะเชิงเทรา!I102"")+IMPORTRANGE(""https://docs.google.com/spreadsheets/d/1_Zwps30dlVa-pZFsorjVf1Pil6WXwzCsJU0U"&amp;"2whO3NI/edit?usp=share_link"",""ชลบุรี!I102"")+IMPORTRANGE(""https://docs.google.com/spreadsheets/d/1xAsT4sUbBlom7l0acStESh_15nvjZcXjZM7fK5uZSq8/edit?usp=share_link"",""ชัยนาท!I102"")+IMPORTRANGE(""https://docs.google.com/spreadsheets/d/1vWPVBOAaZ6mHSI8yf"&amp;"95DNqHwTJ1cpeFsvqt6cxV34QA/edit?usp=share_link"",""ตราด!I102"")+IMPORTRANGE(""https://docs.google.com/spreadsheets/d/1phaeSb9lTGgzDpbvVqI9hfmOQQzUom07-HEvpbARzEg/edit?usp=share_link"",""นครนายก!I102"")+IMPORTRANGE(""https://docs.google.com/spreadsheets/d/"&amp;"1tpwhWwkqkBeiSWCcfB5f2fbwPRbM9hHOEDSDHpl2MIc/edit?usp=share_link"",""นครปฐม!I102"")+IMPORTRANGE(""https://docs.google.com/spreadsheets/d/1fJJCVBkBnhriyv0Cp5ZFMr0I_yrfdEITNpb4zILJgUQ/edit?usp=share_link"",""ปทุมธานี!I102"")+IMPORTRANGE(""https://docs.googl"&amp;"e.com/spreadsheets/d/1W5Jj_S0gYw6wSO7QcMI02YgyOBDKYgmm0NSUk-AQEac/edit?usp=share_link"",""ประจวบคีรีขันธ์!I102"")+IMPORTRANGE(""https://docs.google.com/spreadsheets/d/1nYxRXgnCfTXtqUY1otYuTlnrzE0Tn-Y0YRsW5pkRVqo/edit?usp=share_link"",""ปราจีนบุรี!I102"")+"&amp;"IMPORTRANGE(""https://docs.google.com/spreadsheets/d/1nNHCLO8ZAXOMfQvxux7cf_hrzPAh8FAvaHq_ClKbZNo/edit?usp=share_link"",""พระนครศรีอยุธยา!I102"")+IMPORTRANGE(""https://docs.google.com/spreadsheets/d/1CdNicvf3i6yt4tJlCePe3V1Va76wYqW0QzMzTsaGRrA/edit?usp=sh"&amp;"are_link"",""เพชรบุรี!I102"")+IMPORTRANGE(""https://docs.google.com/spreadsheets/d/1XiF77UIVHV0Kjc6xbXuOuJ10WgJYxd4p_22ngKVV5oM/edit?usp=share_link"",""ระยอง!I102"")+IMPORTRANGE(""https://docs.google.com/spreadsheets/d/1qU-W_9MCQD1pgIVXGEOjCFo9QqlmJywueby"&amp;"GgaN92r8/edit?usp=share_link"",""ราชบุรี!I102"")+IMPORTRANGE(""https://docs.google.com/spreadsheets/d/1xYFIxIM_CspAP5Q-5Zx_V0T_Ut3cjryrjd2hss28vGk/edit?usp=share_link"",""ลพบุรี!I102"")+IMPORTRANGE(""https://docs.google.com/spreadsheets/d/11s9m3tKsCBdPWq6"&amp;"syhZm27eBGbKneDLZc75co106bio/edit?usp=share_link"",""สระแก้ว!I102"")+IMPORTRANGE(""https://docs.google.com/spreadsheets/d/1Nn1EvsFPtXldgpgVb3Rcng2K2cls68LFQsBh2FyW0Bg/edit?usp=share_link"",""สระบุรี!I102"")+IMPORTRANGE(""https://docs.google.com/spreadshee"&amp;"ts/d/149xufxukrnEciK3WPbNpHwUK8BKEJxp3UcBG3Al6dA4/edit?usp=share_link"",""สิงห์บุรี!I102"")+IMPORTRANGE(""https://docs.google.com/spreadsheets/d/132g-zJpz2uMKimp17uOIx8A7o3w1Z25zwJyXnwsB56c/edit?usp=share_link"",""สุพรรณบุรี!I102"")+IMPORTRANGE(""https://"&amp;"docs.google.com/spreadsheets/d/12Q_U0nVnFdxDFwa0pej9xvx8ZvLC9Dpi_vRro_aiG5g/edit?usp=share_link"",""อ่างทอง!I102"")
"),645)</f>
        <v>645</v>
      </c>
      <c r="J102" s="183">
        <f ca="1">IFERROR(__xludf.DUMMYFUNCTION("IMPORTRANGE(""https://docs.google.com/spreadsheets/d/1hKO5uv94SSRZWOvrh72HRcpyoEQF9TsE_Cvxl77XNU4/edit?usp=share_link"",""กาญจนบุรี!J102"")+IMPORTRANGE(""https://docs.google.com/spreadsheets/d/1njBaP_xXd-Uotvo2D9zb01TTCFkLJLDK97Tk1l9Qux0/edit?usp=share_li"&amp;"nk"",""จันทบุรี!J102"")+IMPORTRANGE(""https://docs.google.com/spreadsheets/d/14xp6qUzrGFnUk_qnc1eEmfiaNRd4_grkhpfQH_46fa8/edit?usp=share_link"",""ฉะเชิงเทรา!J102"")+IMPORTRANGE(""https://docs.google.com/spreadsheets/d/1_Zwps30dlVa-pZFsorjVf1Pil6WXwzCsJU0U"&amp;"2whO3NI/edit?usp=share_link"",""ชลบุรี!J102"")+IMPORTRANGE(""https://docs.google.com/spreadsheets/d/1xAsT4sUbBlom7l0acStESh_15nvjZcXjZM7fK5uZSq8/edit?usp=share_link"",""ชัยนาท!J102"")+IMPORTRANGE(""https://docs.google.com/spreadsheets/d/1vWPVBOAaZ6mHSI8yf"&amp;"95DNqHwTJ1cpeFsvqt6cxV34QA/edit?usp=share_link"",""ตราด!J102"")+IMPORTRANGE(""https://docs.google.com/spreadsheets/d/1phaeSb9lTGgzDpbvVqI9hfmOQQzUom07-HEvpbARzEg/edit?usp=share_link"",""นครนายก!J102"")+IMPORTRANGE(""https://docs.google.com/spreadsheets/d/"&amp;"1tpwhWwkqkBeiSWCcfB5f2fbwPRbM9hHOEDSDHpl2MIc/edit?usp=share_link"",""นครปฐม!J102"")+IMPORTRANGE(""https://docs.google.com/spreadsheets/d/1fJJCVBkBnhriyv0Cp5ZFMr0I_yrfdEITNpb4zILJgUQ/edit?usp=share_link"",""ปทุมธานี!J102"")+IMPORTRANGE(""https://docs.googl"&amp;"e.com/spreadsheets/d/1W5Jj_S0gYw6wSO7QcMI02YgyOBDKYgmm0NSUk-AQEac/edit?usp=share_link"",""ประจวบคีรีขันธ์!J102"")+IMPORTRANGE(""https://docs.google.com/spreadsheets/d/1nYxRXgnCfTXtqUY1otYuTlnrzE0Tn-Y0YRsW5pkRVqo/edit?usp=share_link"",""ปราจีนบุรี!J102"")+"&amp;"IMPORTRANGE(""https://docs.google.com/spreadsheets/d/1nNHCLO8ZAXOMfQvxux7cf_hrzPAh8FAvaHq_ClKbZNo/edit?usp=share_link"",""พระนครศรีอยุธยา!J102"")+IMPORTRANGE(""https://docs.google.com/spreadsheets/d/1CdNicvf3i6yt4tJlCePe3V1Va76wYqW0QzMzTsaGRrA/edit?usp=sh"&amp;"are_link"",""เพชรบุรี!J102"")+IMPORTRANGE(""https://docs.google.com/spreadsheets/d/1XiF77UIVHV0Kjc6xbXuOuJ10WgJYxd4p_22ngKVV5oM/edit?usp=share_link"",""ระยอง!J102"")+IMPORTRANGE(""https://docs.google.com/spreadsheets/d/1qU-W_9MCQD1pgIVXGEOjCFo9QqlmJywueby"&amp;"GgaN92r8/edit?usp=share_link"",""ราชบุรี!J102"")+IMPORTRANGE(""https://docs.google.com/spreadsheets/d/1xYFIxIM_CspAP5Q-5Zx_V0T_Ut3cjryrjd2hss28vGk/edit?usp=share_link"",""ลพบุรี!J102"")+IMPORTRANGE(""https://docs.google.com/spreadsheets/d/11s9m3tKsCBdPWq6"&amp;"syhZm27eBGbKneDLZc75co106bio/edit?usp=share_link"",""สระแก้ว!J102"")+IMPORTRANGE(""https://docs.google.com/spreadsheets/d/1Nn1EvsFPtXldgpgVb3Rcng2K2cls68LFQsBh2FyW0Bg/edit?usp=share_link"",""สระบุรี!J102"")+IMPORTRANGE(""https://docs.google.com/spreadshee"&amp;"ts/d/149xufxukrnEciK3WPbNpHwUK8BKEJxp3UcBG3Al6dA4/edit?usp=share_link"",""สิงห์บุรี!J102"")+IMPORTRANGE(""https://docs.google.com/spreadsheets/d/132g-zJpz2uMKimp17uOIx8A7o3w1Z25zwJyXnwsB56c/edit?usp=share_link"",""สุพรรณบุรี!J102"")+IMPORTRANGE(""https://"&amp;"docs.google.com/spreadsheets/d/12Q_U0nVnFdxDFwa0pej9xvx8ZvLC9Dpi_vRro_aiG5g/edit?usp=share_link"",""อ่างทอง!J102"")
"),135)</f>
        <v>135</v>
      </c>
      <c r="K102" s="38">
        <f t="shared" ref="K102:K104" ca="1" si="73">IF(I102&gt;0,J102*100/I102,0)</f>
        <v>20.930232558139537</v>
      </c>
      <c r="L102" s="38"/>
      <c r="M102" s="38"/>
      <c r="N102" s="38"/>
      <c r="O102" s="163"/>
      <c r="P102" s="163"/>
    </row>
    <row r="103" spans="1:16" ht="20.25" customHeight="1">
      <c r="A103" s="170"/>
      <c r="B103" s="171"/>
      <c r="C103" s="171"/>
      <c r="D103" s="178"/>
      <c r="E103" s="181" t="s">
        <v>51</v>
      </c>
      <c r="F103" s="178"/>
      <c r="G103" s="179"/>
      <c r="H103" s="36" t="s">
        <v>35</v>
      </c>
      <c r="I103" s="37">
        <f ca="1">IFERROR(__xludf.DUMMYFUNCTION("IMPORTRANGE(""https://docs.google.com/spreadsheets/d/1hKO5uv94SSRZWOvrh72HRcpyoEQF9TsE_Cvxl77XNU4/edit?usp=share_link"",""กาญจนบุรี!I103"")+IMPORTRANGE(""https://docs.google.com/spreadsheets/d/1njBaP_xXd-Uotvo2D9zb01TTCFkLJLDK97Tk1l9Qux0/edit?usp=share_li"&amp;"nk"",""จันทบุรี!I103"")+IMPORTRANGE(""https://docs.google.com/spreadsheets/d/14xp6qUzrGFnUk_qnc1eEmfiaNRd4_grkhpfQH_46fa8/edit?usp=share_link"",""ฉะเชิงเทรา!I103"")+IMPORTRANGE(""https://docs.google.com/spreadsheets/d/1_Zwps30dlVa-pZFsorjVf1Pil6WXwzCsJU0U"&amp;"2whO3NI/edit?usp=share_link"",""ชลบุรี!I103"")+IMPORTRANGE(""https://docs.google.com/spreadsheets/d/1xAsT4sUbBlom7l0acStESh_15nvjZcXjZM7fK5uZSq8/edit?usp=share_link"",""ชัยนาท!I103"")+IMPORTRANGE(""https://docs.google.com/spreadsheets/d/1vWPVBOAaZ6mHSI8yf"&amp;"95DNqHwTJ1cpeFsvqt6cxV34QA/edit?usp=share_link"",""ตราด!I103"")+IMPORTRANGE(""https://docs.google.com/spreadsheets/d/1phaeSb9lTGgzDpbvVqI9hfmOQQzUom07-HEvpbARzEg/edit?usp=share_link"",""นครนายก!I103"")+IMPORTRANGE(""https://docs.google.com/spreadsheets/d/"&amp;"1tpwhWwkqkBeiSWCcfB5f2fbwPRbM9hHOEDSDHpl2MIc/edit?usp=share_link"",""นครปฐม!I103"")+IMPORTRANGE(""https://docs.google.com/spreadsheets/d/1fJJCVBkBnhriyv0Cp5ZFMr0I_yrfdEITNpb4zILJgUQ/edit?usp=share_link"",""ปทุมธานี!I103"")+IMPORTRANGE(""https://docs.googl"&amp;"e.com/spreadsheets/d/1W5Jj_S0gYw6wSO7QcMI02YgyOBDKYgmm0NSUk-AQEac/edit?usp=share_link"",""ประจวบคีรีขันธ์!I103"")+IMPORTRANGE(""https://docs.google.com/spreadsheets/d/1nYxRXgnCfTXtqUY1otYuTlnrzE0Tn-Y0YRsW5pkRVqo/edit?usp=share_link"",""ปราจีนบุรี!I103"")+"&amp;"IMPORTRANGE(""https://docs.google.com/spreadsheets/d/1nNHCLO8ZAXOMfQvxux7cf_hrzPAh8FAvaHq_ClKbZNo/edit?usp=share_link"",""พระนครศรีอยุธยา!I103"")+IMPORTRANGE(""https://docs.google.com/spreadsheets/d/1CdNicvf3i6yt4tJlCePe3V1Va76wYqW0QzMzTsaGRrA/edit?usp=sh"&amp;"are_link"",""เพชรบุรี!I103"")+IMPORTRANGE(""https://docs.google.com/spreadsheets/d/1XiF77UIVHV0Kjc6xbXuOuJ10WgJYxd4p_22ngKVV5oM/edit?usp=share_link"",""ระยอง!I103"")+IMPORTRANGE(""https://docs.google.com/spreadsheets/d/1qU-W_9MCQD1pgIVXGEOjCFo9QqlmJywueby"&amp;"GgaN92r8/edit?usp=share_link"",""ราชบุรี!I103"")+IMPORTRANGE(""https://docs.google.com/spreadsheets/d/1xYFIxIM_CspAP5Q-5Zx_V0T_Ut3cjryrjd2hss28vGk/edit?usp=share_link"",""ลพบุรี!I103"")+IMPORTRANGE(""https://docs.google.com/spreadsheets/d/11s9m3tKsCBdPWq6"&amp;"syhZm27eBGbKneDLZc75co106bio/edit?usp=share_link"",""สระแก้ว!I103"")+IMPORTRANGE(""https://docs.google.com/spreadsheets/d/1Nn1EvsFPtXldgpgVb3Rcng2K2cls68LFQsBh2FyW0Bg/edit?usp=share_link"",""สระบุรี!I103"")+IMPORTRANGE(""https://docs.google.com/spreadshee"&amp;"ts/d/149xufxukrnEciK3WPbNpHwUK8BKEJxp3UcBG3Al6dA4/edit?usp=share_link"",""สิงห์บุรี!I103"")+IMPORTRANGE(""https://docs.google.com/spreadsheets/d/132g-zJpz2uMKimp17uOIx8A7o3w1Z25zwJyXnwsB56c/edit?usp=share_link"",""สุพรรณบุรี!I103"")+IMPORTRANGE(""https://"&amp;"docs.google.com/spreadsheets/d/12Q_U0nVnFdxDFwa0pej9xvx8ZvLC9Dpi_vRro_aiG5g/edit?usp=share_link"",""อ่างทอง!I103"")
"),215)</f>
        <v>215</v>
      </c>
      <c r="J103" s="183">
        <f ca="1">IFERROR(__xludf.DUMMYFUNCTION("IMPORTRANGE(""https://docs.google.com/spreadsheets/d/1hKO5uv94SSRZWOvrh72HRcpyoEQF9TsE_Cvxl77XNU4/edit?usp=share_link"",""กาญจนบุรี!J103"")+IMPORTRANGE(""https://docs.google.com/spreadsheets/d/1njBaP_xXd-Uotvo2D9zb01TTCFkLJLDK97Tk1l9Qux0/edit?usp=share_li"&amp;"nk"",""จันทบุรี!J103"")+IMPORTRANGE(""https://docs.google.com/spreadsheets/d/14xp6qUzrGFnUk_qnc1eEmfiaNRd4_grkhpfQH_46fa8/edit?usp=share_link"",""ฉะเชิงเทรา!J103"")+IMPORTRANGE(""https://docs.google.com/spreadsheets/d/1_Zwps30dlVa-pZFsorjVf1Pil6WXwzCsJU0U"&amp;"2whO3NI/edit?usp=share_link"",""ชลบุรี!J103"")+IMPORTRANGE(""https://docs.google.com/spreadsheets/d/1xAsT4sUbBlom7l0acStESh_15nvjZcXjZM7fK5uZSq8/edit?usp=share_link"",""ชัยนาท!J103"")+IMPORTRANGE(""https://docs.google.com/spreadsheets/d/1vWPVBOAaZ6mHSI8yf"&amp;"95DNqHwTJ1cpeFsvqt6cxV34QA/edit?usp=share_link"",""ตราด!J103"")+IMPORTRANGE(""https://docs.google.com/spreadsheets/d/1phaeSb9lTGgzDpbvVqI9hfmOQQzUom07-HEvpbARzEg/edit?usp=share_link"",""นครนายก!J103"")+IMPORTRANGE(""https://docs.google.com/spreadsheets/d/"&amp;"1tpwhWwkqkBeiSWCcfB5f2fbwPRbM9hHOEDSDHpl2MIc/edit?usp=share_link"",""นครปฐม!J103"")+IMPORTRANGE(""https://docs.google.com/spreadsheets/d/1fJJCVBkBnhriyv0Cp5ZFMr0I_yrfdEITNpb4zILJgUQ/edit?usp=share_link"",""ปทุมธานี!J103"")+IMPORTRANGE(""https://docs.googl"&amp;"e.com/spreadsheets/d/1W5Jj_S0gYw6wSO7QcMI02YgyOBDKYgmm0NSUk-AQEac/edit?usp=share_link"",""ประจวบคีรีขันธ์!J103"")+IMPORTRANGE(""https://docs.google.com/spreadsheets/d/1nYxRXgnCfTXtqUY1otYuTlnrzE0Tn-Y0YRsW5pkRVqo/edit?usp=share_link"",""ปราจีนบุรี!J103"")+"&amp;"IMPORTRANGE(""https://docs.google.com/spreadsheets/d/1nNHCLO8ZAXOMfQvxux7cf_hrzPAh8FAvaHq_ClKbZNo/edit?usp=share_link"",""พระนครศรีอยุธยา!J103"")+IMPORTRANGE(""https://docs.google.com/spreadsheets/d/1CdNicvf3i6yt4tJlCePe3V1Va76wYqW0QzMzTsaGRrA/edit?usp=sh"&amp;"are_link"",""เพชรบุรี!J103"")+IMPORTRANGE(""https://docs.google.com/spreadsheets/d/1XiF77UIVHV0Kjc6xbXuOuJ10WgJYxd4p_22ngKVV5oM/edit?usp=share_link"",""ระยอง!J103"")+IMPORTRANGE(""https://docs.google.com/spreadsheets/d/1qU-W_9MCQD1pgIVXGEOjCFo9QqlmJywueby"&amp;"GgaN92r8/edit?usp=share_link"",""ราชบุรี!J103"")+IMPORTRANGE(""https://docs.google.com/spreadsheets/d/1xYFIxIM_CspAP5Q-5Zx_V0T_Ut3cjryrjd2hss28vGk/edit?usp=share_link"",""ลพบุรี!J103"")+IMPORTRANGE(""https://docs.google.com/spreadsheets/d/11s9m3tKsCBdPWq6"&amp;"syhZm27eBGbKneDLZc75co106bio/edit?usp=share_link"",""สระแก้ว!J103"")+IMPORTRANGE(""https://docs.google.com/spreadsheets/d/1Nn1EvsFPtXldgpgVb3Rcng2K2cls68LFQsBh2FyW0Bg/edit?usp=share_link"",""สระบุรี!J103"")+IMPORTRANGE(""https://docs.google.com/spreadshee"&amp;"ts/d/149xufxukrnEciK3WPbNpHwUK8BKEJxp3UcBG3Al6dA4/edit?usp=share_link"",""สิงห์บุรี!J103"")+IMPORTRANGE(""https://docs.google.com/spreadsheets/d/132g-zJpz2uMKimp17uOIx8A7o3w1Z25zwJyXnwsB56c/edit?usp=share_link"",""สุพรรณบุรี!J103"")+IMPORTRANGE(""https://"&amp;"docs.google.com/spreadsheets/d/12Q_U0nVnFdxDFwa0pej9xvx8ZvLC9Dpi_vRro_aiG5g/edit?usp=share_link"",""อ่างทอง!J103"")
"),75)</f>
        <v>75</v>
      </c>
      <c r="K103" s="38">
        <f t="shared" ca="1" si="73"/>
        <v>34.883720930232556</v>
      </c>
      <c r="L103" s="38"/>
      <c r="M103" s="38"/>
      <c r="N103" s="38"/>
      <c r="O103" s="163"/>
      <c r="P103" s="163"/>
    </row>
    <row r="104" spans="1:16" ht="20.25" customHeight="1">
      <c r="A104" s="170"/>
      <c r="B104" s="171"/>
      <c r="C104" s="171"/>
      <c r="D104" s="178"/>
      <c r="E104" s="188" t="s">
        <v>52</v>
      </c>
      <c r="F104" s="178"/>
      <c r="G104" s="179"/>
      <c r="H104" s="36" t="s">
        <v>35</v>
      </c>
      <c r="I104" s="37">
        <f ca="1">IFERROR(__xludf.DUMMYFUNCTION("IMPORTRANGE(""https://docs.google.com/spreadsheets/d/1hKO5uv94SSRZWOvrh72HRcpyoEQF9TsE_Cvxl77XNU4/edit?usp=share_link"",""กาญจนบุรี!I104"")+IMPORTRANGE(""https://docs.google.com/spreadsheets/d/1njBaP_xXd-Uotvo2D9zb01TTCFkLJLDK97Tk1l9Qux0/edit?usp=share_li"&amp;"nk"",""จันทบุรี!I104"")+IMPORTRANGE(""https://docs.google.com/spreadsheets/d/14xp6qUzrGFnUk_qnc1eEmfiaNRd4_grkhpfQH_46fa8/edit?usp=share_link"",""ฉะเชิงเทรา!I104"")+IMPORTRANGE(""https://docs.google.com/spreadsheets/d/1_Zwps30dlVa-pZFsorjVf1Pil6WXwzCsJU0U"&amp;"2whO3NI/edit?usp=share_link"",""ชลบุรี!I104"")+IMPORTRANGE(""https://docs.google.com/spreadsheets/d/1xAsT4sUbBlom7l0acStESh_15nvjZcXjZM7fK5uZSq8/edit?usp=share_link"",""ชัยนาท!I104"")+IMPORTRANGE(""https://docs.google.com/spreadsheets/d/1vWPVBOAaZ6mHSI8yf"&amp;"95DNqHwTJ1cpeFsvqt6cxV34QA/edit?usp=share_link"",""ตราด!I104"")+IMPORTRANGE(""https://docs.google.com/spreadsheets/d/1phaeSb9lTGgzDpbvVqI9hfmOQQzUom07-HEvpbARzEg/edit?usp=share_link"",""นครนายก!I104"")+IMPORTRANGE(""https://docs.google.com/spreadsheets/d/"&amp;"1tpwhWwkqkBeiSWCcfB5f2fbwPRbM9hHOEDSDHpl2MIc/edit?usp=share_link"",""นครปฐม!I104"")+IMPORTRANGE(""https://docs.google.com/spreadsheets/d/1fJJCVBkBnhriyv0Cp5ZFMr0I_yrfdEITNpb4zILJgUQ/edit?usp=share_link"",""ปทุมธานี!I104"")+IMPORTRANGE(""https://docs.googl"&amp;"e.com/spreadsheets/d/1W5Jj_S0gYw6wSO7QcMI02YgyOBDKYgmm0NSUk-AQEac/edit?usp=share_link"",""ประจวบคีรีขันธ์!I104"")+IMPORTRANGE(""https://docs.google.com/spreadsheets/d/1nYxRXgnCfTXtqUY1otYuTlnrzE0Tn-Y0YRsW5pkRVqo/edit?usp=share_link"",""ปราจีนบุรี!I104"")+"&amp;"IMPORTRANGE(""https://docs.google.com/spreadsheets/d/1nNHCLO8ZAXOMfQvxux7cf_hrzPAh8FAvaHq_ClKbZNo/edit?usp=share_link"",""พระนครศรีอยุธยา!I104"")+IMPORTRANGE(""https://docs.google.com/spreadsheets/d/1CdNicvf3i6yt4tJlCePe3V1Va76wYqW0QzMzTsaGRrA/edit?usp=sh"&amp;"are_link"",""เพชรบุรี!I104"")+IMPORTRANGE(""https://docs.google.com/spreadsheets/d/1XiF77UIVHV0Kjc6xbXuOuJ10WgJYxd4p_22ngKVV5oM/edit?usp=share_link"",""ระยอง!I104"")+IMPORTRANGE(""https://docs.google.com/spreadsheets/d/1qU-W_9MCQD1pgIVXGEOjCFo9QqlmJywueby"&amp;"GgaN92r8/edit?usp=share_link"",""ราชบุรี!I104"")+IMPORTRANGE(""https://docs.google.com/spreadsheets/d/1xYFIxIM_CspAP5Q-5Zx_V0T_Ut3cjryrjd2hss28vGk/edit?usp=share_link"",""ลพบุรี!I104"")+IMPORTRANGE(""https://docs.google.com/spreadsheets/d/11s9m3tKsCBdPWq6"&amp;"syhZm27eBGbKneDLZc75co106bio/edit?usp=share_link"",""สระแก้ว!I104"")+IMPORTRANGE(""https://docs.google.com/spreadsheets/d/1Nn1EvsFPtXldgpgVb3Rcng2K2cls68LFQsBh2FyW0Bg/edit?usp=share_link"",""สระบุรี!I104"")+IMPORTRANGE(""https://docs.google.com/spreadshee"&amp;"ts/d/149xufxukrnEciK3WPbNpHwUK8BKEJxp3UcBG3Al6dA4/edit?usp=share_link"",""สิงห์บุรี!I104"")+IMPORTRANGE(""https://docs.google.com/spreadsheets/d/132g-zJpz2uMKimp17uOIx8A7o3w1Z25zwJyXnwsB56c/edit?usp=share_link"",""สุพรรณบุรี!I104"")+IMPORTRANGE(""https://"&amp;"docs.google.com/spreadsheets/d/12Q_U0nVnFdxDFwa0pej9xvx8ZvLC9Dpi_vRro_aiG5g/edit?usp=share_link"",""อ่างทอง!I104"")
"),215)</f>
        <v>215</v>
      </c>
      <c r="J104" s="183">
        <f ca="1">IFERROR(__xludf.DUMMYFUNCTION("IMPORTRANGE(""https://docs.google.com/spreadsheets/d/1hKO5uv94SSRZWOvrh72HRcpyoEQF9TsE_Cvxl77XNU4/edit?usp=share_link"",""กาญจนบุรี!J104"")+IMPORTRANGE(""https://docs.google.com/spreadsheets/d/1njBaP_xXd-Uotvo2D9zb01TTCFkLJLDK97Tk1l9Qux0/edit?usp=share_li"&amp;"nk"",""จันทบุรี!J104"")+IMPORTRANGE(""https://docs.google.com/spreadsheets/d/14xp6qUzrGFnUk_qnc1eEmfiaNRd4_grkhpfQH_46fa8/edit?usp=share_link"",""ฉะเชิงเทรา!J104"")+IMPORTRANGE(""https://docs.google.com/spreadsheets/d/1_Zwps30dlVa-pZFsorjVf1Pil6WXwzCsJU0U"&amp;"2whO3NI/edit?usp=share_link"",""ชลบุรี!J104"")+IMPORTRANGE(""https://docs.google.com/spreadsheets/d/1xAsT4sUbBlom7l0acStESh_15nvjZcXjZM7fK5uZSq8/edit?usp=share_link"",""ชัยนาท!J104"")+IMPORTRANGE(""https://docs.google.com/spreadsheets/d/1vWPVBOAaZ6mHSI8yf"&amp;"95DNqHwTJ1cpeFsvqt6cxV34QA/edit?usp=share_link"",""ตราด!J104"")+IMPORTRANGE(""https://docs.google.com/spreadsheets/d/1phaeSb9lTGgzDpbvVqI9hfmOQQzUom07-HEvpbARzEg/edit?usp=share_link"",""นครนายก!J104"")+IMPORTRANGE(""https://docs.google.com/spreadsheets/d/"&amp;"1tpwhWwkqkBeiSWCcfB5f2fbwPRbM9hHOEDSDHpl2MIc/edit?usp=share_link"",""นครปฐม!J104"")+IMPORTRANGE(""https://docs.google.com/spreadsheets/d/1fJJCVBkBnhriyv0Cp5ZFMr0I_yrfdEITNpb4zILJgUQ/edit?usp=share_link"",""ปทุมธานี!J104"")+IMPORTRANGE(""https://docs.googl"&amp;"e.com/spreadsheets/d/1W5Jj_S0gYw6wSO7QcMI02YgyOBDKYgmm0NSUk-AQEac/edit?usp=share_link"",""ประจวบคีรีขันธ์!J104"")+IMPORTRANGE(""https://docs.google.com/spreadsheets/d/1nYxRXgnCfTXtqUY1otYuTlnrzE0Tn-Y0YRsW5pkRVqo/edit?usp=share_link"",""ปราจีนบุรี!J104"")+"&amp;"IMPORTRANGE(""https://docs.google.com/spreadsheets/d/1nNHCLO8ZAXOMfQvxux7cf_hrzPAh8FAvaHq_ClKbZNo/edit?usp=share_link"",""พระนครศรีอยุธยา!J104"")+IMPORTRANGE(""https://docs.google.com/spreadsheets/d/1CdNicvf3i6yt4tJlCePe3V1Va76wYqW0QzMzTsaGRrA/edit?usp=sh"&amp;"are_link"",""เพชรบุรี!J104"")+IMPORTRANGE(""https://docs.google.com/spreadsheets/d/1XiF77UIVHV0Kjc6xbXuOuJ10WgJYxd4p_22ngKVV5oM/edit?usp=share_link"",""ระยอง!J104"")+IMPORTRANGE(""https://docs.google.com/spreadsheets/d/1qU-W_9MCQD1pgIVXGEOjCFo9QqlmJywueby"&amp;"GgaN92r8/edit?usp=share_link"",""ราชบุรี!J104"")+IMPORTRANGE(""https://docs.google.com/spreadsheets/d/1xYFIxIM_CspAP5Q-5Zx_V0T_Ut3cjryrjd2hss28vGk/edit?usp=share_link"",""ลพบุรี!J104"")+IMPORTRANGE(""https://docs.google.com/spreadsheets/d/11s9m3tKsCBdPWq6"&amp;"syhZm27eBGbKneDLZc75co106bio/edit?usp=share_link"",""สระแก้ว!J104"")+IMPORTRANGE(""https://docs.google.com/spreadsheets/d/1Nn1EvsFPtXldgpgVb3Rcng2K2cls68LFQsBh2FyW0Bg/edit?usp=share_link"",""สระบุรี!J104"")+IMPORTRANGE(""https://docs.google.com/spreadshee"&amp;"ts/d/149xufxukrnEciK3WPbNpHwUK8BKEJxp3UcBG3Al6dA4/edit?usp=share_link"",""สิงห์บุรี!J104"")+IMPORTRANGE(""https://docs.google.com/spreadsheets/d/132g-zJpz2uMKimp17uOIx8A7o3w1Z25zwJyXnwsB56c/edit?usp=share_link"",""สุพรรณบุรี!J104"")+IMPORTRANGE(""https://"&amp;"docs.google.com/spreadsheets/d/12Q_U0nVnFdxDFwa0pej9xvx8ZvLC9Dpi_vRro_aiG5g/edit?usp=share_link"",""อ่างทอง!J104"")
"),30)</f>
        <v>30</v>
      </c>
      <c r="K104" s="38">
        <f t="shared" ca="1" si="73"/>
        <v>13.953488372093023</v>
      </c>
      <c r="L104" s="38"/>
      <c r="M104" s="38"/>
      <c r="N104" s="38"/>
      <c r="O104" s="163"/>
      <c r="P104" s="163"/>
    </row>
    <row r="105" spans="1:16" ht="20.25" customHeight="1">
      <c r="A105" s="170"/>
      <c r="B105" s="171"/>
      <c r="C105" s="171"/>
      <c r="D105" s="178"/>
      <c r="E105" s="186" t="s">
        <v>53</v>
      </c>
      <c r="F105" s="178"/>
      <c r="G105" s="179"/>
      <c r="H105" s="189"/>
      <c r="I105" s="37"/>
      <c r="J105" s="37"/>
      <c r="K105" s="38"/>
      <c r="L105" s="38"/>
      <c r="M105" s="38"/>
      <c r="N105" s="38"/>
      <c r="O105" s="163"/>
      <c r="P105" s="163"/>
    </row>
    <row r="106" spans="1:16" ht="20.25" customHeight="1">
      <c r="A106" s="170"/>
      <c r="B106" s="171"/>
      <c r="C106" s="171"/>
      <c r="D106" s="178"/>
      <c r="E106" s="181" t="s">
        <v>54</v>
      </c>
      <c r="F106" s="178"/>
      <c r="G106" s="179"/>
      <c r="H106" s="36" t="s">
        <v>49</v>
      </c>
      <c r="I106" s="37">
        <f ca="1">IFERROR(__xludf.DUMMYFUNCTION("IMPORTRANGE(""https://docs.google.com/spreadsheets/d/1hKO5uv94SSRZWOvrh72HRcpyoEQF9TsE_Cvxl77XNU4/edit?usp=share_link"",""กาญจนบุรี!I106"")+IMPORTRANGE(""https://docs.google.com/spreadsheets/d/1njBaP_xXd-Uotvo2D9zb01TTCFkLJLDK97Tk1l9Qux0/edit?usp=share_li"&amp;"nk"",""จันทบุรี!I106"")+IMPORTRANGE(""https://docs.google.com/spreadsheets/d/14xp6qUzrGFnUk_qnc1eEmfiaNRd4_grkhpfQH_46fa8/edit?usp=share_link"",""ฉะเชิงเทรา!I106"")+IMPORTRANGE(""https://docs.google.com/spreadsheets/d/1_Zwps30dlVa-pZFsorjVf1Pil6WXwzCsJU0U"&amp;"2whO3NI/edit?usp=share_link"",""ชลบุรี!I106"")+IMPORTRANGE(""https://docs.google.com/spreadsheets/d/1xAsT4sUbBlom7l0acStESh_15nvjZcXjZM7fK5uZSq8/edit?usp=share_link"",""ชัยนาท!I106"")+IMPORTRANGE(""https://docs.google.com/spreadsheets/d/1vWPVBOAaZ6mHSI8yf"&amp;"95DNqHwTJ1cpeFsvqt6cxV34QA/edit?usp=share_link"",""ตราด!I106"")+IMPORTRANGE(""https://docs.google.com/spreadsheets/d/1phaeSb9lTGgzDpbvVqI9hfmOQQzUom07-HEvpbARzEg/edit?usp=share_link"",""นครนายก!I106"")+IMPORTRANGE(""https://docs.google.com/spreadsheets/d/"&amp;"1tpwhWwkqkBeiSWCcfB5f2fbwPRbM9hHOEDSDHpl2MIc/edit?usp=share_link"",""นครปฐม!I106"")+IMPORTRANGE(""https://docs.google.com/spreadsheets/d/1fJJCVBkBnhriyv0Cp5ZFMr0I_yrfdEITNpb4zILJgUQ/edit?usp=share_link"",""ปทุมธานี!I106"")+IMPORTRANGE(""https://docs.googl"&amp;"e.com/spreadsheets/d/1W5Jj_S0gYw6wSO7QcMI02YgyOBDKYgmm0NSUk-AQEac/edit?usp=share_link"",""ประจวบคีรีขันธ์!I106"")+IMPORTRANGE(""https://docs.google.com/spreadsheets/d/1nYxRXgnCfTXtqUY1otYuTlnrzE0Tn-Y0YRsW5pkRVqo/edit?usp=share_link"",""ปราจีนบุรี!I106"")+"&amp;"IMPORTRANGE(""https://docs.google.com/spreadsheets/d/1nNHCLO8ZAXOMfQvxux7cf_hrzPAh8FAvaHq_ClKbZNo/edit?usp=share_link"",""พระนครศรีอยุธยา!I106"")+IMPORTRANGE(""https://docs.google.com/spreadsheets/d/1CdNicvf3i6yt4tJlCePe3V1Va76wYqW0QzMzTsaGRrA/edit?usp=sh"&amp;"are_link"",""เพชรบุรี!I106"")+IMPORTRANGE(""https://docs.google.com/spreadsheets/d/1XiF77UIVHV0Kjc6xbXuOuJ10WgJYxd4p_22ngKVV5oM/edit?usp=share_link"",""ระยอง!I106"")+IMPORTRANGE(""https://docs.google.com/spreadsheets/d/1qU-W_9MCQD1pgIVXGEOjCFo9QqlmJywueby"&amp;"GgaN92r8/edit?usp=share_link"",""ราชบุรี!I106"")+IMPORTRANGE(""https://docs.google.com/spreadsheets/d/1xYFIxIM_CspAP5Q-5Zx_V0T_Ut3cjryrjd2hss28vGk/edit?usp=share_link"",""ลพบุรี!I106"")+IMPORTRANGE(""https://docs.google.com/spreadsheets/d/11s9m3tKsCBdPWq6"&amp;"syhZm27eBGbKneDLZc75co106bio/edit?usp=share_link"",""สระแก้ว!I106"")+IMPORTRANGE(""https://docs.google.com/spreadsheets/d/1Nn1EvsFPtXldgpgVb3Rcng2K2cls68LFQsBh2FyW0Bg/edit?usp=share_link"",""สระบุรี!I106"")+IMPORTRANGE(""https://docs.google.com/spreadshee"&amp;"ts/d/149xufxukrnEciK3WPbNpHwUK8BKEJxp3UcBG3Al6dA4/edit?usp=share_link"",""สิงห์บุรี!I106"")+IMPORTRANGE(""https://docs.google.com/spreadsheets/d/132g-zJpz2uMKimp17uOIx8A7o3w1Z25zwJyXnwsB56c/edit?usp=share_link"",""สุพรรณบุรี!I106"")+IMPORTRANGE(""https://"&amp;"docs.google.com/spreadsheets/d/12Q_U0nVnFdxDFwa0pej9xvx8ZvLC9Dpi_vRro_aiG5g/edit?usp=share_link"",""อ่างทอง!I106"")
"),17)</f>
        <v>17</v>
      </c>
      <c r="J106" s="183">
        <f ca="1">IFERROR(__xludf.DUMMYFUNCTION("IMPORTRANGE(""https://docs.google.com/spreadsheets/d/1hKO5uv94SSRZWOvrh72HRcpyoEQF9TsE_Cvxl77XNU4/edit?usp=share_link"",""กาญจนบุรี!J106"")+IMPORTRANGE(""https://docs.google.com/spreadsheets/d/1njBaP_xXd-Uotvo2D9zb01TTCFkLJLDK97Tk1l9Qux0/edit?usp=share_li"&amp;"nk"",""จันทบุรี!J106"")+IMPORTRANGE(""https://docs.google.com/spreadsheets/d/14xp6qUzrGFnUk_qnc1eEmfiaNRd4_grkhpfQH_46fa8/edit?usp=share_link"",""ฉะเชิงเทรา!J106"")+IMPORTRANGE(""https://docs.google.com/spreadsheets/d/1_Zwps30dlVa-pZFsorjVf1Pil6WXwzCsJU0U"&amp;"2whO3NI/edit?usp=share_link"",""ชลบุรี!J106"")+IMPORTRANGE(""https://docs.google.com/spreadsheets/d/1xAsT4sUbBlom7l0acStESh_15nvjZcXjZM7fK5uZSq8/edit?usp=share_link"",""ชัยนาท!J106"")+IMPORTRANGE(""https://docs.google.com/spreadsheets/d/1vWPVBOAaZ6mHSI8yf"&amp;"95DNqHwTJ1cpeFsvqt6cxV34QA/edit?usp=share_link"",""ตราด!J106"")+IMPORTRANGE(""https://docs.google.com/spreadsheets/d/1phaeSb9lTGgzDpbvVqI9hfmOQQzUom07-HEvpbARzEg/edit?usp=share_link"",""นครนายก!J106"")+IMPORTRANGE(""https://docs.google.com/spreadsheets/d/"&amp;"1tpwhWwkqkBeiSWCcfB5f2fbwPRbM9hHOEDSDHpl2MIc/edit?usp=share_link"",""นครปฐม!J106"")+IMPORTRANGE(""https://docs.google.com/spreadsheets/d/1fJJCVBkBnhriyv0Cp5ZFMr0I_yrfdEITNpb4zILJgUQ/edit?usp=share_link"",""ปทุมธานี!J106"")+IMPORTRANGE(""https://docs.googl"&amp;"e.com/spreadsheets/d/1W5Jj_S0gYw6wSO7QcMI02YgyOBDKYgmm0NSUk-AQEac/edit?usp=share_link"",""ประจวบคีรีขันธ์!J106"")+IMPORTRANGE(""https://docs.google.com/spreadsheets/d/1nYxRXgnCfTXtqUY1otYuTlnrzE0Tn-Y0YRsW5pkRVqo/edit?usp=share_link"",""ปราจีนบุรี!J106"")+"&amp;"IMPORTRANGE(""https://docs.google.com/spreadsheets/d/1nNHCLO8ZAXOMfQvxux7cf_hrzPAh8FAvaHq_ClKbZNo/edit?usp=share_link"",""พระนครศรีอยุธยา!J106"")+IMPORTRANGE(""https://docs.google.com/spreadsheets/d/1CdNicvf3i6yt4tJlCePe3V1Va76wYqW0QzMzTsaGRrA/edit?usp=sh"&amp;"are_link"",""เพชรบุรี!J106"")+IMPORTRANGE(""https://docs.google.com/spreadsheets/d/1XiF77UIVHV0Kjc6xbXuOuJ10WgJYxd4p_22ngKVV5oM/edit?usp=share_link"",""ระยอง!J106"")+IMPORTRANGE(""https://docs.google.com/spreadsheets/d/1qU-W_9MCQD1pgIVXGEOjCFo9QqlmJywueby"&amp;"GgaN92r8/edit?usp=share_link"",""ราชบุรี!J106"")+IMPORTRANGE(""https://docs.google.com/spreadsheets/d/1xYFIxIM_CspAP5Q-5Zx_V0T_Ut3cjryrjd2hss28vGk/edit?usp=share_link"",""ลพบุรี!J106"")+IMPORTRANGE(""https://docs.google.com/spreadsheets/d/11s9m3tKsCBdPWq6"&amp;"syhZm27eBGbKneDLZc75co106bio/edit?usp=share_link"",""สระแก้ว!J106"")+IMPORTRANGE(""https://docs.google.com/spreadsheets/d/1Nn1EvsFPtXldgpgVb3Rcng2K2cls68LFQsBh2FyW0Bg/edit?usp=share_link"",""สระบุรี!J106"")+IMPORTRANGE(""https://docs.google.com/spreadshee"&amp;"ts/d/149xufxukrnEciK3WPbNpHwUK8BKEJxp3UcBG3Al6dA4/edit?usp=share_link"",""สิงห์บุรี!J106"")+IMPORTRANGE(""https://docs.google.com/spreadsheets/d/132g-zJpz2uMKimp17uOIx8A7o3w1Z25zwJyXnwsB56c/edit?usp=share_link"",""สุพรรณบุรี!J106"")+IMPORTRANGE(""https://"&amp;"docs.google.com/spreadsheets/d/12Q_U0nVnFdxDFwa0pej9xvx8ZvLC9Dpi_vRro_aiG5g/edit?usp=share_link"",""อ่างทอง!J106"")
"),0)</f>
        <v>0</v>
      </c>
      <c r="K106" s="38">
        <f t="shared" ref="K106:K107" ca="1" si="74">IF(I106&gt;0,J106*100/I106,0)</f>
        <v>0</v>
      </c>
      <c r="L106" s="38"/>
      <c r="M106" s="38"/>
      <c r="N106" s="38"/>
      <c r="O106" s="163"/>
      <c r="P106" s="163"/>
    </row>
    <row r="107" spans="1:16" ht="20.25" customHeight="1">
      <c r="A107" s="170"/>
      <c r="B107" s="171"/>
      <c r="C107" s="171"/>
      <c r="D107" s="178"/>
      <c r="E107" s="188" t="s">
        <v>55</v>
      </c>
      <c r="F107" s="178"/>
      <c r="G107" s="179"/>
      <c r="H107" s="36" t="s">
        <v>49</v>
      </c>
      <c r="I107" s="37">
        <f ca="1">IFERROR(__xludf.DUMMYFUNCTION("IMPORTRANGE(""https://docs.google.com/spreadsheets/d/1hKO5uv94SSRZWOvrh72HRcpyoEQF9TsE_Cvxl77XNU4/edit?usp=share_link"",""กาญจนบุรี!I107"")+IMPORTRANGE(""https://docs.google.com/spreadsheets/d/1njBaP_xXd-Uotvo2D9zb01TTCFkLJLDK97Tk1l9Qux0/edit?usp=share_li"&amp;"nk"",""จันทบุรี!I107"")+IMPORTRANGE(""https://docs.google.com/spreadsheets/d/14xp6qUzrGFnUk_qnc1eEmfiaNRd4_grkhpfQH_46fa8/edit?usp=share_link"",""ฉะเชิงเทรา!I107"")+IMPORTRANGE(""https://docs.google.com/spreadsheets/d/1_Zwps30dlVa-pZFsorjVf1Pil6WXwzCsJU0U"&amp;"2whO3NI/edit?usp=share_link"",""ชลบุรี!I107"")+IMPORTRANGE(""https://docs.google.com/spreadsheets/d/1xAsT4sUbBlom7l0acStESh_15nvjZcXjZM7fK5uZSq8/edit?usp=share_link"",""ชัยนาท!I107"")+IMPORTRANGE(""https://docs.google.com/spreadsheets/d/1vWPVBOAaZ6mHSI8yf"&amp;"95DNqHwTJ1cpeFsvqt6cxV34QA/edit?usp=share_link"",""ตราด!I107"")+IMPORTRANGE(""https://docs.google.com/spreadsheets/d/1phaeSb9lTGgzDpbvVqI9hfmOQQzUom07-HEvpbARzEg/edit?usp=share_link"",""นครนายก!I107"")+IMPORTRANGE(""https://docs.google.com/spreadsheets/d/"&amp;"1tpwhWwkqkBeiSWCcfB5f2fbwPRbM9hHOEDSDHpl2MIc/edit?usp=share_link"",""นครปฐม!I107"")+IMPORTRANGE(""https://docs.google.com/spreadsheets/d/1fJJCVBkBnhriyv0Cp5ZFMr0I_yrfdEITNpb4zILJgUQ/edit?usp=share_link"",""ปทุมธานี!I107"")+IMPORTRANGE(""https://docs.googl"&amp;"e.com/spreadsheets/d/1W5Jj_S0gYw6wSO7QcMI02YgyOBDKYgmm0NSUk-AQEac/edit?usp=share_link"",""ประจวบคีรีขันธ์!I107"")+IMPORTRANGE(""https://docs.google.com/spreadsheets/d/1nYxRXgnCfTXtqUY1otYuTlnrzE0Tn-Y0YRsW5pkRVqo/edit?usp=share_link"",""ปราจีนบุรี!I107"")+"&amp;"IMPORTRANGE(""https://docs.google.com/spreadsheets/d/1nNHCLO8ZAXOMfQvxux7cf_hrzPAh8FAvaHq_ClKbZNo/edit?usp=share_link"",""พระนครศรีอยุธยา!I107"")+IMPORTRANGE(""https://docs.google.com/spreadsheets/d/1CdNicvf3i6yt4tJlCePe3V1Va76wYqW0QzMzTsaGRrA/edit?usp=sh"&amp;"are_link"",""เพชรบุรี!I107"")+IMPORTRANGE(""https://docs.google.com/spreadsheets/d/1XiF77UIVHV0Kjc6xbXuOuJ10WgJYxd4p_22ngKVV5oM/edit?usp=share_link"",""ระยอง!I107"")+IMPORTRANGE(""https://docs.google.com/spreadsheets/d/1qU-W_9MCQD1pgIVXGEOjCFo9QqlmJywueby"&amp;"GgaN92r8/edit?usp=share_link"",""ราชบุรี!I107"")+IMPORTRANGE(""https://docs.google.com/spreadsheets/d/1xYFIxIM_CspAP5Q-5Zx_V0T_Ut3cjryrjd2hss28vGk/edit?usp=share_link"",""ลพบุรี!I107"")+IMPORTRANGE(""https://docs.google.com/spreadsheets/d/11s9m3tKsCBdPWq6"&amp;"syhZm27eBGbKneDLZc75co106bio/edit?usp=share_link"",""สระแก้ว!I107"")+IMPORTRANGE(""https://docs.google.com/spreadsheets/d/1Nn1EvsFPtXldgpgVb3Rcng2K2cls68LFQsBh2FyW0Bg/edit?usp=share_link"",""สระบุรี!I107"")+IMPORTRANGE(""https://docs.google.com/spreadshee"&amp;"ts/d/149xufxukrnEciK3WPbNpHwUK8BKEJxp3UcBG3Al6dA4/edit?usp=share_link"",""สิงห์บุรี!I107"")+IMPORTRANGE(""https://docs.google.com/spreadsheets/d/132g-zJpz2uMKimp17uOIx8A7o3w1Z25zwJyXnwsB56c/edit?usp=share_link"",""สุพรรณบุรี!I107"")+IMPORTRANGE(""https://"&amp;"docs.google.com/spreadsheets/d/12Q_U0nVnFdxDFwa0pej9xvx8ZvLC9Dpi_vRro_aiG5g/edit?usp=share_link"",""อ่างทอง!I107"")
"),17)</f>
        <v>17</v>
      </c>
      <c r="J107" s="183">
        <f ca="1">IFERROR(__xludf.DUMMYFUNCTION("IMPORTRANGE(""https://docs.google.com/spreadsheets/d/1hKO5uv94SSRZWOvrh72HRcpyoEQF9TsE_Cvxl77XNU4/edit?usp=share_link"",""กาญจนบุรี!J107"")+IMPORTRANGE(""https://docs.google.com/spreadsheets/d/1njBaP_xXd-Uotvo2D9zb01TTCFkLJLDK97Tk1l9Qux0/edit?usp=share_li"&amp;"nk"",""จันทบุรี!J107"")+IMPORTRANGE(""https://docs.google.com/spreadsheets/d/14xp6qUzrGFnUk_qnc1eEmfiaNRd4_grkhpfQH_46fa8/edit?usp=share_link"",""ฉะเชิงเทรา!J107"")+IMPORTRANGE(""https://docs.google.com/spreadsheets/d/1_Zwps30dlVa-pZFsorjVf1Pil6WXwzCsJU0U"&amp;"2whO3NI/edit?usp=share_link"",""ชลบุรี!J107"")+IMPORTRANGE(""https://docs.google.com/spreadsheets/d/1xAsT4sUbBlom7l0acStESh_15nvjZcXjZM7fK5uZSq8/edit?usp=share_link"",""ชัยนาท!J107"")+IMPORTRANGE(""https://docs.google.com/spreadsheets/d/1vWPVBOAaZ6mHSI8yf"&amp;"95DNqHwTJ1cpeFsvqt6cxV34QA/edit?usp=share_link"",""ตราด!J107"")+IMPORTRANGE(""https://docs.google.com/spreadsheets/d/1phaeSb9lTGgzDpbvVqI9hfmOQQzUom07-HEvpbARzEg/edit?usp=share_link"",""นครนายก!J107"")+IMPORTRANGE(""https://docs.google.com/spreadsheets/d/"&amp;"1tpwhWwkqkBeiSWCcfB5f2fbwPRbM9hHOEDSDHpl2MIc/edit?usp=share_link"",""นครปฐม!J107"")+IMPORTRANGE(""https://docs.google.com/spreadsheets/d/1fJJCVBkBnhriyv0Cp5ZFMr0I_yrfdEITNpb4zILJgUQ/edit?usp=share_link"",""ปทุมธานี!J107"")+IMPORTRANGE(""https://docs.googl"&amp;"e.com/spreadsheets/d/1W5Jj_S0gYw6wSO7QcMI02YgyOBDKYgmm0NSUk-AQEac/edit?usp=share_link"",""ประจวบคีรีขันธ์!J107"")+IMPORTRANGE(""https://docs.google.com/spreadsheets/d/1nYxRXgnCfTXtqUY1otYuTlnrzE0Tn-Y0YRsW5pkRVqo/edit?usp=share_link"",""ปราจีนบุรี!J107"")+"&amp;"IMPORTRANGE(""https://docs.google.com/spreadsheets/d/1nNHCLO8ZAXOMfQvxux7cf_hrzPAh8FAvaHq_ClKbZNo/edit?usp=share_link"",""พระนครศรีอยุธยา!J107"")+IMPORTRANGE(""https://docs.google.com/spreadsheets/d/1CdNicvf3i6yt4tJlCePe3V1Va76wYqW0QzMzTsaGRrA/edit?usp=sh"&amp;"are_link"",""เพชรบุรี!J107"")+IMPORTRANGE(""https://docs.google.com/spreadsheets/d/1XiF77UIVHV0Kjc6xbXuOuJ10WgJYxd4p_22ngKVV5oM/edit?usp=share_link"",""ระยอง!J107"")+IMPORTRANGE(""https://docs.google.com/spreadsheets/d/1qU-W_9MCQD1pgIVXGEOjCFo9QqlmJywueby"&amp;"GgaN92r8/edit?usp=share_link"",""ราชบุรี!J107"")+IMPORTRANGE(""https://docs.google.com/spreadsheets/d/1xYFIxIM_CspAP5Q-5Zx_V0T_Ut3cjryrjd2hss28vGk/edit?usp=share_link"",""ลพบุรี!J107"")+IMPORTRANGE(""https://docs.google.com/spreadsheets/d/11s9m3tKsCBdPWq6"&amp;"syhZm27eBGbKneDLZc75co106bio/edit?usp=share_link"",""สระแก้ว!J107"")+IMPORTRANGE(""https://docs.google.com/spreadsheets/d/1Nn1EvsFPtXldgpgVb3Rcng2K2cls68LFQsBh2FyW0Bg/edit?usp=share_link"",""สระบุรี!J107"")+IMPORTRANGE(""https://docs.google.com/spreadshee"&amp;"ts/d/149xufxukrnEciK3WPbNpHwUK8BKEJxp3UcBG3Al6dA4/edit?usp=share_link"",""สิงห์บุรี!J107"")+IMPORTRANGE(""https://docs.google.com/spreadsheets/d/132g-zJpz2uMKimp17uOIx8A7o3w1Z25zwJyXnwsB56c/edit?usp=share_link"",""สุพรรณบุรี!J107"")+IMPORTRANGE(""https://"&amp;"docs.google.com/spreadsheets/d/12Q_U0nVnFdxDFwa0pej9xvx8ZvLC9Dpi_vRro_aiG5g/edit?usp=share_link"",""อ่างทอง!J107"")
"),0)</f>
        <v>0</v>
      </c>
      <c r="K107" s="38">
        <f t="shared" ca="1" si="74"/>
        <v>0</v>
      </c>
      <c r="L107" s="38"/>
      <c r="M107" s="38"/>
      <c r="N107" s="38"/>
      <c r="O107" s="163"/>
      <c r="P107" s="163"/>
    </row>
    <row r="108" spans="1:16" ht="20.25" customHeight="1">
      <c r="A108" s="170"/>
      <c r="B108" s="171"/>
      <c r="C108" s="171"/>
      <c r="D108" s="178"/>
      <c r="E108" s="186" t="s">
        <v>56</v>
      </c>
      <c r="F108" s="178"/>
      <c r="G108" s="179"/>
      <c r="H108" s="189"/>
      <c r="I108" s="37"/>
      <c r="J108" s="37"/>
      <c r="K108" s="38"/>
      <c r="L108" s="38"/>
      <c r="M108" s="38"/>
      <c r="N108" s="38"/>
      <c r="O108" s="163"/>
      <c r="P108" s="163"/>
    </row>
    <row r="109" spans="1:16" ht="20.25" customHeight="1">
      <c r="A109" s="170"/>
      <c r="B109" s="171"/>
      <c r="C109" s="171"/>
      <c r="D109" s="178"/>
      <c r="E109" s="181" t="s">
        <v>57</v>
      </c>
      <c r="F109" s="178"/>
      <c r="G109" s="179"/>
      <c r="H109" s="36" t="s">
        <v>49</v>
      </c>
      <c r="I109" s="37">
        <f ca="1">IFERROR(__xludf.DUMMYFUNCTION("IMPORTRANGE(""https://docs.google.com/spreadsheets/d/1hKO5uv94SSRZWOvrh72HRcpyoEQF9TsE_Cvxl77XNU4/edit?usp=share_link"",""กาญจนบุรี!I109"")+IMPORTRANGE(""https://docs.google.com/spreadsheets/d/1njBaP_xXd-Uotvo2D9zb01TTCFkLJLDK97Tk1l9Qux0/edit?usp=share_li"&amp;"nk"",""จันทบุรี!I109"")+IMPORTRANGE(""https://docs.google.com/spreadsheets/d/14xp6qUzrGFnUk_qnc1eEmfiaNRd4_grkhpfQH_46fa8/edit?usp=share_link"",""ฉะเชิงเทรา!I109"")+IMPORTRANGE(""https://docs.google.com/spreadsheets/d/1_Zwps30dlVa-pZFsorjVf1Pil6WXwzCsJU0U"&amp;"2whO3NI/edit?usp=share_link"",""ชลบุรี!I109"")+IMPORTRANGE(""https://docs.google.com/spreadsheets/d/1xAsT4sUbBlom7l0acStESh_15nvjZcXjZM7fK5uZSq8/edit?usp=share_link"",""ชัยนาท!I109"")+IMPORTRANGE(""https://docs.google.com/spreadsheets/d/1vWPVBOAaZ6mHSI8yf"&amp;"95DNqHwTJ1cpeFsvqt6cxV34QA/edit?usp=share_link"",""ตราด!I109"")+IMPORTRANGE(""https://docs.google.com/spreadsheets/d/1phaeSb9lTGgzDpbvVqI9hfmOQQzUom07-HEvpbARzEg/edit?usp=share_link"",""นครนายก!I109"")+IMPORTRANGE(""https://docs.google.com/spreadsheets/d/"&amp;"1tpwhWwkqkBeiSWCcfB5f2fbwPRbM9hHOEDSDHpl2MIc/edit?usp=share_link"",""นครปฐม!I109"")+IMPORTRANGE(""https://docs.google.com/spreadsheets/d/1fJJCVBkBnhriyv0Cp5ZFMr0I_yrfdEITNpb4zILJgUQ/edit?usp=share_link"",""ปทุมธานี!I109"")+IMPORTRANGE(""https://docs.googl"&amp;"e.com/spreadsheets/d/1W5Jj_S0gYw6wSO7QcMI02YgyOBDKYgmm0NSUk-AQEac/edit?usp=share_link"",""ประจวบคีรีขันธ์!I109"")+IMPORTRANGE(""https://docs.google.com/spreadsheets/d/1nYxRXgnCfTXtqUY1otYuTlnrzE0Tn-Y0YRsW5pkRVqo/edit?usp=share_link"",""ปราจีนบุรี!I109"")+"&amp;"IMPORTRANGE(""https://docs.google.com/spreadsheets/d/1nNHCLO8ZAXOMfQvxux7cf_hrzPAh8FAvaHq_ClKbZNo/edit?usp=share_link"",""พระนครศรีอยุธยา!I109"")+IMPORTRANGE(""https://docs.google.com/spreadsheets/d/1CdNicvf3i6yt4tJlCePe3V1Va76wYqW0QzMzTsaGRrA/edit?usp=sh"&amp;"are_link"",""เพชรบุรี!I109"")+IMPORTRANGE(""https://docs.google.com/spreadsheets/d/1XiF77UIVHV0Kjc6xbXuOuJ10WgJYxd4p_22ngKVV5oM/edit?usp=share_link"",""ระยอง!I109"")+IMPORTRANGE(""https://docs.google.com/spreadsheets/d/1qU-W_9MCQD1pgIVXGEOjCFo9QqlmJywueby"&amp;"GgaN92r8/edit?usp=share_link"",""ราชบุรี!I109"")+IMPORTRANGE(""https://docs.google.com/spreadsheets/d/1xYFIxIM_CspAP5Q-5Zx_V0T_Ut3cjryrjd2hss28vGk/edit?usp=share_link"",""ลพบุรี!I109"")+IMPORTRANGE(""https://docs.google.com/spreadsheets/d/11s9m3tKsCBdPWq6"&amp;"syhZm27eBGbKneDLZc75co106bio/edit?usp=share_link"",""สระแก้ว!I109"")+IMPORTRANGE(""https://docs.google.com/spreadsheets/d/1Nn1EvsFPtXldgpgVb3Rcng2K2cls68LFQsBh2FyW0Bg/edit?usp=share_link"",""สระบุรี!I109"")+IMPORTRANGE(""https://docs.google.com/spreadshee"&amp;"ts/d/149xufxukrnEciK3WPbNpHwUK8BKEJxp3UcBG3Al6dA4/edit?usp=share_link"",""สิงห์บุรี!I109"")+IMPORTRANGE(""https://docs.google.com/spreadsheets/d/132g-zJpz2uMKimp17uOIx8A7o3w1Z25zwJyXnwsB56c/edit?usp=share_link"",""สุพรรณบุรี!I109"")+IMPORTRANGE(""https://"&amp;"docs.google.com/spreadsheets/d/12Q_U0nVnFdxDFwa0pej9xvx8ZvLC9Dpi_vRro_aiG5g/edit?usp=share_link"",""อ่างทอง!I109"")
"),21)</f>
        <v>21</v>
      </c>
      <c r="J109" s="183">
        <f ca="1">IFERROR(__xludf.DUMMYFUNCTION("IMPORTRANGE(""https://docs.google.com/spreadsheets/d/1hKO5uv94SSRZWOvrh72HRcpyoEQF9TsE_Cvxl77XNU4/edit?usp=share_link"",""กาญจนบุรี!J109"")+IMPORTRANGE(""https://docs.google.com/spreadsheets/d/1njBaP_xXd-Uotvo2D9zb01TTCFkLJLDK97Tk1l9Qux0/edit?usp=share_li"&amp;"nk"",""จันทบุรี!J109"")+IMPORTRANGE(""https://docs.google.com/spreadsheets/d/14xp6qUzrGFnUk_qnc1eEmfiaNRd4_grkhpfQH_46fa8/edit?usp=share_link"",""ฉะเชิงเทรา!J109"")+IMPORTRANGE(""https://docs.google.com/spreadsheets/d/1_Zwps30dlVa-pZFsorjVf1Pil6WXwzCsJU0U"&amp;"2whO3NI/edit?usp=share_link"",""ชลบุรี!J109"")+IMPORTRANGE(""https://docs.google.com/spreadsheets/d/1xAsT4sUbBlom7l0acStESh_15nvjZcXjZM7fK5uZSq8/edit?usp=share_link"",""ชัยนาท!J109"")+IMPORTRANGE(""https://docs.google.com/spreadsheets/d/1vWPVBOAaZ6mHSI8yf"&amp;"95DNqHwTJ1cpeFsvqt6cxV34QA/edit?usp=share_link"",""ตราด!J109"")+IMPORTRANGE(""https://docs.google.com/spreadsheets/d/1phaeSb9lTGgzDpbvVqI9hfmOQQzUom07-HEvpbARzEg/edit?usp=share_link"",""นครนายก!J109"")+IMPORTRANGE(""https://docs.google.com/spreadsheets/d/"&amp;"1tpwhWwkqkBeiSWCcfB5f2fbwPRbM9hHOEDSDHpl2MIc/edit?usp=share_link"",""นครปฐม!J109"")+IMPORTRANGE(""https://docs.google.com/spreadsheets/d/1fJJCVBkBnhriyv0Cp5ZFMr0I_yrfdEITNpb4zILJgUQ/edit?usp=share_link"",""ปทุมธานี!J109"")+IMPORTRANGE(""https://docs.googl"&amp;"e.com/spreadsheets/d/1W5Jj_S0gYw6wSO7QcMI02YgyOBDKYgmm0NSUk-AQEac/edit?usp=share_link"",""ประจวบคีรีขันธ์!J109"")+IMPORTRANGE(""https://docs.google.com/spreadsheets/d/1nYxRXgnCfTXtqUY1otYuTlnrzE0Tn-Y0YRsW5pkRVqo/edit?usp=share_link"",""ปราจีนบุรี!J109"")+"&amp;"IMPORTRANGE(""https://docs.google.com/spreadsheets/d/1nNHCLO8ZAXOMfQvxux7cf_hrzPAh8FAvaHq_ClKbZNo/edit?usp=share_link"",""พระนครศรีอยุธยา!J109"")+IMPORTRANGE(""https://docs.google.com/spreadsheets/d/1CdNicvf3i6yt4tJlCePe3V1Va76wYqW0QzMzTsaGRrA/edit?usp=sh"&amp;"are_link"",""เพชรบุรี!J109"")+IMPORTRANGE(""https://docs.google.com/spreadsheets/d/1XiF77UIVHV0Kjc6xbXuOuJ10WgJYxd4p_22ngKVV5oM/edit?usp=share_link"",""ระยอง!J109"")+IMPORTRANGE(""https://docs.google.com/spreadsheets/d/1qU-W_9MCQD1pgIVXGEOjCFo9QqlmJywueby"&amp;"GgaN92r8/edit?usp=share_link"",""ราชบุรี!J109"")+IMPORTRANGE(""https://docs.google.com/spreadsheets/d/1xYFIxIM_CspAP5Q-5Zx_V0T_Ut3cjryrjd2hss28vGk/edit?usp=share_link"",""ลพบุรี!J109"")+IMPORTRANGE(""https://docs.google.com/spreadsheets/d/11s9m3tKsCBdPWq6"&amp;"syhZm27eBGbKneDLZc75co106bio/edit?usp=share_link"",""สระแก้ว!J109"")+IMPORTRANGE(""https://docs.google.com/spreadsheets/d/1Nn1EvsFPtXldgpgVb3Rcng2K2cls68LFQsBh2FyW0Bg/edit?usp=share_link"",""สระบุรี!J109"")+IMPORTRANGE(""https://docs.google.com/spreadshee"&amp;"ts/d/149xufxukrnEciK3WPbNpHwUK8BKEJxp3UcBG3Al6dA4/edit?usp=share_link"",""สิงห์บุรี!J109"")+IMPORTRANGE(""https://docs.google.com/spreadsheets/d/132g-zJpz2uMKimp17uOIx8A7o3w1Z25zwJyXnwsB56c/edit?usp=share_link"",""สุพรรณบุรี!J109"")+IMPORTRANGE(""https://"&amp;"docs.google.com/spreadsheets/d/12Q_U0nVnFdxDFwa0pej9xvx8ZvLC9Dpi_vRro_aiG5g/edit?usp=share_link"",""อ่างทอง!J109"")
"),2)</f>
        <v>2</v>
      </c>
      <c r="K109" s="38">
        <f t="shared" ref="K109:K116" ca="1" si="75">IF(I109&gt;0,J109*100/I109,0)</f>
        <v>9.5238095238095237</v>
      </c>
      <c r="L109" s="38"/>
      <c r="M109" s="38"/>
      <c r="N109" s="38"/>
      <c r="O109" s="163"/>
      <c r="P109" s="163"/>
    </row>
    <row r="110" spans="1:16" ht="20.25" customHeight="1">
      <c r="A110" s="170"/>
      <c r="B110" s="171"/>
      <c r="C110" s="171"/>
      <c r="D110" s="178"/>
      <c r="E110" s="190" t="s">
        <v>58</v>
      </c>
      <c r="F110" s="178"/>
      <c r="G110" s="179"/>
      <c r="H110" s="36" t="s">
        <v>49</v>
      </c>
      <c r="I110" s="37">
        <f ca="1">IFERROR(__xludf.DUMMYFUNCTION("IMPORTRANGE(""https://docs.google.com/spreadsheets/d/1hKO5uv94SSRZWOvrh72HRcpyoEQF9TsE_Cvxl77XNU4/edit?usp=share_link"",""กาญจนบุรี!I110"")+IMPORTRANGE(""https://docs.google.com/spreadsheets/d/1njBaP_xXd-Uotvo2D9zb01TTCFkLJLDK97Tk1l9Qux0/edit?usp=share_li"&amp;"nk"",""จันทบุรี!I110"")+IMPORTRANGE(""https://docs.google.com/spreadsheets/d/14xp6qUzrGFnUk_qnc1eEmfiaNRd4_grkhpfQH_46fa8/edit?usp=share_link"",""ฉะเชิงเทรา!I110"")+IMPORTRANGE(""https://docs.google.com/spreadsheets/d/1_Zwps30dlVa-pZFsorjVf1Pil6WXwzCsJU0U"&amp;"2whO3NI/edit?usp=share_link"",""ชลบุรี!I110"")+IMPORTRANGE(""https://docs.google.com/spreadsheets/d/1xAsT4sUbBlom7l0acStESh_15nvjZcXjZM7fK5uZSq8/edit?usp=share_link"",""ชัยนาท!I110"")+IMPORTRANGE(""https://docs.google.com/spreadsheets/d/1vWPVBOAaZ6mHSI8yf"&amp;"95DNqHwTJ1cpeFsvqt6cxV34QA/edit?usp=share_link"",""ตราด!I110"")+IMPORTRANGE(""https://docs.google.com/spreadsheets/d/1phaeSb9lTGgzDpbvVqI9hfmOQQzUom07-HEvpbARzEg/edit?usp=share_link"",""นครนายก!I110"")+IMPORTRANGE(""https://docs.google.com/spreadsheets/d/"&amp;"1tpwhWwkqkBeiSWCcfB5f2fbwPRbM9hHOEDSDHpl2MIc/edit?usp=share_link"",""นครปฐม!I110"")+IMPORTRANGE(""https://docs.google.com/spreadsheets/d/1fJJCVBkBnhriyv0Cp5ZFMr0I_yrfdEITNpb4zILJgUQ/edit?usp=share_link"",""ปทุมธานี!I110"")+IMPORTRANGE(""https://docs.googl"&amp;"e.com/spreadsheets/d/1W5Jj_S0gYw6wSO7QcMI02YgyOBDKYgmm0NSUk-AQEac/edit?usp=share_link"",""ประจวบคีรีขันธ์!I110"")+IMPORTRANGE(""https://docs.google.com/spreadsheets/d/1nYxRXgnCfTXtqUY1otYuTlnrzE0Tn-Y0YRsW5pkRVqo/edit?usp=share_link"",""ปราจีนบุรี!I110"")+"&amp;"IMPORTRANGE(""https://docs.google.com/spreadsheets/d/1nNHCLO8ZAXOMfQvxux7cf_hrzPAh8FAvaHq_ClKbZNo/edit?usp=share_link"",""พระนครศรีอยุธยา!I110"")+IMPORTRANGE(""https://docs.google.com/spreadsheets/d/1CdNicvf3i6yt4tJlCePe3V1Va76wYqW0QzMzTsaGRrA/edit?usp=sh"&amp;"are_link"",""เพชรบุรี!I110"")+IMPORTRANGE(""https://docs.google.com/spreadsheets/d/1XiF77UIVHV0Kjc6xbXuOuJ10WgJYxd4p_22ngKVV5oM/edit?usp=share_link"",""ระยอง!I110"")+IMPORTRANGE(""https://docs.google.com/spreadsheets/d/1qU-W_9MCQD1pgIVXGEOjCFo9QqlmJywueby"&amp;"GgaN92r8/edit?usp=share_link"",""ราชบุรี!I110"")+IMPORTRANGE(""https://docs.google.com/spreadsheets/d/1xYFIxIM_CspAP5Q-5Zx_V0T_Ut3cjryrjd2hss28vGk/edit?usp=share_link"",""ลพบุรี!I110"")+IMPORTRANGE(""https://docs.google.com/spreadsheets/d/11s9m3tKsCBdPWq6"&amp;"syhZm27eBGbKneDLZc75co106bio/edit?usp=share_link"",""สระแก้ว!I110"")+IMPORTRANGE(""https://docs.google.com/spreadsheets/d/1Nn1EvsFPtXldgpgVb3Rcng2K2cls68LFQsBh2FyW0Bg/edit?usp=share_link"",""สระบุรี!I110"")+IMPORTRANGE(""https://docs.google.com/spreadshee"&amp;"ts/d/149xufxukrnEciK3WPbNpHwUK8BKEJxp3UcBG3Al6dA4/edit?usp=share_link"",""สิงห์บุรี!I110"")+IMPORTRANGE(""https://docs.google.com/spreadsheets/d/132g-zJpz2uMKimp17uOIx8A7o3w1Z25zwJyXnwsB56c/edit?usp=share_link"",""สุพรรณบุรี!I110"")+IMPORTRANGE(""https://"&amp;"docs.google.com/spreadsheets/d/12Q_U0nVnFdxDFwa0pej9xvx8ZvLC9Dpi_vRro_aiG5g/edit?usp=share_link"",""อ่างทอง!I110"")
"),21)</f>
        <v>21</v>
      </c>
      <c r="J110" s="183">
        <f ca="1">IFERROR(__xludf.DUMMYFUNCTION("IMPORTRANGE(""https://docs.google.com/spreadsheets/d/1hKO5uv94SSRZWOvrh72HRcpyoEQF9TsE_Cvxl77XNU4/edit?usp=share_link"",""กาญจนบุรี!J110"")+IMPORTRANGE(""https://docs.google.com/spreadsheets/d/1njBaP_xXd-Uotvo2D9zb01TTCFkLJLDK97Tk1l9Qux0/edit?usp=share_li"&amp;"nk"",""จันทบุรี!J110"")+IMPORTRANGE(""https://docs.google.com/spreadsheets/d/14xp6qUzrGFnUk_qnc1eEmfiaNRd4_grkhpfQH_46fa8/edit?usp=share_link"",""ฉะเชิงเทรา!J110"")+IMPORTRANGE(""https://docs.google.com/spreadsheets/d/1_Zwps30dlVa-pZFsorjVf1Pil6WXwzCsJU0U"&amp;"2whO3NI/edit?usp=share_link"",""ชลบุรี!J110"")+IMPORTRANGE(""https://docs.google.com/spreadsheets/d/1xAsT4sUbBlom7l0acStESh_15nvjZcXjZM7fK5uZSq8/edit?usp=share_link"",""ชัยนาท!J110"")+IMPORTRANGE(""https://docs.google.com/spreadsheets/d/1vWPVBOAaZ6mHSI8yf"&amp;"95DNqHwTJ1cpeFsvqt6cxV34QA/edit?usp=share_link"",""ตราด!J110"")+IMPORTRANGE(""https://docs.google.com/spreadsheets/d/1phaeSb9lTGgzDpbvVqI9hfmOQQzUom07-HEvpbARzEg/edit?usp=share_link"",""นครนายก!J110"")+IMPORTRANGE(""https://docs.google.com/spreadsheets/d/"&amp;"1tpwhWwkqkBeiSWCcfB5f2fbwPRbM9hHOEDSDHpl2MIc/edit?usp=share_link"",""นครปฐม!J110"")+IMPORTRANGE(""https://docs.google.com/spreadsheets/d/1fJJCVBkBnhriyv0Cp5ZFMr0I_yrfdEITNpb4zILJgUQ/edit?usp=share_link"",""ปทุมธานี!J110"")+IMPORTRANGE(""https://docs.googl"&amp;"e.com/spreadsheets/d/1W5Jj_S0gYw6wSO7QcMI02YgyOBDKYgmm0NSUk-AQEac/edit?usp=share_link"",""ประจวบคีรีขันธ์!J110"")+IMPORTRANGE(""https://docs.google.com/spreadsheets/d/1nYxRXgnCfTXtqUY1otYuTlnrzE0Tn-Y0YRsW5pkRVqo/edit?usp=share_link"",""ปราจีนบุรี!J110"")+"&amp;"IMPORTRANGE(""https://docs.google.com/spreadsheets/d/1nNHCLO8ZAXOMfQvxux7cf_hrzPAh8FAvaHq_ClKbZNo/edit?usp=share_link"",""พระนครศรีอยุธยา!J110"")+IMPORTRANGE(""https://docs.google.com/spreadsheets/d/1CdNicvf3i6yt4tJlCePe3V1Va76wYqW0QzMzTsaGRrA/edit?usp=sh"&amp;"are_link"",""เพชรบุรี!J110"")+IMPORTRANGE(""https://docs.google.com/spreadsheets/d/1XiF77UIVHV0Kjc6xbXuOuJ10WgJYxd4p_22ngKVV5oM/edit?usp=share_link"",""ระยอง!J110"")+IMPORTRANGE(""https://docs.google.com/spreadsheets/d/1qU-W_9MCQD1pgIVXGEOjCFo9QqlmJywueby"&amp;"GgaN92r8/edit?usp=share_link"",""ราชบุรี!J110"")+IMPORTRANGE(""https://docs.google.com/spreadsheets/d/1xYFIxIM_CspAP5Q-5Zx_V0T_Ut3cjryrjd2hss28vGk/edit?usp=share_link"",""ลพบุรี!J110"")+IMPORTRANGE(""https://docs.google.com/spreadsheets/d/11s9m3tKsCBdPWq6"&amp;"syhZm27eBGbKneDLZc75co106bio/edit?usp=share_link"",""สระแก้ว!J110"")+IMPORTRANGE(""https://docs.google.com/spreadsheets/d/1Nn1EvsFPtXldgpgVb3Rcng2K2cls68LFQsBh2FyW0Bg/edit?usp=share_link"",""สระบุรี!J110"")+IMPORTRANGE(""https://docs.google.com/spreadshee"&amp;"ts/d/149xufxukrnEciK3WPbNpHwUK8BKEJxp3UcBG3Al6dA4/edit?usp=share_link"",""สิงห์บุรี!J110"")+IMPORTRANGE(""https://docs.google.com/spreadsheets/d/132g-zJpz2uMKimp17uOIx8A7o3w1Z25zwJyXnwsB56c/edit?usp=share_link"",""สุพรรณบุรี!J110"")+IMPORTRANGE(""https://"&amp;"docs.google.com/spreadsheets/d/12Q_U0nVnFdxDFwa0pej9xvx8ZvLC9Dpi_vRro_aiG5g/edit?usp=share_link"",""อ่างทอง!J110"")
"),2)</f>
        <v>2</v>
      </c>
      <c r="K110" s="38">
        <f t="shared" ca="1" si="75"/>
        <v>9.5238095238095237</v>
      </c>
      <c r="L110" s="38"/>
      <c r="M110" s="38"/>
      <c r="N110" s="38"/>
      <c r="O110" s="163"/>
      <c r="P110" s="163"/>
    </row>
    <row r="111" spans="1:16" ht="20.25" customHeight="1">
      <c r="A111" s="170"/>
      <c r="B111" s="171"/>
      <c r="C111" s="171"/>
      <c r="D111" s="186" t="s">
        <v>59</v>
      </c>
      <c r="E111" s="191"/>
      <c r="F111" s="178"/>
      <c r="G111" s="179"/>
      <c r="H111" s="192" t="s">
        <v>35</v>
      </c>
      <c r="I111" s="193">
        <f ca="1">IFERROR(__xludf.DUMMYFUNCTION("IMPORTRANGE(""https://docs.google.com/spreadsheets/d/1hKO5uv94SSRZWOvrh72HRcpyoEQF9TsE_Cvxl77XNU4/edit?usp=share_link"",""กาญจนบุรี!I111"")+IMPORTRANGE(""https://docs.google.com/spreadsheets/d/1njBaP_xXd-Uotvo2D9zb01TTCFkLJLDK97Tk1l9Qux0/edit?usp=share_li"&amp;"nk"",""จันทบุรี!I111"")+IMPORTRANGE(""https://docs.google.com/spreadsheets/d/14xp6qUzrGFnUk_qnc1eEmfiaNRd4_grkhpfQH_46fa8/edit?usp=share_link"",""ฉะเชิงเทรา!I111"")+IMPORTRANGE(""https://docs.google.com/spreadsheets/d/1_Zwps30dlVa-pZFsorjVf1Pil6WXwzCsJU0U"&amp;"2whO3NI/edit?usp=share_link"",""ชลบุรี!I111"")+IMPORTRANGE(""https://docs.google.com/spreadsheets/d/1xAsT4sUbBlom7l0acStESh_15nvjZcXjZM7fK5uZSq8/edit?usp=share_link"",""ชัยนาท!I111"")+IMPORTRANGE(""https://docs.google.com/spreadsheets/d/1vWPVBOAaZ6mHSI8yf"&amp;"95DNqHwTJ1cpeFsvqt6cxV34QA/edit?usp=share_link"",""ตราด!I111"")+IMPORTRANGE(""https://docs.google.com/spreadsheets/d/1phaeSb9lTGgzDpbvVqI9hfmOQQzUom07-HEvpbARzEg/edit?usp=share_link"",""นครนายก!I111"")+IMPORTRANGE(""https://docs.google.com/spreadsheets/d/"&amp;"1tpwhWwkqkBeiSWCcfB5f2fbwPRbM9hHOEDSDHpl2MIc/edit?usp=share_link"",""นครปฐม!I111"")+IMPORTRANGE(""https://docs.google.com/spreadsheets/d/1fJJCVBkBnhriyv0Cp5ZFMr0I_yrfdEITNpb4zILJgUQ/edit?usp=share_link"",""ปทุมธานี!I111"")+IMPORTRANGE(""https://docs.googl"&amp;"e.com/spreadsheets/d/1W5Jj_S0gYw6wSO7QcMI02YgyOBDKYgmm0NSUk-AQEac/edit?usp=share_link"",""ประจวบคีรีขันธ์!I111"")+IMPORTRANGE(""https://docs.google.com/spreadsheets/d/1nYxRXgnCfTXtqUY1otYuTlnrzE0Tn-Y0YRsW5pkRVqo/edit?usp=share_link"",""ปราจีนบุรี!I111"")+"&amp;"IMPORTRANGE(""https://docs.google.com/spreadsheets/d/1nNHCLO8ZAXOMfQvxux7cf_hrzPAh8FAvaHq_ClKbZNo/edit?usp=share_link"",""พระนครศรีอยุธยา!I111"")+IMPORTRANGE(""https://docs.google.com/spreadsheets/d/1CdNicvf3i6yt4tJlCePe3V1Va76wYqW0QzMzTsaGRrA/edit?usp=sh"&amp;"are_link"",""เพชรบุรี!I111"")+IMPORTRANGE(""https://docs.google.com/spreadsheets/d/1XiF77UIVHV0Kjc6xbXuOuJ10WgJYxd4p_22ngKVV5oM/edit?usp=share_link"",""ระยอง!I111"")+IMPORTRANGE(""https://docs.google.com/spreadsheets/d/1qU-W_9MCQD1pgIVXGEOjCFo9QqlmJywueby"&amp;"GgaN92r8/edit?usp=share_link"",""ราชบุรี!I111"")+IMPORTRANGE(""https://docs.google.com/spreadsheets/d/1xYFIxIM_CspAP5Q-5Zx_V0T_Ut3cjryrjd2hss28vGk/edit?usp=share_link"",""ลพบุรี!I111"")+IMPORTRANGE(""https://docs.google.com/spreadsheets/d/11s9m3tKsCBdPWq6"&amp;"syhZm27eBGbKneDLZc75co106bio/edit?usp=share_link"",""สระแก้ว!I111"")+IMPORTRANGE(""https://docs.google.com/spreadsheets/d/1Nn1EvsFPtXldgpgVb3Rcng2K2cls68LFQsBh2FyW0Bg/edit?usp=share_link"",""สระบุรี!I111"")+IMPORTRANGE(""https://docs.google.com/spreadshee"&amp;"ts/d/149xufxukrnEciK3WPbNpHwUK8BKEJxp3UcBG3Al6dA4/edit?usp=share_link"",""สิงห์บุรี!I111"")+IMPORTRANGE(""https://docs.google.com/spreadsheets/d/132g-zJpz2uMKimp17uOIx8A7o3w1Z25zwJyXnwsB56c/edit?usp=share_link"",""สุพรรณบุรี!I111"")+IMPORTRANGE(""https://"&amp;"docs.google.com/spreadsheets/d/12Q_U0nVnFdxDFwa0pej9xvx8ZvLC9Dpi_vRro_aiG5g/edit?usp=share_link"",""อ่างทอง!I111"")
"),215)</f>
        <v>215</v>
      </c>
      <c r="J111" s="194">
        <f ca="1">J114</f>
        <v>0</v>
      </c>
      <c r="K111" s="195">
        <f t="shared" ca="1" si="75"/>
        <v>0</v>
      </c>
      <c r="L111" s="38"/>
      <c r="M111" s="38"/>
      <c r="N111" s="38"/>
      <c r="O111" s="163"/>
      <c r="P111" s="163"/>
    </row>
    <row r="112" spans="1:16" ht="20.25" customHeight="1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76">I115+I116</f>
        <v>38</v>
      </c>
      <c r="J112" s="194">
        <f t="shared" ca="1" si="76"/>
        <v>0</v>
      </c>
      <c r="K112" s="195">
        <f t="shared" ca="1" si="75"/>
        <v>0</v>
      </c>
      <c r="L112" s="38"/>
      <c r="M112" s="38"/>
      <c r="N112" s="38"/>
      <c r="O112" s="163"/>
      <c r="P112" s="163"/>
    </row>
    <row r="113" spans="1:26" ht="20.25" customHeight="1">
      <c r="A113" s="170"/>
      <c r="B113" s="171"/>
      <c r="C113" s="171"/>
      <c r="D113" s="171"/>
      <c r="E113" s="197" t="s">
        <v>60</v>
      </c>
      <c r="F113" s="178"/>
      <c r="G113" s="179"/>
      <c r="H113" s="198" t="s">
        <v>35</v>
      </c>
      <c r="I113" s="162">
        <f ca="1">IFERROR(__xludf.DUMMYFUNCTION("IMPORTRANGE(""https://docs.google.com/spreadsheets/d/1hKO5uv94SSRZWOvrh72HRcpyoEQF9TsE_Cvxl77XNU4/edit?usp=share_link"",""กาญจนบุรี!I113"")+IMPORTRANGE(""https://docs.google.com/spreadsheets/d/1njBaP_xXd-Uotvo2D9zb01TTCFkLJLDK97Tk1l9Qux0/edit?usp=share_li"&amp;"nk"",""จันทบุรี!I113"")+IMPORTRANGE(""https://docs.google.com/spreadsheets/d/14xp6qUzrGFnUk_qnc1eEmfiaNRd4_grkhpfQH_46fa8/edit?usp=share_link"",""ฉะเชิงเทรา!I113"")+IMPORTRANGE(""https://docs.google.com/spreadsheets/d/1_Zwps30dlVa-pZFsorjVf1Pil6WXwzCsJU0U"&amp;"2whO3NI/edit?usp=share_link"",""ชลบุรี!I113"")+IMPORTRANGE(""https://docs.google.com/spreadsheets/d/1xAsT4sUbBlom7l0acStESh_15nvjZcXjZM7fK5uZSq8/edit?usp=share_link"",""ชัยนาท!I113"")+IMPORTRANGE(""https://docs.google.com/spreadsheets/d/1vWPVBOAaZ6mHSI8yf"&amp;"95DNqHwTJ1cpeFsvqt6cxV34QA/edit?usp=share_link"",""ตราด!I113"")+IMPORTRANGE(""https://docs.google.com/spreadsheets/d/1phaeSb9lTGgzDpbvVqI9hfmOQQzUom07-HEvpbARzEg/edit?usp=share_link"",""นครนายก!I113"")+IMPORTRANGE(""https://docs.google.com/spreadsheets/d/"&amp;"1tpwhWwkqkBeiSWCcfB5f2fbwPRbM9hHOEDSDHpl2MIc/edit?usp=share_link"",""นครปฐม!I113"")+IMPORTRANGE(""https://docs.google.com/spreadsheets/d/1fJJCVBkBnhriyv0Cp5ZFMr0I_yrfdEITNpb4zILJgUQ/edit?usp=share_link"",""ปทุมธานี!I113"")+IMPORTRANGE(""https://docs.googl"&amp;"e.com/spreadsheets/d/1W5Jj_S0gYw6wSO7QcMI02YgyOBDKYgmm0NSUk-AQEac/edit?usp=share_link"",""ประจวบคีรีขันธ์!I113"")+IMPORTRANGE(""https://docs.google.com/spreadsheets/d/1nYxRXgnCfTXtqUY1otYuTlnrzE0Tn-Y0YRsW5pkRVqo/edit?usp=share_link"",""ปราจีนบุรี!I113"")+"&amp;"IMPORTRANGE(""https://docs.google.com/spreadsheets/d/1nNHCLO8ZAXOMfQvxux7cf_hrzPAh8FAvaHq_ClKbZNo/edit?usp=share_link"",""พระนครศรีอยุธยา!I113"")+IMPORTRANGE(""https://docs.google.com/spreadsheets/d/1CdNicvf3i6yt4tJlCePe3V1Va76wYqW0QzMzTsaGRrA/edit?usp=sh"&amp;"are_link"",""เพชรบุรี!I113"")+IMPORTRANGE(""https://docs.google.com/spreadsheets/d/1XiF77UIVHV0Kjc6xbXuOuJ10WgJYxd4p_22ngKVV5oM/edit?usp=share_link"",""ระยอง!I113"")+IMPORTRANGE(""https://docs.google.com/spreadsheets/d/1qU-W_9MCQD1pgIVXGEOjCFo9QqlmJywueby"&amp;"GgaN92r8/edit?usp=share_link"",""ราชบุรี!I113"")+IMPORTRANGE(""https://docs.google.com/spreadsheets/d/1xYFIxIM_CspAP5Q-5Zx_V0T_Ut3cjryrjd2hss28vGk/edit?usp=share_link"",""ลพบุรี!I113"")+IMPORTRANGE(""https://docs.google.com/spreadsheets/d/11s9m3tKsCBdPWq6"&amp;"syhZm27eBGbKneDLZc75co106bio/edit?usp=share_link"",""สระแก้ว!I113"")+IMPORTRANGE(""https://docs.google.com/spreadsheets/d/1Nn1EvsFPtXldgpgVb3Rcng2K2cls68LFQsBh2FyW0Bg/edit?usp=share_link"",""สระบุรี!I113"")+IMPORTRANGE(""https://docs.google.com/spreadshee"&amp;"ts/d/149xufxukrnEciK3WPbNpHwUK8BKEJxp3UcBG3Al6dA4/edit?usp=share_link"",""สิงห์บุรี!I113"")+IMPORTRANGE(""https://docs.google.com/spreadsheets/d/132g-zJpz2uMKimp17uOIx8A7o3w1Z25zwJyXnwsB56c/edit?usp=share_link"",""สุพรรณบุรี!I113"")+IMPORTRANGE(""https://"&amp;"docs.google.com/spreadsheets/d/12Q_U0nVnFdxDFwa0pej9xvx8ZvLC9Dpi_vRro_aiG5g/edit?usp=share_link"",""อ่างทอง!I113"")
"),215)</f>
        <v>215</v>
      </c>
      <c r="J113" s="183">
        <f ca="1">IFERROR(__xludf.DUMMYFUNCTION("IMPORTRANGE(""https://docs.google.com/spreadsheets/d/1hKO5uv94SSRZWOvrh72HRcpyoEQF9TsE_Cvxl77XNU4/edit?usp=share_link"",""กาญจนบุรี!J113"")+IMPORTRANGE(""https://docs.google.com/spreadsheets/d/1njBaP_xXd-Uotvo2D9zb01TTCFkLJLDK97Tk1l9Qux0/edit?usp=share_li"&amp;"nk"",""จันทบุรี!J113"")+IMPORTRANGE(""https://docs.google.com/spreadsheets/d/14xp6qUzrGFnUk_qnc1eEmfiaNRd4_grkhpfQH_46fa8/edit?usp=share_link"",""ฉะเชิงเทรา!J113"")+IMPORTRANGE(""https://docs.google.com/spreadsheets/d/1_Zwps30dlVa-pZFsorjVf1Pil6WXwzCsJU0U"&amp;"2whO3NI/edit?usp=share_link"",""ชลบุรี!J113"")+IMPORTRANGE(""https://docs.google.com/spreadsheets/d/1xAsT4sUbBlom7l0acStESh_15nvjZcXjZM7fK5uZSq8/edit?usp=share_link"",""ชัยนาท!J113"")+IMPORTRANGE(""https://docs.google.com/spreadsheets/d/1vWPVBOAaZ6mHSI8yf"&amp;"95DNqHwTJ1cpeFsvqt6cxV34QA/edit?usp=share_link"",""ตราด!J113"")+IMPORTRANGE(""https://docs.google.com/spreadsheets/d/1phaeSb9lTGgzDpbvVqI9hfmOQQzUom07-HEvpbARzEg/edit?usp=share_link"",""นครนายก!J113"")+IMPORTRANGE(""https://docs.google.com/spreadsheets/d/"&amp;"1tpwhWwkqkBeiSWCcfB5f2fbwPRbM9hHOEDSDHpl2MIc/edit?usp=share_link"",""นครปฐม!J113"")+IMPORTRANGE(""https://docs.google.com/spreadsheets/d/1fJJCVBkBnhriyv0Cp5ZFMr0I_yrfdEITNpb4zILJgUQ/edit?usp=share_link"",""ปทุมธานี!J113"")+IMPORTRANGE(""https://docs.googl"&amp;"e.com/spreadsheets/d/1W5Jj_S0gYw6wSO7QcMI02YgyOBDKYgmm0NSUk-AQEac/edit?usp=share_link"",""ประจวบคีรีขันธ์!J113"")+IMPORTRANGE(""https://docs.google.com/spreadsheets/d/1nYxRXgnCfTXtqUY1otYuTlnrzE0Tn-Y0YRsW5pkRVqo/edit?usp=share_link"",""ปราจีนบุรี!J113"")+"&amp;"IMPORTRANGE(""https://docs.google.com/spreadsheets/d/1nNHCLO8ZAXOMfQvxux7cf_hrzPAh8FAvaHq_ClKbZNo/edit?usp=share_link"",""พระนครศรีอยุธยา!J113"")+IMPORTRANGE(""https://docs.google.com/spreadsheets/d/1CdNicvf3i6yt4tJlCePe3V1Va76wYqW0QzMzTsaGRrA/edit?usp=sh"&amp;"are_link"",""เพชรบุรี!J113"")+IMPORTRANGE(""https://docs.google.com/spreadsheets/d/1XiF77UIVHV0Kjc6xbXuOuJ10WgJYxd4p_22ngKVV5oM/edit?usp=share_link"",""ระยอง!J113"")+IMPORTRANGE(""https://docs.google.com/spreadsheets/d/1qU-W_9MCQD1pgIVXGEOjCFo9QqlmJywueby"&amp;"GgaN92r8/edit?usp=share_link"",""ราชบุรี!J113"")+IMPORTRANGE(""https://docs.google.com/spreadsheets/d/1xYFIxIM_CspAP5Q-5Zx_V0T_Ut3cjryrjd2hss28vGk/edit?usp=share_link"",""ลพบุรี!J113"")+IMPORTRANGE(""https://docs.google.com/spreadsheets/d/11s9m3tKsCBdPWq6"&amp;"syhZm27eBGbKneDLZc75co106bio/edit?usp=share_link"",""สระแก้ว!J113"")+IMPORTRANGE(""https://docs.google.com/spreadsheets/d/1Nn1EvsFPtXldgpgVb3Rcng2K2cls68LFQsBh2FyW0Bg/edit?usp=share_link"",""สระบุรี!J113"")+IMPORTRANGE(""https://docs.google.com/spreadshee"&amp;"ts/d/149xufxukrnEciK3WPbNpHwUK8BKEJxp3UcBG3Al6dA4/edit?usp=share_link"",""สิงห์บุรี!J113"")+IMPORTRANGE(""https://docs.google.com/spreadsheets/d/132g-zJpz2uMKimp17uOIx8A7o3w1Z25zwJyXnwsB56c/edit?usp=share_link"",""สุพรรณบุรี!J113"")+IMPORTRANGE(""https://"&amp;"docs.google.com/spreadsheets/d/12Q_U0nVnFdxDFwa0pej9xvx8ZvLC9Dpi_vRro_aiG5g/edit?usp=share_link"",""อ่างทอง!J113"")
"),0)</f>
        <v>0</v>
      </c>
      <c r="K113" s="38">
        <f t="shared" ca="1" si="75"/>
        <v>0</v>
      </c>
      <c r="L113" s="38"/>
      <c r="M113" s="38"/>
      <c r="N113" s="38"/>
      <c r="O113" s="163"/>
      <c r="P113" s="163"/>
    </row>
    <row r="114" spans="1:26" ht="20.25" customHeight="1">
      <c r="A114" s="170"/>
      <c r="B114" s="171"/>
      <c r="C114" s="171"/>
      <c r="D114" s="171"/>
      <c r="E114" s="181" t="s">
        <v>61</v>
      </c>
      <c r="F114" s="178"/>
      <c r="G114" s="179"/>
      <c r="H114" s="199" t="s">
        <v>35</v>
      </c>
      <c r="I114" s="162">
        <f ca="1">IFERROR(__xludf.DUMMYFUNCTION("IMPORTRANGE(""https://docs.google.com/spreadsheets/d/1hKO5uv94SSRZWOvrh72HRcpyoEQF9TsE_Cvxl77XNU4/edit?usp=share_link"",""กาญจนบุรี!I114"")+IMPORTRANGE(""https://docs.google.com/spreadsheets/d/1njBaP_xXd-Uotvo2D9zb01TTCFkLJLDK97Tk1l9Qux0/edit?usp=share_li"&amp;"nk"",""จันทบุรี!I114"")+IMPORTRANGE(""https://docs.google.com/spreadsheets/d/14xp6qUzrGFnUk_qnc1eEmfiaNRd4_grkhpfQH_46fa8/edit?usp=share_link"",""ฉะเชิงเทรา!I114"")+IMPORTRANGE(""https://docs.google.com/spreadsheets/d/1_Zwps30dlVa-pZFsorjVf1Pil6WXwzCsJU0U"&amp;"2whO3NI/edit?usp=share_link"",""ชลบุรี!I114"")+IMPORTRANGE(""https://docs.google.com/spreadsheets/d/1xAsT4sUbBlom7l0acStESh_15nvjZcXjZM7fK5uZSq8/edit?usp=share_link"",""ชัยนาท!I114"")+IMPORTRANGE(""https://docs.google.com/spreadsheets/d/1vWPVBOAaZ6mHSI8yf"&amp;"95DNqHwTJ1cpeFsvqt6cxV34QA/edit?usp=share_link"",""ตราด!I114"")+IMPORTRANGE(""https://docs.google.com/spreadsheets/d/1phaeSb9lTGgzDpbvVqI9hfmOQQzUom07-HEvpbARzEg/edit?usp=share_link"",""นครนายก!I114"")+IMPORTRANGE(""https://docs.google.com/spreadsheets/d/"&amp;"1tpwhWwkqkBeiSWCcfB5f2fbwPRbM9hHOEDSDHpl2MIc/edit?usp=share_link"",""นครปฐม!I114"")+IMPORTRANGE(""https://docs.google.com/spreadsheets/d/1fJJCVBkBnhriyv0Cp5ZFMr0I_yrfdEITNpb4zILJgUQ/edit?usp=share_link"",""ปทุมธานี!I114"")+IMPORTRANGE(""https://docs.googl"&amp;"e.com/spreadsheets/d/1W5Jj_S0gYw6wSO7QcMI02YgyOBDKYgmm0NSUk-AQEac/edit?usp=share_link"",""ประจวบคีรีขันธ์!I114"")+IMPORTRANGE(""https://docs.google.com/spreadsheets/d/1nYxRXgnCfTXtqUY1otYuTlnrzE0Tn-Y0YRsW5pkRVqo/edit?usp=share_link"",""ปราจีนบุรี!I114"")+"&amp;"IMPORTRANGE(""https://docs.google.com/spreadsheets/d/1nNHCLO8ZAXOMfQvxux7cf_hrzPAh8FAvaHq_ClKbZNo/edit?usp=share_link"",""พระนครศรีอยุธยา!I114"")+IMPORTRANGE(""https://docs.google.com/spreadsheets/d/1CdNicvf3i6yt4tJlCePe3V1Va76wYqW0QzMzTsaGRrA/edit?usp=sh"&amp;"are_link"",""เพชรบุรี!I114"")+IMPORTRANGE(""https://docs.google.com/spreadsheets/d/1XiF77UIVHV0Kjc6xbXuOuJ10WgJYxd4p_22ngKVV5oM/edit?usp=share_link"",""ระยอง!I114"")+IMPORTRANGE(""https://docs.google.com/spreadsheets/d/1qU-W_9MCQD1pgIVXGEOjCFo9QqlmJywueby"&amp;"GgaN92r8/edit?usp=share_link"",""ราชบุรี!I114"")+IMPORTRANGE(""https://docs.google.com/spreadsheets/d/1xYFIxIM_CspAP5Q-5Zx_V0T_Ut3cjryrjd2hss28vGk/edit?usp=share_link"",""ลพบุรี!I114"")+IMPORTRANGE(""https://docs.google.com/spreadsheets/d/11s9m3tKsCBdPWq6"&amp;"syhZm27eBGbKneDLZc75co106bio/edit?usp=share_link"",""สระแก้ว!I114"")+IMPORTRANGE(""https://docs.google.com/spreadsheets/d/1Nn1EvsFPtXldgpgVb3Rcng2K2cls68LFQsBh2FyW0Bg/edit?usp=share_link"",""สระบุรี!I114"")+IMPORTRANGE(""https://docs.google.com/spreadshee"&amp;"ts/d/149xufxukrnEciK3WPbNpHwUK8BKEJxp3UcBG3Al6dA4/edit?usp=share_link"",""สิงห์บุรี!I114"")+IMPORTRANGE(""https://docs.google.com/spreadsheets/d/132g-zJpz2uMKimp17uOIx8A7o3w1Z25zwJyXnwsB56c/edit?usp=share_link"",""สุพรรณบุรี!I114"")+IMPORTRANGE(""https://"&amp;"docs.google.com/spreadsheets/d/12Q_U0nVnFdxDFwa0pej9xvx8ZvLC9Dpi_vRro_aiG5g/edit?usp=share_link"",""อ่างทอง!I114"")
"),215)</f>
        <v>215</v>
      </c>
      <c r="J114" s="183">
        <f ca="1">IFERROR(__xludf.DUMMYFUNCTION("IMPORTRANGE(""https://docs.google.com/spreadsheets/d/1hKO5uv94SSRZWOvrh72HRcpyoEQF9TsE_Cvxl77XNU4/edit?usp=share_link"",""กาญจนบุรี!J114"")+IMPORTRANGE(""https://docs.google.com/spreadsheets/d/1njBaP_xXd-Uotvo2D9zb01TTCFkLJLDK97Tk1l9Qux0/edit?usp=share_li"&amp;"nk"",""จันทบุรี!J114"")+IMPORTRANGE(""https://docs.google.com/spreadsheets/d/14xp6qUzrGFnUk_qnc1eEmfiaNRd4_grkhpfQH_46fa8/edit?usp=share_link"",""ฉะเชิงเทรา!J114"")+IMPORTRANGE(""https://docs.google.com/spreadsheets/d/1_Zwps30dlVa-pZFsorjVf1Pil6WXwzCsJU0U"&amp;"2whO3NI/edit?usp=share_link"",""ชลบุรี!J114"")+IMPORTRANGE(""https://docs.google.com/spreadsheets/d/1xAsT4sUbBlom7l0acStESh_15nvjZcXjZM7fK5uZSq8/edit?usp=share_link"",""ชัยนาท!J114"")+IMPORTRANGE(""https://docs.google.com/spreadsheets/d/1vWPVBOAaZ6mHSI8yf"&amp;"95DNqHwTJ1cpeFsvqt6cxV34QA/edit?usp=share_link"",""ตราด!J114"")+IMPORTRANGE(""https://docs.google.com/spreadsheets/d/1phaeSb9lTGgzDpbvVqI9hfmOQQzUom07-HEvpbARzEg/edit?usp=share_link"",""นครนายก!J114"")+IMPORTRANGE(""https://docs.google.com/spreadsheets/d/"&amp;"1tpwhWwkqkBeiSWCcfB5f2fbwPRbM9hHOEDSDHpl2MIc/edit?usp=share_link"",""นครปฐม!J114"")+IMPORTRANGE(""https://docs.google.com/spreadsheets/d/1fJJCVBkBnhriyv0Cp5ZFMr0I_yrfdEITNpb4zILJgUQ/edit?usp=share_link"",""ปทุมธานี!J114"")+IMPORTRANGE(""https://docs.googl"&amp;"e.com/spreadsheets/d/1W5Jj_S0gYw6wSO7QcMI02YgyOBDKYgmm0NSUk-AQEac/edit?usp=share_link"",""ประจวบคีรีขันธ์!J114"")+IMPORTRANGE(""https://docs.google.com/spreadsheets/d/1nYxRXgnCfTXtqUY1otYuTlnrzE0Tn-Y0YRsW5pkRVqo/edit?usp=share_link"",""ปราจีนบุรี!J114"")+"&amp;"IMPORTRANGE(""https://docs.google.com/spreadsheets/d/1nNHCLO8ZAXOMfQvxux7cf_hrzPAh8FAvaHq_ClKbZNo/edit?usp=share_link"",""พระนครศรีอยุธยา!J114"")+IMPORTRANGE(""https://docs.google.com/spreadsheets/d/1CdNicvf3i6yt4tJlCePe3V1Va76wYqW0QzMzTsaGRrA/edit?usp=sh"&amp;"are_link"",""เพชรบุรี!J114"")+IMPORTRANGE(""https://docs.google.com/spreadsheets/d/1XiF77UIVHV0Kjc6xbXuOuJ10WgJYxd4p_22ngKVV5oM/edit?usp=share_link"",""ระยอง!J114"")+IMPORTRANGE(""https://docs.google.com/spreadsheets/d/1qU-W_9MCQD1pgIVXGEOjCFo9QqlmJywueby"&amp;"GgaN92r8/edit?usp=share_link"",""ราชบุรี!J114"")+IMPORTRANGE(""https://docs.google.com/spreadsheets/d/1xYFIxIM_CspAP5Q-5Zx_V0T_Ut3cjryrjd2hss28vGk/edit?usp=share_link"",""ลพบุรี!J114"")+IMPORTRANGE(""https://docs.google.com/spreadsheets/d/11s9m3tKsCBdPWq6"&amp;"syhZm27eBGbKneDLZc75co106bio/edit?usp=share_link"",""สระแก้ว!J114"")+IMPORTRANGE(""https://docs.google.com/spreadsheets/d/1Nn1EvsFPtXldgpgVb3Rcng2K2cls68LFQsBh2FyW0Bg/edit?usp=share_link"",""สระบุรี!J114"")+IMPORTRANGE(""https://docs.google.com/spreadshee"&amp;"ts/d/149xufxukrnEciK3WPbNpHwUK8BKEJxp3UcBG3Al6dA4/edit?usp=share_link"",""สิงห์บุรี!J114"")+IMPORTRANGE(""https://docs.google.com/spreadsheets/d/132g-zJpz2uMKimp17uOIx8A7o3w1Z25zwJyXnwsB56c/edit?usp=share_link"",""สุพรรณบุรี!J114"")+IMPORTRANGE(""https://"&amp;"docs.google.com/spreadsheets/d/12Q_U0nVnFdxDFwa0pej9xvx8ZvLC9Dpi_vRro_aiG5g/edit?usp=share_link"",""อ่างทอง!J114"")
"),0)</f>
        <v>0</v>
      </c>
      <c r="K114" s="38">
        <f t="shared" ca="1" si="75"/>
        <v>0</v>
      </c>
      <c r="L114" s="38"/>
      <c r="M114" s="38"/>
      <c r="N114" s="38"/>
      <c r="O114" s="163"/>
      <c r="P114" s="163"/>
    </row>
    <row r="115" spans="1:26" ht="20.25" customHeight="1">
      <c r="A115" s="170"/>
      <c r="B115" s="171"/>
      <c r="C115" s="171"/>
      <c r="D115" s="171"/>
      <c r="E115" s="181" t="s">
        <v>62</v>
      </c>
      <c r="F115" s="178"/>
      <c r="G115" s="179"/>
      <c r="H115" s="199" t="s">
        <v>49</v>
      </c>
      <c r="I115" s="162">
        <f ca="1">IFERROR(__xludf.DUMMYFUNCTION("IMPORTRANGE(""https://docs.google.com/spreadsheets/d/1hKO5uv94SSRZWOvrh72HRcpyoEQF9TsE_Cvxl77XNU4/edit?usp=share_link"",""กาญจนบุรี!I115"")+IMPORTRANGE(""https://docs.google.com/spreadsheets/d/1njBaP_xXd-Uotvo2D9zb01TTCFkLJLDK97Tk1l9Qux0/edit?usp=share_li"&amp;"nk"",""จันทบุรี!I115"")+IMPORTRANGE(""https://docs.google.com/spreadsheets/d/14xp6qUzrGFnUk_qnc1eEmfiaNRd4_grkhpfQH_46fa8/edit?usp=share_link"",""ฉะเชิงเทรา!I115"")+IMPORTRANGE(""https://docs.google.com/spreadsheets/d/1_Zwps30dlVa-pZFsorjVf1Pil6WXwzCsJU0U"&amp;"2whO3NI/edit?usp=share_link"",""ชลบุรี!I115"")+IMPORTRANGE(""https://docs.google.com/spreadsheets/d/1xAsT4sUbBlom7l0acStESh_15nvjZcXjZM7fK5uZSq8/edit?usp=share_link"",""ชัยนาท!I115"")+IMPORTRANGE(""https://docs.google.com/spreadsheets/d/1vWPVBOAaZ6mHSI8yf"&amp;"95DNqHwTJ1cpeFsvqt6cxV34QA/edit?usp=share_link"",""ตราด!I115"")+IMPORTRANGE(""https://docs.google.com/spreadsheets/d/1phaeSb9lTGgzDpbvVqI9hfmOQQzUom07-HEvpbARzEg/edit?usp=share_link"",""นครนายก!I115"")+IMPORTRANGE(""https://docs.google.com/spreadsheets/d/"&amp;"1tpwhWwkqkBeiSWCcfB5f2fbwPRbM9hHOEDSDHpl2MIc/edit?usp=share_link"",""นครปฐม!I115"")+IMPORTRANGE(""https://docs.google.com/spreadsheets/d/1fJJCVBkBnhriyv0Cp5ZFMr0I_yrfdEITNpb4zILJgUQ/edit?usp=share_link"",""ปทุมธานี!I115"")+IMPORTRANGE(""https://docs.googl"&amp;"e.com/spreadsheets/d/1W5Jj_S0gYw6wSO7QcMI02YgyOBDKYgmm0NSUk-AQEac/edit?usp=share_link"",""ประจวบคีรีขันธ์!I115"")+IMPORTRANGE(""https://docs.google.com/spreadsheets/d/1nYxRXgnCfTXtqUY1otYuTlnrzE0Tn-Y0YRsW5pkRVqo/edit?usp=share_link"",""ปราจีนบุรี!I115"")+"&amp;"IMPORTRANGE(""https://docs.google.com/spreadsheets/d/1nNHCLO8ZAXOMfQvxux7cf_hrzPAh8FAvaHq_ClKbZNo/edit?usp=share_link"",""พระนครศรีอยุธยา!I115"")+IMPORTRANGE(""https://docs.google.com/spreadsheets/d/1CdNicvf3i6yt4tJlCePe3V1Va76wYqW0QzMzTsaGRrA/edit?usp=sh"&amp;"are_link"",""เพชรบุรี!I115"")+IMPORTRANGE(""https://docs.google.com/spreadsheets/d/1XiF77UIVHV0Kjc6xbXuOuJ10WgJYxd4p_22ngKVV5oM/edit?usp=share_link"",""ระยอง!I115"")+IMPORTRANGE(""https://docs.google.com/spreadsheets/d/1qU-W_9MCQD1pgIVXGEOjCFo9QqlmJywueby"&amp;"GgaN92r8/edit?usp=share_link"",""ราชบุรี!I115"")+IMPORTRANGE(""https://docs.google.com/spreadsheets/d/1xYFIxIM_CspAP5Q-5Zx_V0T_Ut3cjryrjd2hss28vGk/edit?usp=share_link"",""ลพบุรี!I115"")+IMPORTRANGE(""https://docs.google.com/spreadsheets/d/11s9m3tKsCBdPWq6"&amp;"syhZm27eBGbKneDLZc75co106bio/edit?usp=share_link"",""สระแก้ว!I115"")+IMPORTRANGE(""https://docs.google.com/spreadsheets/d/1Nn1EvsFPtXldgpgVb3Rcng2K2cls68LFQsBh2FyW0Bg/edit?usp=share_link"",""สระบุรี!I115"")+IMPORTRANGE(""https://docs.google.com/spreadshee"&amp;"ts/d/149xufxukrnEciK3WPbNpHwUK8BKEJxp3UcBG3Al6dA4/edit?usp=share_link"",""สิงห์บุรี!I115"")+IMPORTRANGE(""https://docs.google.com/spreadsheets/d/132g-zJpz2uMKimp17uOIx8A7o3w1Z25zwJyXnwsB56c/edit?usp=share_link"",""สุพรรณบุรี!I115"")+IMPORTRANGE(""https://"&amp;"docs.google.com/spreadsheets/d/12Q_U0nVnFdxDFwa0pej9xvx8ZvLC9Dpi_vRro_aiG5g/edit?usp=share_link"",""อ่างทอง!I115"")
"),17)</f>
        <v>17</v>
      </c>
      <c r="J115" s="183">
        <f ca="1">IFERROR(__xludf.DUMMYFUNCTION("IMPORTRANGE(""https://docs.google.com/spreadsheets/d/1hKO5uv94SSRZWOvrh72HRcpyoEQF9TsE_Cvxl77XNU4/edit?usp=share_link"",""กาญจนบุรี!J115"")+IMPORTRANGE(""https://docs.google.com/spreadsheets/d/1njBaP_xXd-Uotvo2D9zb01TTCFkLJLDK97Tk1l9Qux0/edit?usp=share_li"&amp;"nk"",""จันทบุรี!J115"")+IMPORTRANGE(""https://docs.google.com/spreadsheets/d/14xp6qUzrGFnUk_qnc1eEmfiaNRd4_grkhpfQH_46fa8/edit?usp=share_link"",""ฉะเชิงเทรา!J115"")+IMPORTRANGE(""https://docs.google.com/spreadsheets/d/1_Zwps30dlVa-pZFsorjVf1Pil6WXwzCsJU0U"&amp;"2whO3NI/edit?usp=share_link"",""ชลบุรี!J115"")+IMPORTRANGE(""https://docs.google.com/spreadsheets/d/1xAsT4sUbBlom7l0acStESh_15nvjZcXjZM7fK5uZSq8/edit?usp=share_link"",""ชัยนาท!J115"")+IMPORTRANGE(""https://docs.google.com/spreadsheets/d/1vWPVBOAaZ6mHSI8yf"&amp;"95DNqHwTJ1cpeFsvqt6cxV34QA/edit?usp=share_link"",""ตราด!J115"")+IMPORTRANGE(""https://docs.google.com/spreadsheets/d/1phaeSb9lTGgzDpbvVqI9hfmOQQzUom07-HEvpbARzEg/edit?usp=share_link"",""นครนายก!J115"")+IMPORTRANGE(""https://docs.google.com/spreadsheets/d/"&amp;"1tpwhWwkqkBeiSWCcfB5f2fbwPRbM9hHOEDSDHpl2MIc/edit?usp=share_link"",""นครปฐม!J115"")+IMPORTRANGE(""https://docs.google.com/spreadsheets/d/1fJJCVBkBnhriyv0Cp5ZFMr0I_yrfdEITNpb4zILJgUQ/edit?usp=share_link"",""ปทุมธานี!J115"")+IMPORTRANGE(""https://docs.googl"&amp;"e.com/spreadsheets/d/1W5Jj_S0gYw6wSO7QcMI02YgyOBDKYgmm0NSUk-AQEac/edit?usp=share_link"",""ประจวบคีรีขันธ์!J115"")+IMPORTRANGE(""https://docs.google.com/spreadsheets/d/1nYxRXgnCfTXtqUY1otYuTlnrzE0Tn-Y0YRsW5pkRVqo/edit?usp=share_link"",""ปราจีนบุรี!J115"")+"&amp;"IMPORTRANGE(""https://docs.google.com/spreadsheets/d/1nNHCLO8ZAXOMfQvxux7cf_hrzPAh8FAvaHq_ClKbZNo/edit?usp=share_link"",""พระนครศรีอยุธยา!J115"")+IMPORTRANGE(""https://docs.google.com/spreadsheets/d/1CdNicvf3i6yt4tJlCePe3V1Va76wYqW0QzMzTsaGRrA/edit?usp=sh"&amp;"are_link"",""เพชรบุรี!J115"")+IMPORTRANGE(""https://docs.google.com/spreadsheets/d/1XiF77UIVHV0Kjc6xbXuOuJ10WgJYxd4p_22ngKVV5oM/edit?usp=share_link"",""ระยอง!J115"")+IMPORTRANGE(""https://docs.google.com/spreadsheets/d/1qU-W_9MCQD1pgIVXGEOjCFo9QqlmJywueby"&amp;"GgaN92r8/edit?usp=share_link"",""ราชบุรี!J115"")+IMPORTRANGE(""https://docs.google.com/spreadsheets/d/1xYFIxIM_CspAP5Q-5Zx_V0T_Ut3cjryrjd2hss28vGk/edit?usp=share_link"",""ลพบุรี!J115"")+IMPORTRANGE(""https://docs.google.com/spreadsheets/d/11s9m3tKsCBdPWq6"&amp;"syhZm27eBGbKneDLZc75co106bio/edit?usp=share_link"",""สระแก้ว!J115"")+IMPORTRANGE(""https://docs.google.com/spreadsheets/d/1Nn1EvsFPtXldgpgVb3Rcng2K2cls68LFQsBh2FyW0Bg/edit?usp=share_link"",""สระบุรี!J115"")+IMPORTRANGE(""https://docs.google.com/spreadshee"&amp;"ts/d/149xufxukrnEciK3WPbNpHwUK8BKEJxp3UcBG3Al6dA4/edit?usp=share_link"",""สิงห์บุรี!J115"")+IMPORTRANGE(""https://docs.google.com/spreadsheets/d/132g-zJpz2uMKimp17uOIx8A7o3w1Z25zwJyXnwsB56c/edit?usp=share_link"",""สุพรรณบุรี!J115"")+IMPORTRANGE(""https://"&amp;"docs.google.com/spreadsheets/d/12Q_U0nVnFdxDFwa0pej9xvx8ZvLC9Dpi_vRro_aiG5g/edit?usp=share_link"",""อ่างทอง!J115"")
"),0)</f>
        <v>0</v>
      </c>
      <c r="K115" s="38">
        <f t="shared" ca="1" si="75"/>
        <v>0</v>
      </c>
      <c r="L115" s="38"/>
      <c r="M115" s="38"/>
      <c r="N115" s="38"/>
      <c r="O115" s="163"/>
      <c r="P115" s="163"/>
    </row>
    <row r="116" spans="1:26" ht="20.25" customHeight="1">
      <c r="A116" s="170"/>
      <c r="B116" s="171"/>
      <c r="C116" s="171"/>
      <c r="D116" s="171"/>
      <c r="E116" s="181" t="s">
        <v>63</v>
      </c>
      <c r="F116" s="178"/>
      <c r="G116" s="179"/>
      <c r="H116" s="199" t="s">
        <v>49</v>
      </c>
      <c r="I116" s="162">
        <f ca="1">IFERROR(__xludf.DUMMYFUNCTION("IMPORTRANGE(""https://docs.google.com/spreadsheets/d/1hKO5uv94SSRZWOvrh72HRcpyoEQF9TsE_Cvxl77XNU4/edit?usp=share_link"",""กาญจนบุรี!I116"")+IMPORTRANGE(""https://docs.google.com/spreadsheets/d/1njBaP_xXd-Uotvo2D9zb01TTCFkLJLDK97Tk1l9Qux0/edit?usp=share_li"&amp;"nk"",""จันทบุรี!I116"")+IMPORTRANGE(""https://docs.google.com/spreadsheets/d/14xp6qUzrGFnUk_qnc1eEmfiaNRd4_grkhpfQH_46fa8/edit?usp=share_link"",""ฉะเชิงเทรา!I116"")+IMPORTRANGE(""https://docs.google.com/spreadsheets/d/1_Zwps30dlVa-pZFsorjVf1Pil6WXwzCsJU0U"&amp;"2whO3NI/edit?usp=share_link"",""ชลบุรี!I116"")+IMPORTRANGE(""https://docs.google.com/spreadsheets/d/1xAsT4sUbBlom7l0acStESh_15nvjZcXjZM7fK5uZSq8/edit?usp=share_link"",""ชัยนาท!I116"")+IMPORTRANGE(""https://docs.google.com/spreadsheets/d/1vWPVBOAaZ6mHSI8yf"&amp;"95DNqHwTJ1cpeFsvqt6cxV34QA/edit?usp=share_link"",""ตราด!I116"")+IMPORTRANGE(""https://docs.google.com/spreadsheets/d/1phaeSb9lTGgzDpbvVqI9hfmOQQzUom07-HEvpbARzEg/edit?usp=share_link"",""นครนายก!I116"")+IMPORTRANGE(""https://docs.google.com/spreadsheets/d/"&amp;"1tpwhWwkqkBeiSWCcfB5f2fbwPRbM9hHOEDSDHpl2MIc/edit?usp=share_link"",""นครปฐม!I116"")+IMPORTRANGE(""https://docs.google.com/spreadsheets/d/1fJJCVBkBnhriyv0Cp5ZFMr0I_yrfdEITNpb4zILJgUQ/edit?usp=share_link"",""ปทุมธานี!I116"")+IMPORTRANGE(""https://docs.googl"&amp;"e.com/spreadsheets/d/1W5Jj_S0gYw6wSO7QcMI02YgyOBDKYgmm0NSUk-AQEac/edit?usp=share_link"",""ประจวบคีรีขันธ์!I116"")+IMPORTRANGE(""https://docs.google.com/spreadsheets/d/1nYxRXgnCfTXtqUY1otYuTlnrzE0Tn-Y0YRsW5pkRVqo/edit?usp=share_link"",""ปราจีนบุรี!I116"")+"&amp;"IMPORTRANGE(""https://docs.google.com/spreadsheets/d/1nNHCLO8ZAXOMfQvxux7cf_hrzPAh8FAvaHq_ClKbZNo/edit?usp=share_link"",""พระนครศรีอยุธยา!I116"")+IMPORTRANGE(""https://docs.google.com/spreadsheets/d/1CdNicvf3i6yt4tJlCePe3V1Va76wYqW0QzMzTsaGRrA/edit?usp=sh"&amp;"are_link"",""เพชรบุรี!I116"")+IMPORTRANGE(""https://docs.google.com/spreadsheets/d/1XiF77UIVHV0Kjc6xbXuOuJ10WgJYxd4p_22ngKVV5oM/edit?usp=share_link"",""ระยอง!I116"")+IMPORTRANGE(""https://docs.google.com/spreadsheets/d/1qU-W_9MCQD1pgIVXGEOjCFo9QqlmJywueby"&amp;"GgaN92r8/edit?usp=share_link"",""ราชบุรี!I116"")+IMPORTRANGE(""https://docs.google.com/spreadsheets/d/1xYFIxIM_CspAP5Q-5Zx_V0T_Ut3cjryrjd2hss28vGk/edit?usp=share_link"",""ลพบุรี!I116"")+IMPORTRANGE(""https://docs.google.com/spreadsheets/d/11s9m3tKsCBdPWq6"&amp;"syhZm27eBGbKneDLZc75co106bio/edit?usp=share_link"",""สระแก้ว!I116"")+IMPORTRANGE(""https://docs.google.com/spreadsheets/d/1Nn1EvsFPtXldgpgVb3Rcng2K2cls68LFQsBh2FyW0Bg/edit?usp=share_link"",""สระบุรี!I116"")+IMPORTRANGE(""https://docs.google.com/spreadshee"&amp;"ts/d/149xufxukrnEciK3WPbNpHwUK8BKEJxp3UcBG3Al6dA4/edit?usp=share_link"",""สิงห์บุรี!I116"")+IMPORTRANGE(""https://docs.google.com/spreadsheets/d/132g-zJpz2uMKimp17uOIx8A7o3w1Z25zwJyXnwsB56c/edit?usp=share_link"",""สุพรรณบุรี!I116"")+IMPORTRANGE(""https://"&amp;"docs.google.com/spreadsheets/d/12Q_U0nVnFdxDFwa0pej9xvx8ZvLC9Dpi_vRro_aiG5g/edit?usp=share_link"",""อ่างทอง!I116"")
"),21)</f>
        <v>21</v>
      </c>
      <c r="J116" s="183">
        <f ca="1">IFERROR(__xludf.DUMMYFUNCTION("IMPORTRANGE(""https://docs.google.com/spreadsheets/d/1hKO5uv94SSRZWOvrh72HRcpyoEQF9TsE_Cvxl77XNU4/edit?usp=share_link"",""กาญจนบุรี!J116"")+IMPORTRANGE(""https://docs.google.com/spreadsheets/d/1njBaP_xXd-Uotvo2D9zb01TTCFkLJLDK97Tk1l9Qux0/edit?usp=share_li"&amp;"nk"",""จันทบุรี!J116"")+IMPORTRANGE(""https://docs.google.com/spreadsheets/d/14xp6qUzrGFnUk_qnc1eEmfiaNRd4_grkhpfQH_46fa8/edit?usp=share_link"",""ฉะเชิงเทรา!J116"")+IMPORTRANGE(""https://docs.google.com/spreadsheets/d/1_Zwps30dlVa-pZFsorjVf1Pil6WXwzCsJU0U"&amp;"2whO3NI/edit?usp=share_link"",""ชลบุรี!J116"")+IMPORTRANGE(""https://docs.google.com/spreadsheets/d/1xAsT4sUbBlom7l0acStESh_15nvjZcXjZM7fK5uZSq8/edit?usp=share_link"",""ชัยนาท!J116"")+IMPORTRANGE(""https://docs.google.com/spreadsheets/d/1vWPVBOAaZ6mHSI8yf"&amp;"95DNqHwTJ1cpeFsvqt6cxV34QA/edit?usp=share_link"",""ตราด!J116"")+IMPORTRANGE(""https://docs.google.com/spreadsheets/d/1phaeSb9lTGgzDpbvVqI9hfmOQQzUom07-HEvpbARzEg/edit?usp=share_link"",""นครนายก!J116"")+IMPORTRANGE(""https://docs.google.com/spreadsheets/d/"&amp;"1tpwhWwkqkBeiSWCcfB5f2fbwPRbM9hHOEDSDHpl2MIc/edit?usp=share_link"",""นครปฐม!J116"")+IMPORTRANGE(""https://docs.google.com/spreadsheets/d/1fJJCVBkBnhriyv0Cp5ZFMr0I_yrfdEITNpb4zILJgUQ/edit?usp=share_link"",""ปทุมธานี!J116"")+IMPORTRANGE(""https://docs.googl"&amp;"e.com/spreadsheets/d/1W5Jj_S0gYw6wSO7QcMI02YgyOBDKYgmm0NSUk-AQEac/edit?usp=share_link"",""ประจวบคีรีขันธ์!J116"")+IMPORTRANGE(""https://docs.google.com/spreadsheets/d/1nYxRXgnCfTXtqUY1otYuTlnrzE0Tn-Y0YRsW5pkRVqo/edit?usp=share_link"",""ปราจีนบุรี!J116"")+"&amp;"IMPORTRANGE(""https://docs.google.com/spreadsheets/d/1nNHCLO8ZAXOMfQvxux7cf_hrzPAh8FAvaHq_ClKbZNo/edit?usp=share_link"",""พระนครศรีอยุธยา!J116"")+IMPORTRANGE(""https://docs.google.com/spreadsheets/d/1CdNicvf3i6yt4tJlCePe3V1Va76wYqW0QzMzTsaGRrA/edit?usp=sh"&amp;"are_link"",""เพชรบุรี!J116"")+IMPORTRANGE(""https://docs.google.com/spreadsheets/d/1XiF77UIVHV0Kjc6xbXuOuJ10WgJYxd4p_22ngKVV5oM/edit?usp=share_link"",""ระยอง!J116"")+IMPORTRANGE(""https://docs.google.com/spreadsheets/d/1qU-W_9MCQD1pgIVXGEOjCFo9QqlmJywueby"&amp;"GgaN92r8/edit?usp=share_link"",""ราชบุรี!J116"")+IMPORTRANGE(""https://docs.google.com/spreadsheets/d/1xYFIxIM_CspAP5Q-5Zx_V0T_Ut3cjryrjd2hss28vGk/edit?usp=share_link"",""ลพบุรี!J116"")+IMPORTRANGE(""https://docs.google.com/spreadsheets/d/11s9m3tKsCBdPWq6"&amp;"syhZm27eBGbKneDLZc75co106bio/edit?usp=share_link"",""สระแก้ว!J116"")+IMPORTRANGE(""https://docs.google.com/spreadsheets/d/1Nn1EvsFPtXldgpgVb3Rcng2K2cls68LFQsBh2FyW0Bg/edit?usp=share_link"",""สระบุรี!J116"")+IMPORTRANGE(""https://docs.google.com/spreadshee"&amp;"ts/d/149xufxukrnEciK3WPbNpHwUK8BKEJxp3UcBG3Al6dA4/edit?usp=share_link"",""สิงห์บุรี!J116"")+IMPORTRANGE(""https://docs.google.com/spreadsheets/d/132g-zJpz2uMKimp17uOIx8A7o3w1Z25zwJyXnwsB56c/edit?usp=share_link"",""สุพรรณบุรี!J116"")+IMPORTRANGE(""https://"&amp;"docs.google.com/spreadsheets/d/12Q_U0nVnFdxDFwa0pej9xvx8ZvLC9Dpi_vRro_aiG5g/edit?usp=share_link"",""อ่างทอง!J116"")
"),0)</f>
        <v>0</v>
      </c>
      <c r="K116" s="38">
        <f t="shared" ca="1" si="75"/>
        <v>0</v>
      </c>
      <c r="L116" s="38"/>
      <c r="M116" s="38"/>
      <c r="N116" s="38"/>
      <c r="O116" s="163"/>
      <c r="P116" s="163"/>
    </row>
    <row r="117" spans="1:26" ht="20.25" customHeight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20.25" customHeight="1">
      <c r="A118" s="138"/>
      <c r="B118" s="139" t="s">
        <v>65</v>
      </c>
      <c r="C118" s="204"/>
      <c r="D118" s="141"/>
      <c r="E118" s="140"/>
      <c r="F118" s="140"/>
      <c r="G118" s="142"/>
      <c r="H118" s="143"/>
      <c r="I118" s="205"/>
      <c r="J118" s="205"/>
      <c r="K118" s="146"/>
      <c r="L118" s="146"/>
      <c r="M118" s="146"/>
      <c r="N118" s="146"/>
      <c r="O118" s="146"/>
      <c r="P118" s="146"/>
    </row>
    <row r="119" spans="1:26" ht="20.25" customHeight="1">
      <c r="A119" s="147"/>
      <c r="B119" s="148"/>
      <c r="C119" s="149" t="s">
        <v>16</v>
      </c>
      <c r="D119" s="150" t="s">
        <v>17</v>
      </c>
      <c r="E119" s="148"/>
      <c r="F119" s="148"/>
      <c r="G119" s="151"/>
      <c r="H119" s="152" t="s">
        <v>12</v>
      </c>
      <c r="I119" s="153"/>
      <c r="J119" s="153"/>
      <c r="K119" s="154"/>
      <c r="L119" s="155">
        <f t="shared" ref="L119:N119" ca="1" si="77">L120+L121</f>
        <v>26800</v>
      </c>
      <c r="M119" s="155">
        <f t="shared" ca="1" si="77"/>
        <v>26800</v>
      </c>
      <c r="N119" s="155">
        <f t="shared" ca="1" si="77"/>
        <v>26800</v>
      </c>
      <c r="O119" s="155">
        <f t="shared" ref="O119:O127" ca="1" si="78">IF(L119&gt;0,N119*100/L119,0)</f>
        <v>100</v>
      </c>
      <c r="P119" s="155">
        <f t="shared" ref="P119:P127" ca="1" si="79">IF(M119&gt;0,N119*100/M119,0)</f>
        <v>100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20.25" hidden="1" customHeight="1">
      <c r="A120" s="156"/>
      <c r="B120" s="40"/>
      <c r="C120" s="40"/>
      <c r="D120" s="40"/>
      <c r="E120" s="41" t="s">
        <v>18</v>
      </c>
      <c r="F120" s="40"/>
      <c r="G120" s="157"/>
      <c r="H120" s="158" t="s">
        <v>12</v>
      </c>
      <c r="I120" s="44"/>
      <c r="J120" s="44"/>
      <c r="K120" s="45"/>
      <c r="L120" s="45">
        <f t="shared" ref="L120:N120" si="80">L123+L126</f>
        <v>0</v>
      </c>
      <c r="M120" s="45">
        <f t="shared" si="80"/>
        <v>0</v>
      </c>
      <c r="N120" s="45">
        <f t="shared" si="80"/>
        <v>0</v>
      </c>
      <c r="O120" s="45">
        <f t="shared" si="78"/>
        <v>0</v>
      </c>
      <c r="P120" s="45">
        <f t="shared" si="79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20.25" hidden="1" customHeight="1">
      <c r="A121" s="156"/>
      <c r="B121" s="40"/>
      <c r="C121" s="40"/>
      <c r="D121" s="40"/>
      <c r="E121" s="41" t="s">
        <v>19</v>
      </c>
      <c r="F121" s="40"/>
      <c r="G121" s="157"/>
      <c r="H121" s="158" t="s">
        <v>12</v>
      </c>
      <c r="I121" s="44"/>
      <c r="J121" s="44"/>
      <c r="K121" s="45"/>
      <c r="L121" s="45">
        <f t="shared" ref="L121:N121" ca="1" si="81">L124+L127</f>
        <v>26800</v>
      </c>
      <c r="M121" s="45">
        <f t="shared" ca="1" si="81"/>
        <v>26800</v>
      </c>
      <c r="N121" s="45">
        <f t="shared" ca="1" si="81"/>
        <v>26800</v>
      </c>
      <c r="O121" s="45">
        <f t="shared" ca="1" si="78"/>
        <v>100</v>
      </c>
      <c r="P121" s="45">
        <f t="shared" ca="1" si="79"/>
        <v>100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20.25" customHeight="1">
      <c r="A122" s="159"/>
      <c r="B122" s="33"/>
      <c r="C122" s="160"/>
      <c r="D122" s="34" t="s">
        <v>20</v>
      </c>
      <c r="E122" s="33"/>
      <c r="F122" s="33"/>
      <c r="G122" s="35"/>
      <c r="H122" s="161" t="s">
        <v>12</v>
      </c>
      <c r="I122" s="162"/>
      <c r="J122" s="162"/>
      <c r="K122" s="163"/>
      <c r="L122" s="38">
        <f t="shared" ref="L122:N122" ca="1" si="82">L123+L124</f>
        <v>0</v>
      </c>
      <c r="M122" s="38">
        <f t="shared" ca="1" si="82"/>
        <v>0</v>
      </c>
      <c r="N122" s="38">
        <f t="shared" ca="1" si="82"/>
        <v>0</v>
      </c>
      <c r="O122" s="38">
        <f t="shared" ca="1" si="78"/>
        <v>0</v>
      </c>
      <c r="P122" s="38">
        <f t="shared" ca="1" si="79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20.25" hidden="1" customHeight="1">
      <c r="A123" s="156"/>
      <c r="B123" s="40"/>
      <c r="C123" s="206"/>
      <c r="D123" s="40"/>
      <c r="E123" s="41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45">
        <f t="shared" si="78"/>
        <v>0</v>
      </c>
      <c r="P123" s="45">
        <f t="shared" si="79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20.25" hidden="1" customHeight="1">
      <c r="A124" s="156"/>
      <c r="B124" s="40"/>
      <c r="C124" s="206"/>
      <c r="D124" s="40"/>
      <c r="E124" s="41" t="s">
        <v>37</v>
      </c>
      <c r="F124" s="40"/>
      <c r="G124" s="157"/>
      <c r="H124" s="165" t="s">
        <v>12</v>
      </c>
      <c r="I124" s="166"/>
      <c r="J124" s="166"/>
      <c r="K124" s="167"/>
      <c r="L124" s="45">
        <f ca="1">IFERROR(__xludf.DUMMYFUNCTION("IMPORTRANGE(""https://docs.google.com/spreadsheets/d/1hKO5uv94SSRZWOvrh72HRcpyoEQF9TsE_Cvxl77XNU4/edit?usp=share_link"",""กาญจนบุรี!L124"")+IMPORTRANGE(""https://docs.google.com/spreadsheets/d/1njBaP_xXd-Uotvo2D9zb01TTCFkLJLDK97Tk1l9Qux0/edit?usp=share_li"&amp;"nk"",""จันทบุรี!L124"")+IMPORTRANGE(""https://docs.google.com/spreadsheets/d/14xp6qUzrGFnUk_qnc1eEmfiaNRd4_grkhpfQH_46fa8/edit?usp=share_link"",""ฉะเชิงเทรา!L124"")+IMPORTRANGE(""https://docs.google.com/spreadsheets/d/1_Zwps30dlVa-pZFsorjVf1Pil6WXwzCsJU0U"&amp;"2whO3NI/edit?usp=share_link"",""ชลบุรี!L124"")+IMPORTRANGE(""https://docs.google.com/spreadsheets/d/1xAsT4sUbBlom7l0acStESh_15nvjZcXjZM7fK5uZSq8/edit?usp=share_link"",""ชัยนาท!L124"")+IMPORTRANGE(""https://docs.google.com/spreadsheets/d/1vWPVBOAaZ6mHSI8yf"&amp;"95DNqHwTJ1cpeFsvqt6cxV34QA/edit?usp=share_link"",""ตราด!L124"")+IMPORTRANGE(""https://docs.google.com/spreadsheets/d/1phaeSb9lTGgzDpbvVqI9hfmOQQzUom07-HEvpbARzEg/edit?usp=share_link"",""นครนายก!L124"")+IMPORTRANGE(""https://docs.google.com/spreadsheets/d/"&amp;"1tpwhWwkqkBeiSWCcfB5f2fbwPRbM9hHOEDSDHpl2MIc/edit?usp=share_link"",""นครปฐม!L124"")+IMPORTRANGE(""https://docs.google.com/spreadsheets/d/1fJJCVBkBnhriyv0Cp5ZFMr0I_yrfdEITNpb4zILJgUQ/edit?usp=share_link"",""ปทุมธานี!L124"")+IMPORTRANGE(""https://docs.googl"&amp;"e.com/spreadsheets/d/1W5Jj_S0gYw6wSO7QcMI02YgyOBDKYgmm0NSUk-AQEac/edit?usp=share_link"",""ประจวบคีรีขันธ์!L124"")+IMPORTRANGE(""https://docs.google.com/spreadsheets/d/1nYxRXgnCfTXtqUY1otYuTlnrzE0Tn-Y0YRsW5pkRVqo/edit?usp=share_link"",""ปราจีนบุรี!L124"")+"&amp;"IMPORTRANGE(""https://docs.google.com/spreadsheets/d/1nNHCLO8ZAXOMfQvxux7cf_hrzPAh8FAvaHq_ClKbZNo/edit?usp=share_link"",""พระนครศรีอยุธยา!L124"")+IMPORTRANGE(""https://docs.google.com/spreadsheets/d/1CdNicvf3i6yt4tJlCePe3V1Va76wYqW0QzMzTsaGRrA/edit?usp=sh"&amp;"are_link"",""เพชรบุรี!L124"")+IMPORTRANGE(""https://docs.google.com/spreadsheets/d/1XiF77UIVHV0Kjc6xbXuOuJ10WgJYxd4p_22ngKVV5oM/edit?usp=share_link"",""ระยอง!L124"")+IMPORTRANGE(""https://docs.google.com/spreadsheets/d/1qU-W_9MCQD1pgIVXGEOjCFo9QqlmJywueby"&amp;"GgaN92r8/edit?usp=share_link"",""ราชบุรี!L124"")+IMPORTRANGE(""https://docs.google.com/spreadsheets/d/1xYFIxIM_CspAP5Q-5Zx_V0T_Ut3cjryrjd2hss28vGk/edit?usp=share_link"",""ลพบุรี!L124"")+IMPORTRANGE(""https://docs.google.com/spreadsheets/d/11s9m3tKsCBdPWq6"&amp;"syhZm27eBGbKneDLZc75co106bio/edit?usp=share_link"",""สระแก้ว!L124"")+IMPORTRANGE(""https://docs.google.com/spreadsheets/d/1Nn1EvsFPtXldgpgVb3Rcng2K2cls68LFQsBh2FyW0Bg/edit?usp=share_link"",""สระบุรี!L124"")+IMPORTRANGE(""https://docs.google.com/spreadshee"&amp;"ts/d/149xufxukrnEciK3WPbNpHwUK8BKEJxp3UcBG3Al6dA4/edit?usp=share_link"",""สิงห์บุรี!L124"")+IMPORTRANGE(""https://docs.google.com/spreadsheets/d/132g-zJpz2uMKimp17uOIx8A7o3w1Z25zwJyXnwsB56c/edit?usp=share_link"",""สุพรรณบุรี!L124"")+IMPORTRANGE(""https://"&amp;"docs.google.com/spreadsheets/d/12Q_U0nVnFdxDFwa0pej9xvx8ZvLC9Dpi_vRro_aiG5g/edit?usp=share_link"",""อ่างทอง!L124"")
"),0)</f>
        <v>0</v>
      </c>
      <c r="M124" s="45">
        <f ca="1">IFERROR(__xludf.DUMMYFUNCTION("IMPORTRANGE(""https://docs.google.com/spreadsheets/d/1hKO5uv94SSRZWOvrh72HRcpyoEQF9TsE_Cvxl77XNU4/edit?usp=share_link"",""กาญจนบุรี!M124"")+IMPORTRANGE(""https://docs.google.com/spreadsheets/d/1njBaP_xXd-Uotvo2D9zb01TTCFkLJLDK97Tk1l9Qux0/edit?usp=share_li"&amp;"nk"",""จันทบุรี!M124"")+IMPORTRANGE(""https://docs.google.com/spreadsheets/d/14xp6qUzrGFnUk_qnc1eEmfiaNRd4_grkhpfQH_46fa8/edit?usp=share_link"",""ฉะเชิงเทรา!M124"")+IMPORTRANGE(""https://docs.google.com/spreadsheets/d/1_Zwps30dlVa-pZFsorjVf1Pil6WXwzCsJU0U"&amp;"2whO3NI/edit?usp=share_link"",""ชลบุรี!M124"")+IMPORTRANGE(""https://docs.google.com/spreadsheets/d/1xAsT4sUbBlom7l0acStESh_15nvjZcXjZM7fK5uZSq8/edit?usp=share_link"",""ชัยนาท!M124"")+IMPORTRANGE(""https://docs.google.com/spreadsheets/d/1vWPVBOAaZ6mHSI8yf"&amp;"95DNqHwTJ1cpeFsvqt6cxV34QA/edit?usp=share_link"",""ตราด!M124"")+IMPORTRANGE(""https://docs.google.com/spreadsheets/d/1phaeSb9lTGgzDpbvVqI9hfmOQQzUom07-HEvpbARzEg/edit?usp=share_link"",""นครนายก!M124"")+IMPORTRANGE(""https://docs.google.com/spreadsheets/d/"&amp;"1tpwhWwkqkBeiSWCcfB5f2fbwPRbM9hHOEDSDHpl2MIc/edit?usp=share_link"",""นครปฐม!M124"")+IMPORTRANGE(""https://docs.google.com/spreadsheets/d/1fJJCVBkBnhriyv0Cp5ZFMr0I_yrfdEITNpb4zILJgUQ/edit?usp=share_link"",""ปทุมธานี!M124"")+IMPORTRANGE(""https://docs.googl"&amp;"e.com/spreadsheets/d/1W5Jj_S0gYw6wSO7QcMI02YgyOBDKYgmm0NSUk-AQEac/edit?usp=share_link"",""ประจวบคีรีขันธ์!M124"")+IMPORTRANGE(""https://docs.google.com/spreadsheets/d/1nYxRXgnCfTXtqUY1otYuTlnrzE0Tn-Y0YRsW5pkRVqo/edit?usp=share_link"",""ปราจีนบุรี!M124"")+"&amp;"IMPORTRANGE(""https://docs.google.com/spreadsheets/d/1nNHCLO8ZAXOMfQvxux7cf_hrzPAh8FAvaHq_ClKbZNo/edit?usp=share_link"",""พระนครศรีอยุธยา!M124"")+IMPORTRANGE(""https://docs.google.com/spreadsheets/d/1CdNicvf3i6yt4tJlCePe3V1Va76wYqW0QzMzTsaGRrA/edit?usp=sh"&amp;"are_link"",""เพชรบุรี!M124"")+IMPORTRANGE(""https://docs.google.com/spreadsheets/d/1XiF77UIVHV0Kjc6xbXuOuJ10WgJYxd4p_22ngKVV5oM/edit?usp=share_link"",""ระยอง!M124"")+IMPORTRANGE(""https://docs.google.com/spreadsheets/d/1qU-W_9MCQD1pgIVXGEOjCFo9QqlmJywueby"&amp;"GgaN92r8/edit?usp=share_link"",""ราชบุรี!M124"")+IMPORTRANGE(""https://docs.google.com/spreadsheets/d/1xYFIxIM_CspAP5Q-5Zx_V0T_Ut3cjryrjd2hss28vGk/edit?usp=share_link"",""ลพบุรี!M124"")+IMPORTRANGE(""https://docs.google.com/spreadsheets/d/11s9m3tKsCBdPWq6"&amp;"syhZm27eBGbKneDLZc75co106bio/edit?usp=share_link"",""สระแก้ว!M124"")+IMPORTRANGE(""https://docs.google.com/spreadsheets/d/1Nn1EvsFPtXldgpgVb3Rcng2K2cls68LFQsBh2FyW0Bg/edit?usp=share_link"",""สระบุรี!M124"")+IMPORTRANGE(""https://docs.google.com/spreadshee"&amp;"ts/d/149xufxukrnEciK3WPbNpHwUK8BKEJxp3UcBG3Al6dA4/edit?usp=share_link"",""สิงห์บุรี!M124"")+IMPORTRANGE(""https://docs.google.com/spreadsheets/d/132g-zJpz2uMKimp17uOIx8A7o3w1Z25zwJyXnwsB56c/edit?usp=share_link"",""สุพรรณบุรี!M124"")+IMPORTRANGE(""https://"&amp;"docs.google.com/spreadsheets/d/12Q_U0nVnFdxDFwa0pej9xvx8ZvLC9Dpi_vRro_aiG5g/edit?usp=share_link"",""อ่างทอง!M124"")
"),0)</f>
        <v>0</v>
      </c>
      <c r="N124" s="45">
        <f ca="1">IFERROR(__xludf.DUMMYFUNCTION("IMPORTRANGE(""https://docs.google.com/spreadsheets/d/1hKO5uv94SSRZWOvrh72HRcpyoEQF9TsE_Cvxl77XNU4/edit?usp=share_link"",""กาญจนบุรี!N124"")+IMPORTRANGE(""https://docs.google.com/spreadsheets/d/1njBaP_xXd-Uotvo2D9zb01TTCFkLJLDK97Tk1l9Qux0/edit?usp=share_li"&amp;"nk"",""จันทบุรี!N124"")+IMPORTRANGE(""https://docs.google.com/spreadsheets/d/14xp6qUzrGFnUk_qnc1eEmfiaNRd4_grkhpfQH_46fa8/edit?usp=share_link"",""ฉะเชิงเทรา!N124"")+IMPORTRANGE(""https://docs.google.com/spreadsheets/d/1_Zwps30dlVa-pZFsorjVf1Pil6WXwzCsJU0U"&amp;"2whO3NI/edit?usp=share_link"",""ชลบุรี!N124"")+IMPORTRANGE(""https://docs.google.com/spreadsheets/d/1xAsT4sUbBlom7l0acStESh_15nvjZcXjZM7fK5uZSq8/edit?usp=share_link"",""ชัยนาท!N124"")+IMPORTRANGE(""https://docs.google.com/spreadsheets/d/1vWPVBOAaZ6mHSI8yf"&amp;"95DNqHwTJ1cpeFsvqt6cxV34QA/edit?usp=share_link"",""ตราด!N124"")+IMPORTRANGE(""https://docs.google.com/spreadsheets/d/1phaeSb9lTGgzDpbvVqI9hfmOQQzUom07-HEvpbARzEg/edit?usp=share_link"",""นครนายก!N124"")+IMPORTRANGE(""https://docs.google.com/spreadsheets/d/"&amp;"1tpwhWwkqkBeiSWCcfB5f2fbwPRbM9hHOEDSDHpl2MIc/edit?usp=share_link"",""นครปฐม!N124"")+IMPORTRANGE(""https://docs.google.com/spreadsheets/d/1fJJCVBkBnhriyv0Cp5ZFMr0I_yrfdEITNpb4zILJgUQ/edit?usp=share_link"",""ปทุมธานี!N124"")+IMPORTRANGE(""https://docs.googl"&amp;"e.com/spreadsheets/d/1W5Jj_S0gYw6wSO7QcMI02YgyOBDKYgmm0NSUk-AQEac/edit?usp=share_link"",""ประจวบคีรีขันธ์!N124"")+IMPORTRANGE(""https://docs.google.com/spreadsheets/d/1nYxRXgnCfTXtqUY1otYuTlnrzE0Tn-Y0YRsW5pkRVqo/edit?usp=share_link"",""ปราจีนบุรี!N124"")+"&amp;"IMPORTRANGE(""https://docs.google.com/spreadsheets/d/1nNHCLO8ZAXOMfQvxux7cf_hrzPAh8FAvaHq_ClKbZNo/edit?usp=share_link"",""พระนครศรีอยุธยา!N124"")+IMPORTRANGE(""https://docs.google.com/spreadsheets/d/1CdNicvf3i6yt4tJlCePe3V1Va76wYqW0QzMzTsaGRrA/edit?usp=sh"&amp;"are_link"",""เพชรบุรี!N124"")+IMPORTRANGE(""https://docs.google.com/spreadsheets/d/1XiF77UIVHV0Kjc6xbXuOuJ10WgJYxd4p_22ngKVV5oM/edit?usp=share_link"",""ระยอง!N124"")+IMPORTRANGE(""https://docs.google.com/spreadsheets/d/1qU-W_9MCQD1pgIVXGEOjCFo9QqlmJywueby"&amp;"GgaN92r8/edit?usp=share_link"",""ราชบุรี!N124"")+IMPORTRANGE(""https://docs.google.com/spreadsheets/d/1xYFIxIM_CspAP5Q-5Zx_V0T_Ut3cjryrjd2hss28vGk/edit?usp=share_link"",""ลพบุรี!N124"")+IMPORTRANGE(""https://docs.google.com/spreadsheets/d/11s9m3tKsCBdPWq6"&amp;"syhZm27eBGbKneDLZc75co106bio/edit?usp=share_link"",""สระแก้ว!N124"")+IMPORTRANGE(""https://docs.google.com/spreadsheets/d/1Nn1EvsFPtXldgpgVb3Rcng2K2cls68LFQsBh2FyW0Bg/edit?usp=share_link"",""สระบุรี!N124"")+IMPORTRANGE(""https://docs.google.com/spreadshee"&amp;"ts/d/149xufxukrnEciK3WPbNpHwUK8BKEJxp3UcBG3Al6dA4/edit?usp=share_link"",""สิงห์บุรี!N124"")+IMPORTRANGE(""https://docs.google.com/spreadsheets/d/132g-zJpz2uMKimp17uOIx8A7o3w1Z25zwJyXnwsB56c/edit?usp=share_link"",""สุพรรณบุรี!N124"")+IMPORTRANGE(""https://"&amp;"docs.google.com/spreadsheets/d/12Q_U0nVnFdxDFwa0pej9xvx8ZvLC9Dpi_vRro_aiG5g/edit?usp=share_link"",""อ่างทอง!N124"")
"),0)</f>
        <v>0</v>
      </c>
      <c r="O124" s="45">
        <f t="shared" ca="1" si="78"/>
        <v>0</v>
      </c>
      <c r="P124" s="45">
        <f t="shared" ca="1" si="79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20.25" customHeight="1">
      <c r="A125" s="159"/>
      <c r="B125" s="33"/>
      <c r="C125" s="160"/>
      <c r="D125" s="34" t="s">
        <v>21</v>
      </c>
      <c r="E125" s="33"/>
      <c r="F125" s="33"/>
      <c r="G125" s="35"/>
      <c r="H125" s="168" t="s">
        <v>12</v>
      </c>
      <c r="I125" s="162"/>
      <c r="J125" s="162"/>
      <c r="K125" s="163"/>
      <c r="L125" s="38">
        <f t="shared" ref="L125:N125" ca="1" si="83">L126+L127</f>
        <v>26800</v>
      </c>
      <c r="M125" s="38">
        <f t="shared" ca="1" si="83"/>
        <v>26800</v>
      </c>
      <c r="N125" s="38">
        <f t="shared" ca="1" si="83"/>
        <v>26800</v>
      </c>
      <c r="O125" s="38">
        <f t="shared" ca="1" si="78"/>
        <v>100</v>
      </c>
      <c r="P125" s="38">
        <f t="shared" ca="1" si="79"/>
        <v>100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20.25" hidden="1" customHeight="1">
      <c r="A126" s="156"/>
      <c r="B126" s="40"/>
      <c r="C126" s="164"/>
      <c r="D126" s="40"/>
      <c r="E126" s="41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45">
        <f t="shared" si="78"/>
        <v>0</v>
      </c>
      <c r="P126" s="45">
        <f t="shared" si="79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20.25" hidden="1" customHeight="1">
      <c r="A127" s="156"/>
      <c r="B127" s="40"/>
      <c r="C127" s="164"/>
      <c r="D127" s="40"/>
      <c r="E127" s="41" t="s">
        <v>19</v>
      </c>
      <c r="F127" s="40"/>
      <c r="G127" s="157"/>
      <c r="H127" s="169" t="s">
        <v>12</v>
      </c>
      <c r="I127" s="166"/>
      <c r="J127" s="166"/>
      <c r="K127" s="167"/>
      <c r="L127" s="45">
        <f ca="1">IFERROR(__xludf.DUMMYFUNCTION("IMPORTRANGE(""https://docs.google.com/spreadsheets/d/1hKO5uv94SSRZWOvrh72HRcpyoEQF9TsE_Cvxl77XNU4/edit?usp=share_link"",""กาญจนบุรี!L127"")+IMPORTRANGE(""https://docs.google.com/spreadsheets/d/1njBaP_xXd-Uotvo2D9zb01TTCFkLJLDK97Tk1l9Qux0/edit?usp=share_li"&amp;"nk"",""จันทบุรี!L127"")+IMPORTRANGE(""https://docs.google.com/spreadsheets/d/14xp6qUzrGFnUk_qnc1eEmfiaNRd4_grkhpfQH_46fa8/edit?usp=share_link"",""ฉะเชิงเทรา!L127"")+IMPORTRANGE(""https://docs.google.com/spreadsheets/d/1_Zwps30dlVa-pZFsorjVf1Pil6WXwzCsJU0U"&amp;"2whO3NI/edit?usp=share_link"",""ชลบุรี!L127"")+IMPORTRANGE(""https://docs.google.com/spreadsheets/d/1xAsT4sUbBlom7l0acStESh_15nvjZcXjZM7fK5uZSq8/edit?usp=share_link"",""ชัยนาท!L127"")+IMPORTRANGE(""https://docs.google.com/spreadsheets/d/1vWPVBOAaZ6mHSI8yf"&amp;"95DNqHwTJ1cpeFsvqt6cxV34QA/edit?usp=share_link"",""ตราด!L127"")+IMPORTRANGE(""https://docs.google.com/spreadsheets/d/1phaeSb9lTGgzDpbvVqI9hfmOQQzUom07-HEvpbARzEg/edit?usp=share_link"",""นครนายก!L127"")+IMPORTRANGE(""https://docs.google.com/spreadsheets/d/"&amp;"1tpwhWwkqkBeiSWCcfB5f2fbwPRbM9hHOEDSDHpl2MIc/edit?usp=share_link"",""นครปฐม!L127"")+IMPORTRANGE(""https://docs.google.com/spreadsheets/d/1fJJCVBkBnhriyv0Cp5ZFMr0I_yrfdEITNpb4zILJgUQ/edit?usp=share_link"",""ปทุมธานี!L127"")+IMPORTRANGE(""https://docs.googl"&amp;"e.com/spreadsheets/d/1W5Jj_S0gYw6wSO7QcMI02YgyOBDKYgmm0NSUk-AQEac/edit?usp=share_link"",""ประจวบคีรีขันธ์!L127"")+IMPORTRANGE(""https://docs.google.com/spreadsheets/d/1nYxRXgnCfTXtqUY1otYuTlnrzE0Tn-Y0YRsW5pkRVqo/edit?usp=share_link"",""ปราจีนบุรี!L127"")+"&amp;"IMPORTRANGE(""https://docs.google.com/spreadsheets/d/1nNHCLO8ZAXOMfQvxux7cf_hrzPAh8FAvaHq_ClKbZNo/edit?usp=share_link"",""พระนครศรีอยุธยา!L127"")+IMPORTRANGE(""https://docs.google.com/spreadsheets/d/1CdNicvf3i6yt4tJlCePe3V1Va76wYqW0QzMzTsaGRrA/edit?usp=sh"&amp;"are_link"",""เพชรบุรี!L127"")+IMPORTRANGE(""https://docs.google.com/spreadsheets/d/1XiF77UIVHV0Kjc6xbXuOuJ10WgJYxd4p_22ngKVV5oM/edit?usp=share_link"",""ระยอง!L127"")+IMPORTRANGE(""https://docs.google.com/spreadsheets/d/1qU-W_9MCQD1pgIVXGEOjCFo9QqlmJywueby"&amp;"GgaN92r8/edit?usp=share_link"",""ราชบุรี!L127"")+IMPORTRANGE(""https://docs.google.com/spreadsheets/d/1xYFIxIM_CspAP5Q-5Zx_V0T_Ut3cjryrjd2hss28vGk/edit?usp=share_link"",""ลพบุรี!L127"")+IMPORTRANGE(""https://docs.google.com/spreadsheets/d/11s9m3tKsCBdPWq6"&amp;"syhZm27eBGbKneDLZc75co106bio/edit?usp=share_link"",""สระแก้ว!L127"")+IMPORTRANGE(""https://docs.google.com/spreadsheets/d/1Nn1EvsFPtXldgpgVb3Rcng2K2cls68LFQsBh2FyW0Bg/edit?usp=share_link"",""สระบุรี!L127"")+IMPORTRANGE(""https://docs.google.com/spreadshee"&amp;"ts/d/149xufxukrnEciK3WPbNpHwUK8BKEJxp3UcBG3Al6dA4/edit?usp=share_link"",""สิงห์บุรี!L127"")+IMPORTRANGE(""https://docs.google.com/spreadsheets/d/132g-zJpz2uMKimp17uOIx8A7o3w1Z25zwJyXnwsB56c/edit?usp=share_link"",""สุพรรณบุรี!L127"")+IMPORTRANGE(""https://"&amp;"docs.google.com/spreadsheets/d/12Q_U0nVnFdxDFwa0pej9xvx8ZvLC9Dpi_vRro_aiG5g/edit?usp=share_link"",""อ่างทอง!L127"")
"),26800)</f>
        <v>26800</v>
      </c>
      <c r="M127" s="45">
        <f ca="1">IFERROR(__xludf.DUMMYFUNCTION("IMPORTRANGE(""https://docs.google.com/spreadsheets/d/1hKO5uv94SSRZWOvrh72HRcpyoEQF9TsE_Cvxl77XNU4/edit?usp=share_link"",""กาญจนบุรี!M127"")+IMPORTRANGE(""https://docs.google.com/spreadsheets/d/1njBaP_xXd-Uotvo2D9zb01TTCFkLJLDK97Tk1l9Qux0/edit?usp=share_li"&amp;"nk"",""จันทบุรี!M127"")+IMPORTRANGE(""https://docs.google.com/spreadsheets/d/14xp6qUzrGFnUk_qnc1eEmfiaNRd4_grkhpfQH_46fa8/edit?usp=share_link"",""ฉะเชิงเทรา!M127"")+IMPORTRANGE(""https://docs.google.com/spreadsheets/d/1_Zwps30dlVa-pZFsorjVf1Pil6WXwzCsJU0U"&amp;"2whO3NI/edit?usp=share_link"",""ชลบุรี!M127"")+IMPORTRANGE(""https://docs.google.com/spreadsheets/d/1xAsT4sUbBlom7l0acStESh_15nvjZcXjZM7fK5uZSq8/edit?usp=share_link"",""ชัยนาท!M127"")+IMPORTRANGE(""https://docs.google.com/spreadsheets/d/1vWPVBOAaZ6mHSI8yf"&amp;"95DNqHwTJ1cpeFsvqt6cxV34QA/edit?usp=share_link"",""ตราด!M127"")+IMPORTRANGE(""https://docs.google.com/spreadsheets/d/1phaeSb9lTGgzDpbvVqI9hfmOQQzUom07-HEvpbARzEg/edit?usp=share_link"",""นครนายก!M127"")+IMPORTRANGE(""https://docs.google.com/spreadsheets/d/"&amp;"1tpwhWwkqkBeiSWCcfB5f2fbwPRbM9hHOEDSDHpl2MIc/edit?usp=share_link"",""นครปฐม!M127"")+IMPORTRANGE(""https://docs.google.com/spreadsheets/d/1fJJCVBkBnhriyv0Cp5ZFMr0I_yrfdEITNpb4zILJgUQ/edit?usp=share_link"",""ปทุมธานี!M127"")+IMPORTRANGE(""https://docs.googl"&amp;"e.com/spreadsheets/d/1W5Jj_S0gYw6wSO7QcMI02YgyOBDKYgmm0NSUk-AQEac/edit?usp=share_link"",""ประจวบคีรีขันธ์!M127"")+IMPORTRANGE(""https://docs.google.com/spreadsheets/d/1nYxRXgnCfTXtqUY1otYuTlnrzE0Tn-Y0YRsW5pkRVqo/edit?usp=share_link"",""ปราจีนบุรี!M127"")+"&amp;"IMPORTRANGE(""https://docs.google.com/spreadsheets/d/1nNHCLO8ZAXOMfQvxux7cf_hrzPAh8FAvaHq_ClKbZNo/edit?usp=share_link"",""พระนครศรีอยุธยา!M127"")+IMPORTRANGE(""https://docs.google.com/spreadsheets/d/1CdNicvf3i6yt4tJlCePe3V1Va76wYqW0QzMzTsaGRrA/edit?usp=sh"&amp;"are_link"",""เพชรบุรี!M127"")+IMPORTRANGE(""https://docs.google.com/spreadsheets/d/1XiF77UIVHV0Kjc6xbXuOuJ10WgJYxd4p_22ngKVV5oM/edit?usp=share_link"",""ระยอง!M127"")+IMPORTRANGE(""https://docs.google.com/spreadsheets/d/1qU-W_9MCQD1pgIVXGEOjCFo9QqlmJywueby"&amp;"GgaN92r8/edit?usp=share_link"",""ราชบุรี!M127"")+IMPORTRANGE(""https://docs.google.com/spreadsheets/d/1xYFIxIM_CspAP5Q-5Zx_V0T_Ut3cjryrjd2hss28vGk/edit?usp=share_link"",""ลพบุรี!M127"")+IMPORTRANGE(""https://docs.google.com/spreadsheets/d/11s9m3tKsCBdPWq6"&amp;"syhZm27eBGbKneDLZc75co106bio/edit?usp=share_link"",""สระแก้ว!M127"")+IMPORTRANGE(""https://docs.google.com/spreadsheets/d/1Nn1EvsFPtXldgpgVb3Rcng2K2cls68LFQsBh2FyW0Bg/edit?usp=share_link"",""สระบุรี!M127"")+IMPORTRANGE(""https://docs.google.com/spreadshee"&amp;"ts/d/149xufxukrnEciK3WPbNpHwUK8BKEJxp3UcBG3Al6dA4/edit?usp=share_link"",""สิงห์บุรี!M127"")+IMPORTRANGE(""https://docs.google.com/spreadsheets/d/132g-zJpz2uMKimp17uOIx8A7o3w1Z25zwJyXnwsB56c/edit?usp=share_link"",""สุพรรณบุรี!M127"")+IMPORTRANGE(""https://"&amp;"docs.google.com/spreadsheets/d/12Q_U0nVnFdxDFwa0pej9xvx8ZvLC9Dpi_vRro_aiG5g/edit?usp=share_link"",""อ่างทอง!M127"")
"),26800)</f>
        <v>26800</v>
      </c>
      <c r="N127" s="45">
        <f ca="1">IFERROR(__xludf.DUMMYFUNCTION("IMPORTRANGE(""https://docs.google.com/spreadsheets/d/1hKO5uv94SSRZWOvrh72HRcpyoEQF9TsE_Cvxl77XNU4/edit?usp=share_link"",""กาญจนบุรี!N127"")+IMPORTRANGE(""https://docs.google.com/spreadsheets/d/1njBaP_xXd-Uotvo2D9zb01TTCFkLJLDK97Tk1l9Qux0/edit?usp=share_li"&amp;"nk"",""จันทบุรี!N127"")+IMPORTRANGE(""https://docs.google.com/spreadsheets/d/14xp6qUzrGFnUk_qnc1eEmfiaNRd4_grkhpfQH_46fa8/edit?usp=share_link"",""ฉะเชิงเทรา!N127"")+IMPORTRANGE(""https://docs.google.com/spreadsheets/d/1_Zwps30dlVa-pZFsorjVf1Pil6WXwzCsJU0U"&amp;"2whO3NI/edit?usp=share_link"",""ชลบุรี!N127"")+IMPORTRANGE(""https://docs.google.com/spreadsheets/d/1xAsT4sUbBlom7l0acStESh_15nvjZcXjZM7fK5uZSq8/edit?usp=share_link"",""ชัยนาท!N127"")+IMPORTRANGE(""https://docs.google.com/spreadsheets/d/1vWPVBOAaZ6mHSI8yf"&amp;"95DNqHwTJ1cpeFsvqt6cxV34QA/edit?usp=share_link"",""ตราด!N127"")+IMPORTRANGE(""https://docs.google.com/spreadsheets/d/1phaeSb9lTGgzDpbvVqI9hfmOQQzUom07-HEvpbARzEg/edit?usp=share_link"",""นครนายก!N127"")+IMPORTRANGE(""https://docs.google.com/spreadsheets/d/"&amp;"1tpwhWwkqkBeiSWCcfB5f2fbwPRbM9hHOEDSDHpl2MIc/edit?usp=share_link"",""นครปฐม!N127"")+IMPORTRANGE(""https://docs.google.com/spreadsheets/d/1fJJCVBkBnhriyv0Cp5ZFMr0I_yrfdEITNpb4zILJgUQ/edit?usp=share_link"",""ปทุมธานี!N127"")+IMPORTRANGE(""https://docs.googl"&amp;"e.com/spreadsheets/d/1W5Jj_S0gYw6wSO7QcMI02YgyOBDKYgmm0NSUk-AQEac/edit?usp=share_link"",""ประจวบคีรีขันธ์!N127"")+IMPORTRANGE(""https://docs.google.com/spreadsheets/d/1nYxRXgnCfTXtqUY1otYuTlnrzE0Tn-Y0YRsW5pkRVqo/edit?usp=share_link"",""ปราจีนบุรี!N127"")+"&amp;"IMPORTRANGE(""https://docs.google.com/spreadsheets/d/1nNHCLO8ZAXOMfQvxux7cf_hrzPAh8FAvaHq_ClKbZNo/edit?usp=share_link"",""พระนครศรีอยุธยา!N127"")+IMPORTRANGE(""https://docs.google.com/spreadsheets/d/1CdNicvf3i6yt4tJlCePe3V1Va76wYqW0QzMzTsaGRrA/edit?usp=sh"&amp;"are_link"",""เพชรบุรี!N127"")+IMPORTRANGE(""https://docs.google.com/spreadsheets/d/1XiF77UIVHV0Kjc6xbXuOuJ10WgJYxd4p_22ngKVV5oM/edit?usp=share_link"",""ระยอง!N127"")+IMPORTRANGE(""https://docs.google.com/spreadsheets/d/1qU-W_9MCQD1pgIVXGEOjCFo9QqlmJywueby"&amp;"GgaN92r8/edit?usp=share_link"",""ราชบุรี!N127"")+IMPORTRANGE(""https://docs.google.com/spreadsheets/d/1xYFIxIM_CspAP5Q-5Zx_V0T_Ut3cjryrjd2hss28vGk/edit?usp=share_link"",""ลพบุรี!N127"")+IMPORTRANGE(""https://docs.google.com/spreadsheets/d/11s9m3tKsCBdPWq6"&amp;"syhZm27eBGbKneDLZc75co106bio/edit?usp=share_link"",""สระแก้ว!N127"")+IMPORTRANGE(""https://docs.google.com/spreadsheets/d/1Nn1EvsFPtXldgpgVb3Rcng2K2cls68LFQsBh2FyW0Bg/edit?usp=share_link"",""สระบุรี!N127"")+IMPORTRANGE(""https://docs.google.com/spreadshee"&amp;"ts/d/149xufxukrnEciK3WPbNpHwUK8BKEJxp3UcBG3Al6dA4/edit?usp=share_link"",""สิงห์บุรี!N127"")+IMPORTRANGE(""https://docs.google.com/spreadsheets/d/132g-zJpz2uMKimp17uOIx8A7o3w1Z25zwJyXnwsB56c/edit?usp=share_link"",""สุพรรณบุรี!N127"")+IMPORTRANGE(""https://"&amp;"docs.google.com/spreadsheets/d/12Q_U0nVnFdxDFwa0pej9xvx8ZvLC9Dpi_vRro_aiG5g/edit?usp=share_link"",""อ่างทอง!N127"")
"),26800)</f>
        <v>26800</v>
      </c>
      <c r="O127" s="45">
        <f t="shared" ca="1" si="78"/>
        <v>100</v>
      </c>
      <c r="P127" s="45">
        <f t="shared" ca="1" si="79"/>
        <v>100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20.25" customHeight="1">
      <c r="A128" s="131" t="s">
        <v>66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20.25" customHeight="1">
      <c r="A129" s="138"/>
      <c r="B129" s="139" t="s">
        <v>67</v>
      </c>
      <c r="C129" s="204"/>
      <c r="D129" s="141"/>
      <c r="E129" s="140"/>
      <c r="F129" s="140"/>
      <c r="G129" s="140"/>
      <c r="H129" s="207"/>
      <c r="I129" s="205"/>
      <c r="J129" s="205"/>
      <c r="K129" s="146"/>
      <c r="L129" s="146"/>
      <c r="M129" s="146"/>
      <c r="N129" s="146"/>
      <c r="O129" s="146"/>
      <c r="P129" s="146"/>
    </row>
    <row r="130" spans="1:26" ht="20.25" customHeight="1">
      <c r="A130" s="138"/>
      <c r="B130" s="208"/>
      <c r="C130" s="209" t="s">
        <v>68</v>
      </c>
      <c r="D130" s="141"/>
      <c r="E130" s="140"/>
      <c r="F130" s="140"/>
      <c r="G130" s="142"/>
      <c r="H130" s="143" t="s">
        <v>69</v>
      </c>
      <c r="I130" s="144">
        <f t="shared" ref="I130:J130" ca="1" si="84">I146</f>
        <v>5</v>
      </c>
      <c r="J130" s="144">
        <f t="shared" ca="1" si="84"/>
        <v>0</v>
      </c>
      <c r="K130" s="145">
        <f t="shared" ref="K130:K131" ca="1" si="85">IF(I130&gt;0,J130*100/I130,0)</f>
        <v>0</v>
      </c>
      <c r="L130" s="146"/>
      <c r="M130" s="146"/>
      <c r="N130" s="146"/>
      <c r="O130" s="146"/>
      <c r="P130" s="146"/>
    </row>
    <row r="131" spans="1:26" ht="20.25" customHeight="1">
      <c r="A131" s="138"/>
      <c r="B131" s="208"/>
      <c r="C131" s="209" t="s">
        <v>70</v>
      </c>
      <c r="D131" s="141"/>
      <c r="E131" s="140"/>
      <c r="F131" s="140"/>
      <c r="G131" s="142"/>
      <c r="H131" s="143" t="s">
        <v>35</v>
      </c>
      <c r="I131" s="144">
        <f t="shared" ref="I131:J131" ca="1" si="86">I143</f>
        <v>50</v>
      </c>
      <c r="J131" s="144">
        <f t="shared" ca="1" si="86"/>
        <v>0</v>
      </c>
      <c r="K131" s="145">
        <f t="shared" ca="1" si="85"/>
        <v>0</v>
      </c>
      <c r="L131" s="146"/>
      <c r="M131" s="146"/>
      <c r="N131" s="146"/>
      <c r="O131" s="146"/>
      <c r="P131" s="146"/>
    </row>
    <row r="132" spans="1:26" ht="20.25" customHeight="1">
      <c r="A132" s="147"/>
      <c r="B132" s="148"/>
      <c r="C132" s="149" t="s">
        <v>16</v>
      </c>
      <c r="D132" s="150" t="s">
        <v>17</v>
      </c>
      <c r="E132" s="148"/>
      <c r="F132" s="148"/>
      <c r="G132" s="151"/>
      <c r="H132" s="152" t="s">
        <v>12</v>
      </c>
      <c r="I132" s="153"/>
      <c r="J132" s="153"/>
      <c r="K132" s="154"/>
      <c r="L132" s="155">
        <f t="shared" ref="L132:N132" ca="1" si="87">L133+L134</f>
        <v>1169175</v>
      </c>
      <c r="M132" s="155">
        <f t="shared" ca="1" si="87"/>
        <v>873450</v>
      </c>
      <c r="N132" s="155">
        <f t="shared" ca="1" si="87"/>
        <v>739906.45</v>
      </c>
      <c r="O132" s="155">
        <f t="shared" ref="O132:O140" ca="1" si="88">IF(L132&gt;0,N132*100/L132,0)</f>
        <v>63.284491201060575</v>
      </c>
      <c r="P132" s="155">
        <f t="shared" ref="P132:P140" ca="1" si="89">IF(M132&gt;0,N132*100/M132,0)</f>
        <v>84.710796267674169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20.25" hidden="1" customHeight="1">
      <c r="A133" s="156"/>
      <c r="B133" s="40"/>
      <c r="C133" s="40"/>
      <c r="D133" s="40"/>
      <c r="E133" s="41" t="s">
        <v>18</v>
      </c>
      <c r="F133" s="40"/>
      <c r="G133" s="157"/>
      <c r="H133" s="158" t="s">
        <v>12</v>
      </c>
      <c r="I133" s="44"/>
      <c r="J133" s="44"/>
      <c r="K133" s="45"/>
      <c r="L133" s="45">
        <f t="shared" ref="L133:N133" si="90">L136+L139</f>
        <v>0</v>
      </c>
      <c r="M133" s="45">
        <f t="shared" si="90"/>
        <v>0</v>
      </c>
      <c r="N133" s="45">
        <f t="shared" si="90"/>
        <v>0</v>
      </c>
      <c r="O133" s="45">
        <f t="shared" si="88"/>
        <v>0</v>
      </c>
      <c r="P133" s="45">
        <f t="shared" si="89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20.25" hidden="1" customHeight="1">
      <c r="A134" s="156"/>
      <c r="B134" s="40"/>
      <c r="C134" s="40"/>
      <c r="D134" s="40"/>
      <c r="E134" s="41" t="s">
        <v>19</v>
      </c>
      <c r="F134" s="40"/>
      <c r="G134" s="157"/>
      <c r="H134" s="158" t="s">
        <v>12</v>
      </c>
      <c r="I134" s="44"/>
      <c r="J134" s="44"/>
      <c r="K134" s="45"/>
      <c r="L134" s="45">
        <f t="shared" ref="L134:N134" ca="1" si="91">L137+L140</f>
        <v>1169175</v>
      </c>
      <c r="M134" s="45">
        <f t="shared" ca="1" si="91"/>
        <v>873450</v>
      </c>
      <c r="N134" s="45">
        <f t="shared" ca="1" si="91"/>
        <v>739906.45</v>
      </c>
      <c r="O134" s="45">
        <f t="shared" ca="1" si="88"/>
        <v>63.284491201060575</v>
      </c>
      <c r="P134" s="45">
        <f t="shared" ca="1" si="89"/>
        <v>84.710796267674169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20.25" customHeight="1">
      <c r="A135" s="159"/>
      <c r="B135" s="33"/>
      <c r="C135" s="160"/>
      <c r="D135" s="34" t="s">
        <v>20</v>
      </c>
      <c r="E135" s="33"/>
      <c r="F135" s="33"/>
      <c r="G135" s="35"/>
      <c r="H135" s="161" t="s">
        <v>12</v>
      </c>
      <c r="I135" s="162"/>
      <c r="J135" s="162"/>
      <c r="K135" s="163"/>
      <c r="L135" s="38">
        <f t="shared" ref="L135:N135" ca="1" si="92">L136+L137</f>
        <v>654175</v>
      </c>
      <c r="M135" s="38">
        <f t="shared" ca="1" si="92"/>
        <v>358450</v>
      </c>
      <c r="N135" s="38">
        <f t="shared" ca="1" si="92"/>
        <v>224906.45</v>
      </c>
      <c r="O135" s="38">
        <f t="shared" ca="1" si="88"/>
        <v>34.380165857759771</v>
      </c>
      <c r="P135" s="38">
        <f t="shared" ca="1" si="89"/>
        <v>62.744162365741388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20.25" hidden="1" customHeight="1">
      <c r="A136" s="156"/>
      <c r="B136" s="40"/>
      <c r="C136" s="164"/>
      <c r="D136" s="40"/>
      <c r="E136" s="41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45">
        <f t="shared" si="88"/>
        <v>0</v>
      </c>
      <c r="P136" s="45">
        <f t="shared" si="89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20.25" hidden="1" customHeight="1">
      <c r="A137" s="156"/>
      <c r="B137" s="40"/>
      <c r="C137" s="164"/>
      <c r="D137" s="40"/>
      <c r="E137" s="41" t="s">
        <v>37</v>
      </c>
      <c r="F137" s="40"/>
      <c r="G137" s="157"/>
      <c r="H137" s="165" t="s">
        <v>12</v>
      </c>
      <c r="I137" s="166"/>
      <c r="J137" s="166"/>
      <c r="K137" s="167"/>
      <c r="L137" s="45">
        <f ca="1">IFERROR(__xludf.DUMMYFUNCTION("IMPORTRANGE(""https://docs.google.com/spreadsheets/d/1hKO5uv94SSRZWOvrh72HRcpyoEQF9TsE_Cvxl77XNU4/edit?usp=share_link"",""กาญจนบุรี!L137"")+IMPORTRANGE(""https://docs.google.com/spreadsheets/d/1njBaP_xXd-Uotvo2D9zb01TTCFkLJLDK97Tk1l9Qux0/edit?usp=share_li"&amp;"nk"",""จันทบุรี!L137"")+IMPORTRANGE(""https://docs.google.com/spreadsheets/d/14xp6qUzrGFnUk_qnc1eEmfiaNRd4_grkhpfQH_46fa8/edit?usp=share_link"",""ฉะเชิงเทรา!L137"")+IMPORTRANGE(""https://docs.google.com/spreadsheets/d/1_Zwps30dlVa-pZFsorjVf1Pil6WXwzCsJU0U"&amp;"2whO3NI/edit?usp=share_link"",""ชลบุรี!L137"")+IMPORTRANGE(""https://docs.google.com/spreadsheets/d/1xAsT4sUbBlom7l0acStESh_15nvjZcXjZM7fK5uZSq8/edit?usp=share_link"",""ชัยนาท!L137"")+IMPORTRANGE(""https://docs.google.com/spreadsheets/d/1vWPVBOAaZ6mHSI8yf"&amp;"95DNqHwTJ1cpeFsvqt6cxV34QA/edit?usp=share_link"",""ตราด!L137"")+IMPORTRANGE(""https://docs.google.com/spreadsheets/d/1phaeSb9lTGgzDpbvVqI9hfmOQQzUom07-HEvpbARzEg/edit?usp=share_link"",""นครนายก!L137"")+IMPORTRANGE(""https://docs.google.com/spreadsheets/d/"&amp;"1tpwhWwkqkBeiSWCcfB5f2fbwPRbM9hHOEDSDHpl2MIc/edit?usp=share_link"",""นครปฐม!L137"")+IMPORTRANGE(""https://docs.google.com/spreadsheets/d/1fJJCVBkBnhriyv0Cp5ZFMr0I_yrfdEITNpb4zILJgUQ/edit?usp=share_link"",""ปทุมธานี!L137"")+IMPORTRANGE(""https://docs.googl"&amp;"e.com/spreadsheets/d/1W5Jj_S0gYw6wSO7QcMI02YgyOBDKYgmm0NSUk-AQEac/edit?usp=share_link"",""ประจวบคีรีขันธ์!L137"")+IMPORTRANGE(""https://docs.google.com/spreadsheets/d/1nYxRXgnCfTXtqUY1otYuTlnrzE0Tn-Y0YRsW5pkRVqo/edit?usp=share_link"",""ปราจีนบุรี!L137"")+"&amp;"IMPORTRANGE(""https://docs.google.com/spreadsheets/d/1nNHCLO8ZAXOMfQvxux7cf_hrzPAh8FAvaHq_ClKbZNo/edit?usp=share_link"",""พระนครศรีอยุธยา!L137"")+IMPORTRANGE(""https://docs.google.com/spreadsheets/d/1CdNicvf3i6yt4tJlCePe3V1Va76wYqW0QzMzTsaGRrA/edit?usp=sh"&amp;"are_link"",""เพชรบุรี!L137"")+IMPORTRANGE(""https://docs.google.com/spreadsheets/d/1XiF77UIVHV0Kjc6xbXuOuJ10WgJYxd4p_22ngKVV5oM/edit?usp=share_link"",""ระยอง!L137"")+IMPORTRANGE(""https://docs.google.com/spreadsheets/d/1qU-W_9MCQD1pgIVXGEOjCFo9QqlmJywueby"&amp;"GgaN92r8/edit?usp=share_link"",""ราชบุรี!L137"")+IMPORTRANGE(""https://docs.google.com/spreadsheets/d/1xYFIxIM_CspAP5Q-5Zx_V0T_Ut3cjryrjd2hss28vGk/edit?usp=share_link"",""ลพบุรี!L137"")+IMPORTRANGE(""https://docs.google.com/spreadsheets/d/11s9m3tKsCBdPWq6"&amp;"syhZm27eBGbKneDLZc75co106bio/edit?usp=share_link"",""สระแก้ว!L137"")+IMPORTRANGE(""https://docs.google.com/spreadsheets/d/1Nn1EvsFPtXldgpgVb3Rcng2K2cls68LFQsBh2FyW0Bg/edit?usp=share_link"",""สระบุรี!L137"")+IMPORTRANGE(""https://docs.google.com/spreadshee"&amp;"ts/d/149xufxukrnEciK3WPbNpHwUK8BKEJxp3UcBG3Al6dA4/edit?usp=share_link"",""สิงห์บุรี!L137"")+IMPORTRANGE(""https://docs.google.com/spreadsheets/d/132g-zJpz2uMKimp17uOIx8A7o3w1Z25zwJyXnwsB56c/edit?usp=share_link"",""สุพรรณบุรี!L137"")+IMPORTRANGE(""https://"&amp;"docs.google.com/spreadsheets/d/12Q_U0nVnFdxDFwa0pej9xvx8ZvLC9Dpi_vRro_aiG5g/edit?usp=share_link"",""อ่างทอง!L137"")
"),654175)</f>
        <v>654175</v>
      </c>
      <c r="M137" s="45">
        <f ca="1">IFERROR(__xludf.DUMMYFUNCTION("IMPORTRANGE(""https://docs.google.com/spreadsheets/d/1hKO5uv94SSRZWOvrh72HRcpyoEQF9TsE_Cvxl77XNU4/edit?usp=share_link"",""กาญจนบุรี!M137"")+IMPORTRANGE(""https://docs.google.com/spreadsheets/d/1njBaP_xXd-Uotvo2D9zb01TTCFkLJLDK97Tk1l9Qux0/edit?usp=share_li"&amp;"nk"",""จันทบุรี!M137"")+IMPORTRANGE(""https://docs.google.com/spreadsheets/d/14xp6qUzrGFnUk_qnc1eEmfiaNRd4_grkhpfQH_46fa8/edit?usp=share_link"",""ฉะเชิงเทรา!M137"")+IMPORTRANGE(""https://docs.google.com/spreadsheets/d/1_Zwps30dlVa-pZFsorjVf1Pil6WXwzCsJU0U"&amp;"2whO3NI/edit?usp=share_link"",""ชลบุรี!M137"")+IMPORTRANGE(""https://docs.google.com/spreadsheets/d/1xAsT4sUbBlom7l0acStESh_15nvjZcXjZM7fK5uZSq8/edit?usp=share_link"",""ชัยนาท!M137"")+IMPORTRANGE(""https://docs.google.com/spreadsheets/d/1vWPVBOAaZ6mHSI8yf"&amp;"95DNqHwTJ1cpeFsvqt6cxV34QA/edit?usp=share_link"",""ตราด!M137"")+IMPORTRANGE(""https://docs.google.com/spreadsheets/d/1phaeSb9lTGgzDpbvVqI9hfmOQQzUom07-HEvpbARzEg/edit?usp=share_link"",""นครนายก!M137"")+IMPORTRANGE(""https://docs.google.com/spreadsheets/d/"&amp;"1tpwhWwkqkBeiSWCcfB5f2fbwPRbM9hHOEDSDHpl2MIc/edit?usp=share_link"",""นครปฐม!M137"")+IMPORTRANGE(""https://docs.google.com/spreadsheets/d/1fJJCVBkBnhriyv0Cp5ZFMr0I_yrfdEITNpb4zILJgUQ/edit?usp=share_link"",""ปทุมธานี!M137"")+IMPORTRANGE(""https://docs.googl"&amp;"e.com/spreadsheets/d/1W5Jj_S0gYw6wSO7QcMI02YgyOBDKYgmm0NSUk-AQEac/edit?usp=share_link"",""ประจวบคีรีขันธ์!M137"")+IMPORTRANGE(""https://docs.google.com/spreadsheets/d/1nYxRXgnCfTXtqUY1otYuTlnrzE0Tn-Y0YRsW5pkRVqo/edit?usp=share_link"",""ปราจีนบุรี!M137"")+"&amp;"IMPORTRANGE(""https://docs.google.com/spreadsheets/d/1nNHCLO8ZAXOMfQvxux7cf_hrzPAh8FAvaHq_ClKbZNo/edit?usp=share_link"",""พระนครศรีอยุธยา!M137"")+IMPORTRANGE(""https://docs.google.com/spreadsheets/d/1CdNicvf3i6yt4tJlCePe3V1Va76wYqW0QzMzTsaGRrA/edit?usp=sh"&amp;"are_link"",""เพชรบุรี!M137"")+IMPORTRANGE(""https://docs.google.com/spreadsheets/d/1XiF77UIVHV0Kjc6xbXuOuJ10WgJYxd4p_22ngKVV5oM/edit?usp=share_link"",""ระยอง!M137"")+IMPORTRANGE(""https://docs.google.com/spreadsheets/d/1qU-W_9MCQD1pgIVXGEOjCFo9QqlmJywueby"&amp;"GgaN92r8/edit?usp=share_link"",""ราชบุรี!M137"")+IMPORTRANGE(""https://docs.google.com/spreadsheets/d/1xYFIxIM_CspAP5Q-5Zx_V0T_Ut3cjryrjd2hss28vGk/edit?usp=share_link"",""ลพบุรี!M137"")+IMPORTRANGE(""https://docs.google.com/spreadsheets/d/11s9m3tKsCBdPWq6"&amp;"syhZm27eBGbKneDLZc75co106bio/edit?usp=share_link"",""สระแก้ว!M137"")+IMPORTRANGE(""https://docs.google.com/spreadsheets/d/1Nn1EvsFPtXldgpgVb3Rcng2K2cls68LFQsBh2FyW0Bg/edit?usp=share_link"",""สระบุรี!M137"")+IMPORTRANGE(""https://docs.google.com/spreadshee"&amp;"ts/d/149xufxukrnEciK3WPbNpHwUK8BKEJxp3UcBG3Al6dA4/edit?usp=share_link"",""สิงห์บุรี!M137"")+IMPORTRANGE(""https://docs.google.com/spreadsheets/d/132g-zJpz2uMKimp17uOIx8A7o3w1Z25zwJyXnwsB56c/edit?usp=share_link"",""สุพรรณบุรี!M137"")+IMPORTRANGE(""https://"&amp;"docs.google.com/spreadsheets/d/12Q_U0nVnFdxDFwa0pej9xvx8ZvLC9Dpi_vRro_aiG5g/edit?usp=share_link"",""อ่างทอง!M137"")
"),358450)</f>
        <v>358450</v>
      </c>
      <c r="N137" s="45">
        <f ca="1">IFERROR(__xludf.DUMMYFUNCTION("IMPORTRANGE(""https://docs.google.com/spreadsheets/d/1hKO5uv94SSRZWOvrh72HRcpyoEQF9TsE_Cvxl77XNU4/edit?usp=share_link"",""กาญจนบุรี!N137"")+IMPORTRANGE(""https://docs.google.com/spreadsheets/d/1njBaP_xXd-Uotvo2D9zb01TTCFkLJLDK97Tk1l9Qux0/edit?usp=share_li"&amp;"nk"",""จันทบุรี!N137"")+IMPORTRANGE(""https://docs.google.com/spreadsheets/d/14xp6qUzrGFnUk_qnc1eEmfiaNRd4_grkhpfQH_46fa8/edit?usp=share_link"",""ฉะเชิงเทรา!N137"")+IMPORTRANGE(""https://docs.google.com/spreadsheets/d/1_Zwps30dlVa-pZFsorjVf1Pil6WXwzCsJU0U"&amp;"2whO3NI/edit?usp=share_link"",""ชลบุรี!N137"")+IMPORTRANGE(""https://docs.google.com/spreadsheets/d/1xAsT4sUbBlom7l0acStESh_15nvjZcXjZM7fK5uZSq8/edit?usp=share_link"",""ชัยนาท!N137"")+IMPORTRANGE(""https://docs.google.com/spreadsheets/d/1vWPVBOAaZ6mHSI8yf"&amp;"95DNqHwTJ1cpeFsvqt6cxV34QA/edit?usp=share_link"",""ตราด!N137"")+IMPORTRANGE(""https://docs.google.com/spreadsheets/d/1phaeSb9lTGgzDpbvVqI9hfmOQQzUom07-HEvpbARzEg/edit?usp=share_link"",""นครนายก!N137"")+IMPORTRANGE(""https://docs.google.com/spreadsheets/d/"&amp;"1tpwhWwkqkBeiSWCcfB5f2fbwPRbM9hHOEDSDHpl2MIc/edit?usp=share_link"",""นครปฐม!N137"")+IMPORTRANGE(""https://docs.google.com/spreadsheets/d/1fJJCVBkBnhriyv0Cp5ZFMr0I_yrfdEITNpb4zILJgUQ/edit?usp=share_link"",""ปทุมธานี!N137"")+IMPORTRANGE(""https://docs.googl"&amp;"e.com/spreadsheets/d/1W5Jj_S0gYw6wSO7QcMI02YgyOBDKYgmm0NSUk-AQEac/edit?usp=share_link"",""ประจวบคีรีขันธ์!N137"")+IMPORTRANGE(""https://docs.google.com/spreadsheets/d/1nYxRXgnCfTXtqUY1otYuTlnrzE0Tn-Y0YRsW5pkRVqo/edit?usp=share_link"",""ปราจีนบุรี!N137"")+"&amp;"IMPORTRANGE(""https://docs.google.com/spreadsheets/d/1nNHCLO8ZAXOMfQvxux7cf_hrzPAh8FAvaHq_ClKbZNo/edit?usp=share_link"",""พระนครศรีอยุธยา!N137"")+IMPORTRANGE(""https://docs.google.com/spreadsheets/d/1CdNicvf3i6yt4tJlCePe3V1Va76wYqW0QzMzTsaGRrA/edit?usp=sh"&amp;"are_link"",""เพชรบุรี!N137"")+IMPORTRANGE(""https://docs.google.com/spreadsheets/d/1XiF77UIVHV0Kjc6xbXuOuJ10WgJYxd4p_22ngKVV5oM/edit?usp=share_link"",""ระยอง!N137"")+IMPORTRANGE(""https://docs.google.com/spreadsheets/d/1qU-W_9MCQD1pgIVXGEOjCFo9QqlmJywueby"&amp;"GgaN92r8/edit?usp=share_link"",""ราชบุรี!N137"")+IMPORTRANGE(""https://docs.google.com/spreadsheets/d/1xYFIxIM_CspAP5Q-5Zx_V0T_Ut3cjryrjd2hss28vGk/edit?usp=share_link"",""ลพบุรี!N137"")+IMPORTRANGE(""https://docs.google.com/spreadsheets/d/11s9m3tKsCBdPWq6"&amp;"syhZm27eBGbKneDLZc75co106bio/edit?usp=share_link"",""สระแก้ว!N137"")+IMPORTRANGE(""https://docs.google.com/spreadsheets/d/1Nn1EvsFPtXldgpgVb3Rcng2K2cls68LFQsBh2FyW0Bg/edit?usp=share_link"",""สระบุรี!N137"")+IMPORTRANGE(""https://docs.google.com/spreadshee"&amp;"ts/d/149xufxukrnEciK3WPbNpHwUK8BKEJxp3UcBG3Al6dA4/edit?usp=share_link"",""สิงห์บุรี!N137"")+IMPORTRANGE(""https://docs.google.com/spreadsheets/d/132g-zJpz2uMKimp17uOIx8A7o3w1Z25zwJyXnwsB56c/edit?usp=share_link"",""สุพรรณบุรี!N137"")+IMPORTRANGE(""https://"&amp;"docs.google.com/spreadsheets/d/12Q_U0nVnFdxDFwa0pej9xvx8ZvLC9Dpi_vRro_aiG5g/edit?usp=share_link"",""อ่างทอง!N137"")
"),224906.45)</f>
        <v>224906.45</v>
      </c>
      <c r="O137" s="45">
        <f t="shared" ca="1" si="88"/>
        <v>34.380165857759771</v>
      </c>
      <c r="P137" s="45">
        <f t="shared" ca="1" si="89"/>
        <v>62.744162365741388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20.25" customHeight="1">
      <c r="A138" s="159"/>
      <c r="B138" s="33"/>
      <c r="C138" s="160"/>
      <c r="D138" s="34" t="s">
        <v>21</v>
      </c>
      <c r="E138" s="33"/>
      <c r="F138" s="33"/>
      <c r="G138" s="35"/>
      <c r="H138" s="168" t="s">
        <v>12</v>
      </c>
      <c r="I138" s="162"/>
      <c r="J138" s="162"/>
      <c r="K138" s="163"/>
      <c r="L138" s="38">
        <f t="shared" ref="L138:N138" ca="1" si="93">L139+L140</f>
        <v>515000</v>
      </c>
      <c r="M138" s="38">
        <f t="shared" ca="1" si="93"/>
        <v>515000</v>
      </c>
      <c r="N138" s="38">
        <f t="shared" ca="1" si="93"/>
        <v>515000</v>
      </c>
      <c r="O138" s="38">
        <f t="shared" ca="1" si="88"/>
        <v>100</v>
      </c>
      <c r="P138" s="38">
        <f t="shared" ca="1" si="89"/>
        <v>100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20.25" hidden="1" customHeight="1">
      <c r="A139" s="156"/>
      <c r="B139" s="40"/>
      <c r="C139" s="164"/>
      <c r="D139" s="40"/>
      <c r="E139" s="41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45">
        <f t="shared" si="88"/>
        <v>0</v>
      </c>
      <c r="P139" s="45">
        <f t="shared" si="89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20.25" hidden="1" customHeight="1">
      <c r="A140" s="156"/>
      <c r="B140" s="40"/>
      <c r="C140" s="164"/>
      <c r="D140" s="40"/>
      <c r="E140" s="41" t="s">
        <v>19</v>
      </c>
      <c r="F140" s="40"/>
      <c r="G140" s="157"/>
      <c r="H140" s="169" t="s">
        <v>12</v>
      </c>
      <c r="I140" s="166"/>
      <c r="J140" s="166"/>
      <c r="K140" s="167"/>
      <c r="L140" s="45">
        <f ca="1">IFERROR(__xludf.DUMMYFUNCTION("IMPORTRANGE(""https://docs.google.com/spreadsheets/d/1hKO5uv94SSRZWOvrh72HRcpyoEQF9TsE_Cvxl77XNU4/edit?usp=share_link"",""กาญจนบุรี!L140"")+IMPORTRANGE(""https://docs.google.com/spreadsheets/d/1njBaP_xXd-Uotvo2D9zb01TTCFkLJLDK97Tk1l9Qux0/edit?usp=share_li"&amp;"nk"",""จันทบุรี!L140"")+IMPORTRANGE(""https://docs.google.com/spreadsheets/d/14xp6qUzrGFnUk_qnc1eEmfiaNRd4_grkhpfQH_46fa8/edit?usp=share_link"",""ฉะเชิงเทรา!L140"")+IMPORTRANGE(""https://docs.google.com/spreadsheets/d/1_Zwps30dlVa-pZFsorjVf1Pil6WXwzCsJU0U"&amp;"2whO3NI/edit?usp=share_link"",""ชลบุรี!L140"")+IMPORTRANGE(""https://docs.google.com/spreadsheets/d/1xAsT4sUbBlom7l0acStESh_15nvjZcXjZM7fK5uZSq8/edit?usp=share_link"",""ชัยนาท!L140"")+IMPORTRANGE(""https://docs.google.com/spreadsheets/d/1vWPVBOAaZ6mHSI8yf"&amp;"95DNqHwTJ1cpeFsvqt6cxV34QA/edit?usp=share_link"",""ตราด!L140"")+IMPORTRANGE(""https://docs.google.com/spreadsheets/d/1phaeSb9lTGgzDpbvVqI9hfmOQQzUom07-HEvpbARzEg/edit?usp=share_link"",""นครนายก!L140"")+IMPORTRANGE(""https://docs.google.com/spreadsheets/d/"&amp;"1tpwhWwkqkBeiSWCcfB5f2fbwPRbM9hHOEDSDHpl2MIc/edit?usp=share_link"",""นครปฐม!L140"")+IMPORTRANGE(""https://docs.google.com/spreadsheets/d/1fJJCVBkBnhriyv0Cp5ZFMr0I_yrfdEITNpb4zILJgUQ/edit?usp=share_link"",""ปทุมธานี!L140"")+IMPORTRANGE(""https://docs.googl"&amp;"e.com/spreadsheets/d/1W5Jj_S0gYw6wSO7QcMI02YgyOBDKYgmm0NSUk-AQEac/edit?usp=share_link"",""ประจวบคีรีขันธ์!L140"")+IMPORTRANGE(""https://docs.google.com/spreadsheets/d/1nYxRXgnCfTXtqUY1otYuTlnrzE0Tn-Y0YRsW5pkRVqo/edit?usp=share_link"",""ปราจีนบุรี!L140"")+"&amp;"IMPORTRANGE(""https://docs.google.com/spreadsheets/d/1nNHCLO8ZAXOMfQvxux7cf_hrzPAh8FAvaHq_ClKbZNo/edit?usp=share_link"",""พระนครศรีอยุธยา!L140"")+IMPORTRANGE(""https://docs.google.com/spreadsheets/d/1CdNicvf3i6yt4tJlCePe3V1Va76wYqW0QzMzTsaGRrA/edit?usp=sh"&amp;"are_link"",""เพชรบุรี!L140"")+IMPORTRANGE(""https://docs.google.com/spreadsheets/d/1XiF77UIVHV0Kjc6xbXuOuJ10WgJYxd4p_22ngKVV5oM/edit?usp=share_link"",""ระยอง!L140"")+IMPORTRANGE(""https://docs.google.com/spreadsheets/d/1qU-W_9MCQD1pgIVXGEOjCFo9QqlmJywueby"&amp;"GgaN92r8/edit?usp=share_link"",""ราชบุรี!L140"")+IMPORTRANGE(""https://docs.google.com/spreadsheets/d/1xYFIxIM_CspAP5Q-5Zx_V0T_Ut3cjryrjd2hss28vGk/edit?usp=share_link"",""ลพบุรี!L140"")+IMPORTRANGE(""https://docs.google.com/spreadsheets/d/11s9m3tKsCBdPWq6"&amp;"syhZm27eBGbKneDLZc75co106bio/edit?usp=share_link"",""สระแก้ว!L140"")+IMPORTRANGE(""https://docs.google.com/spreadsheets/d/1Nn1EvsFPtXldgpgVb3Rcng2K2cls68LFQsBh2FyW0Bg/edit?usp=share_link"",""สระบุรี!L140"")+IMPORTRANGE(""https://docs.google.com/spreadshee"&amp;"ts/d/149xufxukrnEciK3WPbNpHwUK8BKEJxp3UcBG3Al6dA4/edit?usp=share_link"",""สิงห์บุรี!L140"")+IMPORTRANGE(""https://docs.google.com/spreadsheets/d/132g-zJpz2uMKimp17uOIx8A7o3w1Z25zwJyXnwsB56c/edit?usp=share_link"",""สุพรรณบุรี!L140"")+IMPORTRANGE(""https://"&amp;"docs.google.com/spreadsheets/d/12Q_U0nVnFdxDFwa0pej9xvx8ZvLC9Dpi_vRro_aiG5g/edit?usp=share_link"",""อ่างทอง!L140"")
"),515000)</f>
        <v>515000</v>
      </c>
      <c r="M140" s="45">
        <f ca="1">IFERROR(__xludf.DUMMYFUNCTION("IMPORTRANGE(""https://docs.google.com/spreadsheets/d/1hKO5uv94SSRZWOvrh72HRcpyoEQF9TsE_Cvxl77XNU4/edit?usp=share_link"",""กาญจนบุรี!M140"")+IMPORTRANGE(""https://docs.google.com/spreadsheets/d/1njBaP_xXd-Uotvo2D9zb01TTCFkLJLDK97Tk1l9Qux0/edit?usp=share_li"&amp;"nk"",""จันทบุรี!M140"")+IMPORTRANGE(""https://docs.google.com/spreadsheets/d/14xp6qUzrGFnUk_qnc1eEmfiaNRd4_grkhpfQH_46fa8/edit?usp=share_link"",""ฉะเชิงเทรา!M140"")+IMPORTRANGE(""https://docs.google.com/spreadsheets/d/1_Zwps30dlVa-pZFsorjVf1Pil6WXwzCsJU0U"&amp;"2whO3NI/edit?usp=share_link"",""ชลบุรี!M140"")+IMPORTRANGE(""https://docs.google.com/spreadsheets/d/1xAsT4sUbBlom7l0acStESh_15nvjZcXjZM7fK5uZSq8/edit?usp=share_link"",""ชัยนาท!M140"")+IMPORTRANGE(""https://docs.google.com/spreadsheets/d/1vWPVBOAaZ6mHSI8yf"&amp;"95DNqHwTJ1cpeFsvqt6cxV34QA/edit?usp=share_link"",""ตราด!M140"")+IMPORTRANGE(""https://docs.google.com/spreadsheets/d/1phaeSb9lTGgzDpbvVqI9hfmOQQzUom07-HEvpbARzEg/edit?usp=share_link"",""นครนายก!M140"")+IMPORTRANGE(""https://docs.google.com/spreadsheets/d/"&amp;"1tpwhWwkqkBeiSWCcfB5f2fbwPRbM9hHOEDSDHpl2MIc/edit?usp=share_link"",""นครปฐม!M140"")+IMPORTRANGE(""https://docs.google.com/spreadsheets/d/1fJJCVBkBnhriyv0Cp5ZFMr0I_yrfdEITNpb4zILJgUQ/edit?usp=share_link"",""ปทุมธานี!M140"")+IMPORTRANGE(""https://docs.googl"&amp;"e.com/spreadsheets/d/1W5Jj_S0gYw6wSO7QcMI02YgyOBDKYgmm0NSUk-AQEac/edit?usp=share_link"",""ประจวบคีรีขันธ์!M140"")+IMPORTRANGE(""https://docs.google.com/spreadsheets/d/1nYxRXgnCfTXtqUY1otYuTlnrzE0Tn-Y0YRsW5pkRVqo/edit?usp=share_link"",""ปราจีนบุรี!M140"")+"&amp;"IMPORTRANGE(""https://docs.google.com/spreadsheets/d/1nNHCLO8ZAXOMfQvxux7cf_hrzPAh8FAvaHq_ClKbZNo/edit?usp=share_link"",""พระนครศรีอยุธยา!M140"")+IMPORTRANGE(""https://docs.google.com/spreadsheets/d/1CdNicvf3i6yt4tJlCePe3V1Va76wYqW0QzMzTsaGRrA/edit?usp=sh"&amp;"are_link"",""เพชรบุรี!M140"")+IMPORTRANGE(""https://docs.google.com/spreadsheets/d/1XiF77UIVHV0Kjc6xbXuOuJ10WgJYxd4p_22ngKVV5oM/edit?usp=share_link"",""ระยอง!M140"")+IMPORTRANGE(""https://docs.google.com/spreadsheets/d/1qU-W_9MCQD1pgIVXGEOjCFo9QqlmJywueby"&amp;"GgaN92r8/edit?usp=share_link"",""ราชบุรี!M140"")+IMPORTRANGE(""https://docs.google.com/spreadsheets/d/1xYFIxIM_CspAP5Q-5Zx_V0T_Ut3cjryrjd2hss28vGk/edit?usp=share_link"",""ลพบุรี!M140"")+IMPORTRANGE(""https://docs.google.com/spreadsheets/d/11s9m3tKsCBdPWq6"&amp;"syhZm27eBGbKneDLZc75co106bio/edit?usp=share_link"",""สระแก้ว!M140"")+IMPORTRANGE(""https://docs.google.com/spreadsheets/d/1Nn1EvsFPtXldgpgVb3Rcng2K2cls68LFQsBh2FyW0Bg/edit?usp=share_link"",""สระบุรี!M140"")+IMPORTRANGE(""https://docs.google.com/spreadshee"&amp;"ts/d/149xufxukrnEciK3WPbNpHwUK8BKEJxp3UcBG3Al6dA4/edit?usp=share_link"",""สิงห์บุรี!M140"")+IMPORTRANGE(""https://docs.google.com/spreadsheets/d/132g-zJpz2uMKimp17uOIx8A7o3w1Z25zwJyXnwsB56c/edit?usp=share_link"",""สุพรรณบุรี!M140"")+IMPORTRANGE(""https://"&amp;"docs.google.com/spreadsheets/d/12Q_U0nVnFdxDFwa0pej9xvx8ZvLC9Dpi_vRro_aiG5g/edit?usp=share_link"",""อ่างทอง!M140"")
"),515000)</f>
        <v>515000</v>
      </c>
      <c r="N140" s="45">
        <f ca="1">IFERROR(__xludf.DUMMYFUNCTION("IMPORTRANGE(""https://docs.google.com/spreadsheets/d/1hKO5uv94SSRZWOvrh72HRcpyoEQF9TsE_Cvxl77XNU4/edit?usp=share_link"",""กาญจนบุรี!N140"")+IMPORTRANGE(""https://docs.google.com/spreadsheets/d/1njBaP_xXd-Uotvo2D9zb01TTCFkLJLDK97Tk1l9Qux0/edit?usp=share_li"&amp;"nk"",""จันทบุรี!N140"")+IMPORTRANGE(""https://docs.google.com/spreadsheets/d/14xp6qUzrGFnUk_qnc1eEmfiaNRd4_grkhpfQH_46fa8/edit?usp=share_link"",""ฉะเชิงเทรา!N140"")+IMPORTRANGE(""https://docs.google.com/spreadsheets/d/1_Zwps30dlVa-pZFsorjVf1Pil6WXwzCsJU0U"&amp;"2whO3NI/edit?usp=share_link"",""ชลบุรี!N140"")+IMPORTRANGE(""https://docs.google.com/spreadsheets/d/1xAsT4sUbBlom7l0acStESh_15nvjZcXjZM7fK5uZSq8/edit?usp=share_link"",""ชัยนาท!N140"")+IMPORTRANGE(""https://docs.google.com/spreadsheets/d/1vWPVBOAaZ6mHSI8yf"&amp;"95DNqHwTJ1cpeFsvqt6cxV34QA/edit?usp=share_link"",""ตราด!N140"")+IMPORTRANGE(""https://docs.google.com/spreadsheets/d/1phaeSb9lTGgzDpbvVqI9hfmOQQzUom07-HEvpbARzEg/edit?usp=share_link"",""นครนายก!N140"")+IMPORTRANGE(""https://docs.google.com/spreadsheets/d/"&amp;"1tpwhWwkqkBeiSWCcfB5f2fbwPRbM9hHOEDSDHpl2MIc/edit?usp=share_link"",""นครปฐม!N140"")+IMPORTRANGE(""https://docs.google.com/spreadsheets/d/1fJJCVBkBnhriyv0Cp5ZFMr0I_yrfdEITNpb4zILJgUQ/edit?usp=share_link"",""ปทุมธานี!N140"")+IMPORTRANGE(""https://docs.googl"&amp;"e.com/spreadsheets/d/1W5Jj_S0gYw6wSO7QcMI02YgyOBDKYgmm0NSUk-AQEac/edit?usp=share_link"",""ประจวบคีรีขันธ์!N140"")+IMPORTRANGE(""https://docs.google.com/spreadsheets/d/1nYxRXgnCfTXtqUY1otYuTlnrzE0Tn-Y0YRsW5pkRVqo/edit?usp=share_link"",""ปราจีนบุรี!N140"")+"&amp;"IMPORTRANGE(""https://docs.google.com/spreadsheets/d/1nNHCLO8ZAXOMfQvxux7cf_hrzPAh8FAvaHq_ClKbZNo/edit?usp=share_link"",""พระนครศรีอยุธยา!N140"")+IMPORTRANGE(""https://docs.google.com/spreadsheets/d/1CdNicvf3i6yt4tJlCePe3V1Va76wYqW0QzMzTsaGRrA/edit?usp=sh"&amp;"are_link"",""เพชรบุรี!N140"")+IMPORTRANGE(""https://docs.google.com/spreadsheets/d/1XiF77UIVHV0Kjc6xbXuOuJ10WgJYxd4p_22ngKVV5oM/edit?usp=share_link"",""ระยอง!N140"")+IMPORTRANGE(""https://docs.google.com/spreadsheets/d/1qU-W_9MCQD1pgIVXGEOjCFo9QqlmJywueby"&amp;"GgaN92r8/edit?usp=share_link"",""ราชบุรี!N140"")+IMPORTRANGE(""https://docs.google.com/spreadsheets/d/1xYFIxIM_CspAP5Q-5Zx_V0T_Ut3cjryrjd2hss28vGk/edit?usp=share_link"",""ลพบุรี!N140"")+IMPORTRANGE(""https://docs.google.com/spreadsheets/d/11s9m3tKsCBdPWq6"&amp;"syhZm27eBGbKneDLZc75co106bio/edit?usp=share_link"",""สระแก้ว!N140"")+IMPORTRANGE(""https://docs.google.com/spreadsheets/d/1Nn1EvsFPtXldgpgVb3Rcng2K2cls68LFQsBh2FyW0Bg/edit?usp=share_link"",""สระบุรี!N140"")+IMPORTRANGE(""https://docs.google.com/spreadshee"&amp;"ts/d/149xufxukrnEciK3WPbNpHwUK8BKEJxp3UcBG3Al6dA4/edit?usp=share_link"",""สิงห์บุรี!N140"")+IMPORTRANGE(""https://docs.google.com/spreadsheets/d/132g-zJpz2uMKimp17uOIx8A7o3w1Z25zwJyXnwsB56c/edit?usp=share_link"",""สุพรรณบุรี!N140"")+IMPORTRANGE(""https://"&amp;"docs.google.com/spreadsheets/d/12Q_U0nVnFdxDFwa0pej9xvx8ZvLC9Dpi_vRro_aiG5g/edit?usp=share_link"",""อ่างทอง!N140"")
"),515000)</f>
        <v>515000</v>
      </c>
      <c r="O140" s="45">
        <f t="shared" ca="1" si="88"/>
        <v>100</v>
      </c>
      <c r="P140" s="45">
        <f t="shared" ca="1" si="89"/>
        <v>100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20.25" customHeight="1">
      <c r="A141" s="170"/>
      <c r="B141" s="171"/>
      <c r="C141" s="149" t="s">
        <v>16</v>
      </c>
      <c r="D141" s="172" t="s">
        <v>38</v>
      </c>
      <c r="E141" s="173"/>
      <c r="F141" s="173"/>
      <c r="G141" s="174"/>
      <c r="H141" s="168"/>
      <c r="I141" s="37"/>
      <c r="J141" s="37"/>
      <c r="K141" s="38"/>
      <c r="L141" s="38"/>
      <c r="M141" s="38"/>
      <c r="N141" s="38"/>
      <c r="O141" s="38"/>
      <c r="P141" s="38"/>
    </row>
    <row r="142" spans="1:26" ht="20.25" customHeight="1">
      <c r="A142" s="159"/>
      <c r="B142" s="33"/>
      <c r="C142" s="210"/>
      <c r="D142" s="211" t="s">
        <v>71</v>
      </c>
      <c r="E142" s="212"/>
      <c r="F142" s="33"/>
      <c r="G142" s="213"/>
      <c r="H142" s="168"/>
      <c r="I142" s="37"/>
      <c r="J142" s="214">
        <f ca="1">IFERROR(__xludf.DUMMYFUNCTION("IMPORTRANGE(""https://docs.google.com/spreadsheets/d/1hKO5uv94SSRZWOvrh72HRcpyoEQF9TsE_Cvxl77XNU4/edit?usp=share_link"",""กาญจนบุรี!J142"")+IMPORTRANGE(""https://docs.google.com/spreadsheets/d/1njBaP_xXd-Uotvo2D9zb01TTCFkLJLDK97Tk1l9Qux0/edit?usp=share_li"&amp;"nk"",""จันทบุรี!J142"")+IMPORTRANGE(""https://docs.google.com/spreadsheets/d/14xp6qUzrGFnUk_qnc1eEmfiaNRd4_grkhpfQH_46fa8/edit?usp=share_link"",""ฉะเชิงเทรา!J142"")+IMPORTRANGE(""https://docs.google.com/spreadsheets/d/1_Zwps30dlVa-pZFsorjVf1Pil6WXwzCsJU0U"&amp;"2whO3NI/edit?usp=share_link"",""ชลบุรี!J142"")+IMPORTRANGE(""https://docs.google.com/spreadsheets/d/1xAsT4sUbBlom7l0acStESh_15nvjZcXjZM7fK5uZSq8/edit?usp=share_link"",""ชัยนาท!J142"")+IMPORTRANGE(""https://docs.google.com/spreadsheets/d/1vWPVBOAaZ6mHSI8yf"&amp;"95DNqHwTJ1cpeFsvqt6cxV34QA/edit?usp=share_link"",""ตราด!J142"")+IMPORTRANGE(""https://docs.google.com/spreadsheets/d/1phaeSb9lTGgzDpbvVqI9hfmOQQzUom07-HEvpbARzEg/edit?usp=share_link"",""นครนายก!J142"")+IMPORTRANGE(""https://docs.google.com/spreadsheets/d/"&amp;"1tpwhWwkqkBeiSWCcfB5f2fbwPRbM9hHOEDSDHpl2MIc/edit?usp=share_link"",""นครปฐม!J142"")+IMPORTRANGE(""https://docs.google.com/spreadsheets/d/1fJJCVBkBnhriyv0Cp5ZFMr0I_yrfdEITNpb4zILJgUQ/edit?usp=share_link"",""ปทุมธานี!J142"")+IMPORTRANGE(""https://docs.googl"&amp;"e.com/spreadsheets/d/1W5Jj_S0gYw6wSO7QcMI02YgyOBDKYgmm0NSUk-AQEac/edit?usp=share_link"",""ประจวบคีรีขันธ์!J142"")+IMPORTRANGE(""https://docs.google.com/spreadsheets/d/1nYxRXgnCfTXtqUY1otYuTlnrzE0Tn-Y0YRsW5pkRVqo/edit?usp=share_link"",""ปราจีนบุรี!J142"")+"&amp;"IMPORTRANGE(""https://docs.google.com/spreadsheets/d/1nNHCLO8ZAXOMfQvxux7cf_hrzPAh8FAvaHq_ClKbZNo/edit?usp=share_link"",""พระนครศรีอยุธยา!J142"")+IMPORTRANGE(""https://docs.google.com/spreadsheets/d/1CdNicvf3i6yt4tJlCePe3V1Va76wYqW0QzMzTsaGRrA/edit?usp=sh"&amp;"are_link"",""เพชรบุรี!J142"")+IMPORTRANGE(""https://docs.google.com/spreadsheets/d/1XiF77UIVHV0Kjc6xbXuOuJ10WgJYxd4p_22ngKVV5oM/edit?usp=share_link"",""ระยอง!J142"")+IMPORTRANGE(""https://docs.google.com/spreadsheets/d/1qU-W_9MCQD1pgIVXGEOjCFo9QqlmJywueby"&amp;"GgaN92r8/edit?usp=share_link"",""ราชบุรี!J142"")+IMPORTRANGE(""https://docs.google.com/spreadsheets/d/1xYFIxIM_CspAP5Q-5Zx_V0T_Ut3cjryrjd2hss28vGk/edit?usp=share_link"",""ลพบุรี!J142"")+IMPORTRANGE(""https://docs.google.com/spreadsheets/d/11s9m3tKsCBdPWq6"&amp;"syhZm27eBGbKneDLZc75co106bio/edit?usp=share_link"",""สระแก้ว!J142"")+IMPORTRANGE(""https://docs.google.com/spreadsheets/d/1Nn1EvsFPtXldgpgVb3Rcng2K2cls68LFQsBh2FyW0Bg/edit?usp=share_link"",""สระบุรี!J142"")+IMPORTRANGE(""https://docs.google.com/spreadshee"&amp;"ts/d/149xufxukrnEciK3WPbNpHwUK8BKEJxp3UcBG3Al6dA4/edit?usp=share_link"",""สิงห์บุรี!J142"")+IMPORTRANGE(""https://docs.google.com/spreadsheets/d/132g-zJpz2uMKimp17uOIx8A7o3w1Z25zwJyXnwsB56c/edit?usp=share_link"",""สุพรรณบุรี!J142"")+IMPORTRANGE(""https://"&amp;"docs.google.com/spreadsheets/d/12Q_U0nVnFdxDFwa0pej9xvx8ZvLC9Dpi_vRro_aiG5g/edit?usp=share_link"",""อ่างทอง!J142"")
"),0)</f>
        <v>0</v>
      </c>
      <c r="K142" s="38"/>
      <c r="L142" s="38"/>
      <c r="M142" s="38"/>
      <c r="N142" s="38"/>
      <c r="O142" s="38"/>
      <c r="P142" s="38"/>
    </row>
    <row r="143" spans="1:26" ht="20.25" customHeight="1">
      <c r="A143" s="159"/>
      <c r="B143" s="33"/>
      <c r="C143" s="210"/>
      <c r="D143" s="215" t="s">
        <v>72</v>
      </c>
      <c r="E143" s="212"/>
      <c r="F143" s="33"/>
      <c r="G143" s="213"/>
      <c r="H143" s="168" t="s">
        <v>35</v>
      </c>
      <c r="I143" s="37">
        <f ca="1">I145</f>
        <v>50</v>
      </c>
      <c r="J143" s="37">
        <f ca="1">IF(AND(J144&gt;=I144,J145&gt;=I145),J145,0)</f>
        <v>0</v>
      </c>
      <c r="K143" s="38">
        <f t="shared" ref="K143:K146" ca="1" si="94">IF(I143&gt;0,J143*100/I143,0)</f>
        <v>0</v>
      </c>
      <c r="L143" s="38"/>
      <c r="M143" s="38"/>
      <c r="N143" s="38"/>
      <c r="O143" s="38"/>
      <c r="P143" s="38"/>
    </row>
    <row r="144" spans="1:26" ht="20.25" customHeight="1">
      <c r="A144" s="159"/>
      <c r="B144" s="33"/>
      <c r="C144" s="210"/>
      <c r="D144" s="178"/>
      <c r="E144" s="211" t="s">
        <v>73</v>
      </c>
      <c r="F144" s="33"/>
      <c r="G144" s="213"/>
      <c r="H144" s="168" t="s">
        <v>35</v>
      </c>
      <c r="I144" s="37">
        <f ca="1">IFERROR(__xludf.DUMMYFUNCTION("IMPORTRANGE(""https://docs.google.com/spreadsheets/d/1hKO5uv94SSRZWOvrh72HRcpyoEQF9TsE_Cvxl77XNU4/edit?usp=share_link"",""กาญจนบุรี!I144"")+IMPORTRANGE(""https://docs.google.com/spreadsheets/d/1njBaP_xXd-Uotvo2D9zb01TTCFkLJLDK97Tk1l9Qux0/edit?usp=share_li"&amp;"nk"",""จันทบุรี!I144"")+IMPORTRANGE(""https://docs.google.com/spreadsheets/d/14xp6qUzrGFnUk_qnc1eEmfiaNRd4_grkhpfQH_46fa8/edit?usp=share_link"",""ฉะเชิงเทรา!I144"")+IMPORTRANGE(""https://docs.google.com/spreadsheets/d/1_Zwps30dlVa-pZFsorjVf1Pil6WXwzCsJU0U"&amp;"2whO3NI/edit?usp=share_link"",""ชลบุรี!I144"")+IMPORTRANGE(""https://docs.google.com/spreadsheets/d/1xAsT4sUbBlom7l0acStESh_15nvjZcXjZM7fK5uZSq8/edit?usp=share_link"",""ชัยนาท!I144"")+IMPORTRANGE(""https://docs.google.com/spreadsheets/d/1vWPVBOAaZ6mHSI8yf"&amp;"95DNqHwTJ1cpeFsvqt6cxV34QA/edit?usp=share_link"",""ตราด!I144"")+IMPORTRANGE(""https://docs.google.com/spreadsheets/d/1phaeSb9lTGgzDpbvVqI9hfmOQQzUom07-HEvpbARzEg/edit?usp=share_link"",""นครนายก!I144"")+IMPORTRANGE(""https://docs.google.com/spreadsheets/d/"&amp;"1tpwhWwkqkBeiSWCcfB5f2fbwPRbM9hHOEDSDHpl2MIc/edit?usp=share_link"",""นครปฐม!I144"")+IMPORTRANGE(""https://docs.google.com/spreadsheets/d/1fJJCVBkBnhriyv0Cp5ZFMr0I_yrfdEITNpb4zILJgUQ/edit?usp=share_link"",""ปทุมธานี!I144"")+IMPORTRANGE(""https://docs.googl"&amp;"e.com/spreadsheets/d/1W5Jj_S0gYw6wSO7QcMI02YgyOBDKYgmm0NSUk-AQEac/edit?usp=share_link"",""ประจวบคีรีขันธ์!I144"")+IMPORTRANGE(""https://docs.google.com/spreadsheets/d/1nYxRXgnCfTXtqUY1otYuTlnrzE0Tn-Y0YRsW5pkRVqo/edit?usp=share_link"",""ปราจีนบุรี!I144"")+"&amp;"IMPORTRANGE(""https://docs.google.com/spreadsheets/d/1nNHCLO8ZAXOMfQvxux7cf_hrzPAh8FAvaHq_ClKbZNo/edit?usp=share_link"",""พระนครศรีอยุธยา!I144"")+IMPORTRANGE(""https://docs.google.com/spreadsheets/d/1CdNicvf3i6yt4tJlCePe3V1Va76wYqW0QzMzTsaGRrA/edit?usp=sh"&amp;"are_link"",""เพชรบุรี!I144"")+IMPORTRANGE(""https://docs.google.com/spreadsheets/d/1XiF77UIVHV0Kjc6xbXuOuJ10WgJYxd4p_22ngKVV5oM/edit?usp=share_link"",""ระยอง!I144"")+IMPORTRANGE(""https://docs.google.com/spreadsheets/d/1qU-W_9MCQD1pgIVXGEOjCFo9QqlmJywueby"&amp;"GgaN92r8/edit?usp=share_link"",""ราชบุรี!I144"")+IMPORTRANGE(""https://docs.google.com/spreadsheets/d/1xYFIxIM_CspAP5Q-5Zx_V0T_Ut3cjryrjd2hss28vGk/edit?usp=share_link"",""ลพบุรี!I144"")+IMPORTRANGE(""https://docs.google.com/spreadsheets/d/11s9m3tKsCBdPWq6"&amp;"syhZm27eBGbKneDLZc75co106bio/edit?usp=share_link"",""สระแก้ว!I144"")+IMPORTRANGE(""https://docs.google.com/spreadsheets/d/1Nn1EvsFPtXldgpgVb3Rcng2K2cls68LFQsBh2FyW0Bg/edit?usp=share_link"",""สระบุรี!I144"")+IMPORTRANGE(""https://docs.google.com/spreadshee"&amp;"ts/d/149xufxukrnEciK3WPbNpHwUK8BKEJxp3UcBG3Al6dA4/edit?usp=share_link"",""สิงห์บุรี!I144"")+IMPORTRANGE(""https://docs.google.com/spreadsheets/d/132g-zJpz2uMKimp17uOIx8A7o3w1Z25zwJyXnwsB56c/edit?usp=share_link"",""สุพรรณบุรี!I144"")+IMPORTRANGE(""https://"&amp;"docs.google.com/spreadsheets/d/12Q_U0nVnFdxDFwa0pej9xvx8ZvLC9Dpi_vRro_aiG5g/edit?usp=share_link"",""อ่างทอง!I144"")
"),25)</f>
        <v>25</v>
      </c>
      <c r="J144" s="183">
        <f ca="1">IFERROR(__xludf.DUMMYFUNCTION("IMPORTRANGE(""https://docs.google.com/spreadsheets/d/1hKO5uv94SSRZWOvrh72HRcpyoEQF9TsE_Cvxl77XNU4/edit?usp=share_link"",""กาญจนบุรี!J144"")+IMPORTRANGE(""https://docs.google.com/spreadsheets/d/1njBaP_xXd-Uotvo2D9zb01TTCFkLJLDK97Tk1l9Qux0/edit?usp=share_li"&amp;"nk"",""จันทบุรี!J144"")+IMPORTRANGE(""https://docs.google.com/spreadsheets/d/14xp6qUzrGFnUk_qnc1eEmfiaNRd4_grkhpfQH_46fa8/edit?usp=share_link"",""ฉะเชิงเทรา!J144"")+IMPORTRANGE(""https://docs.google.com/spreadsheets/d/1_Zwps30dlVa-pZFsorjVf1Pil6WXwzCsJU0U"&amp;"2whO3NI/edit?usp=share_link"",""ชลบุรี!J144"")+IMPORTRANGE(""https://docs.google.com/spreadsheets/d/1xAsT4sUbBlom7l0acStESh_15nvjZcXjZM7fK5uZSq8/edit?usp=share_link"",""ชัยนาท!J144"")+IMPORTRANGE(""https://docs.google.com/spreadsheets/d/1vWPVBOAaZ6mHSI8yf"&amp;"95DNqHwTJ1cpeFsvqt6cxV34QA/edit?usp=share_link"",""ตราด!J144"")+IMPORTRANGE(""https://docs.google.com/spreadsheets/d/1phaeSb9lTGgzDpbvVqI9hfmOQQzUom07-HEvpbARzEg/edit?usp=share_link"",""นครนายก!J144"")+IMPORTRANGE(""https://docs.google.com/spreadsheets/d/"&amp;"1tpwhWwkqkBeiSWCcfB5f2fbwPRbM9hHOEDSDHpl2MIc/edit?usp=share_link"",""นครปฐม!J144"")+IMPORTRANGE(""https://docs.google.com/spreadsheets/d/1fJJCVBkBnhriyv0Cp5ZFMr0I_yrfdEITNpb4zILJgUQ/edit?usp=share_link"",""ปทุมธานี!J144"")+IMPORTRANGE(""https://docs.googl"&amp;"e.com/spreadsheets/d/1W5Jj_S0gYw6wSO7QcMI02YgyOBDKYgmm0NSUk-AQEac/edit?usp=share_link"",""ประจวบคีรีขันธ์!J144"")+IMPORTRANGE(""https://docs.google.com/spreadsheets/d/1nYxRXgnCfTXtqUY1otYuTlnrzE0Tn-Y0YRsW5pkRVqo/edit?usp=share_link"",""ปราจีนบุรี!J144"")+"&amp;"IMPORTRANGE(""https://docs.google.com/spreadsheets/d/1nNHCLO8ZAXOMfQvxux7cf_hrzPAh8FAvaHq_ClKbZNo/edit?usp=share_link"",""พระนครศรีอยุธยา!J144"")+IMPORTRANGE(""https://docs.google.com/spreadsheets/d/1CdNicvf3i6yt4tJlCePe3V1Va76wYqW0QzMzTsaGRrA/edit?usp=sh"&amp;"are_link"",""เพชรบุรี!J144"")+IMPORTRANGE(""https://docs.google.com/spreadsheets/d/1XiF77UIVHV0Kjc6xbXuOuJ10WgJYxd4p_22ngKVV5oM/edit?usp=share_link"",""ระยอง!J144"")+IMPORTRANGE(""https://docs.google.com/spreadsheets/d/1qU-W_9MCQD1pgIVXGEOjCFo9QqlmJywueby"&amp;"GgaN92r8/edit?usp=share_link"",""ราชบุรี!J144"")+IMPORTRANGE(""https://docs.google.com/spreadsheets/d/1xYFIxIM_CspAP5Q-5Zx_V0T_Ut3cjryrjd2hss28vGk/edit?usp=share_link"",""ลพบุรี!J144"")+IMPORTRANGE(""https://docs.google.com/spreadsheets/d/11s9m3tKsCBdPWq6"&amp;"syhZm27eBGbKneDLZc75co106bio/edit?usp=share_link"",""สระแก้ว!J144"")+IMPORTRANGE(""https://docs.google.com/spreadsheets/d/1Nn1EvsFPtXldgpgVb3Rcng2K2cls68LFQsBh2FyW0Bg/edit?usp=share_link"",""สระบุรี!J144"")+IMPORTRANGE(""https://docs.google.com/spreadshee"&amp;"ts/d/149xufxukrnEciK3WPbNpHwUK8BKEJxp3UcBG3Al6dA4/edit?usp=share_link"",""สิงห์บุรี!J144"")+IMPORTRANGE(""https://docs.google.com/spreadsheets/d/132g-zJpz2uMKimp17uOIx8A7o3w1Z25zwJyXnwsB56c/edit?usp=share_link"",""สุพรรณบุรี!J144"")+IMPORTRANGE(""https://"&amp;"docs.google.com/spreadsheets/d/12Q_U0nVnFdxDFwa0pej9xvx8ZvLC9Dpi_vRro_aiG5g/edit?usp=share_link"",""อ่างทอง!J144"")
"),40)</f>
        <v>40</v>
      </c>
      <c r="K144" s="38">
        <f t="shared" ca="1" si="94"/>
        <v>160</v>
      </c>
      <c r="L144" s="38"/>
      <c r="M144" s="38"/>
      <c r="N144" s="38"/>
      <c r="O144" s="38"/>
      <c r="P144" s="38"/>
    </row>
    <row r="145" spans="1:26" ht="20.25" customHeight="1">
      <c r="A145" s="159"/>
      <c r="B145" s="33"/>
      <c r="C145" s="210"/>
      <c r="D145" s="178"/>
      <c r="E145" s="211" t="s">
        <v>74</v>
      </c>
      <c r="F145" s="33"/>
      <c r="G145" s="213"/>
      <c r="H145" s="168" t="s">
        <v>35</v>
      </c>
      <c r="I145" s="37">
        <f ca="1">IFERROR(__xludf.DUMMYFUNCTION("IMPORTRANGE(""https://docs.google.com/spreadsheets/d/1hKO5uv94SSRZWOvrh72HRcpyoEQF9TsE_Cvxl77XNU4/edit?usp=share_link"",""กาญจนบุรี!I145"")+IMPORTRANGE(""https://docs.google.com/spreadsheets/d/1njBaP_xXd-Uotvo2D9zb01TTCFkLJLDK97Tk1l9Qux0/edit?usp=share_li"&amp;"nk"",""จันทบุรี!I145"")+IMPORTRANGE(""https://docs.google.com/spreadsheets/d/14xp6qUzrGFnUk_qnc1eEmfiaNRd4_grkhpfQH_46fa8/edit?usp=share_link"",""ฉะเชิงเทรา!I145"")+IMPORTRANGE(""https://docs.google.com/spreadsheets/d/1_Zwps30dlVa-pZFsorjVf1Pil6WXwzCsJU0U"&amp;"2whO3NI/edit?usp=share_link"",""ชลบุรี!I145"")+IMPORTRANGE(""https://docs.google.com/spreadsheets/d/1xAsT4sUbBlom7l0acStESh_15nvjZcXjZM7fK5uZSq8/edit?usp=share_link"",""ชัยนาท!I145"")+IMPORTRANGE(""https://docs.google.com/spreadsheets/d/1vWPVBOAaZ6mHSI8yf"&amp;"95DNqHwTJ1cpeFsvqt6cxV34QA/edit?usp=share_link"",""ตราด!I145"")+IMPORTRANGE(""https://docs.google.com/spreadsheets/d/1phaeSb9lTGgzDpbvVqI9hfmOQQzUom07-HEvpbARzEg/edit?usp=share_link"",""นครนายก!I145"")+IMPORTRANGE(""https://docs.google.com/spreadsheets/d/"&amp;"1tpwhWwkqkBeiSWCcfB5f2fbwPRbM9hHOEDSDHpl2MIc/edit?usp=share_link"",""นครปฐม!I145"")+IMPORTRANGE(""https://docs.google.com/spreadsheets/d/1fJJCVBkBnhriyv0Cp5ZFMr0I_yrfdEITNpb4zILJgUQ/edit?usp=share_link"",""ปทุมธานี!I145"")+IMPORTRANGE(""https://docs.googl"&amp;"e.com/spreadsheets/d/1W5Jj_S0gYw6wSO7QcMI02YgyOBDKYgmm0NSUk-AQEac/edit?usp=share_link"",""ประจวบคีรีขันธ์!I145"")+IMPORTRANGE(""https://docs.google.com/spreadsheets/d/1nYxRXgnCfTXtqUY1otYuTlnrzE0Tn-Y0YRsW5pkRVqo/edit?usp=share_link"",""ปราจีนบุรี!I145"")+"&amp;"IMPORTRANGE(""https://docs.google.com/spreadsheets/d/1nNHCLO8ZAXOMfQvxux7cf_hrzPAh8FAvaHq_ClKbZNo/edit?usp=share_link"",""พระนครศรีอยุธยา!I145"")+IMPORTRANGE(""https://docs.google.com/spreadsheets/d/1CdNicvf3i6yt4tJlCePe3V1Va76wYqW0QzMzTsaGRrA/edit?usp=sh"&amp;"are_link"",""เพชรบุรี!I145"")+IMPORTRANGE(""https://docs.google.com/spreadsheets/d/1XiF77UIVHV0Kjc6xbXuOuJ10WgJYxd4p_22ngKVV5oM/edit?usp=share_link"",""ระยอง!I145"")+IMPORTRANGE(""https://docs.google.com/spreadsheets/d/1qU-W_9MCQD1pgIVXGEOjCFo9QqlmJywueby"&amp;"GgaN92r8/edit?usp=share_link"",""ราชบุรี!I145"")+IMPORTRANGE(""https://docs.google.com/spreadsheets/d/1xYFIxIM_CspAP5Q-5Zx_V0T_Ut3cjryrjd2hss28vGk/edit?usp=share_link"",""ลพบุรี!I145"")+IMPORTRANGE(""https://docs.google.com/spreadsheets/d/11s9m3tKsCBdPWq6"&amp;"syhZm27eBGbKneDLZc75co106bio/edit?usp=share_link"",""สระแก้ว!I145"")+IMPORTRANGE(""https://docs.google.com/spreadsheets/d/1Nn1EvsFPtXldgpgVb3Rcng2K2cls68LFQsBh2FyW0Bg/edit?usp=share_link"",""สระบุรี!I145"")+IMPORTRANGE(""https://docs.google.com/spreadshee"&amp;"ts/d/149xufxukrnEciK3WPbNpHwUK8BKEJxp3UcBG3Al6dA4/edit?usp=share_link"",""สิงห์บุรี!I145"")+IMPORTRANGE(""https://docs.google.com/spreadsheets/d/132g-zJpz2uMKimp17uOIx8A7o3w1Z25zwJyXnwsB56c/edit?usp=share_link"",""สุพรรณบุรี!I145"")+IMPORTRANGE(""https://"&amp;"docs.google.com/spreadsheets/d/12Q_U0nVnFdxDFwa0pej9xvx8ZvLC9Dpi_vRro_aiG5g/edit?usp=share_link"",""อ่างทอง!I145"")
"),50)</f>
        <v>50</v>
      </c>
      <c r="J145" s="183">
        <f ca="1">IFERROR(__xludf.DUMMYFUNCTION("IMPORTRANGE(""https://docs.google.com/spreadsheets/d/1hKO5uv94SSRZWOvrh72HRcpyoEQF9TsE_Cvxl77XNU4/edit?usp=share_link"",""กาญจนบุรี!J145"")+IMPORTRANGE(""https://docs.google.com/spreadsheets/d/1njBaP_xXd-Uotvo2D9zb01TTCFkLJLDK97Tk1l9Qux0/edit?usp=share_li"&amp;"nk"",""จันทบุรี!J145"")+IMPORTRANGE(""https://docs.google.com/spreadsheets/d/14xp6qUzrGFnUk_qnc1eEmfiaNRd4_grkhpfQH_46fa8/edit?usp=share_link"",""ฉะเชิงเทรา!J145"")+IMPORTRANGE(""https://docs.google.com/spreadsheets/d/1_Zwps30dlVa-pZFsorjVf1Pil6WXwzCsJU0U"&amp;"2whO3NI/edit?usp=share_link"",""ชลบุรี!J145"")+IMPORTRANGE(""https://docs.google.com/spreadsheets/d/1xAsT4sUbBlom7l0acStESh_15nvjZcXjZM7fK5uZSq8/edit?usp=share_link"",""ชัยนาท!J145"")+IMPORTRANGE(""https://docs.google.com/spreadsheets/d/1vWPVBOAaZ6mHSI8yf"&amp;"95DNqHwTJ1cpeFsvqt6cxV34QA/edit?usp=share_link"",""ตราด!J145"")+IMPORTRANGE(""https://docs.google.com/spreadsheets/d/1phaeSb9lTGgzDpbvVqI9hfmOQQzUom07-HEvpbARzEg/edit?usp=share_link"",""นครนายก!J145"")+IMPORTRANGE(""https://docs.google.com/spreadsheets/d/"&amp;"1tpwhWwkqkBeiSWCcfB5f2fbwPRbM9hHOEDSDHpl2MIc/edit?usp=share_link"",""นครปฐม!J145"")+IMPORTRANGE(""https://docs.google.com/spreadsheets/d/1fJJCVBkBnhriyv0Cp5ZFMr0I_yrfdEITNpb4zILJgUQ/edit?usp=share_link"",""ปทุมธานี!J145"")+IMPORTRANGE(""https://docs.googl"&amp;"e.com/spreadsheets/d/1W5Jj_S0gYw6wSO7QcMI02YgyOBDKYgmm0NSUk-AQEac/edit?usp=share_link"",""ประจวบคีรีขันธ์!J145"")+IMPORTRANGE(""https://docs.google.com/spreadsheets/d/1nYxRXgnCfTXtqUY1otYuTlnrzE0Tn-Y0YRsW5pkRVqo/edit?usp=share_link"",""ปราจีนบุรี!J145"")+"&amp;"IMPORTRANGE(""https://docs.google.com/spreadsheets/d/1nNHCLO8ZAXOMfQvxux7cf_hrzPAh8FAvaHq_ClKbZNo/edit?usp=share_link"",""พระนครศรีอยุธยา!J145"")+IMPORTRANGE(""https://docs.google.com/spreadsheets/d/1CdNicvf3i6yt4tJlCePe3V1Va76wYqW0QzMzTsaGRrA/edit?usp=sh"&amp;"are_link"",""เพชรบุรี!J145"")+IMPORTRANGE(""https://docs.google.com/spreadsheets/d/1XiF77UIVHV0Kjc6xbXuOuJ10WgJYxd4p_22ngKVV5oM/edit?usp=share_link"",""ระยอง!J145"")+IMPORTRANGE(""https://docs.google.com/spreadsheets/d/1qU-W_9MCQD1pgIVXGEOjCFo9QqlmJywueby"&amp;"GgaN92r8/edit?usp=share_link"",""ราชบุรี!J145"")+IMPORTRANGE(""https://docs.google.com/spreadsheets/d/1xYFIxIM_CspAP5Q-5Zx_V0T_Ut3cjryrjd2hss28vGk/edit?usp=share_link"",""ลพบุรี!J145"")+IMPORTRANGE(""https://docs.google.com/spreadsheets/d/11s9m3tKsCBdPWq6"&amp;"syhZm27eBGbKneDLZc75co106bio/edit?usp=share_link"",""สระแก้ว!J145"")+IMPORTRANGE(""https://docs.google.com/spreadsheets/d/1Nn1EvsFPtXldgpgVb3Rcng2K2cls68LFQsBh2FyW0Bg/edit?usp=share_link"",""สระบุรี!J145"")+IMPORTRANGE(""https://docs.google.com/spreadshee"&amp;"ts/d/149xufxukrnEciK3WPbNpHwUK8BKEJxp3UcBG3Al6dA4/edit?usp=share_link"",""สิงห์บุรี!J145"")+IMPORTRANGE(""https://docs.google.com/spreadsheets/d/132g-zJpz2uMKimp17uOIx8A7o3w1Z25zwJyXnwsB56c/edit?usp=share_link"",""สุพรรณบุรี!J145"")+IMPORTRANGE(""https://"&amp;"docs.google.com/spreadsheets/d/12Q_U0nVnFdxDFwa0pej9xvx8ZvLC9Dpi_vRro_aiG5g/edit?usp=share_link"",""อ่างทอง!J145"")
"),40)</f>
        <v>40</v>
      </c>
      <c r="K145" s="38">
        <f t="shared" ca="1" si="94"/>
        <v>80</v>
      </c>
      <c r="L145" s="38"/>
      <c r="M145" s="38"/>
      <c r="N145" s="38"/>
      <c r="O145" s="38"/>
      <c r="P145" s="38"/>
    </row>
    <row r="146" spans="1:26" ht="20.25" customHeight="1">
      <c r="A146" s="159"/>
      <c r="B146" s="33"/>
      <c r="C146" s="210"/>
      <c r="D146" s="211" t="s">
        <v>75</v>
      </c>
      <c r="E146" s="212"/>
      <c r="F146" s="33"/>
      <c r="G146" s="213"/>
      <c r="H146" s="168" t="s">
        <v>69</v>
      </c>
      <c r="I146" s="37">
        <f ca="1">IFERROR(__xludf.DUMMYFUNCTION("IMPORTRANGE(""https://docs.google.com/spreadsheets/d/1hKO5uv94SSRZWOvrh72HRcpyoEQF9TsE_Cvxl77XNU4/edit?usp=share_link"",""กาญจนบุรี!I146"")+IMPORTRANGE(""https://docs.google.com/spreadsheets/d/1njBaP_xXd-Uotvo2D9zb01TTCFkLJLDK97Tk1l9Qux0/edit?usp=share_li"&amp;"nk"",""จันทบุรี!I146"")+IMPORTRANGE(""https://docs.google.com/spreadsheets/d/14xp6qUzrGFnUk_qnc1eEmfiaNRd4_grkhpfQH_46fa8/edit?usp=share_link"",""ฉะเชิงเทรา!I146"")+IMPORTRANGE(""https://docs.google.com/spreadsheets/d/1_Zwps30dlVa-pZFsorjVf1Pil6WXwzCsJU0U"&amp;"2whO3NI/edit?usp=share_link"",""ชลบุรี!I146"")+IMPORTRANGE(""https://docs.google.com/spreadsheets/d/1xAsT4sUbBlom7l0acStESh_15nvjZcXjZM7fK5uZSq8/edit?usp=share_link"",""ชัยนาท!I146"")+IMPORTRANGE(""https://docs.google.com/spreadsheets/d/1vWPVBOAaZ6mHSI8yf"&amp;"95DNqHwTJ1cpeFsvqt6cxV34QA/edit?usp=share_link"",""ตราด!I146"")+IMPORTRANGE(""https://docs.google.com/spreadsheets/d/1phaeSb9lTGgzDpbvVqI9hfmOQQzUom07-HEvpbARzEg/edit?usp=share_link"",""นครนายก!I146"")+IMPORTRANGE(""https://docs.google.com/spreadsheets/d/"&amp;"1tpwhWwkqkBeiSWCcfB5f2fbwPRbM9hHOEDSDHpl2MIc/edit?usp=share_link"",""นครปฐม!I146"")+IMPORTRANGE(""https://docs.google.com/spreadsheets/d/1fJJCVBkBnhriyv0Cp5ZFMr0I_yrfdEITNpb4zILJgUQ/edit?usp=share_link"",""ปทุมธานี!I146"")+IMPORTRANGE(""https://docs.googl"&amp;"e.com/spreadsheets/d/1W5Jj_S0gYw6wSO7QcMI02YgyOBDKYgmm0NSUk-AQEac/edit?usp=share_link"",""ประจวบคีรีขันธ์!I146"")+IMPORTRANGE(""https://docs.google.com/spreadsheets/d/1nYxRXgnCfTXtqUY1otYuTlnrzE0Tn-Y0YRsW5pkRVqo/edit?usp=share_link"",""ปราจีนบุรี!I146"")+"&amp;"IMPORTRANGE(""https://docs.google.com/spreadsheets/d/1nNHCLO8ZAXOMfQvxux7cf_hrzPAh8FAvaHq_ClKbZNo/edit?usp=share_link"",""พระนครศรีอยุธยา!I146"")+IMPORTRANGE(""https://docs.google.com/spreadsheets/d/1CdNicvf3i6yt4tJlCePe3V1Va76wYqW0QzMzTsaGRrA/edit?usp=sh"&amp;"are_link"",""เพชรบุรี!I146"")+IMPORTRANGE(""https://docs.google.com/spreadsheets/d/1XiF77UIVHV0Kjc6xbXuOuJ10WgJYxd4p_22ngKVV5oM/edit?usp=share_link"",""ระยอง!I146"")+IMPORTRANGE(""https://docs.google.com/spreadsheets/d/1qU-W_9MCQD1pgIVXGEOjCFo9QqlmJywueby"&amp;"GgaN92r8/edit?usp=share_link"",""ราชบุรี!I146"")+IMPORTRANGE(""https://docs.google.com/spreadsheets/d/1xYFIxIM_CspAP5Q-5Zx_V0T_Ut3cjryrjd2hss28vGk/edit?usp=share_link"",""ลพบุรี!I146"")+IMPORTRANGE(""https://docs.google.com/spreadsheets/d/11s9m3tKsCBdPWq6"&amp;"syhZm27eBGbKneDLZc75co106bio/edit?usp=share_link"",""สระแก้ว!I146"")+IMPORTRANGE(""https://docs.google.com/spreadsheets/d/1Nn1EvsFPtXldgpgVb3Rcng2K2cls68LFQsBh2FyW0Bg/edit?usp=share_link"",""สระบุรี!I146"")+IMPORTRANGE(""https://docs.google.com/spreadshee"&amp;"ts/d/149xufxukrnEciK3WPbNpHwUK8BKEJxp3UcBG3Al6dA4/edit?usp=share_link"",""สิงห์บุรี!I146"")+IMPORTRANGE(""https://docs.google.com/spreadsheets/d/132g-zJpz2uMKimp17uOIx8A7o3w1Z25zwJyXnwsB56c/edit?usp=share_link"",""สุพรรณบุรี!I146"")+IMPORTRANGE(""https://"&amp;"docs.google.com/spreadsheets/d/12Q_U0nVnFdxDFwa0pej9xvx8ZvLC9Dpi_vRro_aiG5g/edit?usp=share_link"",""อ่างทอง!I146"")
"),5)</f>
        <v>5</v>
      </c>
      <c r="J146" s="183">
        <f ca="1">IFERROR(__xludf.DUMMYFUNCTION("IMPORTRANGE(""https://docs.google.com/spreadsheets/d/1hKO5uv94SSRZWOvrh72HRcpyoEQF9TsE_Cvxl77XNU4/edit?usp=share_link"",""กาญจนบุรี!J146"")+IMPORTRANGE(""https://docs.google.com/spreadsheets/d/1njBaP_xXd-Uotvo2D9zb01TTCFkLJLDK97Tk1l9Qux0/edit?usp=share_li"&amp;"nk"",""จันทบุรี!J146"")+IMPORTRANGE(""https://docs.google.com/spreadsheets/d/14xp6qUzrGFnUk_qnc1eEmfiaNRd4_grkhpfQH_46fa8/edit?usp=share_link"",""ฉะเชิงเทรา!J146"")+IMPORTRANGE(""https://docs.google.com/spreadsheets/d/1_Zwps30dlVa-pZFsorjVf1Pil6WXwzCsJU0U"&amp;"2whO3NI/edit?usp=share_link"",""ชลบุรี!J146"")+IMPORTRANGE(""https://docs.google.com/spreadsheets/d/1xAsT4sUbBlom7l0acStESh_15nvjZcXjZM7fK5uZSq8/edit?usp=share_link"",""ชัยนาท!J146"")+IMPORTRANGE(""https://docs.google.com/spreadsheets/d/1vWPVBOAaZ6mHSI8yf"&amp;"95DNqHwTJ1cpeFsvqt6cxV34QA/edit?usp=share_link"",""ตราด!J146"")+IMPORTRANGE(""https://docs.google.com/spreadsheets/d/1phaeSb9lTGgzDpbvVqI9hfmOQQzUom07-HEvpbARzEg/edit?usp=share_link"",""นครนายก!J146"")+IMPORTRANGE(""https://docs.google.com/spreadsheets/d/"&amp;"1tpwhWwkqkBeiSWCcfB5f2fbwPRbM9hHOEDSDHpl2MIc/edit?usp=share_link"",""นครปฐม!J146"")+IMPORTRANGE(""https://docs.google.com/spreadsheets/d/1fJJCVBkBnhriyv0Cp5ZFMr0I_yrfdEITNpb4zILJgUQ/edit?usp=share_link"",""ปทุมธานี!J146"")+IMPORTRANGE(""https://docs.googl"&amp;"e.com/spreadsheets/d/1W5Jj_S0gYw6wSO7QcMI02YgyOBDKYgmm0NSUk-AQEac/edit?usp=share_link"",""ประจวบคีรีขันธ์!J146"")+IMPORTRANGE(""https://docs.google.com/spreadsheets/d/1nYxRXgnCfTXtqUY1otYuTlnrzE0Tn-Y0YRsW5pkRVqo/edit?usp=share_link"",""ปราจีนบุรี!J146"")+"&amp;"IMPORTRANGE(""https://docs.google.com/spreadsheets/d/1nNHCLO8ZAXOMfQvxux7cf_hrzPAh8FAvaHq_ClKbZNo/edit?usp=share_link"",""พระนครศรีอยุธยา!J146"")+IMPORTRANGE(""https://docs.google.com/spreadsheets/d/1CdNicvf3i6yt4tJlCePe3V1Va76wYqW0QzMzTsaGRrA/edit?usp=sh"&amp;"are_link"",""เพชรบุรี!J146"")+IMPORTRANGE(""https://docs.google.com/spreadsheets/d/1XiF77UIVHV0Kjc6xbXuOuJ10WgJYxd4p_22ngKVV5oM/edit?usp=share_link"",""ระยอง!J146"")+IMPORTRANGE(""https://docs.google.com/spreadsheets/d/1qU-W_9MCQD1pgIVXGEOjCFo9QqlmJywueby"&amp;"GgaN92r8/edit?usp=share_link"",""ราชบุรี!J146"")+IMPORTRANGE(""https://docs.google.com/spreadsheets/d/1xYFIxIM_CspAP5Q-5Zx_V0T_Ut3cjryrjd2hss28vGk/edit?usp=share_link"",""ลพบุรี!J146"")+IMPORTRANGE(""https://docs.google.com/spreadsheets/d/11s9m3tKsCBdPWq6"&amp;"syhZm27eBGbKneDLZc75co106bio/edit?usp=share_link"",""สระแก้ว!J146"")+IMPORTRANGE(""https://docs.google.com/spreadsheets/d/1Nn1EvsFPtXldgpgVb3Rcng2K2cls68LFQsBh2FyW0Bg/edit?usp=share_link"",""สระบุรี!J146"")+IMPORTRANGE(""https://docs.google.com/spreadshee"&amp;"ts/d/149xufxukrnEciK3WPbNpHwUK8BKEJxp3UcBG3Al6dA4/edit?usp=share_link"",""สิงห์บุรี!J146"")+IMPORTRANGE(""https://docs.google.com/spreadsheets/d/132g-zJpz2uMKimp17uOIx8A7o3w1Z25zwJyXnwsB56c/edit?usp=share_link"",""สุพรรณบุรี!J146"")+IMPORTRANGE(""https://"&amp;"docs.google.com/spreadsheets/d/12Q_U0nVnFdxDFwa0pej9xvx8ZvLC9Dpi_vRro_aiG5g/edit?usp=share_link"",""อ่างทอง!J146"")
"),0)</f>
        <v>0</v>
      </c>
      <c r="K146" s="38">
        <f t="shared" ca="1" si="94"/>
        <v>0</v>
      </c>
      <c r="L146" s="38"/>
      <c r="M146" s="38"/>
      <c r="N146" s="38"/>
      <c r="O146" s="38"/>
      <c r="P146" s="38"/>
    </row>
    <row r="147" spans="1:26" ht="20.25" customHeight="1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20.25" customHeight="1">
      <c r="A148" s="216"/>
      <c r="B148" s="139" t="s">
        <v>77</v>
      </c>
      <c r="C148" s="208"/>
      <c r="D148" s="208"/>
      <c r="E148" s="217"/>
      <c r="F148" s="218"/>
      <c r="G148" s="219"/>
      <c r="H148" s="220" t="s">
        <v>35</v>
      </c>
      <c r="I148" s="144">
        <f t="shared" ref="I148:J148" ca="1" si="95">I159</f>
        <v>150</v>
      </c>
      <c r="J148" s="144">
        <f t="shared" ca="1" si="95"/>
        <v>10</v>
      </c>
      <c r="K148" s="145">
        <f ca="1">IF(I148&gt;0,J148*100/I148,0)</f>
        <v>6.666666666666667</v>
      </c>
      <c r="L148" s="145"/>
      <c r="M148" s="145"/>
      <c r="N148" s="145"/>
      <c r="O148" s="145"/>
      <c r="P148" s="145"/>
      <c r="Q148" s="221"/>
      <c r="R148" s="221"/>
      <c r="S148" s="221"/>
      <c r="T148" s="221"/>
      <c r="U148" s="221"/>
      <c r="V148" s="221"/>
      <c r="W148" s="221"/>
      <c r="X148" s="221"/>
      <c r="Y148" s="221"/>
      <c r="Z148" s="221"/>
    </row>
    <row r="149" spans="1:26" ht="20.25" customHeight="1">
      <c r="A149" s="147"/>
      <c r="B149" s="148"/>
      <c r="C149" s="149" t="s">
        <v>16</v>
      </c>
      <c r="D149" s="150" t="s">
        <v>17</v>
      </c>
      <c r="E149" s="148"/>
      <c r="F149" s="148"/>
      <c r="G149" s="151"/>
      <c r="H149" s="152" t="s">
        <v>12</v>
      </c>
      <c r="I149" s="153"/>
      <c r="J149" s="153"/>
      <c r="K149" s="154"/>
      <c r="L149" s="155">
        <f t="shared" ref="L149:N149" ca="1" si="96">L150+L151</f>
        <v>75000</v>
      </c>
      <c r="M149" s="155">
        <f t="shared" ca="1" si="96"/>
        <v>96700</v>
      </c>
      <c r="N149" s="155">
        <f t="shared" ca="1" si="96"/>
        <v>14005.4</v>
      </c>
      <c r="O149" s="155">
        <f t="shared" ref="O149:O157" ca="1" si="97">IF(L149&gt;0,N149*100/L149,0)</f>
        <v>18.673866666666665</v>
      </c>
      <c r="P149" s="155">
        <f t="shared" ref="P149:P157" ca="1" si="98">IF(M149&gt;0,N149*100/M149,0)</f>
        <v>14.48335056876939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20.25" hidden="1" customHeight="1">
      <c r="A150" s="156"/>
      <c r="B150" s="40"/>
      <c r="C150" s="40"/>
      <c r="D150" s="40"/>
      <c r="E150" s="41" t="s">
        <v>18</v>
      </c>
      <c r="F150" s="40"/>
      <c r="G150" s="157"/>
      <c r="H150" s="158" t="s">
        <v>12</v>
      </c>
      <c r="I150" s="44"/>
      <c r="J150" s="44"/>
      <c r="K150" s="45"/>
      <c r="L150" s="45">
        <f t="shared" ref="L150:N150" si="99">L153+L156</f>
        <v>0</v>
      </c>
      <c r="M150" s="45">
        <f t="shared" si="99"/>
        <v>0</v>
      </c>
      <c r="N150" s="45">
        <f t="shared" si="99"/>
        <v>0</v>
      </c>
      <c r="O150" s="45">
        <f t="shared" si="97"/>
        <v>0</v>
      </c>
      <c r="P150" s="45">
        <f t="shared" si="98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20.25" hidden="1" customHeight="1">
      <c r="A151" s="156"/>
      <c r="B151" s="40"/>
      <c r="C151" s="40"/>
      <c r="D151" s="40"/>
      <c r="E151" s="41" t="s">
        <v>19</v>
      </c>
      <c r="F151" s="40"/>
      <c r="G151" s="157"/>
      <c r="H151" s="158" t="s">
        <v>12</v>
      </c>
      <c r="I151" s="44"/>
      <c r="J151" s="44"/>
      <c r="K151" s="45"/>
      <c r="L151" s="45">
        <f t="shared" ref="L151:N151" ca="1" si="100">L154+L157</f>
        <v>75000</v>
      </c>
      <c r="M151" s="45">
        <f t="shared" ca="1" si="100"/>
        <v>96700</v>
      </c>
      <c r="N151" s="45">
        <f t="shared" ca="1" si="100"/>
        <v>14005.4</v>
      </c>
      <c r="O151" s="45">
        <f t="shared" ca="1" si="97"/>
        <v>18.673866666666665</v>
      </c>
      <c r="P151" s="45">
        <f t="shared" ca="1" si="98"/>
        <v>14.48335056876939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20.25" customHeight="1">
      <c r="A152" s="159"/>
      <c r="B152" s="33"/>
      <c r="C152" s="160"/>
      <c r="D152" s="34" t="s">
        <v>20</v>
      </c>
      <c r="E152" s="33"/>
      <c r="F152" s="33"/>
      <c r="G152" s="35"/>
      <c r="H152" s="161" t="s">
        <v>12</v>
      </c>
      <c r="I152" s="162"/>
      <c r="J152" s="162"/>
      <c r="K152" s="163"/>
      <c r="L152" s="38">
        <f t="shared" ref="L152:N152" ca="1" si="101">L153+L154</f>
        <v>75000</v>
      </c>
      <c r="M152" s="38">
        <f t="shared" ca="1" si="101"/>
        <v>96700</v>
      </c>
      <c r="N152" s="38">
        <f t="shared" ca="1" si="101"/>
        <v>14005.4</v>
      </c>
      <c r="O152" s="38">
        <f t="shared" ca="1" si="97"/>
        <v>18.673866666666665</v>
      </c>
      <c r="P152" s="38">
        <f t="shared" ca="1" si="98"/>
        <v>14.48335056876939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20.25" hidden="1" customHeight="1">
      <c r="A153" s="156"/>
      <c r="B153" s="40"/>
      <c r="C153" s="164"/>
      <c r="D153" s="40"/>
      <c r="E153" s="41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45">
        <f t="shared" si="97"/>
        <v>0</v>
      </c>
      <c r="P153" s="45">
        <f t="shared" si="98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20.25" hidden="1" customHeight="1">
      <c r="A154" s="156"/>
      <c r="B154" s="40"/>
      <c r="C154" s="164"/>
      <c r="D154" s="40"/>
      <c r="E154" s="41" t="s">
        <v>37</v>
      </c>
      <c r="F154" s="40"/>
      <c r="G154" s="157"/>
      <c r="H154" s="165" t="s">
        <v>12</v>
      </c>
      <c r="I154" s="166"/>
      <c r="J154" s="166"/>
      <c r="K154" s="167"/>
      <c r="L154" s="45">
        <f ca="1">IFERROR(__xludf.DUMMYFUNCTION("IMPORTRANGE(""https://docs.google.com/spreadsheets/d/1hKO5uv94SSRZWOvrh72HRcpyoEQF9TsE_Cvxl77XNU4/edit?usp=share_link"",""กาญจนบุรี!L154"")+IMPORTRANGE(""https://docs.google.com/spreadsheets/d/1njBaP_xXd-Uotvo2D9zb01TTCFkLJLDK97Tk1l9Qux0/edit?usp=share_li"&amp;"nk"",""จันทบุรี!L154"")+IMPORTRANGE(""https://docs.google.com/spreadsheets/d/14xp6qUzrGFnUk_qnc1eEmfiaNRd4_grkhpfQH_46fa8/edit?usp=share_link"",""ฉะเชิงเทรา!L154"")+IMPORTRANGE(""https://docs.google.com/spreadsheets/d/1_Zwps30dlVa-pZFsorjVf1Pil6WXwzCsJU0U"&amp;"2whO3NI/edit?usp=share_link"",""ชลบุรี!L154"")+IMPORTRANGE(""https://docs.google.com/spreadsheets/d/1xAsT4sUbBlom7l0acStESh_15nvjZcXjZM7fK5uZSq8/edit?usp=share_link"",""ชัยนาท!L154"")+IMPORTRANGE(""https://docs.google.com/spreadsheets/d/1vWPVBOAaZ6mHSI8yf"&amp;"95DNqHwTJ1cpeFsvqt6cxV34QA/edit?usp=share_link"",""ตราด!L154"")+IMPORTRANGE(""https://docs.google.com/spreadsheets/d/1phaeSb9lTGgzDpbvVqI9hfmOQQzUom07-HEvpbARzEg/edit?usp=share_link"",""นครนายก!L154"")+IMPORTRANGE(""https://docs.google.com/spreadsheets/d/"&amp;"1tpwhWwkqkBeiSWCcfB5f2fbwPRbM9hHOEDSDHpl2MIc/edit?usp=share_link"",""นครปฐม!L154"")+IMPORTRANGE(""https://docs.google.com/spreadsheets/d/1fJJCVBkBnhriyv0Cp5ZFMr0I_yrfdEITNpb4zILJgUQ/edit?usp=share_link"",""ปทุมธานี!L154"")+IMPORTRANGE(""https://docs.googl"&amp;"e.com/spreadsheets/d/1W5Jj_S0gYw6wSO7QcMI02YgyOBDKYgmm0NSUk-AQEac/edit?usp=share_link"",""ประจวบคีรีขันธ์!L154"")+IMPORTRANGE(""https://docs.google.com/spreadsheets/d/1nYxRXgnCfTXtqUY1otYuTlnrzE0Tn-Y0YRsW5pkRVqo/edit?usp=share_link"",""ปราจีนบุรี!L154"")+"&amp;"IMPORTRANGE(""https://docs.google.com/spreadsheets/d/1nNHCLO8ZAXOMfQvxux7cf_hrzPAh8FAvaHq_ClKbZNo/edit?usp=share_link"",""พระนครศรีอยุธยา!L154"")+IMPORTRANGE(""https://docs.google.com/spreadsheets/d/1CdNicvf3i6yt4tJlCePe3V1Va76wYqW0QzMzTsaGRrA/edit?usp=sh"&amp;"are_link"",""เพชรบุรี!L154"")+IMPORTRANGE(""https://docs.google.com/spreadsheets/d/1XiF77UIVHV0Kjc6xbXuOuJ10WgJYxd4p_22ngKVV5oM/edit?usp=share_link"",""ระยอง!L154"")+IMPORTRANGE(""https://docs.google.com/spreadsheets/d/1qU-W_9MCQD1pgIVXGEOjCFo9QqlmJywueby"&amp;"GgaN92r8/edit?usp=share_link"",""ราชบุรี!L154"")+IMPORTRANGE(""https://docs.google.com/spreadsheets/d/1xYFIxIM_CspAP5Q-5Zx_V0T_Ut3cjryrjd2hss28vGk/edit?usp=share_link"",""ลพบุรี!L154"")+IMPORTRANGE(""https://docs.google.com/spreadsheets/d/11s9m3tKsCBdPWq6"&amp;"syhZm27eBGbKneDLZc75co106bio/edit?usp=share_link"",""สระแก้ว!L154"")+IMPORTRANGE(""https://docs.google.com/spreadsheets/d/1Nn1EvsFPtXldgpgVb3Rcng2K2cls68LFQsBh2FyW0Bg/edit?usp=share_link"",""สระบุรี!L154"")+IMPORTRANGE(""https://docs.google.com/spreadshee"&amp;"ts/d/149xufxukrnEciK3WPbNpHwUK8BKEJxp3UcBG3Al6dA4/edit?usp=share_link"",""สิงห์บุรี!L154"")+IMPORTRANGE(""https://docs.google.com/spreadsheets/d/132g-zJpz2uMKimp17uOIx8A7o3w1Z25zwJyXnwsB56c/edit?usp=share_link"",""สุพรรณบุรี!L154"")+IMPORTRANGE(""https://"&amp;"docs.google.com/spreadsheets/d/12Q_U0nVnFdxDFwa0pej9xvx8ZvLC9Dpi_vRro_aiG5g/edit?usp=share_link"",""อ่างทอง!L154"")
"),75000)</f>
        <v>75000</v>
      </c>
      <c r="M154" s="45">
        <f ca="1">IFERROR(__xludf.DUMMYFUNCTION("IMPORTRANGE(""https://docs.google.com/spreadsheets/d/1hKO5uv94SSRZWOvrh72HRcpyoEQF9TsE_Cvxl77XNU4/edit?usp=share_link"",""กาญจนบุรี!M154"")+IMPORTRANGE(""https://docs.google.com/spreadsheets/d/1njBaP_xXd-Uotvo2D9zb01TTCFkLJLDK97Tk1l9Qux0/edit?usp=share_li"&amp;"nk"",""จันทบุรี!M154"")+IMPORTRANGE(""https://docs.google.com/spreadsheets/d/14xp6qUzrGFnUk_qnc1eEmfiaNRd4_grkhpfQH_46fa8/edit?usp=share_link"",""ฉะเชิงเทรา!M154"")+IMPORTRANGE(""https://docs.google.com/spreadsheets/d/1_Zwps30dlVa-pZFsorjVf1Pil6WXwzCsJU0U"&amp;"2whO3NI/edit?usp=share_link"",""ชลบุรี!M154"")+IMPORTRANGE(""https://docs.google.com/spreadsheets/d/1xAsT4sUbBlom7l0acStESh_15nvjZcXjZM7fK5uZSq8/edit?usp=share_link"",""ชัยนาท!M154"")+IMPORTRANGE(""https://docs.google.com/spreadsheets/d/1vWPVBOAaZ6mHSI8yf"&amp;"95DNqHwTJ1cpeFsvqt6cxV34QA/edit?usp=share_link"",""ตราด!M154"")+IMPORTRANGE(""https://docs.google.com/spreadsheets/d/1phaeSb9lTGgzDpbvVqI9hfmOQQzUom07-HEvpbARzEg/edit?usp=share_link"",""นครนายก!M154"")+IMPORTRANGE(""https://docs.google.com/spreadsheets/d/"&amp;"1tpwhWwkqkBeiSWCcfB5f2fbwPRbM9hHOEDSDHpl2MIc/edit?usp=share_link"",""นครปฐม!M154"")+IMPORTRANGE(""https://docs.google.com/spreadsheets/d/1fJJCVBkBnhriyv0Cp5ZFMr0I_yrfdEITNpb4zILJgUQ/edit?usp=share_link"",""ปทุมธานี!M154"")+IMPORTRANGE(""https://docs.googl"&amp;"e.com/spreadsheets/d/1W5Jj_S0gYw6wSO7QcMI02YgyOBDKYgmm0NSUk-AQEac/edit?usp=share_link"",""ประจวบคีรีขันธ์!M154"")+IMPORTRANGE(""https://docs.google.com/spreadsheets/d/1nYxRXgnCfTXtqUY1otYuTlnrzE0Tn-Y0YRsW5pkRVqo/edit?usp=share_link"",""ปราจีนบุรี!M154"")+"&amp;"IMPORTRANGE(""https://docs.google.com/spreadsheets/d/1nNHCLO8ZAXOMfQvxux7cf_hrzPAh8FAvaHq_ClKbZNo/edit?usp=share_link"",""พระนครศรีอยุธยา!M154"")+IMPORTRANGE(""https://docs.google.com/spreadsheets/d/1CdNicvf3i6yt4tJlCePe3V1Va76wYqW0QzMzTsaGRrA/edit?usp=sh"&amp;"are_link"",""เพชรบุรี!M154"")+IMPORTRANGE(""https://docs.google.com/spreadsheets/d/1XiF77UIVHV0Kjc6xbXuOuJ10WgJYxd4p_22ngKVV5oM/edit?usp=share_link"",""ระยอง!M154"")+IMPORTRANGE(""https://docs.google.com/spreadsheets/d/1qU-W_9MCQD1pgIVXGEOjCFo9QqlmJywueby"&amp;"GgaN92r8/edit?usp=share_link"",""ราชบุรี!M154"")+IMPORTRANGE(""https://docs.google.com/spreadsheets/d/1xYFIxIM_CspAP5Q-5Zx_V0T_Ut3cjryrjd2hss28vGk/edit?usp=share_link"",""ลพบุรี!M154"")+IMPORTRANGE(""https://docs.google.com/spreadsheets/d/11s9m3tKsCBdPWq6"&amp;"syhZm27eBGbKneDLZc75co106bio/edit?usp=share_link"",""สระแก้ว!M154"")+IMPORTRANGE(""https://docs.google.com/spreadsheets/d/1Nn1EvsFPtXldgpgVb3Rcng2K2cls68LFQsBh2FyW0Bg/edit?usp=share_link"",""สระบุรี!M154"")+IMPORTRANGE(""https://docs.google.com/spreadshee"&amp;"ts/d/149xufxukrnEciK3WPbNpHwUK8BKEJxp3UcBG3Al6dA4/edit?usp=share_link"",""สิงห์บุรี!M154"")+IMPORTRANGE(""https://docs.google.com/spreadsheets/d/132g-zJpz2uMKimp17uOIx8A7o3w1Z25zwJyXnwsB56c/edit?usp=share_link"",""สุพรรณบุรี!M154"")+IMPORTRANGE(""https://"&amp;"docs.google.com/spreadsheets/d/12Q_U0nVnFdxDFwa0pej9xvx8ZvLC9Dpi_vRro_aiG5g/edit?usp=share_link"",""อ่างทอง!M154"")
"),96700)</f>
        <v>96700</v>
      </c>
      <c r="N154" s="45">
        <f ca="1">IFERROR(__xludf.DUMMYFUNCTION("IMPORTRANGE(""https://docs.google.com/spreadsheets/d/1hKO5uv94SSRZWOvrh72HRcpyoEQF9TsE_Cvxl77XNU4/edit?usp=share_link"",""กาญจนบุรี!N154"")+IMPORTRANGE(""https://docs.google.com/spreadsheets/d/1njBaP_xXd-Uotvo2D9zb01TTCFkLJLDK97Tk1l9Qux0/edit?usp=share_li"&amp;"nk"",""จันทบุรี!N154"")+IMPORTRANGE(""https://docs.google.com/spreadsheets/d/14xp6qUzrGFnUk_qnc1eEmfiaNRd4_grkhpfQH_46fa8/edit?usp=share_link"",""ฉะเชิงเทรา!N154"")+IMPORTRANGE(""https://docs.google.com/spreadsheets/d/1_Zwps30dlVa-pZFsorjVf1Pil6WXwzCsJU0U"&amp;"2whO3NI/edit?usp=share_link"",""ชลบุรี!N154"")+IMPORTRANGE(""https://docs.google.com/spreadsheets/d/1xAsT4sUbBlom7l0acStESh_15nvjZcXjZM7fK5uZSq8/edit?usp=share_link"",""ชัยนาท!N154"")+IMPORTRANGE(""https://docs.google.com/spreadsheets/d/1vWPVBOAaZ6mHSI8yf"&amp;"95DNqHwTJ1cpeFsvqt6cxV34QA/edit?usp=share_link"",""ตราด!N154"")+IMPORTRANGE(""https://docs.google.com/spreadsheets/d/1phaeSb9lTGgzDpbvVqI9hfmOQQzUom07-HEvpbARzEg/edit?usp=share_link"",""นครนายก!N154"")+IMPORTRANGE(""https://docs.google.com/spreadsheets/d/"&amp;"1tpwhWwkqkBeiSWCcfB5f2fbwPRbM9hHOEDSDHpl2MIc/edit?usp=share_link"",""นครปฐม!N154"")+IMPORTRANGE(""https://docs.google.com/spreadsheets/d/1fJJCVBkBnhriyv0Cp5ZFMr0I_yrfdEITNpb4zILJgUQ/edit?usp=share_link"",""ปทุมธานี!N154"")+IMPORTRANGE(""https://docs.googl"&amp;"e.com/spreadsheets/d/1W5Jj_S0gYw6wSO7QcMI02YgyOBDKYgmm0NSUk-AQEac/edit?usp=share_link"",""ประจวบคีรีขันธ์!N154"")+IMPORTRANGE(""https://docs.google.com/spreadsheets/d/1nYxRXgnCfTXtqUY1otYuTlnrzE0Tn-Y0YRsW5pkRVqo/edit?usp=share_link"",""ปราจีนบุรี!N154"")+"&amp;"IMPORTRANGE(""https://docs.google.com/spreadsheets/d/1nNHCLO8ZAXOMfQvxux7cf_hrzPAh8FAvaHq_ClKbZNo/edit?usp=share_link"",""พระนครศรีอยุธยา!N154"")+IMPORTRANGE(""https://docs.google.com/spreadsheets/d/1CdNicvf3i6yt4tJlCePe3V1Va76wYqW0QzMzTsaGRrA/edit?usp=sh"&amp;"are_link"",""เพชรบุรี!N154"")+IMPORTRANGE(""https://docs.google.com/spreadsheets/d/1XiF77UIVHV0Kjc6xbXuOuJ10WgJYxd4p_22ngKVV5oM/edit?usp=share_link"",""ระยอง!N154"")+IMPORTRANGE(""https://docs.google.com/spreadsheets/d/1qU-W_9MCQD1pgIVXGEOjCFo9QqlmJywueby"&amp;"GgaN92r8/edit?usp=share_link"",""ราชบุรี!N154"")+IMPORTRANGE(""https://docs.google.com/spreadsheets/d/1xYFIxIM_CspAP5Q-5Zx_V0T_Ut3cjryrjd2hss28vGk/edit?usp=share_link"",""ลพบุรี!N154"")+IMPORTRANGE(""https://docs.google.com/spreadsheets/d/11s9m3tKsCBdPWq6"&amp;"syhZm27eBGbKneDLZc75co106bio/edit?usp=share_link"",""สระแก้ว!N154"")+IMPORTRANGE(""https://docs.google.com/spreadsheets/d/1Nn1EvsFPtXldgpgVb3Rcng2K2cls68LFQsBh2FyW0Bg/edit?usp=share_link"",""สระบุรี!N154"")+IMPORTRANGE(""https://docs.google.com/spreadshee"&amp;"ts/d/149xufxukrnEciK3WPbNpHwUK8BKEJxp3UcBG3Al6dA4/edit?usp=share_link"",""สิงห์บุรี!N154"")+IMPORTRANGE(""https://docs.google.com/spreadsheets/d/132g-zJpz2uMKimp17uOIx8A7o3w1Z25zwJyXnwsB56c/edit?usp=share_link"",""สุพรรณบุรี!N154"")+IMPORTRANGE(""https://"&amp;"docs.google.com/spreadsheets/d/12Q_U0nVnFdxDFwa0pej9xvx8ZvLC9Dpi_vRro_aiG5g/edit?usp=share_link"",""อ่างทอง!N154"")
"),14005.4)</f>
        <v>14005.4</v>
      </c>
      <c r="O154" s="45">
        <f t="shared" ca="1" si="97"/>
        <v>18.673866666666665</v>
      </c>
      <c r="P154" s="45">
        <f t="shared" ca="1" si="98"/>
        <v>14.48335056876939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20.25" customHeight="1">
      <c r="A155" s="159"/>
      <c r="B155" s="33"/>
      <c r="C155" s="160"/>
      <c r="D155" s="34" t="s">
        <v>21</v>
      </c>
      <c r="E155" s="33"/>
      <c r="F155" s="33"/>
      <c r="G155" s="35"/>
      <c r="H155" s="168" t="s">
        <v>12</v>
      </c>
      <c r="I155" s="162"/>
      <c r="J155" s="162"/>
      <c r="K155" s="163"/>
      <c r="L155" s="38">
        <f t="shared" ref="L155:N155" ca="1" si="102">L156+L157</f>
        <v>0</v>
      </c>
      <c r="M155" s="38">
        <f t="shared" ca="1" si="102"/>
        <v>0</v>
      </c>
      <c r="N155" s="38">
        <f t="shared" ca="1" si="102"/>
        <v>0</v>
      </c>
      <c r="O155" s="38">
        <f t="shared" ca="1" si="97"/>
        <v>0</v>
      </c>
      <c r="P155" s="38">
        <f t="shared" ca="1" si="98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20.25" hidden="1" customHeight="1">
      <c r="A156" s="156"/>
      <c r="B156" s="40"/>
      <c r="C156" s="164"/>
      <c r="D156" s="40"/>
      <c r="E156" s="41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45">
        <f t="shared" si="97"/>
        <v>0</v>
      </c>
      <c r="P156" s="45">
        <f t="shared" si="98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20.25" hidden="1" customHeight="1">
      <c r="A157" s="156"/>
      <c r="B157" s="40"/>
      <c r="C157" s="164"/>
      <c r="D157" s="40"/>
      <c r="E157" s="41" t="s">
        <v>19</v>
      </c>
      <c r="F157" s="40"/>
      <c r="G157" s="157"/>
      <c r="H157" s="169" t="s">
        <v>12</v>
      </c>
      <c r="I157" s="166"/>
      <c r="J157" s="166"/>
      <c r="K157" s="167"/>
      <c r="L157" s="45">
        <f ca="1">IFERROR(__xludf.DUMMYFUNCTION("IMPORTRANGE(""https://docs.google.com/spreadsheets/d/1hKO5uv94SSRZWOvrh72HRcpyoEQF9TsE_Cvxl77XNU4/edit?usp=share_link"",""กาญจนบุรี!L157"")+IMPORTRANGE(""https://docs.google.com/spreadsheets/d/1njBaP_xXd-Uotvo2D9zb01TTCFkLJLDK97Tk1l9Qux0/edit?usp=share_li"&amp;"nk"",""จันทบุรี!L157"")+IMPORTRANGE(""https://docs.google.com/spreadsheets/d/14xp6qUzrGFnUk_qnc1eEmfiaNRd4_grkhpfQH_46fa8/edit?usp=share_link"",""ฉะเชิงเทรา!L157"")+IMPORTRANGE(""https://docs.google.com/spreadsheets/d/1_Zwps30dlVa-pZFsorjVf1Pil6WXwzCsJU0U"&amp;"2whO3NI/edit?usp=share_link"",""ชลบุรี!L157"")+IMPORTRANGE(""https://docs.google.com/spreadsheets/d/1xAsT4sUbBlom7l0acStESh_15nvjZcXjZM7fK5uZSq8/edit?usp=share_link"",""ชัยนาท!L157"")+IMPORTRANGE(""https://docs.google.com/spreadsheets/d/1vWPVBOAaZ6mHSI8yf"&amp;"95DNqHwTJ1cpeFsvqt6cxV34QA/edit?usp=share_link"",""ตราด!L157"")+IMPORTRANGE(""https://docs.google.com/spreadsheets/d/1phaeSb9lTGgzDpbvVqI9hfmOQQzUom07-HEvpbARzEg/edit?usp=share_link"",""นครนายก!L157"")+IMPORTRANGE(""https://docs.google.com/spreadsheets/d/"&amp;"1tpwhWwkqkBeiSWCcfB5f2fbwPRbM9hHOEDSDHpl2MIc/edit?usp=share_link"",""นครปฐม!L157"")+IMPORTRANGE(""https://docs.google.com/spreadsheets/d/1fJJCVBkBnhriyv0Cp5ZFMr0I_yrfdEITNpb4zILJgUQ/edit?usp=share_link"",""ปทุมธานี!L157"")+IMPORTRANGE(""https://docs.googl"&amp;"e.com/spreadsheets/d/1W5Jj_S0gYw6wSO7QcMI02YgyOBDKYgmm0NSUk-AQEac/edit?usp=share_link"",""ประจวบคีรีขันธ์!L157"")+IMPORTRANGE(""https://docs.google.com/spreadsheets/d/1nYxRXgnCfTXtqUY1otYuTlnrzE0Tn-Y0YRsW5pkRVqo/edit?usp=share_link"",""ปราจีนบุรี!L157"")+"&amp;"IMPORTRANGE(""https://docs.google.com/spreadsheets/d/1nNHCLO8ZAXOMfQvxux7cf_hrzPAh8FAvaHq_ClKbZNo/edit?usp=share_link"",""พระนครศรีอยุธยา!L157"")+IMPORTRANGE(""https://docs.google.com/spreadsheets/d/1CdNicvf3i6yt4tJlCePe3V1Va76wYqW0QzMzTsaGRrA/edit?usp=sh"&amp;"are_link"",""เพชรบุรี!L157"")+IMPORTRANGE(""https://docs.google.com/spreadsheets/d/1XiF77UIVHV0Kjc6xbXuOuJ10WgJYxd4p_22ngKVV5oM/edit?usp=share_link"",""ระยอง!L157"")+IMPORTRANGE(""https://docs.google.com/spreadsheets/d/1qU-W_9MCQD1pgIVXGEOjCFo9QqlmJywueby"&amp;"GgaN92r8/edit?usp=share_link"",""ราชบุรี!L157"")+IMPORTRANGE(""https://docs.google.com/spreadsheets/d/1xYFIxIM_CspAP5Q-5Zx_V0T_Ut3cjryrjd2hss28vGk/edit?usp=share_link"",""ลพบุรี!L157"")+IMPORTRANGE(""https://docs.google.com/spreadsheets/d/11s9m3tKsCBdPWq6"&amp;"syhZm27eBGbKneDLZc75co106bio/edit?usp=share_link"",""สระแก้ว!L157"")+IMPORTRANGE(""https://docs.google.com/spreadsheets/d/1Nn1EvsFPtXldgpgVb3Rcng2K2cls68LFQsBh2FyW0Bg/edit?usp=share_link"",""สระบุรี!L157"")+IMPORTRANGE(""https://docs.google.com/spreadshee"&amp;"ts/d/149xufxukrnEciK3WPbNpHwUK8BKEJxp3UcBG3Al6dA4/edit?usp=share_link"",""สิงห์บุรี!L157"")+IMPORTRANGE(""https://docs.google.com/spreadsheets/d/132g-zJpz2uMKimp17uOIx8A7o3w1Z25zwJyXnwsB56c/edit?usp=share_link"",""สุพรรณบุรี!L157"")+IMPORTRANGE(""https://"&amp;"docs.google.com/spreadsheets/d/12Q_U0nVnFdxDFwa0pej9xvx8ZvLC9Dpi_vRro_aiG5g/edit?usp=share_link"",""อ่างทอง!L157"")
"),0)</f>
        <v>0</v>
      </c>
      <c r="M157" s="45">
        <f ca="1">IFERROR(__xludf.DUMMYFUNCTION("IMPORTRANGE(""https://docs.google.com/spreadsheets/d/1hKO5uv94SSRZWOvrh72HRcpyoEQF9TsE_Cvxl77XNU4/edit?usp=share_link"",""กาญจนบุรี!M157"")+IMPORTRANGE(""https://docs.google.com/spreadsheets/d/1njBaP_xXd-Uotvo2D9zb01TTCFkLJLDK97Tk1l9Qux0/edit?usp=share_li"&amp;"nk"",""จันทบุรี!M157"")+IMPORTRANGE(""https://docs.google.com/spreadsheets/d/14xp6qUzrGFnUk_qnc1eEmfiaNRd4_grkhpfQH_46fa8/edit?usp=share_link"",""ฉะเชิงเทรา!M157"")+IMPORTRANGE(""https://docs.google.com/spreadsheets/d/1_Zwps30dlVa-pZFsorjVf1Pil6WXwzCsJU0U"&amp;"2whO3NI/edit?usp=share_link"",""ชลบุรี!M157"")+IMPORTRANGE(""https://docs.google.com/spreadsheets/d/1xAsT4sUbBlom7l0acStESh_15nvjZcXjZM7fK5uZSq8/edit?usp=share_link"",""ชัยนาท!M157"")+IMPORTRANGE(""https://docs.google.com/spreadsheets/d/1vWPVBOAaZ6mHSI8yf"&amp;"95DNqHwTJ1cpeFsvqt6cxV34QA/edit?usp=share_link"",""ตราด!M157"")+IMPORTRANGE(""https://docs.google.com/spreadsheets/d/1phaeSb9lTGgzDpbvVqI9hfmOQQzUom07-HEvpbARzEg/edit?usp=share_link"",""นครนายก!M157"")+IMPORTRANGE(""https://docs.google.com/spreadsheets/d/"&amp;"1tpwhWwkqkBeiSWCcfB5f2fbwPRbM9hHOEDSDHpl2MIc/edit?usp=share_link"",""นครปฐม!M157"")+IMPORTRANGE(""https://docs.google.com/spreadsheets/d/1fJJCVBkBnhriyv0Cp5ZFMr0I_yrfdEITNpb4zILJgUQ/edit?usp=share_link"",""ปทุมธานี!M157"")+IMPORTRANGE(""https://docs.googl"&amp;"e.com/spreadsheets/d/1W5Jj_S0gYw6wSO7QcMI02YgyOBDKYgmm0NSUk-AQEac/edit?usp=share_link"",""ประจวบคีรีขันธ์!M157"")+IMPORTRANGE(""https://docs.google.com/spreadsheets/d/1nYxRXgnCfTXtqUY1otYuTlnrzE0Tn-Y0YRsW5pkRVqo/edit?usp=share_link"",""ปราจีนบุรี!M157"")+"&amp;"IMPORTRANGE(""https://docs.google.com/spreadsheets/d/1nNHCLO8ZAXOMfQvxux7cf_hrzPAh8FAvaHq_ClKbZNo/edit?usp=share_link"",""พระนครศรีอยุธยา!M157"")+IMPORTRANGE(""https://docs.google.com/spreadsheets/d/1CdNicvf3i6yt4tJlCePe3V1Va76wYqW0QzMzTsaGRrA/edit?usp=sh"&amp;"are_link"",""เพชรบุรี!M157"")+IMPORTRANGE(""https://docs.google.com/spreadsheets/d/1XiF77UIVHV0Kjc6xbXuOuJ10WgJYxd4p_22ngKVV5oM/edit?usp=share_link"",""ระยอง!M157"")+IMPORTRANGE(""https://docs.google.com/spreadsheets/d/1qU-W_9MCQD1pgIVXGEOjCFo9QqlmJywueby"&amp;"GgaN92r8/edit?usp=share_link"",""ราชบุรี!M157"")+IMPORTRANGE(""https://docs.google.com/spreadsheets/d/1xYFIxIM_CspAP5Q-5Zx_V0T_Ut3cjryrjd2hss28vGk/edit?usp=share_link"",""ลพบุรี!M157"")+IMPORTRANGE(""https://docs.google.com/spreadsheets/d/11s9m3tKsCBdPWq6"&amp;"syhZm27eBGbKneDLZc75co106bio/edit?usp=share_link"",""สระแก้ว!M157"")+IMPORTRANGE(""https://docs.google.com/spreadsheets/d/1Nn1EvsFPtXldgpgVb3Rcng2K2cls68LFQsBh2FyW0Bg/edit?usp=share_link"",""สระบุรี!M157"")+IMPORTRANGE(""https://docs.google.com/spreadshee"&amp;"ts/d/149xufxukrnEciK3WPbNpHwUK8BKEJxp3UcBG3Al6dA4/edit?usp=share_link"",""สิงห์บุรี!M157"")+IMPORTRANGE(""https://docs.google.com/spreadsheets/d/132g-zJpz2uMKimp17uOIx8A7o3w1Z25zwJyXnwsB56c/edit?usp=share_link"",""สุพรรณบุรี!M157"")+IMPORTRANGE(""https://"&amp;"docs.google.com/spreadsheets/d/12Q_U0nVnFdxDFwa0pej9xvx8ZvLC9Dpi_vRro_aiG5g/edit?usp=share_link"",""อ่างทอง!M157"")
"),0)</f>
        <v>0</v>
      </c>
      <c r="N157" s="45">
        <f ca="1">IFERROR(__xludf.DUMMYFUNCTION("IMPORTRANGE(""https://docs.google.com/spreadsheets/d/1hKO5uv94SSRZWOvrh72HRcpyoEQF9TsE_Cvxl77XNU4/edit?usp=share_link"",""กาญจนบุรี!N157"")+IMPORTRANGE(""https://docs.google.com/spreadsheets/d/1njBaP_xXd-Uotvo2D9zb01TTCFkLJLDK97Tk1l9Qux0/edit?usp=share_li"&amp;"nk"",""จันทบุรี!N157"")+IMPORTRANGE(""https://docs.google.com/spreadsheets/d/14xp6qUzrGFnUk_qnc1eEmfiaNRd4_grkhpfQH_46fa8/edit?usp=share_link"",""ฉะเชิงเทรา!N157"")+IMPORTRANGE(""https://docs.google.com/spreadsheets/d/1_Zwps30dlVa-pZFsorjVf1Pil6WXwzCsJU0U"&amp;"2whO3NI/edit?usp=share_link"",""ชลบุรี!N157"")+IMPORTRANGE(""https://docs.google.com/spreadsheets/d/1xAsT4sUbBlom7l0acStESh_15nvjZcXjZM7fK5uZSq8/edit?usp=share_link"",""ชัยนาท!N157"")+IMPORTRANGE(""https://docs.google.com/spreadsheets/d/1vWPVBOAaZ6mHSI8yf"&amp;"95DNqHwTJ1cpeFsvqt6cxV34QA/edit?usp=share_link"",""ตราด!N157"")+IMPORTRANGE(""https://docs.google.com/spreadsheets/d/1phaeSb9lTGgzDpbvVqI9hfmOQQzUom07-HEvpbARzEg/edit?usp=share_link"",""นครนายก!N157"")+IMPORTRANGE(""https://docs.google.com/spreadsheets/d/"&amp;"1tpwhWwkqkBeiSWCcfB5f2fbwPRbM9hHOEDSDHpl2MIc/edit?usp=share_link"",""นครปฐม!N157"")+IMPORTRANGE(""https://docs.google.com/spreadsheets/d/1fJJCVBkBnhriyv0Cp5ZFMr0I_yrfdEITNpb4zILJgUQ/edit?usp=share_link"",""ปทุมธานี!N157"")+IMPORTRANGE(""https://docs.googl"&amp;"e.com/spreadsheets/d/1W5Jj_S0gYw6wSO7QcMI02YgyOBDKYgmm0NSUk-AQEac/edit?usp=share_link"",""ประจวบคีรีขันธ์!N157"")+IMPORTRANGE(""https://docs.google.com/spreadsheets/d/1nYxRXgnCfTXtqUY1otYuTlnrzE0Tn-Y0YRsW5pkRVqo/edit?usp=share_link"",""ปราจีนบุรี!N157"")+"&amp;"IMPORTRANGE(""https://docs.google.com/spreadsheets/d/1nNHCLO8ZAXOMfQvxux7cf_hrzPAh8FAvaHq_ClKbZNo/edit?usp=share_link"",""พระนครศรีอยุธยา!N157"")+IMPORTRANGE(""https://docs.google.com/spreadsheets/d/1CdNicvf3i6yt4tJlCePe3V1Va76wYqW0QzMzTsaGRrA/edit?usp=sh"&amp;"are_link"",""เพชรบุรี!N157"")+IMPORTRANGE(""https://docs.google.com/spreadsheets/d/1XiF77UIVHV0Kjc6xbXuOuJ10WgJYxd4p_22ngKVV5oM/edit?usp=share_link"",""ระยอง!N157"")+IMPORTRANGE(""https://docs.google.com/spreadsheets/d/1qU-W_9MCQD1pgIVXGEOjCFo9QqlmJywueby"&amp;"GgaN92r8/edit?usp=share_link"",""ราชบุรี!N157"")+IMPORTRANGE(""https://docs.google.com/spreadsheets/d/1xYFIxIM_CspAP5Q-5Zx_V0T_Ut3cjryrjd2hss28vGk/edit?usp=share_link"",""ลพบุรี!N157"")+IMPORTRANGE(""https://docs.google.com/spreadsheets/d/11s9m3tKsCBdPWq6"&amp;"syhZm27eBGbKneDLZc75co106bio/edit?usp=share_link"",""สระแก้ว!N157"")+IMPORTRANGE(""https://docs.google.com/spreadsheets/d/1Nn1EvsFPtXldgpgVb3Rcng2K2cls68LFQsBh2FyW0Bg/edit?usp=share_link"",""สระบุรี!N157"")+IMPORTRANGE(""https://docs.google.com/spreadshee"&amp;"ts/d/149xufxukrnEciK3WPbNpHwUK8BKEJxp3UcBG3Al6dA4/edit?usp=share_link"",""สิงห์บุรี!N157"")+IMPORTRANGE(""https://docs.google.com/spreadsheets/d/132g-zJpz2uMKimp17uOIx8A7o3w1Z25zwJyXnwsB56c/edit?usp=share_link"",""สุพรรณบุรี!N157"")+IMPORTRANGE(""https://"&amp;"docs.google.com/spreadsheets/d/12Q_U0nVnFdxDFwa0pej9xvx8ZvLC9Dpi_vRro_aiG5g/edit?usp=share_link"",""อ่างทอง!N157"")
"),0)</f>
        <v>0</v>
      </c>
      <c r="O157" s="45">
        <f t="shared" ca="1" si="97"/>
        <v>0</v>
      </c>
      <c r="P157" s="45">
        <f t="shared" ca="1" si="98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20.25" customHeight="1">
      <c r="A158" s="170"/>
      <c r="B158" s="171"/>
      <c r="C158" s="164" t="s">
        <v>16</v>
      </c>
      <c r="D158" s="172" t="s">
        <v>38</v>
      </c>
      <c r="E158" s="173"/>
      <c r="F158" s="173"/>
      <c r="G158" s="174"/>
      <c r="H158" s="168"/>
      <c r="I158" s="37"/>
      <c r="J158" s="37"/>
      <c r="K158" s="38"/>
      <c r="L158" s="38"/>
      <c r="M158" s="38"/>
      <c r="N158" s="38"/>
      <c r="O158" s="38"/>
      <c r="P158" s="38"/>
    </row>
    <row r="159" spans="1:26" ht="20.25" customHeight="1">
      <c r="A159" s="159"/>
      <c r="B159" s="33"/>
      <c r="C159" s="210"/>
      <c r="D159" s="215" t="s">
        <v>78</v>
      </c>
      <c r="E159" s="212"/>
      <c r="F159" s="33"/>
      <c r="G159" s="213"/>
      <c r="H159" s="168" t="s">
        <v>35</v>
      </c>
      <c r="I159" s="37">
        <f ca="1">IFERROR(__xludf.DUMMYFUNCTION("IMPORTRANGE(""https://docs.google.com/spreadsheets/d/1hKO5uv94SSRZWOvrh72HRcpyoEQF9TsE_Cvxl77XNU4/edit?usp=share_link"",""กาญจนบุรี!I159"")+IMPORTRANGE(""https://docs.google.com/spreadsheets/d/1njBaP_xXd-Uotvo2D9zb01TTCFkLJLDK97Tk1l9Qux0/edit?usp=share_li"&amp;"nk"",""จันทบุรี!I159"")+IMPORTRANGE(""https://docs.google.com/spreadsheets/d/14xp6qUzrGFnUk_qnc1eEmfiaNRd4_grkhpfQH_46fa8/edit?usp=share_link"",""ฉะเชิงเทรา!I159"")+IMPORTRANGE(""https://docs.google.com/spreadsheets/d/1_Zwps30dlVa-pZFsorjVf1Pil6WXwzCsJU0U"&amp;"2whO3NI/edit?usp=share_link"",""ชลบุรี!I159"")+IMPORTRANGE(""https://docs.google.com/spreadsheets/d/1xAsT4sUbBlom7l0acStESh_15nvjZcXjZM7fK5uZSq8/edit?usp=share_link"",""ชัยนาท!I159"")+IMPORTRANGE(""https://docs.google.com/spreadsheets/d/1vWPVBOAaZ6mHSI8yf"&amp;"95DNqHwTJ1cpeFsvqt6cxV34QA/edit?usp=share_link"",""ตราด!I159"")+IMPORTRANGE(""https://docs.google.com/spreadsheets/d/1phaeSb9lTGgzDpbvVqI9hfmOQQzUom07-HEvpbARzEg/edit?usp=share_link"",""นครนายก!I159"")+IMPORTRANGE(""https://docs.google.com/spreadsheets/d/"&amp;"1tpwhWwkqkBeiSWCcfB5f2fbwPRbM9hHOEDSDHpl2MIc/edit?usp=share_link"",""นครปฐม!I159"")+IMPORTRANGE(""https://docs.google.com/spreadsheets/d/1fJJCVBkBnhriyv0Cp5ZFMr0I_yrfdEITNpb4zILJgUQ/edit?usp=share_link"",""ปทุมธานี!I159"")+IMPORTRANGE(""https://docs.googl"&amp;"e.com/spreadsheets/d/1W5Jj_S0gYw6wSO7QcMI02YgyOBDKYgmm0NSUk-AQEac/edit?usp=share_link"",""ประจวบคีรีขันธ์!I159"")+IMPORTRANGE(""https://docs.google.com/spreadsheets/d/1nYxRXgnCfTXtqUY1otYuTlnrzE0Tn-Y0YRsW5pkRVqo/edit?usp=share_link"",""ปราจีนบุรี!I159"")+"&amp;"IMPORTRANGE(""https://docs.google.com/spreadsheets/d/1nNHCLO8ZAXOMfQvxux7cf_hrzPAh8FAvaHq_ClKbZNo/edit?usp=share_link"",""พระนครศรีอยุธยา!I159"")+IMPORTRANGE(""https://docs.google.com/spreadsheets/d/1CdNicvf3i6yt4tJlCePe3V1Va76wYqW0QzMzTsaGRrA/edit?usp=sh"&amp;"are_link"",""เพชรบุรี!I159"")+IMPORTRANGE(""https://docs.google.com/spreadsheets/d/1XiF77UIVHV0Kjc6xbXuOuJ10WgJYxd4p_22ngKVV5oM/edit?usp=share_link"",""ระยอง!I159"")+IMPORTRANGE(""https://docs.google.com/spreadsheets/d/1qU-W_9MCQD1pgIVXGEOjCFo9QqlmJywueby"&amp;"GgaN92r8/edit?usp=share_link"",""ราชบุรี!I159"")+IMPORTRANGE(""https://docs.google.com/spreadsheets/d/1xYFIxIM_CspAP5Q-5Zx_V0T_Ut3cjryrjd2hss28vGk/edit?usp=share_link"",""ลพบุรี!I159"")+IMPORTRANGE(""https://docs.google.com/spreadsheets/d/11s9m3tKsCBdPWq6"&amp;"syhZm27eBGbKneDLZc75co106bio/edit?usp=share_link"",""สระแก้ว!I159"")+IMPORTRANGE(""https://docs.google.com/spreadsheets/d/1Nn1EvsFPtXldgpgVb3Rcng2K2cls68LFQsBh2FyW0Bg/edit?usp=share_link"",""สระบุรี!I159"")+IMPORTRANGE(""https://docs.google.com/spreadshee"&amp;"ts/d/149xufxukrnEciK3WPbNpHwUK8BKEJxp3UcBG3Al6dA4/edit?usp=share_link"",""สิงห์บุรี!I159"")+IMPORTRANGE(""https://docs.google.com/spreadsheets/d/132g-zJpz2uMKimp17uOIx8A7o3w1Z25zwJyXnwsB56c/edit?usp=share_link"",""สุพรรณบุรี!I159"")+IMPORTRANGE(""https://"&amp;"docs.google.com/spreadsheets/d/12Q_U0nVnFdxDFwa0pej9xvx8ZvLC9Dpi_vRro_aiG5g/edit?usp=share_link"",""อ่างทอง!I159"")
"),150)</f>
        <v>150</v>
      </c>
      <c r="J159" s="183">
        <f ca="1">IFERROR(__xludf.DUMMYFUNCTION("IMPORTRANGE(""https://docs.google.com/spreadsheets/d/1hKO5uv94SSRZWOvrh72HRcpyoEQF9TsE_Cvxl77XNU4/edit?usp=share_link"",""กาญจนบุรี!J159"")+IMPORTRANGE(""https://docs.google.com/spreadsheets/d/1njBaP_xXd-Uotvo2D9zb01TTCFkLJLDK97Tk1l9Qux0/edit?usp=share_li"&amp;"nk"",""จันทบุรี!J159"")+IMPORTRANGE(""https://docs.google.com/spreadsheets/d/14xp6qUzrGFnUk_qnc1eEmfiaNRd4_grkhpfQH_46fa8/edit?usp=share_link"",""ฉะเชิงเทรา!J159"")+IMPORTRANGE(""https://docs.google.com/spreadsheets/d/1_Zwps30dlVa-pZFsorjVf1Pil6WXwzCsJU0U"&amp;"2whO3NI/edit?usp=share_link"",""ชลบุรี!J159"")+IMPORTRANGE(""https://docs.google.com/spreadsheets/d/1xAsT4sUbBlom7l0acStESh_15nvjZcXjZM7fK5uZSq8/edit?usp=share_link"",""ชัยนาท!J159"")+IMPORTRANGE(""https://docs.google.com/spreadsheets/d/1vWPVBOAaZ6mHSI8yf"&amp;"95DNqHwTJ1cpeFsvqt6cxV34QA/edit?usp=share_link"",""ตราด!J159"")+IMPORTRANGE(""https://docs.google.com/spreadsheets/d/1phaeSb9lTGgzDpbvVqI9hfmOQQzUom07-HEvpbARzEg/edit?usp=share_link"",""นครนายก!J159"")+IMPORTRANGE(""https://docs.google.com/spreadsheets/d/"&amp;"1tpwhWwkqkBeiSWCcfB5f2fbwPRbM9hHOEDSDHpl2MIc/edit?usp=share_link"",""นครปฐม!J159"")+IMPORTRANGE(""https://docs.google.com/spreadsheets/d/1fJJCVBkBnhriyv0Cp5ZFMr0I_yrfdEITNpb4zILJgUQ/edit?usp=share_link"",""ปทุมธานี!J159"")+IMPORTRANGE(""https://docs.googl"&amp;"e.com/spreadsheets/d/1W5Jj_S0gYw6wSO7QcMI02YgyOBDKYgmm0NSUk-AQEac/edit?usp=share_link"",""ประจวบคีรีขันธ์!J159"")+IMPORTRANGE(""https://docs.google.com/spreadsheets/d/1nYxRXgnCfTXtqUY1otYuTlnrzE0Tn-Y0YRsW5pkRVqo/edit?usp=share_link"",""ปราจีนบุรี!J159"")+"&amp;"IMPORTRANGE(""https://docs.google.com/spreadsheets/d/1nNHCLO8ZAXOMfQvxux7cf_hrzPAh8FAvaHq_ClKbZNo/edit?usp=share_link"",""พระนครศรีอยุธยา!J159"")+IMPORTRANGE(""https://docs.google.com/spreadsheets/d/1CdNicvf3i6yt4tJlCePe3V1Va76wYqW0QzMzTsaGRrA/edit?usp=sh"&amp;"are_link"",""เพชรบุรี!J159"")+IMPORTRANGE(""https://docs.google.com/spreadsheets/d/1XiF77UIVHV0Kjc6xbXuOuJ10WgJYxd4p_22ngKVV5oM/edit?usp=share_link"",""ระยอง!J159"")+IMPORTRANGE(""https://docs.google.com/spreadsheets/d/1qU-W_9MCQD1pgIVXGEOjCFo9QqlmJywueby"&amp;"GgaN92r8/edit?usp=share_link"",""ราชบุรี!J159"")+IMPORTRANGE(""https://docs.google.com/spreadsheets/d/1xYFIxIM_CspAP5Q-5Zx_V0T_Ut3cjryrjd2hss28vGk/edit?usp=share_link"",""ลพบุรี!J159"")+IMPORTRANGE(""https://docs.google.com/spreadsheets/d/11s9m3tKsCBdPWq6"&amp;"syhZm27eBGbKneDLZc75co106bio/edit?usp=share_link"",""สระแก้ว!J159"")+IMPORTRANGE(""https://docs.google.com/spreadsheets/d/1Nn1EvsFPtXldgpgVb3Rcng2K2cls68LFQsBh2FyW0Bg/edit?usp=share_link"",""สระบุรี!J159"")+IMPORTRANGE(""https://docs.google.com/spreadshee"&amp;"ts/d/149xufxukrnEciK3WPbNpHwUK8BKEJxp3UcBG3Al6dA4/edit?usp=share_link"",""สิงห์บุรี!J159"")+IMPORTRANGE(""https://docs.google.com/spreadsheets/d/132g-zJpz2uMKimp17uOIx8A7o3w1Z25zwJyXnwsB56c/edit?usp=share_link"",""สุพรรณบุรี!J159"")+IMPORTRANGE(""https://"&amp;"docs.google.com/spreadsheets/d/12Q_U0nVnFdxDFwa0pej9xvx8ZvLC9Dpi_vRro_aiG5g/edit?usp=share_link"",""อ่างทอง!J159"")
"),10)</f>
        <v>10</v>
      </c>
      <c r="K159" s="38">
        <f ca="1">IF(I159&gt;0,J159*100/I159,0)</f>
        <v>6.666666666666667</v>
      </c>
      <c r="L159" s="38"/>
      <c r="M159" s="38"/>
      <c r="N159" s="38"/>
      <c r="O159" s="38"/>
      <c r="P159" s="38"/>
    </row>
    <row r="160" spans="1:26" ht="20.25" hidden="1" customHeight="1">
      <c r="A160" s="156"/>
      <c r="B160" s="40"/>
      <c r="C160" s="164"/>
      <c r="D160" s="222" t="s">
        <v>79</v>
      </c>
      <c r="E160" s="223"/>
      <c r="F160" s="40"/>
      <c r="G160" s="157"/>
      <c r="H160" s="169" t="s">
        <v>35</v>
      </c>
      <c r="I160" s="44"/>
      <c r="J160" s="44"/>
      <c r="K160" s="45"/>
      <c r="L160" s="45"/>
      <c r="M160" s="45"/>
      <c r="N160" s="45"/>
      <c r="O160" s="45"/>
      <c r="P160" s="45"/>
      <c r="Q160" s="224"/>
      <c r="R160" s="224"/>
      <c r="S160" s="224"/>
      <c r="T160" s="224"/>
      <c r="U160" s="224"/>
      <c r="V160" s="224"/>
      <c r="W160" s="224"/>
      <c r="X160" s="224"/>
      <c r="Y160" s="224"/>
      <c r="Z160" s="224"/>
    </row>
    <row r="161" spans="1:26" ht="20.25" hidden="1" customHeight="1">
      <c r="A161" s="225"/>
      <c r="B161" s="226"/>
      <c r="C161" s="227"/>
      <c r="D161" s="228" t="s">
        <v>80</v>
      </c>
      <c r="E161" s="229"/>
      <c r="F161" s="226"/>
      <c r="G161" s="230"/>
      <c r="H161" s="231" t="s">
        <v>35</v>
      </c>
      <c r="I161" s="232"/>
      <c r="J161" s="232"/>
      <c r="K161" s="233"/>
      <c r="L161" s="233"/>
      <c r="M161" s="233"/>
      <c r="N161" s="233"/>
      <c r="O161" s="233"/>
      <c r="P161" s="233"/>
      <c r="Q161" s="224"/>
      <c r="R161" s="224"/>
      <c r="S161" s="224"/>
      <c r="T161" s="224"/>
      <c r="U161" s="224"/>
      <c r="V161" s="224"/>
      <c r="W161" s="224"/>
      <c r="X161" s="224"/>
      <c r="Y161" s="224"/>
      <c r="Z161" s="224"/>
    </row>
    <row r="162" spans="1:26" ht="20.25" customHeight="1">
      <c r="A162" s="234" t="s">
        <v>81</v>
      </c>
      <c r="B162" s="235"/>
      <c r="C162" s="235"/>
      <c r="D162" s="235"/>
      <c r="E162" s="236"/>
      <c r="F162" s="236"/>
      <c r="G162" s="237"/>
      <c r="H162" s="238"/>
      <c r="I162" s="239"/>
      <c r="J162" s="239"/>
      <c r="K162" s="240"/>
      <c r="L162" s="240"/>
      <c r="M162" s="240"/>
      <c r="N162" s="240"/>
      <c r="O162" s="240"/>
      <c r="P162" s="240"/>
    </row>
    <row r="163" spans="1:26" ht="20.25" customHeight="1">
      <c r="A163" s="241" t="s">
        <v>82</v>
      </c>
      <c r="B163" s="242"/>
      <c r="C163" s="242"/>
      <c r="D163" s="243"/>
      <c r="E163" s="243"/>
      <c r="F163" s="243"/>
      <c r="G163" s="244"/>
      <c r="H163" s="245"/>
      <c r="I163" s="246"/>
      <c r="J163" s="246"/>
      <c r="K163" s="247"/>
      <c r="L163" s="247"/>
      <c r="M163" s="247"/>
      <c r="N163" s="247"/>
      <c r="O163" s="247"/>
      <c r="P163" s="247"/>
    </row>
    <row r="164" spans="1:26" ht="20.25" customHeight="1">
      <c r="A164" s="248"/>
      <c r="B164" s="249" t="s">
        <v>83</v>
      </c>
      <c r="C164" s="250"/>
      <c r="D164" s="173"/>
      <c r="E164" s="173"/>
      <c r="F164" s="173"/>
      <c r="G164" s="174"/>
      <c r="H164" s="251" t="s">
        <v>35</v>
      </c>
      <c r="I164" s="252">
        <f t="shared" ref="I164:J164" ca="1" si="103">I174+I177</f>
        <v>194</v>
      </c>
      <c r="J164" s="252">
        <f t="shared" ca="1" si="103"/>
        <v>126</v>
      </c>
      <c r="K164" s="253">
        <f ca="1">IF(I164&gt;0,J164*100/I164,0)</f>
        <v>64.948453608247419</v>
      </c>
      <c r="L164" s="254"/>
      <c r="M164" s="254"/>
      <c r="N164" s="254"/>
      <c r="O164" s="254"/>
      <c r="P164" s="254"/>
    </row>
    <row r="165" spans="1:26" ht="20.25" customHeight="1">
      <c r="A165" s="147"/>
      <c r="B165" s="148"/>
      <c r="C165" s="149" t="s">
        <v>16</v>
      </c>
      <c r="D165" s="150" t="s">
        <v>17</v>
      </c>
      <c r="E165" s="148"/>
      <c r="F165" s="148"/>
      <c r="G165" s="151"/>
      <c r="H165" s="152" t="s">
        <v>12</v>
      </c>
      <c r="I165" s="153"/>
      <c r="J165" s="153"/>
      <c r="K165" s="154"/>
      <c r="L165" s="155">
        <f t="shared" ref="L165:N165" ca="1" si="104">L166+L167</f>
        <v>392970</v>
      </c>
      <c r="M165" s="155">
        <f t="shared" ca="1" si="104"/>
        <v>392970</v>
      </c>
      <c r="N165" s="155">
        <f t="shared" ca="1" si="104"/>
        <v>334150.12</v>
      </c>
      <c r="O165" s="155">
        <f t="shared" ref="O165:O173" ca="1" si="105">IF(L165&gt;0,N165*100/L165,0)</f>
        <v>85.031966816805351</v>
      </c>
      <c r="P165" s="155">
        <f t="shared" ref="P165:P173" ca="1" si="106">IF(M165&gt;0,N165*100/M165,0)</f>
        <v>85.031966816805351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20.25" hidden="1" customHeight="1">
      <c r="A166" s="156"/>
      <c r="B166" s="40"/>
      <c r="C166" s="40"/>
      <c r="D166" s="40"/>
      <c r="E166" s="41" t="s">
        <v>18</v>
      </c>
      <c r="F166" s="40"/>
      <c r="G166" s="157"/>
      <c r="H166" s="158" t="s">
        <v>12</v>
      </c>
      <c r="I166" s="44"/>
      <c r="J166" s="44"/>
      <c r="K166" s="45"/>
      <c r="L166" s="45">
        <f t="shared" ref="L166:N166" si="107">L169+L172</f>
        <v>0</v>
      </c>
      <c r="M166" s="45">
        <f t="shared" si="107"/>
        <v>0</v>
      </c>
      <c r="N166" s="45">
        <f t="shared" si="107"/>
        <v>0</v>
      </c>
      <c r="O166" s="45">
        <f t="shared" si="105"/>
        <v>0</v>
      </c>
      <c r="P166" s="45">
        <f t="shared" si="10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20.25" hidden="1" customHeight="1">
      <c r="A167" s="156"/>
      <c r="B167" s="40"/>
      <c r="C167" s="40"/>
      <c r="D167" s="40"/>
      <c r="E167" s="41" t="s">
        <v>19</v>
      </c>
      <c r="F167" s="40"/>
      <c r="G167" s="157"/>
      <c r="H167" s="158" t="s">
        <v>12</v>
      </c>
      <c r="I167" s="44"/>
      <c r="J167" s="44"/>
      <c r="K167" s="45"/>
      <c r="L167" s="45">
        <f t="shared" ref="L167:N167" ca="1" si="108">L170+L173</f>
        <v>392970</v>
      </c>
      <c r="M167" s="45">
        <f t="shared" ca="1" si="108"/>
        <v>392970</v>
      </c>
      <c r="N167" s="45">
        <f t="shared" ca="1" si="108"/>
        <v>334150.12</v>
      </c>
      <c r="O167" s="45">
        <f t="shared" ca="1" si="105"/>
        <v>85.031966816805351</v>
      </c>
      <c r="P167" s="45">
        <f t="shared" ca="1" si="106"/>
        <v>85.031966816805351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20.25" customHeight="1">
      <c r="A168" s="159"/>
      <c r="B168" s="33"/>
      <c r="C168" s="160"/>
      <c r="D168" s="34" t="s">
        <v>20</v>
      </c>
      <c r="E168" s="33"/>
      <c r="F168" s="33"/>
      <c r="G168" s="35"/>
      <c r="H168" s="161" t="s">
        <v>12</v>
      </c>
      <c r="I168" s="162"/>
      <c r="J168" s="162"/>
      <c r="K168" s="163"/>
      <c r="L168" s="38">
        <f t="shared" ref="L168:N168" ca="1" si="109">L169+L170</f>
        <v>392970</v>
      </c>
      <c r="M168" s="38">
        <f t="shared" ca="1" si="109"/>
        <v>392970</v>
      </c>
      <c r="N168" s="38">
        <f t="shared" ca="1" si="109"/>
        <v>334150.12</v>
      </c>
      <c r="O168" s="38">
        <f t="shared" ca="1" si="105"/>
        <v>85.031966816805351</v>
      </c>
      <c r="P168" s="38">
        <f t="shared" ca="1" si="106"/>
        <v>85.031966816805351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20.25" hidden="1" customHeight="1">
      <c r="A169" s="156"/>
      <c r="B169" s="40"/>
      <c r="C169" s="164"/>
      <c r="D169" s="40"/>
      <c r="E169" s="41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45">
        <f t="shared" si="105"/>
        <v>0</v>
      </c>
      <c r="P169" s="45">
        <f t="shared" si="10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20.25" hidden="1" customHeight="1">
      <c r="A170" s="156"/>
      <c r="B170" s="40"/>
      <c r="C170" s="164"/>
      <c r="D170" s="40"/>
      <c r="E170" s="41" t="s">
        <v>37</v>
      </c>
      <c r="F170" s="40"/>
      <c r="G170" s="157"/>
      <c r="H170" s="165" t="s">
        <v>12</v>
      </c>
      <c r="I170" s="166"/>
      <c r="J170" s="166"/>
      <c r="K170" s="167"/>
      <c r="L170" s="45">
        <f ca="1">IFERROR(__xludf.DUMMYFUNCTION("IMPORTRANGE(""https://docs.google.com/spreadsheets/d/1hKO5uv94SSRZWOvrh72HRcpyoEQF9TsE_Cvxl77XNU4/edit?usp=share_link"",""กาญจนบุรี!L170"")+IMPORTRANGE(""https://docs.google.com/spreadsheets/d/1njBaP_xXd-Uotvo2D9zb01TTCFkLJLDK97Tk1l9Qux0/edit?usp=share_li"&amp;"nk"",""จันทบุรี!L170"")+IMPORTRANGE(""https://docs.google.com/spreadsheets/d/14xp6qUzrGFnUk_qnc1eEmfiaNRd4_grkhpfQH_46fa8/edit?usp=share_link"",""ฉะเชิงเทรา!L170"")+IMPORTRANGE(""https://docs.google.com/spreadsheets/d/1_Zwps30dlVa-pZFsorjVf1Pil6WXwzCsJU0U"&amp;"2whO3NI/edit?usp=share_link"",""ชลบุรี!L170"")+IMPORTRANGE(""https://docs.google.com/spreadsheets/d/1xAsT4sUbBlom7l0acStESh_15nvjZcXjZM7fK5uZSq8/edit?usp=share_link"",""ชัยนาท!L170"")+IMPORTRANGE(""https://docs.google.com/spreadsheets/d/1vWPVBOAaZ6mHSI8yf"&amp;"95DNqHwTJ1cpeFsvqt6cxV34QA/edit?usp=share_link"",""ตราด!L170"")+IMPORTRANGE(""https://docs.google.com/spreadsheets/d/1phaeSb9lTGgzDpbvVqI9hfmOQQzUom07-HEvpbARzEg/edit?usp=share_link"",""นครนายก!L170"")+IMPORTRANGE(""https://docs.google.com/spreadsheets/d/"&amp;"1tpwhWwkqkBeiSWCcfB5f2fbwPRbM9hHOEDSDHpl2MIc/edit?usp=share_link"",""นครปฐม!L170"")+IMPORTRANGE(""https://docs.google.com/spreadsheets/d/1fJJCVBkBnhriyv0Cp5ZFMr0I_yrfdEITNpb4zILJgUQ/edit?usp=share_link"",""ปทุมธานี!L170"")+IMPORTRANGE(""https://docs.googl"&amp;"e.com/spreadsheets/d/1W5Jj_S0gYw6wSO7QcMI02YgyOBDKYgmm0NSUk-AQEac/edit?usp=share_link"",""ประจวบคีรีขันธ์!L170"")+IMPORTRANGE(""https://docs.google.com/spreadsheets/d/1nYxRXgnCfTXtqUY1otYuTlnrzE0Tn-Y0YRsW5pkRVqo/edit?usp=share_link"",""ปราจีนบุรี!L170"")+"&amp;"IMPORTRANGE(""https://docs.google.com/spreadsheets/d/1nNHCLO8ZAXOMfQvxux7cf_hrzPAh8FAvaHq_ClKbZNo/edit?usp=share_link"",""พระนครศรีอยุธยา!L170"")+IMPORTRANGE(""https://docs.google.com/spreadsheets/d/1CdNicvf3i6yt4tJlCePe3V1Va76wYqW0QzMzTsaGRrA/edit?usp=sh"&amp;"are_link"",""เพชรบุรี!L170"")+IMPORTRANGE(""https://docs.google.com/spreadsheets/d/1XiF77UIVHV0Kjc6xbXuOuJ10WgJYxd4p_22ngKVV5oM/edit?usp=share_link"",""ระยอง!L170"")+IMPORTRANGE(""https://docs.google.com/spreadsheets/d/1qU-W_9MCQD1pgIVXGEOjCFo9QqlmJywueby"&amp;"GgaN92r8/edit?usp=share_link"",""ราชบุรี!L170"")+IMPORTRANGE(""https://docs.google.com/spreadsheets/d/1xYFIxIM_CspAP5Q-5Zx_V0T_Ut3cjryrjd2hss28vGk/edit?usp=share_link"",""ลพบุรี!L170"")+IMPORTRANGE(""https://docs.google.com/spreadsheets/d/11s9m3tKsCBdPWq6"&amp;"syhZm27eBGbKneDLZc75co106bio/edit?usp=share_link"",""สระแก้ว!L170"")+IMPORTRANGE(""https://docs.google.com/spreadsheets/d/1Nn1EvsFPtXldgpgVb3Rcng2K2cls68LFQsBh2FyW0Bg/edit?usp=share_link"",""สระบุรี!L170"")+IMPORTRANGE(""https://docs.google.com/spreadshee"&amp;"ts/d/149xufxukrnEciK3WPbNpHwUK8BKEJxp3UcBG3Al6dA4/edit?usp=share_link"",""สิงห์บุรี!L170"")+IMPORTRANGE(""https://docs.google.com/spreadsheets/d/132g-zJpz2uMKimp17uOIx8A7o3w1Z25zwJyXnwsB56c/edit?usp=share_link"",""สุพรรณบุรี!L170"")+IMPORTRANGE(""https://"&amp;"docs.google.com/spreadsheets/d/12Q_U0nVnFdxDFwa0pej9xvx8ZvLC9Dpi_vRro_aiG5g/edit?usp=share_link"",""อ่างทอง!L170"")
"),392970)</f>
        <v>392970</v>
      </c>
      <c r="M170" s="45">
        <f ca="1">IFERROR(__xludf.DUMMYFUNCTION("IMPORTRANGE(""https://docs.google.com/spreadsheets/d/1hKO5uv94SSRZWOvrh72HRcpyoEQF9TsE_Cvxl77XNU4/edit?usp=share_link"",""กาญจนบุรี!M170"")+IMPORTRANGE(""https://docs.google.com/spreadsheets/d/1njBaP_xXd-Uotvo2D9zb01TTCFkLJLDK97Tk1l9Qux0/edit?usp=share_li"&amp;"nk"",""จันทบุรี!M170"")+IMPORTRANGE(""https://docs.google.com/spreadsheets/d/14xp6qUzrGFnUk_qnc1eEmfiaNRd4_grkhpfQH_46fa8/edit?usp=share_link"",""ฉะเชิงเทรา!M170"")+IMPORTRANGE(""https://docs.google.com/spreadsheets/d/1_Zwps30dlVa-pZFsorjVf1Pil6WXwzCsJU0U"&amp;"2whO3NI/edit?usp=share_link"",""ชลบุรี!M170"")+IMPORTRANGE(""https://docs.google.com/spreadsheets/d/1xAsT4sUbBlom7l0acStESh_15nvjZcXjZM7fK5uZSq8/edit?usp=share_link"",""ชัยนาท!M170"")+IMPORTRANGE(""https://docs.google.com/spreadsheets/d/1vWPVBOAaZ6mHSI8yf"&amp;"95DNqHwTJ1cpeFsvqt6cxV34QA/edit?usp=share_link"",""ตราด!M170"")+IMPORTRANGE(""https://docs.google.com/spreadsheets/d/1phaeSb9lTGgzDpbvVqI9hfmOQQzUom07-HEvpbARzEg/edit?usp=share_link"",""นครนายก!M170"")+IMPORTRANGE(""https://docs.google.com/spreadsheets/d/"&amp;"1tpwhWwkqkBeiSWCcfB5f2fbwPRbM9hHOEDSDHpl2MIc/edit?usp=share_link"",""นครปฐม!M170"")+IMPORTRANGE(""https://docs.google.com/spreadsheets/d/1fJJCVBkBnhriyv0Cp5ZFMr0I_yrfdEITNpb4zILJgUQ/edit?usp=share_link"",""ปทุมธานี!M170"")+IMPORTRANGE(""https://docs.googl"&amp;"e.com/spreadsheets/d/1W5Jj_S0gYw6wSO7QcMI02YgyOBDKYgmm0NSUk-AQEac/edit?usp=share_link"",""ประจวบคีรีขันธ์!M170"")+IMPORTRANGE(""https://docs.google.com/spreadsheets/d/1nYxRXgnCfTXtqUY1otYuTlnrzE0Tn-Y0YRsW5pkRVqo/edit?usp=share_link"",""ปราจีนบุรี!M170"")+"&amp;"IMPORTRANGE(""https://docs.google.com/spreadsheets/d/1nNHCLO8ZAXOMfQvxux7cf_hrzPAh8FAvaHq_ClKbZNo/edit?usp=share_link"",""พระนครศรีอยุธยา!M170"")+IMPORTRANGE(""https://docs.google.com/spreadsheets/d/1CdNicvf3i6yt4tJlCePe3V1Va76wYqW0QzMzTsaGRrA/edit?usp=sh"&amp;"are_link"",""เพชรบุรี!M170"")+IMPORTRANGE(""https://docs.google.com/spreadsheets/d/1XiF77UIVHV0Kjc6xbXuOuJ10WgJYxd4p_22ngKVV5oM/edit?usp=share_link"",""ระยอง!M170"")+IMPORTRANGE(""https://docs.google.com/spreadsheets/d/1qU-W_9MCQD1pgIVXGEOjCFo9QqlmJywueby"&amp;"GgaN92r8/edit?usp=share_link"",""ราชบุรี!M170"")+IMPORTRANGE(""https://docs.google.com/spreadsheets/d/1xYFIxIM_CspAP5Q-5Zx_V0T_Ut3cjryrjd2hss28vGk/edit?usp=share_link"",""ลพบุรี!M170"")+IMPORTRANGE(""https://docs.google.com/spreadsheets/d/11s9m3tKsCBdPWq6"&amp;"syhZm27eBGbKneDLZc75co106bio/edit?usp=share_link"",""สระแก้ว!M170"")+IMPORTRANGE(""https://docs.google.com/spreadsheets/d/1Nn1EvsFPtXldgpgVb3Rcng2K2cls68LFQsBh2FyW0Bg/edit?usp=share_link"",""สระบุรี!M170"")+IMPORTRANGE(""https://docs.google.com/spreadshee"&amp;"ts/d/149xufxukrnEciK3WPbNpHwUK8BKEJxp3UcBG3Al6dA4/edit?usp=share_link"",""สิงห์บุรี!M170"")+IMPORTRANGE(""https://docs.google.com/spreadsheets/d/132g-zJpz2uMKimp17uOIx8A7o3w1Z25zwJyXnwsB56c/edit?usp=share_link"",""สุพรรณบุรี!M170"")+IMPORTRANGE(""https://"&amp;"docs.google.com/spreadsheets/d/12Q_U0nVnFdxDFwa0pej9xvx8ZvLC9Dpi_vRro_aiG5g/edit?usp=share_link"",""อ่างทอง!M170"")
"),392970)</f>
        <v>392970</v>
      </c>
      <c r="N170" s="45">
        <f ca="1">IFERROR(__xludf.DUMMYFUNCTION("IMPORTRANGE(""https://docs.google.com/spreadsheets/d/1hKO5uv94SSRZWOvrh72HRcpyoEQF9TsE_Cvxl77XNU4/edit?usp=share_link"",""กาญจนบุรี!N170"")+IMPORTRANGE(""https://docs.google.com/spreadsheets/d/1njBaP_xXd-Uotvo2D9zb01TTCFkLJLDK97Tk1l9Qux0/edit?usp=share_li"&amp;"nk"",""จันทบุรี!N170"")+IMPORTRANGE(""https://docs.google.com/spreadsheets/d/14xp6qUzrGFnUk_qnc1eEmfiaNRd4_grkhpfQH_46fa8/edit?usp=share_link"",""ฉะเชิงเทรา!N170"")+IMPORTRANGE(""https://docs.google.com/spreadsheets/d/1_Zwps30dlVa-pZFsorjVf1Pil6WXwzCsJU0U"&amp;"2whO3NI/edit?usp=share_link"",""ชลบุรี!N170"")+IMPORTRANGE(""https://docs.google.com/spreadsheets/d/1xAsT4sUbBlom7l0acStESh_15nvjZcXjZM7fK5uZSq8/edit?usp=share_link"",""ชัยนาท!N170"")+IMPORTRANGE(""https://docs.google.com/spreadsheets/d/1vWPVBOAaZ6mHSI8yf"&amp;"95DNqHwTJ1cpeFsvqt6cxV34QA/edit?usp=share_link"",""ตราด!N170"")+IMPORTRANGE(""https://docs.google.com/spreadsheets/d/1phaeSb9lTGgzDpbvVqI9hfmOQQzUom07-HEvpbARzEg/edit?usp=share_link"",""นครนายก!N170"")+IMPORTRANGE(""https://docs.google.com/spreadsheets/d/"&amp;"1tpwhWwkqkBeiSWCcfB5f2fbwPRbM9hHOEDSDHpl2MIc/edit?usp=share_link"",""นครปฐม!N170"")+IMPORTRANGE(""https://docs.google.com/spreadsheets/d/1fJJCVBkBnhriyv0Cp5ZFMr0I_yrfdEITNpb4zILJgUQ/edit?usp=share_link"",""ปทุมธานี!N170"")+IMPORTRANGE(""https://docs.googl"&amp;"e.com/spreadsheets/d/1W5Jj_S0gYw6wSO7QcMI02YgyOBDKYgmm0NSUk-AQEac/edit?usp=share_link"",""ประจวบคีรีขันธ์!N170"")+IMPORTRANGE(""https://docs.google.com/spreadsheets/d/1nYxRXgnCfTXtqUY1otYuTlnrzE0Tn-Y0YRsW5pkRVqo/edit?usp=share_link"",""ปราจีนบุรี!N170"")+"&amp;"IMPORTRANGE(""https://docs.google.com/spreadsheets/d/1nNHCLO8ZAXOMfQvxux7cf_hrzPAh8FAvaHq_ClKbZNo/edit?usp=share_link"",""พระนครศรีอยุธยา!N170"")+IMPORTRANGE(""https://docs.google.com/spreadsheets/d/1CdNicvf3i6yt4tJlCePe3V1Va76wYqW0QzMzTsaGRrA/edit?usp=sh"&amp;"are_link"",""เพชรบุรี!N170"")+IMPORTRANGE(""https://docs.google.com/spreadsheets/d/1XiF77UIVHV0Kjc6xbXuOuJ10WgJYxd4p_22ngKVV5oM/edit?usp=share_link"",""ระยอง!N170"")+IMPORTRANGE(""https://docs.google.com/spreadsheets/d/1qU-W_9MCQD1pgIVXGEOjCFo9QqlmJywueby"&amp;"GgaN92r8/edit?usp=share_link"",""ราชบุรี!N170"")+IMPORTRANGE(""https://docs.google.com/spreadsheets/d/1xYFIxIM_CspAP5Q-5Zx_V0T_Ut3cjryrjd2hss28vGk/edit?usp=share_link"",""ลพบุรี!N170"")+IMPORTRANGE(""https://docs.google.com/spreadsheets/d/11s9m3tKsCBdPWq6"&amp;"syhZm27eBGbKneDLZc75co106bio/edit?usp=share_link"",""สระแก้ว!N170"")+IMPORTRANGE(""https://docs.google.com/spreadsheets/d/1Nn1EvsFPtXldgpgVb3Rcng2K2cls68LFQsBh2FyW0Bg/edit?usp=share_link"",""สระบุรี!N170"")+IMPORTRANGE(""https://docs.google.com/spreadshee"&amp;"ts/d/149xufxukrnEciK3WPbNpHwUK8BKEJxp3UcBG3Al6dA4/edit?usp=share_link"",""สิงห์บุรี!N170"")+IMPORTRANGE(""https://docs.google.com/spreadsheets/d/132g-zJpz2uMKimp17uOIx8A7o3w1Z25zwJyXnwsB56c/edit?usp=share_link"",""สุพรรณบุรี!N170"")+IMPORTRANGE(""https://"&amp;"docs.google.com/spreadsheets/d/12Q_U0nVnFdxDFwa0pej9xvx8ZvLC9Dpi_vRro_aiG5g/edit?usp=share_link"",""อ่างทอง!N170"")
"),334150.12)</f>
        <v>334150.12</v>
      </c>
      <c r="O170" s="45">
        <f t="shared" ca="1" si="105"/>
        <v>85.031966816805351</v>
      </c>
      <c r="P170" s="45">
        <f t="shared" ca="1" si="106"/>
        <v>85.031966816805351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20.25" customHeight="1">
      <c r="A171" s="159"/>
      <c r="B171" s="33"/>
      <c r="C171" s="160"/>
      <c r="D171" s="34" t="s">
        <v>21</v>
      </c>
      <c r="E171" s="33"/>
      <c r="F171" s="33"/>
      <c r="G171" s="35"/>
      <c r="H171" s="168" t="s">
        <v>12</v>
      </c>
      <c r="I171" s="162"/>
      <c r="J171" s="162"/>
      <c r="K171" s="163"/>
      <c r="L171" s="38">
        <f t="shared" ref="L171:N171" ca="1" si="110">L172+L173</f>
        <v>0</v>
      </c>
      <c r="M171" s="38">
        <f t="shared" ca="1" si="110"/>
        <v>0</v>
      </c>
      <c r="N171" s="38">
        <f t="shared" ca="1" si="110"/>
        <v>0</v>
      </c>
      <c r="O171" s="38">
        <f t="shared" ca="1" si="105"/>
        <v>0</v>
      </c>
      <c r="P171" s="38">
        <f t="shared" ca="1" si="10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20.25" hidden="1" customHeight="1">
      <c r="A172" s="156"/>
      <c r="B172" s="40"/>
      <c r="C172" s="164"/>
      <c r="D172" s="40"/>
      <c r="E172" s="41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45">
        <f t="shared" si="105"/>
        <v>0</v>
      </c>
      <c r="P172" s="45">
        <f t="shared" si="10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20.25" hidden="1" customHeight="1">
      <c r="A173" s="156"/>
      <c r="B173" s="40"/>
      <c r="C173" s="164"/>
      <c r="D173" s="40"/>
      <c r="E173" s="41" t="s">
        <v>19</v>
      </c>
      <c r="F173" s="40"/>
      <c r="G173" s="157"/>
      <c r="H173" s="169" t="s">
        <v>12</v>
      </c>
      <c r="I173" s="166"/>
      <c r="J173" s="166"/>
      <c r="K173" s="167"/>
      <c r="L173" s="45">
        <f ca="1">IFERROR(__xludf.DUMMYFUNCTION("IMPORTRANGE(""https://docs.google.com/spreadsheets/d/1hKO5uv94SSRZWOvrh72HRcpyoEQF9TsE_Cvxl77XNU4/edit?usp=share_link"",""กาญจนบุรี!L173"")+IMPORTRANGE(""https://docs.google.com/spreadsheets/d/1njBaP_xXd-Uotvo2D9zb01TTCFkLJLDK97Tk1l9Qux0/edit?usp=share_li"&amp;"nk"",""จันทบุรี!L173"")+IMPORTRANGE(""https://docs.google.com/spreadsheets/d/14xp6qUzrGFnUk_qnc1eEmfiaNRd4_grkhpfQH_46fa8/edit?usp=share_link"",""ฉะเชิงเทรา!L173"")+IMPORTRANGE(""https://docs.google.com/spreadsheets/d/1_Zwps30dlVa-pZFsorjVf1Pil6WXwzCsJU0U"&amp;"2whO3NI/edit?usp=share_link"",""ชลบุรี!L173"")+IMPORTRANGE(""https://docs.google.com/spreadsheets/d/1xAsT4sUbBlom7l0acStESh_15nvjZcXjZM7fK5uZSq8/edit?usp=share_link"",""ชัยนาท!L173"")+IMPORTRANGE(""https://docs.google.com/spreadsheets/d/1vWPVBOAaZ6mHSI8yf"&amp;"95DNqHwTJ1cpeFsvqt6cxV34QA/edit?usp=share_link"",""ตราด!L173"")+IMPORTRANGE(""https://docs.google.com/spreadsheets/d/1phaeSb9lTGgzDpbvVqI9hfmOQQzUom07-HEvpbARzEg/edit?usp=share_link"",""นครนายก!L173"")+IMPORTRANGE(""https://docs.google.com/spreadsheets/d/"&amp;"1tpwhWwkqkBeiSWCcfB5f2fbwPRbM9hHOEDSDHpl2MIc/edit?usp=share_link"",""นครปฐม!L173"")+IMPORTRANGE(""https://docs.google.com/spreadsheets/d/1fJJCVBkBnhriyv0Cp5ZFMr0I_yrfdEITNpb4zILJgUQ/edit?usp=share_link"",""ปทุมธานี!L173"")+IMPORTRANGE(""https://docs.googl"&amp;"e.com/spreadsheets/d/1W5Jj_S0gYw6wSO7QcMI02YgyOBDKYgmm0NSUk-AQEac/edit?usp=share_link"",""ประจวบคีรีขันธ์!L173"")+IMPORTRANGE(""https://docs.google.com/spreadsheets/d/1nYxRXgnCfTXtqUY1otYuTlnrzE0Tn-Y0YRsW5pkRVqo/edit?usp=share_link"",""ปราจีนบุรี!L173"")+"&amp;"IMPORTRANGE(""https://docs.google.com/spreadsheets/d/1nNHCLO8ZAXOMfQvxux7cf_hrzPAh8FAvaHq_ClKbZNo/edit?usp=share_link"",""พระนครศรีอยุธยา!L173"")+IMPORTRANGE(""https://docs.google.com/spreadsheets/d/1CdNicvf3i6yt4tJlCePe3V1Va76wYqW0QzMzTsaGRrA/edit?usp=sh"&amp;"are_link"",""เพชรบุรี!L173"")+IMPORTRANGE(""https://docs.google.com/spreadsheets/d/1XiF77UIVHV0Kjc6xbXuOuJ10WgJYxd4p_22ngKVV5oM/edit?usp=share_link"",""ระยอง!L173"")+IMPORTRANGE(""https://docs.google.com/spreadsheets/d/1qU-W_9MCQD1pgIVXGEOjCFo9QqlmJywueby"&amp;"GgaN92r8/edit?usp=share_link"",""ราชบุรี!L173"")+IMPORTRANGE(""https://docs.google.com/spreadsheets/d/1xYFIxIM_CspAP5Q-5Zx_V0T_Ut3cjryrjd2hss28vGk/edit?usp=share_link"",""ลพบุรี!L173"")+IMPORTRANGE(""https://docs.google.com/spreadsheets/d/11s9m3tKsCBdPWq6"&amp;"syhZm27eBGbKneDLZc75co106bio/edit?usp=share_link"",""สระแก้ว!L173"")+IMPORTRANGE(""https://docs.google.com/spreadsheets/d/1Nn1EvsFPtXldgpgVb3Rcng2K2cls68LFQsBh2FyW0Bg/edit?usp=share_link"",""สระบุรี!L173"")+IMPORTRANGE(""https://docs.google.com/spreadshee"&amp;"ts/d/149xufxukrnEciK3WPbNpHwUK8BKEJxp3UcBG3Al6dA4/edit?usp=share_link"",""สิงห์บุรี!L173"")+IMPORTRANGE(""https://docs.google.com/spreadsheets/d/132g-zJpz2uMKimp17uOIx8A7o3w1Z25zwJyXnwsB56c/edit?usp=share_link"",""สุพรรณบุรี!L173"")+IMPORTRANGE(""https://"&amp;"docs.google.com/spreadsheets/d/12Q_U0nVnFdxDFwa0pej9xvx8ZvLC9Dpi_vRro_aiG5g/edit?usp=share_link"",""อ่างทอง!L173"")
"),0)</f>
        <v>0</v>
      </c>
      <c r="M173" s="45">
        <f ca="1">IFERROR(__xludf.DUMMYFUNCTION("IMPORTRANGE(""https://docs.google.com/spreadsheets/d/1hKO5uv94SSRZWOvrh72HRcpyoEQF9TsE_Cvxl77XNU4/edit?usp=share_link"",""กาญจนบุรี!M173"")+IMPORTRANGE(""https://docs.google.com/spreadsheets/d/1njBaP_xXd-Uotvo2D9zb01TTCFkLJLDK97Tk1l9Qux0/edit?usp=share_li"&amp;"nk"",""จันทบุรี!M173"")+IMPORTRANGE(""https://docs.google.com/spreadsheets/d/14xp6qUzrGFnUk_qnc1eEmfiaNRd4_grkhpfQH_46fa8/edit?usp=share_link"",""ฉะเชิงเทรา!M173"")+IMPORTRANGE(""https://docs.google.com/spreadsheets/d/1_Zwps30dlVa-pZFsorjVf1Pil6WXwzCsJU0U"&amp;"2whO3NI/edit?usp=share_link"",""ชลบุรี!M173"")+IMPORTRANGE(""https://docs.google.com/spreadsheets/d/1xAsT4sUbBlom7l0acStESh_15nvjZcXjZM7fK5uZSq8/edit?usp=share_link"",""ชัยนาท!M173"")+IMPORTRANGE(""https://docs.google.com/spreadsheets/d/1vWPVBOAaZ6mHSI8yf"&amp;"95DNqHwTJ1cpeFsvqt6cxV34QA/edit?usp=share_link"",""ตราด!M173"")+IMPORTRANGE(""https://docs.google.com/spreadsheets/d/1phaeSb9lTGgzDpbvVqI9hfmOQQzUom07-HEvpbARzEg/edit?usp=share_link"",""นครนายก!M173"")+IMPORTRANGE(""https://docs.google.com/spreadsheets/d/"&amp;"1tpwhWwkqkBeiSWCcfB5f2fbwPRbM9hHOEDSDHpl2MIc/edit?usp=share_link"",""นครปฐม!M173"")+IMPORTRANGE(""https://docs.google.com/spreadsheets/d/1fJJCVBkBnhriyv0Cp5ZFMr0I_yrfdEITNpb4zILJgUQ/edit?usp=share_link"",""ปทุมธานี!M173"")+IMPORTRANGE(""https://docs.googl"&amp;"e.com/spreadsheets/d/1W5Jj_S0gYw6wSO7QcMI02YgyOBDKYgmm0NSUk-AQEac/edit?usp=share_link"",""ประจวบคีรีขันธ์!M173"")+IMPORTRANGE(""https://docs.google.com/spreadsheets/d/1nYxRXgnCfTXtqUY1otYuTlnrzE0Tn-Y0YRsW5pkRVqo/edit?usp=share_link"",""ปราจีนบุรี!M173"")+"&amp;"IMPORTRANGE(""https://docs.google.com/spreadsheets/d/1nNHCLO8ZAXOMfQvxux7cf_hrzPAh8FAvaHq_ClKbZNo/edit?usp=share_link"",""พระนครศรีอยุธยา!M173"")+IMPORTRANGE(""https://docs.google.com/spreadsheets/d/1CdNicvf3i6yt4tJlCePe3V1Va76wYqW0QzMzTsaGRrA/edit?usp=sh"&amp;"are_link"",""เพชรบุรี!M173"")+IMPORTRANGE(""https://docs.google.com/spreadsheets/d/1XiF77UIVHV0Kjc6xbXuOuJ10WgJYxd4p_22ngKVV5oM/edit?usp=share_link"",""ระยอง!M173"")+IMPORTRANGE(""https://docs.google.com/spreadsheets/d/1qU-W_9MCQD1pgIVXGEOjCFo9QqlmJywueby"&amp;"GgaN92r8/edit?usp=share_link"",""ราชบุรี!M173"")+IMPORTRANGE(""https://docs.google.com/spreadsheets/d/1xYFIxIM_CspAP5Q-5Zx_V0T_Ut3cjryrjd2hss28vGk/edit?usp=share_link"",""ลพบุรี!M173"")+IMPORTRANGE(""https://docs.google.com/spreadsheets/d/11s9m3tKsCBdPWq6"&amp;"syhZm27eBGbKneDLZc75co106bio/edit?usp=share_link"",""สระแก้ว!M173"")+IMPORTRANGE(""https://docs.google.com/spreadsheets/d/1Nn1EvsFPtXldgpgVb3Rcng2K2cls68LFQsBh2FyW0Bg/edit?usp=share_link"",""สระบุรี!M173"")+IMPORTRANGE(""https://docs.google.com/spreadshee"&amp;"ts/d/149xufxukrnEciK3WPbNpHwUK8BKEJxp3UcBG3Al6dA4/edit?usp=share_link"",""สิงห์บุรี!M173"")+IMPORTRANGE(""https://docs.google.com/spreadsheets/d/132g-zJpz2uMKimp17uOIx8A7o3w1Z25zwJyXnwsB56c/edit?usp=share_link"",""สุพรรณบุรี!M173"")+IMPORTRANGE(""https://"&amp;"docs.google.com/spreadsheets/d/12Q_U0nVnFdxDFwa0pej9xvx8ZvLC9Dpi_vRro_aiG5g/edit?usp=share_link"",""อ่างทอง!M173"")
"),0)</f>
        <v>0</v>
      </c>
      <c r="N173" s="45">
        <f ca="1">IFERROR(__xludf.DUMMYFUNCTION("IMPORTRANGE(""https://docs.google.com/spreadsheets/d/1hKO5uv94SSRZWOvrh72HRcpyoEQF9TsE_Cvxl77XNU4/edit?usp=share_link"",""กาญจนบุรี!N173"")+IMPORTRANGE(""https://docs.google.com/spreadsheets/d/1njBaP_xXd-Uotvo2D9zb01TTCFkLJLDK97Tk1l9Qux0/edit?usp=share_li"&amp;"nk"",""จันทบุรี!N173"")+IMPORTRANGE(""https://docs.google.com/spreadsheets/d/14xp6qUzrGFnUk_qnc1eEmfiaNRd4_grkhpfQH_46fa8/edit?usp=share_link"",""ฉะเชิงเทรา!N173"")+IMPORTRANGE(""https://docs.google.com/spreadsheets/d/1_Zwps30dlVa-pZFsorjVf1Pil6WXwzCsJU0U"&amp;"2whO3NI/edit?usp=share_link"",""ชลบุรี!N173"")+IMPORTRANGE(""https://docs.google.com/spreadsheets/d/1xAsT4sUbBlom7l0acStESh_15nvjZcXjZM7fK5uZSq8/edit?usp=share_link"",""ชัยนาท!N173"")+IMPORTRANGE(""https://docs.google.com/spreadsheets/d/1vWPVBOAaZ6mHSI8yf"&amp;"95DNqHwTJ1cpeFsvqt6cxV34QA/edit?usp=share_link"",""ตราด!N173"")+IMPORTRANGE(""https://docs.google.com/spreadsheets/d/1phaeSb9lTGgzDpbvVqI9hfmOQQzUom07-HEvpbARzEg/edit?usp=share_link"",""นครนายก!N173"")+IMPORTRANGE(""https://docs.google.com/spreadsheets/d/"&amp;"1tpwhWwkqkBeiSWCcfB5f2fbwPRbM9hHOEDSDHpl2MIc/edit?usp=share_link"",""นครปฐม!N173"")+IMPORTRANGE(""https://docs.google.com/spreadsheets/d/1fJJCVBkBnhriyv0Cp5ZFMr0I_yrfdEITNpb4zILJgUQ/edit?usp=share_link"",""ปทุมธานี!N173"")+IMPORTRANGE(""https://docs.googl"&amp;"e.com/spreadsheets/d/1W5Jj_S0gYw6wSO7QcMI02YgyOBDKYgmm0NSUk-AQEac/edit?usp=share_link"",""ประจวบคีรีขันธ์!N173"")+IMPORTRANGE(""https://docs.google.com/spreadsheets/d/1nYxRXgnCfTXtqUY1otYuTlnrzE0Tn-Y0YRsW5pkRVqo/edit?usp=share_link"",""ปราจีนบุรี!N173"")+"&amp;"IMPORTRANGE(""https://docs.google.com/spreadsheets/d/1nNHCLO8ZAXOMfQvxux7cf_hrzPAh8FAvaHq_ClKbZNo/edit?usp=share_link"",""พระนครศรีอยุธยา!N173"")+IMPORTRANGE(""https://docs.google.com/spreadsheets/d/1CdNicvf3i6yt4tJlCePe3V1Va76wYqW0QzMzTsaGRrA/edit?usp=sh"&amp;"are_link"",""เพชรบุรี!N173"")+IMPORTRANGE(""https://docs.google.com/spreadsheets/d/1XiF77UIVHV0Kjc6xbXuOuJ10WgJYxd4p_22ngKVV5oM/edit?usp=share_link"",""ระยอง!N173"")+IMPORTRANGE(""https://docs.google.com/spreadsheets/d/1qU-W_9MCQD1pgIVXGEOjCFo9QqlmJywueby"&amp;"GgaN92r8/edit?usp=share_link"",""ราชบุรี!N173"")+IMPORTRANGE(""https://docs.google.com/spreadsheets/d/1xYFIxIM_CspAP5Q-5Zx_V0T_Ut3cjryrjd2hss28vGk/edit?usp=share_link"",""ลพบุรี!N173"")+IMPORTRANGE(""https://docs.google.com/spreadsheets/d/11s9m3tKsCBdPWq6"&amp;"syhZm27eBGbKneDLZc75co106bio/edit?usp=share_link"",""สระแก้ว!N173"")+IMPORTRANGE(""https://docs.google.com/spreadsheets/d/1Nn1EvsFPtXldgpgVb3Rcng2K2cls68LFQsBh2FyW0Bg/edit?usp=share_link"",""สระบุรี!N173"")+IMPORTRANGE(""https://docs.google.com/spreadshee"&amp;"ts/d/149xufxukrnEciK3WPbNpHwUK8BKEJxp3UcBG3Al6dA4/edit?usp=share_link"",""สิงห์บุรี!N173"")+IMPORTRANGE(""https://docs.google.com/spreadsheets/d/132g-zJpz2uMKimp17uOIx8A7o3w1Z25zwJyXnwsB56c/edit?usp=share_link"",""สุพรรณบุรี!N173"")+IMPORTRANGE(""https://"&amp;"docs.google.com/spreadsheets/d/12Q_U0nVnFdxDFwa0pej9xvx8ZvLC9Dpi_vRro_aiG5g/edit?usp=share_link"",""อ่างทอง!N173"")
"),0)</f>
        <v>0</v>
      </c>
      <c r="O173" s="45">
        <f t="shared" ca="1" si="105"/>
        <v>0</v>
      </c>
      <c r="P173" s="45">
        <f t="shared" ca="1" si="10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20.25" customHeight="1">
      <c r="A174" s="255"/>
      <c r="B174" s="256"/>
      <c r="C174" s="257" t="s">
        <v>84</v>
      </c>
      <c r="D174" s="256"/>
      <c r="E174" s="256"/>
      <c r="F174" s="256"/>
      <c r="G174" s="258"/>
      <c r="H174" s="259" t="s">
        <v>35</v>
      </c>
      <c r="I174" s="260">
        <f t="shared" ref="I174:J174" ca="1" si="111">I176</f>
        <v>194</v>
      </c>
      <c r="J174" s="260">
        <f t="shared" ca="1" si="111"/>
        <v>126</v>
      </c>
      <c r="K174" s="261">
        <f ca="1">IF(I174&gt;0,J174*100/I174,0)</f>
        <v>64.948453608247419</v>
      </c>
      <c r="L174" s="261"/>
      <c r="M174" s="261"/>
      <c r="N174" s="261"/>
      <c r="O174" s="261"/>
      <c r="P174" s="261"/>
    </row>
    <row r="175" spans="1:26" ht="20.25" customHeight="1">
      <c r="A175" s="170"/>
      <c r="B175" s="171"/>
      <c r="C175" s="164" t="s">
        <v>16</v>
      </c>
      <c r="D175" s="172" t="s">
        <v>38</v>
      </c>
      <c r="E175" s="173"/>
      <c r="F175" s="173"/>
      <c r="G175" s="174"/>
      <c r="H175" s="175"/>
      <c r="I175" s="162"/>
      <c r="J175" s="162"/>
      <c r="K175" s="163"/>
      <c r="L175" s="163"/>
      <c r="M175" s="163"/>
      <c r="N175" s="163"/>
      <c r="O175" s="163"/>
      <c r="P175" s="163"/>
    </row>
    <row r="176" spans="1:26" ht="20.25" customHeight="1">
      <c r="A176" s="170"/>
      <c r="B176" s="171"/>
      <c r="C176" s="171"/>
      <c r="D176" s="262" t="s">
        <v>85</v>
      </c>
      <c r="E176" s="178"/>
      <c r="F176" s="178"/>
      <c r="G176" s="179"/>
      <c r="H176" s="36" t="s">
        <v>35</v>
      </c>
      <c r="I176" s="37">
        <f ca="1">IFERROR(__xludf.DUMMYFUNCTION("IMPORTRANGE(""https://docs.google.com/spreadsheets/d/1hKO5uv94SSRZWOvrh72HRcpyoEQF9TsE_Cvxl77XNU4/edit?usp=share_link"",""กาญจนบุรี!I176"")+IMPORTRANGE(""https://docs.google.com/spreadsheets/d/1njBaP_xXd-Uotvo2D9zb01TTCFkLJLDK97Tk1l9Qux0/edit?usp=share_li"&amp;"nk"",""จันทบุรี!I176"")+IMPORTRANGE(""https://docs.google.com/spreadsheets/d/14xp6qUzrGFnUk_qnc1eEmfiaNRd4_grkhpfQH_46fa8/edit?usp=share_link"",""ฉะเชิงเทรา!I176"")+IMPORTRANGE(""https://docs.google.com/spreadsheets/d/1_Zwps30dlVa-pZFsorjVf1Pil6WXwzCsJU0U"&amp;"2whO3NI/edit?usp=share_link"",""ชลบุรี!I176"")+IMPORTRANGE(""https://docs.google.com/spreadsheets/d/1xAsT4sUbBlom7l0acStESh_15nvjZcXjZM7fK5uZSq8/edit?usp=share_link"",""ชัยนาท!I176"")+IMPORTRANGE(""https://docs.google.com/spreadsheets/d/1vWPVBOAaZ6mHSI8yf"&amp;"95DNqHwTJ1cpeFsvqt6cxV34QA/edit?usp=share_link"",""ตราด!I176"")+IMPORTRANGE(""https://docs.google.com/spreadsheets/d/1phaeSb9lTGgzDpbvVqI9hfmOQQzUom07-HEvpbARzEg/edit?usp=share_link"",""นครนายก!I176"")+IMPORTRANGE(""https://docs.google.com/spreadsheets/d/"&amp;"1tpwhWwkqkBeiSWCcfB5f2fbwPRbM9hHOEDSDHpl2MIc/edit?usp=share_link"",""นครปฐม!I176"")+IMPORTRANGE(""https://docs.google.com/spreadsheets/d/1fJJCVBkBnhriyv0Cp5ZFMr0I_yrfdEITNpb4zILJgUQ/edit?usp=share_link"",""ปทุมธานี!I176"")+IMPORTRANGE(""https://docs.googl"&amp;"e.com/spreadsheets/d/1W5Jj_S0gYw6wSO7QcMI02YgyOBDKYgmm0NSUk-AQEac/edit?usp=share_link"",""ประจวบคีรีขันธ์!I176"")+IMPORTRANGE(""https://docs.google.com/spreadsheets/d/1nYxRXgnCfTXtqUY1otYuTlnrzE0Tn-Y0YRsW5pkRVqo/edit?usp=share_link"",""ปราจีนบุรี!I176"")+"&amp;"IMPORTRANGE(""https://docs.google.com/spreadsheets/d/1nNHCLO8ZAXOMfQvxux7cf_hrzPAh8FAvaHq_ClKbZNo/edit?usp=share_link"",""พระนครศรีอยุธยา!I176"")+IMPORTRANGE(""https://docs.google.com/spreadsheets/d/1CdNicvf3i6yt4tJlCePe3V1Va76wYqW0QzMzTsaGRrA/edit?usp=sh"&amp;"are_link"",""เพชรบุรี!I176"")+IMPORTRANGE(""https://docs.google.com/spreadsheets/d/1XiF77UIVHV0Kjc6xbXuOuJ10WgJYxd4p_22ngKVV5oM/edit?usp=share_link"",""ระยอง!I176"")+IMPORTRANGE(""https://docs.google.com/spreadsheets/d/1qU-W_9MCQD1pgIVXGEOjCFo9QqlmJywueby"&amp;"GgaN92r8/edit?usp=share_link"",""ราชบุรี!I176"")+IMPORTRANGE(""https://docs.google.com/spreadsheets/d/1xYFIxIM_CspAP5Q-5Zx_V0T_Ut3cjryrjd2hss28vGk/edit?usp=share_link"",""ลพบุรี!I176"")+IMPORTRANGE(""https://docs.google.com/spreadsheets/d/11s9m3tKsCBdPWq6"&amp;"syhZm27eBGbKneDLZc75co106bio/edit?usp=share_link"",""สระแก้ว!I176"")+IMPORTRANGE(""https://docs.google.com/spreadsheets/d/1Nn1EvsFPtXldgpgVb3Rcng2K2cls68LFQsBh2FyW0Bg/edit?usp=share_link"",""สระบุรี!I176"")+IMPORTRANGE(""https://docs.google.com/spreadshee"&amp;"ts/d/149xufxukrnEciK3WPbNpHwUK8BKEJxp3UcBG3Al6dA4/edit?usp=share_link"",""สิงห์บุรี!I176"")+IMPORTRANGE(""https://docs.google.com/spreadsheets/d/132g-zJpz2uMKimp17uOIx8A7o3w1Z25zwJyXnwsB56c/edit?usp=share_link"",""สุพรรณบุรี!I176"")+IMPORTRANGE(""https://"&amp;"docs.google.com/spreadsheets/d/12Q_U0nVnFdxDFwa0pej9xvx8ZvLC9Dpi_vRro_aiG5g/edit?usp=share_link"",""อ่างทอง!I176"")
"),194)</f>
        <v>194</v>
      </c>
      <c r="J176" s="183">
        <f ca="1">IFERROR(__xludf.DUMMYFUNCTION("IMPORTRANGE(""https://docs.google.com/spreadsheets/d/1hKO5uv94SSRZWOvrh72HRcpyoEQF9TsE_Cvxl77XNU4/edit?usp=share_link"",""กาญจนบุรี!J176"")+IMPORTRANGE(""https://docs.google.com/spreadsheets/d/1njBaP_xXd-Uotvo2D9zb01TTCFkLJLDK97Tk1l9Qux0/edit?usp=share_li"&amp;"nk"",""จันทบุรี!J176"")+IMPORTRANGE(""https://docs.google.com/spreadsheets/d/14xp6qUzrGFnUk_qnc1eEmfiaNRd4_grkhpfQH_46fa8/edit?usp=share_link"",""ฉะเชิงเทรา!J176"")+IMPORTRANGE(""https://docs.google.com/spreadsheets/d/1_Zwps30dlVa-pZFsorjVf1Pil6WXwzCsJU0U"&amp;"2whO3NI/edit?usp=share_link"",""ชลบุรี!J176"")+IMPORTRANGE(""https://docs.google.com/spreadsheets/d/1xAsT4sUbBlom7l0acStESh_15nvjZcXjZM7fK5uZSq8/edit?usp=share_link"",""ชัยนาท!J176"")+IMPORTRANGE(""https://docs.google.com/spreadsheets/d/1vWPVBOAaZ6mHSI8yf"&amp;"95DNqHwTJ1cpeFsvqt6cxV34QA/edit?usp=share_link"",""ตราด!J176"")+IMPORTRANGE(""https://docs.google.com/spreadsheets/d/1phaeSb9lTGgzDpbvVqI9hfmOQQzUom07-HEvpbARzEg/edit?usp=share_link"",""นครนายก!J176"")+IMPORTRANGE(""https://docs.google.com/spreadsheets/d/"&amp;"1tpwhWwkqkBeiSWCcfB5f2fbwPRbM9hHOEDSDHpl2MIc/edit?usp=share_link"",""นครปฐม!J176"")+IMPORTRANGE(""https://docs.google.com/spreadsheets/d/1fJJCVBkBnhriyv0Cp5ZFMr0I_yrfdEITNpb4zILJgUQ/edit?usp=share_link"",""ปทุมธานี!J176"")+IMPORTRANGE(""https://docs.googl"&amp;"e.com/spreadsheets/d/1W5Jj_S0gYw6wSO7QcMI02YgyOBDKYgmm0NSUk-AQEac/edit?usp=share_link"",""ประจวบคีรีขันธ์!J176"")+IMPORTRANGE(""https://docs.google.com/spreadsheets/d/1nYxRXgnCfTXtqUY1otYuTlnrzE0Tn-Y0YRsW5pkRVqo/edit?usp=share_link"",""ปราจีนบุรี!J176"")+"&amp;"IMPORTRANGE(""https://docs.google.com/spreadsheets/d/1nNHCLO8ZAXOMfQvxux7cf_hrzPAh8FAvaHq_ClKbZNo/edit?usp=share_link"",""พระนครศรีอยุธยา!J176"")+IMPORTRANGE(""https://docs.google.com/spreadsheets/d/1CdNicvf3i6yt4tJlCePe3V1Va76wYqW0QzMzTsaGRrA/edit?usp=sh"&amp;"are_link"",""เพชรบุรี!J176"")+IMPORTRANGE(""https://docs.google.com/spreadsheets/d/1XiF77UIVHV0Kjc6xbXuOuJ10WgJYxd4p_22ngKVV5oM/edit?usp=share_link"",""ระยอง!J176"")+IMPORTRANGE(""https://docs.google.com/spreadsheets/d/1qU-W_9MCQD1pgIVXGEOjCFo9QqlmJywueby"&amp;"GgaN92r8/edit?usp=share_link"",""ราชบุรี!J176"")+IMPORTRANGE(""https://docs.google.com/spreadsheets/d/1xYFIxIM_CspAP5Q-5Zx_V0T_Ut3cjryrjd2hss28vGk/edit?usp=share_link"",""ลพบุรี!J176"")+IMPORTRANGE(""https://docs.google.com/spreadsheets/d/11s9m3tKsCBdPWq6"&amp;"syhZm27eBGbKneDLZc75co106bio/edit?usp=share_link"",""สระแก้ว!J176"")+IMPORTRANGE(""https://docs.google.com/spreadsheets/d/1Nn1EvsFPtXldgpgVb3Rcng2K2cls68LFQsBh2FyW0Bg/edit?usp=share_link"",""สระบุรี!J176"")+IMPORTRANGE(""https://docs.google.com/spreadshee"&amp;"ts/d/149xufxukrnEciK3WPbNpHwUK8BKEJxp3UcBG3Al6dA4/edit?usp=share_link"",""สิงห์บุรี!J176"")+IMPORTRANGE(""https://docs.google.com/spreadsheets/d/132g-zJpz2uMKimp17uOIx8A7o3w1Z25zwJyXnwsB56c/edit?usp=share_link"",""สุพรรณบุรี!J176"")+IMPORTRANGE(""https://"&amp;"docs.google.com/spreadsheets/d/12Q_U0nVnFdxDFwa0pej9xvx8ZvLC9Dpi_vRro_aiG5g/edit?usp=share_link"",""อ่างทอง!J176"")
"),126)</f>
        <v>126</v>
      </c>
      <c r="K176" s="163">
        <f ca="1">IF(I176&gt;0,J176*100/I176,0)</f>
        <v>64.948453608247419</v>
      </c>
      <c r="L176" s="163"/>
      <c r="M176" s="163"/>
      <c r="N176" s="163"/>
      <c r="O176" s="163"/>
      <c r="P176" s="163"/>
    </row>
    <row r="177" spans="1:26" ht="20.25" hidden="1" customHeight="1">
      <c r="A177" s="255"/>
      <c r="B177" s="263"/>
      <c r="C177" s="264" t="s">
        <v>86</v>
      </c>
      <c r="D177" s="263"/>
      <c r="E177" s="256"/>
      <c r="F177" s="256"/>
      <c r="G177" s="258"/>
      <c r="H177" s="265" t="s">
        <v>35</v>
      </c>
      <c r="I177" s="260"/>
      <c r="J177" s="260">
        <f>J179</f>
        <v>0</v>
      </c>
      <c r="K177" s="261"/>
      <c r="L177" s="261"/>
      <c r="M177" s="261"/>
      <c r="N177" s="261"/>
      <c r="O177" s="261"/>
      <c r="P177" s="261"/>
    </row>
    <row r="178" spans="1:26" ht="20.25" hidden="1" customHeight="1">
      <c r="A178" s="170"/>
      <c r="B178" s="171"/>
      <c r="C178" s="164" t="s">
        <v>16</v>
      </c>
      <c r="D178" s="266" t="s">
        <v>38</v>
      </c>
      <c r="E178" s="173"/>
      <c r="F178" s="173"/>
      <c r="G178" s="174"/>
      <c r="H178" s="175"/>
      <c r="I178" s="162"/>
      <c r="J178" s="162"/>
      <c r="K178" s="163"/>
      <c r="L178" s="163"/>
      <c r="M178" s="163"/>
      <c r="N178" s="163"/>
      <c r="O178" s="163"/>
      <c r="P178" s="163"/>
    </row>
    <row r="179" spans="1:26" ht="20.25" hidden="1" customHeight="1">
      <c r="A179" s="170"/>
      <c r="B179" s="171"/>
      <c r="C179" s="171"/>
      <c r="D179" s="267" t="s">
        <v>87</v>
      </c>
      <c r="E179" s="178"/>
      <c r="F179" s="268"/>
      <c r="G179" s="179"/>
      <c r="H179" s="43" t="s">
        <v>35</v>
      </c>
      <c r="I179" s="37"/>
      <c r="J179" s="269"/>
      <c r="K179" s="163"/>
      <c r="L179" s="163"/>
      <c r="M179" s="163"/>
      <c r="N179" s="163"/>
      <c r="O179" s="163"/>
      <c r="P179" s="163"/>
    </row>
    <row r="180" spans="1:26" ht="20.25" customHeight="1">
      <c r="A180" s="248"/>
      <c r="B180" s="249" t="s">
        <v>88</v>
      </c>
      <c r="C180" s="250"/>
      <c r="D180" s="173"/>
      <c r="E180" s="173"/>
      <c r="F180" s="173"/>
      <c r="G180" s="174"/>
      <c r="H180" s="251" t="s">
        <v>35</v>
      </c>
      <c r="I180" s="252">
        <f t="shared" ref="I180:J180" ca="1" si="112">I225+I226</f>
        <v>380</v>
      </c>
      <c r="J180" s="252">
        <f t="shared" ca="1" si="112"/>
        <v>150</v>
      </c>
      <c r="K180" s="253">
        <f ca="1">IF(I180&gt;0,J180*100/I180,0)</f>
        <v>39.473684210526315</v>
      </c>
      <c r="L180" s="254"/>
      <c r="M180" s="254"/>
      <c r="N180" s="254"/>
      <c r="O180" s="254"/>
      <c r="P180" s="254"/>
    </row>
    <row r="181" spans="1:26" ht="20.25" customHeight="1">
      <c r="A181" s="147"/>
      <c r="B181" s="148"/>
      <c r="C181" s="149" t="s">
        <v>16</v>
      </c>
      <c r="D181" s="150" t="s">
        <v>17</v>
      </c>
      <c r="E181" s="148"/>
      <c r="F181" s="148"/>
      <c r="G181" s="151"/>
      <c r="H181" s="152" t="s">
        <v>12</v>
      </c>
      <c r="I181" s="153"/>
      <c r="J181" s="153"/>
      <c r="K181" s="154"/>
      <c r="L181" s="155">
        <f t="shared" ref="L181:N181" ca="1" si="113">L182+L183</f>
        <v>4809700</v>
      </c>
      <c r="M181" s="155">
        <f t="shared" ca="1" si="113"/>
        <v>2358700</v>
      </c>
      <c r="N181" s="155">
        <f t="shared" ca="1" si="113"/>
        <v>1008099.36999999</v>
      </c>
      <c r="O181" s="155">
        <f t="shared" ref="O181:O189" ca="1" si="114">IF(L181&gt;0,N181*100/L181,0)</f>
        <v>20.959714119383538</v>
      </c>
      <c r="P181" s="155">
        <f t="shared" ref="P181:P189" ca="1" si="115">IF(M181&gt;0,N181*100/M181,0)</f>
        <v>42.739618009920292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20.25" hidden="1" customHeight="1">
      <c r="A182" s="156"/>
      <c r="B182" s="40"/>
      <c r="C182" s="40"/>
      <c r="D182" s="40"/>
      <c r="E182" s="41" t="s">
        <v>18</v>
      </c>
      <c r="F182" s="40"/>
      <c r="G182" s="157"/>
      <c r="H182" s="158" t="s">
        <v>12</v>
      </c>
      <c r="I182" s="44"/>
      <c r="J182" s="44"/>
      <c r="K182" s="45"/>
      <c r="L182" s="45">
        <f t="shared" ref="L182:N182" si="116">L185+L188</f>
        <v>0</v>
      </c>
      <c r="M182" s="45">
        <f t="shared" si="116"/>
        <v>0</v>
      </c>
      <c r="N182" s="45">
        <f t="shared" si="116"/>
        <v>0</v>
      </c>
      <c r="O182" s="45">
        <f t="shared" si="114"/>
        <v>0</v>
      </c>
      <c r="P182" s="45">
        <f t="shared" si="115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20.25" hidden="1" customHeight="1">
      <c r="A183" s="156"/>
      <c r="B183" s="40"/>
      <c r="C183" s="40"/>
      <c r="D183" s="40"/>
      <c r="E183" s="41" t="s">
        <v>19</v>
      </c>
      <c r="F183" s="40"/>
      <c r="G183" s="157"/>
      <c r="H183" s="158" t="s">
        <v>12</v>
      </c>
      <c r="I183" s="44"/>
      <c r="J183" s="44"/>
      <c r="K183" s="45"/>
      <c r="L183" s="45">
        <f t="shared" ref="L183:N183" ca="1" si="117">L186+L189</f>
        <v>4809700</v>
      </c>
      <c r="M183" s="45">
        <f t="shared" ca="1" si="117"/>
        <v>2358700</v>
      </c>
      <c r="N183" s="45">
        <f t="shared" ca="1" si="117"/>
        <v>1008099.36999999</v>
      </c>
      <c r="O183" s="45">
        <f t="shared" ca="1" si="114"/>
        <v>20.959714119383538</v>
      </c>
      <c r="P183" s="45">
        <f t="shared" ca="1" si="115"/>
        <v>42.739618009920292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20.25" customHeight="1">
      <c r="A184" s="159"/>
      <c r="B184" s="33"/>
      <c r="C184" s="160"/>
      <c r="D184" s="34" t="s">
        <v>20</v>
      </c>
      <c r="E184" s="33"/>
      <c r="F184" s="33"/>
      <c r="G184" s="35"/>
      <c r="H184" s="161" t="s">
        <v>12</v>
      </c>
      <c r="I184" s="162"/>
      <c r="J184" s="162"/>
      <c r="K184" s="163"/>
      <c r="L184" s="38">
        <f t="shared" ref="L184:N184" ca="1" si="118">L185+L186</f>
        <v>4809700</v>
      </c>
      <c r="M184" s="38">
        <f t="shared" ca="1" si="118"/>
        <v>2358700</v>
      </c>
      <c r="N184" s="38">
        <f t="shared" ca="1" si="118"/>
        <v>1008099.36999999</v>
      </c>
      <c r="O184" s="38">
        <f t="shared" ca="1" si="114"/>
        <v>20.959714119383538</v>
      </c>
      <c r="P184" s="38">
        <f t="shared" ca="1" si="115"/>
        <v>42.739618009920292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20.25" hidden="1" customHeight="1">
      <c r="A185" s="156"/>
      <c r="B185" s="40"/>
      <c r="C185" s="164"/>
      <c r="D185" s="40"/>
      <c r="E185" s="41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45">
        <f t="shared" si="114"/>
        <v>0</v>
      </c>
      <c r="P185" s="45">
        <f t="shared" si="115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20.25" hidden="1" customHeight="1">
      <c r="A186" s="156"/>
      <c r="B186" s="40"/>
      <c r="C186" s="164"/>
      <c r="D186" s="40"/>
      <c r="E186" s="41" t="s">
        <v>37</v>
      </c>
      <c r="F186" s="40"/>
      <c r="G186" s="157"/>
      <c r="H186" s="165" t="s">
        <v>12</v>
      </c>
      <c r="I186" s="166"/>
      <c r="J186" s="166"/>
      <c r="K186" s="167"/>
      <c r="L186" s="45">
        <f ca="1">IFERROR(__xludf.DUMMYFUNCTION("IMPORTRANGE(""https://docs.google.com/spreadsheets/d/1hKO5uv94SSRZWOvrh72HRcpyoEQF9TsE_Cvxl77XNU4/edit?usp=share_link"",""กาญจนบุรี!L186"")+IMPORTRANGE(""https://docs.google.com/spreadsheets/d/1njBaP_xXd-Uotvo2D9zb01TTCFkLJLDK97Tk1l9Qux0/edit?usp=share_li"&amp;"nk"",""จันทบุรี!L186"")+IMPORTRANGE(""https://docs.google.com/spreadsheets/d/14xp6qUzrGFnUk_qnc1eEmfiaNRd4_grkhpfQH_46fa8/edit?usp=share_link"",""ฉะเชิงเทรา!L186"")+IMPORTRANGE(""https://docs.google.com/spreadsheets/d/1_Zwps30dlVa-pZFsorjVf1Pil6WXwzCsJU0U"&amp;"2whO3NI/edit?usp=share_link"",""ชลบุรี!L186"")+IMPORTRANGE(""https://docs.google.com/spreadsheets/d/1xAsT4sUbBlom7l0acStESh_15nvjZcXjZM7fK5uZSq8/edit?usp=share_link"",""ชัยนาท!L186"")+IMPORTRANGE(""https://docs.google.com/spreadsheets/d/1vWPVBOAaZ6mHSI8yf"&amp;"95DNqHwTJ1cpeFsvqt6cxV34QA/edit?usp=share_link"",""ตราด!L186"")+IMPORTRANGE(""https://docs.google.com/spreadsheets/d/1phaeSb9lTGgzDpbvVqI9hfmOQQzUom07-HEvpbARzEg/edit?usp=share_link"",""นครนายก!L186"")+IMPORTRANGE(""https://docs.google.com/spreadsheets/d/"&amp;"1tpwhWwkqkBeiSWCcfB5f2fbwPRbM9hHOEDSDHpl2MIc/edit?usp=share_link"",""นครปฐม!L186"")+IMPORTRANGE(""https://docs.google.com/spreadsheets/d/1fJJCVBkBnhriyv0Cp5ZFMr0I_yrfdEITNpb4zILJgUQ/edit?usp=share_link"",""ปทุมธานี!L186"")+IMPORTRANGE(""https://docs.googl"&amp;"e.com/spreadsheets/d/1W5Jj_S0gYw6wSO7QcMI02YgyOBDKYgmm0NSUk-AQEac/edit?usp=share_link"",""ประจวบคีรีขันธ์!L186"")+IMPORTRANGE(""https://docs.google.com/spreadsheets/d/1nYxRXgnCfTXtqUY1otYuTlnrzE0Tn-Y0YRsW5pkRVqo/edit?usp=share_link"",""ปราจีนบุรี!L186"")+"&amp;"IMPORTRANGE(""https://docs.google.com/spreadsheets/d/1nNHCLO8ZAXOMfQvxux7cf_hrzPAh8FAvaHq_ClKbZNo/edit?usp=share_link"",""พระนครศรีอยุธยา!L186"")+IMPORTRANGE(""https://docs.google.com/spreadsheets/d/1CdNicvf3i6yt4tJlCePe3V1Va76wYqW0QzMzTsaGRrA/edit?usp=sh"&amp;"are_link"",""เพชรบุรี!L186"")+IMPORTRANGE(""https://docs.google.com/spreadsheets/d/1XiF77UIVHV0Kjc6xbXuOuJ10WgJYxd4p_22ngKVV5oM/edit?usp=share_link"",""ระยอง!L186"")+IMPORTRANGE(""https://docs.google.com/spreadsheets/d/1qU-W_9MCQD1pgIVXGEOjCFo9QqlmJywueby"&amp;"GgaN92r8/edit?usp=share_link"",""ราชบุรี!L186"")+IMPORTRANGE(""https://docs.google.com/spreadsheets/d/1xYFIxIM_CspAP5Q-5Zx_V0T_Ut3cjryrjd2hss28vGk/edit?usp=share_link"",""ลพบุรี!L186"")+IMPORTRANGE(""https://docs.google.com/spreadsheets/d/11s9m3tKsCBdPWq6"&amp;"syhZm27eBGbKneDLZc75co106bio/edit?usp=share_link"",""สระแก้ว!L186"")+IMPORTRANGE(""https://docs.google.com/spreadsheets/d/1Nn1EvsFPtXldgpgVb3Rcng2K2cls68LFQsBh2FyW0Bg/edit?usp=share_link"",""สระบุรี!L186"")+IMPORTRANGE(""https://docs.google.com/spreadshee"&amp;"ts/d/149xufxukrnEciK3WPbNpHwUK8BKEJxp3UcBG3Al6dA4/edit?usp=share_link"",""สิงห์บุรี!L186"")+IMPORTRANGE(""https://docs.google.com/spreadsheets/d/132g-zJpz2uMKimp17uOIx8A7o3w1Z25zwJyXnwsB56c/edit?usp=share_link"",""สุพรรณบุรี!L186"")+IMPORTRANGE(""https://"&amp;"docs.google.com/spreadsheets/d/12Q_U0nVnFdxDFwa0pej9xvx8ZvLC9Dpi_vRro_aiG5g/edit?usp=share_link"",""อ่างทอง!L186"")
"),4809700)</f>
        <v>4809700</v>
      </c>
      <c r="M186" s="45">
        <f ca="1">IFERROR(__xludf.DUMMYFUNCTION("IMPORTRANGE(""https://docs.google.com/spreadsheets/d/1hKO5uv94SSRZWOvrh72HRcpyoEQF9TsE_Cvxl77XNU4/edit?usp=share_link"",""กาญจนบุรี!M186"")+IMPORTRANGE(""https://docs.google.com/spreadsheets/d/1njBaP_xXd-Uotvo2D9zb01TTCFkLJLDK97Tk1l9Qux0/edit?usp=share_li"&amp;"nk"",""จันทบุรี!M186"")+IMPORTRANGE(""https://docs.google.com/spreadsheets/d/14xp6qUzrGFnUk_qnc1eEmfiaNRd4_grkhpfQH_46fa8/edit?usp=share_link"",""ฉะเชิงเทรา!M186"")+IMPORTRANGE(""https://docs.google.com/spreadsheets/d/1_Zwps30dlVa-pZFsorjVf1Pil6WXwzCsJU0U"&amp;"2whO3NI/edit?usp=share_link"",""ชลบุรี!M186"")+IMPORTRANGE(""https://docs.google.com/spreadsheets/d/1xAsT4sUbBlom7l0acStESh_15nvjZcXjZM7fK5uZSq8/edit?usp=share_link"",""ชัยนาท!M186"")+IMPORTRANGE(""https://docs.google.com/spreadsheets/d/1vWPVBOAaZ6mHSI8yf"&amp;"95DNqHwTJ1cpeFsvqt6cxV34QA/edit?usp=share_link"",""ตราด!M186"")+IMPORTRANGE(""https://docs.google.com/spreadsheets/d/1phaeSb9lTGgzDpbvVqI9hfmOQQzUom07-HEvpbARzEg/edit?usp=share_link"",""นครนายก!M186"")+IMPORTRANGE(""https://docs.google.com/spreadsheets/d/"&amp;"1tpwhWwkqkBeiSWCcfB5f2fbwPRbM9hHOEDSDHpl2MIc/edit?usp=share_link"",""นครปฐม!M186"")+IMPORTRANGE(""https://docs.google.com/spreadsheets/d/1fJJCVBkBnhriyv0Cp5ZFMr0I_yrfdEITNpb4zILJgUQ/edit?usp=share_link"",""ปทุมธานี!M186"")+IMPORTRANGE(""https://docs.googl"&amp;"e.com/spreadsheets/d/1W5Jj_S0gYw6wSO7QcMI02YgyOBDKYgmm0NSUk-AQEac/edit?usp=share_link"",""ประจวบคีรีขันธ์!M186"")+IMPORTRANGE(""https://docs.google.com/spreadsheets/d/1nYxRXgnCfTXtqUY1otYuTlnrzE0Tn-Y0YRsW5pkRVqo/edit?usp=share_link"",""ปราจีนบุรี!M186"")+"&amp;"IMPORTRANGE(""https://docs.google.com/spreadsheets/d/1nNHCLO8ZAXOMfQvxux7cf_hrzPAh8FAvaHq_ClKbZNo/edit?usp=share_link"",""พระนครศรีอยุธยา!M186"")+IMPORTRANGE(""https://docs.google.com/spreadsheets/d/1CdNicvf3i6yt4tJlCePe3V1Va76wYqW0QzMzTsaGRrA/edit?usp=sh"&amp;"are_link"",""เพชรบุรี!M186"")+IMPORTRANGE(""https://docs.google.com/spreadsheets/d/1XiF77UIVHV0Kjc6xbXuOuJ10WgJYxd4p_22ngKVV5oM/edit?usp=share_link"",""ระยอง!M186"")+IMPORTRANGE(""https://docs.google.com/spreadsheets/d/1qU-W_9MCQD1pgIVXGEOjCFo9QqlmJywueby"&amp;"GgaN92r8/edit?usp=share_link"",""ราชบุรี!M186"")+IMPORTRANGE(""https://docs.google.com/spreadsheets/d/1xYFIxIM_CspAP5Q-5Zx_V0T_Ut3cjryrjd2hss28vGk/edit?usp=share_link"",""ลพบุรี!M186"")+IMPORTRANGE(""https://docs.google.com/spreadsheets/d/11s9m3tKsCBdPWq6"&amp;"syhZm27eBGbKneDLZc75co106bio/edit?usp=share_link"",""สระแก้ว!M186"")+IMPORTRANGE(""https://docs.google.com/spreadsheets/d/1Nn1EvsFPtXldgpgVb3Rcng2K2cls68LFQsBh2FyW0Bg/edit?usp=share_link"",""สระบุรี!M186"")+IMPORTRANGE(""https://docs.google.com/spreadshee"&amp;"ts/d/149xufxukrnEciK3WPbNpHwUK8BKEJxp3UcBG3Al6dA4/edit?usp=share_link"",""สิงห์บุรี!M186"")+IMPORTRANGE(""https://docs.google.com/spreadsheets/d/132g-zJpz2uMKimp17uOIx8A7o3w1Z25zwJyXnwsB56c/edit?usp=share_link"",""สุพรรณบุรี!M186"")+IMPORTRANGE(""https://"&amp;"docs.google.com/spreadsheets/d/12Q_U0nVnFdxDFwa0pej9xvx8ZvLC9Dpi_vRro_aiG5g/edit?usp=share_link"",""อ่างทอง!M186"")
"),2358700)</f>
        <v>2358700</v>
      </c>
      <c r="N186" s="45">
        <f ca="1">IFERROR(__xludf.DUMMYFUNCTION("IMPORTRANGE(""https://docs.google.com/spreadsheets/d/1hKO5uv94SSRZWOvrh72HRcpyoEQF9TsE_Cvxl77XNU4/edit?usp=share_link"",""กาญจนบุรี!N186"")+IMPORTRANGE(""https://docs.google.com/spreadsheets/d/1njBaP_xXd-Uotvo2D9zb01TTCFkLJLDK97Tk1l9Qux0/edit?usp=share_li"&amp;"nk"",""จันทบุรี!N186"")+IMPORTRANGE(""https://docs.google.com/spreadsheets/d/14xp6qUzrGFnUk_qnc1eEmfiaNRd4_grkhpfQH_46fa8/edit?usp=share_link"",""ฉะเชิงเทรา!N186"")+IMPORTRANGE(""https://docs.google.com/spreadsheets/d/1_Zwps30dlVa-pZFsorjVf1Pil6WXwzCsJU0U"&amp;"2whO3NI/edit?usp=share_link"",""ชลบุรี!N186"")+IMPORTRANGE(""https://docs.google.com/spreadsheets/d/1xAsT4sUbBlom7l0acStESh_15nvjZcXjZM7fK5uZSq8/edit?usp=share_link"",""ชัยนาท!N186"")+IMPORTRANGE(""https://docs.google.com/spreadsheets/d/1vWPVBOAaZ6mHSI8yf"&amp;"95DNqHwTJ1cpeFsvqt6cxV34QA/edit?usp=share_link"",""ตราด!N186"")+IMPORTRANGE(""https://docs.google.com/spreadsheets/d/1phaeSb9lTGgzDpbvVqI9hfmOQQzUom07-HEvpbARzEg/edit?usp=share_link"",""นครนายก!N186"")+IMPORTRANGE(""https://docs.google.com/spreadsheets/d/"&amp;"1tpwhWwkqkBeiSWCcfB5f2fbwPRbM9hHOEDSDHpl2MIc/edit?usp=share_link"",""นครปฐม!N186"")+IMPORTRANGE(""https://docs.google.com/spreadsheets/d/1fJJCVBkBnhriyv0Cp5ZFMr0I_yrfdEITNpb4zILJgUQ/edit?usp=share_link"",""ปทุมธานี!N186"")+IMPORTRANGE(""https://docs.googl"&amp;"e.com/spreadsheets/d/1W5Jj_S0gYw6wSO7QcMI02YgyOBDKYgmm0NSUk-AQEac/edit?usp=share_link"",""ประจวบคีรีขันธ์!N186"")+IMPORTRANGE(""https://docs.google.com/spreadsheets/d/1nYxRXgnCfTXtqUY1otYuTlnrzE0Tn-Y0YRsW5pkRVqo/edit?usp=share_link"",""ปราจีนบุรี!N186"")+"&amp;"IMPORTRANGE(""https://docs.google.com/spreadsheets/d/1nNHCLO8ZAXOMfQvxux7cf_hrzPAh8FAvaHq_ClKbZNo/edit?usp=share_link"",""พระนครศรีอยุธยา!N186"")+IMPORTRANGE(""https://docs.google.com/spreadsheets/d/1CdNicvf3i6yt4tJlCePe3V1Va76wYqW0QzMzTsaGRrA/edit?usp=sh"&amp;"are_link"",""เพชรบุรี!N186"")+IMPORTRANGE(""https://docs.google.com/spreadsheets/d/1XiF77UIVHV0Kjc6xbXuOuJ10WgJYxd4p_22ngKVV5oM/edit?usp=share_link"",""ระยอง!N186"")+IMPORTRANGE(""https://docs.google.com/spreadsheets/d/1qU-W_9MCQD1pgIVXGEOjCFo9QqlmJywueby"&amp;"GgaN92r8/edit?usp=share_link"",""ราชบุรี!N186"")+IMPORTRANGE(""https://docs.google.com/spreadsheets/d/1xYFIxIM_CspAP5Q-5Zx_V0T_Ut3cjryrjd2hss28vGk/edit?usp=share_link"",""ลพบุรี!N186"")+IMPORTRANGE(""https://docs.google.com/spreadsheets/d/11s9m3tKsCBdPWq6"&amp;"syhZm27eBGbKneDLZc75co106bio/edit?usp=share_link"",""สระแก้ว!N186"")+IMPORTRANGE(""https://docs.google.com/spreadsheets/d/1Nn1EvsFPtXldgpgVb3Rcng2K2cls68LFQsBh2FyW0Bg/edit?usp=share_link"",""สระบุรี!N186"")+IMPORTRANGE(""https://docs.google.com/spreadshee"&amp;"ts/d/149xufxukrnEciK3WPbNpHwUK8BKEJxp3UcBG3Al6dA4/edit?usp=share_link"",""สิงห์บุรี!N186"")+IMPORTRANGE(""https://docs.google.com/spreadsheets/d/132g-zJpz2uMKimp17uOIx8A7o3w1Z25zwJyXnwsB56c/edit?usp=share_link"",""สุพรรณบุรี!N186"")+IMPORTRANGE(""https://"&amp;"docs.google.com/spreadsheets/d/12Q_U0nVnFdxDFwa0pej9xvx8ZvLC9Dpi_vRro_aiG5g/edit?usp=share_link"",""อ่างทอง!N186"")
"),1008099.36999999)</f>
        <v>1008099.36999999</v>
      </c>
      <c r="O186" s="45">
        <f t="shared" ca="1" si="114"/>
        <v>20.959714119383538</v>
      </c>
      <c r="P186" s="45">
        <f t="shared" ca="1" si="115"/>
        <v>42.739618009920292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20.25" customHeight="1">
      <c r="A187" s="159"/>
      <c r="B187" s="33"/>
      <c r="C187" s="160"/>
      <c r="D187" s="34" t="s">
        <v>21</v>
      </c>
      <c r="E187" s="33"/>
      <c r="F187" s="33"/>
      <c r="G187" s="35"/>
      <c r="H187" s="168" t="s">
        <v>12</v>
      </c>
      <c r="I187" s="162"/>
      <c r="J187" s="162"/>
      <c r="K187" s="163"/>
      <c r="L187" s="38">
        <f t="shared" ref="L187:N187" ca="1" si="119">L188+L189</f>
        <v>0</v>
      </c>
      <c r="M187" s="38">
        <f t="shared" ca="1" si="119"/>
        <v>0</v>
      </c>
      <c r="N187" s="38">
        <f t="shared" ca="1" si="119"/>
        <v>0</v>
      </c>
      <c r="O187" s="38">
        <f t="shared" ca="1" si="114"/>
        <v>0</v>
      </c>
      <c r="P187" s="38">
        <f t="shared" ca="1" si="115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20.25" hidden="1" customHeight="1">
      <c r="A188" s="156"/>
      <c r="B188" s="40"/>
      <c r="C188" s="164"/>
      <c r="D188" s="40"/>
      <c r="E188" s="41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45">
        <f t="shared" si="114"/>
        <v>0</v>
      </c>
      <c r="P188" s="45">
        <f t="shared" si="115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20.25" hidden="1" customHeight="1">
      <c r="A189" s="156"/>
      <c r="B189" s="40"/>
      <c r="C189" s="164"/>
      <c r="D189" s="40"/>
      <c r="E189" s="41" t="s">
        <v>19</v>
      </c>
      <c r="F189" s="40"/>
      <c r="G189" s="157"/>
      <c r="H189" s="169" t="s">
        <v>12</v>
      </c>
      <c r="I189" s="166"/>
      <c r="J189" s="166"/>
      <c r="K189" s="167"/>
      <c r="L189" s="45">
        <f ca="1">IFERROR(__xludf.DUMMYFUNCTION("IMPORTRANGE(""https://docs.google.com/spreadsheets/d/1hKO5uv94SSRZWOvrh72HRcpyoEQF9TsE_Cvxl77XNU4/edit?usp=share_link"",""กาญจนบุรี!L189"")+IMPORTRANGE(""https://docs.google.com/spreadsheets/d/1njBaP_xXd-Uotvo2D9zb01TTCFkLJLDK97Tk1l9Qux0/edit?usp=share_li"&amp;"nk"",""จันทบุรี!L189"")+IMPORTRANGE(""https://docs.google.com/spreadsheets/d/14xp6qUzrGFnUk_qnc1eEmfiaNRd4_grkhpfQH_46fa8/edit?usp=share_link"",""ฉะเชิงเทรา!L189"")+IMPORTRANGE(""https://docs.google.com/spreadsheets/d/1_Zwps30dlVa-pZFsorjVf1Pil6WXwzCsJU0U"&amp;"2whO3NI/edit?usp=share_link"",""ชลบุรี!L189"")+IMPORTRANGE(""https://docs.google.com/spreadsheets/d/1xAsT4sUbBlom7l0acStESh_15nvjZcXjZM7fK5uZSq8/edit?usp=share_link"",""ชัยนาท!L189"")+IMPORTRANGE(""https://docs.google.com/spreadsheets/d/1vWPVBOAaZ6mHSI8yf"&amp;"95DNqHwTJ1cpeFsvqt6cxV34QA/edit?usp=share_link"",""ตราด!L189"")+IMPORTRANGE(""https://docs.google.com/spreadsheets/d/1phaeSb9lTGgzDpbvVqI9hfmOQQzUom07-HEvpbARzEg/edit?usp=share_link"",""นครนายก!L189"")+IMPORTRANGE(""https://docs.google.com/spreadsheets/d/"&amp;"1tpwhWwkqkBeiSWCcfB5f2fbwPRbM9hHOEDSDHpl2MIc/edit?usp=share_link"",""นครปฐม!L189"")+IMPORTRANGE(""https://docs.google.com/spreadsheets/d/1fJJCVBkBnhriyv0Cp5ZFMr0I_yrfdEITNpb4zILJgUQ/edit?usp=share_link"",""ปทุมธานี!L189"")+IMPORTRANGE(""https://docs.googl"&amp;"e.com/spreadsheets/d/1W5Jj_S0gYw6wSO7QcMI02YgyOBDKYgmm0NSUk-AQEac/edit?usp=share_link"",""ประจวบคีรีขันธ์!L189"")+IMPORTRANGE(""https://docs.google.com/spreadsheets/d/1nYxRXgnCfTXtqUY1otYuTlnrzE0Tn-Y0YRsW5pkRVqo/edit?usp=share_link"",""ปราจีนบุรี!L189"")+"&amp;"IMPORTRANGE(""https://docs.google.com/spreadsheets/d/1nNHCLO8ZAXOMfQvxux7cf_hrzPAh8FAvaHq_ClKbZNo/edit?usp=share_link"",""พระนครศรีอยุธยา!L189"")+IMPORTRANGE(""https://docs.google.com/spreadsheets/d/1CdNicvf3i6yt4tJlCePe3V1Va76wYqW0QzMzTsaGRrA/edit?usp=sh"&amp;"are_link"",""เพชรบุรี!L189"")+IMPORTRANGE(""https://docs.google.com/spreadsheets/d/1XiF77UIVHV0Kjc6xbXuOuJ10WgJYxd4p_22ngKVV5oM/edit?usp=share_link"",""ระยอง!L189"")+IMPORTRANGE(""https://docs.google.com/spreadsheets/d/1qU-W_9MCQD1pgIVXGEOjCFo9QqlmJywueby"&amp;"GgaN92r8/edit?usp=share_link"",""ราชบุรี!L189"")+IMPORTRANGE(""https://docs.google.com/spreadsheets/d/1xYFIxIM_CspAP5Q-5Zx_V0T_Ut3cjryrjd2hss28vGk/edit?usp=share_link"",""ลพบุรี!L189"")+IMPORTRANGE(""https://docs.google.com/spreadsheets/d/11s9m3tKsCBdPWq6"&amp;"syhZm27eBGbKneDLZc75co106bio/edit?usp=share_link"",""สระแก้ว!L189"")+IMPORTRANGE(""https://docs.google.com/spreadsheets/d/1Nn1EvsFPtXldgpgVb3Rcng2K2cls68LFQsBh2FyW0Bg/edit?usp=share_link"",""สระบุรี!L189"")+IMPORTRANGE(""https://docs.google.com/spreadshee"&amp;"ts/d/149xufxukrnEciK3WPbNpHwUK8BKEJxp3UcBG3Al6dA4/edit?usp=share_link"",""สิงห์บุรี!L189"")+IMPORTRANGE(""https://docs.google.com/spreadsheets/d/132g-zJpz2uMKimp17uOIx8A7o3w1Z25zwJyXnwsB56c/edit?usp=share_link"",""สุพรรณบุรี!L189"")+IMPORTRANGE(""https://"&amp;"docs.google.com/spreadsheets/d/12Q_U0nVnFdxDFwa0pej9xvx8ZvLC9Dpi_vRro_aiG5g/edit?usp=share_link"",""อ่างทอง!L189"")
"),0)</f>
        <v>0</v>
      </c>
      <c r="M189" s="45">
        <f ca="1">IFERROR(__xludf.DUMMYFUNCTION("IMPORTRANGE(""https://docs.google.com/spreadsheets/d/1hKO5uv94SSRZWOvrh72HRcpyoEQF9TsE_Cvxl77XNU4/edit?usp=share_link"",""กาญจนบุรี!M189"")+IMPORTRANGE(""https://docs.google.com/spreadsheets/d/1njBaP_xXd-Uotvo2D9zb01TTCFkLJLDK97Tk1l9Qux0/edit?usp=share_li"&amp;"nk"",""จันทบุรี!M189"")+IMPORTRANGE(""https://docs.google.com/spreadsheets/d/14xp6qUzrGFnUk_qnc1eEmfiaNRd4_grkhpfQH_46fa8/edit?usp=share_link"",""ฉะเชิงเทรา!M189"")+IMPORTRANGE(""https://docs.google.com/spreadsheets/d/1_Zwps30dlVa-pZFsorjVf1Pil6WXwzCsJU0U"&amp;"2whO3NI/edit?usp=share_link"",""ชลบุรี!M189"")+IMPORTRANGE(""https://docs.google.com/spreadsheets/d/1xAsT4sUbBlom7l0acStESh_15nvjZcXjZM7fK5uZSq8/edit?usp=share_link"",""ชัยนาท!M189"")+IMPORTRANGE(""https://docs.google.com/spreadsheets/d/1vWPVBOAaZ6mHSI8yf"&amp;"95DNqHwTJ1cpeFsvqt6cxV34QA/edit?usp=share_link"",""ตราด!M189"")+IMPORTRANGE(""https://docs.google.com/spreadsheets/d/1phaeSb9lTGgzDpbvVqI9hfmOQQzUom07-HEvpbARzEg/edit?usp=share_link"",""นครนายก!M189"")+IMPORTRANGE(""https://docs.google.com/spreadsheets/d/"&amp;"1tpwhWwkqkBeiSWCcfB5f2fbwPRbM9hHOEDSDHpl2MIc/edit?usp=share_link"",""นครปฐม!M189"")+IMPORTRANGE(""https://docs.google.com/spreadsheets/d/1fJJCVBkBnhriyv0Cp5ZFMr0I_yrfdEITNpb4zILJgUQ/edit?usp=share_link"",""ปทุมธานี!M189"")+IMPORTRANGE(""https://docs.googl"&amp;"e.com/spreadsheets/d/1W5Jj_S0gYw6wSO7QcMI02YgyOBDKYgmm0NSUk-AQEac/edit?usp=share_link"",""ประจวบคีรีขันธ์!M189"")+IMPORTRANGE(""https://docs.google.com/spreadsheets/d/1nYxRXgnCfTXtqUY1otYuTlnrzE0Tn-Y0YRsW5pkRVqo/edit?usp=share_link"",""ปราจีนบุรี!M189"")+"&amp;"IMPORTRANGE(""https://docs.google.com/spreadsheets/d/1nNHCLO8ZAXOMfQvxux7cf_hrzPAh8FAvaHq_ClKbZNo/edit?usp=share_link"",""พระนครศรีอยุธยา!M189"")+IMPORTRANGE(""https://docs.google.com/spreadsheets/d/1CdNicvf3i6yt4tJlCePe3V1Va76wYqW0QzMzTsaGRrA/edit?usp=sh"&amp;"are_link"",""เพชรบุรี!M189"")+IMPORTRANGE(""https://docs.google.com/spreadsheets/d/1XiF77UIVHV0Kjc6xbXuOuJ10WgJYxd4p_22ngKVV5oM/edit?usp=share_link"",""ระยอง!M189"")+IMPORTRANGE(""https://docs.google.com/spreadsheets/d/1qU-W_9MCQD1pgIVXGEOjCFo9QqlmJywueby"&amp;"GgaN92r8/edit?usp=share_link"",""ราชบุรี!M189"")+IMPORTRANGE(""https://docs.google.com/spreadsheets/d/1xYFIxIM_CspAP5Q-5Zx_V0T_Ut3cjryrjd2hss28vGk/edit?usp=share_link"",""ลพบุรี!M189"")+IMPORTRANGE(""https://docs.google.com/spreadsheets/d/11s9m3tKsCBdPWq6"&amp;"syhZm27eBGbKneDLZc75co106bio/edit?usp=share_link"",""สระแก้ว!M189"")+IMPORTRANGE(""https://docs.google.com/spreadsheets/d/1Nn1EvsFPtXldgpgVb3Rcng2K2cls68LFQsBh2FyW0Bg/edit?usp=share_link"",""สระบุรี!M189"")+IMPORTRANGE(""https://docs.google.com/spreadshee"&amp;"ts/d/149xufxukrnEciK3WPbNpHwUK8BKEJxp3UcBG3Al6dA4/edit?usp=share_link"",""สิงห์บุรี!M189"")+IMPORTRANGE(""https://docs.google.com/spreadsheets/d/132g-zJpz2uMKimp17uOIx8A7o3w1Z25zwJyXnwsB56c/edit?usp=share_link"",""สุพรรณบุรี!M189"")+IMPORTRANGE(""https://"&amp;"docs.google.com/spreadsheets/d/12Q_U0nVnFdxDFwa0pej9xvx8ZvLC9Dpi_vRro_aiG5g/edit?usp=share_link"",""อ่างทอง!M189"")
"),0)</f>
        <v>0</v>
      </c>
      <c r="N189" s="45">
        <f ca="1">IFERROR(__xludf.DUMMYFUNCTION("IMPORTRANGE(""https://docs.google.com/spreadsheets/d/1hKO5uv94SSRZWOvrh72HRcpyoEQF9TsE_Cvxl77XNU4/edit?usp=share_link"",""กาญจนบุรี!N189"")+IMPORTRANGE(""https://docs.google.com/spreadsheets/d/1njBaP_xXd-Uotvo2D9zb01TTCFkLJLDK97Tk1l9Qux0/edit?usp=share_li"&amp;"nk"",""จันทบุรี!N189"")+IMPORTRANGE(""https://docs.google.com/spreadsheets/d/14xp6qUzrGFnUk_qnc1eEmfiaNRd4_grkhpfQH_46fa8/edit?usp=share_link"",""ฉะเชิงเทรา!N189"")+IMPORTRANGE(""https://docs.google.com/spreadsheets/d/1_Zwps30dlVa-pZFsorjVf1Pil6WXwzCsJU0U"&amp;"2whO3NI/edit?usp=share_link"",""ชลบุรี!N189"")+IMPORTRANGE(""https://docs.google.com/spreadsheets/d/1xAsT4sUbBlom7l0acStESh_15nvjZcXjZM7fK5uZSq8/edit?usp=share_link"",""ชัยนาท!N189"")+IMPORTRANGE(""https://docs.google.com/spreadsheets/d/1vWPVBOAaZ6mHSI8yf"&amp;"95DNqHwTJ1cpeFsvqt6cxV34QA/edit?usp=share_link"",""ตราด!N189"")+IMPORTRANGE(""https://docs.google.com/spreadsheets/d/1phaeSb9lTGgzDpbvVqI9hfmOQQzUom07-HEvpbARzEg/edit?usp=share_link"",""นครนายก!N189"")+IMPORTRANGE(""https://docs.google.com/spreadsheets/d/"&amp;"1tpwhWwkqkBeiSWCcfB5f2fbwPRbM9hHOEDSDHpl2MIc/edit?usp=share_link"",""นครปฐม!N189"")+IMPORTRANGE(""https://docs.google.com/spreadsheets/d/1fJJCVBkBnhriyv0Cp5ZFMr0I_yrfdEITNpb4zILJgUQ/edit?usp=share_link"",""ปทุมธานี!N189"")+IMPORTRANGE(""https://docs.googl"&amp;"e.com/spreadsheets/d/1W5Jj_S0gYw6wSO7QcMI02YgyOBDKYgmm0NSUk-AQEac/edit?usp=share_link"",""ประจวบคีรีขันธ์!N189"")+IMPORTRANGE(""https://docs.google.com/spreadsheets/d/1nYxRXgnCfTXtqUY1otYuTlnrzE0Tn-Y0YRsW5pkRVqo/edit?usp=share_link"",""ปราจีนบุรี!N189"")+"&amp;"IMPORTRANGE(""https://docs.google.com/spreadsheets/d/1nNHCLO8ZAXOMfQvxux7cf_hrzPAh8FAvaHq_ClKbZNo/edit?usp=share_link"",""พระนครศรีอยุธยา!N189"")+IMPORTRANGE(""https://docs.google.com/spreadsheets/d/1CdNicvf3i6yt4tJlCePe3V1Va76wYqW0QzMzTsaGRrA/edit?usp=sh"&amp;"are_link"",""เพชรบุรี!N189"")+IMPORTRANGE(""https://docs.google.com/spreadsheets/d/1XiF77UIVHV0Kjc6xbXuOuJ10WgJYxd4p_22ngKVV5oM/edit?usp=share_link"",""ระยอง!N189"")+IMPORTRANGE(""https://docs.google.com/spreadsheets/d/1qU-W_9MCQD1pgIVXGEOjCFo9QqlmJywueby"&amp;"GgaN92r8/edit?usp=share_link"",""ราชบุรี!N189"")+IMPORTRANGE(""https://docs.google.com/spreadsheets/d/1xYFIxIM_CspAP5Q-5Zx_V0T_Ut3cjryrjd2hss28vGk/edit?usp=share_link"",""ลพบุรี!N189"")+IMPORTRANGE(""https://docs.google.com/spreadsheets/d/11s9m3tKsCBdPWq6"&amp;"syhZm27eBGbKneDLZc75co106bio/edit?usp=share_link"",""สระแก้ว!N189"")+IMPORTRANGE(""https://docs.google.com/spreadsheets/d/1Nn1EvsFPtXldgpgVb3Rcng2K2cls68LFQsBh2FyW0Bg/edit?usp=share_link"",""สระบุรี!N189"")+IMPORTRANGE(""https://docs.google.com/spreadshee"&amp;"ts/d/149xufxukrnEciK3WPbNpHwUK8BKEJxp3UcBG3Al6dA4/edit?usp=share_link"",""สิงห์บุรี!N189"")+IMPORTRANGE(""https://docs.google.com/spreadsheets/d/132g-zJpz2uMKimp17uOIx8A7o3w1Z25zwJyXnwsB56c/edit?usp=share_link"",""สุพรรณบุรี!N189"")+IMPORTRANGE(""https://"&amp;"docs.google.com/spreadsheets/d/12Q_U0nVnFdxDFwa0pej9xvx8ZvLC9Dpi_vRro_aiG5g/edit?usp=share_link"",""อ่างทอง!N189"")
"),0)</f>
        <v>0</v>
      </c>
      <c r="O189" s="45">
        <f t="shared" ca="1" si="114"/>
        <v>0</v>
      </c>
      <c r="P189" s="45">
        <f t="shared" ca="1" si="115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20.25" customHeight="1">
      <c r="A190" s="255"/>
      <c r="B190" s="263"/>
      <c r="C190" s="270" t="s">
        <v>89</v>
      </c>
      <c r="D190" s="256"/>
      <c r="E190" s="256"/>
      <c r="F190" s="256"/>
      <c r="G190" s="258"/>
      <c r="H190" s="259" t="s">
        <v>90</v>
      </c>
      <c r="I190" s="271">
        <f t="shared" ref="I190:J190" ca="1" si="120">I193</f>
        <v>84</v>
      </c>
      <c r="J190" s="271">
        <f t="shared" ca="1" si="120"/>
        <v>7</v>
      </c>
      <c r="K190" s="272">
        <f ca="1">IF(I190&gt;0,J190*100/I190,0)</f>
        <v>8.3333333333333339</v>
      </c>
      <c r="L190" s="261"/>
      <c r="M190" s="261"/>
      <c r="N190" s="261"/>
      <c r="O190" s="261"/>
      <c r="P190" s="261"/>
    </row>
    <row r="191" spans="1:26" ht="20.25" customHeight="1">
      <c r="A191" s="147"/>
      <c r="B191" s="148"/>
      <c r="C191" s="149" t="s">
        <v>16</v>
      </c>
      <c r="D191" s="273" t="s">
        <v>17</v>
      </c>
      <c r="E191" s="148"/>
      <c r="F191" s="148"/>
      <c r="G191" s="151"/>
      <c r="H191" s="274" t="s">
        <v>12</v>
      </c>
      <c r="I191" s="153"/>
      <c r="J191" s="153"/>
      <c r="K191" s="154"/>
      <c r="L191" s="155">
        <f ca="1">IFERROR(__xludf.DUMMYFUNCTION("IMPORTRANGE(""https://docs.google.com/spreadsheets/d/1hKO5uv94SSRZWOvrh72HRcpyoEQF9TsE_Cvxl77XNU4/edit?usp=share_link"",""กาญจนบุรี!L191"")+IMPORTRANGE(""https://docs.google.com/spreadsheets/d/1njBaP_xXd-Uotvo2D9zb01TTCFkLJLDK97Tk1l9Qux0/edit?usp=share_li"&amp;"nk"",""จันทบุรี!L191"")+IMPORTRANGE(""https://docs.google.com/spreadsheets/d/14xp6qUzrGFnUk_qnc1eEmfiaNRd4_grkhpfQH_46fa8/edit?usp=share_link"",""ฉะเชิงเทรา!L191"")+IMPORTRANGE(""https://docs.google.com/spreadsheets/d/1_Zwps30dlVa-pZFsorjVf1Pil6WXwzCsJU0U"&amp;"2whO3NI/edit?usp=share_link"",""ชลบุรี!L191"")+IMPORTRANGE(""https://docs.google.com/spreadsheets/d/1xAsT4sUbBlom7l0acStESh_15nvjZcXjZM7fK5uZSq8/edit?usp=share_link"",""ชัยนาท!L191"")+IMPORTRANGE(""https://docs.google.com/spreadsheets/d/1vWPVBOAaZ6mHSI8yf"&amp;"95DNqHwTJ1cpeFsvqt6cxV34QA/edit?usp=share_link"",""ตราด!L191"")+IMPORTRANGE(""https://docs.google.com/spreadsheets/d/1phaeSb9lTGgzDpbvVqI9hfmOQQzUom07-HEvpbARzEg/edit?usp=share_link"",""นครนายก!L191"")+IMPORTRANGE(""https://docs.google.com/spreadsheets/d/"&amp;"1tpwhWwkqkBeiSWCcfB5f2fbwPRbM9hHOEDSDHpl2MIc/edit?usp=share_link"",""นครปฐม!L191"")+IMPORTRANGE(""https://docs.google.com/spreadsheets/d/1fJJCVBkBnhriyv0Cp5ZFMr0I_yrfdEITNpb4zILJgUQ/edit?usp=share_link"",""ปทุมธานี!L191"")+IMPORTRANGE(""https://docs.googl"&amp;"e.com/spreadsheets/d/1W5Jj_S0gYw6wSO7QcMI02YgyOBDKYgmm0NSUk-AQEac/edit?usp=share_link"",""ประจวบคีรีขันธ์!L191"")+IMPORTRANGE(""https://docs.google.com/spreadsheets/d/1nYxRXgnCfTXtqUY1otYuTlnrzE0Tn-Y0YRsW5pkRVqo/edit?usp=share_link"",""ปราจีนบุรี!L191"")+"&amp;"IMPORTRANGE(""https://docs.google.com/spreadsheets/d/1nNHCLO8ZAXOMfQvxux7cf_hrzPAh8FAvaHq_ClKbZNo/edit?usp=share_link"",""พระนครศรีอยุธยา!L191"")+IMPORTRANGE(""https://docs.google.com/spreadsheets/d/1CdNicvf3i6yt4tJlCePe3V1Va76wYqW0QzMzTsaGRrA/edit?usp=sh"&amp;"are_link"",""เพชรบุรี!L191"")+IMPORTRANGE(""https://docs.google.com/spreadsheets/d/1XiF77UIVHV0Kjc6xbXuOuJ10WgJYxd4p_22ngKVV5oM/edit?usp=share_link"",""ระยอง!L191"")+IMPORTRANGE(""https://docs.google.com/spreadsheets/d/1qU-W_9MCQD1pgIVXGEOjCFo9QqlmJywueby"&amp;"GgaN92r8/edit?usp=share_link"",""ราชบุรี!L191"")+IMPORTRANGE(""https://docs.google.com/spreadsheets/d/1xYFIxIM_CspAP5Q-5Zx_V0T_Ut3cjryrjd2hss28vGk/edit?usp=share_link"",""ลพบุรี!L191"")+IMPORTRANGE(""https://docs.google.com/spreadsheets/d/11s9m3tKsCBdPWq6"&amp;"syhZm27eBGbKneDLZc75co106bio/edit?usp=share_link"",""สระแก้ว!L191"")+IMPORTRANGE(""https://docs.google.com/spreadsheets/d/1Nn1EvsFPtXldgpgVb3Rcng2K2cls68LFQsBh2FyW0Bg/edit?usp=share_link"",""สระบุรี!L191"")+IMPORTRANGE(""https://docs.google.com/spreadshee"&amp;"ts/d/149xufxukrnEciK3WPbNpHwUK8BKEJxp3UcBG3Al6dA4/edit?usp=share_link"",""สิงห์บุรี!L191"")+IMPORTRANGE(""https://docs.google.com/spreadsheets/d/132g-zJpz2uMKimp17uOIx8A7o3w1Z25zwJyXnwsB56c/edit?usp=share_link"",""สุพรรณบุรี!L191"")+IMPORTRANGE(""https://"&amp;"docs.google.com/spreadsheets/d/12Q_U0nVnFdxDFwa0pej9xvx8ZvLC9Dpi_vRro_aiG5g/edit?usp=share_link"",""อ่างทอง!L191"")
"),126000)</f>
        <v>126000</v>
      </c>
      <c r="M191" s="155"/>
      <c r="N191" s="275">
        <f ca="1">IFERROR(__xludf.DUMMYFUNCTION("IMPORTRANGE(""https://docs.google.com/spreadsheets/d/1hKO5uv94SSRZWOvrh72HRcpyoEQF9TsE_Cvxl77XNU4/edit?usp=share_link"",""กาญจนบุรี!N191"")+IMPORTRANGE(""https://docs.google.com/spreadsheets/d/1njBaP_xXd-Uotvo2D9zb01TTCFkLJLDK97Tk1l9Qux0/edit?usp=share_li"&amp;"nk"",""จันทบุรี!N191"")+IMPORTRANGE(""https://docs.google.com/spreadsheets/d/14xp6qUzrGFnUk_qnc1eEmfiaNRd4_grkhpfQH_46fa8/edit?usp=share_link"",""ฉะเชิงเทรา!N191"")+IMPORTRANGE(""https://docs.google.com/spreadsheets/d/1_Zwps30dlVa-pZFsorjVf1Pil6WXwzCsJU0U"&amp;"2whO3NI/edit?usp=share_link"",""ชลบุรี!N191"")+IMPORTRANGE(""https://docs.google.com/spreadsheets/d/1xAsT4sUbBlom7l0acStESh_15nvjZcXjZM7fK5uZSq8/edit?usp=share_link"",""ชัยนาท!N191"")+IMPORTRANGE(""https://docs.google.com/spreadsheets/d/1vWPVBOAaZ6mHSI8yf"&amp;"95DNqHwTJ1cpeFsvqt6cxV34QA/edit?usp=share_link"",""ตราด!N191"")+IMPORTRANGE(""https://docs.google.com/spreadsheets/d/1phaeSb9lTGgzDpbvVqI9hfmOQQzUom07-HEvpbARzEg/edit?usp=share_link"",""นครนายก!N191"")+IMPORTRANGE(""https://docs.google.com/spreadsheets/d/"&amp;"1tpwhWwkqkBeiSWCcfB5f2fbwPRbM9hHOEDSDHpl2MIc/edit?usp=share_link"",""นครปฐม!N191"")+IMPORTRANGE(""https://docs.google.com/spreadsheets/d/1fJJCVBkBnhriyv0Cp5ZFMr0I_yrfdEITNpb4zILJgUQ/edit?usp=share_link"",""ปทุมธานี!N191"")+IMPORTRANGE(""https://docs.googl"&amp;"e.com/spreadsheets/d/1W5Jj_S0gYw6wSO7QcMI02YgyOBDKYgmm0NSUk-AQEac/edit?usp=share_link"",""ประจวบคีรีขันธ์!N191"")+IMPORTRANGE(""https://docs.google.com/spreadsheets/d/1nYxRXgnCfTXtqUY1otYuTlnrzE0Tn-Y0YRsW5pkRVqo/edit?usp=share_link"",""ปราจีนบุรี!N191"")+"&amp;"IMPORTRANGE(""https://docs.google.com/spreadsheets/d/1nNHCLO8ZAXOMfQvxux7cf_hrzPAh8FAvaHq_ClKbZNo/edit?usp=share_link"",""พระนครศรีอยุธยา!N191"")+IMPORTRANGE(""https://docs.google.com/spreadsheets/d/1CdNicvf3i6yt4tJlCePe3V1Va76wYqW0QzMzTsaGRrA/edit?usp=sh"&amp;"are_link"",""เพชรบุรี!N191"")+IMPORTRANGE(""https://docs.google.com/spreadsheets/d/1XiF77UIVHV0Kjc6xbXuOuJ10WgJYxd4p_22ngKVV5oM/edit?usp=share_link"",""ระยอง!N191"")+IMPORTRANGE(""https://docs.google.com/spreadsheets/d/1qU-W_9MCQD1pgIVXGEOjCFo9QqlmJywueby"&amp;"GgaN92r8/edit?usp=share_link"",""ราชบุรี!N191"")+IMPORTRANGE(""https://docs.google.com/spreadsheets/d/1xYFIxIM_CspAP5Q-5Zx_V0T_Ut3cjryrjd2hss28vGk/edit?usp=share_link"",""ลพบุรี!N191"")+IMPORTRANGE(""https://docs.google.com/spreadsheets/d/11s9m3tKsCBdPWq6"&amp;"syhZm27eBGbKneDLZc75co106bio/edit?usp=share_link"",""สระแก้ว!N191"")+IMPORTRANGE(""https://docs.google.com/spreadsheets/d/1Nn1EvsFPtXldgpgVb3Rcng2K2cls68LFQsBh2FyW0Bg/edit?usp=share_link"",""สระบุรี!N191"")+IMPORTRANGE(""https://docs.google.com/spreadshee"&amp;"ts/d/149xufxukrnEciK3WPbNpHwUK8BKEJxp3UcBG3Al6dA4/edit?usp=share_link"",""สิงห์บุรี!N191"")+IMPORTRANGE(""https://docs.google.com/spreadsheets/d/132g-zJpz2uMKimp17uOIx8A7o3w1Z25zwJyXnwsB56c/edit?usp=share_link"",""สุพรรณบุรี!N191"")+IMPORTRANGE(""https://"&amp;"docs.google.com/spreadsheets/d/12Q_U0nVnFdxDFwa0pej9xvx8ZvLC9Dpi_vRro_aiG5g/edit?usp=share_link"",""อ่างทอง!N191"")
"),6762)</f>
        <v>6762</v>
      </c>
      <c r="O191" s="155">
        <f ca="1">IF(L191&gt;0,N191*100/L191,0)</f>
        <v>5.3666666666666663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20.25" customHeight="1">
      <c r="A192" s="170"/>
      <c r="B192" s="171"/>
      <c r="C192" s="210" t="s">
        <v>16</v>
      </c>
      <c r="D192" s="172" t="s">
        <v>38</v>
      </c>
      <c r="E192" s="173"/>
      <c r="F192" s="173"/>
      <c r="G192" s="174"/>
      <c r="H192" s="175"/>
      <c r="I192" s="37"/>
      <c r="J192" s="37"/>
      <c r="K192" s="38"/>
      <c r="L192" s="38"/>
      <c r="M192" s="38"/>
      <c r="N192" s="38"/>
      <c r="O192" s="38"/>
      <c r="P192" s="38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20.25" customHeight="1">
      <c r="A193" s="170"/>
      <c r="B193" s="171"/>
      <c r="C193" s="171"/>
      <c r="D193" s="181" t="s">
        <v>91</v>
      </c>
      <c r="E193" s="178"/>
      <c r="F193" s="178"/>
      <c r="G193" s="179"/>
      <c r="H193" s="182" t="s">
        <v>90</v>
      </c>
      <c r="I193" s="37">
        <f ca="1">IFERROR(__xludf.DUMMYFUNCTION("IMPORTRANGE(""https://docs.google.com/spreadsheets/d/1hKO5uv94SSRZWOvrh72HRcpyoEQF9TsE_Cvxl77XNU4/edit?usp=share_link"",""กาญจนบุรี!I193"")+IMPORTRANGE(""https://docs.google.com/spreadsheets/d/1njBaP_xXd-Uotvo2D9zb01TTCFkLJLDK97Tk1l9Qux0/edit?usp=share_li"&amp;"nk"",""จันทบุรี!I193"")+IMPORTRANGE(""https://docs.google.com/spreadsheets/d/14xp6qUzrGFnUk_qnc1eEmfiaNRd4_grkhpfQH_46fa8/edit?usp=share_link"",""ฉะเชิงเทรา!I193"")+IMPORTRANGE(""https://docs.google.com/spreadsheets/d/1_Zwps30dlVa-pZFsorjVf1Pil6WXwzCsJU0U"&amp;"2whO3NI/edit?usp=share_link"",""ชลบุรี!I193"")+IMPORTRANGE(""https://docs.google.com/spreadsheets/d/1xAsT4sUbBlom7l0acStESh_15nvjZcXjZM7fK5uZSq8/edit?usp=share_link"",""ชัยนาท!I193"")+IMPORTRANGE(""https://docs.google.com/spreadsheets/d/1vWPVBOAaZ6mHSI8yf"&amp;"95DNqHwTJ1cpeFsvqt6cxV34QA/edit?usp=share_link"",""ตราด!I193"")+IMPORTRANGE(""https://docs.google.com/spreadsheets/d/1phaeSb9lTGgzDpbvVqI9hfmOQQzUom07-HEvpbARzEg/edit?usp=share_link"",""นครนายก!I193"")+IMPORTRANGE(""https://docs.google.com/spreadsheets/d/"&amp;"1tpwhWwkqkBeiSWCcfB5f2fbwPRbM9hHOEDSDHpl2MIc/edit?usp=share_link"",""นครปฐม!I193"")+IMPORTRANGE(""https://docs.google.com/spreadsheets/d/1fJJCVBkBnhriyv0Cp5ZFMr0I_yrfdEITNpb4zILJgUQ/edit?usp=share_link"",""ปทุมธานี!I193"")+IMPORTRANGE(""https://docs.googl"&amp;"e.com/spreadsheets/d/1W5Jj_S0gYw6wSO7QcMI02YgyOBDKYgmm0NSUk-AQEac/edit?usp=share_link"",""ประจวบคีรีขันธ์!I193"")+IMPORTRANGE(""https://docs.google.com/spreadsheets/d/1nYxRXgnCfTXtqUY1otYuTlnrzE0Tn-Y0YRsW5pkRVqo/edit?usp=share_link"",""ปราจีนบุรี!I193"")+"&amp;"IMPORTRANGE(""https://docs.google.com/spreadsheets/d/1nNHCLO8ZAXOMfQvxux7cf_hrzPAh8FAvaHq_ClKbZNo/edit?usp=share_link"",""พระนครศรีอยุธยา!I193"")+IMPORTRANGE(""https://docs.google.com/spreadsheets/d/1CdNicvf3i6yt4tJlCePe3V1Va76wYqW0QzMzTsaGRrA/edit?usp=sh"&amp;"are_link"",""เพชรบุรี!I193"")+IMPORTRANGE(""https://docs.google.com/spreadsheets/d/1XiF77UIVHV0Kjc6xbXuOuJ10WgJYxd4p_22ngKVV5oM/edit?usp=share_link"",""ระยอง!I193"")+IMPORTRANGE(""https://docs.google.com/spreadsheets/d/1qU-W_9MCQD1pgIVXGEOjCFo9QqlmJywueby"&amp;"GgaN92r8/edit?usp=share_link"",""ราชบุรี!I193"")+IMPORTRANGE(""https://docs.google.com/spreadsheets/d/1xYFIxIM_CspAP5Q-5Zx_V0T_Ut3cjryrjd2hss28vGk/edit?usp=share_link"",""ลพบุรี!I193"")+IMPORTRANGE(""https://docs.google.com/spreadsheets/d/11s9m3tKsCBdPWq6"&amp;"syhZm27eBGbKneDLZc75co106bio/edit?usp=share_link"",""สระแก้ว!I193"")+IMPORTRANGE(""https://docs.google.com/spreadsheets/d/1Nn1EvsFPtXldgpgVb3Rcng2K2cls68LFQsBh2FyW0Bg/edit?usp=share_link"",""สระบุรี!I193"")+IMPORTRANGE(""https://docs.google.com/spreadshee"&amp;"ts/d/149xufxukrnEciK3WPbNpHwUK8BKEJxp3UcBG3Al6dA4/edit?usp=share_link"",""สิงห์บุรี!I193"")+IMPORTRANGE(""https://docs.google.com/spreadsheets/d/132g-zJpz2uMKimp17uOIx8A7o3w1Z25zwJyXnwsB56c/edit?usp=share_link"",""สุพรรณบุรี!I193"")+IMPORTRANGE(""https://"&amp;"docs.google.com/spreadsheets/d/12Q_U0nVnFdxDFwa0pej9xvx8ZvLC9Dpi_vRro_aiG5g/edit?usp=share_link"",""อ่างทอง!I193"")
"),84)</f>
        <v>84</v>
      </c>
      <c r="J193" s="183">
        <f ca="1">IFERROR(__xludf.DUMMYFUNCTION("IMPORTRANGE(""https://docs.google.com/spreadsheets/d/1hKO5uv94SSRZWOvrh72HRcpyoEQF9TsE_Cvxl77XNU4/edit?usp=share_link"",""กาญจนบุรี!J193"")+IMPORTRANGE(""https://docs.google.com/spreadsheets/d/1njBaP_xXd-Uotvo2D9zb01TTCFkLJLDK97Tk1l9Qux0/edit?usp=share_li"&amp;"nk"",""จันทบุรี!J193"")+IMPORTRANGE(""https://docs.google.com/spreadsheets/d/14xp6qUzrGFnUk_qnc1eEmfiaNRd4_grkhpfQH_46fa8/edit?usp=share_link"",""ฉะเชิงเทรา!J193"")+IMPORTRANGE(""https://docs.google.com/spreadsheets/d/1_Zwps30dlVa-pZFsorjVf1Pil6WXwzCsJU0U"&amp;"2whO3NI/edit?usp=share_link"",""ชลบุรี!J193"")+IMPORTRANGE(""https://docs.google.com/spreadsheets/d/1xAsT4sUbBlom7l0acStESh_15nvjZcXjZM7fK5uZSq8/edit?usp=share_link"",""ชัยนาท!J193"")+IMPORTRANGE(""https://docs.google.com/spreadsheets/d/1vWPVBOAaZ6mHSI8yf"&amp;"95DNqHwTJ1cpeFsvqt6cxV34QA/edit?usp=share_link"",""ตราด!J193"")+IMPORTRANGE(""https://docs.google.com/spreadsheets/d/1phaeSb9lTGgzDpbvVqI9hfmOQQzUom07-HEvpbARzEg/edit?usp=share_link"",""นครนายก!J193"")+IMPORTRANGE(""https://docs.google.com/spreadsheets/d/"&amp;"1tpwhWwkqkBeiSWCcfB5f2fbwPRbM9hHOEDSDHpl2MIc/edit?usp=share_link"",""นครปฐม!J193"")+IMPORTRANGE(""https://docs.google.com/spreadsheets/d/1fJJCVBkBnhriyv0Cp5ZFMr0I_yrfdEITNpb4zILJgUQ/edit?usp=share_link"",""ปทุมธานี!J193"")+IMPORTRANGE(""https://docs.googl"&amp;"e.com/spreadsheets/d/1W5Jj_S0gYw6wSO7QcMI02YgyOBDKYgmm0NSUk-AQEac/edit?usp=share_link"",""ประจวบคีรีขันธ์!J193"")+IMPORTRANGE(""https://docs.google.com/spreadsheets/d/1nYxRXgnCfTXtqUY1otYuTlnrzE0Tn-Y0YRsW5pkRVqo/edit?usp=share_link"",""ปราจีนบุรี!J193"")+"&amp;"IMPORTRANGE(""https://docs.google.com/spreadsheets/d/1nNHCLO8ZAXOMfQvxux7cf_hrzPAh8FAvaHq_ClKbZNo/edit?usp=share_link"",""พระนครศรีอยุธยา!J193"")+IMPORTRANGE(""https://docs.google.com/spreadsheets/d/1CdNicvf3i6yt4tJlCePe3V1Va76wYqW0QzMzTsaGRrA/edit?usp=sh"&amp;"are_link"",""เพชรบุรี!J193"")+IMPORTRANGE(""https://docs.google.com/spreadsheets/d/1XiF77UIVHV0Kjc6xbXuOuJ10WgJYxd4p_22ngKVV5oM/edit?usp=share_link"",""ระยอง!J193"")+IMPORTRANGE(""https://docs.google.com/spreadsheets/d/1qU-W_9MCQD1pgIVXGEOjCFo9QqlmJywueby"&amp;"GgaN92r8/edit?usp=share_link"",""ราชบุรี!J193"")+IMPORTRANGE(""https://docs.google.com/spreadsheets/d/1xYFIxIM_CspAP5Q-5Zx_V0T_Ut3cjryrjd2hss28vGk/edit?usp=share_link"",""ลพบุรี!J193"")+IMPORTRANGE(""https://docs.google.com/spreadsheets/d/11s9m3tKsCBdPWq6"&amp;"syhZm27eBGbKneDLZc75co106bio/edit?usp=share_link"",""สระแก้ว!J193"")+IMPORTRANGE(""https://docs.google.com/spreadsheets/d/1Nn1EvsFPtXldgpgVb3Rcng2K2cls68LFQsBh2FyW0Bg/edit?usp=share_link"",""สระบุรี!J193"")+IMPORTRANGE(""https://docs.google.com/spreadshee"&amp;"ts/d/149xufxukrnEciK3WPbNpHwUK8BKEJxp3UcBG3Al6dA4/edit?usp=share_link"",""สิงห์บุรี!J193"")+IMPORTRANGE(""https://docs.google.com/spreadsheets/d/132g-zJpz2uMKimp17uOIx8A7o3w1Z25zwJyXnwsB56c/edit?usp=share_link"",""สุพรรณบุรี!J193"")+IMPORTRANGE(""https://"&amp;"docs.google.com/spreadsheets/d/12Q_U0nVnFdxDFwa0pej9xvx8ZvLC9Dpi_vRro_aiG5g/edit?usp=share_link"",""อ่างทอง!J193"")
"),7)</f>
        <v>7</v>
      </c>
      <c r="K193" s="38">
        <f ca="1">IF(I193&gt;0,J193*100/I193,0)</f>
        <v>8.3333333333333339</v>
      </c>
      <c r="L193" s="38"/>
      <c r="M193" s="38"/>
      <c r="N193" s="38"/>
      <c r="O193" s="38"/>
      <c r="P193" s="38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20.25" customHeight="1">
      <c r="A194" s="170"/>
      <c r="B194" s="171"/>
      <c r="C194" s="171"/>
      <c r="D194" s="181" t="s">
        <v>92</v>
      </c>
      <c r="E194" s="178"/>
      <c r="F194" s="178"/>
      <c r="G194" s="179"/>
      <c r="H194" s="276" t="s">
        <v>35</v>
      </c>
      <c r="I194" s="37"/>
      <c r="J194" s="37">
        <f ca="1">J195+J196</f>
        <v>331</v>
      </c>
      <c r="K194" s="38"/>
      <c r="L194" s="38"/>
      <c r="M194" s="38"/>
      <c r="N194" s="38"/>
      <c r="O194" s="38"/>
      <c r="P194" s="38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20.25" customHeight="1">
      <c r="A195" s="170"/>
      <c r="B195" s="171"/>
      <c r="C195" s="171"/>
      <c r="D195" s="171"/>
      <c r="E195" s="181" t="s">
        <v>93</v>
      </c>
      <c r="F195" s="178"/>
      <c r="G195" s="179"/>
      <c r="H195" s="276" t="s">
        <v>35</v>
      </c>
      <c r="I195" s="37"/>
      <c r="J195" s="183">
        <f ca="1">IFERROR(__xludf.DUMMYFUNCTION("IMPORTRANGE(""https://docs.google.com/spreadsheets/d/1hKO5uv94SSRZWOvrh72HRcpyoEQF9TsE_Cvxl77XNU4/edit?usp=share_link"",""กาญจนบุรี!J195"")+IMPORTRANGE(""https://docs.google.com/spreadsheets/d/1njBaP_xXd-Uotvo2D9zb01TTCFkLJLDK97Tk1l9Qux0/edit?usp=share_li"&amp;"nk"",""จันทบุรี!J195"")+IMPORTRANGE(""https://docs.google.com/spreadsheets/d/14xp6qUzrGFnUk_qnc1eEmfiaNRd4_grkhpfQH_46fa8/edit?usp=share_link"",""ฉะเชิงเทรา!J195"")+IMPORTRANGE(""https://docs.google.com/spreadsheets/d/1_Zwps30dlVa-pZFsorjVf1Pil6WXwzCsJU0U"&amp;"2whO3NI/edit?usp=share_link"",""ชลบุรี!J195"")+IMPORTRANGE(""https://docs.google.com/spreadsheets/d/1xAsT4sUbBlom7l0acStESh_15nvjZcXjZM7fK5uZSq8/edit?usp=share_link"",""ชัยนาท!J195"")+IMPORTRANGE(""https://docs.google.com/spreadsheets/d/1vWPVBOAaZ6mHSI8yf"&amp;"95DNqHwTJ1cpeFsvqt6cxV34QA/edit?usp=share_link"",""ตราด!J195"")+IMPORTRANGE(""https://docs.google.com/spreadsheets/d/1phaeSb9lTGgzDpbvVqI9hfmOQQzUom07-HEvpbARzEg/edit?usp=share_link"",""นครนายก!J195"")+IMPORTRANGE(""https://docs.google.com/spreadsheets/d/"&amp;"1tpwhWwkqkBeiSWCcfB5f2fbwPRbM9hHOEDSDHpl2MIc/edit?usp=share_link"",""นครปฐม!J195"")+IMPORTRANGE(""https://docs.google.com/spreadsheets/d/1fJJCVBkBnhriyv0Cp5ZFMr0I_yrfdEITNpb4zILJgUQ/edit?usp=share_link"",""ปทุมธานี!J195"")+IMPORTRANGE(""https://docs.googl"&amp;"e.com/spreadsheets/d/1W5Jj_S0gYw6wSO7QcMI02YgyOBDKYgmm0NSUk-AQEac/edit?usp=share_link"",""ประจวบคีรีขันธ์!J195"")+IMPORTRANGE(""https://docs.google.com/spreadsheets/d/1nYxRXgnCfTXtqUY1otYuTlnrzE0Tn-Y0YRsW5pkRVqo/edit?usp=share_link"",""ปราจีนบุรี!J195"")+"&amp;"IMPORTRANGE(""https://docs.google.com/spreadsheets/d/1nNHCLO8ZAXOMfQvxux7cf_hrzPAh8FAvaHq_ClKbZNo/edit?usp=share_link"",""พระนครศรีอยุธยา!J195"")+IMPORTRANGE(""https://docs.google.com/spreadsheets/d/1CdNicvf3i6yt4tJlCePe3V1Va76wYqW0QzMzTsaGRrA/edit?usp=sh"&amp;"are_link"",""เพชรบุรี!J195"")+IMPORTRANGE(""https://docs.google.com/spreadsheets/d/1XiF77UIVHV0Kjc6xbXuOuJ10WgJYxd4p_22ngKVV5oM/edit?usp=share_link"",""ระยอง!J195"")+IMPORTRANGE(""https://docs.google.com/spreadsheets/d/1qU-W_9MCQD1pgIVXGEOjCFo9QqlmJywueby"&amp;"GgaN92r8/edit?usp=share_link"",""ราชบุรี!J195"")+IMPORTRANGE(""https://docs.google.com/spreadsheets/d/1xYFIxIM_CspAP5Q-5Zx_V0T_Ut3cjryrjd2hss28vGk/edit?usp=share_link"",""ลพบุรี!J195"")+IMPORTRANGE(""https://docs.google.com/spreadsheets/d/11s9m3tKsCBdPWq6"&amp;"syhZm27eBGbKneDLZc75co106bio/edit?usp=share_link"",""สระแก้ว!J195"")+IMPORTRANGE(""https://docs.google.com/spreadsheets/d/1Nn1EvsFPtXldgpgVb3Rcng2K2cls68LFQsBh2FyW0Bg/edit?usp=share_link"",""สระบุรี!J195"")+IMPORTRANGE(""https://docs.google.com/spreadshee"&amp;"ts/d/149xufxukrnEciK3WPbNpHwUK8BKEJxp3UcBG3Al6dA4/edit?usp=share_link"",""สิงห์บุรี!J195"")+IMPORTRANGE(""https://docs.google.com/spreadsheets/d/132g-zJpz2uMKimp17uOIx8A7o3w1Z25zwJyXnwsB56c/edit?usp=share_link"",""สุพรรณบุรี!J195"")+IMPORTRANGE(""https://"&amp;"docs.google.com/spreadsheets/d/12Q_U0nVnFdxDFwa0pej9xvx8ZvLC9Dpi_vRro_aiG5g/edit?usp=share_link"",""อ่างทอง!J195"")
"),331)</f>
        <v>331</v>
      </c>
      <c r="K195" s="38"/>
      <c r="L195" s="38"/>
      <c r="M195" s="38"/>
      <c r="N195" s="38"/>
      <c r="O195" s="38"/>
      <c r="P195" s="38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20.25" customHeight="1">
      <c r="A196" s="170"/>
      <c r="B196" s="171"/>
      <c r="C196" s="171"/>
      <c r="D196" s="171"/>
      <c r="E196" s="181" t="s">
        <v>94</v>
      </c>
      <c r="F196" s="178"/>
      <c r="G196" s="179"/>
      <c r="H196" s="276" t="s">
        <v>35</v>
      </c>
      <c r="I196" s="37"/>
      <c r="J196" s="183">
        <f ca="1">IFERROR(__xludf.DUMMYFUNCTION("IMPORTRANGE(""https://docs.google.com/spreadsheets/d/1hKO5uv94SSRZWOvrh72HRcpyoEQF9TsE_Cvxl77XNU4/edit?usp=share_link"",""กาญจนบุรี!J196"")+IMPORTRANGE(""https://docs.google.com/spreadsheets/d/1njBaP_xXd-Uotvo2D9zb01TTCFkLJLDK97Tk1l9Qux0/edit?usp=share_li"&amp;"nk"",""จันทบุรี!J196"")+IMPORTRANGE(""https://docs.google.com/spreadsheets/d/14xp6qUzrGFnUk_qnc1eEmfiaNRd4_grkhpfQH_46fa8/edit?usp=share_link"",""ฉะเชิงเทรา!J196"")+IMPORTRANGE(""https://docs.google.com/spreadsheets/d/1_Zwps30dlVa-pZFsorjVf1Pil6WXwzCsJU0U"&amp;"2whO3NI/edit?usp=share_link"",""ชลบุรี!J196"")+IMPORTRANGE(""https://docs.google.com/spreadsheets/d/1xAsT4sUbBlom7l0acStESh_15nvjZcXjZM7fK5uZSq8/edit?usp=share_link"",""ชัยนาท!J196"")+IMPORTRANGE(""https://docs.google.com/spreadsheets/d/1vWPVBOAaZ6mHSI8yf"&amp;"95DNqHwTJ1cpeFsvqt6cxV34QA/edit?usp=share_link"",""ตราด!J196"")+IMPORTRANGE(""https://docs.google.com/spreadsheets/d/1phaeSb9lTGgzDpbvVqI9hfmOQQzUom07-HEvpbARzEg/edit?usp=share_link"",""นครนายก!J196"")+IMPORTRANGE(""https://docs.google.com/spreadsheets/d/"&amp;"1tpwhWwkqkBeiSWCcfB5f2fbwPRbM9hHOEDSDHpl2MIc/edit?usp=share_link"",""นครปฐม!J196"")+IMPORTRANGE(""https://docs.google.com/spreadsheets/d/1fJJCVBkBnhriyv0Cp5ZFMr0I_yrfdEITNpb4zILJgUQ/edit?usp=share_link"",""ปทุมธานี!J196"")+IMPORTRANGE(""https://docs.googl"&amp;"e.com/spreadsheets/d/1W5Jj_S0gYw6wSO7QcMI02YgyOBDKYgmm0NSUk-AQEac/edit?usp=share_link"",""ประจวบคีรีขันธ์!J196"")+IMPORTRANGE(""https://docs.google.com/spreadsheets/d/1nYxRXgnCfTXtqUY1otYuTlnrzE0Tn-Y0YRsW5pkRVqo/edit?usp=share_link"",""ปราจีนบุรี!J196"")+"&amp;"IMPORTRANGE(""https://docs.google.com/spreadsheets/d/1nNHCLO8ZAXOMfQvxux7cf_hrzPAh8FAvaHq_ClKbZNo/edit?usp=share_link"",""พระนครศรีอยุธยา!J196"")+IMPORTRANGE(""https://docs.google.com/spreadsheets/d/1CdNicvf3i6yt4tJlCePe3V1Va76wYqW0QzMzTsaGRrA/edit?usp=sh"&amp;"are_link"",""เพชรบุรี!J196"")+IMPORTRANGE(""https://docs.google.com/spreadsheets/d/1XiF77UIVHV0Kjc6xbXuOuJ10WgJYxd4p_22ngKVV5oM/edit?usp=share_link"",""ระยอง!J196"")+IMPORTRANGE(""https://docs.google.com/spreadsheets/d/1qU-W_9MCQD1pgIVXGEOjCFo9QqlmJywueby"&amp;"GgaN92r8/edit?usp=share_link"",""ราชบุรี!J196"")+IMPORTRANGE(""https://docs.google.com/spreadsheets/d/1xYFIxIM_CspAP5Q-5Zx_V0T_Ut3cjryrjd2hss28vGk/edit?usp=share_link"",""ลพบุรี!J196"")+IMPORTRANGE(""https://docs.google.com/spreadsheets/d/11s9m3tKsCBdPWq6"&amp;"syhZm27eBGbKneDLZc75co106bio/edit?usp=share_link"",""สระแก้ว!J196"")+IMPORTRANGE(""https://docs.google.com/spreadsheets/d/1Nn1EvsFPtXldgpgVb3Rcng2K2cls68LFQsBh2FyW0Bg/edit?usp=share_link"",""สระบุรี!J196"")+IMPORTRANGE(""https://docs.google.com/spreadshee"&amp;"ts/d/149xufxukrnEciK3WPbNpHwUK8BKEJxp3UcBG3Al6dA4/edit?usp=share_link"",""สิงห์บุรี!J196"")+IMPORTRANGE(""https://docs.google.com/spreadsheets/d/132g-zJpz2uMKimp17uOIx8A7o3w1Z25zwJyXnwsB56c/edit?usp=share_link"",""สุพรรณบุรี!J196"")+IMPORTRANGE(""https://"&amp;"docs.google.com/spreadsheets/d/12Q_U0nVnFdxDFwa0pej9xvx8ZvLC9Dpi_vRro_aiG5g/edit?usp=share_link"",""อ่างทอง!J196"")
"),0)</f>
        <v>0</v>
      </c>
      <c r="K196" s="38"/>
      <c r="L196" s="38"/>
      <c r="M196" s="38"/>
      <c r="N196" s="38"/>
      <c r="O196" s="38"/>
      <c r="P196" s="38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20.25" customHeight="1">
      <c r="A197" s="255"/>
      <c r="B197" s="263"/>
      <c r="C197" s="270" t="s">
        <v>95</v>
      </c>
      <c r="D197" s="256"/>
      <c r="E197" s="256"/>
      <c r="F197" s="256"/>
      <c r="G197" s="258"/>
      <c r="H197" s="277" t="s">
        <v>96</v>
      </c>
      <c r="I197" s="271">
        <f t="shared" ref="I197:J197" ca="1" si="121">I204</f>
        <v>39</v>
      </c>
      <c r="J197" s="271">
        <f t="shared" ca="1" si="121"/>
        <v>14</v>
      </c>
      <c r="K197" s="272">
        <f ca="1">IF(I197&gt;0,J197*100/I197,0)</f>
        <v>35.897435897435898</v>
      </c>
      <c r="L197" s="261"/>
      <c r="M197" s="261"/>
      <c r="N197" s="261"/>
      <c r="O197" s="261"/>
      <c r="P197" s="261"/>
    </row>
    <row r="198" spans="1:26" ht="20.25" customHeight="1">
      <c r="A198" s="147"/>
      <c r="B198" s="148"/>
      <c r="C198" s="149" t="s">
        <v>16</v>
      </c>
      <c r="D198" s="273" t="s">
        <v>17</v>
      </c>
      <c r="E198" s="148"/>
      <c r="F198" s="148"/>
      <c r="G198" s="151"/>
      <c r="H198" s="274" t="s">
        <v>12</v>
      </c>
      <c r="I198" s="278"/>
      <c r="J198" s="278"/>
      <c r="K198" s="279"/>
      <c r="L198" s="155">
        <f ca="1">L199+L200+L201+L202</f>
        <v>517000</v>
      </c>
      <c r="M198" s="155"/>
      <c r="N198" s="155">
        <f ca="1">N199+N200+N201+N202</f>
        <v>93090</v>
      </c>
      <c r="O198" s="155">
        <f ca="1">IF(L198&gt;0,N198*100/L198,0)</f>
        <v>18.005802707930368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20.25" customHeight="1">
      <c r="A199" s="159"/>
      <c r="B199" s="280"/>
      <c r="C199" s="33"/>
      <c r="D199" s="281" t="s">
        <v>97</v>
      </c>
      <c r="E199" s="33"/>
      <c r="F199" s="33"/>
      <c r="G199" s="35"/>
      <c r="H199" s="161" t="s">
        <v>12</v>
      </c>
      <c r="I199" s="162"/>
      <c r="J199" s="162"/>
      <c r="K199" s="163"/>
      <c r="L199" s="282">
        <f ca="1">IFERROR(__xludf.DUMMYFUNCTION("IMPORTRANGE(""https://docs.google.com/spreadsheets/d/1hKO5uv94SSRZWOvrh72HRcpyoEQF9TsE_Cvxl77XNU4/edit?usp=share_link"",""กาญจนบุรี!L199"")+IMPORTRANGE(""https://docs.google.com/spreadsheets/d/1njBaP_xXd-Uotvo2D9zb01TTCFkLJLDK97Tk1l9Qux0/edit?usp=share_li"&amp;"nk"",""จันทบุรี!L199"")+IMPORTRANGE(""https://docs.google.com/spreadsheets/d/14xp6qUzrGFnUk_qnc1eEmfiaNRd4_grkhpfQH_46fa8/edit?usp=share_link"",""ฉะเชิงเทรา!L199"")+IMPORTRANGE(""https://docs.google.com/spreadsheets/d/1_Zwps30dlVa-pZFsorjVf1Pil6WXwzCsJU0U"&amp;"2whO3NI/edit?usp=share_link"",""ชลบุรี!L199"")+IMPORTRANGE(""https://docs.google.com/spreadsheets/d/1xAsT4sUbBlom7l0acStESh_15nvjZcXjZM7fK5uZSq8/edit?usp=share_link"",""ชัยนาท!L199"")+IMPORTRANGE(""https://docs.google.com/spreadsheets/d/1vWPVBOAaZ6mHSI8yf"&amp;"95DNqHwTJ1cpeFsvqt6cxV34QA/edit?usp=share_link"",""ตราด!L199"")+IMPORTRANGE(""https://docs.google.com/spreadsheets/d/1phaeSb9lTGgzDpbvVqI9hfmOQQzUom07-HEvpbARzEg/edit?usp=share_link"",""นครนายก!L199"")+IMPORTRANGE(""https://docs.google.com/spreadsheets/d/"&amp;"1tpwhWwkqkBeiSWCcfB5f2fbwPRbM9hHOEDSDHpl2MIc/edit?usp=share_link"",""นครปฐม!L199"")+IMPORTRANGE(""https://docs.google.com/spreadsheets/d/1fJJCVBkBnhriyv0Cp5ZFMr0I_yrfdEITNpb4zILJgUQ/edit?usp=share_link"",""ปทุมธานี!L199"")+IMPORTRANGE(""https://docs.googl"&amp;"e.com/spreadsheets/d/1W5Jj_S0gYw6wSO7QcMI02YgyOBDKYgmm0NSUk-AQEac/edit?usp=share_link"",""ประจวบคีรีขันธ์!L199"")+IMPORTRANGE(""https://docs.google.com/spreadsheets/d/1nYxRXgnCfTXtqUY1otYuTlnrzE0Tn-Y0YRsW5pkRVqo/edit?usp=share_link"",""ปราจีนบุรี!L199"")+"&amp;"IMPORTRANGE(""https://docs.google.com/spreadsheets/d/1nNHCLO8ZAXOMfQvxux7cf_hrzPAh8FAvaHq_ClKbZNo/edit?usp=share_link"",""พระนครศรีอยุธยา!L199"")+IMPORTRANGE(""https://docs.google.com/spreadsheets/d/1CdNicvf3i6yt4tJlCePe3V1Va76wYqW0QzMzTsaGRrA/edit?usp=sh"&amp;"are_link"",""เพชรบุรี!L199"")+IMPORTRANGE(""https://docs.google.com/spreadsheets/d/1XiF77UIVHV0Kjc6xbXuOuJ10WgJYxd4p_22ngKVV5oM/edit?usp=share_link"",""ระยอง!L199"")+IMPORTRANGE(""https://docs.google.com/spreadsheets/d/1qU-W_9MCQD1pgIVXGEOjCFo9QqlmJywueby"&amp;"GgaN92r8/edit?usp=share_link"",""ราชบุรี!L199"")+IMPORTRANGE(""https://docs.google.com/spreadsheets/d/1xYFIxIM_CspAP5Q-5Zx_V0T_Ut3cjryrjd2hss28vGk/edit?usp=share_link"",""ลพบุรี!L199"")+IMPORTRANGE(""https://docs.google.com/spreadsheets/d/11s9m3tKsCBdPWq6"&amp;"syhZm27eBGbKneDLZc75co106bio/edit?usp=share_link"",""สระแก้ว!L199"")+IMPORTRANGE(""https://docs.google.com/spreadsheets/d/1Nn1EvsFPtXldgpgVb3Rcng2K2cls68LFQsBh2FyW0Bg/edit?usp=share_link"",""สระบุรี!L199"")+IMPORTRANGE(""https://docs.google.com/spreadshee"&amp;"ts/d/149xufxukrnEciK3WPbNpHwUK8BKEJxp3UcBG3Al6dA4/edit?usp=share_link"",""สิงห์บุรี!L199"")+IMPORTRANGE(""https://docs.google.com/spreadsheets/d/132g-zJpz2uMKimp17uOIx8A7o3w1Z25zwJyXnwsB56c/edit?usp=share_link"",""สุพรรณบุรี!L199"")+IMPORTRANGE(""https://"&amp;"docs.google.com/spreadsheets/d/12Q_U0nVnFdxDFwa0pej9xvx8ZvLC9Dpi_vRro_aiG5g/edit?usp=share_link"",""อ่างทอง!L199"")
"),39000)</f>
        <v>39000</v>
      </c>
      <c r="M199" s="38"/>
      <c r="N199" s="283">
        <f ca="1">IFERROR(__xludf.DUMMYFUNCTION("IMPORTRANGE(""https://docs.google.com/spreadsheets/d/1hKO5uv94SSRZWOvrh72HRcpyoEQF9TsE_Cvxl77XNU4/edit?usp=share_link"",""กาญจนบุรี!N199"")+IMPORTRANGE(""https://docs.google.com/spreadsheets/d/1njBaP_xXd-Uotvo2D9zb01TTCFkLJLDK97Tk1l9Qux0/edit?usp=share_li"&amp;"nk"",""จันทบุรี!N199"")+IMPORTRANGE(""https://docs.google.com/spreadsheets/d/14xp6qUzrGFnUk_qnc1eEmfiaNRd4_grkhpfQH_46fa8/edit?usp=share_link"",""ฉะเชิงเทรา!N199"")+IMPORTRANGE(""https://docs.google.com/spreadsheets/d/1_Zwps30dlVa-pZFsorjVf1Pil6WXwzCsJU0U"&amp;"2whO3NI/edit?usp=share_link"",""ชลบุรี!N199"")+IMPORTRANGE(""https://docs.google.com/spreadsheets/d/1xAsT4sUbBlom7l0acStESh_15nvjZcXjZM7fK5uZSq8/edit?usp=share_link"",""ชัยนาท!N199"")+IMPORTRANGE(""https://docs.google.com/spreadsheets/d/1vWPVBOAaZ6mHSI8yf"&amp;"95DNqHwTJ1cpeFsvqt6cxV34QA/edit?usp=share_link"",""ตราด!N199"")+IMPORTRANGE(""https://docs.google.com/spreadsheets/d/1phaeSb9lTGgzDpbvVqI9hfmOQQzUom07-HEvpbARzEg/edit?usp=share_link"",""นครนายก!N199"")+IMPORTRANGE(""https://docs.google.com/spreadsheets/d/"&amp;"1tpwhWwkqkBeiSWCcfB5f2fbwPRbM9hHOEDSDHpl2MIc/edit?usp=share_link"",""นครปฐม!N199"")+IMPORTRANGE(""https://docs.google.com/spreadsheets/d/1fJJCVBkBnhriyv0Cp5ZFMr0I_yrfdEITNpb4zILJgUQ/edit?usp=share_link"",""ปทุมธานี!N199"")+IMPORTRANGE(""https://docs.googl"&amp;"e.com/spreadsheets/d/1W5Jj_S0gYw6wSO7QcMI02YgyOBDKYgmm0NSUk-AQEac/edit?usp=share_link"",""ประจวบคีรีขันธ์!N199"")+IMPORTRANGE(""https://docs.google.com/spreadsheets/d/1nYxRXgnCfTXtqUY1otYuTlnrzE0Tn-Y0YRsW5pkRVqo/edit?usp=share_link"",""ปราจีนบุรี!N199"")+"&amp;"IMPORTRANGE(""https://docs.google.com/spreadsheets/d/1nNHCLO8ZAXOMfQvxux7cf_hrzPAh8FAvaHq_ClKbZNo/edit?usp=share_link"",""พระนครศรีอยุธยา!N199"")+IMPORTRANGE(""https://docs.google.com/spreadsheets/d/1CdNicvf3i6yt4tJlCePe3V1Va76wYqW0QzMzTsaGRrA/edit?usp=sh"&amp;"are_link"",""เพชรบุรี!N199"")+IMPORTRANGE(""https://docs.google.com/spreadsheets/d/1XiF77UIVHV0Kjc6xbXuOuJ10WgJYxd4p_22ngKVV5oM/edit?usp=share_link"",""ระยอง!N199"")+IMPORTRANGE(""https://docs.google.com/spreadsheets/d/1qU-W_9MCQD1pgIVXGEOjCFo9QqlmJywueby"&amp;"GgaN92r8/edit?usp=share_link"",""ราชบุรี!N199"")+IMPORTRANGE(""https://docs.google.com/spreadsheets/d/1xYFIxIM_CspAP5Q-5Zx_V0T_Ut3cjryrjd2hss28vGk/edit?usp=share_link"",""ลพบุรี!N199"")+IMPORTRANGE(""https://docs.google.com/spreadsheets/d/11s9m3tKsCBdPWq6"&amp;"syhZm27eBGbKneDLZc75co106bio/edit?usp=share_link"",""สระแก้ว!N199"")+IMPORTRANGE(""https://docs.google.com/spreadsheets/d/1Nn1EvsFPtXldgpgVb3Rcng2K2cls68LFQsBh2FyW0Bg/edit?usp=share_link"",""สระบุรี!N199"")+IMPORTRANGE(""https://docs.google.com/spreadshee"&amp;"ts/d/149xufxukrnEciK3WPbNpHwUK8BKEJxp3UcBG3Al6dA4/edit?usp=share_link"",""สิงห์บุรี!N199"")+IMPORTRANGE(""https://docs.google.com/spreadsheets/d/132g-zJpz2uMKimp17uOIx8A7o3w1Z25zwJyXnwsB56c/edit?usp=share_link"",""สุพรรณบุรี!N199"")+IMPORTRANGE(""https://"&amp;"docs.google.com/spreadsheets/d/12Q_U0nVnFdxDFwa0pej9xvx8ZvLC9Dpi_vRro_aiG5g/edit?usp=share_link"",""อ่างทอง!N199"")
"),6720)</f>
        <v>6720</v>
      </c>
      <c r="O199" s="38"/>
      <c r="P199" s="38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20.25" customHeight="1">
      <c r="A200" s="284"/>
      <c r="B200" s="280"/>
      <c r="C200" s="210"/>
      <c r="D200" s="215" t="s">
        <v>98</v>
      </c>
      <c r="E200" s="33"/>
      <c r="F200" s="33"/>
      <c r="G200" s="35"/>
      <c r="H200" s="285" t="s">
        <v>12</v>
      </c>
      <c r="I200" s="37"/>
      <c r="J200" s="37"/>
      <c r="K200" s="38"/>
      <c r="L200" s="282">
        <f ca="1">IFERROR(__xludf.DUMMYFUNCTION("IMPORTRANGE(""https://docs.google.com/spreadsheets/d/1hKO5uv94SSRZWOvrh72HRcpyoEQF9TsE_Cvxl77XNU4/edit?usp=share_link"",""กาญจนบุรี!L200"")+IMPORTRANGE(""https://docs.google.com/spreadsheets/d/1njBaP_xXd-Uotvo2D9zb01TTCFkLJLDK97Tk1l9Qux0/edit?usp=share_li"&amp;"nk"",""จันทบุรี!L200"")+IMPORTRANGE(""https://docs.google.com/spreadsheets/d/14xp6qUzrGFnUk_qnc1eEmfiaNRd4_grkhpfQH_46fa8/edit?usp=share_link"",""ฉะเชิงเทรา!L200"")+IMPORTRANGE(""https://docs.google.com/spreadsheets/d/1_Zwps30dlVa-pZFsorjVf1Pil6WXwzCsJU0U"&amp;"2whO3NI/edit?usp=share_link"",""ชลบุรี!L200"")+IMPORTRANGE(""https://docs.google.com/spreadsheets/d/1xAsT4sUbBlom7l0acStESh_15nvjZcXjZM7fK5uZSq8/edit?usp=share_link"",""ชัยนาท!L200"")+IMPORTRANGE(""https://docs.google.com/spreadsheets/d/1vWPVBOAaZ6mHSI8yf"&amp;"95DNqHwTJ1cpeFsvqt6cxV34QA/edit?usp=share_link"",""ตราด!L200"")+IMPORTRANGE(""https://docs.google.com/spreadsheets/d/1phaeSb9lTGgzDpbvVqI9hfmOQQzUom07-HEvpbARzEg/edit?usp=share_link"",""นครนายก!L200"")+IMPORTRANGE(""https://docs.google.com/spreadsheets/d/"&amp;"1tpwhWwkqkBeiSWCcfB5f2fbwPRbM9hHOEDSDHpl2MIc/edit?usp=share_link"",""นครปฐม!L200"")+IMPORTRANGE(""https://docs.google.com/spreadsheets/d/1fJJCVBkBnhriyv0Cp5ZFMr0I_yrfdEITNpb4zILJgUQ/edit?usp=share_link"",""ปทุมธานี!L200"")+IMPORTRANGE(""https://docs.googl"&amp;"e.com/spreadsheets/d/1W5Jj_S0gYw6wSO7QcMI02YgyOBDKYgmm0NSUk-AQEac/edit?usp=share_link"",""ประจวบคีรีขันธ์!L200"")+IMPORTRANGE(""https://docs.google.com/spreadsheets/d/1nYxRXgnCfTXtqUY1otYuTlnrzE0Tn-Y0YRsW5pkRVqo/edit?usp=share_link"",""ปราจีนบุรี!L200"")+"&amp;"IMPORTRANGE(""https://docs.google.com/spreadsheets/d/1nNHCLO8ZAXOMfQvxux7cf_hrzPAh8FAvaHq_ClKbZNo/edit?usp=share_link"",""พระนครศรีอยุธยา!L200"")+IMPORTRANGE(""https://docs.google.com/spreadsheets/d/1CdNicvf3i6yt4tJlCePe3V1Va76wYqW0QzMzTsaGRrA/edit?usp=sh"&amp;"are_link"",""เพชรบุรี!L200"")+IMPORTRANGE(""https://docs.google.com/spreadsheets/d/1XiF77UIVHV0Kjc6xbXuOuJ10WgJYxd4p_22ngKVV5oM/edit?usp=share_link"",""ระยอง!L200"")+IMPORTRANGE(""https://docs.google.com/spreadsheets/d/1qU-W_9MCQD1pgIVXGEOjCFo9QqlmJywueby"&amp;"GgaN92r8/edit?usp=share_link"",""ราชบุรี!L200"")+IMPORTRANGE(""https://docs.google.com/spreadsheets/d/1xYFIxIM_CspAP5Q-5Zx_V0T_Ut3cjryrjd2hss28vGk/edit?usp=share_link"",""ลพบุรี!L200"")+IMPORTRANGE(""https://docs.google.com/spreadsheets/d/11s9m3tKsCBdPWq6"&amp;"syhZm27eBGbKneDLZc75co106bio/edit?usp=share_link"",""สระแก้ว!L200"")+IMPORTRANGE(""https://docs.google.com/spreadsheets/d/1Nn1EvsFPtXldgpgVb3Rcng2K2cls68LFQsBh2FyW0Bg/edit?usp=share_link"",""สระบุรี!L200"")+IMPORTRANGE(""https://docs.google.com/spreadshee"&amp;"ts/d/149xufxukrnEciK3WPbNpHwUK8BKEJxp3UcBG3Al6dA4/edit?usp=share_link"",""สิงห์บุรี!L200"")+IMPORTRANGE(""https://docs.google.com/spreadsheets/d/132g-zJpz2uMKimp17uOIx8A7o3w1Z25zwJyXnwsB56c/edit?usp=share_link"",""สุพรรณบุรี!L200"")+IMPORTRANGE(""https://"&amp;"docs.google.com/spreadsheets/d/12Q_U0nVnFdxDFwa0pej9xvx8ZvLC9Dpi_vRro_aiG5g/edit?usp=share_link"",""อ่างทอง!L200"")
"),312000)</f>
        <v>312000</v>
      </c>
      <c r="M200" s="38"/>
      <c r="N200" s="283">
        <f ca="1">IFERROR(__xludf.DUMMYFUNCTION("IMPORTRANGE(""https://docs.google.com/spreadsheets/d/1hKO5uv94SSRZWOvrh72HRcpyoEQF9TsE_Cvxl77XNU4/edit?usp=share_link"",""กาญจนบุรี!N200"")+IMPORTRANGE(""https://docs.google.com/spreadsheets/d/1njBaP_xXd-Uotvo2D9zb01TTCFkLJLDK97Tk1l9Qux0/edit?usp=share_li"&amp;"nk"",""จันทบุรี!N200"")+IMPORTRANGE(""https://docs.google.com/spreadsheets/d/14xp6qUzrGFnUk_qnc1eEmfiaNRd4_grkhpfQH_46fa8/edit?usp=share_link"",""ฉะเชิงเทรา!N200"")+IMPORTRANGE(""https://docs.google.com/spreadsheets/d/1_Zwps30dlVa-pZFsorjVf1Pil6WXwzCsJU0U"&amp;"2whO3NI/edit?usp=share_link"",""ชลบุรี!N200"")+IMPORTRANGE(""https://docs.google.com/spreadsheets/d/1xAsT4sUbBlom7l0acStESh_15nvjZcXjZM7fK5uZSq8/edit?usp=share_link"",""ชัยนาท!N200"")+IMPORTRANGE(""https://docs.google.com/spreadsheets/d/1vWPVBOAaZ6mHSI8yf"&amp;"95DNqHwTJ1cpeFsvqt6cxV34QA/edit?usp=share_link"",""ตราด!N200"")+IMPORTRANGE(""https://docs.google.com/spreadsheets/d/1phaeSb9lTGgzDpbvVqI9hfmOQQzUom07-HEvpbARzEg/edit?usp=share_link"",""นครนายก!N200"")+IMPORTRANGE(""https://docs.google.com/spreadsheets/d/"&amp;"1tpwhWwkqkBeiSWCcfB5f2fbwPRbM9hHOEDSDHpl2MIc/edit?usp=share_link"",""นครปฐม!N200"")+IMPORTRANGE(""https://docs.google.com/spreadsheets/d/1fJJCVBkBnhriyv0Cp5ZFMr0I_yrfdEITNpb4zILJgUQ/edit?usp=share_link"",""ปทุมธานี!N200"")+IMPORTRANGE(""https://docs.googl"&amp;"e.com/spreadsheets/d/1W5Jj_S0gYw6wSO7QcMI02YgyOBDKYgmm0NSUk-AQEac/edit?usp=share_link"",""ประจวบคีรีขันธ์!N200"")+IMPORTRANGE(""https://docs.google.com/spreadsheets/d/1nYxRXgnCfTXtqUY1otYuTlnrzE0Tn-Y0YRsW5pkRVqo/edit?usp=share_link"",""ปราจีนบุรี!N200"")+"&amp;"IMPORTRANGE(""https://docs.google.com/spreadsheets/d/1nNHCLO8ZAXOMfQvxux7cf_hrzPAh8FAvaHq_ClKbZNo/edit?usp=share_link"",""พระนครศรีอยุธยา!N200"")+IMPORTRANGE(""https://docs.google.com/spreadsheets/d/1CdNicvf3i6yt4tJlCePe3V1Va76wYqW0QzMzTsaGRrA/edit?usp=sh"&amp;"are_link"",""เพชรบุรี!N200"")+IMPORTRANGE(""https://docs.google.com/spreadsheets/d/1XiF77UIVHV0Kjc6xbXuOuJ10WgJYxd4p_22ngKVV5oM/edit?usp=share_link"",""ระยอง!N200"")+IMPORTRANGE(""https://docs.google.com/spreadsheets/d/1qU-W_9MCQD1pgIVXGEOjCFo9QqlmJywueby"&amp;"GgaN92r8/edit?usp=share_link"",""ราชบุรี!N200"")+IMPORTRANGE(""https://docs.google.com/spreadsheets/d/1xYFIxIM_CspAP5Q-5Zx_V0T_Ut3cjryrjd2hss28vGk/edit?usp=share_link"",""ลพบุรี!N200"")+IMPORTRANGE(""https://docs.google.com/spreadsheets/d/11s9m3tKsCBdPWq6"&amp;"syhZm27eBGbKneDLZc75co106bio/edit?usp=share_link"",""สระแก้ว!N200"")+IMPORTRANGE(""https://docs.google.com/spreadsheets/d/1Nn1EvsFPtXldgpgVb3Rcng2K2cls68LFQsBh2FyW0Bg/edit?usp=share_link"",""สระบุรี!N200"")+IMPORTRANGE(""https://docs.google.com/spreadshee"&amp;"ts/d/149xufxukrnEciK3WPbNpHwUK8BKEJxp3UcBG3Al6dA4/edit?usp=share_link"",""สิงห์บุรี!N200"")+IMPORTRANGE(""https://docs.google.com/spreadsheets/d/132g-zJpz2uMKimp17uOIx8A7o3w1Z25zwJyXnwsB56c/edit?usp=share_link"",""สุพรรณบุรี!N200"")+IMPORTRANGE(""https://"&amp;"docs.google.com/spreadsheets/d/12Q_U0nVnFdxDFwa0pej9xvx8ZvLC9Dpi_vRro_aiG5g/edit?usp=share_link"",""อ่างทอง!N200"")
"),86370)</f>
        <v>86370</v>
      </c>
      <c r="O200" s="38"/>
      <c r="P200" s="38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20.25" customHeight="1">
      <c r="A201" s="284"/>
      <c r="B201" s="280"/>
      <c r="C201" s="210"/>
      <c r="D201" s="215" t="s">
        <v>99</v>
      </c>
      <c r="E201" s="33"/>
      <c r="F201" s="33"/>
      <c r="G201" s="35"/>
      <c r="H201" s="285" t="s">
        <v>12</v>
      </c>
      <c r="I201" s="37"/>
      <c r="J201" s="37"/>
      <c r="K201" s="38"/>
      <c r="L201" s="282">
        <f ca="1">IFERROR(__xludf.DUMMYFUNCTION("IMPORTRANGE(""https://docs.google.com/spreadsheets/d/1hKO5uv94SSRZWOvrh72HRcpyoEQF9TsE_Cvxl77XNU4/edit?usp=share_link"",""กาญจนบุรี!L201"")+IMPORTRANGE(""https://docs.google.com/spreadsheets/d/1njBaP_xXd-Uotvo2D9zb01TTCFkLJLDK97Tk1l9Qux0/edit?usp=share_li"&amp;"nk"",""จันทบุรี!L201"")+IMPORTRANGE(""https://docs.google.com/spreadsheets/d/14xp6qUzrGFnUk_qnc1eEmfiaNRd4_grkhpfQH_46fa8/edit?usp=share_link"",""ฉะเชิงเทรา!L201"")+IMPORTRANGE(""https://docs.google.com/spreadsheets/d/1_Zwps30dlVa-pZFsorjVf1Pil6WXwzCsJU0U"&amp;"2whO3NI/edit?usp=share_link"",""ชลบุรี!L201"")+IMPORTRANGE(""https://docs.google.com/spreadsheets/d/1xAsT4sUbBlom7l0acStESh_15nvjZcXjZM7fK5uZSq8/edit?usp=share_link"",""ชัยนาท!L201"")+IMPORTRANGE(""https://docs.google.com/spreadsheets/d/1vWPVBOAaZ6mHSI8yf"&amp;"95DNqHwTJ1cpeFsvqt6cxV34QA/edit?usp=share_link"",""ตราด!L201"")+IMPORTRANGE(""https://docs.google.com/spreadsheets/d/1phaeSb9lTGgzDpbvVqI9hfmOQQzUom07-HEvpbARzEg/edit?usp=share_link"",""นครนายก!L201"")+IMPORTRANGE(""https://docs.google.com/spreadsheets/d/"&amp;"1tpwhWwkqkBeiSWCcfB5f2fbwPRbM9hHOEDSDHpl2MIc/edit?usp=share_link"",""นครปฐม!L201"")+IMPORTRANGE(""https://docs.google.com/spreadsheets/d/1fJJCVBkBnhriyv0Cp5ZFMr0I_yrfdEITNpb4zILJgUQ/edit?usp=share_link"",""ปทุมธานี!L201"")+IMPORTRANGE(""https://docs.googl"&amp;"e.com/spreadsheets/d/1W5Jj_S0gYw6wSO7QcMI02YgyOBDKYgmm0NSUk-AQEac/edit?usp=share_link"",""ประจวบคีรีขันธ์!L201"")+IMPORTRANGE(""https://docs.google.com/spreadsheets/d/1nYxRXgnCfTXtqUY1otYuTlnrzE0Tn-Y0YRsW5pkRVqo/edit?usp=share_link"",""ปราจีนบุรี!L201"")+"&amp;"IMPORTRANGE(""https://docs.google.com/spreadsheets/d/1nNHCLO8ZAXOMfQvxux7cf_hrzPAh8FAvaHq_ClKbZNo/edit?usp=share_link"",""พระนครศรีอยุธยา!L201"")+IMPORTRANGE(""https://docs.google.com/spreadsheets/d/1CdNicvf3i6yt4tJlCePe3V1Va76wYqW0QzMzTsaGRrA/edit?usp=sh"&amp;"are_link"",""เพชรบุรี!L201"")+IMPORTRANGE(""https://docs.google.com/spreadsheets/d/1XiF77UIVHV0Kjc6xbXuOuJ10WgJYxd4p_22ngKVV5oM/edit?usp=share_link"",""ระยอง!L201"")+IMPORTRANGE(""https://docs.google.com/spreadsheets/d/1qU-W_9MCQD1pgIVXGEOjCFo9QqlmJywueby"&amp;"GgaN92r8/edit?usp=share_link"",""ราชบุรี!L201"")+IMPORTRANGE(""https://docs.google.com/spreadsheets/d/1xYFIxIM_CspAP5Q-5Zx_V0T_Ut3cjryrjd2hss28vGk/edit?usp=share_link"",""ลพบุรี!L201"")+IMPORTRANGE(""https://docs.google.com/spreadsheets/d/11s9m3tKsCBdPWq6"&amp;"syhZm27eBGbKneDLZc75co106bio/edit?usp=share_link"",""สระแก้ว!L201"")+IMPORTRANGE(""https://docs.google.com/spreadsheets/d/1Nn1EvsFPtXldgpgVb3Rcng2K2cls68LFQsBh2FyW0Bg/edit?usp=share_link"",""สระบุรี!L201"")+IMPORTRANGE(""https://docs.google.com/spreadshee"&amp;"ts/d/149xufxukrnEciK3WPbNpHwUK8BKEJxp3UcBG3Al6dA4/edit?usp=share_link"",""สิงห์บุรี!L201"")+IMPORTRANGE(""https://docs.google.com/spreadsheets/d/132g-zJpz2uMKimp17uOIx8A7o3w1Z25zwJyXnwsB56c/edit?usp=share_link"",""สุพรรณบุรี!L201"")+IMPORTRANGE(""https://"&amp;"docs.google.com/spreadsheets/d/12Q_U0nVnFdxDFwa0pej9xvx8ZvLC9Dpi_vRro_aiG5g/edit?usp=share_link"",""อ่างทอง!L201"")
"),156000)</f>
        <v>156000</v>
      </c>
      <c r="M201" s="38"/>
      <c r="N201" s="283">
        <f ca="1">IFERROR(__xludf.DUMMYFUNCTION("IMPORTRANGE(""https://docs.google.com/spreadsheets/d/1hKO5uv94SSRZWOvrh72HRcpyoEQF9TsE_Cvxl77XNU4/edit?usp=share_link"",""กาญจนบุรี!N201"")+IMPORTRANGE(""https://docs.google.com/spreadsheets/d/1njBaP_xXd-Uotvo2D9zb01TTCFkLJLDK97Tk1l9Qux0/edit?usp=share_li"&amp;"nk"",""จันทบุรี!N201"")+IMPORTRANGE(""https://docs.google.com/spreadsheets/d/14xp6qUzrGFnUk_qnc1eEmfiaNRd4_grkhpfQH_46fa8/edit?usp=share_link"",""ฉะเชิงเทรา!N201"")+IMPORTRANGE(""https://docs.google.com/spreadsheets/d/1_Zwps30dlVa-pZFsorjVf1Pil6WXwzCsJU0U"&amp;"2whO3NI/edit?usp=share_link"",""ชลบุรี!N201"")+IMPORTRANGE(""https://docs.google.com/spreadsheets/d/1xAsT4sUbBlom7l0acStESh_15nvjZcXjZM7fK5uZSq8/edit?usp=share_link"",""ชัยนาท!N201"")+IMPORTRANGE(""https://docs.google.com/spreadsheets/d/1vWPVBOAaZ6mHSI8yf"&amp;"95DNqHwTJ1cpeFsvqt6cxV34QA/edit?usp=share_link"",""ตราด!N201"")+IMPORTRANGE(""https://docs.google.com/spreadsheets/d/1phaeSb9lTGgzDpbvVqI9hfmOQQzUom07-HEvpbARzEg/edit?usp=share_link"",""นครนายก!N201"")+IMPORTRANGE(""https://docs.google.com/spreadsheets/d/"&amp;"1tpwhWwkqkBeiSWCcfB5f2fbwPRbM9hHOEDSDHpl2MIc/edit?usp=share_link"",""นครปฐม!N201"")+IMPORTRANGE(""https://docs.google.com/spreadsheets/d/1fJJCVBkBnhriyv0Cp5ZFMr0I_yrfdEITNpb4zILJgUQ/edit?usp=share_link"",""ปทุมธานี!N201"")+IMPORTRANGE(""https://docs.googl"&amp;"e.com/spreadsheets/d/1W5Jj_S0gYw6wSO7QcMI02YgyOBDKYgmm0NSUk-AQEac/edit?usp=share_link"",""ประจวบคีรีขันธ์!N201"")+IMPORTRANGE(""https://docs.google.com/spreadsheets/d/1nYxRXgnCfTXtqUY1otYuTlnrzE0Tn-Y0YRsW5pkRVqo/edit?usp=share_link"",""ปราจีนบุรี!N201"")+"&amp;"IMPORTRANGE(""https://docs.google.com/spreadsheets/d/1nNHCLO8ZAXOMfQvxux7cf_hrzPAh8FAvaHq_ClKbZNo/edit?usp=share_link"",""พระนครศรีอยุธยา!N201"")+IMPORTRANGE(""https://docs.google.com/spreadsheets/d/1CdNicvf3i6yt4tJlCePe3V1Va76wYqW0QzMzTsaGRrA/edit?usp=sh"&amp;"are_link"",""เพชรบุรี!N201"")+IMPORTRANGE(""https://docs.google.com/spreadsheets/d/1XiF77UIVHV0Kjc6xbXuOuJ10WgJYxd4p_22ngKVV5oM/edit?usp=share_link"",""ระยอง!N201"")+IMPORTRANGE(""https://docs.google.com/spreadsheets/d/1qU-W_9MCQD1pgIVXGEOjCFo9QqlmJywueby"&amp;"GgaN92r8/edit?usp=share_link"",""ราชบุรี!N201"")+IMPORTRANGE(""https://docs.google.com/spreadsheets/d/1xYFIxIM_CspAP5Q-5Zx_V0T_Ut3cjryrjd2hss28vGk/edit?usp=share_link"",""ลพบุรี!N201"")+IMPORTRANGE(""https://docs.google.com/spreadsheets/d/11s9m3tKsCBdPWq6"&amp;"syhZm27eBGbKneDLZc75co106bio/edit?usp=share_link"",""สระแก้ว!N201"")+IMPORTRANGE(""https://docs.google.com/spreadsheets/d/1Nn1EvsFPtXldgpgVb3Rcng2K2cls68LFQsBh2FyW0Bg/edit?usp=share_link"",""สระบุรี!N201"")+IMPORTRANGE(""https://docs.google.com/spreadshee"&amp;"ts/d/149xufxukrnEciK3WPbNpHwUK8BKEJxp3UcBG3Al6dA4/edit?usp=share_link"",""สิงห์บุรี!N201"")+IMPORTRANGE(""https://docs.google.com/spreadsheets/d/132g-zJpz2uMKimp17uOIx8A7o3w1Z25zwJyXnwsB56c/edit?usp=share_link"",""สุพรรณบุรี!N201"")+IMPORTRANGE(""https://"&amp;"docs.google.com/spreadsheets/d/12Q_U0nVnFdxDFwa0pej9xvx8ZvLC9Dpi_vRro_aiG5g/edit?usp=share_link"",""อ่างทอง!N201"")
"),0)</f>
        <v>0</v>
      </c>
      <c r="O201" s="38"/>
      <c r="P201" s="38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20.25" customHeight="1">
      <c r="A202" s="284"/>
      <c r="B202" s="280"/>
      <c r="C202" s="210"/>
      <c r="D202" s="215" t="s">
        <v>100</v>
      </c>
      <c r="E202" s="33"/>
      <c r="F202" s="33"/>
      <c r="G202" s="35"/>
      <c r="H202" s="285" t="s">
        <v>12</v>
      </c>
      <c r="I202" s="37"/>
      <c r="J202" s="37"/>
      <c r="K202" s="38"/>
      <c r="L202" s="282">
        <f ca="1">IFERROR(__xludf.DUMMYFUNCTION("IMPORTRANGE(""https://docs.google.com/spreadsheets/d/1hKO5uv94SSRZWOvrh72HRcpyoEQF9TsE_Cvxl77XNU4/edit?usp=share_link"",""กาญจนบุรี!L202"")+IMPORTRANGE(""https://docs.google.com/spreadsheets/d/1njBaP_xXd-Uotvo2D9zb01TTCFkLJLDK97Tk1l9Qux0/edit?usp=share_li"&amp;"nk"",""จันทบุรี!L202"")+IMPORTRANGE(""https://docs.google.com/spreadsheets/d/14xp6qUzrGFnUk_qnc1eEmfiaNRd4_grkhpfQH_46fa8/edit?usp=share_link"",""ฉะเชิงเทรา!L202"")+IMPORTRANGE(""https://docs.google.com/spreadsheets/d/1_Zwps30dlVa-pZFsorjVf1Pil6WXwzCsJU0U"&amp;"2whO3NI/edit?usp=share_link"",""ชลบุรี!L202"")+IMPORTRANGE(""https://docs.google.com/spreadsheets/d/1xAsT4sUbBlom7l0acStESh_15nvjZcXjZM7fK5uZSq8/edit?usp=share_link"",""ชัยนาท!L202"")+IMPORTRANGE(""https://docs.google.com/spreadsheets/d/1vWPVBOAaZ6mHSI8yf"&amp;"95DNqHwTJ1cpeFsvqt6cxV34QA/edit?usp=share_link"",""ตราด!L202"")+IMPORTRANGE(""https://docs.google.com/spreadsheets/d/1phaeSb9lTGgzDpbvVqI9hfmOQQzUom07-HEvpbARzEg/edit?usp=share_link"",""นครนายก!L202"")+IMPORTRANGE(""https://docs.google.com/spreadsheets/d/"&amp;"1tpwhWwkqkBeiSWCcfB5f2fbwPRbM9hHOEDSDHpl2MIc/edit?usp=share_link"",""นครปฐม!L202"")+IMPORTRANGE(""https://docs.google.com/spreadsheets/d/1fJJCVBkBnhriyv0Cp5ZFMr0I_yrfdEITNpb4zILJgUQ/edit?usp=share_link"",""ปทุมธานี!L202"")+IMPORTRANGE(""https://docs.googl"&amp;"e.com/spreadsheets/d/1W5Jj_S0gYw6wSO7QcMI02YgyOBDKYgmm0NSUk-AQEac/edit?usp=share_link"",""ประจวบคีรีขันธ์!L202"")+IMPORTRANGE(""https://docs.google.com/spreadsheets/d/1nYxRXgnCfTXtqUY1otYuTlnrzE0Tn-Y0YRsW5pkRVqo/edit?usp=share_link"",""ปราจีนบุรี!L202"")+"&amp;"IMPORTRANGE(""https://docs.google.com/spreadsheets/d/1nNHCLO8ZAXOMfQvxux7cf_hrzPAh8FAvaHq_ClKbZNo/edit?usp=share_link"",""พระนครศรีอยุธยา!L202"")+IMPORTRANGE(""https://docs.google.com/spreadsheets/d/1CdNicvf3i6yt4tJlCePe3V1Va76wYqW0QzMzTsaGRrA/edit?usp=sh"&amp;"are_link"",""เพชรบุรี!L202"")+IMPORTRANGE(""https://docs.google.com/spreadsheets/d/1XiF77UIVHV0Kjc6xbXuOuJ10WgJYxd4p_22ngKVV5oM/edit?usp=share_link"",""ระยอง!L202"")+IMPORTRANGE(""https://docs.google.com/spreadsheets/d/1qU-W_9MCQD1pgIVXGEOjCFo9QqlmJywueby"&amp;"GgaN92r8/edit?usp=share_link"",""ราชบุรี!L202"")+IMPORTRANGE(""https://docs.google.com/spreadsheets/d/1xYFIxIM_CspAP5Q-5Zx_V0T_Ut3cjryrjd2hss28vGk/edit?usp=share_link"",""ลพบุรี!L202"")+IMPORTRANGE(""https://docs.google.com/spreadsheets/d/11s9m3tKsCBdPWq6"&amp;"syhZm27eBGbKneDLZc75co106bio/edit?usp=share_link"",""สระแก้ว!L202"")+IMPORTRANGE(""https://docs.google.com/spreadsheets/d/1Nn1EvsFPtXldgpgVb3Rcng2K2cls68LFQsBh2FyW0Bg/edit?usp=share_link"",""สระบุรี!L202"")+IMPORTRANGE(""https://docs.google.com/spreadshee"&amp;"ts/d/149xufxukrnEciK3WPbNpHwUK8BKEJxp3UcBG3Al6dA4/edit?usp=share_link"",""สิงห์บุรี!L202"")+IMPORTRANGE(""https://docs.google.com/spreadsheets/d/132g-zJpz2uMKimp17uOIx8A7o3w1Z25zwJyXnwsB56c/edit?usp=share_link"",""สุพรรณบุรี!L202"")+IMPORTRANGE(""https://"&amp;"docs.google.com/spreadsheets/d/12Q_U0nVnFdxDFwa0pej9xvx8ZvLC9Dpi_vRro_aiG5g/edit?usp=share_link"",""อ่างทอง!L202"")
"),10000)</f>
        <v>10000</v>
      </c>
      <c r="M202" s="38"/>
      <c r="N202" s="283">
        <f ca="1">IFERROR(__xludf.DUMMYFUNCTION("IMPORTRANGE(""https://docs.google.com/spreadsheets/d/1hKO5uv94SSRZWOvrh72HRcpyoEQF9TsE_Cvxl77XNU4/edit?usp=share_link"",""กาญจนบุรี!n202"")+IMPORTRANGE(""https://docs.google.com/spreadsheets/d/1njBaP_xXd-Uotvo2D9zb01TTCFkLJLDK97Tk1l9Qux0/edit?usp=share_li"&amp;"nk"",""จันทบุรี!n202"")+IMPORTRANGE(""https://docs.google.com/spreadsheets/d/14xp6qUzrGFnUk_qnc1eEmfiaNRd4_grkhpfQH_46fa8/edit?usp=share_link"",""ฉะเชิงเทรา!n202"")+IMPORTRANGE(""https://docs.google.com/spreadsheets/d/1_Zwps30dlVa-pZFsorjVf1Pil6WXwzCsJU0U"&amp;"2whO3NI/edit?usp=share_link"",""ชลบุรี!n202"")+IMPORTRANGE(""https://docs.google.com/spreadsheets/d/1xAsT4sUbBlom7l0acStESh_15nvjZcXjZM7fK5uZSq8/edit?usp=share_link"",""ชัยนาท!n202"")+IMPORTRANGE(""https://docs.google.com/spreadsheets/d/1vWPVBOAaZ6mHSI8yf"&amp;"95DNqHwTJ1cpeFsvqt6cxV34QA/edit?usp=share_link"",""ตราด!n202"")+IMPORTRANGE(""https://docs.google.com/spreadsheets/d/1phaeSb9lTGgzDpbvVqI9hfmOQQzUom07-HEvpbARzEg/edit?usp=share_link"",""นครนายก!n202"")+IMPORTRANGE(""https://docs.google.com/spreadsheets/d/"&amp;"1tpwhWwkqkBeiSWCcfB5f2fbwPRbM9hHOEDSDHpl2MIc/edit?usp=share_link"",""นครปฐม!n202"")+IMPORTRANGE(""https://docs.google.com/spreadsheets/d/1fJJCVBkBnhriyv0Cp5ZFMr0I_yrfdEITNpb4zILJgUQ/edit?usp=share_link"",""ปทุมธานี!n202"")+IMPORTRANGE(""https://docs.googl"&amp;"e.com/spreadsheets/d/1W5Jj_S0gYw6wSO7QcMI02YgyOBDKYgmm0NSUk-AQEac/edit?usp=share_link"",""ประจวบคีรีขันธ์!n202"")+IMPORTRANGE(""https://docs.google.com/spreadsheets/d/1nYxRXgnCfTXtqUY1otYuTlnrzE0Tn-Y0YRsW5pkRVqo/edit?usp=share_link"",""ปราจีนบุรี!n202"")+"&amp;"IMPORTRANGE(""https://docs.google.com/spreadsheets/d/1nNHCLO8ZAXOMfQvxux7cf_hrzPAh8FAvaHq_ClKbZNo/edit?usp=share_link"",""พระนครศรีอยุธยา!n202"")+IMPORTRANGE(""https://docs.google.com/spreadsheets/d/1CdNicvf3i6yt4tJlCePe3V1Va76wYqW0QzMzTsaGRrA/edit?usp=sh"&amp;"are_link"",""เพชรบุรี!n202"")+IMPORTRANGE(""https://docs.google.com/spreadsheets/d/1XiF77UIVHV0Kjc6xbXuOuJ10WgJYxd4p_22ngKVV5oM/edit?usp=share_link"",""ระยอง!n202"")+IMPORTRANGE(""https://docs.google.com/spreadsheets/d/1qU-W_9MCQD1pgIVXGEOjCFo9QqlmJywueby"&amp;"GgaN92r8/edit?usp=share_link"",""ราชบุรี!n202"")+IMPORTRANGE(""https://docs.google.com/spreadsheets/d/1xYFIxIM_CspAP5Q-5Zx_V0T_Ut3cjryrjd2hss28vGk/edit?usp=share_link"",""ลพบุรี!n202"")+IMPORTRANGE(""https://docs.google.com/spreadsheets/d/11s9m3tKsCBdPWq6"&amp;"syhZm27eBGbKneDLZc75co106bio/edit?usp=share_link"",""สระแก้ว!n202"")+IMPORTRANGE(""https://docs.google.com/spreadsheets/d/1Nn1EvsFPtXldgpgVb3Rcng2K2cls68LFQsBh2FyW0Bg/edit?usp=share_link"",""สระบุรี!n202"")+IMPORTRANGE(""https://docs.google.com/spreadshee"&amp;"ts/d/149xufxukrnEciK3WPbNpHwUK8BKEJxp3UcBG3Al6dA4/edit?usp=share_link"",""สิงห์บุรี!n202"")+IMPORTRANGE(""https://docs.google.com/spreadsheets/d/132g-zJpz2uMKimp17uOIx8A7o3w1Z25zwJyXnwsB56c/edit?usp=share_link"",""สุพรรณบุรี!n202"")+IMPORTRANGE(""https://"&amp;"docs.google.com/spreadsheets/d/12Q_U0nVnFdxDFwa0pej9xvx8ZvLC9Dpi_vRro_aiG5g/edit?usp=share_link"",""อ่างทอง!n202"")
"),0)</f>
        <v>0</v>
      </c>
      <c r="O202" s="38"/>
      <c r="P202" s="38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20.25" customHeight="1">
      <c r="A203" s="170"/>
      <c r="B203" s="171"/>
      <c r="C203" s="210" t="s">
        <v>16</v>
      </c>
      <c r="D203" s="172" t="s">
        <v>38</v>
      </c>
      <c r="E203" s="173"/>
      <c r="F203" s="173"/>
      <c r="G203" s="174"/>
      <c r="H203" s="175"/>
      <c r="I203" s="162"/>
      <c r="J203" s="162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20.25" customHeight="1">
      <c r="A204" s="170"/>
      <c r="B204" s="171"/>
      <c r="C204" s="171"/>
      <c r="D204" s="176" t="s">
        <v>101</v>
      </c>
      <c r="E204" s="178"/>
      <c r="F204" s="178"/>
      <c r="G204" s="179"/>
      <c r="H204" s="175" t="s">
        <v>96</v>
      </c>
      <c r="I204" s="269">
        <f ca="1">IFERROR(__xludf.DUMMYFUNCTION("IMPORTRANGE(""https://docs.google.com/spreadsheets/d/1hKO5uv94SSRZWOvrh72HRcpyoEQF9TsE_Cvxl77XNU4/edit?usp=share_link"",""กาญจนบุรี!I204"")+IMPORTRANGE(""https://docs.google.com/spreadsheets/d/1njBaP_xXd-Uotvo2D9zb01TTCFkLJLDK97Tk1l9Qux0/edit?usp=share_li"&amp;"nk"",""จันทบุรี!I204"")+IMPORTRANGE(""https://docs.google.com/spreadsheets/d/14xp6qUzrGFnUk_qnc1eEmfiaNRd4_grkhpfQH_46fa8/edit?usp=share_link"",""ฉะเชิงเทรา!I204"")+IMPORTRANGE(""https://docs.google.com/spreadsheets/d/1_Zwps30dlVa-pZFsorjVf1Pil6WXwzCsJU0U"&amp;"2whO3NI/edit?usp=share_link"",""ชลบุรี!I204"")+IMPORTRANGE(""https://docs.google.com/spreadsheets/d/1xAsT4sUbBlom7l0acStESh_15nvjZcXjZM7fK5uZSq8/edit?usp=share_link"",""ชัยนาท!I204"")+IMPORTRANGE(""https://docs.google.com/spreadsheets/d/1vWPVBOAaZ6mHSI8yf"&amp;"95DNqHwTJ1cpeFsvqt6cxV34QA/edit?usp=share_link"",""ตราด!I204"")+IMPORTRANGE(""https://docs.google.com/spreadsheets/d/1phaeSb9lTGgzDpbvVqI9hfmOQQzUom07-HEvpbARzEg/edit?usp=share_link"",""นครนายก!I204"")+IMPORTRANGE(""https://docs.google.com/spreadsheets/d/"&amp;"1tpwhWwkqkBeiSWCcfB5f2fbwPRbM9hHOEDSDHpl2MIc/edit?usp=share_link"",""นครปฐม!I204"")+IMPORTRANGE(""https://docs.google.com/spreadsheets/d/1fJJCVBkBnhriyv0Cp5ZFMr0I_yrfdEITNpb4zILJgUQ/edit?usp=share_link"",""ปทุมธานี!I204"")+IMPORTRANGE(""https://docs.googl"&amp;"e.com/spreadsheets/d/1W5Jj_S0gYw6wSO7QcMI02YgyOBDKYgmm0NSUk-AQEac/edit?usp=share_link"",""ประจวบคีรีขันธ์!I204"")+IMPORTRANGE(""https://docs.google.com/spreadsheets/d/1nYxRXgnCfTXtqUY1otYuTlnrzE0Tn-Y0YRsW5pkRVqo/edit?usp=share_link"",""ปราจีนบุรี!I204"")+"&amp;"IMPORTRANGE(""https://docs.google.com/spreadsheets/d/1nNHCLO8ZAXOMfQvxux7cf_hrzPAh8FAvaHq_ClKbZNo/edit?usp=share_link"",""พระนครศรีอยุธยา!I204"")+IMPORTRANGE(""https://docs.google.com/spreadsheets/d/1CdNicvf3i6yt4tJlCePe3V1Va76wYqW0QzMzTsaGRrA/edit?usp=sh"&amp;"are_link"",""เพชรบุรี!I204"")+IMPORTRANGE(""https://docs.google.com/spreadsheets/d/1XiF77UIVHV0Kjc6xbXuOuJ10WgJYxd4p_22ngKVV5oM/edit?usp=share_link"",""ระยอง!I204"")+IMPORTRANGE(""https://docs.google.com/spreadsheets/d/1qU-W_9MCQD1pgIVXGEOjCFo9QqlmJywueby"&amp;"GgaN92r8/edit?usp=share_link"",""ราชบุรี!I204"")+IMPORTRANGE(""https://docs.google.com/spreadsheets/d/1xYFIxIM_CspAP5Q-5Zx_V0T_Ut3cjryrjd2hss28vGk/edit?usp=share_link"",""ลพบุรี!I204"")+IMPORTRANGE(""https://docs.google.com/spreadsheets/d/11s9m3tKsCBdPWq6"&amp;"syhZm27eBGbKneDLZc75co106bio/edit?usp=share_link"",""สระแก้ว!I204"")+IMPORTRANGE(""https://docs.google.com/spreadsheets/d/1Nn1EvsFPtXldgpgVb3Rcng2K2cls68LFQsBh2FyW0Bg/edit?usp=share_link"",""สระบุรี!I204"")+IMPORTRANGE(""https://docs.google.com/spreadshee"&amp;"ts/d/149xufxukrnEciK3WPbNpHwUK8BKEJxp3UcBG3Al6dA4/edit?usp=share_link"",""สิงห์บุรี!I204"")+IMPORTRANGE(""https://docs.google.com/spreadsheets/d/132g-zJpz2uMKimp17uOIx8A7o3w1Z25zwJyXnwsB56c/edit?usp=share_link"",""สุพรรณบุรี!I204"")+IMPORTRANGE(""https://"&amp;"docs.google.com/spreadsheets/d/12Q_U0nVnFdxDFwa0pej9xvx8ZvLC9Dpi_vRro_aiG5g/edit?usp=share_link"",""อ่างทอง!I204"")
"),39)</f>
        <v>39</v>
      </c>
      <c r="J204" s="183">
        <f ca="1">IFERROR(__xludf.DUMMYFUNCTION("IMPORTRANGE(""https://docs.google.com/spreadsheets/d/1hKO5uv94SSRZWOvrh72HRcpyoEQF9TsE_Cvxl77XNU4/edit?usp=share_link"",""กาญจนบุรี!J204"")+IMPORTRANGE(""https://docs.google.com/spreadsheets/d/1njBaP_xXd-Uotvo2D9zb01TTCFkLJLDK97Tk1l9Qux0/edit?usp=share_li"&amp;"nk"",""จันทบุรี!J204"")+IMPORTRANGE(""https://docs.google.com/spreadsheets/d/14xp6qUzrGFnUk_qnc1eEmfiaNRd4_grkhpfQH_46fa8/edit?usp=share_link"",""ฉะเชิงเทรา!J204"")+IMPORTRANGE(""https://docs.google.com/spreadsheets/d/1_Zwps30dlVa-pZFsorjVf1Pil6WXwzCsJU0U"&amp;"2whO3NI/edit?usp=share_link"",""ชลบุรี!J204"")+IMPORTRANGE(""https://docs.google.com/spreadsheets/d/1xAsT4sUbBlom7l0acStESh_15nvjZcXjZM7fK5uZSq8/edit?usp=share_link"",""ชัยนาท!J204"")+IMPORTRANGE(""https://docs.google.com/spreadsheets/d/1vWPVBOAaZ6mHSI8yf"&amp;"95DNqHwTJ1cpeFsvqt6cxV34QA/edit?usp=share_link"",""ตราด!J204"")+IMPORTRANGE(""https://docs.google.com/spreadsheets/d/1phaeSb9lTGgzDpbvVqI9hfmOQQzUom07-HEvpbARzEg/edit?usp=share_link"",""นครนายก!J204"")+IMPORTRANGE(""https://docs.google.com/spreadsheets/d/"&amp;"1tpwhWwkqkBeiSWCcfB5f2fbwPRbM9hHOEDSDHpl2MIc/edit?usp=share_link"",""นครปฐม!J204"")+IMPORTRANGE(""https://docs.google.com/spreadsheets/d/1fJJCVBkBnhriyv0Cp5ZFMr0I_yrfdEITNpb4zILJgUQ/edit?usp=share_link"",""ปทุมธานี!J204"")+IMPORTRANGE(""https://docs.googl"&amp;"e.com/spreadsheets/d/1W5Jj_S0gYw6wSO7QcMI02YgyOBDKYgmm0NSUk-AQEac/edit?usp=share_link"",""ประจวบคีรีขันธ์!J204"")+IMPORTRANGE(""https://docs.google.com/spreadsheets/d/1nYxRXgnCfTXtqUY1otYuTlnrzE0Tn-Y0YRsW5pkRVqo/edit?usp=share_link"",""ปราจีนบุรี!J204"")+"&amp;"IMPORTRANGE(""https://docs.google.com/spreadsheets/d/1nNHCLO8ZAXOMfQvxux7cf_hrzPAh8FAvaHq_ClKbZNo/edit?usp=share_link"",""พระนครศรีอยุธยา!J204"")+IMPORTRANGE(""https://docs.google.com/spreadsheets/d/1CdNicvf3i6yt4tJlCePe3V1Va76wYqW0QzMzTsaGRrA/edit?usp=sh"&amp;"are_link"",""เพชรบุรี!J204"")+IMPORTRANGE(""https://docs.google.com/spreadsheets/d/1XiF77UIVHV0Kjc6xbXuOuJ10WgJYxd4p_22ngKVV5oM/edit?usp=share_link"",""ระยอง!J204"")+IMPORTRANGE(""https://docs.google.com/spreadsheets/d/1qU-W_9MCQD1pgIVXGEOjCFo9QqlmJywueby"&amp;"GgaN92r8/edit?usp=share_link"",""ราชบุรี!J204"")+IMPORTRANGE(""https://docs.google.com/spreadsheets/d/1xYFIxIM_CspAP5Q-5Zx_V0T_Ut3cjryrjd2hss28vGk/edit?usp=share_link"",""ลพบุรี!J204"")+IMPORTRANGE(""https://docs.google.com/spreadsheets/d/11s9m3tKsCBdPWq6"&amp;"syhZm27eBGbKneDLZc75co106bio/edit?usp=share_link"",""สระแก้ว!J204"")+IMPORTRANGE(""https://docs.google.com/spreadsheets/d/1Nn1EvsFPtXldgpgVb3Rcng2K2cls68LFQsBh2FyW0Bg/edit?usp=share_link"",""สระบุรี!J204"")+IMPORTRANGE(""https://docs.google.com/spreadshee"&amp;"ts/d/149xufxukrnEciK3WPbNpHwUK8BKEJxp3UcBG3Al6dA4/edit?usp=share_link"",""สิงห์บุรี!J204"")+IMPORTRANGE(""https://docs.google.com/spreadsheets/d/132g-zJpz2uMKimp17uOIx8A7o3w1Z25zwJyXnwsB56c/edit?usp=share_link"",""สุพรรณบุรี!J204"")+IMPORTRANGE(""https://"&amp;"docs.google.com/spreadsheets/d/12Q_U0nVnFdxDFwa0pej9xvx8ZvLC9Dpi_vRro_aiG5g/edit?usp=share_link"",""อ่างทอง!J204"")
"),14)</f>
        <v>14</v>
      </c>
      <c r="K204" s="163">
        <f ca="1">IF(I204&gt;0,J204*100/I204,0)</f>
        <v>35.897435897435898</v>
      </c>
      <c r="L204" s="38"/>
      <c r="M204" s="38"/>
      <c r="N204" s="38"/>
      <c r="O204" s="38"/>
      <c r="P204" s="38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20.25" customHeight="1">
      <c r="A205" s="170"/>
      <c r="B205" s="171"/>
      <c r="C205" s="171"/>
      <c r="D205" s="181" t="s">
        <v>59</v>
      </c>
      <c r="E205" s="178"/>
      <c r="F205" s="178"/>
      <c r="G205" s="179"/>
      <c r="H205" s="175"/>
      <c r="I205" s="37"/>
      <c r="J205" s="37"/>
      <c r="K205" s="163"/>
      <c r="L205" s="38"/>
      <c r="M205" s="38"/>
      <c r="N205" s="38"/>
      <c r="O205" s="38"/>
      <c r="P205" s="38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20.25" customHeight="1">
      <c r="A206" s="170"/>
      <c r="B206" s="171"/>
      <c r="C206" s="171"/>
      <c r="D206" s="178"/>
      <c r="E206" s="197" t="s">
        <v>102</v>
      </c>
      <c r="F206" s="287"/>
      <c r="G206" s="288"/>
      <c r="H206" s="289" t="s">
        <v>96</v>
      </c>
      <c r="I206" s="269">
        <f ca="1">IFERROR(__xludf.DUMMYFUNCTION("IMPORTRANGE(""https://docs.google.com/spreadsheets/d/1hKO5uv94SSRZWOvrh72HRcpyoEQF9TsE_Cvxl77XNU4/edit?usp=share_link"",""กาญจนบุรี!I206"")+IMPORTRANGE(""https://docs.google.com/spreadsheets/d/1njBaP_xXd-Uotvo2D9zb01TTCFkLJLDK97Tk1l9Qux0/edit?usp=share_li"&amp;"nk"",""จันทบุรี!I206"")+IMPORTRANGE(""https://docs.google.com/spreadsheets/d/14xp6qUzrGFnUk_qnc1eEmfiaNRd4_grkhpfQH_46fa8/edit?usp=share_link"",""ฉะเชิงเทรา!I206"")+IMPORTRANGE(""https://docs.google.com/spreadsheets/d/1_Zwps30dlVa-pZFsorjVf1Pil6WXwzCsJU0U"&amp;"2whO3NI/edit?usp=share_link"",""ชลบุรี!I206"")+IMPORTRANGE(""https://docs.google.com/spreadsheets/d/1xAsT4sUbBlom7l0acStESh_15nvjZcXjZM7fK5uZSq8/edit?usp=share_link"",""ชัยนาท!I206"")+IMPORTRANGE(""https://docs.google.com/spreadsheets/d/1vWPVBOAaZ6mHSI8yf"&amp;"95DNqHwTJ1cpeFsvqt6cxV34QA/edit?usp=share_link"",""ตราด!I206"")+IMPORTRANGE(""https://docs.google.com/spreadsheets/d/1phaeSb9lTGgzDpbvVqI9hfmOQQzUom07-HEvpbARzEg/edit?usp=share_link"",""นครนายก!I206"")+IMPORTRANGE(""https://docs.google.com/spreadsheets/d/"&amp;"1tpwhWwkqkBeiSWCcfB5f2fbwPRbM9hHOEDSDHpl2MIc/edit?usp=share_link"",""นครปฐม!I206"")+IMPORTRANGE(""https://docs.google.com/spreadsheets/d/1fJJCVBkBnhriyv0Cp5ZFMr0I_yrfdEITNpb4zILJgUQ/edit?usp=share_link"",""ปทุมธานี!I206"")+IMPORTRANGE(""https://docs.googl"&amp;"e.com/spreadsheets/d/1W5Jj_S0gYw6wSO7QcMI02YgyOBDKYgmm0NSUk-AQEac/edit?usp=share_link"",""ประจวบคีรีขันธ์!I206"")+IMPORTRANGE(""https://docs.google.com/spreadsheets/d/1nYxRXgnCfTXtqUY1otYuTlnrzE0Tn-Y0YRsW5pkRVqo/edit?usp=share_link"",""ปราจีนบุรี!I206"")+"&amp;"IMPORTRANGE(""https://docs.google.com/spreadsheets/d/1nNHCLO8ZAXOMfQvxux7cf_hrzPAh8FAvaHq_ClKbZNo/edit?usp=share_link"",""พระนครศรีอยุธยา!I206"")+IMPORTRANGE(""https://docs.google.com/spreadsheets/d/1CdNicvf3i6yt4tJlCePe3V1Va76wYqW0QzMzTsaGRrA/edit?usp=sh"&amp;"are_link"",""เพชรบุรี!I206"")+IMPORTRANGE(""https://docs.google.com/spreadsheets/d/1XiF77UIVHV0Kjc6xbXuOuJ10WgJYxd4p_22ngKVV5oM/edit?usp=share_link"",""ระยอง!I206"")+IMPORTRANGE(""https://docs.google.com/spreadsheets/d/1qU-W_9MCQD1pgIVXGEOjCFo9QqlmJywueby"&amp;"GgaN92r8/edit?usp=share_link"",""ราชบุรี!I206"")+IMPORTRANGE(""https://docs.google.com/spreadsheets/d/1xYFIxIM_CspAP5Q-5Zx_V0T_Ut3cjryrjd2hss28vGk/edit?usp=share_link"",""ลพบุรี!I206"")+IMPORTRANGE(""https://docs.google.com/spreadsheets/d/11s9m3tKsCBdPWq6"&amp;"syhZm27eBGbKneDLZc75co106bio/edit?usp=share_link"",""สระแก้ว!I206"")+IMPORTRANGE(""https://docs.google.com/spreadsheets/d/1Nn1EvsFPtXldgpgVb3Rcng2K2cls68LFQsBh2FyW0Bg/edit?usp=share_link"",""สระบุรี!I206"")+IMPORTRANGE(""https://docs.google.com/spreadshee"&amp;"ts/d/149xufxukrnEciK3WPbNpHwUK8BKEJxp3UcBG3Al6dA4/edit?usp=share_link"",""สิงห์บุรี!I206"")+IMPORTRANGE(""https://docs.google.com/spreadsheets/d/132g-zJpz2uMKimp17uOIx8A7o3w1Z25zwJyXnwsB56c/edit?usp=share_link"",""สุพรรณบุรี!I206"")+IMPORTRANGE(""https://"&amp;"docs.google.com/spreadsheets/d/12Q_U0nVnFdxDFwa0pej9xvx8ZvLC9Dpi_vRro_aiG5g/edit?usp=share_link"",""อ่างทอง!I206"")
"),39)</f>
        <v>39</v>
      </c>
      <c r="J206" s="183">
        <f ca="1">IFERROR(__xludf.DUMMYFUNCTION("IMPORTRANGE(""https://docs.google.com/spreadsheets/d/1hKO5uv94SSRZWOvrh72HRcpyoEQF9TsE_Cvxl77XNU4/edit?usp=share_link"",""กาญจนบุรี!J206"")+IMPORTRANGE(""https://docs.google.com/spreadsheets/d/1njBaP_xXd-Uotvo2D9zb01TTCFkLJLDK97Tk1l9Qux0/edit?usp=share_li"&amp;"nk"",""จันทบุรี!J206"")+IMPORTRANGE(""https://docs.google.com/spreadsheets/d/14xp6qUzrGFnUk_qnc1eEmfiaNRd4_grkhpfQH_46fa8/edit?usp=share_link"",""ฉะเชิงเทรา!J206"")+IMPORTRANGE(""https://docs.google.com/spreadsheets/d/1_Zwps30dlVa-pZFsorjVf1Pil6WXwzCsJU0U"&amp;"2whO3NI/edit?usp=share_link"",""ชลบุรี!J206"")+IMPORTRANGE(""https://docs.google.com/spreadsheets/d/1xAsT4sUbBlom7l0acStESh_15nvjZcXjZM7fK5uZSq8/edit?usp=share_link"",""ชัยนาท!J206"")+IMPORTRANGE(""https://docs.google.com/spreadsheets/d/1vWPVBOAaZ6mHSI8yf"&amp;"95DNqHwTJ1cpeFsvqt6cxV34QA/edit?usp=share_link"",""ตราด!J206"")+IMPORTRANGE(""https://docs.google.com/spreadsheets/d/1phaeSb9lTGgzDpbvVqI9hfmOQQzUom07-HEvpbARzEg/edit?usp=share_link"",""นครนายก!J206"")+IMPORTRANGE(""https://docs.google.com/spreadsheets/d/"&amp;"1tpwhWwkqkBeiSWCcfB5f2fbwPRbM9hHOEDSDHpl2MIc/edit?usp=share_link"",""นครปฐม!J206"")+IMPORTRANGE(""https://docs.google.com/spreadsheets/d/1fJJCVBkBnhriyv0Cp5ZFMr0I_yrfdEITNpb4zILJgUQ/edit?usp=share_link"",""ปทุมธานี!J206"")+IMPORTRANGE(""https://docs.googl"&amp;"e.com/spreadsheets/d/1W5Jj_S0gYw6wSO7QcMI02YgyOBDKYgmm0NSUk-AQEac/edit?usp=share_link"",""ประจวบคีรีขันธ์!J206"")+IMPORTRANGE(""https://docs.google.com/spreadsheets/d/1nYxRXgnCfTXtqUY1otYuTlnrzE0Tn-Y0YRsW5pkRVqo/edit?usp=share_link"",""ปราจีนบุรี!J206"")+"&amp;"IMPORTRANGE(""https://docs.google.com/spreadsheets/d/1nNHCLO8ZAXOMfQvxux7cf_hrzPAh8FAvaHq_ClKbZNo/edit?usp=share_link"",""พระนครศรีอยุธยา!J206"")+IMPORTRANGE(""https://docs.google.com/spreadsheets/d/1CdNicvf3i6yt4tJlCePe3V1Va76wYqW0QzMzTsaGRrA/edit?usp=sh"&amp;"are_link"",""เพชรบุรี!J206"")+IMPORTRANGE(""https://docs.google.com/spreadsheets/d/1XiF77UIVHV0Kjc6xbXuOuJ10WgJYxd4p_22ngKVV5oM/edit?usp=share_link"",""ระยอง!J206"")+IMPORTRANGE(""https://docs.google.com/spreadsheets/d/1qU-W_9MCQD1pgIVXGEOjCFo9QqlmJywueby"&amp;"GgaN92r8/edit?usp=share_link"",""ราชบุรี!J206"")+IMPORTRANGE(""https://docs.google.com/spreadsheets/d/1xYFIxIM_CspAP5Q-5Zx_V0T_Ut3cjryrjd2hss28vGk/edit?usp=share_link"",""ลพบุรี!J206"")+IMPORTRANGE(""https://docs.google.com/spreadsheets/d/11s9m3tKsCBdPWq6"&amp;"syhZm27eBGbKneDLZc75co106bio/edit?usp=share_link"",""สระแก้ว!J206"")+IMPORTRANGE(""https://docs.google.com/spreadsheets/d/1Nn1EvsFPtXldgpgVb3Rcng2K2cls68LFQsBh2FyW0Bg/edit?usp=share_link"",""สระบุรี!J206"")+IMPORTRANGE(""https://docs.google.com/spreadshee"&amp;"ts/d/149xufxukrnEciK3WPbNpHwUK8BKEJxp3UcBG3Al6dA4/edit?usp=share_link"",""สิงห์บุรี!J206"")+IMPORTRANGE(""https://docs.google.com/spreadsheets/d/132g-zJpz2uMKimp17uOIx8A7o3w1Z25zwJyXnwsB56c/edit?usp=share_link"",""สุพรรณบุรี!J206"")+IMPORTRANGE(""https://"&amp;"docs.google.com/spreadsheets/d/12Q_U0nVnFdxDFwa0pej9xvx8ZvLC9Dpi_vRro_aiG5g/edit?usp=share_link"",""อ่างทอง!J206"")
"),1)</f>
        <v>1</v>
      </c>
      <c r="K206" s="163"/>
      <c r="L206" s="38"/>
      <c r="M206" s="38"/>
      <c r="N206" s="38"/>
      <c r="O206" s="38"/>
      <c r="P206" s="38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20.25" customHeight="1">
      <c r="A207" s="170"/>
      <c r="B207" s="171"/>
      <c r="C207" s="171"/>
      <c r="D207" s="177"/>
      <c r="E207" s="181" t="s">
        <v>103</v>
      </c>
      <c r="F207" s="178"/>
      <c r="G207" s="178"/>
      <c r="H207" s="290" t="s">
        <v>104</v>
      </c>
      <c r="I207" s="37">
        <f ca="1">IFERROR(__xludf.DUMMYFUNCTION("IMPORTRANGE(""https://docs.google.com/spreadsheets/d/1hKO5uv94SSRZWOvrh72HRcpyoEQF9TsE_Cvxl77XNU4/edit?usp=share_link"",""กาญจนบุรี!I207"")+IMPORTRANGE(""https://docs.google.com/spreadsheets/d/1njBaP_xXd-Uotvo2D9zb01TTCFkLJLDK97Tk1l9Qux0/edit?usp=share_li"&amp;"nk"",""จันทบุรี!I207"")+IMPORTRANGE(""https://docs.google.com/spreadsheets/d/14xp6qUzrGFnUk_qnc1eEmfiaNRd4_grkhpfQH_46fa8/edit?usp=share_link"",""ฉะเชิงเทรา!I207"")+IMPORTRANGE(""https://docs.google.com/spreadsheets/d/1_Zwps30dlVa-pZFsorjVf1Pil6WXwzCsJU0U"&amp;"2whO3NI/edit?usp=share_link"",""ชลบุรี!I207"")+IMPORTRANGE(""https://docs.google.com/spreadsheets/d/1xAsT4sUbBlom7l0acStESh_15nvjZcXjZM7fK5uZSq8/edit?usp=share_link"",""ชัยนาท!I207"")+IMPORTRANGE(""https://docs.google.com/spreadsheets/d/1vWPVBOAaZ6mHSI8yf"&amp;"95DNqHwTJ1cpeFsvqt6cxV34QA/edit?usp=share_link"",""ตราด!I207"")+IMPORTRANGE(""https://docs.google.com/spreadsheets/d/1phaeSb9lTGgzDpbvVqI9hfmOQQzUom07-HEvpbARzEg/edit?usp=share_link"",""นครนายก!I207"")+IMPORTRANGE(""https://docs.google.com/spreadsheets/d/"&amp;"1tpwhWwkqkBeiSWCcfB5f2fbwPRbM9hHOEDSDHpl2MIc/edit?usp=share_link"",""นครปฐม!I207"")+IMPORTRANGE(""https://docs.google.com/spreadsheets/d/1fJJCVBkBnhriyv0Cp5ZFMr0I_yrfdEITNpb4zILJgUQ/edit?usp=share_link"",""ปทุมธานี!I207"")+IMPORTRANGE(""https://docs.googl"&amp;"e.com/spreadsheets/d/1W5Jj_S0gYw6wSO7QcMI02YgyOBDKYgmm0NSUk-AQEac/edit?usp=share_link"",""ประจวบคีรีขันธ์!I207"")+IMPORTRANGE(""https://docs.google.com/spreadsheets/d/1nYxRXgnCfTXtqUY1otYuTlnrzE0Tn-Y0YRsW5pkRVqo/edit?usp=share_link"",""ปราจีนบุรี!I207"")+"&amp;"IMPORTRANGE(""https://docs.google.com/spreadsheets/d/1nNHCLO8ZAXOMfQvxux7cf_hrzPAh8FAvaHq_ClKbZNo/edit?usp=share_link"",""พระนครศรีอยุธยา!I207"")+IMPORTRANGE(""https://docs.google.com/spreadsheets/d/1CdNicvf3i6yt4tJlCePe3V1Va76wYqW0QzMzTsaGRrA/edit?usp=sh"&amp;"are_link"",""เพชรบุรี!I207"")+IMPORTRANGE(""https://docs.google.com/spreadsheets/d/1XiF77UIVHV0Kjc6xbXuOuJ10WgJYxd4p_22ngKVV5oM/edit?usp=share_link"",""ระยอง!I207"")+IMPORTRANGE(""https://docs.google.com/spreadsheets/d/1qU-W_9MCQD1pgIVXGEOjCFo9QqlmJywueby"&amp;"GgaN92r8/edit?usp=share_link"",""ราชบุรี!I207"")+IMPORTRANGE(""https://docs.google.com/spreadsheets/d/1xYFIxIM_CspAP5Q-5Zx_V0T_Ut3cjryrjd2hss28vGk/edit?usp=share_link"",""ลพบุรี!I207"")+IMPORTRANGE(""https://docs.google.com/spreadsheets/d/11s9m3tKsCBdPWq6"&amp;"syhZm27eBGbKneDLZc75co106bio/edit?usp=share_link"",""สระแก้ว!I207"")+IMPORTRANGE(""https://docs.google.com/spreadsheets/d/1Nn1EvsFPtXldgpgVb3Rcng2K2cls68LFQsBh2FyW0Bg/edit?usp=share_link"",""สระบุรี!I207"")+IMPORTRANGE(""https://docs.google.com/spreadshee"&amp;"ts/d/149xufxukrnEciK3WPbNpHwUK8BKEJxp3UcBG3Al6dA4/edit?usp=share_link"",""สิงห์บุรี!I207"")+IMPORTRANGE(""https://docs.google.com/spreadsheets/d/132g-zJpz2uMKimp17uOIx8A7o3w1Z25zwJyXnwsB56c/edit?usp=share_link"",""สุพรรณบุรี!I207"")+IMPORTRANGE(""https://"&amp;"docs.google.com/spreadsheets/d/12Q_U0nVnFdxDFwa0pej9xvx8ZvLC9Dpi_vRro_aiG5g/edit?usp=share_link"",""อ่างทอง!I207"")
"),2)</f>
        <v>2</v>
      </c>
      <c r="J207" s="183">
        <f ca="1">IFERROR(__xludf.DUMMYFUNCTION("IMPORTRANGE(""https://docs.google.com/spreadsheets/d/1hKO5uv94SSRZWOvrh72HRcpyoEQF9TsE_Cvxl77XNU4/edit?usp=share_link"",""กาญจนบุรี!J207"")+IMPORTRANGE(""https://docs.google.com/spreadsheets/d/1njBaP_xXd-Uotvo2D9zb01TTCFkLJLDK97Tk1l9Qux0/edit?usp=share_li"&amp;"nk"",""จันทบุรี!J207"")+IMPORTRANGE(""https://docs.google.com/spreadsheets/d/14xp6qUzrGFnUk_qnc1eEmfiaNRd4_grkhpfQH_46fa8/edit?usp=share_link"",""ฉะเชิงเทรา!J207"")+IMPORTRANGE(""https://docs.google.com/spreadsheets/d/1_Zwps30dlVa-pZFsorjVf1Pil6WXwzCsJU0U"&amp;"2whO3NI/edit?usp=share_link"",""ชลบุรี!J207"")+IMPORTRANGE(""https://docs.google.com/spreadsheets/d/1xAsT4sUbBlom7l0acStESh_15nvjZcXjZM7fK5uZSq8/edit?usp=share_link"",""ชัยนาท!J207"")+IMPORTRANGE(""https://docs.google.com/spreadsheets/d/1vWPVBOAaZ6mHSI8yf"&amp;"95DNqHwTJ1cpeFsvqt6cxV34QA/edit?usp=share_link"",""ตราด!J207"")+IMPORTRANGE(""https://docs.google.com/spreadsheets/d/1phaeSb9lTGgzDpbvVqI9hfmOQQzUom07-HEvpbARzEg/edit?usp=share_link"",""นครนายก!J207"")+IMPORTRANGE(""https://docs.google.com/spreadsheets/d/"&amp;"1tpwhWwkqkBeiSWCcfB5f2fbwPRbM9hHOEDSDHpl2MIc/edit?usp=share_link"",""นครปฐม!J207"")+IMPORTRANGE(""https://docs.google.com/spreadsheets/d/1fJJCVBkBnhriyv0Cp5ZFMr0I_yrfdEITNpb4zILJgUQ/edit?usp=share_link"",""ปทุมธานี!J207"")+IMPORTRANGE(""https://docs.googl"&amp;"e.com/spreadsheets/d/1W5Jj_S0gYw6wSO7QcMI02YgyOBDKYgmm0NSUk-AQEac/edit?usp=share_link"",""ประจวบคีรีขันธ์!J207"")+IMPORTRANGE(""https://docs.google.com/spreadsheets/d/1nYxRXgnCfTXtqUY1otYuTlnrzE0Tn-Y0YRsW5pkRVqo/edit?usp=share_link"",""ปราจีนบุรี!J207"")+"&amp;"IMPORTRANGE(""https://docs.google.com/spreadsheets/d/1nNHCLO8ZAXOMfQvxux7cf_hrzPAh8FAvaHq_ClKbZNo/edit?usp=share_link"",""พระนครศรีอยุธยา!J207"")+IMPORTRANGE(""https://docs.google.com/spreadsheets/d/1CdNicvf3i6yt4tJlCePe3V1Va76wYqW0QzMzTsaGRrA/edit?usp=sh"&amp;"are_link"",""เพชรบุรี!J207"")+IMPORTRANGE(""https://docs.google.com/spreadsheets/d/1XiF77UIVHV0Kjc6xbXuOuJ10WgJYxd4p_22ngKVV5oM/edit?usp=share_link"",""ระยอง!J207"")+IMPORTRANGE(""https://docs.google.com/spreadsheets/d/1qU-W_9MCQD1pgIVXGEOjCFo9QqlmJywueby"&amp;"GgaN92r8/edit?usp=share_link"",""ราชบุรี!J207"")+IMPORTRANGE(""https://docs.google.com/spreadsheets/d/1xYFIxIM_CspAP5Q-5Zx_V0T_Ut3cjryrjd2hss28vGk/edit?usp=share_link"",""ลพบุรี!J207"")+IMPORTRANGE(""https://docs.google.com/spreadsheets/d/11s9m3tKsCBdPWq6"&amp;"syhZm27eBGbKneDLZc75co106bio/edit?usp=share_link"",""สระแก้ว!J207"")+IMPORTRANGE(""https://docs.google.com/spreadsheets/d/1Nn1EvsFPtXldgpgVb3Rcng2K2cls68LFQsBh2FyW0Bg/edit?usp=share_link"",""สระบุรี!J207"")+IMPORTRANGE(""https://docs.google.com/spreadshee"&amp;"ts/d/149xufxukrnEciK3WPbNpHwUK8BKEJxp3UcBG3Al6dA4/edit?usp=share_link"",""สิงห์บุรี!J207"")+IMPORTRANGE(""https://docs.google.com/spreadsheets/d/132g-zJpz2uMKimp17uOIx8A7o3w1Z25zwJyXnwsB56c/edit?usp=share_link"",""สุพรรณบุรี!J207"")+IMPORTRANGE(""https://"&amp;"docs.google.com/spreadsheets/d/12Q_U0nVnFdxDFwa0pej9xvx8ZvLC9Dpi_vRro_aiG5g/edit?usp=share_link"",""อ่างทอง!J207"")
"),0)</f>
        <v>0</v>
      </c>
      <c r="K207" s="163"/>
      <c r="L207" s="38"/>
      <c r="M207" s="38"/>
      <c r="N207" s="38"/>
      <c r="O207" s="38"/>
      <c r="P207" s="38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20.25" customHeight="1">
      <c r="A208" s="255"/>
      <c r="B208" s="263"/>
      <c r="C208" s="270" t="s">
        <v>105</v>
      </c>
      <c r="D208" s="256"/>
      <c r="E208" s="256"/>
      <c r="F208" s="291"/>
      <c r="G208" s="258"/>
      <c r="H208" s="277" t="s">
        <v>96</v>
      </c>
      <c r="I208" s="271">
        <f t="shared" ref="I208:J208" ca="1" si="122">I215</f>
        <v>17</v>
      </c>
      <c r="J208" s="271">
        <f t="shared" ca="1" si="122"/>
        <v>10</v>
      </c>
      <c r="K208" s="272">
        <f ca="1">IF(I208&gt;0,J208*100/I208,0)</f>
        <v>58.823529411764703</v>
      </c>
      <c r="L208" s="261"/>
      <c r="M208" s="261"/>
      <c r="N208" s="261"/>
      <c r="O208" s="261"/>
      <c r="P208" s="261"/>
    </row>
    <row r="209" spans="1:26" ht="20.25" customHeight="1">
      <c r="A209" s="147"/>
      <c r="B209" s="148"/>
      <c r="C209" s="149" t="s">
        <v>16</v>
      </c>
      <c r="D209" s="273" t="s">
        <v>17</v>
      </c>
      <c r="E209" s="148"/>
      <c r="F209" s="148"/>
      <c r="G209" s="151"/>
      <c r="H209" s="274" t="s">
        <v>12</v>
      </c>
      <c r="I209" s="278"/>
      <c r="J209" s="278"/>
      <c r="K209" s="279"/>
      <c r="L209" s="155">
        <f ca="1">L210+L211+L212</f>
        <v>238000</v>
      </c>
      <c r="M209" s="155"/>
      <c r="N209" s="155">
        <f ca="1">N210+N211+N212</f>
        <v>33220</v>
      </c>
      <c r="O209" s="155">
        <f ca="1">IF(L209&gt;0,N209*100/L209,0)</f>
        <v>13.957983193277311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20.25" customHeight="1">
      <c r="A210" s="159"/>
      <c r="B210" s="280"/>
      <c r="C210" s="33"/>
      <c r="D210" s="211" t="s">
        <v>97</v>
      </c>
      <c r="E210" s="33"/>
      <c r="F210" s="33"/>
      <c r="G210" s="35"/>
      <c r="H210" s="161" t="s">
        <v>12</v>
      </c>
      <c r="I210" s="162"/>
      <c r="J210" s="162"/>
      <c r="K210" s="163"/>
      <c r="L210" s="38">
        <f ca="1">IFERROR(__xludf.DUMMYFUNCTION("IMPORTRANGE(""https://docs.google.com/spreadsheets/d/1hKO5uv94SSRZWOvrh72HRcpyoEQF9TsE_Cvxl77XNU4/edit?usp=share_link"",""กาญจนบุรี!L210"")+IMPORTRANGE(""https://docs.google.com/spreadsheets/d/1njBaP_xXd-Uotvo2D9zb01TTCFkLJLDK97Tk1l9Qux0/edit?usp=share_li"&amp;"nk"",""จันทบุรี!L210"")+IMPORTRANGE(""https://docs.google.com/spreadsheets/d/14xp6qUzrGFnUk_qnc1eEmfiaNRd4_grkhpfQH_46fa8/edit?usp=share_link"",""ฉะเชิงเทรา!L210"")+IMPORTRANGE(""https://docs.google.com/spreadsheets/d/1_Zwps30dlVa-pZFsorjVf1Pil6WXwzCsJU0U"&amp;"2whO3NI/edit?usp=share_link"",""ชลบุรี!L210"")+IMPORTRANGE(""https://docs.google.com/spreadsheets/d/1xAsT4sUbBlom7l0acStESh_15nvjZcXjZM7fK5uZSq8/edit?usp=share_link"",""ชัยนาท!L210"")+IMPORTRANGE(""https://docs.google.com/spreadsheets/d/1vWPVBOAaZ6mHSI8yf"&amp;"95DNqHwTJ1cpeFsvqt6cxV34QA/edit?usp=share_link"",""ตราด!L210"")+IMPORTRANGE(""https://docs.google.com/spreadsheets/d/1phaeSb9lTGgzDpbvVqI9hfmOQQzUom07-HEvpbARzEg/edit?usp=share_link"",""นครนายก!L210"")+IMPORTRANGE(""https://docs.google.com/spreadsheets/d/"&amp;"1tpwhWwkqkBeiSWCcfB5f2fbwPRbM9hHOEDSDHpl2MIc/edit?usp=share_link"",""นครปฐม!L210"")+IMPORTRANGE(""https://docs.google.com/spreadsheets/d/1fJJCVBkBnhriyv0Cp5ZFMr0I_yrfdEITNpb4zILJgUQ/edit?usp=share_link"",""ปทุมธานี!L210"")+IMPORTRANGE(""https://docs.googl"&amp;"e.com/spreadsheets/d/1W5Jj_S0gYw6wSO7QcMI02YgyOBDKYgmm0NSUk-AQEac/edit?usp=share_link"",""ประจวบคีรีขันธ์!L210"")+IMPORTRANGE(""https://docs.google.com/spreadsheets/d/1nYxRXgnCfTXtqUY1otYuTlnrzE0Tn-Y0YRsW5pkRVqo/edit?usp=share_link"",""ปราจีนบุรี!L210"")+"&amp;"IMPORTRANGE(""https://docs.google.com/spreadsheets/d/1nNHCLO8ZAXOMfQvxux7cf_hrzPAh8FAvaHq_ClKbZNo/edit?usp=share_link"",""พระนครศรีอยุธยา!L210"")+IMPORTRANGE(""https://docs.google.com/spreadsheets/d/1CdNicvf3i6yt4tJlCePe3V1Va76wYqW0QzMzTsaGRrA/edit?usp=sh"&amp;"are_link"",""เพชรบุรี!L210"")+IMPORTRANGE(""https://docs.google.com/spreadsheets/d/1XiF77UIVHV0Kjc6xbXuOuJ10WgJYxd4p_22ngKVV5oM/edit?usp=share_link"",""ระยอง!L210"")+IMPORTRANGE(""https://docs.google.com/spreadsheets/d/1qU-W_9MCQD1pgIVXGEOjCFo9QqlmJywueby"&amp;"GgaN92r8/edit?usp=share_link"",""ราชบุรี!L210"")+IMPORTRANGE(""https://docs.google.com/spreadsheets/d/1xYFIxIM_CspAP5Q-5Zx_V0T_Ut3cjryrjd2hss28vGk/edit?usp=share_link"",""ลพบุรี!L210"")+IMPORTRANGE(""https://docs.google.com/spreadsheets/d/11s9m3tKsCBdPWq6"&amp;"syhZm27eBGbKneDLZc75co106bio/edit?usp=share_link"",""สระแก้ว!L210"")+IMPORTRANGE(""https://docs.google.com/spreadsheets/d/1Nn1EvsFPtXldgpgVb3Rcng2K2cls68LFQsBh2FyW0Bg/edit?usp=share_link"",""สระบุรี!L210"")+IMPORTRANGE(""https://docs.google.com/spreadshee"&amp;"ts/d/149xufxukrnEciK3WPbNpHwUK8BKEJxp3UcBG3Al6dA4/edit?usp=share_link"",""สิงห์บุรี!L210"")+IMPORTRANGE(""https://docs.google.com/spreadsheets/d/132g-zJpz2uMKimp17uOIx8A7o3w1Z25zwJyXnwsB56c/edit?usp=share_link"",""สุพรรณบุรี!L210"")+IMPORTRANGE(""https://"&amp;"docs.google.com/spreadsheets/d/12Q_U0nVnFdxDFwa0pej9xvx8ZvLC9Dpi_vRro_aiG5g/edit?usp=share_link"",""อ่างทอง!L210"")
"),17000)</f>
        <v>17000</v>
      </c>
      <c r="M210" s="38"/>
      <c r="N210" s="283">
        <f ca="1">IFERROR(__xludf.DUMMYFUNCTION("IMPORTRANGE(""https://docs.google.com/spreadsheets/d/1hKO5uv94SSRZWOvrh72HRcpyoEQF9TsE_Cvxl77XNU4/edit?usp=share_link"",""กาญจนบุรี!n210"")+IMPORTRANGE(""https://docs.google.com/spreadsheets/d/1njBaP_xXd-Uotvo2D9zb01TTCFkLJLDK97Tk1l9Qux0/edit?usp=share_li"&amp;"nk"",""จันทบุรี!n210"")+IMPORTRANGE(""https://docs.google.com/spreadsheets/d/14xp6qUzrGFnUk_qnc1eEmfiaNRd4_grkhpfQH_46fa8/edit?usp=share_link"",""ฉะเชิงเทรา!n210"")+IMPORTRANGE(""https://docs.google.com/spreadsheets/d/1_Zwps30dlVa-pZFsorjVf1Pil6WXwzCsJU0U"&amp;"2whO3NI/edit?usp=share_link"",""ชลบุรี!n210"")+IMPORTRANGE(""https://docs.google.com/spreadsheets/d/1xAsT4sUbBlom7l0acStESh_15nvjZcXjZM7fK5uZSq8/edit?usp=share_link"",""ชัยนาท!n210"")+IMPORTRANGE(""https://docs.google.com/spreadsheets/d/1vWPVBOAaZ6mHSI8yf"&amp;"95DNqHwTJ1cpeFsvqt6cxV34QA/edit?usp=share_link"",""ตราด!n210"")+IMPORTRANGE(""https://docs.google.com/spreadsheets/d/1phaeSb9lTGgzDpbvVqI9hfmOQQzUom07-HEvpbARzEg/edit?usp=share_link"",""นครนายก!n210"")+IMPORTRANGE(""https://docs.google.com/spreadsheets/d/"&amp;"1tpwhWwkqkBeiSWCcfB5f2fbwPRbM9hHOEDSDHpl2MIc/edit?usp=share_link"",""นครปฐม!n210"")+IMPORTRANGE(""https://docs.google.com/spreadsheets/d/1fJJCVBkBnhriyv0Cp5ZFMr0I_yrfdEITNpb4zILJgUQ/edit?usp=share_link"",""ปทุมธานี!n210"")+IMPORTRANGE(""https://docs.googl"&amp;"e.com/spreadsheets/d/1W5Jj_S0gYw6wSO7QcMI02YgyOBDKYgmm0NSUk-AQEac/edit?usp=share_link"",""ประจวบคีรีขันธ์!n210"")+IMPORTRANGE(""https://docs.google.com/spreadsheets/d/1nYxRXgnCfTXtqUY1otYuTlnrzE0Tn-Y0YRsW5pkRVqo/edit?usp=share_link"",""ปราจีนบุรี!n210"")+"&amp;"IMPORTRANGE(""https://docs.google.com/spreadsheets/d/1nNHCLO8ZAXOMfQvxux7cf_hrzPAh8FAvaHq_ClKbZNo/edit?usp=share_link"",""พระนครศรีอยุธยา!n210"")+IMPORTRANGE(""https://docs.google.com/spreadsheets/d/1CdNicvf3i6yt4tJlCePe3V1Va76wYqW0QzMzTsaGRrA/edit?usp=sh"&amp;"are_link"",""เพชรบุรี!n210"")+IMPORTRANGE(""https://docs.google.com/spreadsheets/d/1XiF77UIVHV0Kjc6xbXuOuJ10WgJYxd4p_22ngKVV5oM/edit?usp=share_link"",""ระยอง!n210"")+IMPORTRANGE(""https://docs.google.com/spreadsheets/d/1qU-W_9MCQD1pgIVXGEOjCFo9QqlmJywueby"&amp;"GgaN92r8/edit?usp=share_link"",""ราชบุรี!n210"")+IMPORTRANGE(""https://docs.google.com/spreadsheets/d/1xYFIxIM_CspAP5Q-5Zx_V0T_Ut3cjryrjd2hss28vGk/edit?usp=share_link"",""ลพบุรี!n210"")+IMPORTRANGE(""https://docs.google.com/spreadsheets/d/11s9m3tKsCBdPWq6"&amp;"syhZm27eBGbKneDLZc75co106bio/edit?usp=share_link"",""สระแก้ว!n210"")+IMPORTRANGE(""https://docs.google.com/spreadsheets/d/1Nn1EvsFPtXldgpgVb3Rcng2K2cls68LFQsBh2FyW0Bg/edit?usp=share_link"",""สระบุรี!n210"")+IMPORTRANGE(""https://docs.google.com/spreadshee"&amp;"ts/d/149xufxukrnEciK3WPbNpHwUK8BKEJxp3UcBG3Al6dA4/edit?usp=share_link"",""สิงห์บุรี!n210"")+IMPORTRANGE(""https://docs.google.com/spreadsheets/d/132g-zJpz2uMKimp17uOIx8A7o3w1Z25zwJyXnwsB56c/edit?usp=share_link"",""สุพรรณบุรี!n210"")+IMPORTRANGE(""https://"&amp;"docs.google.com/spreadsheets/d/12Q_U0nVnFdxDFwa0pej9xvx8ZvLC9Dpi_vRro_aiG5g/edit?usp=share_link"",""อ่างทอง!n210"")
"),1480)</f>
        <v>1480</v>
      </c>
      <c r="O210" s="38"/>
      <c r="P210" s="38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20.25" customHeight="1">
      <c r="A211" s="284"/>
      <c r="B211" s="280"/>
      <c r="C211" s="292"/>
      <c r="D211" s="215" t="s">
        <v>99</v>
      </c>
      <c r="E211" s="33"/>
      <c r="F211" s="33"/>
      <c r="G211" s="35"/>
      <c r="H211" s="161" t="s">
        <v>12</v>
      </c>
      <c r="I211" s="37"/>
      <c r="J211" s="37"/>
      <c r="K211" s="38"/>
      <c r="L211" s="38">
        <f ca="1">IFERROR(__xludf.DUMMYFUNCTION("IMPORTRANGE(""https://docs.google.com/spreadsheets/d/1hKO5uv94SSRZWOvrh72HRcpyoEQF9TsE_Cvxl77XNU4/edit?usp=share_link"",""กาญจนบุรี!L211"")+IMPORTRANGE(""https://docs.google.com/spreadsheets/d/1njBaP_xXd-Uotvo2D9zb01TTCFkLJLDK97Tk1l9Qux0/edit?usp=share_li"&amp;"nk"",""จันทบุรี!L211"")+IMPORTRANGE(""https://docs.google.com/spreadsheets/d/14xp6qUzrGFnUk_qnc1eEmfiaNRd4_grkhpfQH_46fa8/edit?usp=share_link"",""ฉะเชิงเทรา!L211"")+IMPORTRANGE(""https://docs.google.com/spreadsheets/d/1_Zwps30dlVa-pZFsorjVf1Pil6WXwzCsJU0U"&amp;"2whO3NI/edit?usp=share_link"",""ชลบุรี!L211"")+IMPORTRANGE(""https://docs.google.com/spreadsheets/d/1xAsT4sUbBlom7l0acStESh_15nvjZcXjZM7fK5uZSq8/edit?usp=share_link"",""ชัยนาท!L211"")+IMPORTRANGE(""https://docs.google.com/spreadsheets/d/1vWPVBOAaZ6mHSI8yf"&amp;"95DNqHwTJ1cpeFsvqt6cxV34QA/edit?usp=share_link"",""ตราด!L211"")+IMPORTRANGE(""https://docs.google.com/spreadsheets/d/1phaeSb9lTGgzDpbvVqI9hfmOQQzUom07-HEvpbARzEg/edit?usp=share_link"",""นครนายก!L211"")+IMPORTRANGE(""https://docs.google.com/spreadsheets/d/"&amp;"1tpwhWwkqkBeiSWCcfB5f2fbwPRbM9hHOEDSDHpl2MIc/edit?usp=share_link"",""นครปฐม!L211"")+IMPORTRANGE(""https://docs.google.com/spreadsheets/d/1fJJCVBkBnhriyv0Cp5ZFMr0I_yrfdEITNpb4zILJgUQ/edit?usp=share_link"",""ปทุมธานี!L211"")+IMPORTRANGE(""https://docs.googl"&amp;"e.com/spreadsheets/d/1W5Jj_S0gYw6wSO7QcMI02YgyOBDKYgmm0NSUk-AQEac/edit?usp=share_link"",""ประจวบคีรีขันธ์!L211"")+IMPORTRANGE(""https://docs.google.com/spreadsheets/d/1nYxRXgnCfTXtqUY1otYuTlnrzE0Tn-Y0YRsW5pkRVqo/edit?usp=share_link"",""ปราจีนบุรี!L211"")+"&amp;"IMPORTRANGE(""https://docs.google.com/spreadsheets/d/1nNHCLO8ZAXOMfQvxux7cf_hrzPAh8FAvaHq_ClKbZNo/edit?usp=share_link"",""พระนครศรีอยุธยา!L211"")+IMPORTRANGE(""https://docs.google.com/spreadsheets/d/1CdNicvf3i6yt4tJlCePe3V1Va76wYqW0QzMzTsaGRrA/edit?usp=sh"&amp;"are_link"",""เพชรบุรี!L211"")+IMPORTRANGE(""https://docs.google.com/spreadsheets/d/1XiF77UIVHV0Kjc6xbXuOuJ10WgJYxd4p_22ngKVV5oM/edit?usp=share_link"",""ระยอง!L211"")+IMPORTRANGE(""https://docs.google.com/spreadsheets/d/1qU-W_9MCQD1pgIVXGEOjCFo9QqlmJywueby"&amp;"GgaN92r8/edit?usp=share_link"",""ราชบุรี!L211"")+IMPORTRANGE(""https://docs.google.com/spreadsheets/d/1xYFIxIM_CspAP5Q-5Zx_V0T_Ut3cjryrjd2hss28vGk/edit?usp=share_link"",""ลพบุรี!L211"")+IMPORTRANGE(""https://docs.google.com/spreadsheets/d/11s9m3tKsCBdPWq6"&amp;"syhZm27eBGbKneDLZc75co106bio/edit?usp=share_link"",""สระแก้ว!L211"")+IMPORTRANGE(""https://docs.google.com/spreadsheets/d/1Nn1EvsFPtXldgpgVb3Rcng2K2cls68LFQsBh2FyW0Bg/edit?usp=share_link"",""สระบุรี!L211"")+IMPORTRANGE(""https://docs.google.com/spreadshee"&amp;"ts/d/149xufxukrnEciK3WPbNpHwUK8BKEJxp3UcBG3Al6dA4/edit?usp=share_link"",""สิงห์บุรี!L211"")+IMPORTRANGE(""https://docs.google.com/spreadsheets/d/132g-zJpz2uMKimp17uOIx8A7o3w1Z25zwJyXnwsB56c/edit?usp=share_link"",""สุพรรณบุรี!L211"")+IMPORTRANGE(""https://"&amp;"docs.google.com/spreadsheets/d/12Q_U0nVnFdxDFwa0pej9xvx8ZvLC9Dpi_vRro_aiG5g/edit?usp=share_link"",""อ่างทอง!L211"")
"),85000)</f>
        <v>85000</v>
      </c>
      <c r="M211" s="38"/>
      <c r="N211" s="283">
        <f ca="1">IFERROR(__xludf.DUMMYFUNCTION("IMPORTRANGE(""https://docs.google.com/spreadsheets/d/1hKO5uv94SSRZWOvrh72HRcpyoEQF9TsE_Cvxl77XNU4/edit?usp=share_link"",""กาญจนบุรี!n211"")+IMPORTRANGE(""https://docs.google.com/spreadsheets/d/1njBaP_xXd-Uotvo2D9zb01TTCFkLJLDK97Tk1l9Qux0/edit?usp=share_li"&amp;"nk"",""จันทบุรี!n211"")+IMPORTRANGE(""https://docs.google.com/spreadsheets/d/14xp6qUzrGFnUk_qnc1eEmfiaNRd4_grkhpfQH_46fa8/edit?usp=share_link"",""ฉะเชิงเทรา!n211"")+IMPORTRANGE(""https://docs.google.com/spreadsheets/d/1_Zwps30dlVa-pZFsorjVf1Pil6WXwzCsJU0U"&amp;"2whO3NI/edit?usp=share_link"",""ชลบุรี!n211"")+IMPORTRANGE(""https://docs.google.com/spreadsheets/d/1xAsT4sUbBlom7l0acStESh_15nvjZcXjZM7fK5uZSq8/edit?usp=share_link"",""ชัยนาท!n211"")+IMPORTRANGE(""https://docs.google.com/spreadsheets/d/1vWPVBOAaZ6mHSI8yf"&amp;"95DNqHwTJ1cpeFsvqt6cxV34QA/edit?usp=share_link"",""ตราด!n211"")+IMPORTRANGE(""https://docs.google.com/spreadsheets/d/1phaeSb9lTGgzDpbvVqI9hfmOQQzUom07-HEvpbARzEg/edit?usp=share_link"",""นครนายก!n211"")+IMPORTRANGE(""https://docs.google.com/spreadsheets/d/"&amp;"1tpwhWwkqkBeiSWCcfB5f2fbwPRbM9hHOEDSDHpl2MIc/edit?usp=share_link"",""นครปฐม!n211"")+IMPORTRANGE(""https://docs.google.com/spreadsheets/d/1fJJCVBkBnhriyv0Cp5ZFMr0I_yrfdEITNpb4zILJgUQ/edit?usp=share_link"",""ปทุมธานี!n211"")+IMPORTRANGE(""https://docs.googl"&amp;"e.com/spreadsheets/d/1W5Jj_S0gYw6wSO7QcMI02YgyOBDKYgmm0NSUk-AQEac/edit?usp=share_link"",""ประจวบคีรีขันธ์!n211"")+IMPORTRANGE(""https://docs.google.com/spreadsheets/d/1nYxRXgnCfTXtqUY1otYuTlnrzE0Tn-Y0YRsW5pkRVqo/edit?usp=share_link"",""ปราจีนบุรี!n211"")+"&amp;"IMPORTRANGE(""https://docs.google.com/spreadsheets/d/1nNHCLO8ZAXOMfQvxux7cf_hrzPAh8FAvaHq_ClKbZNo/edit?usp=share_link"",""พระนครศรีอยุธยา!n211"")+IMPORTRANGE(""https://docs.google.com/spreadsheets/d/1CdNicvf3i6yt4tJlCePe3V1Va76wYqW0QzMzTsaGRrA/edit?usp=sh"&amp;"are_link"",""เพชรบุรี!n211"")+IMPORTRANGE(""https://docs.google.com/spreadsheets/d/1XiF77UIVHV0Kjc6xbXuOuJ10WgJYxd4p_22ngKVV5oM/edit?usp=share_link"",""ระยอง!n211"")+IMPORTRANGE(""https://docs.google.com/spreadsheets/d/1qU-W_9MCQD1pgIVXGEOjCFo9QqlmJywueby"&amp;"GgaN92r8/edit?usp=share_link"",""ราชบุรี!n211"")+IMPORTRANGE(""https://docs.google.com/spreadsheets/d/1xYFIxIM_CspAP5Q-5Zx_V0T_Ut3cjryrjd2hss28vGk/edit?usp=share_link"",""ลพบุรี!n211"")+IMPORTRANGE(""https://docs.google.com/spreadsheets/d/11s9m3tKsCBdPWq6"&amp;"syhZm27eBGbKneDLZc75co106bio/edit?usp=share_link"",""สระแก้ว!n211"")+IMPORTRANGE(""https://docs.google.com/spreadsheets/d/1Nn1EvsFPtXldgpgVb3Rcng2K2cls68LFQsBh2FyW0Bg/edit?usp=share_link"",""สระบุรี!n211"")+IMPORTRANGE(""https://docs.google.com/spreadshee"&amp;"ts/d/149xufxukrnEciK3WPbNpHwUK8BKEJxp3UcBG3Al6dA4/edit?usp=share_link"",""สิงห์บุรี!n211"")+IMPORTRANGE(""https://docs.google.com/spreadsheets/d/132g-zJpz2uMKimp17uOIx8A7o3w1Z25zwJyXnwsB56c/edit?usp=share_link"",""สุพรรณบุรี!n211"")+IMPORTRANGE(""https://"&amp;"docs.google.com/spreadsheets/d/12Q_U0nVnFdxDFwa0pej9xvx8ZvLC9Dpi_vRro_aiG5g/edit?usp=share_link"",""อ่างทอง!n211"")
"),0)</f>
        <v>0</v>
      </c>
      <c r="O211" s="38"/>
      <c r="P211" s="38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20.25" customHeight="1">
      <c r="A212" s="284"/>
      <c r="B212" s="280"/>
      <c r="C212" s="292"/>
      <c r="D212" s="215" t="s">
        <v>98</v>
      </c>
      <c r="E212" s="33"/>
      <c r="F212" s="33"/>
      <c r="G212" s="35"/>
      <c r="H212" s="161" t="s">
        <v>12</v>
      </c>
      <c r="I212" s="37"/>
      <c r="J212" s="37"/>
      <c r="K212" s="38"/>
      <c r="L212" s="38">
        <f ca="1">IFERROR(__xludf.DUMMYFUNCTION("IMPORTRANGE(""https://docs.google.com/spreadsheets/d/1hKO5uv94SSRZWOvrh72HRcpyoEQF9TsE_Cvxl77XNU4/edit?usp=share_link"",""กาญจนบุรี!L212"")+IMPORTRANGE(""https://docs.google.com/spreadsheets/d/1njBaP_xXd-Uotvo2D9zb01TTCFkLJLDK97Tk1l9Qux0/edit?usp=share_li"&amp;"nk"",""จันทบุรี!L212"")+IMPORTRANGE(""https://docs.google.com/spreadsheets/d/14xp6qUzrGFnUk_qnc1eEmfiaNRd4_grkhpfQH_46fa8/edit?usp=share_link"",""ฉะเชิงเทรา!L212"")+IMPORTRANGE(""https://docs.google.com/spreadsheets/d/1_Zwps30dlVa-pZFsorjVf1Pil6WXwzCsJU0U"&amp;"2whO3NI/edit?usp=share_link"",""ชลบุรี!L212"")+IMPORTRANGE(""https://docs.google.com/spreadsheets/d/1xAsT4sUbBlom7l0acStESh_15nvjZcXjZM7fK5uZSq8/edit?usp=share_link"",""ชัยนาท!L212"")+IMPORTRANGE(""https://docs.google.com/spreadsheets/d/1vWPVBOAaZ6mHSI8yf"&amp;"95DNqHwTJ1cpeFsvqt6cxV34QA/edit?usp=share_link"",""ตราด!L212"")+IMPORTRANGE(""https://docs.google.com/spreadsheets/d/1phaeSb9lTGgzDpbvVqI9hfmOQQzUom07-HEvpbARzEg/edit?usp=share_link"",""นครนายก!L212"")+IMPORTRANGE(""https://docs.google.com/spreadsheets/d/"&amp;"1tpwhWwkqkBeiSWCcfB5f2fbwPRbM9hHOEDSDHpl2MIc/edit?usp=share_link"",""นครปฐม!L212"")+IMPORTRANGE(""https://docs.google.com/spreadsheets/d/1fJJCVBkBnhriyv0Cp5ZFMr0I_yrfdEITNpb4zILJgUQ/edit?usp=share_link"",""ปทุมธานี!L212"")+IMPORTRANGE(""https://docs.googl"&amp;"e.com/spreadsheets/d/1W5Jj_S0gYw6wSO7QcMI02YgyOBDKYgmm0NSUk-AQEac/edit?usp=share_link"",""ประจวบคีรีขันธ์!L212"")+IMPORTRANGE(""https://docs.google.com/spreadsheets/d/1nYxRXgnCfTXtqUY1otYuTlnrzE0Tn-Y0YRsW5pkRVqo/edit?usp=share_link"",""ปราจีนบุรี!L212"")+"&amp;"IMPORTRANGE(""https://docs.google.com/spreadsheets/d/1nNHCLO8ZAXOMfQvxux7cf_hrzPAh8FAvaHq_ClKbZNo/edit?usp=share_link"",""พระนครศรีอยุธยา!L212"")+IMPORTRANGE(""https://docs.google.com/spreadsheets/d/1CdNicvf3i6yt4tJlCePe3V1Va76wYqW0QzMzTsaGRrA/edit?usp=sh"&amp;"are_link"",""เพชรบุรี!L212"")+IMPORTRANGE(""https://docs.google.com/spreadsheets/d/1XiF77UIVHV0Kjc6xbXuOuJ10WgJYxd4p_22ngKVV5oM/edit?usp=share_link"",""ระยอง!L212"")+IMPORTRANGE(""https://docs.google.com/spreadsheets/d/1qU-W_9MCQD1pgIVXGEOjCFo9QqlmJywueby"&amp;"GgaN92r8/edit?usp=share_link"",""ราชบุรี!L212"")+IMPORTRANGE(""https://docs.google.com/spreadsheets/d/1xYFIxIM_CspAP5Q-5Zx_V0T_Ut3cjryrjd2hss28vGk/edit?usp=share_link"",""ลพบุรี!L212"")+IMPORTRANGE(""https://docs.google.com/spreadsheets/d/11s9m3tKsCBdPWq6"&amp;"syhZm27eBGbKneDLZc75co106bio/edit?usp=share_link"",""สระแก้ว!L212"")+IMPORTRANGE(""https://docs.google.com/spreadsheets/d/1Nn1EvsFPtXldgpgVb3Rcng2K2cls68LFQsBh2FyW0Bg/edit?usp=share_link"",""สระบุรี!L212"")+IMPORTRANGE(""https://docs.google.com/spreadshee"&amp;"ts/d/149xufxukrnEciK3WPbNpHwUK8BKEJxp3UcBG3Al6dA4/edit?usp=share_link"",""สิงห์บุรี!L212"")+IMPORTRANGE(""https://docs.google.com/spreadsheets/d/132g-zJpz2uMKimp17uOIx8A7o3w1Z25zwJyXnwsB56c/edit?usp=share_link"",""สุพรรณบุรี!L212"")+IMPORTRANGE(""https://"&amp;"docs.google.com/spreadsheets/d/12Q_U0nVnFdxDFwa0pej9xvx8ZvLC9Dpi_vRro_aiG5g/edit?usp=share_link"",""อ่างทอง!L212"")
"),136000)</f>
        <v>136000</v>
      </c>
      <c r="M212" s="38"/>
      <c r="N212" s="283">
        <f ca="1">IFERROR(__xludf.DUMMYFUNCTION("IMPORTRANGE(""https://docs.google.com/spreadsheets/d/1hKO5uv94SSRZWOvrh72HRcpyoEQF9TsE_Cvxl77XNU4/edit?usp=share_link"",""กาญจนบุรี!n212"")+IMPORTRANGE(""https://docs.google.com/spreadsheets/d/1njBaP_xXd-Uotvo2D9zb01TTCFkLJLDK97Tk1l9Qux0/edit?usp=share_li"&amp;"nk"",""จันทบุรี!n212"")+IMPORTRANGE(""https://docs.google.com/spreadsheets/d/14xp6qUzrGFnUk_qnc1eEmfiaNRd4_grkhpfQH_46fa8/edit?usp=share_link"",""ฉะเชิงเทรา!n212"")+IMPORTRANGE(""https://docs.google.com/spreadsheets/d/1_Zwps30dlVa-pZFsorjVf1Pil6WXwzCsJU0U"&amp;"2whO3NI/edit?usp=share_link"",""ชลบุรี!n212"")+IMPORTRANGE(""https://docs.google.com/spreadsheets/d/1xAsT4sUbBlom7l0acStESh_15nvjZcXjZM7fK5uZSq8/edit?usp=share_link"",""ชัยนาท!n212"")+IMPORTRANGE(""https://docs.google.com/spreadsheets/d/1vWPVBOAaZ6mHSI8yf"&amp;"95DNqHwTJ1cpeFsvqt6cxV34QA/edit?usp=share_link"",""ตราด!n212"")+IMPORTRANGE(""https://docs.google.com/spreadsheets/d/1phaeSb9lTGgzDpbvVqI9hfmOQQzUom07-HEvpbARzEg/edit?usp=share_link"",""นครนายก!n212"")+IMPORTRANGE(""https://docs.google.com/spreadsheets/d/"&amp;"1tpwhWwkqkBeiSWCcfB5f2fbwPRbM9hHOEDSDHpl2MIc/edit?usp=share_link"",""นครปฐม!n212"")+IMPORTRANGE(""https://docs.google.com/spreadsheets/d/1fJJCVBkBnhriyv0Cp5ZFMr0I_yrfdEITNpb4zILJgUQ/edit?usp=share_link"",""ปทุมธานี!n212"")+IMPORTRANGE(""https://docs.googl"&amp;"e.com/spreadsheets/d/1W5Jj_S0gYw6wSO7QcMI02YgyOBDKYgmm0NSUk-AQEac/edit?usp=share_link"",""ประจวบคีรีขันธ์!n212"")+IMPORTRANGE(""https://docs.google.com/spreadsheets/d/1nYxRXgnCfTXtqUY1otYuTlnrzE0Tn-Y0YRsW5pkRVqo/edit?usp=share_link"",""ปราจีนบุรี!n212"")+"&amp;"IMPORTRANGE(""https://docs.google.com/spreadsheets/d/1nNHCLO8ZAXOMfQvxux7cf_hrzPAh8FAvaHq_ClKbZNo/edit?usp=share_link"",""พระนครศรีอยุธยา!n212"")+IMPORTRANGE(""https://docs.google.com/spreadsheets/d/1CdNicvf3i6yt4tJlCePe3V1Va76wYqW0QzMzTsaGRrA/edit?usp=sh"&amp;"are_link"",""เพชรบุรี!n212"")+IMPORTRANGE(""https://docs.google.com/spreadsheets/d/1XiF77UIVHV0Kjc6xbXuOuJ10WgJYxd4p_22ngKVV5oM/edit?usp=share_link"",""ระยอง!n212"")+IMPORTRANGE(""https://docs.google.com/spreadsheets/d/1qU-W_9MCQD1pgIVXGEOjCFo9QqlmJywueby"&amp;"GgaN92r8/edit?usp=share_link"",""ราชบุรี!n212"")+IMPORTRANGE(""https://docs.google.com/spreadsheets/d/1xYFIxIM_CspAP5Q-5Zx_V0T_Ut3cjryrjd2hss28vGk/edit?usp=share_link"",""ลพบุรี!n212"")+IMPORTRANGE(""https://docs.google.com/spreadsheets/d/11s9m3tKsCBdPWq6"&amp;"syhZm27eBGbKneDLZc75co106bio/edit?usp=share_link"",""สระแก้ว!n212"")+IMPORTRANGE(""https://docs.google.com/spreadsheets/d/1Nn1EvsFPtXldgpgVb3Rcng2K2cls68LFQsBh2FyW0Bg/edit?usp=share_link"",""สระบุรี!n212"")+IMPORTRANGE(""https://docs.google.com/spreadshee"&amp;"ts/d/149xufxukrnEciK3WPbNpHwUK8BKEJxp3UcBG3Al6dA4/edit?usp=share_link"",""สิงห์บุรี!n212"")+IMPORTRANGE(""https://docs.google.com/spreadsheets/d/132g-zJpz2uMKimp17uOIx8A7o3w1Z25zwJyXnwsB56c/edit?usp=share_link"",""สุพรรณบุรี!n212"")+IMPORTRANGE(""https://"&amp;"docs.google.com/spreadsheets/d/12Q_U0nVnFdxDFwa0pej9xvx8ZvLC9Dpi_vRro_aiG5g/edit?usp=share_link"",""อ่างทอง!n212"")
"),31740)</f>
        <v>31740</v>
      </c>
      <c r="O212" s="38"/>
      <c r="P212" s="38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20.25" customHeight="1">
      <c r="A213" s="170"/>
      <c r="B213" s="171"/>
      <c r="C213" s="292" t="s">
        <v>16</v>
      </c>
      <c r="D213" s="172" t="s">
        <v>38</v>
      </c>
      <c r="E213" s="173"/>
      <c r="F213" s="173"/>
      <c r="G213" s="174"/>
      <c r="H213" s="175"/>
      <c r="I213" s="162"/>
      <c r="J213" s="37"/>
      <c r="K213" s="38"/>
      <c r="L213" s="38"/>
      <c r="M213" s="38"/>
      <c r="N213" s="38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20.25" customHeight="1">
      <c r="A214" s="170"/>
      <c r="B214" s="171"/>
      <c r="C214" s="171"/>
      <c r="D214" s="176" t="s">
        <v>106</v>
      </c>
      <c r="E214" s="178"/>
      <c r="F214" s="178"/>
      <c r="G214" s="179"/>
      <c r="H214" s="175" t="s">
        <v>96</v>
      </c>
      <c r="I214" s="37">
        <f ca="1">IFERROR(__xludf.DUMMYFUNCTION("IMPORTRANGE(""https://docs.google.com/spreadsheets/d/1hKO5uv94SSRZWOvrh72HRcpyoEQF9TsE_Cvxl77XNU4/edit?usp=share_link"",""กาญจนบุรี!I214"")+IMPORTRANGE(""https://docs.google.com/spreadsheets/d/1njBaP_xXd-Uotvo2D9zb01TTCFkLJLDK97Tk1l9Qux0/edit?usp=share_li"&amp;"nk"",""จันทบุรี!I214"")+IMPORTRANGE(""https://docs.google.com/spreadsheets/d/14xp6qUzrGFnUk_qnc1eEmfiaNRd4_grkhpfQH_46fa8/edit?usp=share_link"",""ฉะเชิงเทรา!I214"")+IMPORTRANGE(""https://docs.google.com/spreadsheets/d/1_Zwps30dlVa-pZFsorjVf1Pil6WXwzCsJU0U"&amp;"2whO3NI/edit?usp=share_link"",""ชลบุรี!I214"")+IMPORTRANGE(""https://docs.google.com/spreadsheets/d/1xAsT4sUbBlom7l0acStESh_15nvjZcXjZM7fK5uZSq8/edit?usp=share_link"",""ชัยนาท!I214"")+IMPORTRANGE(""https://docs.google.com/spreadsheets/d/1vWPVBOAaZ6mHSI8yf"&amp;"95DNqHwTJ1cpeFsvqt6cxV34QA/edit?usp=share_link"",""ตราด!I214"")+IMPORTRANGE(""https://docs.google.com/spreadsheets/d/1phaeSb9lTGgzDpbvVqI9hfmOQQzUom07-HEvpbARzEg/edit?usp=share_link"",""นครนายก!I214"")+IMPORTRANGE(""https://docs.google.com/spreadsheets/d/"&amp;"1tpwhWwkqkBeiSWCcfB5f2fbwPRbM9hHOEDSDHpl2MIc/edit?usp=share_link"",""นครปฐม!I214"")+IMPORTRANGE(""https://docs.google.com/spreadsheets/d/1fJJCVBkBnhriyv0Cp5ZFMr0I_yrfdEITNpb4zILJgUQ/edit?usp=share_link"",""ปทุมธานี!I214"")+IMPORTRANGE(""https://docs.googl"&amp;"e.com/spreadsheets/d/1W5Jj_S0gYw6wSO7QcMI02YgyOBDKYgmm0NSUk-AQEac/edit?usp=share_link"",""ประจวบคีรีขันธ์!I214"")+IMPORTRANGE(""https://docs.google.com/spreadsheets/d/1nYxRXgnCfTXtqUY1otYuTlnrzE0Tn-Y0YRsW5pkRVqo/edit?usp=share_link"",""ปราจีนบุรี!I214"")+"&amp;"IMPORTRANGE(""https://docs.google.com/spreadsheets/d/1nNHCLO8ZAXOMfQvxux7cf_hrzPAh8FAvaHq_ClKbZNo/edit?usp=share_link"",""พระนครศรีอยุธยา!I214"")+IMPORTRANGE(""https://docs.google.com/spreadsheets/d/1CdNicvf3i6yt4tJlCePe3V1Va76wYqW0QzMzTsaGRrA/edit?usp=sh"&amp;"are_link"",""เพชรบุรี!I214"")+IMPORTRANGE(""https://docs.google.com/spreadsheets/d/1XiF77UIVHV0Kjc6xbXuOuJ10WgJYxd4p_22ngKVV5oM/edit?usp=share_link"",""ระยอง!I214"")+IMPORTRANGE(""https://docs.google.com/spreadsheets/d/1qU-W_9MCQD1pgIVXGEOjCFo9QqlmJywueby"&amp;"GgaN92r8/edit?usp=share_link"",""ราชบุรี!I214"")+IMPORTRANGE(""https://docs.google.com/spreadsheets/d/1xYFIxIM_CspAP5Q-5Zx_V0T_Ut3cjryrjd2hss28vGk/edit?usp=share_link"",""ลพบุรี!I214"")+IMPORTRANGE(""https://docs.google.com/spreadsheets/d/11s9m3tKsCBdPWq6"&amp;"syhZm27eBGbKneDLZc75co106bio/edit?usp=share_link"",""สระแก้ว!I214"")+IMPORTRANGE(""https://docs.google.com/spreadsheets/d/1Nn1EvsFPtXldgpgVb3Rcng2K2cls68LFQsBh2FyW0Bg/edit?usp=share_link"",""สระบุรี!I214"")+IMPORTRANGE(""https://docs.google.com/spreadshee"&amp;"ts/d/149xufxukrnEciK3WPbNpHwUK8BKEJxp3UcBG3Al6dA4/edit?usp=share_link"",""สิงห์บุรี!I214"")+IMPORTRANGE(""https://docs.google.com/spreadsheets/d/132g-zJpz2uMKimp17uOIx8A7o3w1Z25zwJyXnwsB56c/edit?usp=share_link"",""สุพรรณบุรี!I214"")+IMPORTRANGE(""https://"&amp;"docs.google.com/spreadsheets/d/12Q_U0nVnFdxDFwa0pej9xvx8ZvLC9Dpi_vRro_aiG5g/edit?usp=share_link"",""อ่างทอง!I214"")
"),17)</f>
        <v>17</v>
      </c>
      <c r="J214" s="183">
        <f ca="1">IFERROR(__xludf.DUMMYFUNCTION("IMPORTRANGE(""https://docs.google.com/spreadsheets/d/1hKO5uv94SSRZWOvrh72HRcpyoEQF9TsE_Cvxl77XNU4/edit?usp=share_link"",""กาญจนบุรี!J214"")+IMPORTRANGE(""https://docs.google.com/spreadsheets/d/1njBaP_xXd-Uotvo2D9zb01TTCFkLJLDK97Tk1l9Qux0/edit?usp=share_li"&amp;"nk"",""จันทบุรี!J214"")+IMPORTRANGE(""https://docs.google.com/spreadsheets/d/14xp6qUzrGFnUk_qnc1eEmfiaNRd4_grkhpfQH_46fa8/edit?usp=share_link"",""ฉะเชิงเทรา!J214"")+IMPORTRANGE(""https://docs.google.com/spreadsheets/d/1_Zwps30dlVa-pZFsorjVf1Pil6WXwzCsJU0U"&amp;"2whO3NI/edit?usp=share_link"",""ชลบุรี!J214"")+IMPORTRANGE(""https://docs.google.com/spreadsheets/d/1xAsT4sUbBlom7l0acStESh_15nvjZcXjZM7fK5uZSq8/edit?usp=share_link"",""ชัยนาท!J214"")+IMPORTRANGE(""https://docs.google.com/spreadsheets/d/1vWPVBOAaZ6mHSI8yf"&amp;"95DNqHwTJ1cpeFsvqt6cxV34QA/edit?usp=share_link"",""ตราด!J214"")+IMPORTRANGE(""https://docs.google.com/spreadsheets/d/1phaeSb9lTGgzDpbvVqI9hfmOQQzUom07-HEvpbARzEg/edit?usp=share_link"",""นครนายก!J214"")+IMPORTRANGE(""https://docs.google.com/spreadsheets/d/"&amp;"1tpwhWwkqkBeiSWCcfB5f2fbwPRbM9hHOEDSDHpl2MIc/edit?usp=share_link"",""นครปฐม!J214"")+IMPORTRANGE(""https://docs.google.com/spreadsheets/d/1fJJCVBkBnhriyv0Cp5ZFMr0I_yrfdEITNpb4zILJgUQ/edit?usp=share_link"",""ปทุมธานี!J214"")+IMPORTRANGE(""https://docs.googl"&amp;"e.com/spreadsheets/d/1W5Jj_S0gYw6wSO7QcMI02YgyOBDKYgmm0NSUk-AQEac/edit?usp=share_link"",""ประจวบคีรีขันธ์!J214"")+IMPORTRANGE(""https://docs.google.com/spreadsheets/d/1nYxRXgnCfTXtqUY1otYuTlnrzE0Tn-Y0YRsW5pkRVqo/edit?usp=share_link"",""ปราจีนบุรี!J214"")+"&amp;"IMPORTRANGE(""https://docs.google.com/spreadsheets/d/1nNHCLO8ZAXOMfQvxux7cf_hrzPAh8FAvaHq_ClKbZNo/edit?usp=share_link"",""พระนครศรีอยุธยา!J214"")+IMPORTRANGE(""https://docs.google.com/spreadsheets/d/1CdNicvf3i6yt4tJlCePe3V1Va76wYqW0QzMzTsaGRrA/edit?usp=sh"&amp;"are_link"",""เพชรบุรี!J214"")+IMPORTRANGE(""https://docs.google.com/spreadsheets/d/1XiF77UIVHV0Kjc6xbXuOuJ10WgJYxd4p_22ngKVV5oM/edit?usp=share_link"",""ระยอง!J214"")+IMPORTRANGE(""https://docs.google.com/spreadsheets/d/1qU-W_9MCQD1pgIVXGEOjCFo9QqlmJywueby"&amp;"GgaN92r8/edit?usp=share_link"",""ราชบุรี!J214"")+IMPORTRANGE(""https://docs.google.com/spreadsheets/d/1xYFIxIM_CspAP5Q-5Zx_V0T_Ut3cjryrjd2hss28vGk/edit?usp=share_link"",""ลพบุรี!J214"")+IMPORTRANGE(""https://docs.google.com/spreadsheets/d/11s9m3tKsCBdPWq6"&amp;"syhZm27eBGbKneDLZc75co106bio/edit?usp=share_link"",""สระแก้ว!J214"")+IMPORTRANGE(""https://docs.google.com/spreadsheets/d/1Nn1EvsFPtXldgpgVb3Rcng2K2cls68LFQsBh2FyW0Bg/edit?usp=share_link"",""สระบุรี!J214"")+IMPORTRANGE(""https://docs.google.com/spreadshee"&amp;"ts/d/149xufxukrnEciK3WPbNpHwUK8BKEJxp3UcBG3Al6dA4/edit?usp=share_link"",""สิงห์บุรี!J214"")+IMPORTRANGE(""https://docs.google.com/spreadsheets/d/132g-zJpz2uMKimp17uOIx8A7o3w1Z25zwJyXnwsB56c/edit?usp=share_link"",""สุพรรณบุรี!J214"")+IMPORTRANGE(""https://"&amp;"docs.google.com/spreadsheets/d/12Q_U0nVnFdxDFwa0pej9xvx8ZvLC9Dpi_vRro_aiG5g/edit?usp=share_link"",""อ่างทอง!J214"")
"),0)</f>
        <v>0</v>
      </c>
      <c r="K214" s="38">
        <f t="shared" ref="K214:K216" ca="1" si="123">IF(I214&gt;0,J214*100/I214,0)</f>
        <v>0</v>
      </c>
      <c r="L214" s="38"/>
      <c r="M214" s="38"/>
      <c r="N214" s="38"/>
      <c r="O214" s="38"/>
      <c r="P214" s="38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20.25" customHeight="1">
      <c r="A215" s="170"/>
      <c r="B215" s="171"/>
      <c r="C215" s="171"/>
      <c r="D215" s="176" t="s">
        <v>107</v>
      </c>
      <c r="E215" s="178"/>
      <c r="F215" s="178"/>
      <c r="G215" s="179"/>
      <c r="H215" s="175" t="s">
        <v>96</v>
      </c>
      <c r="I215" s="37">
        <f ca="1">IFERROR(__xludf.DUMMYFUNCTION("IMPORTRANGE(""https://docs.google.com/spreadsheets/d/1hKO5uv94SSRZWOvrh72HRcpyoEQF9TsE_Cvxl77XNU4/edit?usp=share_link"",""กาญจนบุรี!I215"")+IMPORTRANGE(""https://docs.google.com/spreadsheets/d/1njBaP_xXd-Uotvo2D9zb01TTCFkLJLDK97Tk1l9Qux0/edit?usp=share_li"&amp;"nk"",""จันทบุรี!I215"")+IMPORTRANGE(""https://docs.google.com/spreadsheets/d/14xp6qUzrGFnUk_qnc1eEmfiaNRd4_grkhpfQH_46fa8/edit?usp=share_link"",""ฉะเชิงเทรา!I215"")+IMPORTRANGE(""https://docs.google.com/spreadsheets/d/1_Zwps30dlVa-pZFsorjVf1Pil6WXwzCsJU0U"&amp;"2whO3NI/edit?usp=share_link"",""ชลบุรี!I215"")+IMPORTRANGE(""https://docs.google.com/spreadsheets/d/1xAsT4sUbBlom7l0acStESh_15nvjZcXjZM7fK5uZSq8/edit?usp=share_link"",""ชัยนาท!I215"")+IMPORTRANGE(""https://docs.google.com/spreadsheets/d/1vWPVBOAaZ6mHSI8yf"&amp;"95DNqHwTJ1cpeFsvqt6cxV34QA/edit?usp=share_link"",""ตราด!I215"")+IMPORTRANGE(""https://docs.google.com/spreadsheets/d/1phaeSb9lTGgzDpbvVqI9hfmOQQzUom07-HEvpbARzEg/edit?usp=share_link"",""นครนายก!I215"")+IMPORTRANGE(""https://docs.google.com/spreadsheets/d/"&amp;"1tpwhWwkqkBeiSWCcfB5f2fbwPRbM9hHOEDSDHpl2MIc/edit?usp=share_link"",""นครปฐม!I215"")+IMPORTRANGE(""https://docs.google.com/spreadsheets/d/1fJJCVBkBnhriyv0Cp5ZFMr0I_yrfdEITNpb4zILJgUQ/edit?usp=share_link"",""ปทุมธานี!I215"")+IMPORTRANGE(""https://docs.googl"&amp;"e.com/spreadsheets/d/1W5Jj_S0gYw6wSO7QcMI02YgyOBDKYgmm0NSUk-AQEac/edit?usp=share_link"",""ประจวบคีรีขันธ์!I215"")+IMPORTRANGE(""https://docs.google.com/spreadsheets/d/1nYxRXgnCfTXtqUY1otYuTlnrzE0Tn-Y0YRsW5pkRVqo/edit?usp=share_link"",""ปราจีนบุรี!I215"")+"&amp;"IMPORTRANGE(""https://docs.google.com/spreadsheets/d/1nNHCLO8ZAXOMfQvxux7cf_hrzPAh8FAvaHq_ClKbZNo/edit?usp=share_link"",""พระนครศรีอยุธยา!I215"")+IMPORTRANGE(""https://docs.google.com/spreadsheets/d/1CdNicvf3i6yt4tJlCePe3V1Va76wYqW0QzMzTsaGRrA/edit?usp=sh"&amp;"are_link"",""เพชรบุรี!I215"")+IMPORTRANGE(""https://docs.google.com/spreadsheets/d/1XiF77UIVHV0Kjc6xbXuOuJ10WgJYxd4p_22ngKVV5oM/edit?usp=share_link"",""ระยอง!I215"")+IMPORTRANGE(""https://docs.google.com/spreadsheets/d/1qU-W_9MCQD1pgIVXGEOjCFo9QqlmJywueby"&amp;"GgaN92r8/edit?usp=share_link"",""ราชบุรี!I215"")+IMPORTRANGE(""https://docs.google.com/spreadsheets/d/1xYFIxIM_CspAP5Q-5Zx_V0T_Ut3cjryrjd2hss28vGk/edit?usp=share_link"",""ลพบุรี!I215"")+IMPORTRANGE(""https://docs.google.com/spreadsheets/d/11s9m3tKsCBdPWq6"&amp;"syhZm27eBGbKneDLZc75co106bio/edit?usp=share_link"",""สระแก้ว!I215"")+IMPORTRANGE(""https://docs.google.com/spreadsheets/d/1Nn1EvsFPtXldgpgVb3Rcng2K2cls68LFQsBh2FyW0Bg/edit?usp=share_link"",""สระบุรี!I215"")+IMPORTRANGE(""https://docs.google.com/spreadshee"&amp;"ts/d/149xufxukrnEciK3WPbNpHwUK8BKEJxp3UcBG3Al6dA4/edit?usp=share_link"",""สิงห์บุรี!I215"")+IMPORTRANGE(""https://docs.google.com/spreadsheets/d/132g-zJpz2uMKimp17uOIx8A7o3w1Z25zwJyXnwsB56c/edit?usp=share_link"",""สุพรรณบุรี!I215"")+IMPORTRANGE(""https://"&amp;"docs.google.com/spreadsheets/d/12Q_U0nVnFdxDFwa0pej9xvx8ZvLC9Dpi_vRro_aiG5g/edit?usp=share_link"",""อ่างทอง!I215"")
"),17)</f>
        <v>17</v>
      </c>
      <c r="J215" s="183">
        <f ca="1">IFERROR(__xludf.DUMMYFUNCTION("IMPORTRANGE(""https://docs.google.com/spreadsheets/d/1hKO5uv94SSRZWOvrh72HRcpyoEQF9TsE_Cvxl77XNU4/edit?usp=share_link"",""กาญจนบุรี!J215"")+IMPORTRANGE(""https://docs.google.com/spreadsheets/d/1njBaP_xXd-Uotvo2D9zb01TTCFkLJLDK97Tk1l9Qux0/edit?usp=share_li"&amp;"nk"",""จันทบุรี!J215"")+IMPORTRANGE(""https://docs.google.com/spreadsheets/d/14xp6qUzrGFnUk_qnc1eEmfiaNRd4_grkhpfQH_46fa8/edit?usp=share_link"",""ฉะเชิงเทรา!J215"")+IMPORTRANGE(""https://docs.google.com/spreadsheets/d/1_Zwps30dlVa-pZFsorjVf1Pil6WXwzCsJU0U"&amp;"2whO3NI/edit?usp=share_link"",""ชลบุรี!J215"")+IMPORTRANGE(""https://docs.google.com/spreadsheets/d/1xAsT4sUbBlom7l0acStESh_15nvjZcXjZM7fK5uZSq8/edit?usp=share_link"",""ชัยนาท!J215"")+IMPORTRANGE(""https://docs.google.com/spreadsheets/d/1vWPVBOAaZ6mHSI8yf"&amp;"95DNqHwTJ1cpeFsvqt6cxV34QA/edit?usp=share_link"",""ตราด!J215"")+IMPORTRANGE(""https://docs.google.com/spreadsheets/d/1phaeSb9lTGgzDpbvVqI9hfmOQQzUom07-HEvpbARzEg/edit?usp=share_link"",""นครนายก!J215"")+IMPORTRANGE(""https://docs.google.com/spreadsheets/d/"&amp;"1tpwhWwkqkBeiSWCcfB5f2fbwPRbM9hHOEDSDHpl2MIc/edit?usp=share_link"",""นครปฐม!J215"")+IMPORTRANGE(""https://docs.google.com/spreadsheets/d/1fJJCVBkBnhriyv0Cp5ZFMr0I_yrfdEITNpb4zILJgUQ/edit?usp=share_link"",""ปทุมธานี!J215"")+IMPORTRANGE(""https://docs.googl"&amp;"e.com/spreadsheets/d/1W5Jj_S0gYw6wSO7QcMI02YgyOBDKYgmm0NSUk-AQEac/edit?usp=share_link"",""ประจวบคีรีขันธ์!J215"")+IMPORTRANGE(""https://docs.google.com/spreadsheets/d/1nYxRXgnCfTXtqUY1otYuTlnrzE0Tn-Y0YRsW5pkRVqo/edit?usp=share_link"",""ปราจีนบุรี!J215"")+"&amp;"IMPORTRANGE(""https://docs.google.com/spreadsheets/d/1nNHCLO8ZAXOMfQvxux7cf_hrzPAh8FAvaHq_ClKbZNo/edit?usp=share_link"",""พระนครศรีอยุธยา!J215"")+IMPORTRANGE(""https://docs.google.com/spreadsheets/d/1CdNicvf3i6yt4tJlCePe3V1Va76wYqW0QzMzTsaGRrA/edit?usp=sh"&amp;"are_link"",""เพชรบุรี!J215"")+IMPORTRANGE(""https://docs.google.com/spreadsheets/d/1XiF77UIVHV0Kjc6xbXuOuJ10WgJYxd4p_22ngKVV5oM/edit?usp=share_link"",""ระยอง!J215"")+IMPORTRANGE(""https://docs.google.com/spreadsheets/d/1qU-W_9MCQD1pgIVXGEOjCFo9QqlmJywueby"&amp;"GgaN92r8/edit?usp=share_link"",""ราชบุรี!J215"")+IMPORTRANGE(""https://docs.google.com/spreadsheets/d/1xYFIxIM_CspAP5Q-5Zx_V0T_Ut3cjryrjd2hss28vGk/edit?usp=share_link"",""ลพบุรี!J215"")+IMPORTRANGE(""https://docs.google.com/spreadsheets/d/11s9m3tKsCBdPWq6"&amp;"syhZm27eBGbKneDLZc75co106bio/edit?usp=share_link"",""สระแก้ว!J215"")+IMPORTRANGE(""https://docs.google.com/spreadsheets/d/1Nn1EvsFPtXldgpgVb3Rcng2K2cls68LFQsBh2FyW0Bg/edit?usp=share_link"",""สระบุรี!J215"")+IMPORTRANGE(""https://docs.google.com/spreadshee"&amp;"ts/d/149xufxukrnEciK3WPbNpHwUK8BKEJxp3UcBG3Al6dA4/edit?usp=share_link"",""สิงห์บุรี!J215"")+IMPORTRANGE(""https://docs.google.com/spreadsheets/d/132g-zJpz2uMKimp17uOIx8A7o3w1Z25zwJyXnwsB56c/edit?usp=share_link"",""สุพรรณบุรี!J215"")+IMPORTRANGE(""https://"&amp;"docs.google.com/spreadsheets/d/12Q_U0nVnFdxDFwa0pej9xvx8ZvLC9Dpi_vRro_aiG5g/edit?usp=share_link"",""อ่างทอง!J215"")
"),10)</f>
        <v>10</v>
      </c>
      <c r="K215" s="38">
        <f t="shared" ca="1" si="123"/>
        <v>58.823529411764703</v>
      </c>
      <c r="L215" s="38"/>
      <c r="M215" s="38"/>
      <c r="N215" s="38"/>
      <c r="O215" s="38"/>
      <c r="P215" s="38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20.25" customHeight="1">
      <c r="A216" s="255"/>
      <c r="B216" s="263"/>
      <c r="C216" s="270" t="s">
        <v>108</v>
      </c>
      <c r="D216" s="256"/>
      <c r="E216" s="256"/>
      <c r="F216" s="291"/>
      <c r="G216" s="258"/>
      <c r="H216" s="259" t="s">
        <v>109</v>
      </c>
      <c r="I216" s="271">
        <f t="shared" ref="I216:J216" ca="1" si="124">I224</f>
        <v>470200</v>
      </c>
      <c r="J216" s="271">
        <f t="shared" ca="1" si="124"/>
        <v>0</v>
      </c>
      <c r="K216" s="272">
        <f t="shared" ca="1" si="123"/>
        <v>0</v>
      </c>
      <c r="L216" s="261"/>
      <c r="M216" s="261"/>
      <c r="N216" s="261"/>
      <c r="O216" s="261"/>
      <c r="P216" s="261"/>
    </row>
    <row r="217" spans="1:26" ht="20.25" customHeight="1">
      <c r="A217" s="147"/>
      <c r="B217" s="148"/>
      <c r="C217" s="149" t="s">
        <v>16</v>
      </c>
      <c r="D217" s="273" t="s">
        <v>17</v>
      </c>
      <c r="E217" s="148"/>
      <c r="F217" s="148"/>
      <c r="G217" s="151"/>
      <c r="H217" s="274" t="s">
        <v>12</v>
      </c>
      <c r="I217" s="278"/>
      <c r="J217" s="278"/>
      <c r="K217" s="279"/>
      <c r="L217" s="155">
        <f ca="1">L218+L219+L220</f>
        <v>247700</v>
      </c>
      <c r="M217" s="155"/>
      <c r="N217" s="155">
        <f ca="1">N218+N219+N220</f>
        <v>10000</v>
      </c>
      <c r="O217" s="155">
        <f ca="1">IF(L217&gt;0,N217*100/L217,0)</f>
        <v>4.0371417036737993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20.25" customHeight="1">
      <c r="A218" s="159"/>
      <c r="B218" s="280"/>
      <c r="C218" s="33"/>
      <c r="D218" s="211" t="s">
        <v>97</v>
      </c>
      <c r="E218" s="33"/>
      <c r="F218" s="33"/>
      <c r="G218" s="35"/>
      <c r="H218" s="161" t="s">
        <v>12</v>
      </c>
      <c r="I218" s="162"/>
      <c r="J218" s="162"/>
      <c r="K218" s="163"/>
      <c r="L218" s="38">
        <f ca="1">IFERROR(__xludf.DUMMYFUNCTION("IMPORTRANGE(""https://docs.google.com/spreadsheets/d/1hKO5uv94SSRZWOvrh72HRcpyoEQF9TsE_Cvxl77XNU4/edit?usp=share_link"",""กาญจนบุรี!L218"")+IMPORTRANGE(""https://docs.google.com/spreadsheets/d/1njBaP_xXd-Uotvo2D9zb01TTCFkLJLDK97Tk1l9Qux0/edit?usp=share_li"&amp;"nk"",""จันทบุรี!L218"")+IMPORTRANGE(""https://docs.google.com/spreadsheets/d/14xp6qUzrGFnUk_qnc1eEmfiaNRd4_grkhpfQH_46fa8/edit?usp=share_link"",""ฉะเชิงเทรา!L218"")+IMPORTRANGE(""https://docs.google.com/spreadsheets/d/1_Zwps30dlVa-pZFsorjVf1Pil6WXwzCsJU0U"&amp;"2whO3NI/edit?usp=share_link"",""ชลบุรี!L218"")+IMPORTRANGE(""https://docs.google.com/spreadsheets/d/1xAsT4sUbBlom7l0acStESh_15nvjZcXjZM7fK5uZSq8/edit?usp=share_link"",""ชัยนาท!L218"")+IMPORTRANGE(""https://docs.google.com/spreadsheets/d/1vWPVBOAaZ6mHSI8yf"&amp;"95DNqHwTJ1cpeFsvqt6cxV34QA/edit?usp=share_link"",""ตราด!L218"")+IMPORTRANGE(""https://docs.google.com/spreadsheets/d/1phaeSb9lTGgzDpbvVqI9hfmOQQzUom07-HEvpbARzEg/edit?usp=share_link"",""นครนายก!L218"")+IMPORTRANGE(""https://docs.google.com/spreadsheets/d/"&amp;"1tpwhWwkqkBeiSWCcfB5f2fbwPRbM9hHOEDSDHpl2MIc/edit?usp=share_link"",""นครปฐม!L218"")+IMPORTRANGE(""https://docs.google.com/spreadsheets/d/1fJJCVBkBnhriyv0Cp5ZFMr0I_yrfdEITNpb4zILJgUQ/edit?usp=share_link"",""ปทุมธานี!L218"")+IMPORTRANGE(""https://docs.googl"&amp;"e.com/spreadsheets/d/1W5Jj_S0gYw6wSO7QcMI02YgyOBDKYgmm0NSUk-AQEac/edit?usp=share_link"",""ประจวบคีรีขันธ์!L218"")+IMPORTRANGE(""https://docs.google.com/spreadsheets/d/1nYxRXgnCfTXtqUY1otYuTlnrzE0Tn-Y0YRsW5pkRVqo/edit?usp=share_link"",""ปราจีนบุรี!L218"")+"&amp;"IMPORTRANGE(""https://docs.google.com/spreadsheets/d/1nNHCLO8ZAXOMfQvxux7cf_hrzPAh8FAvaHq_ClKbZNo/edit?usp=share_link"",""พระนครศรีอยุธยา!L218"")+IMPORTRANGE(""https://docs.google.com/spreadsheets/d/1CdNicvf3i6yt4tJlCePe3V1Va76wYqW0QzMzTsaGRrA/edit?usp=sh"&amp;"are_link"",""เพชรบุรี!L218"")+IMPORTRANGE(""https://docs.google.com/spreadsheets/d/1XiF77UIVHV0Kjc6xbXuOuJ10WgJYxd4p_22ngKVV5oM/edit?usp=share_link"",""ระยอง!L218"")+IMPORTRANGE(""https://docs.google.com/spreadsheets/d/1qU-W_9MCQD1pgIVXGEOjCFo9QqlmJywueby"&amp;"GgaN92r8/edit?usp=share_link"",""ราชบุรี!L218"")+IMPORTRANGE(""https://docs.google.com/spreadsheets/d/1xYFIxIM_CspAP5Q-5Zx_V0T_Ut3cjryrjd2hss28vGk/edit?usp=share_link"",""ลพบุรี!L218"")+IMPORTRANGE(""https://docs.google.com/spreadsheets/d/11s9m3tKsCBdPWq6"&amp;"syhZm27eBGbKneDLZc75co106bio/edit?usp=share_link"",""สระแก้ว!L218"")+IMPORTRANGE(""https://docs.google.com/spreadsheets/d/1Nn1EvsFPtXldgpgVb3Rcng2K2cls68LFQsBh2FyW0Bg/edit?usp=share_link"",""สระบุรี!L218"")+IMPORTRANGE(""https://docs.google.com/spreadshee"&amp;"ts/d/149xufxukrnEciK3WPbNpHwUK8BKEJxp3UcBG3Al6dA4/edit?usp=share_link"",""สิงห์บุรี!L218"")+IMPORTRANGE(""https://docs.google.com/spreadsheets/d/132g-zJpz2uMKimp17uOIx8A7o3w1Z25zwJyXnwsB56c/edit?usp=share_link"",""สุพรรณบุรี!L218"")+IMPORTRANGE(""https://"&amp;"docs.google.com/spreadsheets/d/12Q_U0nVnFdxDFwa0pej9xvx8ZvLC9Dpi_vRro_aiG5g/edit?usp=share_link"",""อ่างทอง!L218"")
"),76000)</f>
        <v>76000</v>
      </c>
      <c r="M218" s="38"/>
      <c r="N218" s="283">
        <f ca="1">IFERROR(__xludf.DUMMYFUNCTION("IMPORTRANGE(""https://docs.google.com/spreadsheets/d/1hKO5uv94SSRZWOvrh72HRcpyoEQF9TsE_Cvxl77XNU4/edit?usp=share_link"",""กาญจนบุรี!n218"")+IMPORTRANGE(""https://docs.google.com/spreadsheets/d/1njBaP_xXd-Uotvo2D9zb01TTCFkLJLDK97Tk1l9Qux0/edit?usp=share_li"&amp;"nk"",""จันทบุรี!n218"")+IMPORTRANGE(""https://docs.google.com/spreadsheets/d/14xp6qUzrGFnUk_qnc1eEmfiaNRd4_grkhpfQH_46fa8/edit?usp=share_link"",""ฉะเชิงเทรา!n218"")+IMPORTRANGE(""https://docs.google.com/spreadsheets/d/1_Zwps30dlVa-pZFsorjVf1Pil6WXwzCsJU0U"&amp;"2whO3NI/edit?usp=share_link"",""ชลบุรี!n218"")+IMPORTRANGE(""https://docs.google.com/spreadsheets/d/1xAsT4sUbBlom7l0acStESh_15nvjZcXjZM7fK5uZSq8/edit?usp=share_link"",""ชัยนาท!n218"")+IMPORTRANGE(""https://docs.google.com/spreadsheets/d/1vWPVBOAaZ6mHSI8yf"&amp;"95DNqHwTJ1cpeFsvqt6cxV34QA/edit?usp=share_link"",""ตราด!n218"")+IMPORTRANGE(""https://docs.google.com/spreadsheets/d/1phaeSb9lTGgzDpbvVqI9hfmOQQzUom07-HEvpbARzEg/edit?usp=share_link"",""นครนายก!n218"")+IMPORTRANGE(""https://docs.google.com/spreadsheets/d/"&amp;"1tpwhWwkqkBeiSWCcfB5f2fbwPRbM9hHOEDSDHpl2MIc/edit?usp=share_link"",""นครปฐม!n218"")+IMPORTRANGE(""https://docs.google.com/spreadsheets/d/1fJJCVBkBnhriyv0Cp5ZFMr0I_yrfdEITNpb4zILJgUQ/edit?usp=share_link"",""ปทุมธานี!n218"")+IMPORTRANGE(""https://docs.googl"&amp;"e.com/spreadsheets/d/1W5Jj_S0gYw6wSO7QcMI02YgyOBDKYgmm0NSUk-AQEac/edit?usp=share_link"",""ประจวบคีรีขันธ์!n218"")+IMPORTRANGE(""https://docs.google.com/spreadsheets/d/1nYxRXgnCfTXtqUY1otYuTlnrzE0Tn-Y0YRsW5pkRVqo/edit?usp=share_link"",""ปราจีนบุรี!n218"")+"&amp;"IMPORTRANGE(""https://docs.google.com/spreadsheets/d/1nNHCLO8ZAXOMfQvxux7cf_hrzPAh8FAvaHq_ClKbZNo/edit?usp=share_link"",""พระนครศรีอยุธยา!n218"")+IMPORTRANGE(""https://docs.google.com/spreadsheets/d/1CdNicvf3i6yt4tJlCePe3V1Va76wYqW0QzMzTsaGRrA/edit?usp=sh"&amp;"are_link"",""เพชรบุรี!n218"")+IMPORTRANGE(""https://docs.google.com/spreadsheets/d/1XiF77UIVHV0Kjc6xbXuOuJ10WgJYxd4p_22ngKVV5oM/edit?usp=share_link"",""ระยอง!n218"")+IMPORTRANGE(""https://docs.google.com/spreadsheets/d/1qU-W_9MCQD1pgIVXGEOjCFo9QqlmJywueby"&amp;"GgaN92r8/edit?usp=share_link"",""ราชบุรี!n218"")+IMPORTRANGE(""https://docs.google.com/spreadsheets/d/1xYFIxIM_CspAP5Q-5Zx_V0T_Ut3cjryrjd2hss28vGk/edit?usp=share_link"",""ลพบุรี!n218"")+IMPORTRANGE(""https://docs.google.com/spreadsheets/d/11s9m3tKsCBdPWq6"&amp;"syhZm27eBGbKneDLZc75co106bio/edit?usp=share_link"",""สระแก้ว!n218"")+IMPORTRANGE(""https://docs.google.com/spreadsheets/d/1Nn1EvsFPtXldgpgVb3Rcng2K2cls68LFQsBh2FyW0Bg/edit?usp=share_link"",""สระบุรี!n218"")+IMPORTRANGE(""https://docs.google.com/spreadshee"&amp;"ts/d/149xufxukrnEciK3WPbNpHwUK8BKEJxp3UcBG3Al6dA4/edit?usp=share_link"",""สิงห์บุรี!n218"")+IMPORTRANGE(""https://docs.google.com/spreadsheets/d/132g-zJpz2uMKimp17uOIx8A7o3w1Z25zwJyXnwsB56c/edit?usp=share_link"",""สุพรรณบุรี!n218"")+IMPORTRANGE(""https://"&amp;"docs.google.com/spreadsheets/d/12Q_U0nVnFdxDFwa0pej9xvx8ZvLC9Dpi_vRro_aiG5g/edit?usp=share_link"",""อ่างทอง!n218"")
"),0)</f>
        <v>0</v>
      </c>
      <c r="O218" s="38"/>
      <c r="P218" s="38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20.25" customHeight="1">
      <c r="A219" s="284"/>
      <c r="B219" s="280"/>
      <c r="C219" s="292"/>
      <c r="D219" s="215" t="s">
        <v>110</v>
      </c>
      <c r="E219" s="33"/>
      <c r="F219" s="33"/>
      <c r="G219" s="35"/>
      <c r="H219" s="161" t="s">
        <v>12</v>
      </c>
      <c r="I219" s="37"/>
      <c r="J219" s="37"/>
      <c r="K219" s="38"/>
      <c r="L219" s="38">
        <f ca="1">IFERROR(__xludf.DUMMYFUNCTION("IMPORTRANGE(""https://docs.google.com/spreadsheets/d/1hKO5uv94SSRZWOvrh72HRcpyoEQF9TsE_Cvxl77XNU4/edit?usp=share_link"",""กาญจนบุรี!L219"")+IMPORTRANGE(""https://docs.google.com/spreadsheets/d/1njBaP_xXd-Uotvo2D9zb01TTCFkLJLDK97Tk1l9Qux0/edit?usp=share_li"&amp;"nk"",""จันทบุรี!L219"")+IMPORTRANGE(""https://docs.google.com/spreadsheets/d/14xp6qUzrGFnUk_qnc1eEmfiaNRd4_grkhpfQH_46fa8/edit?usp=share_link"",""ฉะเชิงเทรา!L219"")+IMPORTRANGE(""https://docs.google.com/spreadsheets/d/1_Zwps30dlVa-pZFsorjVf1Pil6WXwzCsJU0U"&amp;"2whO3NI/edit?usp=share_link"",""ชลบุรี!L219"")+IMPORTRANGE(""https://docs.google.com/spreadsheets/d/1xAsT4sUbBlom7l0acStESh_15nvjZcXjZM7fK5uZSq8/edit?usp=share_link"",""ชัยนาท!L219"")+IMPORTRANGE(""https://docs.google.com/spreadsheets/d/1vWPVBOAaZ6mHSI8yf"&amp;"95DNqHwTJ1cpeFsvqt6cxV34QA/edit?usp=share_link"",""ตราด!L219"")+IMPORTRANGE(""https://docs.google.com/spreadsheets/d/1phaeSb9lTGgzDpbvVqI9hfmOQQzUom07-HEvpbARzEg/edit?usp=share_link"",""นครนายก!L219"")+IMPORTRANGE(""https://docs.google.com/spreadsheets/d/"&amp;"1tpwhWwkqkBeiSWCcfB5f2fbwPRbM9hHOEDSDHpl2MIc/edit?usp=share_link"",""นครปฐม!L219"")+IMPORTRANGE(""https://docs.google.com/spreadsheets/d/1fJJCVBkBnhriyv0Cp5ZFMr0I_yrfdEITNpb4zILJgUQ/edit?usp=share_link"",""ปทุมธานี!L219"")+IMPORTRANGE(""https://docs.googl"&amp;"e.com/spreadsheets/d/1W5Jj_S0gYw6wSO7QcMI02YgyOBDKYgmm0NSUk-AQEac/edit?usp=share_link"",""ประจวบคีรีขันธ์!L219"")+IMPORTRANGE(""https://docs.google.com/spreadsheets/d/1nYxRXgnCfTXtqUY1otYuTlnrzE0Tn-Y0YRsW5pkRVqo/edit?usp=share_link"",""ปราจีนบุรี!L219"")+"&amp;"IMPORTRANGE(""https://docs.google.com/spreadsheets/d/1nNHCLO8ZAXOMfQvxux7cf_hrzPAh8FAvaHq_ClKbZNo/edit?usp=share_link"",""พระนครศรีอยุธยา!L219"")+IMPORTRANGE(""https://docs.google.com/spreadsheets/d/1CdNicvf3i6yt4tJlCePe3V1Va76wYqW0QzMzTsaGRrA/edit?usp=sh"&amp;"are_link"",""เพชรบุรี!L219"")+IMPORTRANGE(""https://docs.google.com/spreadsheets/d/1XiF77UIVHV0Kjc6xbXuOuJ10WgJYxd4p_22ngKVV5oM/edit?usp=share_link"",""ระยอง!L219"")+IMPORTRANGE(""https://docs.google.com/spreadsheets/d/1qU-W_9MCQD1pgIVXGEOjCFo9QqlmJywueby"&amp;"GgaN92r8/edit?usp=share_link"",""ราชบุรี!L219"")+IMPORTRANGE(""https://docs.google.com/spreadsheets/d/1xYFIxIM_CspAP5Q-5Zx_V0T_Ut3cjryrjd2hss28vGk/edit?usp=share_link"",""ลพบุรี!L219"")+IMPORTRANGE(""https://docs.google.com/spreadsheets/d/11s9m3tKsCBdPWq6"&amp;"syhZm27eBGbKneDLZc75co106bio/edit?usp=share_link"",""สระแก้ว!L219"")+IMPORTRANGE(""https://docs.google.com/spreadsheets/d/1Nn1EvsFPtXldgpgVb3Rcng2K2cls68LFQsBh2FyW0Bg/edit?usp=share_link"",""สระบุรี!L219"")+IMPORTRANGE(""https://docs.google.com/spreadshee"&amp;"ts/d/149xufxukrnEciK3WPbNpHwUK8BKEJxp3UcBG3Al6dA4/edit?usp=share_link"",""สิงห์บุรี!L219"")+IMPORTRANGE(""https://docs.google.com/spreadsheets/d/132g-zJpz2uMKimp17uOIx8A7o3w1Z25zwJyXnwsB56c/edit?usp=share_link"",""สุพรรณบุรี!L219"")+IMPORTRANGE(""https://"&amp;"docs.google.com/spreadsheets/d/12Q_U0nVnFdxDFwa0pej9xvx8ZvLC9Dpi_vRro_aiG5g/edit?usp=share_link"",""อ่างทอง!L219"")
"),131700)</f>
        <v>131700</v>
      </c>
      <c r="M219" s="38"/>
      <c r="N219" s="283">
        <f ca="1">IFERROR(__xludf.DUMMYFUNCTION("IMPORTRANGE(""https://docs.google.com/spreadsheets/d/1hKO5uv94SSRZWOvrh72HRcpyoEQF9TsE_Cvxl77XNU4/edit?usp=share_link"",""กาญจนบุรี!n219"")+IMPORTRANGE(""https://docs.google.com/spreadsheets/d/1njBaP_xXd-Uotvo2D9zb01TTCFkLJLDK97Tk1l9Qux0/edit?usp=share_li"&amp;"nk"",""จันทบุรี!n219"")+IMPORTRANGE(""https://docs.google.com/spreadsheets/d/14xp6qUzrGFnUk_qnc1eEmfiaNRd4_grkhpfQH_46fa8/edit?usp=share_link"",""ฉะเชิงเทรา!n219"")+IMPORTRANGE(""https://docs.google.com/spreadsheets/d/1_Zwps30dlVa-pZFsorjVf1Pil6WXwzCsJU0U"&amp;"2whO3NI/edit?usp=share_link"",""ชลบุรี!n219"")+IMPORTRANGE(""https://docs.google.com/spreadsheets/d/1xAsT4sUbBlom7l0acStESh_15nvjZcXjZM7fK5uZSq8/edit?usp=share_link"",""ชัยนาท!n219"")+IMPORTRANGE(""https://docs.google.com/spreadsheets/d/1vWPVBOAaZ6mHSI8yf"&amp;"95DNqHwTJ1cpeFsvqt6cxV34QA/edit?usp=share_link"",""ตราด!n219"")+IMPORTRANGE(""https://docs.google.com/spreadsheets/d/1phaeSb9lTGgzDpbvVqI9hfmOQQzUom07-HEvpbARzEg/edit?usp=share_link"",""นครนายก!n219"")+IMPORTRANGE(""https://docs.google.com/spreadsheets/d/"&amp;"1tpwhWwkqkBeiSWCcfB5f2fbwPRbM9hHOEDSDHpl2MIc/edit?usp=share_link"",""นครปฐม!n219"")+IMPORTRANGE(""https://docs.google.com/spreadsheets/d/1fJJCVBkBnhriyv0Cp5ZFMr0I_yrfdEITNpb4zILJgUQ/edit?usp=share_link"",""ปทุมธานี!n219"")+IMPORTRANGE(""https://docs.googl"&amp;"e.com/spreadsheets/d/1W5Jj_S0gYw6wSO7QcMI02YgyOBDKYgmm0NSUk-AQEac/edit?usp=share_link"",""ประจวบคีรีขันธ์!n219"")+IMPORTRANGE(""https://docs.google.com/spreadsheets/d/1nYxRXgnCfTXtqUY1otYuTlnrzE0Tn-Y0YRsW5pkRVqo/edit?usp=share_link"",""ปราจีนบุรี!n219"")+"&amp;"IMPORTRANGE(""https://docs.google.com/spreadsheets/d/1nNHCLO8ZAXOMfQvxux7cf_hrzPAh8FAvaHq_ClKbZNo/edit?usp=share_link"",""พระนครศรีอยุธยา!n219"")+IMPORTRANGE(""https://docs.google.com/spreadsheets/d/1CdNicvf3i6yt4tJlCePe3V1Va76wYqW0QzMzTsaGRrA/edit?usp=sh"&amp;"are_link"",""เพชรบุรี!n219"")+IMPORTRANGE(""https://docs.google.com/spreadsheets/d/1XiF77UIVHV0Kjc6xbXuOuJ10WgJYxd4p_22ngKVV5oM/edit?usp=share_link"",""ระยอง!n219"")+IMPORTRANGE(""https://docs.google.com/spreadsheets/d/1qU-W_9MCQD1pgIVXGEOjCFo9QqlmJywueby"&amp;"GgaN92r8/edit?usp=share_link"",""ราชบุรี!n219"")+IMPORTRANGE(""https://docs.google.com/spreadsheets/d/1xYFIxIM_CspAP5Q-5Zx_V0T_Ut3cjryrjd2hss28vGk/edit?usp=share_link"",""ลพบุรี!n219"")+IMPORTRANGE(""https://docs.google.com/spreadsheets/d/11s9m3tKsCBdPWq6"&amp;"syhZm27eBGbKneDLZc75co106bio/edit?usp=share_link"",""สระแก้ว!n219"")+IMPORTRANGE(""https://docs.google.com/spreadsheets/d/1Nn1EvsFPtXldgpgVb3Rcng2K2cls68LFQsBh2FyW0Bg/edit?usp=share_link"",""สระบุรี!n219"")+IMPORTRANGE(""https://docs.google.com/spreadshee"&amp;"ts/d/149xufxukrnEciK3WPbNpHwUK8BKEJxp3UcBG3Al6dA4/edit?usp=share_link"",""สิงห์บุรี!n219"")+IMPORTRANGE(""https://docs.google.com/spreadsheets/d/132g-zJpz2uMKimp17uOIx8A7o3w1Z25zwJyXnwsB56c/edit?usp=share_link"",""สุพรรณบุรี!n219"")+IMPORTRANGE(""https://"&amp;"docs.google.com/spreadsheets/d/12Q_U0nVnFdxDFwa0pej9xvx8ZvLC9Dpi_vRro_aiG5g/edit?usp=share_link"",""อ่างทอง!n219"")
"),0)</f>
        <v>0</v>
      </c>
      <c r="O219" s="38"/>
      <c r="P219" s="38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20.25" customHeight="1">
      <c r="A220" s="284"/>
      <c r="B220" s="280"/>
      <c r="C220" s="292"/>
      <c r="D220" s="215" t="s">
        <v>98</v>
      </c>
      <c r="E220" s="33"/>
      <c r="F220" s="33"/>
      <c r="G220" s="35"/>
      <c r="H220" s="161" t="s">
        <v>12</v>
      </c>
      <c r="I220" s="37"/>
      <c r="J220" s="37"/>
      <c r="K220" s="38"/>
      <c r="L220" s="38">
        <f ca="1">IFERROR(__xludf.DUMMYFUNCTION("IMPORTRANGE(""https://docs.google.com/spreadsheets/d/1hKO5uv94SSRZWOvrh72HRcpyoEQF9TsE_Cvxl77XNU4/edit?usp=share_link"",""กาญจนบุรี!L220"")+IMPORTRANGE(""https://docs.google.com/spreadsheets/d/1njBaP_xXd-Uotvo2D9zb01TTCFkLJLDK97Tk1l9Qux0/edit?usp=share_li"&amp;"nk"",""จันทบุรี!L220"")+IMPORTRANGE(""https://docs.google.com/spreadsheets/d/14xp6qUzrGFnUk_qnc1eEmfiaNRd4_grkhpfQH_46fa8/edit?usp=share_link"",""ฉะเชิงเทรา!L220"")+IMPORTRANGE(""https://docs.google.com/spreadsheets/d/1_Zwps30dlVa-pZFsorjVf1Pil6WXwzCsJU0U"&amp;"2whO3NI/edit?usp=share_link"",""ชลบุรี!L220"")+IMPORTRANGE(""https://docs.google.com/spreadsheets/d/1xAsT4sUbBlom7l0acStESh_15nvjZcXjZM7fK5uZSq8/edit?usp=share_link"",""ชัยนาท!L220"")+IMPORTRANGE(""https://docs.google.com/spreadsheets/d/1vWPVBOAaZ6mHSI8yf"&amp;"95DNqHwTJ1cpeFsvqt6cxV34QA/edit?usp=share_link"",""ตราด!L220"")+IMPORTRANGE(""https://docs.google.com/spreadsheets/d/1phaeSb9lTGgzDpbvVqI9hfmOQQzUom07-HEvpbARzEg/edit?usp=share_link"",""นครนายก!L220"")+IMPORTRANGE(""https://docs.google.com/spreadsheets/d/"&amp;"1tpwhWwkqkBeiSWCcfB5f2fbwPRbM9hHOEDSDHpl2MIc/edit?usp=share_link"",""นครปฐม!L220"")+IMPORTRANGE(""https://docs.google.com/spreadsheets/d/1fJJCVBkBnhriyv0Cp5ZFMr0I_yrfdEITNpb4zILJgUQ/edit?usp=share_link"",""ปทุมธานี!L220"")+IMPORTRANGE(""https://docs.googl"&amp;"e.com/spreadsheets/d/1W5Jj_S0gYw6wSO7QcMI02YgyOBDKYgmm0NSUk-AQEac/edit?usp=share_link"",""ประจวบคีรีขันธ์!L220"")+IMPORTRANGE(""https://docs.google.com/spreadsheets/d/1nYxRXgnCfTXtqUY1otYuTlnrzE0Tn-Y0YRsW5pkRVqo/edit?usp=share_link"",""ปราจีนบุรี!L220"")+"&amp;"IMPORTRANGE(""https://docs.google.com/spreadsheets/d/1nNHCLO8ZAXOMfQvxux7cf_hrzPAh8FAvaHq_ClKbZNo/edit?usp=share_link"",""พระนครศรีอยุธยา!L220"")+IMPORTRANGE(""https://docs.google.com/spreadsheets/d/1CdNicvf3i6yt4tJlCePe3V1Va76wYqW0QzMzTsaGRrA/edit?usp=sh"&amp;"are_link"",""เพชรบุรี!L220"")+IMPORTRANGE(""https://docs.google.com/spreadsheets/d/1XiF77UIVHV0Kjc6xbXuOuJ10WgJYxd4p_22ngKVV5oM/edit?usp=share_link"",""ระยอง!L220"")+IMPORTRANGE(""https://docs.google.com/spreadsheets/d/1qU-W_9MCQD1pgIVXGEOjCFo9QqlmJywueby"&amp;"GgaN92r8/edit?usp=share_link"",""ราชบุรี!L220"")+IMPORTRANGE(""https://docs.google.com/spreadsheets/d/1xYFIxIM_CspAP5Q-5Zx_V0T_Ut3cjryrjd2hss28vGk/edit?usp=share_link"",""ลพบุรี!L220"")+IMPORTRANGE(""https://docs.google.com/spreadsheets/d/11s9m3tKsCBdPWq6"&amp;"syhZm27eBGbKneDLZc75co106bio/edit?usp=share_link"",""สระแก้ว!L220"")+IMPORTRANGE(""https://docs.google.com/spreadsheets/d/1Nn1EvsFPtXldgpgVb3Rcng2K2cls68LFQsBh2FyW0Bg/edit?usp=share_link"",""สระบุรี!L220"")+IMPORTRANGE(""https://docs.google.com/spreadshee"&amp;"ts/d/149xufxukrnEciK3WPbNpHwUK8BKEJxp3UcBG3Al6dA4/edit?usp=share_link"",""สิงห์บุรี!L220"")+IMPORTRANGE(""https://docs.google.com/spreadsheets/d/132g-zJpz2uMKimp17uOIx8A7o3w1Z25zwJyXnwsB56c/edit?usp=share_link"",""สุพรรณบุรี!L220"")+IMPORTRANGE(""https://"&amp;"docs.google.com/spreadsheets/d/12Q_U0nVnFdxDFwa0pej9xvx8ZvLC9Dpi_vRro_aiG5g/edit?usp=share_link"",""อ่างทอง!L220"")
"),40000)</f>
        <v>40000</v>
      </c>
      <c r="M220" s="38"/>
      <c r="N220" s="283">
        <f ca="1">IFERROR(__xludf.DUMMYFUNCTION("IMPORTRANGE(""https://docs.google.com/spreadsheets/d/1hKO5uv94SSRZWOvrh72HRcpyoEQF9TsE_Cvxl77XNU4/edit?usp=share_link"",""กาญจนบุรี!n220"")+IMPORTRANGE(""https://docs.google.com/spreadsheets/d/1njBaP_xXd-Uotvo2D9zb01TTCFkLJLDK97Tk1l9Qux0/edit?usp=share_li"&amp;"nk"",""จันทบุรี!n220"")+IMPORTRANGE(""https://docs.google.com/spreadsheets/d/14xp6qUzrGFnUk_qnc1eEmfiaNRd4_grkhpfQH_46fa8/edit?usp=share_link"",""ฉะเชิงเทรา!n220"")+IMPORTRANGE(""https://docs.google.com/spreadsheets/d/1_Zwps30dlVa-pZFsorjVf1Pil6WXwzCsJU0U"&amp;"2whO3NI/edit?usp=share_link"",""ชลบุรี!n220"")+IMPORTRANGE(""https://docs.google.com/spreadsheets/d/1xAsT4sUbBlom7l0acStESh_15nvjZcXjZM7fK5uZSq8/edit?usp=share_link"",""ชัยนาท!n220"")+IMPORTRANGE(""https://docs.google.com/spreadsheets/d/1vWPVBOAaZ6mHSI8yf"&amp;"95DNqHwTJ1cpeFsvqt6cxV34QA/edit?usp=share_link"",""ตราด!n220"")+IMPORTRANGE(""https://docs.google.com/spreadsheets/d/1phaeSb9lTGgzDpbvVqI9hfmOQQzUom07-HEvpbARzEg/edit?usp=share_link"",""นครนายก!n220"")+IMPORTRANGE(""https://docs.google.com/spreadsheets/d/"&amp;"1tpwhWwkqkBeiSWCcfB5f2fbwPRbM9hHOEDSDHpl2MIc/edit?usp=share_link"",""นครปฐม!n220"")+IMPORTRANGE(""https://docs.google.com/spreadsheets/d/1fJJCVBkBnhriyv0Cp5ZFMr0I_yrfdEITNpb4zILJgUQ/edit?usp=share_link"",""ปทุมธานี!n220"")+IMPORTRANGE(""https://docs.googl"&amp;"e.com/spreadsheets/d/1W5Jj_S0gYw6wSO7QcMI02YgyOBDKYgmm0NSUk-AQEac/edit?usp=share_link"",""ประจวบคีรีขันธ์!n220"")+IMPORTRANGE(""https://docs.google.com/spreadsheets/d/1nYxRXgnCfTXtqUY1otYuTlnrzE0Tn-Y0YRsW5pkRVqo/edit?usp=share_link"",""ปราจีนบุรี!n220"")+"&amp;"IMPORTRANGE(""https://docs.google.com/spreadsheets/d/1nNHCLO8ZAXOMfQvxux7cf_hrzPAh8FAvaHq_ClKbZNo/edit?usp=share_link"",""พระนครศรีอยุธยา!n220"")+IMPORTRANGE(""https://docs.google.com/spreadsheets/d/1CdNicvf3i6yt4tJlCePe3V1Va76wYqW0QzMzTsaGRrA/edit?usp=sh"&amp;"are_link"",""เพชรบุรี!n220"")+IMPORTRANGE(""https://docs.google.com/spreadsheets/d/1XiF77UIVHV0Kjc6xbXuOuJ10WgJYxd4p_22ngKVV5oM/edit?usp=share_link"",""ระยอง!n220"")+IMPORTRANGE(""https://docs.google.com/spreadsheets/d/1qU-W_9MCQD1pgIVXGEOjCFo9QqlmJywueby"&amp;"GgaN92r8/edit?usp=share_link"",""ราชบุรี!n220"")+IMPORTRANGE(""https://docs.google.com/spreadsheets/d/1xYFIxIM_CspAP5Q-5Zx_V0T_Ut3cjryrjd2hss28vGk/edit?usp=share_link"",""ลพบุรี!n220"")+IMPORTRANGE(""https://docs.google.com/spreadsheets/d/11s9m3tKsCBdPWq6"&amp;"syhZm27eBGbKneDLZc75co106bio/edit?usp=share_link"",""สระแก้ว!n220"")+IMPORTRANGE(""https://docs.google.com/spreadsheets/d/1Nn1EvsFPtXldgpgVb3Rcng2K2cls68LFQsBh2FyW0Bg/edit?usp=share_link"",""สระบุรี!n220"")+IMPORTRANGE(""https://docs.google.com/spreadshee"&amp;"ts/d/149xufxukrnEciK3WPbNpHwUK8BKEJxp3UcBG3Al6dA4/edit?usp=share_link"",""สิงห์บุรี!n220"")+IMPORTRANGE(""https://docs.google.com/spreadsheets/d/132g-zJpz2uMKimp17uOIx8A7o3w1Z25zwJyXnwsB56c/edit?usp=share_link"",""สุพรรณบุรี!n220"")+IMPORTRANGE(""https://"&amp;"docs.google.com/spreadsheets/d/12Q_U0nVnFdxDFwa0pej9xvx8ZvLC9Dpi_vRro_aiG5g/edit?usp=share_link"",""อ่างทอง!n220"")
"),10000)</f>
        <v>10000</v>
      </c>
      <c r="O220" s="38"/>
      <c r="P220" s="38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20.25" customHeight="1">
      <c r="A221" s="170"/>
      <c r="B221" s="171"/>
      <c r="C221" s="292" t="s">
        <v>16</v>
      </c>
      <c r="D221" s="172" t="s">
        <v>38</v>
      </c>
      <c r="E221" s="173"/>
      <c r="F221" s="173"/>
      <c r="G221" s="174"/>
      <c r="H221" s="175"/>
      <c r="I221" s="162"/>
      <c r="J221" s="162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20.25" customHeight="1">
      <c r="A222" s="170"/>
      <c r="B222" s="171"/>
      <c r="C222" s="171"/>
      <c r="D222" s="211" t="s">
        <v>111</v>
      </c>
      <c r="E222" s="178"/>
      <c r="F222" s="178"/>
      <c r="G222" s="179"/>
      <c r="H222" s="175"/>
      <c r="I222" s="37"/>
      <c r="J222" s="37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20.25" customHeight="1">
      <c r="A223" s="170"/>
      <c r="B223" s="171"/>
      <c r="C223" s="171"/>
      <c r="D223" s="171"/>
      <c r="E223" s="176" t="s">
        <v>112</v>
      </c>
      <c r="F223" s="178"/>
      <c r="G223" s="179"/>
      <c r="H223" s="182" t="s">
        <v>109</v>
      </c>
      <c r="I223" s="37">
        <f ca="1">IFERROR(__xludf.DUMMYFUNCTION("IMPORTRANGE(""https://docs.google.com/spreadsheets/d/1hKO5uv94SSRZWOvrh72HRcpyoEQF9TsE_Cvxl77XNU4/edit?usp=share_link"",""กาญจนบุรี!I223"")+IMPORTRANGE(""https://docs.google.com/spreadsheets/d/1njBaP_xXd-Uotvo2D9zb01TTCFkLJLDK97Tk1l9Qux0/edit?usp=share_li"&amp;"nk"",""จันทบุรี!I223"")+IMPORTRANGE(""https://docs.google.com/spreadsheets/d/14xp6qUzrGFnUk_qnc1eEmfiaNRd4_grkhpfQH_46fa8/edit?usp=share_link"",""ฉะเชิงเทรา!I223"")+IMPORTRANGE(""https://docs.google.com/spreadsheets/d/1_Zwps30dlVa-pZFsorjVf1Pil6WXwzCsJU0U"&amp;"2whO3NI/edit?usp=share_link"",""ชลบุรี!I223"")+IMPORTRANGE(""https://docs.google.com/spreadsheets/d/1xAsT4sUbBlom7l0acStESh_15nvjZcXjZM7fK5uZSq8/edit?usp=share_link"",""ชัยนาท!I223"")+IMPORTRANGE(""https://docs.google.com/spreadsheets/d/1vWPVBOAaZ6mHSI8yf"&amp;"95DNqHwTJ1cpeFsvqt6cxV34QA/edit?usp=share_link"",""ตราด!I223"")+IMPORTRANGE(""https://docs.google.com/spreadsheets/d/1phaeSb9lTGgzDpbvVqI9hfmOQQzUom07-HEvpbARzEg/edit?usp=share_link"",""นครนายก!I223"")+IMPORTRANGE(""https://docs.google.com/spreadsheets/d/"&amp;"1tpwhWwkqkBeiSWCcfB5f2fbwPRbM9hHOEDSDHpl2MIc/edit?usp=share_link"",""นครปฐม!I223"")+IMPORTRANGE(""https://docs.google.com/spreadsheets/d/1fJJCVBkBnhriyv0Cp5ZFMr0I_yrfdEITNpb4zILJgUQ/edit?usp=share_link"",""ปทุมธานี!I223"")+IMPORTRANGE(""https://docs.googl"&amp;"e.com/spreadsheets/d/1W5Jj_S0gYw6wSO7QcMI02YgyOBDKYgmm0NSUk-AQEac/edit?usp=share_link"",""ประจวบคีรีขันธ์!I223"")+IMPORTRANGE(""https://docs.google.com/spreadsheets/d/1nYxRXgnCfTXtqUY1otYuTlnrzE0Tn-Y0YRsW5pkRVqo/edit?usp=share_link"",""ปราจีนบุรี!I223"")+"&amp;"IMPORTRANGE(""https://docs.google.com/spreadsheets/d/1nNHCLO8ZAXOMfQvxux7cf_hrzPAh8FAvaHq_ClKbZNo/edit?usp=share_link"",""พระนครศรีอยุธยา!I223"")+IMPORTRANGE(""https://docs.google.com/spreadsheets/d/1CdNicvf3i6yt4tJlCePe3V1Va76wYqW0QzMzTsaGRrA/edit?usp=sh"&amp;"are_link"",""เพชรบุรี!I223"")+IMPORTRANGE(""https://docs.google.com/spreadsheets/d/1XiF77UIVHV0Kjc6xbXuOuJ10WgJYxd4p_22ngKVV5oM/edit?usp=share_link"",""ระยอง!I223"")+IMPORTRANGE(""https://docs.google.com/spreadsheets/d/1qU-W_9MCQD1pgIVXGEOjCFo9QqlmJywueby"&amp;"GgaN92r8/edit?usp=share_link"",""ราชบุรี!I223"")+IMPORTRANGE(""https://docs.google.com/spreadsheets/d/1xYFIxIM_CspAP5Q-5Zx_V0T_Ut3cjryrjd2hss28vGk/edit?usp=share_link"",""ลพบุรี!I223"")+IMPORTRANGE(""https://docs.google.com/spreadsheets/d/11s9m3tKsCBdPWq6"&amp;"syhZm27eBGbKneDLZc75co106bio/edit?usp=share_link"",""สระแก้ว!I223"")+IMPORTRANGE(""https://docs.google.com/spreadsheets/d/1Nn1EvsFPtXldgpgVb3Rcng2K2cls68LFQsBh2FyW0Bg/edit?usp=share_link"",""สระบุรี!I223"")+IMPORTRANGE(""https://docs.google.com/spreadshee"&amp;"ts/d/149xufxukrnEciK3WPbNpHwUK8BKEJxp3UcBG3Al6dA4/edit?usp=share_link"",""สิงห์บุรี!I223"")+IMPORTRANGE(""https://docs.google.com/spreadsheets/d/132g-zJpz2uMKimp17uOIx8A7o3w1Z25zwJyXnwsB56c/edit?usp=share_link"",""สุพรรณบุรี!I223"")+IMPORTRANGE(""https://"&amp;"docs.google.com/spreadsheets/d/12Q_U0nVnFdxDFwa0pej9xvx8ZvLC9Dpi_vRro_aiG5g/edit?usp=share_link"",""อ่างทอง!I223"")
"),470200)</f>
        <v>470200</v>
      </c>
      <c r="J223" s="183">
        <f ca="1">IFERROR(__xludf.DUMMYFUNCTION("IMPORTRANGE(""https://docs.google.com/spreadsheets/d/1hKO5uv94SSRZWOvrh72HRcpyoEQF9TsE_Cvxl77XNU4/edit?usp=share_link"",""กาญจนบุรี!J223"")+IMPORTRANGE(""https://docs.google.com/spreadsheets/d/1njBaP_xXd-Uotvo2D9zb01TTCFkLJLDK97Tk1l9Qux0/edit?usp=share_li"&amp;"nk"",""จันทบุรี!J223"")+IMPORTRANGE(""https://docs.google.com/spreadsheets/d/14xp6qUzrGFnUk_qnc1eEmfiaNRd4_grkhpfQH_46fa8/edit?usp=share_link"",""ฉะเชิงเทรา!J223"")+IMPORTRANGE(""https://docs.google.com/spreadsheets/d/1_Zwps30dlVa-pZFsorjVf1Pil6WXwzCsJU0U"&amp;"2whO3NI/edit?usp=share_link"",""ชลบุรี!J223"")+IMPORTRANGE(""https://docs.google.com/spreadsheets/d/1xAsT4sUbBlom7l0acStESh_15nvjZcXjZM7fK5uZSq8/edit?usp=share_link"",""ชัยนาท!J223"")+IMPORTRANGE(""https://docs.google.com/spreadsheets/d/1vWPVBOAaZ6mHSI8yf"&amp;"95DNqHwTJ1cpeFsvqt6cxV34QA/edit?usp=share_link"",""ตราด!J223"")+IMPORTRANGE(""https://docs.google.com/spreadsheets/d/1phaeSb9lTGgzDpbvVqI9hfmOQQzUom07-HEvpbARzEg/edit?usp=share_link"",""นครนายก!J223"")+IMPORTRANGE(""https://docs.google.com/spreadsheets/d/"&amp;"1tpwhWwkqkBeiSWCcfB5f2fbwPRbM9hHOEDSDHpl2MIc/edit?usp=share_link"",""นครปฐม!J223"")+IMPORTRANGE(""https://docs.google.com/spreadsheets/d/1fJJCVBkBnhriyv0Cp5ZFMr0I_yrfdEITNpb4zILJgUQ/edit?usp=share_link"",""ปทุมธานี!J223"")+IMPORTRANGE(""https://docs.googl"&amp;"e.com/spreadsheets/d/1W5Jj_S0gYw6wSO7QcMI02YgyOBDKYgmm0NSUk-AQEac/edit?usp=share_link"",""ประจวบคีรีขันธ์!J223"")+IMPORTRANGE(""https://docs.google.com/spreadsheets/d/1nYxRXgnCfTXtqUY1otYuTlnrzE0Tn-Y0YRsW5pkRVqo/edit?usp=share_link"",""ปราจีนบุรี!J223"")+"&amp;"IMPORTRANGE(""https://docs.google.com/spreadsheets/d/1nNHCLO8ZAXOMfQvxux7cf_hrzPAh8FAvaHq_ClKbZNo/edit?usp=share_link"",""พระนครศรีอยุธยา!J223"")+IMPORTRANGE(""https://docs.google.com/spreadsheets/d/1CdNicvf3i6yt4tJlCePe3V1Va76wYqW0QzMzTsaGRrA/edit?usp=sh"&amp;"are_link"",""เพชรบุรี!J223"")+IMPORTRANGE(""https://docs.google.com/spreadsheets/d/1XiF77UIVHV0Kjc6xbXuOuJ10WgJYxd4p_22ngKVV5oM/edit?usp=share_link"",""ระยอง!J223"")+IMPORTRANGE(""https://docs.google.com/spreadsheets/d/1qU-W_9MCQD1pgIVXGEOjCFo9QqlmJywueby"&amp;"GgaN92r8/edit?usp=share_link"",""ราชบุรี!J223"")+IMPORTRANGE(""https://docs.google.com/spreadsheets/d/1xYFIxIM_CspAP5Q-5Zx_V0T_Ut3cjryrjd2hss28vGk/edit?usp=share_link"",""ลพบุรี!J223"")+IMPORTRANGE(""https://docs.google.com/spreadsheets/d/11s9m3tKsCBdPWq6"&amp;"syhZm27eBGbKneDLZc75co106bio/edit?usp=share_link"",""สระแก้ว!J223"")+IMPORTRANGE(""https://docs.google.com/spreadsheets/d/1Nn1EvsFPtXldgpgVb3Rcng2K2cls68LFQsBh2FyW0Bg/edit?usp=share_link"",""สระบุรี!J223"")+IMPORTRANGE(""https://docs.google.com/spreadshee"&amp;"ts/d/149xufxukrnEciK3WPbNpHwUK8BKEJxp3UcBG3Al6dA4/edit?usp=share_link"",""สิงห์บุรี!J223"")+IMPORTRANGE(""https://docs.google.com/spreadsheets/d/132g-zJpz2uMKimp17uOIx8A7o3w1Z25zwJyXnwsB56c/edit?usp=share_link"",""สุพรรณบุรี!J223"")+IMPORTRANGE(""https://"&amp;"docs.google.com/spreadsheets/d/12Q_U0nVnFdxDFwa0pej9xvx8ZvLC9Dpi_vRro_aiG5g/edit?usp=share_link"",""อ่างทอง!J223"")
"),0)</f>
        <v>0</v>
      </c>
      <c r="K223" s="163">
        <f t="shared" ref="K223:K226" ca="1" si="125">IF(I223&gt;0,J223*100/I223,0)</f>
        <v>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20.25" customHeight="1">
      <c r="A224" s="170"/>
      <c r="B224" s="171"/>
      <c r="C224" s="171"/>
      <c r="D224" s="171"/>
      <c r="E224" s="176" t="s">
        <v>113</v>
      </c>
      <c r="F224" s="178"/>
      <c r="G224" s="179"/>
      <c r="H224" s="182" t="s">
        <v>109</v>
      </c>
      <c r="I224" s="37">
        <f ca="1">IFERROR(__xludf.DUMMYFUNCTION("IMPORTRANGE(""https://docs.google.com/spreadsheets/d/1hKO5uv94SSRZWOvrh72HRcpyoEQF9TsE_Cvxl77XNU4/edit?usp=share_link"",""กาญจนบุรี!I224"")+IMPORTRANGE(""https://docs.google.com/spreadsheets/d/1njBaP_xXd-Uotvo2D9zb01TTCFkLJLDK97Tk1l9Qux0/edit?usp=share_li"&amp;"nk"",""จันทบุรี!I224"")+IMPORTRANGE(""https://docs.google.com/spreadsheets/d/14xp6qUzrGFnUk_qnc1eEmfiaNRd4_grkhpfQH_46fa8/edit?usp=share_link"",""ฉะเชิงเทรา!I224"")+IMPORTRANGE(""https://docs.google.com/spreadsheets/d/1_Zwps30dlVa-pZFsorjVf1Pil6WXwzCsJU0U"&amp;"2whO3NI/edit?usp=share_link"",""ชลบุรี!I224"")+IMPORTRANGE(""https://docs.google.com/spreadsheets/d/1xAsT4sUbBlom7l0acStESh_15nvjZcXjZM7fK5uZSq8/edit?usp=share_link"",""ชัยนาท!I224"")+IMPORTRANGE(""https://docs.google.com/spreadsheets/d/1vWPVBOAaZ6mHSI8yf"&amp;"95DNqHwTJ1cpeFsvqt6cxV34QA/edit?usp=share_link"",""ตราด!I224"")+IMPORTRANGE(""https://docs.google.com/spreadsheets/d/1phaeSb9lTGgzDpbvVqI9hfmOQQzUom07-HEvpbARzEg/edit?usp=share_link"",""นครนายก!I224"")+IMPORTRANGE(""https://docs.google.com/spreadsheets/d/"&amp;"1tpwhWwkqkBeiSWCcfB5f2fbwPRbM9hHOEDSDHpl2MIc/edit?usp=share_link"",""นครปฐม!I224"")+IMPORTRANGE(""https://docs.google.com/spreadsheets/d/1fJJCVBkBnhriyv0Cp5ZFMr0I_yrfdEITNpb4zILJgUQ/edit?usp=share_link"",""ปทุมธานี!I224"")+IMPORTRANGE(""https://docs.googl"&amp;"e.com/spreadsheets/d/1W5Jj_S0gYw6wSO7QcMI02YgyOBDKYgmm0NSUk-AQEac/edit?usp=share_link"",""ประจวบคีรีขันธ์!I224"")+IMPORTRANGE(""https://docs.google.com/spreadsheets/d/1nYxRXgnCfTXtqUY1otYuTlnrzE0Tn-Y0YRsW5pkRVqo/edit?usp=share_link"",""ปราจีนบุรี!I224"")+"&amp;"IMPORTRANGE(""https://docs.google.com/spreadsheets/d/1nNHCLO8ZAXOMfQvxux7cf_hrzPAh8FAvaHq_ClKbZNo/edit?usp=share_link"",""พระนครศรีอยุธยา!I224"")+IMPORTRANGE(""https://docs.google.com/spreadsheets/d/1CdNicvf3i6yt4tJlCePe3V1Va76wYqW0QzMzTsaGRrA/edit?usp=sh"&amp;"are_link"",""เพชรบุรี!I224"")+IMPORTRANGE(""https://docs.google.com/spreadsheets/d/1XiF77UIVHV0Kjc6xbXuOuJ10WgJYxd4p_22ngKVV5oM/edit?usp=share_link"",""ระยอง!I224"")+IMPORTRANGE(""https://docs.google.com/spreadsheets/d/1qU-W_9MCQD1pgIVXGEOjCFo9QqlmJywueby"&amp;"GgaN92r8/edit?usp=share_link"",""ราชบุรี!I224"")+IMPORTRANGE(""https://docs.google.com/spreadsheets/d/1xYFIxIM_CspAP5Q-5Zx_V0T_Ut3cjryrjd2hss28vGk/edit?usp=share_link"",""ลพบุรี!I224"")+IMPORTRANGE(""https://docs.google.com/spreadsheets/d/11s9m3tKsCBdPWq6"&amp;"syhZm27eBGbKneDLZc75co106bio/edit?usp=share_link"",""สระแก้ว!I224"")+IMPORTRANGE(""https://docs.google.com/spreadsheets/d/1Nn1EvsFPtXldgpgVb3Rcng2K2cls68LFQsBh2FyW0Bg/edit?usp=share_link"",""สระบุรี!I224"")+IMPORTRANGE(""https://docs.google.com/spreadshee"&amp;"ts/d/149xufxukrnEciK3WPbNpHwUK8BKEJxp3UcBG3Al6dA4/edit?usp=share_link"",""สิงห์บุรี!I224"")+IMPORTRANGE(""https://docs.google.com/spreadsheets/d/132g-zJpz2uMKimp17uOIx8A7o3w1Z25zwJyXnwsB56c/edit?usp=share_link"",""สุพรรณบุรี!I224"")+IMPORTRANGE(""https://"&amp;"docs.google.com/spreadsheets/d/12Q_U0nVnFdxDFwa0pej9xvx8ZvLC9Dpi_vRro_aiG5g/edit?usp=share_link"",""อ่างทอง!I224"")
"),470200)</f>
        <v>470200</v>
      </c>
      <c r="J224" s="183">
        <f ca="1">IFERROR(__xludf.DUMMYFUNCTION("IMPORTRANGE(""https://docs.google.com/spreadsheets/d/1hKO5uv94SSRZWOvrh72HRcpyoEQF9TsE_Cvxl77XNU4/edit?usp=share_link"",""กาญจนบุรี!J224"")+IMPORTRANGE(""https://docs.google.com/spreadsheets/d/1njBaP_xXd-Uotvo2D9zb01TTCFkLJLDK97Tk1l9Qux0/edit?usp=share_li"&amp;"nk"",""จันทบุรี!J224"")+IMPORTRANGE(""https://docs.google.com/spreadsheets/d/14xp6qUzrGFnUk_qnc1eEmfiaNRd4_grkhpfQH_46fa8/edit?usp=share_link"",""ฉะเชิงเทรา!J224"")+IMPORTRANGE(""https://docs.google.com/spreadsheets/d/1_Zwps30dlVa-pZFsorjVf1Pil6WXwzCsJU0U"&amp;"2whO3NI/edit?usp=share_link"",""ชลบุรี!J224"")+IMPORTRANGE(""https://docs.google.com/spreadsheets/d/1xAsT4sUbBlom7l0acStESh_15nvjZcXjZM7fK5uZSq8/edit?usp=share_link"",""ชัยนาท!J224"")+IMPORTRANGE(""https://docs.google.com/spreadsheets/d/1vWPVBOAaZ6mHSI8yf"&amp;"95DNqHwTJ1cpeFsvqt6cxV34QA/edit?usp=share_link"",""ตราด!J224"")+IMPORTRANGE(""https://docs.google.com/spreadsheets/d/1phaeSb9lTGgzDpbvVqI9hfmOQQzUom07-HEvpbARzEg/edit?usp=share_link"",""นครนายก!J224"")+IMPORTRANGE(""https://docs.google.com/spreadsheets/d/"&amp;"1tpwhWwkqkBeiSWCcfB5f2fbwPRbM9hHOEDSDHpl2MIc/edit?usp=share_link"",""นครปฐม!J224"")+IMPORTRANGE(""https://docs.google.com/spreadsheets/d/1fJJCVBkBnhriyv0Cp5ZFMr0I_yrfdEITNpb4zILJgUQ/edit?usp=share_link"",""ปทุมธานี!J224"")+IMPORTRANGE(""https://docs.googl"&amp;"e.com/spreadsheets/d/1W5Jj_S0gYw6wSO7QcMI02YgyOBDKYgmm0NSUk-AQEac/edit?usp=share_link"",""ประจวบคีรีขันธ์!J224"")+IMPORTRANGE(""https://docs.google.com/spreadsheets/d/1nYxRXgnCfTXtqUY1otYuTlnrzE0Tn-Y0YRsW5pkRVqo/edit?usp=share_link"",""ปราจีนบุรี!J224"")+"&amp;"IMPORTRANGE(""https://docs.google.com/spreadsheets/d/1nNHCLO8ZAXOMfQvxux7cf_hrzPAh8FAvaHq_ClKbZNo/edit?usp=share_link"",""พระนครศรีอยุธยา!J224"")+IMPORTRANGE(""https://docs.google.com/spreadsheets/d/1CdNicvf3i6yt4tJlCePe3V1Va76wYqW0QzMzTsaGRrA/edit?usp=sh"&amp;"are_link"",""เพชรบุรี!J224"")+IMPORTRANGE(""https://docs.google.com/spreadsheets/d/1XiF77UIVHV0Kjc6xbXuOuJ10WgJYxd4p_22ngKVV5oM/edit?usp=share_link"",""ระยอง!J224"")+IMPORTRANGE(""https://docs.google.com/spreadsheets/d/1qU-W_9MCQD1pgIVXGEOjCFo9QqlmJywueby"&amp;"GgaN92r8/edit?usp=share_link"",""ราชบุรี!J224"")+IMPORTRANGE(""https://docs.google.com/spreadsheets/d/1xYFIxIM_CspAP5Q-5Zx_V0T_Ut3cjryrjd2hss28vGk/edit?usp=share_link"",""ลพบุรี!J224"")+IMPORTRANGE(""https://docs.google.com/spreadsheets/d/11s9m3tKsCBdPWq6"&amp;"syhZm27eBGbKneDLZc75co106bio/edit?usp=share_link"",""สระแก้ว!J224"")+IMPORTRANGE(""https://docs.google.com/spreadsheets/d/1Nn1EvsFPtXldgpgVb3Rcng2K2cls68LFQsBh2FyW0Bg/edit?usp=share_link"",""สระบุรี!J224"")+IMPORTRANGE(""https://docs.google.com/spreadshee"&amp;"ts/d/149xufxukrnEciK3WPbNpHwUK8BKEJxp3UcBG3Al6dA4/edit?usp=share_link"",""สิงห์บุรี!J224"")+IMPORTRANGE(""https://docs.google.com/spreadsheets/d/132g-zJpz2uMKimp17uOIx8A7o3w1Z25zwJyXnwsB56c/edit?usp=share_link"",""สุพรรณบุรี!J224"")+IMPORTRANGE(""https://"&amp;"docs.google.com/spreadsheets/d/12Q_U0nVnFdxDFwa0pej9xvx8ZvLC9Dpi_vRro_aiG5g/edit?usp=share_link"",""อ่างทอง!J224"")
"),0)</f>
        <v>0</v>
      </c>
      <c r="K224" s="163">
        <f t="shared" ca="1" si="125"/>
        <v>0</v>
      </c>
      <c r="L224" s="38"/>
      <c r="M224" s="38"/>
      <c r="N224" s="38"/>
      <c r="O224" s="38"/>
      <c r="P224" s="38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20.25" customHeight="1">
      <c r="A225" s="170"/>
      <c r="B225" s="171"/>
      <c r="C225" s="171"/>
      <c r="D225" s="211" t="s">
        <v>114</v>
      </c>
      <c r="E225" s="178"/>
      <c r="F225" s="178"/>
      <c r="G225" s="179"/>
      <c r="H225" s="182" t="s">
        <v>35</v>
      </c>
      <c r="I225" s="37">
        <f ca="1">IFERROR(__xludf.DUMMYFUNCTION("IMPORTRANGE(""https://docs.google.com/spreadsheets/d/1hKO5uv94SSRZWOvrh72HRcpyoEQF9TsE_Cvxl77XNU4/edit?usp=share_link"",""กาญจนบุรี!I225"")+IMPORTRANGE(""https://docs.google.com/spreadsheets/d/1njBaP_xXd-Uotvo2D9zb01TTCFkLJLDK97Tk1l9Qux0/edit?usp=share_li"&amp;"nk"",""จันทบุรี!I225"")+IMPORTRANGE(""https://docs.google.com/spreadsheets/d/14xp6qUzrGFnUk_qnc1eEmfiaNRd4_grkhpfQH_46fa8/edit?usp=share_link"",""ฉะเชิงเทรา!I225"")+IMPORTRANGE(""https://docs.google.com/spreadsheets/d/1_Zwps30dlVa-pZFsorjVf1Pil6WXwzCsJU0U"&amp;"2whO3NI/edit?usp=share_link"",""ชลบุรี!I225"")+IMPORTRANGE(""https://docs.google.com/spreadsheets/d/1xAsT4sUbBlom7l0acStESh_15nvjZcXjZM7fK5uZSq8/edit?usp=share_link"",""ชัยนาท!I225"")+IMPORTRANGE(""https://docs.google.com/spreadsheets/d/1vWPVBOAaZ6mHSI8yf"&amp;"95DNqHwTJ1cpeFsvqt6cxV34QA/edit?usp=share_link"",""ตราด!I225"")+IMPORTRANGE(""https://docs.google.com/spreadsheets/d/1phaeSb9lTGgzDpbvVqI9hfmOQQzUom07-HEvpbARzEg/edit?usp=share_link"",""นครนายก!I225"")+IMPORTRANGE(""https://docs.google.com/spreadsheets/d/"&amp;"1tpwhWwkqkBeiSWCcfB5f2fbwPRbM9hHOEDSDHpl2MIc/edit?usp=share_link"",""นครปฐม!I225"")+IMPORTRANGE(""https://docs.google.com/spreadsheets/d/1fJJCVBkBnhriyv0Cp5ZFMr0I_yrfdEITNpb4zILJgUQ/edit?usp=share_link"",""ปทุมธานี!I225"")+IMPORTRANGE(""https://docs.googl"&amp;"e.com/spreadsheets/d/1W5Jj_S0gYw6wSO7QcMI02YgyOBDKYgmm0NSUk-AQEac/edit?usp=share_link"",""ประจวบคีรีขันธ์!I225"")+IMPORTRANGE(""https://docs.google.com/spreadsheets/d/1nYxRXgnCfTXtqUY1otYuTlnrzE0Tn-Y0YRsW5pkRVqo/edit?usp=share_link"",""ปราจีนบุรี!I225"")+"&amp;"IMPORTRANGE(""https://docs.google.com/spreadsheets/d/1nNHCLO8ZAXOMfQvxux7cf_hrzPAh8FAvaHq_ClKbZNo/edit?usp=share_link"",""พระนครศรีอยุธยา!I225"")+IMPORTRANGE(""https://docs.google.com/spreadsheets/d/1CdNicvf3i6yt4tJlCePe3V1Va76wYqW0QzMzTsaGRrA/edit?usp=sh"&amp;"are_link"",""เพชรบุรี!I225"")+IMPORTRANGE(""https://docs.google.com/spreadsheets/d/1XiF77UIVHV0Kjc6xbXuOuJ10WgJYxd4p_22ngKVV5oM/edit?usp=share_link"",""ระยอง!I225"")+IMPORTRANGE(""https://docs.google.com/spreadsheets/d/1qU-W_9MCQD1pgIVXGEOjCFo9QqlmJywueby"&amp;"GgaN92r8/edit?usp=share_link"",""ราชบุรี!I225"")+IMPORTRANGE(""https://docs.google.com/spreadsheets/d/1xYFIxIM_CspAP5Q-5Zx_V0T_Ut3cjryrjd2hss28vGk/edit?usp=share_link"",""ลพบุรี!I225"")+IMPORTRANGE(""https://docs.google.com/spreadsheets/d/11s9m3tKsCBdPWq6"&amp;"syhZm27eBGbKneDLZc75co106bio/edit?usp=share_link"",""สระแก้ว!I225"")+IMPORTRANGE(""https://docs.google.com/spreadsheets/d/1Nn1EvsFPtXldgpgVb3Rcng2K2cls68LFQsBh2FyW0Bg/edit?usp=share_link"",""สระบุรี!I225"")+IMPORTRANGE(""https://docs.google.com/spreadshee"&amp;"ts/d/149xufxukrnEciK3WPbNpHwUK8BKEJxp3UcBG3Al6dA4/edit?usp=share_link"",""สิงห์บุรี!I225"")+IMPORTRANGE(""https://docs.google.com/spreadsheets/d/132g-zJpz2uMKimp17uOIx8A7o3w1Z25zwJyXnwsB56c/edit?usp=share_link"",""สุพรรณบุรี!I225"")+IMPORTRANGE(""https://"&amp;"docs.google.com/spreadsheets/d/12Q_U0nVnFdxDFwa0pej9xvx8ZvLC9Dpi_vRro_aiG5g/edit?usp=share_link"",""อ่างทอง!I225"")
"),40)</f>
        <v>40</v>
      </c>
      <c r="J225" s="183">
        <f ca="1">IFERROR(__xludf.DUMMYFUNCTION("IMPORTRANGE(""https://docs.google.com/spreadsheets/d/1hKO5uv94SSRZWOvrh72HRcpyoEQF9TsE_Cvxl77XNU4/edit?usp=share_link"",""กาญจนบุรี!J225"")+IMPORTRANGE(""https://docs.google.com/spreadsheets/d/1njBaP_xXd-Uotvo2D9zb01TTCFkLJLDK97Tk1l9Qux0/edit?usp=share_li"&amp;"nk"",""จันทบุรี!J225"")+IMPORTRANGE(""https://docs.google.com/spreadsheets/d/14xp6qUzrGFnUk_qnc1eEmfiaNRd4_grkhpfQH_46fa8/edit?usp=share_link"",""ฉะเชิงเทรา!J225"")+IMPORTRANGE(""https://docs.google.com/spreadsheets/d/1_Zwps30dlVa-pZFsorjVf1Pil6WXwzCsJU0U"&amp;"2whO3NI/edit?usp=share_link"",""ชลบุรี!J225"")+IMPORTRANGE(""https://docs.google.com/spreadsheets/d/1xAsT4sUbBlom7l0acStESh_15nvjZcXjZM7fK5uZSq8/edit?usp=share_link"",""ชัยนาท!J225"")+IMPORTRANGE(""https://docs.google.com/spreadsheets/d/1vWPVBOAaZ6mHSI8yf"&amp;"95DNqHwTJ1cpeFsvqt6cxV34QA/edit?usp=share_link"",""ตราด!J225"")+IMPORTRANGE(""https://docs.google.com/spreadsheets/d/1phaeSb9lTGgzDpbvVqI9hfmOQQzUom07-HEvpbARzEg/edit?usp=share_link"",""นครนายก!J225"")+IMPORTRANGE(""https://docs.google.com/spreadsheets/d/"&amp;"1tpwhWwkqkBeiSWCcfB5f2fbwPRbM9hHOEDSDHpl2MIc/edit?usp=share_link"",""นครปฐม!J225"")+IMPORTRANGE(""https://docs.google.com/spreadsheets/d/1fJJCVBkBnhriyv0Cp5ZFMr0I_yrfdEITNpb4zILJgUQ/edit?usp=share_link"",""ปทุมธานี!J225"")+IMPORTRANGE(""https://docs.googl"&amp;"e.com/spreadsheets/d/1W5Jj_S0gYw6wSO7QcMI02YgyOBDKYgmm0NSUk-AQEac/edit?usp=share_link"",""ประจวบคีรีขันธ์!J225"")+IMPORTRANGE(""https://docs.google.com/spreadsheets/d/1nYxRXgnCfTXtqUY1otYuTlnrzE0Tn-Y0YRsW5pkRVqo/edit?usp=share_link"",""ปราจีนบุรี!J225"")+"&amp;"IMPORTRANGE(""https://docs.google.com/spreadsheets/d/1nNHCLO8ZAXOMfQvxux7cf_hrzPAh8FAvaHq_ClKbZNo/edit?usp=share_link"",""พระนครศรีอยุธยา!J225"")+IMPORTRANGE(""https://docs.google.com/spreadsheets/d/1CdNicvf3i6yt4tJlCePe3V1Va76wYqW0QzMzTsaGRrA/edit?usp=sh"&amp;"are_link"",""เพชรบุรี!J225"")+IMPORTRANGE(""https://docs.google.com/spreadsheets/d/1XiF77UIVHV0Kjc6xbXuOuJ10WgJYxd4p_22ngKVV5oM/edit?usp=share_link"",""ระยอง!J225"")+IMPORTRANGE(""https://docs.google.com/spreadsheets/d/1qU-W_9MCQD1pgIVXGEOjCFo9QqlmJywueby"&amp;"GgaN92r8/edit?usp=share_link"",""ราชบุรี!J225"")+IMPORTRANGE(""https://docs.google.com/spreadsheets/d/1xYFIxIM_CspAP5Q-5Zx_V0T_Ut3cjryrjd2hss28vGk/edit?usp=share_link"",""ลพบุรี!J225"")+IMPORTRANGE(""https://docs.google.com/spreadsheets/d/11s9m3tKsCBdPWq6"&amp;"syhZm27eBGbKneDLZc75co106bio/edit?usp=share_link"",""สระแก้ว!J225"")+IMPORTRANGE(""https://docs.google.com/spreadsheets/d/1Nn1EvsFPtXldgpgVb3Rcng2K2cls68LFQsBh2FyW0Bg/edit?usp=share_link"",""สระบุรี!J225"")+IMPORTRANGE(""https://docs.google.com/spreadshee"&amp;"ts/d/149xufxukrnEciK3WPbNpHwUK8BKEJxp3UcBG3Al6dA4/edit?usp=share_link"",""สิงห์บุรี!J225"")+IMPORTRANGE(""https://docs.google.com/spreadsheets/d/132g-zJpz2uMKimp17uOIx8A7o3w1Z25zwJyXnwsB56c/edit?usp=share_link"",""สุพรรณบุรี!J225"")+IMPORTRANGE(""https://"&amp;"docs.google.com/spreadsheets/d/12Q_U0nVnFdxDFwa0pej9xvx8ZvLC9Dpi_vRro_aiG5g/edit?usp=share_link"",""อ่างทอง!J225"")
"),10)</f>
        <v>10</v>
      </c>
      <c r="K225" s="163">
        <f t="shared" ca="1" si="125"/>
        <v>25</v>
      </c>
      <c r="L225" s="38"/>
      <c r="M225" s="38"/>
      <c r="N225" s="38"/>
      <c r="O225" s="38"/>
      <c r="P225" s="38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20.25" customHeight="1">
      <c r="A226" s="293"/>
      <c r="B226" s="294"/>
      <c r="C226" s="295" t="s">
        <v>115</v>
      </c>
      <c r="D226" s="296"/>
      <c r="E226" s="296"/>
      <c r="F226" s="296"/>
      <c r="G226" s="297"/>
      <c r="H226" s="298" t="s">
        <v>35</v>
      </c>
      <c r="I226" s="299">
        <f t="shared" ref="I226:J226" ca="1" si="126">I237+I248</f>
        <v>340</v>
      </c>
      <c r="J226" s="299">
        <f t="shared" ca="1" si="126"/>
        <v>140</v>
      </c>
      <c r="K226" s="300">
        <f t="shared" ca="1" si="125"/>
        <v>41.176470588235297</v>
      </c>
      <c r="L226" s="301"/>
      <c r="M226" s="301"/>
      <c r="N226" s="301"/>
      <c r="O226" s="301"/>
      <c r="P226" s="301"/>
      <c r="Q226" s="302"/>
      <c r="R226" s="302"/>
      <c r="S226" s="302"/>
      <c r="T226" s="302"/>
      <c r="U226" s="302"/>
      <c r="V226" s="302"/>
      <c r="W226" s="302"/>
      <c r="X226" s="302"/>
      <c r="Y226" s="302"/>
      <c r="Z226" s="302"/>
    </row>
    <row r="227" spans="1:26" ht="20.25" customHeight="1">
      <c r="A227" s="303"/>
      <c r="B227" s="304"/>
      <c r="C227" s="305" t="s">
        <v>16</v>
      </c>
      <c r="D227" s="306" t="s">
        <v>17</v>
      </c>
      <c r="E227" s="304"/>
      <c r="F227" s="304"/>
      <c r="G227" s="307"/>
      <c r="H227" s="308" t="s">
        <v>12</v>
      </c>
      <c r="I227" s="309"/>
      <c r="J227" s="309"/>
      <c r="K227" s="310"/>
      <c r="L227" s="311">
        <f t="shared" ref="L227:L231" ca="1" si="127">L238+L249</f>
        <v>1520400</v>
      </c>
      <c r="M227" s="311"/>
      <c r="N227" s="311">
        <f t="shared" ref="N227:N231" ca="1" si="128">N238+N249</f>
        <v>109706.67</v>
      </c>
      <c r="O227" s="312"/>
      <c r="P227" s="312"/>
      <c r="Q227" s="313"/>
      <c r="R227" s="313"/>
      <c r="S227" s="313"/>
      <c r="T227" s="313"/>
      <c r="U227" s="313"/>
      <c r="V227" s="313"/>
      <c r="W227" s="313"/>
      <c r="X227" s="313"/>
      <c r="Y227" s="313"/>
      <c r="Z227" s="313"/>
    </row>
    <row r="228" spans="1:26" ht="20.25" customHeight="1">
      <c r="A228" s="314"/>
      <c r="B228" s="315"/>
      <c r="C228" s="316"/>
      <c r="D228" s="317" t="s">
        <v>97</v>
      </c>
      <c r="E228" s="316"/>
      <c r="F228" s="316"/>
      <c r="G228" s="318"/>
      <c r="H228" s="319" t="s">
        <v>12</v>
      </c>
      <c r="I228" s="320"/>
      <c r="J228" s="320"/>
      <c r="K228" s="321"/>
      <c r="L228" s="282">
        <f t="shared" ca="1" si="127"/>
        <v>686000</v>
      </c>
      <c r="M228" s="282"/>
      <c r="N228" s="282">
        <f t="shared" ca="1" si="128"/>
        <v>64856.67</v>
      </c>
      <c r="O228" s="282"/>
      <c r="P228" s="282"/>
      <c r="Q228" s="313"/>
      <c r="R228" s="313"/>
      <c r="S228" s="313"/>
      <c r="T228" s="313"/>
      <c r="U228" s="313"/>
      <c r="V228" s="313"/>
      <c r="W228" s="313"/>
      <c r="X228" s="313"/>
      <c r="Y228" s="313"/>
      <c r="Z228" s="313"/>
    </row>
    <row r="229" spans="1:26" ht="20.25" customHeight="1">
      <c r="A229" s="322"/>
      <c r="B229" s="315"/>
      <c r="C229" s="323"/>
      <c r="D229" s="324" t="s">
        <v>98</v>
      </c>
      <c r="E229" s="316"/>
      <c r="F229" s="316"/>
      <c r="G229" s="318"/>
      <c r="H229" s="319" t="s">
        <v>12</v>
      </c>
      <c r="I229" s="325"/>
      <c r="J229" s="325"/>
      <c r="K229" s="282"/>
      <c r="L229" s="282">
        <f t="shared" ca="1" si="127"/>
        <v>431900</v>
      </c>
      <c r="M229" s="282"/>
      <c r="N229" s="282">
        <f t="shared" ca="1" si="128"/>
        <v>44850</v>
      </c>
      <c r="O229" s="282"/>
      <c r="P229" s="282"/>
      <c r="Q229" s="326"/>
      <c r="R229" s="326"/>
      <c r="S229" s="326"/>
      <c r="T229" s="326"/>
      <c r="U229" s="326"/>
      <c r="V229" s="326"/>
      <c r="W229" s="326"/>
      <c r="X229" s="326"/>
      <c r="Y229" s="326"/>
      <c r="Z229" s="326"/>
    </row>
    <row r="230" spans="1:26" ht="20.25" customHeight="1">
      <c r="A230" s="322"/>
      <c r="B230" s="315"/>
      <c r="C230" s="323"/>
      <c r="D230" s="324" t="s">
        <v>116</v>
      </c>
      <c r="E230" s="316"/>
      <c r="F230" s="316"/>
      <c r="G230" s="318"/>
      <c r="H230" s="319" t="s">
        <v>12</v>
      </c>
      <c r="I230" s="325"/>
      <c r="J230" s="325"/>
      <c r="K230" s="282"/>
      <c r="L230" s="282">
        <f t="shared" ca="1" si="127"/>
        <v>252500</v>
      </c>
      <c r="M230" s="282"/>
      <c r="N230" s="282">
        <f t="shared" ca="1" si="128"/>
        <v>0</v>
      </c>
      <c r="O230" s="282"/>
      <c r="P230" s="282"/>
      <c r="Q230" s="326"/>
      <c r="R230" s="326"/>
      <c r="S230" s="326"/>
      <c r="T230" s="326"/>
      <c r="U230" s="326"/>
      <c r="V230" s="326"/>
      <c r="W230" s="326"/>
      <c r="X230" s="326"/>
      <c r="Y230" s="326"/>
      <c r="Z230" s="326"/>
    </row>
    <row r="231" spans="1:26" ht="20.25" customHeight="1">
      <c r="A231" s="322"/>
      <c r="B231" s="315"/>
      <c r="C231" s="323"/>
      <c r="D231" s="324" t="s">
        <v>100</v>
      </c>
      <c r="E231" s="316"/>
      <c r="F231" s="316"/>
      <c r="G231" s="318"/>
      <c r="H231" s="319" t="s">
        <v>12</v>
      </c>
      <c r="I231" s="325"/>
      <c r="J231" s="325"/>
      <c r="K231" s="282"/>
      <c r="L231" s="282">
        <f t="shared" ca="1" si="127"/>
        <v>150000</v>
      </c>
      <c r="M231" s="282"/>
      <c r="N231" s="282">
        <f t="shared" ca="1" si="128"/>
        <v>0</v>
      </c>
      <c r="O231" s="282"/>
      <c r="P231" s="282"/>
      <c r="Q231" s="326"/>
      <c r="R231" s="326"/>
      <c r="S231" s="326"/>
      <c r="T231" s="326"/>
      <c r="U231" s="326"/>
      <c r="V231" s="326"/>
      <c r="W231" s="326"/>
      <c r="X231" s="326"/>
      <c r="Y231" s="326"/>
      <c r="Z231" s="326"/>
    </row>
    <row r="232" spans="1:26" ht="20.25" customHeight="1">
      <c r="A232" s="327"/>
      <c r="B232" s="328"/>
      <c r="C232" s="323" t="s">
        <v>16</v>
      </c>
      <c r="D232" s="329" t="s">
        <v>38</v>
      </c>
      <c r="E232" s="330"/>
      <c r="F232" s="330"/>
      <c r="G232" s="331"/>
      <c r="H232" s="332"/>
      <c r="I232" s="320"/>
      <c r="J232" s="325"/>
      <c r="K232" s="282"/>
      <c r="L232" s="282"/>
      <c r="M232" s="282"/>
      <c r="N232" s="282"/>
      <c r="O232" s="321"/>
      <c r="P232" s="321"/>
      <c r="Q232" s="313"/>
      <c r="R232" s="313"/>
      <c r="S232" s="313"/>
      <c r="T232" s="313"/>
      <c r="U232" s="313"/>
      <c r="V232" s="313"/>
      <c r="W232" s="313"/>
      <c r="X232" s="313"/>
      <c r="Y232" s="313"/>
      <c r="Z232" s="313"/>
    </row>
    <row r="233" spans="1:26" ht="20.25" customHeight="1">
      <c r="A233" s="327"/>
      <c r="B233" s="328"/>
      <c r="C233" s="328"/>
      <c r="D233" s="333" t="s">
        <v>117</v>
      </c>
      <c r="E233" s="334"/>
      <c r="F233" s="334"/>
      <c r="G233" s="335"/>
      <c r="H233" s="336" t="s">
        <v>35</v>
      </c>
      <c r="I233" s="325">
        <f t="shared" ref="I233:J233" ca="1" si="129">I244+I255</f>
        <v>340</v>
      </c>
      <c r="J233" s="325">
        <f t="shared" ca="1" si="129"/>
        <v>140</v>
      </c>
      <c r="K233" s="282">
        <f ca="1">IF(I233&gt;0,J233*100/I233,0)</f>
        <v>41.176470588235297</v>
      </c>
      <c r="L233" s="282"/>
      <c r="M233" s="282"/>
      <c r="N233" s="282"/>
      <c r="O233" s="282"/>
      <c r="P233" s="282"/>
      <c r="Q233" s="313"/>
      <c r="R233" s="313"/>
      <c r="S233" s="313"/>
      <c r="T233" s="313"/>
      <c r="U233" s="313"/>
      <c r="V233" s="313"/>
      <c r="W233" s="313"/>
      <c r="X233" s="313"/>
      <c r="Y233" s="313"/>
      <c r="Z233" s="313"/>
    </row>
    <row r="234" spans="1:26" ht="20.25" customHeight="1">
      <c r="A234" s="327"/>
      <c r="B234" s="328"/>
      <c r="C234" s="328"/>
      <c r="D234" s="337" t="s">
        <v>43</v>
      </c>
      <c r="E234" s="334"/>
      <c r="F234" s="334"/>
      <c r="G234" s="335"/>
      <c r="H234" s="336"/>
      <c r="I234" s="325"/>
      <c r="J234" s="325"/>
      <c r="K234" s="282"/>
      <c r="L234" s="282"/>
      <c r="M234" s="282"/>
      <c r="N234" s="282"/>
      <c r="O234" s="321"/>
      <c r="P234" s="321"/>
      <c r="Q234" s="313"/>
      <c r="R234" s="313"/>
      <c r="S234" s="313"/>
      <c r="T234" s="313"/>
      <c r="U234" s="313"/>
      <c r="V234" s="313"/>
      <c r="W234" s="313"/>
      <c r="X234" s="313"/>
      <c r="Y234" s="313"/>
      <c r="Z234" s="313"/>
    </row>
    <row r="235" spans="1:26" ht="20.25" customHeight="1">
      <c r="A235" s="327"/>
      <c r="B235" s="328"/>
      <c r="C235" s="328"/>
      <c r="D235" s="328"/>
      <c r="E235" s="338" t="s">
        <v>118</v>
      </c>
      <c r="F235" s="334"/>
      <c r="G235" s="335"/>
      <c r="H235" s="336" t="s">
        <v>35</v>
      </c>
      <c r="I235" s="325">
        <f t="shared" ref="I235:J235" ca="1" si="130">I246+I257</f>
        <v>280</v>
      </c>
      <c r="J235" s="325">
        <f t="shared" ca="1" si="130"/>
        <v>0</v>
      </c>
      <c r="K235" s="282">
        <f t="shared" ref="K235:K237" ca="1" si="131">IF(I235&gt;0,J235*100/I235,0)</f>
        <v>0</v>
      </c>
      <c r="L235" s="282"/>
      <c r="M235" s="282"/>
      <c r="N235" s="282"/>
      <c r="O235" s="282"/>
      <c r="P235" s="282"/>
      <c r="Q235" s="313"/>
      <c r="R235" s="313"/>
      <c r="S235" s="313"/>
      <c r="T235" s="313"/>
      <c r="U235" s="313"/>
      <c r="V235" s="313"/>
      <c r="W235" s="313"/>
      <c r="X235" s="313"/>
      <c r="Y235" s="313"/>
      <c r="Z235" s="313"/>
    </row>
    <row r="236" spans="1:26" ht="20.25" customHeight="1">
      <c r="A236" s="327"/>
      <c r="B236" s="328"/>
      <c r="C236" s="328"/>
      <c r="D236" s="328"/>
      <c r="E236" s="338" t="s">
        <v>119</v>
      </c>
      <c r="F236" s="334"/>
      <c r="G236" s="335"/>
      <c r="H236" s="336" t="s">
        <v>69</v>
      </c>
      <c r="I236" s="325">
        <f t="shared" ref="I236:J236" ca="1" si="132">I247+I258</f>
        <v>13</v>
      </c>
      <c r="J236" s="325">
        <f t="shared" ca="1" si="132"/>
        <v>0</v>
      </c>
      <c r="K236" s="282">
        <f t="shared" ca="1" si="131"/>
        <v>0</v>
      </c>
      <c r="L236" s="282"/>
      <c r="M236" s="282"/>
      <c r="N236" s="282"/>
      <c r="O236" s="282"/>
      <c r="P236" s="282"/>
      <c r="Q236" s="313"/>
      <c r="R236" s="313"/>
      <c r="S236" s="313"/>
      <c r="T236" s="313"/>
      <c r="U236" s="313"/>
      <c r="V236" s="313"/>
      <c r="W236" s="313"/>
      <c r="X236" s="313"/>
      <c r="Y236" s="313"/>
      <c r="Z236" s="313"/>
    </row>
    <row r="237" spans="1:26" ht="20.25" hidden="1" customHeight="1">
      <c r="A237" s="339"/>
      <c r="B237" s="340"/>
      <c r="C237" s="341" t="s">
        <v>120</v>
      </c>
      <c r="D237" s="342"/>
      <c r="E237" s="342"/>
      <c r="F237" s="342"/>
      <c r="G237" s="343"/>
      <c r="H237" s="265" t="s">
        <v>35</v>
      </c>
      <c r="I237" s="344">
        <f t="shared" ref="I237:J237" ca="1" si="133">I244</f>
        <v>270</v>
      </c>
      <c r="J237" s="344">
        <f t="shared" ca="1" si="133"/>
        <v>100</v>
      </c>
      <c r="K237" s="345">
        <f t="shared" ca="1" si="131"/>
        <v>37.037037037037038</v>
      </c>
      <c r="L237" s="346"/>
      <c r="M237" s="346"/>
      <c r="N237" s="346"/>
      <c r="O237" s="346"/>
      <c r="P237" s="346"/>
      <c r="Q237" s="224"/>
      <c r="R237" s="224"/>
      <c r="S237" s="224"/>
      <c r="T237" s="224"/>
      <c r="U237" s="224"/>
      <c r="V237" s="224"/>
      <c r="W237" s="224"/>
      <c r="X237" s="224"/>
      <c r="Y237" s="224"/>
      <c r="Z237" s="224"/>
    </row>
    <row r="238" spans="1:26" ht="20.25" hidden="1" customHeight="1">
      <c r="A238" s="347"/>
      <c r="B238" s="348"/>
      <c r="C238" s="349" t="s">
        <v>16</v>
      </c>
      <c r="D238" s="350" t="s">
        <v>17</v>
      </c>
      <c r="E238" s="348"/>
      <c r="F238" s="348"/>
      <c r="G238" s="351"/>
      <c r="H238" s="352" t="s">
        <v>12</v>
      </c>
      <c r="I238" s="353"/>
      <c r="J238" s="353"/>
      <c r="K238" s="354"/>
      <c r="L238" s="355">
        <f ca="1">L239+L240+L241+L242</f>
        <v>1328300</v>
      </c>
      <c r="M238" s="355"/>
      <c r="N238" s="355">
        <f ca="1">N239+N240+N241+N242</f>
        <v>105976.67</v>
      </c>
      <c r="O238" s="355">
        <f ca="1">IF(L238&gt;0,N238*100/L238,0)</f>
        <v>7.9783685914326581</v>
      </c>
      <c r="P238" s="355">
        <f>IF(M238&gt;0,N238*100/M238,0)</f>
        <v>0</v>
      </c>
      <c r="Q238" s="31"/>
      <c r="R238" s="31"/>
      <c r="S238" s="31"/>
      <c r="T238" s="31"/>
      <c r="U238" s="31"/>
      <c r="V238" s="31"/>
      <c r="W238" s="31"/>
      <c r="X238" s="31"/>
      <c r="Y238" s="31"/>
      <c r="Z238" s="31"/>
    </row>
    <row r="239" spans="1:26" ht="20.25" hidden="1" customHeight="1">
      <c r="A239" s="156"/>
      <c r="B239" s="356"/>
      <c r="C239" s="40"/>
      <c r="D239" s="41" t="s">
        <v>97</v>
      </c>
      <c r="E239" s="40"/>
      <c r="F239" s="40"/>
      <c r="G239" s="42"/>
      <c r="H239" s="165" t="s">
        <v>12</v>
      </c>
      <c r="I239" s="166"/>
      <c r="J239" s="166"/>
      <c r="K239" s="167"/>
      <c r="L239" s="45">
        <f ca="1">IFERROR(__xludf.DUMMYFUNCTION("IMPORTRANGE(""https://docs.google.com/spreadsheets/d/1hKO5uv94SSRZWOvrh72HRcpyoEQF9TsE_Cvxl77XNU4/edit?usp=share_link"",""กาญจนบุรี!L239"")+IMPORTRANGE(""https://docs.google.com/spreadsheets/d/1njBaP_xXd-Uotvo2D9zb01TTCFkLJLDK97Tk1l9Qux0/edit?usp=share_li"&amp;"nk"",""จันทบุรี!L239"")+IMPORTRANGE(""https://docs.google.com/spreadsheets/d/14xp6qUzrGFnUk_qnc1eEmfiaNRd4_grkhpfQH_46fa8/edit?usp=share_link"",""ฉะเชิงเทรา!L239"")+IMPORTRANGE(""https://docs.google.com/spreadsheets/d/1_Zwps30dlVa-pZFsorjVf1Pil6WXwzCsJU0U"&amp;"2whO3NI/edit?usp=share_link"",""ชลบุรี!L239"")+IMPORTRANGE(""https://docs.google.com/spreadsheets/d/1xAsT4sUbBlom7l0acStESh_15nvjZcXjZM7fK5uZSq8/edit?usp=share_link"",""ชัยนาท!L239"")+IMPORTRANGE(""https://docs.google.com/spreadsheets/d/1vWPVBOAaZ6mHSI8yf"&amp;"95DNqHwTJ1cpeFsvqt6cxV34QA/edit?usp=share_link"",""ตราด!L239"")+IMPORTRANGE(""https://docs.google.com/spreadsheets/d/1phaeSb9lTGgzDpbvVqI9hfmOQQzUom07-HEvpbARzEg/edit?usp=share_link"",""นครนายก!L239"")+IMPORTRANGE(""https://docs.google.com/spreadsheets/d/"&amp;"1tpwhWwkqkBeiSWCcfB5f2fbwPRbM9hHOEDSDHpl2MIc/edit?usp=share_link"",""นครปฐม!L239"")+IMPORTRANGE(""https://docs.google.com/spreadsheets/d/1fJJCVBkBnhriyv0Cp5ZFMr0I_yrfdEITNpb4zILJgUQ/edit?usp=share_link"",""ปทุมธานี!L239"")+IMPORTRANGE(""https://docs.googl"&amp;"e.com/spreadsheets/d/1W5Jj_S0gYw6wSO7QcMI02YgyOBDKYgmm0NSUk-AQEac/edit?usp=share_link"",""ประจวบคีรีขันธ์!L239"")+IMPORTRANGE(""https://docs.google.com/spreadsheets/d/1nYxRXgnCfTXtqUY1otYuTlnrzE0Tn-Y0YRsW5pkRVqo/edit?usp=share_link"",""ปราจีนบุรี!L239"")+"&amp;"IMPORTRANGE(""https://docs.google.com/spreadsheets/d/1nNHCLO8ZAXOMfQvxux7cf_hrzPAh8FAvaHq_ClKbZNo/edit?usp=share_link"",""พระนครศรีอยุธยา!L239"")+IMPORTRANGE(""https://docs.google.com/spreadsheets/d/1CdNicvf3i6yt4tJlCePe3V1Va76wYqW0QzMzTsaGRrA/edit?usp=sh"&amp;"are_link"",""เพชรบุรี!L239"")+IMPORTRANGE(""https://docs.google.com/spreadsheets/d/1XiF77UIVHV0Kjc6xbXuOuJ10WgJYxd4p_22ngKVV5oM/edit?usp=share_link"",""ระยอง!L239"")+IMPORTRANGE(""https://docs.google.com/spreadsheets/d/1qU-W_9MCQD1pgIVXGEOjCFo9QqlmJywueby"&amp;"GgaN92r8/edit?usp=share_link"",""ราชบุรี!L239"")+IMPORTRANGE(""https://docs.google.com/spreadsheets/d/1xYFIxIM_CspAP5Q-5Zx_V0T_Ut3cjryrjd2hss28vGk/edit?usp=share_link"",""ลพบุรี!L239"")+IMPORTRANGE(""https://docs.google.com/spreadsheets/d/11s9m3tKsCBdPWq6"&amp;"syhZm27eBGbKneDLZc75co106bio/edit?usp=share_link"",""สระแก้ว!L239"")+IMPORTRANGE(""https://docs.google.com/spreadsheets/d/1Nn1EvsFPtXldgpgVb3Rcng2K2cls68LFQsBh2FyW0Bg/edit?usp=share_link"",""สระบุรี!L239"")+IMPORTRANGE(""https://docs.google.com/spreadshee"&amp;"ts/d/149xufxukrnEciK3WPbNpHwUK8BKEJxp3UcBG3Al6dA4/edit?usp=share_link"",""สิงห์บุรี!L239"")+IMPORTRANGE(""https://docs.google.com/spreadsheets/d/132g-zJpz2uMKimp17uOIx8A7o3w1Z25zwJyXnwsB56c/edit?usp=share_link"",""สุพรรณบุรี!L239"")+IMPORTRANGE(""https://"&amp;"docs.google.com/spreadsheets/d/12Q_U0nVnFdxDFwa0pej9xvx8ZvLC9Dpi_vRro_aiG5g/edit?usp=share_link"",""อ่างทอง!L239"")
"),646000)</f>
        <v>646000</v>
      </c>
      <c r="M239" s="45"/>
      <c r="N239" s="357">
        <f ca="1">IFERROR(__xludf.DUMMYFUNCTION("IMPORTRANGE(""https://docs.google.com/spreadsheets/d/1hKO5uv94SSRZWOvrh72HRcpyoEQF9TsE_Cvxl77XNU4/edit?usp=share_link"",""กาญจนบุรี!n239"")+IMPORTRANGE(""https://docs.google.com/spreadsheets/d/1njBaP_xXd-Uotvo2D9zb01TTCFkLJLDK97Tk1l9Qux0/edit?usp=share_li"&amp;"nk"",""จันทบุรี!n239"")+IMPORTRANGE(""https://docs.google.com/spreadsheets/d/14xp6qUzrGFnUk_qnc1eEmfiaNRd4_grkhpfQH_46fa8/edit?usp=share_link"",""ฉะเชิงเทรา!n239"")+IMPORTRANGE(""https://docs.google.com/spreadsheets/d/1_Zwps30dlVa-pZFsorjVf1Pil6WXwzCsJU0U"&amp;"2whO3NI/edit?usp=share_link"",""ชลบุรี!n239"")+IMPORTRANGE(""https://docs.google.com/spreadsheets/d/1xAsT4sUbBlom7l0acStESh_15nvjZcXjZM7fK5uZSq8/edit?usp=share_link"",""ชัยนาท!n239"")+IMPORTRANGE(""https://docs.google.com/spreadsheets/d/1vWPVBOAaZ6mHSI8yf"&amp;"95DNqHwTJ1cpeFsvqt6cxV34QA/edit?usp=share_link"",""ตราด!n239"")+IMPORTRANGE(""https://docs.google.com/spreadsheets/d/1phaeSb9lTGgzDpbvVqI9hfmOQQzUom07-HEvpbARzEg/edit?usp=share_link"",""นครนายก!n239"")+IMPORTRANGE(""https://docs.google.com/spreadsheets/d/"&amp;"1tpwhWwkqkBeiSWCcfB5f2fbwPRbM9hHOEDSDHpl2MIc/edit?usp=share_link"",""นครปฐม!n239"")+IMPORTRANGE(""https://docs.google.com/spreadsheets/d/1fJJCVBkBnhriyv0Cp5ZFMr0I_yrfdEITNpb4zILJgUQ/edit?usp=share_link"",""ปทุมธานี!n239"")+IMPORTRANGE(""https://docs.googl"&amp;"e.com/spreadsheets/d/1W5Jj_S0gYw6wSO7QcMI02YgyOBDKYgmm0NSUk-AQEac/edit?usp=share_link"",""ประจวบคีรีขันธ์!n239"")+IMPORTRANGE(""https://docs.google.com/spreadsheets/d/1nYxRXgnCfTXtqUY1otYuTlnrzE0Tn-Y0YRsW5pkRVqo/edit?usp=share_link"",""ปราจีนบุรี!n239"")+"&amp;"IMPORTRANGE(""https://docs.google.com/spreadsheets/d/1nNHCLO8ZAXOMfQvxux7cf_hrzPAh8FAvaHq_ClKbZNo/edit?usp=share_link"",""พระนครศรีอยุธยา!n239"")+IMPORTRANGE(""https://docs.google.com/spreadsheets/d/1CdNicvf3i6yt4tJlCePe3V1Va76wYqW0QzMzTsaGRrA/edit?usp=sh"&amp;"are_link"",""เพชรบุรี!n239"")+IMPORTRANGE(""https://docs.google.com/spreadsheets/d/1XiF77UIVHV0Kjc6xbXuOuJ10WgJYxd4p_22ngKVV5oM/edit?usp=share_link"",""ระยอง!n239"")+IMPORTRANGE(""https://docs.google.com/spreadsheets/d/1qU-W_9MCQD1pgIVXGEOjCFo9QqlmJywueby"&amp;"GgaN92r8/edit?usp=share_link"",""ราชบุรี!n239"")+IMPORTRANGE(""https://docs.google.com/spreadsheets/d/1xYFIxIM_CspAP5Q-5Zx_V0T_Ut3cjryrjd2hss28vGk/edit?usp=share_link"",""ลพบุรี!n239"")+IMPORTRANGE(""https://docs.google.com/spreadsheets/d/11s9m3tKsCBdPWq6"&amp;"syhZm27eBGbKneDLZc75co106bio/edit?usp=share_link"",""สระแก้ว!n239"")+IMPORTRANGE(""https://docs.google.com/spreadsheets/d/1Nn1EvsFPtXldgpgVb3Rcng2K2cls68LFQsBh2FyW0Bg/edit?usp=share_link"",""สระบุรี!n239"")+IMPORTRANGE(""https://docs.google.com/spreadshee"&amp;"ts/d/149xufxukrnEciK3WPbNpHwUK8BKEJxp3UcBG3Al6dA4/edit?usp=share_link"",""สิงห์บุรี!n239"")+IMPORTRANGE(""https://docs.google.com/spreadsheets/d/132g-zJpz2uMKimp17uOIx8A7o3w1Z25zwJyXnwsB56c/edit?usp=share_link"",""สุพรรณบุรี!n239"")+IMPORTRANGE(""https://"&amp;"docs.google.com/spreadsheets/d/12Q_U0nVnFdxDFwa0pej9xvx8ZvLC9Dpi_vRro_aiG5g/edit?usp=share_link"",""อ่างทอง!n239"")
"),61126.67)</f>
        <v>61126.67</v>
      </c>
      <c r="O239" s="45"/>
      <c r="P239" s="45"/>
      <c r="Q239" s="31"/>
      <c r="R239" s="31"/>
      <c r="S239" s="31"/>
      <c r="T239" s="31"/>
      <c r="U239" s="31"/>
      <c r="V239" s="31"/>
      <c r="W239" s="31"/>
      <c r="X239" s="31"/>
      <c r="Y239" s="31"/>
      <c r="Z239" s="31"/>
    </row>
    <row r="240" spans="1:26" ht="20.25" hidden="1" customHeight="1">
      <c r="A240" s="358"/>
      <c r="B240" s="356"/>
      <c r="C240" s="359"/>
      <c r="D240" s="222" t="s">
        <v>98</v>
      </c>
      <c r="E240" s="40"/>
      <c r="F240" s="40"/>
      <c r="G240" s="42"/>
      <c r="H240" s="165" t="s">
        <v>12</v>
      </c>
      <c r="I240" s="44"/>
      <c r="J240" s="44"/>
      <c r="K240" s="45"/>
      <c r="L240" s="45">
        <f ca="1">IFERROR(__xludf.DUMMYFUNCTION("IMPORTRANGE(""https://docs.google.com/spreadsheets/d/1hKO5uv94SSRZWOvrh72HRcpyoEQF9TsE_Cvxl77XNU4/edit?usp=share_link"",""กาญจนบุรี!L240"")+IMPORTRANGE(""https://docs.google.com/spreadsheets/d/1njBaP_xXd-Uotvo2D9zb01TTCFkLJLDK97Tk1l9Qux0/edit?usp=share_li"&amp;"nk"",""จันทบุรี!L240"")+IMPORTRANGE(""https://docs.google.com/spreadsheets/d/14xp6qUzrGFnUk_qnc1eEmfiaNRd4_grkhpfQH_46fa8/edit?usp=share_link"",""ฉะเชิงเทรา!L240"")+IMPORTRANGE(""https://docs.google.com/spreadsheets/d/1_Zwps30dlVa-pZFsorjVf1Pil6WXwzCsJU0U"&amp;"2whO3NI/edit?usp=share_link"",""ชลบุรี!L240"")+IMPORTRANGE(""https://docs.google.com/spreadsheets/d/1xAsT4sUbBlom7l0acStESh_15nvjZcXjZM7fK5uZSq8/edit?usp=share_link"",""ชัยนาท!L240"")+IMPORTRANGE(""https://docs.google.com/spreadsheets/d/1vWPVBOAaZ6mHSI8yf"&amp;"95DNqHwTJ1cpeFsvqt6cxV34QA/edit?usp=share_link"",""ตราด!L240"")+IMPORTRANGE(""https://docs.google.com/spreadsheets/d/1phaeSb9lTGgzDpbvVqI9hfmOQQzUom07-HEvpbARzEg/edit?usp=share_link"",""นครนายก!L240"")+IMPORTRANGE(""https://docs.google.com/spreadsheets/d/"&amp;"1tpwhWwkqkBeiSWCcfB5f2fbwPRbM9hHOEDSDHpl2MIc/edit?usp=share_link"",""นครปฐม!L240"")+IMPORTRANGE(""https://docs.google.com/spreadsheets/d/1fJJCVBkBnhriyv0Cp5ZFMr0I_yrfdEITNpb4zILJgUQ/edit?usp=share_link"",""ปทุมธานี!L240"")+IMPORTRANGE(""https://docs.googl"&amp;"e.com/spreadsheets/d/1W5Jj_S0gYw6wSO7QcMI02YgyOBDKYgmm0NSUk-AQEac/edit?usp=share_link"",""ประจวบคีรีขันธ์!L240"")+IMPORTRANGE(""https://docs.google.com/spreadsheets/d/1nYxRXgnCfTXtqUY1otYuTlnrzE0Tn-Y0YRsW5pkRVqo/edit?usp=share_link"",""ปราจีนบุรี!L240"")+"&amp;"IMPORTRANGE(""https://docs.google.com/spreadsheets/d/1nNHCLO8ZAXOMfQvxux7cf_hrzPAh8FAvaHq_ClKbZNo/edit?usp=share_link"",""พระนครศรีอยุธยา!L240"")+IMPORTRANGE(""https://docs.google.com/spreadsheets/d/1CdNicvf3i6yt4tJlCePe3V1Va76wYqW0QzMzTsaGRrA/edit?usp=sh"&amp;"are_link"",""เพชรบุรี!L240"")+IMPORTRANGE(""https://docs.google.com/spreadsheets/d/1XiF77UIVHV0Kjc6xbXuOuJ10WgJYxd4p_22ngKVV5oM/edit?usp=share_link"",""ระยอง!L240"")+IMPORTRANGE(""https://docs.google.com/spreadsheets/d/1qU-W_9MCQD1pgIVXGEOjCFo9QqlmJywueby"&amp;"GgaN92r8/edit?usp=share_link"",""ราชบุรี!L240"")+IMPORTRANGE(""https://docs.google.com/spreadsheets/d/1xYFIxIM_CspAP5Q-5Zx_V0T_Ut3cjryrjd2hss28vGk/edit?usp=share_link"",""ลพบุรี!L240"")+IMPORTRANGE(""https://docs.google.com/spreadsheets/d/11s9m3tKsCBdPWq6"&amp;"syhZm27eBGbKneDLZc75co106bio/edit?usp=share_link"",""สระแก้ว!L240"")+IMPORTRANGE(""https://docs.google.com/spreadsheets/d/1Nn1EvsFPtXldgpgVb3Rcng2K2cls68LFQsBh2FyW0Bg/edit?usp=share_link"",""สระบุรี!L240"")+IMPORTRANGE(""https://docs.google.com/spreadshee"&amp;"ts/d/149xufxukrnEciK3WPbNpHwUK8BKEJxp3UcBG3Al6dA4/edit?usp=share_link"",""สิงห์บุรี!L240"")+IMPORTRANGE(""https://docs.google.com/spreadsheets/d/132g-zJpz2uMKimp17uOIx8A7o3w1Z25zwJyXnwsB56c/edit?usp=share_link"",""สุพรรณบุรี!L240"")+IMPORTRANGE(""https://"&amp;"docs.google.com/spreadsheets/d/12Q_U0nVnFdxDFwa0pej9xvx8ZvLC9Dpi_vRro_aiG5g/edit?usp=share_link"",""อ่างทอง!L240"")
"),359800)</f>
        <v>359800</v>
      </c>
      <c r="M240" s="45"/>
      <c r="N240" s="357">
        <f ca="1">IFERROR(__xludf.DUMMYFUNCTION("IMPORTRANGE(""https://docs.google.com/spreadsheets/d/1hKO5uv94SSRZWOvrh72HRcpyoEQF9TsE_Cvxl77XNU4/edit?usp=share_link"",""กาญจนบุรี!n240"")+IMPORTRANGE(""https://docs.google.com/spreadsheets/d/1njBaP_xXd-Uotvo2D9zb01TTCFkLJLDK97Tk1l9Qux0/edit?usp=share_li"&amp;"nk"",""จันทบุรี!n240"")+IMPORTRANGE(""https://docs.google.com/spreadsheets/d/14xp6qUzrGFnUk_qnc1eEmfiaNRd4_grkhpfQH_46fa8/edit?usp=share_link"",""ฉะเชิงเทรา!n240"")+IMPORTRANGE(""https://docs.google.com/spreadsheets/d/1_Zwps30dlVa-pZFsorjVf1Pil6WXwzCsJU0U"&amp;"2whO3NI/edit?usp=share_link"",""ชลบุรี!n240"")+IMPORTRANGE(""https://docs.google.com/spreadsheets/d/1xAsT4sUbBlom7l0acStESh_15nvjZcXjZM7fK5uZSq8/edit?usp=share_link"",""ชัยนาท!n240"")+IMPORTRANGE(""https://docs.google.com/spreadsheets/d/1vWPVBOAaZ6mHSI8yf"&amp;"95DNqHwTJ1cpeFsvqt6cxV34QA/edit?usp=share_link"",""ตราด!n240"")+IMPORTRANGE(""https://docs.google.com/spreadsheets/d/1phaeSb9lTGgzDpbvVqI9hfmOQQzUom07-HEvpbARzEg/edit?usp=share_link"",""นครนายก!n240"")+IMPORTRANGE(""https://docs.google.com/spreadsheets/d/"&amp;"1tpwhWwkqkBeiSWCcfB5f2fbwPRbM9hHOEDSDHpl2MIc/edit?usp=share_link"",""นครปฐม!n240"")+IMPORTRANGE(""https://docs.google.com/spreadsheets/d/1fJJCVBkBnhriyv0Cp5ZFMr0I_yrfdEITNpb4zILJgUQ/edit?usp=share_link"",""ปทุมธานี!n240"")+IMPORTRANGE(""https://docs.googl"&amp;"e.com/spreadsheets/d/1W5Jj_S0gYw6wSO7QcMI02YgyOBDKYgmm0NSUk-AQEac/edit?usp=share_link"",""ประจวบคีรีขันธ์!n240"")+IMPORTRANGE(""https://docs.google.com/spreadsheets/d/1nYxRXgnCfTXtqUY1otYuTlnrzE0Tn-Y0YRsW5pkRVqo/edit?usp=share_link"",""ปราจีนบุรี!n240"")+"&amp;"IMPORTRANGE(""https://docs.google.com/spreadsheets/d/1nNHCLO8ZAXOMfQvxux7cf_hrzPAh8FAvaHq_ClKbZNo/edit?usp=share_link"",""พระนครศรีอยุธยา!n240"")+IMPORTRANGE(""https://docs.google.com/spreadsheets/d/1CdNicvf3i6yt4tJlCePe3V1Va76wYqW0QzMzTsaGRrA/edit?usp=sh"&amp;"are_link"",""เพชรบุรี!n240"")+IMPORTRANGE(""https://docs.google.com/spreadsheets/d/1XiF77UIVHV0Kjc6xbXuOuJ10WgJYxd4p_22ngKVV5oM/edit?usp=share_link"",""ระยอง!n240"")+IMPORTRANGE(""https://docs.google.com/spreadsheets/d/1qU-W_9MCQD1pgIVXGEOjCFo9QqlmJywueby"&amp;"GgaN92r8/edit?usp=share_link"",""ราชบุรี!n240"")+IMPORTRANGE(""https://docs.google.com/spreadsheets/d/1xYFIxIM_CspAP5Q-5Zx_V0T_Ut3cjryrjd2hss28vGk/edit?usp=share_link"",""ลพบุรี!n240"")+IMPORTRANGE(""https://docs.google.com/spreadsheets/d/11s9m3tKsCBdPWq6"&amp;"syhZm27eBGbKneDLZc75co106bio/edit?usp=share_link"",""สระแก้ว!n240"")+IMPORTRANGE(""https://docs.google.com/spreadsheets/d/1Nn1EvsFPtXldgpgVb3Rcng2K2cls68LFQsBh2FyW0Bg/edit?usp=share_link"",""สระบุรี!n240"")+IMPORTRANGE(""https://docs.google.com/spreadshee"&amp;"ts/d/149xufxukrnEciK3WPbNpHwUK8BKEJxp3UcBG3Al6dA4/edit?usp=share_link"",""สิงห์บุรี!n240"")+IMPORTRANGE(""https://docs.google.com/spreadsheets/d/132g-zJpz2uMKimp17uOIx8A7o3w1Z25zwJyXnwsB56c/edit?usp=share_link"",""สุพรรณบุรี!n240"")+IMPORTRANGE(""https://"&amp;"docs.google.com/spreadsheets/d/12Q_U0nVnFdxDFwa0pej9xvx8ZvLC9Dpi_vRro_aiG5g/edit?usp=share_link"",""อ่างทอง!n240"")
"),44850)</f>
        <v>44850</v>
      </c>
      <c r="O240" s="45"/>
      <c r="P240" s="45"/>
      <c r="Q240" s="360"/>
      <c r="R240" s="360"/>
      <c r="S240" s="360"/>
      <c r="T240" s="360"/>
      <c r="U240" s="360"/>
      <c r="V240" s="360"/>
      <c r="W240" s="360"/>
      <c r="X240" s="360"/>
      <c r="Y240" s="360"/>
      <c r="Z240" s="360"/>
    </row>
    <row r="241" spans="1:26" ht="20.25" hidden="1" customHeight="1">
      <c r="A241" s="358"/>
      <c r="B241" s="356"/>
      <c r="C241" s="359"/>
      <c r="D241" s="222" t="s">
        <v>116</v>
      </c>
      <c r="E241" s="40"/>
      <c r="F241" s="40"/>
      <c r="G241" s="42"/>
      <c r="H241" s="165" t="s">
        <v>12</v>
      </c>
      <c r="I241" s="44"/>
      <c r="J241" s="44"/>
      <c r="K241" s="45"/>
      <c r="L241" s="45">
        <f ca="1">IFERROR(__xludf.DUMMYFUNCTION("IMPORTRANGE(""https://docs.google.com/spreadsheets/d/1hKO5uv94SSRZWOvrh72HRcpyoEQF9TsE_Cvxl77XNU4/edit?usp=share_link"",""กาญจนบุรี!L241"")+IMPORTRANGE(""https://docs.google.com/spreadsheets/d/1njBaP_xXd-Uotvo2D9zb01TTCFkLJLDK97Tk1l9Qux0/edit?usp=share_li"&amp;"nk"",""จันทบุรี!L241"")+IMPORTRANGE(""https://docs.google.com/spreadsheets/d/14xp6qUzrGFnUk_qnc1eEmfiaNRd4_grkhpfQH_46fa8/edit?usp=share_link"",""ฉะเชิงเทรา!L241"")+IMPORTRANGE(""https://docs.google.com/spreadsheets/d/1_Zwps30dlVa-pZFsorjVf1Pil6WXwzCsJU0U"&amp;"2whO3NI/edit?usp=share_link"",""ชลบุรี!L241"")+IMPORTRANGE(""https://docs.google.com/spreadsheets/d/1xAsT4sUbBlom7l0acStESh_15nvjZcXjZM7fK5uZSq8/edit?usp=share_link"",""ชัยนาท!L241"")+IMPORTRANGE(""https://docs.google.com/spreadsheets/d/1vWPVBOAaZ6mHSI8yf"&amp;"95DNqHwTJ1cpeFsvqt6cxV34QA/edit?usp=share_link"",""ตราด!L241"")+IMPORTRANGE(""https://docs.google.com/spreadsheets/d/1phaeSb9lTGgzDpbvVqI9hfmOQQzUom07-HEvpbARzEg/edit?usp=share_link"",""นครนายก!L241"")+IMPORTRANGE(""https://docs.google.com/spreadsheets/d/"&amp;"1tpwhWwkqkBeiSWCcfB5f2fbwPRbM9hHOEDSDHpl2MIc/edit?usp=share_link"",""นครปฐม!L241"")+IMPORTRANGE(""https://docs.google.com/spreadsheets/d/1fJJCVBkBnhriyv0Cp5ZFMr0I_yrfdEITNpb4zILJgUQ/edit?usp=share_link"",""ปทุมธานี!L241"")+IMPORTRANGE(""https://docs.googl"&amp;"e.com/spreadsheets/d/1W5Jj_S0gYw6wSO7QcMI02YgyOBDKYgmm0NSUk-AQEac/edit?usp=share_link"",""ประจวบคีรีขันธ์!L241"")+IMPORTRANGE(""https://docs.google.com/spreadsheets/d/1nYxRXgnCfTXtqUY1otYuTlnrzE0Tn-Y0YRsW5pkRVqo/edit?usp=share_link"",""ปราจีนบุรี!L241"")+"&amp;"IMPORTRANGE(""https://docs.google.com/spreadsheets/d/1nNHCLO8ZAXOMfQvxux7cf_hrzPAh8FAvaHq_ClKbZNo/edit?usp=share_link"",""พระนครศรีอยุธยา!L241"")+IMPORTRANGE(""https://docs.google.com/spreadsheets/d/1CdNicvf3i6yt4tJlCePe3V1Va76wYqW0QzMzTsaGRrA/edit?usp=sh"&amp;"are_link"",""เพชรบุรี!L241"")+IMPORTRANGE(""https://docs.google.com/spreadsheets/d/1XiF77UIVHV0Kjc6xbXuOuJ10WgJYxd4p_22ngKVV5oM/edit?usp=share_link"",""ระยอง!L241"")+IMPORTRANGE(""https://docs.google.com/spreadsheets/d/1qU-W_9MCQD1pgIVXGEOjCFo9QqlmJywueby"&amp;"GgaN92r8/edit?usp=share_link"",""ราชบุรี!L241"")+IMPORTRANGE(""https://docs.google.com/spreadsheets/d/1xYFIxIM_CspAP5Q-5Zx_V0T_Ut3cjryrjd2hss28vGk/edit?usp=share_link"",""ลพบุรี!L241"")+IMPORTRANGE(""https://docs.google.com/spreadsheets/d/11s9m3tKsCBdPWq6"&amp;"syhZm27eBGbKneDLZc75co106bio/edit?usp=share_link"",""สระแก้ว!L241"")+IMPORTRANGE(""https://docs.google.com/spreadsheets/d/1Nn1EvsFPtXldgpgVb3Rcng2K2cls68LFQsBh2FyW0Bg/edit?usp=share_link"",""สระบุรี!L241"")+IMPORTRANGE(""https://docs.google.com/spreadshee"&amp;"ts/d/149xufxukrnEciK3WPbNpHwUK8BKEJxp3UcBG3Al6dA4/edit?usp=share_link"",""สิงห์บุรี!L241"")+IMPORTRANGE(""https://docs.google.com/spreadsheets/d/132g-zJpz2uMKimp17uOIx8A7o3w1Z25zwJyXnwsB56c/edit?usp=share_link"",""สุพรรณบุรี!L241"")+IMPORTRANGE(""https://"&amp;"docs.google.com/spreadsheets/d/12Q_U0nVnFdxDFwa0pej9xvx8ZvLC9Dpi_vRro_aiG5g/edit?usp=share_link"",""อ่างทอง!L241"")
"),192500)</f>
        <v>192500</v>
      </c>
      <c r="M241" s="45"/>
      <c r="N241" s="357">
        <f ca="1">IFERROR(__xludf.DUMMYFUNCTION("IMPORTRANGE(""https://docs.google.com/spreadsheets/d/1hKO5uv94SSRZWOvrh72HRcpyoEQF9TsE_Cvxl77XNU4/edit?usp=share_link"",""กาญจนบุรี!n241"")+IMPORTRANGE(""https://docs.google.com/spreadsheets/d/1njBaP_xXd-Uotvo2D9zb01TTCFkLJLDK97Tk1l9Qux0/edit?usp=share_li"&amp;"nk"",""จันทบุรี!n241"")+IMPORTRANGE(""https://docs.google.com/spreadsheets/d/14xp6qUzrGFnUk_qnc1eEmfiaNRd4_grkhpfQH_46fa8/edit?usp=share_link"",""ฉะเชิงเทรา!n241"")+IMPORTRANGE(""https://docs.google.com/spreadsheets/d/1_Zwps30dlVa-pZFsorjVf1Pil6WXwzCsJU0U"&amp;"2whO3NI/edit?usp=share_link"",""ชลบุรี!n241"")+IMPORTRANGE(""https://docs.google.com/spreadsheets/d/1xAsT4sUbBlom7l0acStESh_15nvjZcXjZM7fK5uZSq8/edit?usp=share_link"",""ชัยนาท!n241"")+IMPORTRANGE(""https://docs.google.com/spreadsheets/d/1vWPVBOAaZ6mHSI8yf"&amp;"95DNqHwTJ1cpeFsvqt6cxV34QA/edit?usp=share_link"",""ตราด!n241"")+IMPORTRANGE(""https://docs.google.com/spreadsheets/d/1phaeSb9lTGgzDpbvVqI9hfmOQQzUom07-HEvpbARzEg/edit?usp=share_link"",""นครนายก!n241"")+IMPORTRANGE(""https://docs.google.com/spreadsheets/d/"&amp;"1tpwhWwkqkBeiSWCcfB5f2fbwPRbM9hHOEDSDHpl2MIc/edit?usp=share_link"",""นครปฐม!n241"")+IMPORTRANGE(""https://docs.google.com/spreadsheets/d/1fJJCVBkBnhriyv0Cp5ZFMr0I_yrfdEITNpb4zILJgUQ/edit?usp=share_link"",""ปทุมธานี!n241"")+IMPORTRANGE(""https://docs.googl"&amp;"e.com/spreadsheets/d/1W5Jj_S0gYw6wSO7QcMI02YgyOBDKYgmm0NSUk-AQEac/edit?usp=share_link"",""ประจวบคีรีขันธ์!n241"")+IMPORTRANGE(""https://docs.google.com/spreadsheets/d/1nYxRXgnCfTXtqUY1otYuTlnrzE0Tn-Y0YRsW5pkRVqo/edit?usp=share_link"",""ปราจีนบุรี!n241"")+"&amp;"IMPORTRANGE(""https://docs.google.com/spreadsheets/d/1nNHCLO8ZAXOMfQvxux7cf_hrzPAh8FAvaHq_ClKbZNo/edit?usp=share_link"",""พระนครศรีอยุธยา!n241"")+IMPORTRANGE(""https://docs.google.com/spreadsheets/d/1CdNicvf3i6yt4tJlCePe3V1Va76wYqW0QzMzTsaGRrA/edit?usp=sh"&amp;"are_link"",""เพชรบุรี!n241"")+IMPORTRANGE(""https://docs.google.com/spreadsheets/d/1XiF77UIVHV0Kjc6xbXuOuJ10WgJYxd4p_22ngKVV5oM/edit?usp=share_link"",""ระยอง!n241"")+IMPORTRANGE(""https://docs.google.com/spreadsheets/d/1qU-W_9MCQD1pgIVXGEOjCFo9QqlmJywueby"&amp;"GgaN92r8/edit?usp=share_link"",""ราชบุรี!n241"")+IMPORTRANGE(""https://docs.google.com/spreadsheets/d/1xYFIxIM_CspAP5Q-5Zx_V0T_Ut3cjryrjd2hss28vGk/edit?usp=share_link"",""ลพบุรี!n241"")+IMPORTRANGE(""https://docs.google.com/spreadsheets/d/11s9m3tKsCBdPWq6"&amp;"syhZm27eBGbKneDLZc75co106bio/edit?usp=share_link"",""สระแก้ว!n241"")+IMPORTRANGE(""https://docs.google.com/spreadsheets/d/1Nn1EvsFPtXldgpgVb3Rcng2K2cls68LFQsBh2FyW0Bg/edit?usp=share_link"",""สระบุรี!n241"")+IMPORTRANGE(""https://docs.google.com/spreadshee"&amp;"ts/d/149xufxukrnEciK3WPbNpHwUK8BKEJxp3UcBG3Al6dA4/edit?usp=share_link"",""สิงห์บุรี!n241"")+IMPORTRANGE(""https://docs.google.com/spreadsheets/d/132g-zJpz2uMKimp17uOIx8A7o3w1Z25zwJyXnwsB56c/edit?usp=share_link"",""สุพรรณบุรี!n241"")+IMPORTRANGE(""https://"&amp;"docs.google.com/spreadsheets/d/12Q_U0nVnFdxDFwa0pej9xvx8ZvLC9Dpi_vRro_aiG5g/edit?usp=share_link"",""อ่างทอง!n241"")
"),0)</f>
        <v>0</v>
      </c>
      <c r="O241" s="45"/>
      <c r="P241" s="45"/>
      <c r="Q241" s="360"/>
      <c r="R241" s="360"/>
      <c r="S241" s="360"/>
      <c r="T241" s="360"/>
      <c r="U241" s="360"/>
      <c r="V241" s="360"/>
      <c r="W241" s="360"/>
      <c r="X241" s="360"/>
      <c r="Y241" s="360"/>
      <c r="Z241" s="360"/>
    </row>
    <row r="242" spans="1:26" ht="20.25" hidden="1" customHeight="1">
      <c r="A242" s="358"/>
      <c r="B242" s="356"/>
      <c r="C242" s="359"/>
      <c r="D242" s="222" t="s">
        <v>100</v>
      </c>
      <c r="E242" s="40"/>
      <c r="F242" s="40"/>
      <c r="G242" s="42"/>
      <c r="H242" s="165" t="s">
        <v>12</v>
      </c>
      <c r="I242" s="44"/>
      <c r="J242" s="44"/>
      <c r="K242" s="45"/>
      <c r="L242" s="45">
        <f ca="1">IFERROR(__xludf.DUMMYFUNCTION("IMPORTRANGE(""https://docs.google.com/spreadsheets/d/1hKO5uv94SSRZWOvrh72HRcpyoEQF9TsE_Cvxl77XNU4/edit?usp=share_link"",""กาญจนบุรี!L242"")+IMPORTRANGE(""https://docs.google.com/spreadsheets/d/1njBaP_xXd-Uotvo2D9zb01TTCFkLJLDK97Tk1l9Qux0/edit?usp=share_li"&amp;"nk"",""จันทบุรี!L242"")+IMPORTRANGE(""https://docs.google.com/spreadsheets/d/14xp6qUzrGFnUk_qnc1eEmfiaNRd4_grkhpfQH_46fa8/edit?usp=share_link"",""ฉะเชิงเทรา!L242"")+IMPORTRANGE(""https://docs.google.com/spreadsheets/d/1_Zwps30dlVa-pZFsorjVf1Pil6WXwzCsJU0U"&amp;"2whO3NI/edit?usp=share_link"",""ชลบุรี!L242"")+IMPORTRANGE(""https://docs.google.com/spreadsheets/d/1xAsT4sUbBlom7l0acStESh_15nvjZcXjZM7fK5uZSq8/edit?usp=share_link"",""ชัยนาท!L242"")+IMPORTRANGE(""https://docs.google.com/spreadsheets/d/1vWPVBOAaZ6mHSI8yf"&amp;"95DNqHwTJ1cpeFsvqt6cxV34QA/edit?usp=share_link"",""ตราด!L242"")+IMPORTRANGE(""https://docs.google.com/spreadsheets/d/1phaeSb9lTGgzDpbvVqI9hfmOQQzUom07-HEvpbARzEg/edit?usp=share_link"",""นครนายก!L242"")+IMPORTRANGE(""https://docs.google.com/spreadsheets/d/"&amp;"1tpwhWwkqkBeiSWCcfB5f2fbwPRbM9hHOEDSDHpl2MIc/edit?usp=share_link"",""นครปฐม!L242"")+IMPORTRANGE(""https://docs.google.com/spreadsheets/d/1fJJCVBkBnhriyv0Cp5ZFMr0I_yrfdEITNpb4zILJgUQ/edit?usp=share_link"",""ปทุมธานี!L242"")+IMPORTRANGE(""https://docs.googl"&amp;"e.com/spreadsheets/d/1W5Jj_S0gYw6wSO7QcMI02YgyOBDKYgmm0NSUk-AQEac/edit?usp=share_link"",""ประจวบคีรีขันธ์!L242"")+IMPORTRANGE(""https://docs.google.com/spreadsheets/d/1nYxRXgnCfTXtqUY1otYuTlnrzE0Tn-Y0YRsW5pkRVqo/edit?usp=share_link"",""ปราจีนบุรี!L242"")+"&amp;"IMPORTRANGE(""https://docs.google.com/spreadsheets/d/1nNHCLO8ZAXOMfQvxux7cf_hrzPAh8FAvaHq_ClKbZNo/edit?usp=share_link"",""พระนครศรีอยุธยา!L242"")+IMPORTRANGE(""https://docs.google.com/spreadsheets/d/1CdNicvf3i6yt4tJlCePe3V1Va76wYqW0QzMzTsaGRrA/edit?usp=sh"&amp;"are_link"",""เพชรบุรี!L242"")+IMPORTRANGE(""https://docs.google.com/spreadsheets/d/1XiF77UIVHV0Kjc6xbXuOuJ10WgJYxd4p_22ngKVV5oM/edit?usp=share_link"",""ระยอง!L242"")+IMPORTRANGE(""https://docs.google.com/spreadsheets/d/1qU-W_9MCQD1pgIVXGEOjCFo9QqlmJywueby"&amp;"GgaN92r8/edit?usp=share_link"",""ราชบุรี!L242"")+IMPORTRANGE(""https://docs.google.com/spreadsheets/d/1xYFIxIM_CspAP5Q-5Zx_V0T_Ut3cjryrjd2hss28vGk/edit?usp=share_link"",""ลพบุรี!L242"")+IMPORTRANGE(""https://docs.google.com/spreadsheets/d/11s9m3tKsCBdPWq6"&amp;"syhZm27eBGbKneDLZc75co106bio/edit?usp=share_link"",""สระแก้ว!L242"")+IMPORTRANGE(""https://docs.google.com/spreadsheets/d/1Nn1EvsFPtXldgpgVb3Rcng2K2cls68LFQsBh2FyW0Bg/edit?usp=share_link"",""สระบุรี!L242"")+IMPORTRANGE(""https://docs.google.com/spreadshee"&amp;"ts/d/149xufxukrnEciK3WPbNpHwUK8BKEJxp3UcBG3Al6dA4/edit?usp=share_link"",""สิงห์บุรี!L242"")+IMPORTRANGE(""https://docs.google.com/spreadsheets/d/132g-zJpz2uMKimp17uOIx8A7o3w1Z25zwJyXnwsB56c/edit?usp=share_link"",""สุพรรณบุรี!L242"")+IMPORTRANGE(""https://"&amp;"docs.google.com/spreadsheets/d/12Q_U0nVnFdxDFwa0pej9xvx8ZvLC9Dpi_vRro_aiG5g/edit?usp=share_link"",""อ่างทอง!L242"")
"),130000)</f>
        <v>130000</v>
      </c>
      <c r="M242" s="45"/>
      <c r="N242" s="357">
        <f ca="1">IFERROR(__xludf.DUMMYFUNCTION("IMPORTRANGE(""https://docs.google.com/spreadsheets/d/1hKO5uv94SSRZWOvrh72HRcpyoEQF9TsE_Cvxl77XNU4/edit?usp=share_link"",""กาญจนบุรี!n242"")+IMPORTRANGE(""https://docs.google.com/spreadsheets/d/1njBaP_xXd-Uotvo2D9zb01TTCFkLJLDK97Tk1l9Qux0/edit?usp=share_li"&amp;"nk"",""จันทบุรี!n242"")+IMPORTRANGE(""https://docs.google.com/spreadsheets/d/14xp6qUzrGFnUk_qnc1eEmfiaNRd4_grkhpfQH_46fa8/edit?usp=share_link"",""ฉะเชิงเทรา!n242"")+IMPORTRANGE(""https://docs.google.com/spreadsheets/d/1_Zwps30dlVa-pZFsorjVf1Pil6WXwzCsJU0U"&amp;"2whO3NI/edit?usp=share_link"",""ชลบุรี!n242"")+IMPORTRANGE(""https://docs.google.com/spreadsheets/d/1xAsT4sUbBlom7l0acStESh_15nvjZcXjZM7fK5uZSq8/edit?usp=share_link"",""ชัยนาท!n242"")+IMPORTRANGE(""https://docs.google.com/spreadsheets/d/1vWPVBOAaZ6mHSI8yf"&amp;"95DNqHwTJ1cpeFsvqt6cxV34QA/edit?usp=share_link"",""ตราด!n242"")+IMPORTRANGE(""https://docs.google.com/spreadsheets/d/1phaeSb9lTGgzDpbvVqI9hfmOQQzUom07-HEvpbARzEg/edit?usp=share_link"",""นครนายก!n242"")+IMPORTRANGE(""https://docs.google.com/spreadsheets/d/"&amp;"1tpwhWwkqkBeiSWCcfB5f2fbwPRbM9hHOEDSDHpl2MIc/edit?usp=share_link"",""นครปฐม!n242"")+IMPORTRANGE(""https://docs.google.com/spreadsheets/d/1fJJCVBkBnhriyv0Cp5ZFMr0I_yrfdEITNpb4zILJgUQ/edit?usp=share_link"",""ปทุมธานี!n242"")+IMPORTRANGE(""https://docs.googl"&amp;"e.com/spreadsheets/d/1W5Jj_S0gYw6wSO7QcMI02YgyOBDKYgmm0NSUk-AQEac/edit?usp=share_link"",""ประจวบคีรีขันธ์!n242"")+IMPORTRANGE(""https://docs.google.com/spreadsheets/d/1nYxRXgnCfTXtqUY1otYuTlnrzE0Tn-Y0YRsW5pkRVqo/edit?usp=share_link"",""ปราจีนบุรี!n242"")+"&amp;"IMPORTRANGE(""https://docs.google.com/spreadsheets/d/1nNHCLO8ZAXOMfQvxux7cf_hrzPAh8FAvaHq_ClKbZNo/edit?usp=share_link"",""พระนครศรีอยุธยา!n242"")+IMPORTRANGE(""https://docs.google.com/spreadsheets/d/1CdNicvf3i6yt4tJlCePe3V1Va76wYqW0QzMzTsaGRrA/edit?usp=sh"&amp;"are_link"",""เพชรบุรี!n242"")+IMPORTRANGE(""https://docs.google.com/spreadsheets/d/1XiF77UIVHV0Kjc6xbXuOuJ10WgJYxd4p_22ngKVV5oM/edit?usp=share_link"",""ระยอง!n242"")+IMPORTRANGE(""https://docs.google.com/spreadsheets/d/1qU-W_9MCQD1pgIVXGEOjCFo9QqlmJywueby"&amp;"GgaN92r8/edit?usp=share_link"",""ราชบุรี!n242"")+IMPORTRANGE(""https://docs.google.com/spreadsheets/d/1xYFIxIM_CspAP5Q-5Zx_V0T_Ut3cjryrjd2hss28vGk/edit?usp=share_link"",""ลพบุรี!n242"")+IMPORTRANGE(""https://docs.google.com/spreadsheets/d/11s9m3tKsCBdPWq6"&amp;"syhZm27eBGbKneDLZc75co106bio/edit?usp=share_link"",""สระแก้ว!n242"")+IMPORTRANGE(""https://docs.google.com/spreadsheets/d/1Nn1EvsFPtXldgpgVb3Rcng2K2cls68LFQsBh2FyW0Bg/edit?usp=share_link"",""สระบุรี!n242"")+IMPORTRANGE(""https://docs.google.com/spreadshee"&amp;"ts/d/149xufxukrnEciK3WPbNpHwUK8BKEJxp3UcBG3Al6dA4/edit?usp=share_link"",""สิงห์บุรี!n242"")+IMPORTRANGE(""https://docs.google.com/spreadsheets/d/132g-zJpz2uMKimp17uOIx8A7o3w1Z25zwJyXnwsB56c/edit?usp=share_link"",""สุพรรณบุรี!n242"")+IMPORTRANGE(""https://"&amp;"docs.google.com/spreadsheets/d/12Q_U0nVnFdxDFwa0pej9xvx8ZvLC9Dpi_vRro_aiG5g/edit?usp=share_link"",""อ่างทอง!n242"")
"),0)</f>
        <v>0</v>
      </c>
      <c r="O242" s="45"/>
      <c r="P242" s="45"/>
      <c r="Q242" s="360"/>
      <c r="R242" s="360"/>
      <c r="S242" s="360"/>
      <c r="T242" s="360"/>
      <c r="U242" s="360"/>
      <c r="V242" s="360"/>
      <c r="W242" s="360"/>
      <c r="X242" s="360"/>
      <c r="Y242" s="360"/>
      <c r="Z242" s="360"/>
    </row>
    <row r="243" spans="1:26" ht="20.25" hidden="1" customHeight="1">
      <c r="A243" s="361"/>
      <c r="B243" s="362"/>
      <c r="C243" s="359" t="s">
        <v>16</v>
      </c>
      <c r="D243" s="266" t="s">
        <v>38</v>
      </c>
      <c r="E243" s="363"/>
      <c r="F243" s="363"/>
      <c r="G243" s="364"/>
      <c r="H243" s="365"/>
      <c r="I243" s="166"/>
      <c r="J243" s="44"/>
      <c r="K243" s="45"/>
      <c r="L243" s="45"/>
      <c r="M243" s="45"/>
      <c r="N243" s="45"/>
      <c r="O243" s="167"/>
      <c r="P243" s="167"/>
      <c r="Q243" s="31"/>
      <c r="R243" s="31"/>
      <c r="S243" s="31"/>
      <c r="T243" s="31"/>
      <c r="U243" s="31"/>
      <c r="V243" s="31"/>
      <c r="W243" s="31"/>
      <c r="X243" s="31"/>
      <c r="Y243" s="31"/>
      <c r="Z243" s="31"/>
    </row>
    <row r="244" spans="1:26" ht="20.25" hidden="1" customHeight="1">
      <c r="A244" s="361"/>
      <c r="B244" s="362"/>
      <c r="C244" s="362"/>
      <c r="D244" s="366" t="s">
        <v>117</v>
      </c>
      <c r="E244" s="367"/>
      <c r="F244" s="367"/>
      <c r="G244" s="368"/>
      <c r="H244" s="369" t="s">
        <v>35</v>
      </c>
      <c r="I244" s="44">
        <f ca="1">IFERROR(__xludf.DUMMYFUNCTION("IMPORTRANGE(""https://docs.google.com/spreadsheets/d/1hKO5uv94SSRZWOvrh72HRcpyoEQF9TsE_Cvxl77XNU4/edit?usp=share_link"",""กาญจนบุรี!I244"")+IMPORTRANGE(""https://docs.google.com/spreadsheets/d/1njBaP_xXd-Uotvo2D9zb01TTCFkLJLDK97Tk1l9Qux0/edit?usp=share_li"&amp;"nk"",""จันทบุรี!I244"")+IMPORTRANGE(""https://docs.google.com/spreadsheets/d/14xp6qUzrGFnUk_qnc1eEmfiaNRd4_grkhpfQH_46fa8/edit?usp=share_link"",""ฉะเชิงเทรา!I244"")+IMPORTRANGE(""https://docs.google.com/spreadsheets/d/1_Zwps30dlVa-pZFsorjVf1Pil6WXwzCsJU0U"&amp;"2whO3NI/edit?usp=share_link"",""ชลบุรี!I244"")+IMPORTRANGE(""https://docs.google.com/spreadsheets/d/1xAsT4sUbBlom7l0acStESh_15nvjZcXjZM7fK5uZSq8/edit?usp=share_link"",""ชัยนาท!I244"")+IMPORTRANGE(""https://docs.google.com/spreadsheets/d/1vWPVBOAaZ6mHSI8yf"&amp;"95DNqHwTJ1cpeFsvqt6cxV34QA/edit?usp=share_link"",""ตราด!I244"")+IMPORTRANGE(""https://docs.google.com/spreadsheets/d/1phaeSb9lTGgzDpbvVqI9hfmOQQzUom07-HEvpbARzEg/edit?usp=share_link"",""นครนายก!I244"")+IMPORTRANGE(""https://docs.google.com/spreadsheets/d/"&amp;"1tpwhWwkqkBeiSWCcfB5f2fbwPRbM9hHOEDSDHpl2MIc/edit?usp=share_link"",""นครปฐม!I244"")+IMPORTRANGE(""https://docs.google.com/spreadsheets/d/1fJJCVBkBnhriyv0Cp5ZFMr0I_yrfdEITNpb4zILJgUQ/edit?usp=share_link"",""ปทุมธานี!I244"")+IMPORTRANGE(""https://docs.googl"&amp;"e.com/spreadsheets/d/1W5Jj_S0gYw6wSO7QcMI02YgyOBDKYgmm0NSUk-AQEac/edit?usp=share_link"",""ประจวบคีรีขันธ์!I244"")+IMPORTRANGE(""https://docs.google.com/spreadsheets/d/1nYxRXgnCfTXtqUY1otYuTlnrzE0Tn-Y0YRsW5pkRVqo/edit?usp=share_link"",""ปราจีนบุรี!I244"")+"&amp;"IMPORTRANGE(""https://docs.google.com/spreadsheets/d/1nNHCLO8ZAXOMfQvxux7cf_hrzPAh8FAvaHq_ClKbZNo/edit?usp=share_link"",""พระนครศรีอยุธยา!I244"")+IMPORTRANGE(""https://docs.google.com/spreadsheets/d/1CdNicvf3i6yt4tJlCePe3V1Va76wYqW0QzMzTsaGRrA/edit?usp=sh"&amp;"are_link"",""เพชรบุรี!I244"")+IMPORTRANGE(""https://docs.google.com/spreadsheets/d/1XiF77UIVHV0Kjc6xbXuOuJ10WgJYxd4p_22ngKVV5oM/edit?usp=share_link"",""ระยอง!I244"")+IMPORTRANGE(""https://docs.google.com/spreadsheets/d/1qU-W_9MCQD1pgIVXGEOjCFo9QqlmJywueby"&amp;"GgaN92r8/edit?usp=share_link"",""ราชบุรี!I244"")+IMPORTRANGE(""https://docs.google.com/spreadsheets/d/1xYFIxIM_CspAP5Q-5Zx_V0T_Ut3cjryrjd2hss28vGk/edit?usp=share_link"",""ลพบุรี!I244"")+IMPORTRANGE(""https://docs.google.com/spreadsheets/d/11s9m3tKsCBdPWq6"&amp;"syhZm27eBGbKneDLZc75co106bio/edit?usp=share_link"",""สระแก้ว!I244"")+IMPORTRANGE(""https://docs.google.com/spreadsheets/d/1Nn1EvsFPtXldgpgVb3Rcng2K2cls68LFQsBh2FyW0Bg/edit?usp=share_link"",""สระบุรี!I244"")+IMPORTRANGE(""https://docs.google.com/spreadshee"&amp;"ts/d/149xufxukrnEciK3WPbNpHwUK8BKEJxp3UcBG3Al6dA4/edit?usp=share_link"",""สิงห์บุรี!I244"")+IMPORTRANGE(""https://docs.google.com/spreadsheets/d/132g-zJpz2uMKimp17uOIx8A7o3w1Z25zwJyXnwsB56c/edit?usp=share_link"",""สุพรรณบุรี!I244"")+IMPORTRANGE(""https://"&amp;"docs.google.com/spreadsheets/d/12Q_U0nVnFdxDFwa0pej9xvx8ZvLC9Dpi_vRro_aiG5g/edit?usp=share_link"",""อ่างทอง!I244"")
"),270)</f>
        <v>270</v>
      </c>
      <c r="J244" s="370">
        <f ca="1">IFERROR(__xludf.DUMMYFUNCTION("IMPORTRANGE(""https://docs.google.com/spreadsheets/d/1hKO5uv94SSRZWOvrh72HRcpyoEQF9TsE_Cvxl77XNU4/edit?usp=share_link"",""กาญจนบุรี!J244"")+IMPORTRANGE(""https://docs.google.com/spreadsheets/d/1njBaP_xXd-Uotvo2D9zb01TTCFkLJLDK97Tk1l9Qux0/edit?usp=share_li"&amp;"nk"",""จันทบุรี!J244"")+IMPORTRANGE(""https://docs.google.com/spreadsheets/d/14xp6qUzrGFnUk_qnc1eEmfiaNRd4_grkhpfQH_46fa8/edit?usp=share_link"",""ฉะเชิงเทรา!J244"")+IMPORTRANGE(""https://docs.google.com/spreadsheets/d/1_Zwps30dlVa-pZFsorjVf1Pil6WXwzCsJU0U"&amp;"2whO3NI/edit?usp=share_link"",""ชลบุรี!J244"")+IMPORTRANGE(""https://docs.google.com/spreadsheets/d/1xAsT4sUbBlom7l0acStESh_15nvjZcXjZM7fK5uZSq8/edit?usp=share_link"",""ชัยนาท!J244"")+IMPORTRANGE(""https://docs.google.com/spreadsheets/d/1vWPVBOAaZ6mHSI8yf"&amp;"95DNqHwTJ1cpeFsvqt6cxV34QA/edit?usp=share_link"",""ตราด!J244"")+IMPORTRANGE(""https://docs.google.com/spreadsheets/d/1phaeSb9lTGgzDpbvVqI9hfmOQQzUom07-HEvpbARzEg/edit?usp=share_link"",""นครนายก!J244"")+IMPORTRANGE(""https://docs.google.com/spreadsheets/d/"&amp;"1tpwhWwkqkBeiSWCcfB5f2fbwPRbM9hHOEDSDHpl2MIc/edit?usp=share_link"",""นครปฐม!J244"")+IMPORTRANGE(""https://docs.google.com/spreadsheets/d/1fJJCVBkBnhriyv0Cp5ZFMr0I_yrfdEITNpb4zILJgUQ/edit?usp=share_link"",""ปทุมธานี!J244"")+IMPORTRANGE(""https://docs.googl"&amp;"e.com/spreadsheets/d/1W5Jj_S0gYw6wSO7QcMI02YgyOBDKYgmm0NSUk-AQEac/edit?usp=share_link"",""ประจวบคีรีขันธ์!J244"")+IMPORTRANGE(""https://docs.google.com/spreadsheets/d/1nYxRXgnCfTXtqUY1otYuTlnrzE0Tn-Y0YRsW5pkRVqo/edit?usp=share_link"",""ปราจีนบุรี!J244"")+"&amp;"IMPORTRANGE(""https://docs.google.com/spreadsheets/d/1nNHCLO8ZAXOMfQvxux7cf_hrzPAh8FAvaHq_ClKbZNo/edit?usp=share_link"",""พระนครศรีอยุธยา!J244"")+IMPORTRANGE(""https://docs.google.com/spreadsheets/d/1CdNicvf3i6yt4tJlCePe3V1Va76wYqW0QzMzTsaGRrA/edit?usp=sh"&amp;"are_link"",""เพชรบุรี!J244"")+IMPORTRANGE(""https://docs.google.com/spreadsheets/d/1XiF77UIVHV0Kjc6xbXuOuJ10WgJYxd4p_22ngKVV5oM/edit?usp=share_link"",""ระยอง!J244"")+IMPORTRANGE(""https://docs.google.com/spreadsheets/d/1qU-W_9MCQD1pgIVXGEOjCFo9QqlmJywueby"&amp;"GgaN92r8/edit?usp=share_link"",""ราชบุรี!J244"")+IMPORTRANGE(""https://docs.google.com/spreadsheets/d/1xYFIxIM_CspAP5Q-5Zx_V0T_Ut3cjryrjd2hss28vGk/edit?usp=share_link"",""ลพบุรี!J244"")+IMPORTRANGE(""https://docs.google.com/spreadsheets/d/11s9m3tKsCBdPWq6"&amp;"syhZm27eBGbKneDLZc75co106bio/edit?usp=share_link"",""สระแก้ว!J244"")+IMPORTRANGE(""https://docs.google.com/spreadsheets/d/1Nn1EvsFPtXldgpgVb3Rcng2K2cls68LFQsBh2FyW0Bg/edit?usp=share_link"",""สระบุรี!J244"")+IMPORTRANGE(""https://docs.google.com/spreadshee"&amp;"ts/d/149xufxukrnEciK3WPbNpHwUK8BKEJxp3UcBG3Al6dA4/edit?usp=share_link"",""สิงห์บุรี!J244"")+IMPORTRANGE(""https://docs.google.com/spreadsheets/d/132g-zJpz2uMKimp17uOIx8A7o3w1Z25zwJyXnwsB56c/edit?usp=share_link"",""สุพรรณบุรี!J244"")+IMPORTRANGE(""https://"&amp;"docs.google.com/spreadsheets/d/12Q_U0nVnFdxDFwa0pej9xvx8ZvLC9Dpi_vRro_aiG5g/edit?usp=share_link"",""อ่างทอง!J244"")
"),100)</f>
        <v>100</v>
      </c>
      <c r="K244" s="45">
        <f ca="1">IF(I244&gt;0,J244*100/I244,0)</f>
        <v>37.037037037037038</v>
      </c>
      <c r="L244" s="45"/>
      <c r="M244" s="45"/>
      <c r="N244" s="45"/>
      <c r="O244" s="45"/>
      <c r="P244" s="45"/>
      <c r="Q244" s="31"/>
      <c r="R244" s="31"/>
      <c r="S244" s="31"/>
      <c r="T244" s="31"/>
      <c r="U244" s="31"/>
      <c r="V244" s="31"/>
      <c r="W244" s="31"/>
      <c r="X244" s="31"/>
      <c r="Y244" s="31"/>
      <c r="Z244" s="31"/>
    </row>
    <row r="245" spans="1:26" ht="20.25" hidden="1" customHeight="1">
      <c r="A245" s="361"/>
      <c r="B245" s="362"/>
      <c r="C245" s="362"/>
      <c r="D245" s="371" t="s">
        <v>43</v>
      </c>
      <c r="E245" s="372"/>
      <c r="F245" s="367"/>
      <c r="G245" s="368"/>
      <c r="H245" s="369"/>
      <c r="I245" s="44"/>
      <c r="J245" s="44"/>
      <c r="K245" s="45"/>
      <c r="L245" s="45"/>
      <c r="M245" s="45"/>
      <c r="N245" s="45"/>
      <c r="O245" s="167"/>
      <c r="P245" s="167"/>
      <c r="Q245" s="31"/>
      <c r="R245" s="31"/>
      <c r="S245" s="31"/>
      <c r="T245" s="31"/>
      <c r="U245" s="31"/>
      <c r="V245" s="31"/>
      <c r="W245" s="31"/>
      <c r="X245" s="31"/>
      <c r="Y245" s="31"/>
      <c r="Z245" s="31"/>
    </row>
    <row r="246" spans="1:26" ht="20.25" hidden="1" customHeight="1">
      <c r="A246" s="361"/>
      <c r="B246" s="362"/>
      <c r="C246" s="362"/>
      <c r="D246" s="362"/>
      <c r="E246" s="373" t="s">
        <v>118</v>
      </c>
      <c r="F246" s="367"/>
      <c r="G246" s="368"/>
      <c r="H246" s="369" t="s">
        <v>35</v>
      </c>
      <c r="I246" s="44">
        <f ca="1">IFERROR(__xludf.DUMMYFUNCTION("IMPORTRANGE(""https://docs.google.com/spreadsheets/d/1hKO5uv94SSRZWOvrh72HRcpyoEQF9TsE_Cvxl77XNU4/edit?usp=share_link"",""กาญจนบุรี!I246"")+IMPORTRANGE(""https://docs.google.com/spreadsheets/d/1njBaP_xXd-Uotvo2D9zb01TTCFkLJLDK97Tk1l9Qux0/edit?usp=share_li"&amp;"nk"",""จันทบุรี!I246"")+IMPORTRANGE(""https://docs.google.com/spreadsheets/d/14xp6qUzrGFnUk_qnc1eEmfiaNRd4_grkhpfQH_46fa8/edit?usp=share_link"",""ฉะเชิงเทรา!I246"")+IMPORTRANGE(""https://docs.google.com/spreadsheets/d/1_Zwps30dlVa-pZFsorjVf1Pil6WXwzCsJU0U"&amp;"2whO3NI/edit?usp=share_link"",""ชลบุรี!I246"")+IMPORTRANGE(""https://docs.google.com/spreadsheets/d/1xAsT4sUbBlom7l0acStESh_15nvjZcXjZM7fK5uZSq8/edit?usp=share_link"",""ชัยนาท!I246"")+IMPORTRANGE(""https://docs.google.com/spreadsheets/d/1vWPVBOAaZ6mHSI8yf"&amp;"95DNqHwTJ1cpeFsvqt6cxV34QA/edit?usp=share_link"",""ตราด!I246"")+IMPORTRANGE(""https://docs.google.com/spreadsheets/d/1phaeSb9lTGgzDpbvVqI9hfmOQQzUom07-HEvpbARzEg/edit?usp=share_link"",""นครนายก!I246"")+IMPORTRANGE(""https://docs.google.com/spreadsheets/d/"&amp;"1tpwhWwkqkBeiSWCcfB5f2fbwPRbM9hHOEDSDHpl2MIc/edit?usp=share_link"",""นครปฐม!I246"")+IMPORTRANGE(""https://docs.google.com/spreadsheets/d/1fJJCVBkBnhriyv0Cp5ZFMr0I_yrfdEITNpb4zILJgUQ/edit?usp=share_link"",""ปทุมธานี!I246"")+IMPORTRANGE(""https://docs.googl"&amp;"e.com/spreadsheets/d/1W5Jj_S0gYw6wSO7QcMI02YgyOBDKYgmm0NSUk-AQEac/edit?usp=share_link"",""ประจวบคีรีขันธ์!I246"")+IMPORTRANGE(""https://docs.google.com/spreadsheets/d/1nYxRXgnCfTXtqUY1otYuTlnrzE0Tn-Y0YRsW5pkRVqo/edit?usp=share_link"",""ปราจีนบุรี!I246"")+"&amp;"IMPORTRANGE(""https://docs.google.com/spreadsheets/d/1nNHCLO8ZAXOMfQvxux7cf_hrzPAh8FAvaHq_ClKbZNo/edit?usp=share_link"",""พระนครศรีอยุธยา!I246"")+IMPORTRANGE(""https://docs.google.com/spreadsheets/d/1CdNicvf3i6yt4tJlCePe3V1Va76wYqW0QzMzTsaGRrA/edit?usp=sh"&amp;"are_link"",""เพชรบุรี!I246"")+IMPORTRANGE(""https://docs.google.com/spreadsheets/d/1XiF77UIVHV0Kjc6xbXuOuJ10WgJYxd4p_22ngKVV5oM/edit?usp=share_link"",""ระยอง!I246"")+IMPORTRANGE(""https://docs.google.com/spreadsheets/d/1qU-W_9MCQD1pgIVXGEOjCFo9QqlmJywueby"&amp;"GgaN92r8/edit?usp=share_link"",""ราชบุรี!I246"")+IMPORTRANGE(""https://docs.google.com/spreadsheets/d/1xYFIxIM_CspAP5Q-5Zx_V0T_Ut3cjryrjd2hss28vGk/edit?usp=share_link"",""ลพบุรี!I246"")+IMPORTRANGE(""https://docs.google.com/spreadsheets/d/11s9m3tKsCBdPWq6"&amp;"syhZm27eBGbKneDLZc75co106bio/edit?usp=share_link"",""สระแก้ว!I246"")+IMPORTRANGE(""https://docs.google.com/spreadsheets/d/1Nn1EvsFPtXldgpgVb3Rcng2K2cls68LFQsBh2FyW0Bg/edit?usp=share_link"",""สระบุรี!I246"")+IMPORTRANGE(""https://docs.google.com/spreadshee"&amp;"ts/d/149xufxukrnEciK3WPbNpHwUK8BKEJxp3UcBG3Al6dA4/edit?usp=share_link"",""สิงห์บุรี!I246"")+IMPORTRANGE(""https://docs.google.com/spreadsheets/d/132g-zJpz2uMKimp17uOIx8A7o3w1Z25zwJyXnwsB56c/edit?usp=share_link"",""สุพรรณบุรี!I246"")+IMPORTRANGE(""https://"&amp;"docs.google.com/spreadsheets/d/12Q_U0nVnFdxDFwa0pej9xvx8ZvLC9Dpi_vRro_aiG5g/edit?usp=share_link"",""อ่างทอง!I246"")
"),250)</f>
        <v>250</v>
      </c>
      <c r="J246" s="370">
        <f ca="1">IFERROR(__xludf.DUMMYFUNCTION("IMPORTRANGE(""https://docs.google.com/spreadsheets/d/1hKO5uv94SSRZWOvrh72HRcpyoEQF9TsE_Cvxl77XNU4/edit?usp=share_link"",""กาญจนบุรี!J246"")+IMPORTRANGE(""https://docs.google.com/spreadsheets/d/1njBaP_xXd-Uotvo2D9zb01TTCFkLJLDK97Tk1l9Qux0/edit?usp=share_li"&amp;"nk"",""จันทบุรี!J246"")+IMPORTRANGE(""https://docs.google.com/spreadsheets/d/14xp6qUzrGFnUk_qnc1eEmfiaNRd4_grkhpfQH_46fa8/edit?usp=share_link"",""ฉะเชิงเทรา!J246"")+IMPORTRANGE(""https://docs.google.com/spreadsheets/d/1_Zwps30dlVa-pZFsorjVf1Pil6WXwzCsJU0U"&amp;"2whO3NI/edit?usp=share_link"",""ชลบุรี!J246"")+IMPORTRANGE(""https://docs.google.com/spreadsheets/d/1xAsT4sUbBlom7l0acStESh_15nvjZcXjZM7fK5uZSq8/edit?usp=share_link"",""ชัยนาท!J246"")+IMPORTRANGE(""https://docs.google.com/spreadsheets/d/1vWPVBOAaZ6mHSI8yf"&amp;"95DNqHwTJ1cpeFsvqt6cxV34QA/edit?usp=share_link"",""ตราด!J246"")+IMPORTRANGE(""https://docs.google.com/spreadsheets/d/1phaeSb9lTGgzDpbvVqI9hfmOQQzUom07-HEvpbARzEg/edit?usp=share_link"",""นครนายก!J246"")+IMPORTRANGE(""https://docs.google.com/spreadsheets/d/"&amp;"1tpwhWwkqkBeiSWCcfB5f2fbwPRbM9hHOEDSDHpl2MIc/edit?usp=share_link"",""นครปฐม!J246"")+IMPORTRANGE(""https://docs.google.com/spreadsheets/d/1fJJCVBkBnhriyv0Cp5ZFMr0I_yrfdEITNpb4zILJgUQ/edit?usp=share_link"",""ปทุมธานี!J246"")+IMPORTRANGE(""https://docs.googl"&amp;"e.com/spreadsheets/d/1W5Jj_S0gYw6wSO7QcMI02YgyOBDKYgmm0NSUk-AQEac/edit?usp=share_link"",""ประจวบคีรีขันธ์!J246"")+IMPORTRANGE(""https://docs.google.com/spreadsheets/d/1nYxRXgnCfTXtqUY1otYuTlnrzE0Tn-Y0YRsW5pkRVqo/edit?usp=share_link"",""ปราจีนบุรี!J246"")+"&amp;"IMPORTRANGE(""https://docs.google.com/spreadsheets/d/1nNHCLO8ZAXOMfQvxux7cf_hrzPAh8FAvaHq_ClKbZNo/edit?usp=share_link"",""พระนครศรีอยุธยา!J246"")+IMPORTRANGE(""https://docs.google.com/spreadsheets/d/1CdNicvf3i6yt4tJlCePe3V1Va76wYqW0QzMzTsaGRrA/edit?usp=sh"&amp;"are_link"",""เพชรบุรี!J246"")+IMPORTRANGE(""https://docs.google.com/spreadsheets/d/1XiF77UIVHV0Kjc6xbXuOuJ10WgJYxd4p_22ngKVV5oM/edit?usp=share_link"",""ระยอง!J246"")+IMPORTRANGE(""https://docs.google.com/spreadsheets/d/1qU-W_9MCQD1pgIVXGEOjCFo9QqlmJywueby"&amp;"GgaN92r8/edit?usp=share_link"",""ราชบุรี!J246"")+IMPORTRANGE(""https://docs.google.com/spreadsheets/d/1xYFIxIM_CspAP5Q-5Zx_V0T_Ut3cjryrjd2hss28vGk/edit?usp=share_link"",""ลพบุรี!J246"")+IMPORTRANGE(""https://docs.google.com/spreadsheets/d/11s9m3tKsCBdPWq6"&amp;"syhZm27eBGbKneDLZc75co106bio/edit?usp=share_link"",""สระแก้ว!J246"")+IMPORTRANGE(""https://docs.google.com/spreadsheets/d/1Nn1EvsFPtXldgpgVb3Rcng2K2cls68LFQsBh2FyW0Bg/edit?usp=share_link"",""สระบุรี!J246"")+IMPORTRANGE(""https://docs.google.com/spreadshee"&amp;"ts/d/149xufxukrnEciK3WPbNpHwUK8BKEJxp3UcBG3Al6dA4/edit?usp=share_link"",""สิงห์บุรี!J246"")+IMPORTRANGE(""https://docs.google.com/spreadsheets/d/132g-zJpz2uMKimp17uOIx8A7o3w1Z25zwJyXnwsB56c/edit?usp=share_link"",""สุพรรณบุรี!J246"")+IMPORTRANGE(""https://"&amp;"docs.google.com/spreadsheets/d/12Q_U0nVnFdxDFwa0pej9xvx8ZvLC9Dpi_vRro_aiG5g/edit?usp=share_link"",""อ่างทอง!J246"")
"),0)</f>
        <v>0</v>
      </c>
      <c r="K246" s="45">
        <f t="shared" ref="K246:K248" ca="1" si="134">IF(I246&gt;0,J246*100/I246,0)</f>
        <v>0</v>
      </c>
      <c r="L246" s="45"/>
      <c r="M246" s="45"/>
      <c r="N246" s="45"/>
      <c r="O246" s="45"/>
      <c r="P246" s="45"/>
      <c r="Q246" s="31"/>
      <c r="R246" s="31"/>
      <c r="S246" s="31"/>
      <c r="T246" s="31"/>
      <c r="U246" s="31"/>
      <c r="V246" s="31"/>
      <c r="W246" s="31"/>
      <c r="X246" s="31"/>
      <c r="Y246" s="31"/>
      <c r="Z246" s="31"/>
    </row>
    <row r="247" spans="1:26" ht="20.25" hidden="1" customHeight="1">
      <c r="A247" s="361"/>
      <c r="B247" s="362"/>
      <c r="C247" s="362"/>
      <c r="D247" s="362"/>
      <c r="E247" s="267" t="s">
        <v>119</v>
      </c>
      <c r="F247" s="367"/>
      <c r="G247" s="368"/>
      <c r="H247" s="369" t="s">
        <v>69</v>
      </c>
      <c r="I247" s="44">
        <f ca="1">IFERROR(__xludf.DUMMYFUNCTION("IMPORTRANGE(""https://docs.google.com/spreadsheets/d/1hKO5uv94SSRZWOvrh72HRcpyoEQF9TsE_Cvxl77XNU4/edit?usp=share_link"",""กาญจนบุรี!I247"")+IMPORTRANGE(""https://docs.google.com/spreadsheets/d/1njBaP_xXd-Uotvo2D9zb01TTCFkLJLDK97Tk1l9Qux0/edit?usp=share_li"&amp;"nk"",""จันทบุรี!I247"")+IMPORTRANGE(""https://docs.google.com/spreadsheets/d/14xp6qUzrGFnUk_qnc1eEmfiaNRd4_grkhpfQH_46fa8/edit?usp=share_link"",""ฉะเชิงเทรา!I247"")+IMPORTRANGE(""https://docs.google.com/spreadsheets/d/1_Zwps30dlVa-pZFsorjVf1Pil6WXwzCsJU0U"&amp;"2whO3NI/edit?usp=share_link"",""ชลบุรี!I247"")+IMPORTRANGE(""https://docs.google.com/spreadsheets/d/1xAsT4sUbBlom7l0acStESh_15nvjZcXjZM7fK5uZSq8/edit?usp=share_link"",""ชัยนาท!I247"")+IMPORTRANGE(""https://docs.google.com/spreadsheets/d/1vWPVBOAaZ6mHSI8yf"&amp;"95DNqHwTJ1cpeFsvqt6cxV34QA/edit?usp=share_link"",""ตราด!I247"")+IMPORTRANGE(""https://docs.google.com/spreadsheets/d/1phaeSb9lTGgzDpbvVqI9hfmOQQzUom07-HEvpbARzEg/edit?usp=share_link"",""นครนายก!I247"")+IMPORTRANGE(""https://docs.google.com/spreadsheets/d/"&amp;"1tpwhWwkqkBeiSWCcfB5f2fbwPRbM9hHOEDSDHpl2MIc/edit?usp=share_link"",""นครปฐม!I247"")+IMPORTRANGE(""https://docs.google.com/spreadsheets/d/1fJJCVBkBnhriyv0Cp5ZFMr0I_yrfdEITNpb4zILJgUQ/edit?usp=share_link"",""ปทุมธานี!I247"")+IMPORTRANGE(""https://docs.googl"&amp;"e.com/spreadsheets/d/1W5Jj_S0gYw6wSO7QcMI02YgyOBDKYgmm0NSUk-AQEac/edit?usp=share_link"",""ประจวบคีรีขันธ์!I247"")+IMPORTRANGE(""https://docs.google.com/spreadsheets/d/1nYxRXgnCfTXtqUY1otYuTlnrzE0Tn-Y0YRsW5pkRVqo/edit?usp=share_link"",""ปราจีนบุรี!I247"")+"&amp;"IMPORTRANGE(""https://docs.google.com/spreadsheets/d/1nNHCLO8ZAXOMfQvxux7cf_hrzPAh8FAvaHq_ClKbZNo/edit?usp=share_link"",""พระนครศรีอยุธยา!I247"")+IMPORTRANGE(""https://docs.google.com/spreadsheets/d/1CdNicvf3i6yt4tJlCePe3V1Va76wYqW0QzMzTsaGRrA/edit?usp=sh"&amp;"are_link"",""เพชรบุรี!I247"")+IMPORTRANGE(""https://docs.google.com/spreadsheets/d/1XiF77UIVHV0Kjc6xbXuOuJ10WgJYxd4p_22ngKVV5oM/edit?usp=share_link"",""ระยอง!I247"")+IMPORTRANGE(""https://docs.google.com/spreadsheets/d/1qU-W_9MCQD1pgIVXGEOjCFo9QqlmJywueby"&amp;"GgaN92r8/edit?usp=share_link"",""ราชบุรี!I247"")+IMPORTRANGE(""https://docs.google.com/spreadsheets/d/1xYFIxIM_CspAP5Q-5Zx_V0T_Ut3cjryrjd2hss28vGk/edit?usp=share_link"",""ลพบุรี!I247"")+IMPORTRANGE(""https://docs.google.com/spreadsheets/d/11s9m3tKsCBdPWq6"&amp;"syhZm27eBGbKneDLZc75co106bio/edit?usp=share_link"",""สระแก้ว!I247"")+IMPORTRANGE(""https://docs.google.com/spreadsheets/d/1Nn1EvsFPtXldgpgVb3Rcng2K2cls68LFQsBh2FyW0Bg/edit?usp=share_link"",""สระบุรี!I247"")+IMPORTRANGE(""https://docs.google.com/spreadshee"&amp;"ts/d/149xufxukrnEciK3WPbNpHwUK8BKEJxp3UcBG3Al6dA4/edit?usp=share_link"",""สิงห์บุรี!I247"")+IMPORTRANGE(""https://docs.google.com/spreadsheets/d/132g-zJpz2uMKimp17uOIx8A7o3w1Z25zwJyXnwsB56c/edit?usp=share_link"",""สุพรรณบุรี!I247"")+IMPORTRANGE(""https://"&amp;"docs.google.com/spreadsheets/d/12Q_U0nVnFdxDFwa0pej9xvx8ZvLC9Dpi_vRro_aiG5g/edit?usp=share_link"",""อ่างทอง!I247"")
"),11)</f>
        <v>11</v>
      </c>
      <c r="J247" s="370">
        <f ca="1">IFERROR(__xludf.DUMMYFUNCTION("IMPORTRANGE(""https://docs.google.com/spreadsheets/d/1hKO5uv94SSRZWOvrh72HRcpyoEQF9TsE_Cvxl77XNU4/edit?usp=share_link"",""กาญจนบุรี!J247"")+IMPORTRANGE(""https://docs.google.com/spreadsheets/d/1njBaP_xXd-Uotvo2D9zb01TTCFkLJLDK97Tk1l9Qux0/edit?usp=share_li"&amp;"nk"",""จันทบุรี!J247"")+IMPORTRANGE(""https://docs.google.com/spreadsheets/d/14xp6qUzrGFnUk_qnc1eEmfiaNRd4_grkhpfQH_46fa8/edit?usp=share_link"",""ฉะเชิงเทรา!J247"")+IMPORTRANGE(""https://docs.google.com/spreadsheets/d/1_Zwps30dlVa-pZFsorjVf1Pil6WXwzCsJU0U"&amp;"2whO3NI/edit?usp=share_link"",""ชลบุรี!J247"")+IMPORTRANGE(""https://docs.google.com/spreadsheets/d/1xAsT4sUbBlom7l0acStESh_15nvjZcXjZM7fK5uZSq8/edit?usp=share_link"",""ชัยนาท!J247"")+IMPORTRANGE(""https://docs.google.com/spreadsheets/d/1vWPVBOAaZ6mHSI8yf"&amp;"95DNqHwTJ1cpeFsvqt6cxV34QA/edit?usp=share_link"",""ตราด!J247"")+IMPORTRANGE(""https://docs.google.com/spreadsheets/d/1phaeSb9lTGgzDpbvVqI9hfmOQQzUom07-HEvpbARzEg/edit?usp=share_link"",""นครนายก!J247"")+IMPORTRANGE(""https://docs.google.com/spreadsheets/d/"&amp;"1tpwhWwkqkBeiSWCcfB5f2fbwPRbM9hHOEDSDHpl2MIc/edit?usp=share_link"",""นครปฐม!J247"")+IMPORTRANGE(""https://docs.google.com/spreadsheets/d/1fJJCVBkBnhriyv0Cp5ZFMr0I_yrfdEITNpb4zILJgUQ/edit?usp=share_link"",""ปทุมธานี!J247"")+IMPORTRANGE(""https://docs.googl"&amp;"e.com/spreadsheets/d/1W5Jj_S0gYw6wSO7QcMI02YgyOBDKYgmm0NSUk-AQEac/edit?usp=share_link"",""ประจวบคีรีขันธ์!J247"")+IMPORTRANGE(""https://docs.google.com/spreadsheets/d/1nYxRXgnCfTXtqUY1otYuTlnrzE0Tn-Y0YRsW5pkRVqo/edit?usp=share_link"",""ปราจีนบุรี!J247"")+"&amp;"IMPORTRANGE(""https://docs.google.com/spreadsheets/d/1nNHCLO8ZAXOMfQvxux7cf_hrzPAh8FAvaHq_ClKbZNo/edit?usp=share_link"",""พระนครศรีอยุธยา!J247"")+IMPORTRANGE(""https://docs.google.com/spreadsheets/d/1CdNicvf3i6yt4tJlCePe3V1Va76wYqW0QzMzTsaGRrA/edit?usp=sh"&amp;"are_link"",""เพชรบุรี!J247"")+IMPORTRANGE(""https://docs.google.com/spreadsheets/d/1XiF77UIVHV0Kjc6xbXuOuJ10WgJYxd4p_22ngKVV5oM/edit?usp=share_link"",""ระยอง!J247"")+IMPORTRANGE(""https://docs.google.com/spreadsheets/d/1qU-W_9MCQD1pgIVXGEOjCFo9QqlmJywueby"&amp;"GgaN92r8/edit?usp=share_link"",""ราชบุรี!J247"")+IMPORTRANGE(""https://docs.google.com/spreadsheets/d/1xYFIxIM_CspAP5Q-5Zx_V0T_Ut3cjryrjd2hss28vGk/edit?usp=share_link"",""ลพบุรี!J247"")+IMPORTRANGE(""https://docs.google.com/spreadsheets/d/11s9m3tKsCBdPWq6"&amp;"syhZm27eBGbKneDLZc75co106bio/edit?usp=share_link"",""สระแก้ว!J247"")+IMPORTRANGE(""https://docs.google.com/spreadsheets/d/1Nn1EvsFPtXldgpgVb3Rcng2K2cls68LFQsBh2FyW0Bg/edit?usp=share_link"",""สระบุรี!J247"")+IMPORTRANGE(""https://docs.google.com/spreadshee"&amp;"ts/d/149xufxukrnEciK3WPbNpHwUK8BKEJxp3UcBG3Al6dA4/edit?usp=share_link"",""สิงห์บุรี!J247"")+IMPORTRANGE(""https://docs.google.com/spreadsheets/d/132g-zJpz2uMKimp17uOIx8A7o3w1Z25zwJyXnwsB56c/edit?usp=share_link"",""สุพรรณบุรี!J247"")+IMPORTRANGE(""https://"&amp;"docs.google.com/spreadsheets/d/12Q_U0nVnFdxDFwa0pej9xvx8ZvLC9Dpi_vRro_aiG5g/edit?usp=share_link"",""อ่างทอง!J247"")
"),0)</f>
        <v>0</v>
      </c>
      <c r="K247" s="45">
        <f t="shared" ca="1" si="134"/>
        <v>0</v>
      </c>
      <c r="L247" s="45"/>
      <c r="M247" s="45"/>
      <c r="N247" s="45"/>
      <c r="O247" s="45"/>
      <c r="P247" s="45"/>
      <c r="Q247" s="31"/>
      <c r="R247" s="31"/>
      <c r="S247" s="31"/>
      <c r="T247" s="31"/>
      <c r="U247" s="31"/>
      <c r="V247" s="31"/>
      <c r="W247" s="31"/>
      <c r="X247" s="31"/>
      <c r="Y247" s="31"/>
      <c r="Z247" s="31"/>
    </row>
    <row r="248" spans="1:26" ht="20.25" hidden="1" customHeight="1">
      <c r="A248" s="339"/>
      <c r="B248" s="340"/>
      <c r="C248" s="341" t="s">
        <v>121</v>
      </c>
      <c r="D248" s="342"/>
      <c r="E248" s="342"/>
      <c r="F248" s="342"/>
      <c r="G248" s="343"/>
      <c r="H248" s="265" t="s">
        <v>35</v>
      </c>
      <c r="I248" s="344">
        <f t="shared" ref="I248:J248" ca="1" si="135">I255</f>
        <v>70</v>
      </c>
      <c r="J248" s="344">
        <f t="shared" ca="1" si="135"/>
        <v>40</v>
      </c>
      <c r="K248" s="345">
        <f t="shared" ca="1" si="134"/>
        <v>57.142857142857146</v>
      </c>
      <c r="L248" s="346"/>
      <c r="M248" s="346"/>
      <c r="N248" s="346"/>
      <c r="O248" s="346"/>
      <c r="P248" s="346"/>
      <c r="Q248" s="224"/>
      <c r="R248" s="224"/>
      <c r="S248" s="224"/>
      <c r="T248" s="224"/>
      <c r="U248" s="224"/>
      <c r="V248" s="224"/>
      <c r="W248" s="224"/>
      <c r="X248" s="224"/>
      <c r="Y248" s="224"/>
      <c r="Z248" s="224"/>
    </row>
    <row r="249" spans="1:26" ht="20.25" hidden="1" customHeight="1">
      <c r="A249" s="347"/>
      <c r="B249" s="348"/>
      <c r="C249" s="349" t="s">
        <v>16</v>
      </c>
      <c r="D249" s="374" t="s">
        <v>17</v>
      </c>
      <c r="E249" s="348"/>
      <c r="F249" s="348"/>
      <c r="G249" s="351"/>
      <c r="H249" s="352" t="s">
        <v>12</v>
      </c>
      <c r="I249" s="353"/>
      <c r="J249" s="353"/>
      <c r="K249" s="354"/>
      <c r="L249" s="355">
        <f ca="1">L250+L251+L252+L253</f>
        <v>192100</v>
      </c>
      <c r="M249" s="355"/>
      <c r="N249" s="355">
        <f ca="1">N250+N251+N252+N253</f>
        <v>3730</v>
      </c>
      <c r="O249" s="355">
        <f ca="1">IF(L249&gt;0,N249*100/L249,0)</f>
        <v>1.9416970327954191</v>
      </c>
      <c r="P249" s="355">
        <f>IF(M249&gt;0,N249*100/M249,0)</f>
        <v>0</v>
      </c>
      <c r="Q249" s="31"/>
      <c r="R249" s="31"/>
      <c r="S249" s="31"/>
      <c r="T249" s="31"/>
      <c r="U249" s="31"/>
      <c r="V249" s="31"/>
      <c r="W249" s="31"/>
      <c r="X249" s="31"/>
      <c r="Y249" s="31"/>
      <c r="Z249" s="31"/>
    </row>
    <row r="250" spans="1:26" ht="20.25" hidden="1" customHeight="1">
      <c r="A250" s="156"/>
      <c r="B250" s="356"/>
      <c r="C250" s="40"/>
      <c r="D250" s="41" t="s">
        <v>97</v>
      </c>
      <c r="E250" s="40"/>
      <c r="F250" s="40"/>
      <c r="G250" s="42"/>
      <c r="H250" s="165" t="s">
        <v>12</v>
      </c>
      <c r="I250" s="166"/>
      <c r="J250" s="166"/>
      <c r="K250" s="167"/>
      <c r="L250" s="45">
        <f ca="1">IFERROR(__xludf.DUMMYFUNCTION("IMPORTRANGE(""https://docs.google.com/spreadsheets/d/1hKO5uv94SSRZWOvrh72HRcpyoEQF9TsE_Cvxl77XNU4/edit?usp=share_link"",""กาญจนบุรี!L250"")+IMPORTRANGE(""https://docs.google.com/spreadsheets/d/1njBaP_xXd-Uotvo2D9zb01TTCFkLJLDK97Tk1l9Qux0/edit?usp=share_li"&amp;"nk"",""จันทบุรี!L250"")+IMPORTRANGE(""https://docs.google.com/spreadsheets/d/14xp6qUzrGFnUk_qnc1eEmfiaNRd4_grkhpfQH_46fa8/edit?usp=share_link"",""ฉะเชิงเทรา!L250"")+IMPORTRANGE(""https://docs.google.com/spreadsheets/d/1_Zwps30dlVa-pZFsorjVf1Pil6WXwzCsJU0U"&amp;"2whO3NI/edit?usp=share_link"",""ชลบุรี!L250"")+IMPORTRANGE(""https://docs.google.com/spreadsheets/d/1xAsT4sUbBlom7l0acStESh_15nvjZcXjZM7fK5uZSq8/edit?usp=share_link"",""ชัยนาท!L250"")+IMPORTRANGE(""https://docs.google.com/spreadsheets/d/1vWPVBOAaZ6mHSI8yf"&amp;"95DNqHwTJ1cpeFsvqt6cxV34QA/edit?usp=share_link"",""ตราด!L250"")+IMPORTRANGE(""https://docs.google.com/spreadsheets/d/1phaeSb9lTGgzDpbvVqI9hfmOQQzUom07-HEvpbARzEg/edit?usp=share_link"",""นครนายก!L250"")+IMPORTRANGE(""https://docs.google.com/spreadsheets/d/"&amp;"1tpwhWwkqkBeiSWCcfB5f2fbwPRbM9hHOEDSDHpl2MIc/edit?usp=share_link"",""นครปฐม!L250"")+IMPORTRANGE(""https://docs.google.com/spreadsheets/d/1fJJCVBkBnhriyv0Cp5ZFMr0I_yrfdEITNpb4zILJgUQ/edit?usp=share_link"",""ปทุมธานี!L250"")+IMPORTRANGE(""https://docs.googl"&amp;"e.com/spreadsheets/d/1W5Jj_S0gYw6wSO7QcMI02YgyOBDKYgmm0NSUk-AQEac/edit?usp=share_link"",""ประจวบคีรีขันธ์!L250"")+IMPORTRANGE(""https://docs.google.com/spreadsheets/d/1nYxRXgnCfTXtqUY1otYuTlnrzE0Tn-Y0YRsW5pkRVqo/edit?usp=share_link"",""ปราจีนบุรี!L250"")+"&amp;"IMPORTRANGE(""https://docs.google.com/spreadsheets/d/1nNHCLO8ZAXOMfQvxux7cf_hrzPAh8FAvaHq_ClKbZNo/edit?usp=share_link"",""พระนครศรีอยุธยา!L250"")+IMPORTRANGE(""https://docs.google.com/spreadsheets/d/1CdNicvf3i6yt4tJlCePe3V1Va76wYqW0QzMzTsaGRrA/edit?usp=sh"&amp;"are_link"",""เพชรบุรี!L250"")+IMPORTRANGE(""https://docs.google.com/spreadsheets/d/1XiF77UIVHV0Kjc6xbXuOuJ10WgJYxd4p_22ngKVV5oM/edit?usp=share_link"",""ระยอง!L250"")+IMPORTRANGE(""https://docs.google.com/spreadsheets/d/1qU-W_9MCQD1pgIVXGEOjCFo9QqlmJywueby"&amp;"GgaN92r8/edit?usp=share_link"",""ราชบุรี!L250"")+IMPORTRANGE(""https://docs.google.com/spreadsheets/d/1xYFIxIM_CspAP5Q-5Zx_V0T_Ut3cjryrjd2hss28vGk/edit?usp=share_link"",""ลพบุรี!L250"")+IMPORTRANGE(""https://docs.google.com/spreadsheets/d/11s9m3tKsCBdPWq6"&amp;"syhZm27eBGbKneDLZc75co106bio/edit?usp=share_link"",""สระแก้ว!L250"")+IMPORTRANGE(""https://docs.google.com/spreadsheets/d/1Nn1EvsFPtXldgpgVb3Rcng2K2cls68LFQsBh2FyW0Bg/edit?usp=share_link"",""สระบุรี!L250"")+IMPORTRANGE(""https://docs.google.com/spreadshee"&amp;"ts/d/149xufxukrnEciK3WPbNpHwUK8BKEJxp3UcBG3Al6dA4/edit?usp=share_link"",""สิงห์บุรี!L250"")+IMPORTRANGE(""https://docs.google.com/spreadsheets/d/132g-zJpz2uMKimp17uOIx8A7o3w1Z25zwJyXnwsB56c/edit?usp=share_link"",""สุพรรณบุรี!L250"")+IMPORTRANGE(""https://"&amp;"docs.google.com/spreadsheets/d/12Q_U0nVnFdxDFwa0pej9xvx8ZvLC9Dpi_vRro_aiG5g/edit?usp=share_link"",""อ่างทอง!L250"")
"),40000)</f>
        <v>40000</v>
      </c>
      <c r="M250" s="45"/>
      <c r="N250" s="357">
        <f ca="1">IFERROR(__xludf.DUMMYFUNCTION("IMPORTRANGE(""https://docs.google.com/spreadsheets/d/1hKO5uv94SSRZWOvrh72HRcpyoEQF9TsE_Cvxl77XNU4/edit?usp=share_link"",""กาญจนบุรี!n250"")+IMPORTRANGE(""https://docs.google.com/spreadsheets/d/1njBaP_xXd-Uotvo2D9zb01TTCFkLJLDK97Tk1l9Qux0/edit?usp=share_li"&amp;"nk"",""จันทบุรี!n250"")+IMPORTRANGE(""https://docs.google.com/spreadsheets/d/14xp6qUzrGFnUk_qnc1eEmfiaNRd4_grkhpfQH_46fa8/edit?usp=share_link"",""ฉะเชิงเทรา!n250"")+IMPORTRANGE(""https://docs.google.com/spreadsheets/d/1_Zwps30dlVa-pZFsorjVf1Pil6WXwzCsJU0U"&amp;"2whO3NI/edit?usp=share_link"",""ชลบุรี!n250"")+IMPORTRANGE(""https://docs.google.com/spreadsheets/d/1xAsT4sUbBlom7l0acStESh_15nvjZcXjZM7fK5uZSq8/edit?usp=share_link"",""ชัยนาท!n250"")+IMPORTRANGE(""https://docs.google.com/spreadsheets/d/1vWPVBOAaZ6mHSI8yf"&amp;"95DNqHwTJ1cpeFsvqt6cxV34QA/edit?usp=share_link"",""ตราด!n250"")+IMPORTRANGE(""https://docs.google.com/spreadsheets/d/1phaeSb9lTGgzDpbvVqI9hfmOQQzUom07-HEvpbARzEg/edit?usp=share_link"",""นครนายก!n250"")+IMPORTRANGE(""https://docs.google.com/spreadsheets/d/"&amp;"1tpwhWwkqkBeiSWCcfB5f2fbwPRbM9hHOEDSDHpl2MIc/edit?usp=share_link"",""นครปฐม!n250"")+IMPORTRANGE(""https://docs.google.com/spreadsheets/d/1fJJCVBkBnhriyv0Cp5ZFMr0I_yrfdEITNpb4zILJgUQ/edit?usp=share_link"",""ปทุมธานี!n250"")+IMPORTRANGE(""https://docs.googl"&amp;"e.com/spreadsheets/d/1W5Jj_S0gYw6wSO7QcMI02YgyOBDKYgmm0NSUk-AQEac/edit?usp=share_link"",""ประจวบคีรีขันธ์!n250"")+IMPORTRANGE(""https://docs.google.com/spreadsheets/d/1nYxRXgnCfTXtqUY1otYuTlnrzE0Tn-Y0YRsW5pkRVqo/edit?usp=share_link"",""ปราจีนบุรี!n250"")+"&amp;"IMPORTRANGE(""https://docs.google.com/spreadsheets/d/1nNHCLO8ZAXOMfQvxux7cf_hrzPAh8FAvaHq_ClKbZNo/edit?usp=share_link"",""พระนครศรีอยุธยา!n250"")+IMPORTRANGE(""https://docs.google.com/spreadsheets/d/1CdNicvf3i6yt4tJlCePe3V1Va76wYqW0QzMzTsaGRrA/edit?usp=sh"&amp;"are_link"",""เพชรบุรี!n250"")+IMPORTRANGE(""https://docs.google.com/spreadsheets/d/1XiF77UIVHV0Kjc6xbXuOuJ10WgJYxd4p_22ngKVV5oM/edit?usp=share_link"",""ระยอง!n250"")+IMPORTRANGE(""https://docs.google.com/spreadsheets/d/1qU-W_9MCQD1pgIVXGEOjCFo9QqlmJywueby"&amp;"GgaN92r8/edit?usp=share_link"",""ราชบุรี!n250"")+IMPORTRANGE(""https://docs.google.com/spreadsheets/d/1xYFIxIM_CspAP5Q-5Zx_V0T_Ut3cjryrjd2hss28vGk/edit?usp=share_link"",""ลพบุรี!n250"")+IMPORTRANGE(""https://docs.google.com/spreadsheets/d/11s9m3tKsCBdPWq6"&amp;"syhZm27eBGbKneDLZc75co106bio/edit?usp=share_link"",""สระแก้ว!n250"")+IMPORTRANGE(""https://docs.google.com/spreadsheets/d/1Nn1EvsFPtXldgpgVb3Rcng2K2cls68LFQsBh2FyW0Bg/edit?usp=share_link"",""สระบุรี!n250"")+IMPORTRANGE(""https://docs.google.com/spreadshee"&amp;"ts/d/149xufxukrnEciK3WPbNpHwUK8BKEJxp3UcBG3Al6dA4/edit?usp=share_link"",""สิงห์บุรี!n250"")+IMPORTRANGE(""https://docs.google.com/spreadsheets/d/132g-zJpz2uMKimp17uOIx8A7o3w1Z25zwJyXnwsB56c/edit?usp=share_link"",""สุพรรณบุรี!n250"")+IMPORTRANGE(""https://"&amp;"docs.google.com/spreadsheets/d/12Q_U0nVnFdxDFwa0pej9xvx8ZvLC9Dpi_vRro_aiG5g/edit?usp=share_link"",""อ่างทอง!n250"")
"),3730)</f>
        <v>3730</v>
      </c>
      <c r="O250" s="45"/>
      <c r="P250" s="45"/>
      <c r="Q250" s="31"/>
      <c r="R250" s="31"/>
      <c r="S250" s="31"/>
      <c r="T250" s="31"/>
      <c r="U250" s="31"/>
      <c r="V250" s="31"/>
      <c r="W250" s="31"/>
      <c r="X250" s="31"/>
      <c r="Y250" s="31"/>
      <c r="Z250" s="31"/>
    </row>
    <row r="251" spans="1:26" ht="20.25" hidden="1" customHeight="1">
      <c r="A251" s="358"/>
      <c r="B251" s="356"/>
      <c r="C251" s="359"/>
      <c r="D251" s="222" t="s">
        <v>98</v>
      </c>
      <c r="E251" s="40"/>
      <c r="F251" s="40"/>
      <c r="G251" s="42"/>
      <c r="H251" s="165" t="s">
        <v>12</v>
      </c>
      <c r="I251" s="44"/>
      <c r="J251" s="44"/>
      <c r="K251" s="45"/>
      <c r="L251" s="45">
        <f ca="1">IFERROR(__xludf.DUMMYFUNCTION("IMPORTRANGE(""https://docs.google.com/spreadsheets/d/1hKO5uv94SSRZWOvrh72HRcpyoEQF9TsE_Cvxl77XNU4/edit?usp=share_link"",""กาญจนบุรี!L251"")+IMPORTRANGE(""https://docs.google.com/spreadsheets/d/1njBaP_xXd-Uotvo2D9zb01TTCFkLJLDK97Tk1l9Qux0/edit?usp=share_li"&amp;"nk"",""จันทบุรี!L251"")+IMPORTRANGE(""https://docs.google.com/spreadsheets/d/14xp6qUzrGFnUk_qnc1eEmfiaNRd4_grkhpfQH_46fa8/edit?usp=share_link"",""ฉะเชิงเทรา!L251"")+IMPORTRANGE(""https://docs.google.com/spreadsheets/d/1_Zwps30dlVa-pZFsorjVf1Pil6WXwzCsJU0U"&amp;"2whO3NI/edit?usp=share_link"",""ชลบุรี!L251"")+IMPORTRANGE(""https://docs.google.com/spreadsheets/d/1xAsT4sUbBlom7l0acStESh_15nvjZcXjZM7fK5uZSq8/edit?usp=share_link"",""ชัยนาท!L251"")+IMPORTRANGE(""https://docs.google.com/spreadsheets/d/1vWPVBOAaZ6mHSI8yf"&amp;"95DNqHwTJ1cpeFsvqt6cxV34QA/edit?usp=share_link"",""ตราด!L251"")+IMPORTRANGE(""https://docs.google.com/spreadsheets/d/1phaeSb9lTGgzDpbvVqI9hfmOQQzUom07-HEvpbARzEg/edit?usp=share_link"",""นครนายก!L251"")+IMPORTRANGE(""https://docs.google.com/spreadsheets/d/"&amp;"1tpwhWwkqkBeiSWCcfB5f2fbwPRbM9hHOEDSDHpl2MIc/edit?usp=share_link"",""นครปฐม!L251"")+IMPORTRANGE(""https://docs.google.com/spreadsheets/d/1fJJCVBkBnhriyv0Cp5ZFMr0I_yrfdEITNpb4zILJgUQ/edit?usp=share_link"",""ปทุมธานี!L251"")+IMPORTRANGE(""https://docs.googl"&amp;"e.com/spreadsheets/d/1W5Jj_S0gYw6wSO7QcMI02YgyOBDKYgmm0NSUk-AQEac/edit?usp=share_link"",""ประจวบคีรีขันธ์!L251"")+IMPORTRANGE(""https://docs.google.com/spreadsheets/d/1nYxRXgnCfTXtqUY1otYuTlnrzE0Tn-Y0YRsW5pkRVqo/edit?usp=share_link"",""ปราจีนบุรี!L251"")+"&amp;"IMPORTRANGE(""https://docs.google.com/spreadsheets/d/1nNHCLO8ZAXOMfQvxux7cf_hrzPAh8FAvaHq_ClKbZNo/edit?usp=share_link"",""พระนครศรีอยุธยา!L251"")+IMPORTRANGE(""https://docs.google.com/spreadsheets/d/1CdNicvf3i6yt4tJlCePe3V1Va76wYqW0QzMzTsaGRrA/edit?usp=sh"&amp;"are_link"",""เพชรบุรี!L251"")+IMPORTRANGE(""https://docs.google.com/spreadsheets/d/1XiF77UIVHV0Kjc6xbXuOuJ10WgJYxd4p_22ngKVV5oM/edit?usp=share_link"",""ระยอง!L251"")+IMPORTRANGE(""https://docs.google.com/spreadsheets/d/1qU-W_9MCQD1pgIVXGEOjCFo9QqlmJywueby"&amp;"GgaN92r8/edit?usp=share_link"",""ราชบุรี!L251"")+IMPORTRANGE(""https://docs.google.com/spreadsheets/d/1xYFIxIM_CspAP5Q-5Zx_V0T_Ut3cjryrjd2hss28vGk/edit?usp=share_link"",""ลพบุรี!L251"")+IMPORTRANGE(""https://docs.google.com/spreadsheets/d/11s9m3tKsCBdPWq6"&amp;"syhZm27eBGbKneDLZc75co106bio/edit?usp=share_link"",""สระแก้ว!L251"")+IMPORTRANGE(""https://docs.google.com/spreadsheets/d/1Nn1EvsFPtXldgpgVb3Rcng2K2cls68LFQsBh2FyW0Bg/edit?usp=share_link"",""สระบุรี!L251"")+IMPORTRANGE(""https://docs.google.com/spreadshee"&amp;"ts/d/149xufxukrnEciK3WPbNpHwUK8BKEJxp3UcBG3Al6dA4/edit?usp=share_link"",""สิงห์บุรี!L251"")+IMPORTRANGE(""https://docs.google.com/spreadsheets/d/132g-zJpz2uMKimp17uOIx8A7o3w1Z25zwJyXnwsB56c/edit?usp=share_link"",""สุพรรณบุรี!L251"")+IMPORTRANGE(""https://"&amp;"docs.google.com/spreadsheets/d/12Q_U0nVnFdxDFwa0pej9xvx8ZvLC9Dpi_vRro_aiG5g/edit?usp=share_link"",""อ่างทอง!L251"")
"),72100)</f>
        <v>72100</v>
      </c>
      <c r="M251" s="45"/>
      <c r="N251" s="357">
        <f ca="1">IFERROR(__xludf.DUMMYFUNCTION("IMPORTRANGE(""https://docs.google.com/spreadsheets/d/1hKO5uv94SSRZWOvrh72HRcpyoEQF9TsE_Cvxl77XNU4/edit?usp=share_link"",""กาญจนบุรี!n251"")+IMPORTRANGE(""https://docs.google.com/spreadsheets/d/1njBaP_xXd-Uotvo2D9zb01TTCFkLJLDK97Tk1l9Qux0/edit?usp=share_li"&amp;"nk"",""จันทบุรี!n251"")+IMPORTRANGE(""https://docs.google.com/spreadsheets/d/14xp6qUzrGFnUk_qnc1eEmfiaNRd4_grkhpfQH_46fa8/edit?usp=share_link"",""ฉะเชิงเทรา!n251"")+IMPORTRANGE(""https://docs.google.com/spreadsheets/d/1_Zwps30dlVa-pZFsorjVf1Pil6WXwzCsJU0U"&amp;"2whO3NI/edit?usp=share_link"",""ชลบุรี!n251"")+IMPORTRANGE(""https://docs.google.com/spreadsheets/d/1xAsT4sUbBlom7l0acStESh_15nvjZcXjZM7fK5uZSq8/edit?usp=share_link"",""ชัยนาท!n251"")+IMPORTRANGE(""https://docs.google.com/spreadsheets/d/1vWPVBOAaZ6mHSI8yf"&amp;"95DNqHwTJ1cpeFsvqt6cxV34QA/edit?usp=share_link"",""ตราด!n251"")+IMPORTRANGE(""https://docs.google.com/spreadsheets/d/1phaeSb9lTGgzDpbvVqI9hfmOQQzUom07-HEvpbARzEg/edit?usp=share_link"",""นครนายก!n251"")+IMPORTRANGE(""https://docs.google.com/spreadsheets/d/"&amp;"1tpwhWwkqkBeiSWCcfB5f2fbwPRbM9hHOEDSDHpl2MIc/edit?usp=share_link"",""นครปฐม!n251"")+IMPORTRANGE(""https://docs.google.com/spreadsheets/d/1fJJCVBkBnhriyv0Cp5ZFMr0I_yrfdEITNpb4zILJgUQ/edit?usp=share_link"",""ปทุมธานี!n251"")+IMPORTRANGE(""https://docs.googl"&amp;"e.com/spreadsheets/d/1W5Jj_S0gYw6wSO7QcMI02YgyOBDKYgmm0NSUk-AQEac/edit?usp=share_link"",""ประจวบคีรีขันธ์!n251"")+IMPORTRANGE(""https://docs.google.com/spreadsheets/d/1nYxRXgnCfTXtqUY1otYuTlnrzE0Tn-Y0YRsW5pkRVqo/edit?usp=share_link"",""ปราจีนบุรี!n251"")+"&amp;"IMPORTRANGE(""https://docs.google.com/spreadsheets/d/1nNHCLO8ZAXOMfQvxux7cf_hrzPAh8FAvaHq_ClKbZNo/edit?usp=share_link"",""พระนครศรีอยุธยา!n251"")+IMPORTRANGE(""https://docs.google.com/spreadsheets/d/1CdNicvf3i6yt4tJlCePe3V1Va76wYqW0QzMzTsaGRrA/edit?usp=sh"&amp;"are_link"",""เพชรบุรี!n251"")+IMPORTRANGE(""https://docs.google.com/spreadsheets/d/1XiF77UIVHV0Kjc6xbXuOuJ10WgJYxd4p_22ngKVV5oM/edit?usp=share_link"",""ระยอง!n251"")+IMPORTRANGE(""https://docs.google.com/spreadsheets/d/1qU-W_9MCQD1pgIVXGEOjCFo9QqlmJywueby"&amp;"GgaN92r8/edit?usp=share_link"",""ราชบุรี!n251"")+IMPORTRANGE(""https://docs.google.com/spreadsheets/d/1xYFIxIM_CspAP5Q-5Zx_V0T_Ut3cjryrjd2hss28vGk/edit?usp=share_link"",""ลพบุรี!n251"")+IMPORTRANGE(""https://docs.google.com/spreadsheets/d/11s9m3tKsCBdPWq6"&amp;"syhZm27eBGbKneDLZc75co106bio/edit?usp=share_link"",""สระแก้ว!n251"")+IMPORTRANGE(""https://docs.google.com/spreadsheets/d/1Nn1EvsFPtXldgpgVb3Rcng2K2cls68LFQsBh2FyW0Bg/edit?usp=share_link"",""สระบุรี!n251"")+IMPORTRANGE(""https://docs.google.com/spreadshee"&amp;"ts/d/149xufxukrnEciK3WPbNpHwUK8BKEJxp3UcBG3Al6dA4/edit?usp=share_link"",""สิงห์บุรี!n251"")+IMPORTRANGE(""https://docs.google.com/spreadsheets/d/132g-zJpz2uMKimp17uOIx8A7o3w1Z25zwJyXnwsB56c/edit?usp=share_link"",""สุพรรณบุรี!n251"")+IMPORTRANGE(""https://"&amp;"docs.google.com/spreadsheets/d/12Q_U0nVnFdxDFwa0pej9xvx8ZvLC9Dpi_vRro_aiG5g/edit?usp=share_link"",""อ่างทอง!n251"")
"),0)</f>
        <v>0</v>
      </c>
      <c r="O251" s="45"/>
      <c r="P251" s="45"/>
      <c r="Q251" s="360"/>
      <c r="R251" s="360"/>
      <c r="S251" s="360"/>
      <c r="T251" s="360"/>
      <c r="U251" s="360"/>
      <c r="V251" s="360"/>
      <c r="W251" s="360"/>
      <c r="X251" s="360"/>
      <c r="Y251" s="360"/>
      <c r="Z251" s="360"/>
    </row>
    <row r="252" spans="1:26" ht="20.25" hidden="1" customHeight="1">
      <c r="A252" s="358"/>
      <c r="B252" s="356"/>
      <c r="C252" s="359"/>
      <c r="D252" s="222" t="s">
        <v>116</v>
      </c>
      <c r="E252" s="40"/>
      <c r="F252" s="40"/>
      <c r="G252" s="42"/>
      <c r="H252" s="165" t="s">
        <v>12</v>
      </c>
      <c r="I252" s="44"/>
      <c r="J252" s="44"/>
      <c r="K252" s="45"/>
      <c r="L252" s="45">
        <f ca="1">IFERROR(__xludf.DUMMYFUNCTION("IMPORTRANGE(""https://docs.google.com/spreadsheets/d/1hKO5uv94SSRZWOvrh72HRcpyoEQF9TsE_Cvxl77XNU4/edit?usp=share_link"",""กาญจนบุรี!L252"")+IMPORTRANGE(""https://docs.google.com/spreadsheets/d/1njBaP_xXd-Uotvo2D9zb01TTCFkLJLDK97Tk1l9Qux0/edit?usp=share_li"&amp;"nk"",""จันทบุรี!L252"")+IMPORTRANGE(""https://docs.google.com/spreadsheets/d/14xp6qUzrGFnUk_qnc1eEmfiaNRd4_grkhpfQH_46fa8/edit?usp=share_link"",""ฉะเชิงเทรา!L252"")+IMPORTRANGE(""https://docs.google.com/spreadsheets/d/1_Zwps30dlVa-pZFsorjVf1Pil6WXwzCsJU0U"&amp;"2whO3NI/edit?usp=share_link"",""ชลบุรี!L252"")+IMPORTRANGE(""https://docs.google.com/spreadsheets/d/1xAsT4sUbBlom7l0acStESh_15nvjZcXjZM7fK5uZSq8/edit?usp=share_link"",""ชัยนาท!L252"")+IMPORTRANGE(""https://docs.google.com/spreadsheets/d/1vWPVBOAaZ6mHSI8yf"&amp;"95DNqHwTJ1cpeFsvqt6cxV34QA/edit?usp=share_link"",""ตราด!L252"")+IMPORTRANGE(""https://docs.google.com/spreadsheets/d/1phaeSb9lTGgzDpbvVqI9hfmOQQzUom07-HEvpbARzEg/edit?usp=share_link"",""นครนายก!L252"")+IMPORTRANGE(""https://docs.google.com/spreadsheets/d/"&amp;"1tpwhWwkqkBeiSWCcfB5f2fbwPRbM9hHOEDSDHpl2MIc/edit?usp=share_link"",""นครปฐม!L252"")+IMPORTRANGE(""https://docs.google.com/spreadsheets/d/1fJJCVBkBnhriyv0Cp5ZFMr0I_yrfdEITNpb4zILJgUQ/edit?usp=share_link"",""ปทุมธานี!L252"")+IMPORTRANGE(""https://docs.googl"&amp;"e.com/spreadsheets/d/1W5Jj_S0gYw6wSO7QcMI02YgyOBDKYgmm0NSUk-AQEac/edit?usp=share_link"",""ประจวบคีรีขันธ์!L252"")+IMPORTRANGE(""https://docs.google.com/spreadsheets/d/1nYxRXgnCfTXtqUY1otYuTlnrzE0Tn-Y0YRsW5pkRVqo/edit?usp=share_link"",""ปราจีนบุรี!L252"")+"&amp;"IMPORTRANGE(""https://docs.google.com/spreadsheets/d/1nNHCLO8ZAXOMfQvxux7cf_hrzPAh8FAvaHq_ClKbZNo/edit?usp=share_link"",""พระนครศรีอยุธยา!L252"")+IMPORTRANGE(""https://docs.google.com/spreadsheets/d/1CdNicvf3i6yt4tJlCePe3V1Va76wYqW0QzMzTsaGRrA/edit?usp=sh"&amp;"are_link"",""เพชรบุรี!L252"")+IMPORTRANGE(""https://docs.google.com/spreadsheets/d/1XiF77UIVHV0Kjc6xbXuOuJ10WgJYxd4p_22ngKVV5oM/edit?usp=share_link"",""ระยอง!L252"")+IMPORTRANGE(""https://docs.google.com/spreadsheets/d/1qU-W_9MCQD1pgIVXGEOjCFo9QqlmJywueby"&amp;"GgaN92r8/edit?usp=share_link"",""ราชบุรี!L252"")+IMPORTRANGE(""https://docs.google.com/spreadsheets/d/1xYFIxIM_CspAP5Q-5Zx_V0T_Ut3cjryrjd2hss28vGk/edit?usp=share_link"",""ลพบุรี!L252"")+IMPORTRANGE(""https://docs.google.com/spreadsheets/d/11s9m3tKsCBdPWq6"&amp;"syhZm27eBGbKneDLZc75co106bio/edit?usp=share_link"",""สระแก้ว!L252"")+IMPORTRANGE(""https://docs.google.com/spreadsheets/d/1Nn1EvsFPtXldgpgVb3Rcng2K2cls68LFQsBh2FyW0Bg/edit?usp=share_link"",""สระบุรี!L252"")+IMPORTRANGE(""https://docs.google.com/spreadshee"&amp;"ts/d/149xufxukrnEciK3WPbNpHwUK8BKEJxp3UcBG3Al6dA4/edit?usp=share_link"",""สิงห์บุรี!L252"")+IMPORTRANGE(""https://docs.google.com/spreadsheets/d/132g-zJpz2uMKimp17uOIx8A7o3w1Z25zwJyXnwsB56c/edit?usp=share_link"",""สุพรรณบุรี!L252"")+IMPORTRANGE(""https://"&amp;"docs.google.com/spreadsheets/d/12Q_U0nVnFdxDFwa0pej9xvx8ZvLC9Dpi_vRro_aiG5g/edit?usp=share_link"",""อ่างทอง!L252"")
"),60000)</f>
        <v>60000</v>
      </c>
      <c r="M252" s="45"/>
      <c r="N252" s="357">
        <f ca="1">IFERROR(__xludf.DUMMYFUNCTION("IMPORTRANGE(""https://docs.google.com/spreadsheets/d/1hKO5uv94SSRZWOvrh72HRcpyoEQF9TsE_Cvxl77XNU4/edit?usp=share_link"",""กาญจนบุรี!n252"")+IMPORTRANGE(""https://docs.google.com/spreadsheets/d/1njBaP_xXd-Uotvo2D9zb01TTCFkLJLDK97Tk1l9Qux0/edit?usp=share_li"&amp;"nk"",""จันทบุรี!n252"")+IMPORTRANGE(""https://docs.google.com/spreadsheets/d/14xp6qUzrGFnUk_qnc1eEmfiaNRd4_grkhpfQH_46fa8/edit?usp=share_link"",""ฉะเชิงเทรา!n252"")+IMPORTRANGE(""https://docs.google.com/spreadsheets/d/1_Zwps30dlVa-pZFsorjVf1Pil6WXwzCsJU0U"&amp;"2whO3NI/edit?usp=share_link"",""ชลบุรี!n252"")+IMPORTRANGE(""https://docs.google.com/spreadsheets/d/1xAsT4sUbBlom7l0acStESh_15nvjZcXjZM7fK5uZSq8/edit?usp=share_link"",""ชัยนาท!n252"")+IMPORTRANGE(""https://docs.google.com/spreadsheets/d/1vWPVBOAaZ6mHSI8yf"&amp;"95DNqHwTJ1cpeFsvqt6cxV34QA/edit?usp=share_link"",""ตราด!n252"")+IMPORTRANGE(""https://docs.google.com/spreadsheets/d/1phaeSb9lTGgzDpbvVqI9hfmOQQzUom07-HEvpbARzEg/edit?usp=share_link"",""นครนายก!n252"")+IMPORTRANGE(""https://docs.google.com/spreadsheets/d/"&amp;"1tpwhWwkqkBeiSWCcfB5f2fbwPRbM9hHOEDSDHpl2MIc/edit?usp=share_link"",""นครปฐม!n252"")+IMPORTRANGE(""https://docs.google.com/spreadsheets/d/1fJJCVBkBnhriyv0Cp5ZFMr0I_yrfdEITNpb4zILJgUQ/edit?usp=share_link"",""ปทุมธานี!n252"")+IMPORTRANGE(""https://docs.googl"&amp;"e.com/spreadsheets/d/1W5Jj_S0gYw6wSO7QcMI02YgyOBDKYgmm0NSUk-AQEac/edit?usp=share_link"",""ประจวบคีรีขันธ์!n252"")+IMPORTRANGE(""https://docs.google.com/spreadsheets/d/1nYxRXgnCfTXtqUY1otYuTlnrzE0Tn-Y0YRsW5pkRVqo/edit?usp=share_link"",""ปราจีนบุรี!n252"")+"&amp;"IMPORTRANGE(""https://docs.google.com/spreadsheets/d/1nNHCLO8ZAXOMfQvxux7cf_hrzPAh8FAvaHq_ClKbZNo/edit?usp=share_link"",""พระนครศรีอยุธยา!n252"")+IMPORTRANGE(""https://docs.google.com/spreadsheets/d/1CdNicvf3i6yt4tJlCePe3V1Va76wYqW0QzMzTsaGRrA/edit?usp=sh"&amp;"are_link"",""เพชรบุรี!n252"")+IMPORTRANGE(""https://docs.google.com/spreadsheets/d/1XiF77UIVHV0Kjc6xbXuOuJ10WgJYxd4p_22ngKVV5oM/edit?usp=share_link"",""ระยอง!n252"")+IMPORTRANGE(""https://docs.google.com/spreadsheets/d/1qU-W_9MCQD1pgIVXGEOjCFo9QqlmJywueby"&amp;"GgaN92r8/edit?usp=share_link"",""ราชบุรี!n252"")+IMPORTRANGE(""https://docs.google.com/spreadsheets/d/1xYFIxIM_CspAP5Q-5Zx_V0T_Ut3cjryrjd2hss28vGk/edit?usp=share_link"",""ลพบุรี!n252"")+IMPORTRANGE(""https://docs.google.com/spreadsheets/d/11s9m3tKsCBdPWq6"&amp;"syhZm27eBGbKneDLZc75co106bio/edit?usp=share_link"",""สระแก้ว!n252"")+IMPORTRANGE(""https://docs.google.com/spreadsheets/d/1Nn1EvsFPtXldgpgVb3Rcng2K2cls68LFQsBh2FyW0Bg/edit?usp=share_link"",""สระบุรี!n252"")+IMPORTRANGE(""https://docs.google.com/spreadshee"&amp;"ts/d/149xufxukrnEciK3WPbNpHwUK8BKEJxp3UcBG3Al6dA4/edit?usp=share_link"",""สิงห์บุรี!n252"")+IMPORTRANGE(""https://docs.google.com/spreadsheets/d/132g-zJpz2uMKimp17uOIx8A7o3w1Z25zwJyXnwsB56c/edit?usp=share_link"",""สุพรรณบุรี!n252"")+IMPORTRANGE(""https://"&amp;"docs.google.com/spreadsheets/d/12Q_U0nVnFdxDFwa0pej9xvx8ZvLC9Dpi_vRro_aiG5g/edit?usp=share_link"",""อ่างทอง!n252"")
"),0)</f>
        <v>0</v>
      </c>
      <c r="O252" s="45"/>
      <c r="P252" s="45"/>
      <c r="Q252" s="360"/>
      <c r="R252" s="360"/>
      <c r="S252" s="360"/>
      <c r="T252" s="360"/>
      <c r="U252" s="360"/>
      <c r="V252" s="360"/>
      <c r="W252" s="360"/>
      <c r="X252" s="360"/>
      <c r="Y252" s="360"/>
      <c r="Z252" s="360"/>
    </row>
    <row r="253" spans="1:26" ht="20.25" hidden="1" customHeight="1">
      <c r="A253" s="358"/>
      <c r="B253" s="356"/>
      <c r="C253" s="359"/>
      <c r="D253" s="222" t="s">
        <v>100</v>
      </c>
      <c r="E253" s="40"/>
      <c r="F253" s="40"/>
      <c r="G253" s="42"/>
      <c r="H253" s="165" t="s">
        <v>12</v>
      </c>
      <c r="I253" s="44"/>
      <c r="J253" s="44"/>
      <c r="K253" s="45"/>
      <c r="L253" s="45">
        <f ca="1">IFERROR(__xludf.DUMMYFUNCTION("IMPORTRANGE(""https://docs.google.com/spreadsheets/d/1hKO5uv94SSRZWOvrh72HRcpyoEQF9TsE_Cvxl77XNU4/edit?usp=share_link"",""กาญจนบุรี!L253"")+IMPORTRANGE(""https://docs.google.com/spreadsheets/d/1njBaP_xXd-Uotvo2D9zb01TTCFkLJLDK97Tk1l9Qux0/edit?usp=share_li"&amp;"nk"",""จันทบุรี!L253"")+IMPORTRANGE(""https://docs.google.com/spreadsheets/d/14xp6qUzrGFnUk_qnc1eEmfiaNRd4_grkhpfQH_46fa8/edit?usp=share_link"",""ฉะเชิงเทรา!L253"")+IMPORTRANGE(""https://docs.google.com/spreadsheets/d/1_Zwps30dlVa-pZFsorjVf1Pil6WXwzCsJU0U"&amp;"2whO3NI/edit?usp=share_link"",""ชลบุรี!L253"")+IMPORTRANGE(""https://docs.google.com/spreadsheets/d/1xAsT4sUbBlom7l0acStESh_15nvjZcXjZM7fK5uZSq8/edit?usp=share_link"",""ชัยนาท!L253"")+IMPORTRANGE(""https://docs.google.com/spreadsheets/d/1vWPVBOAaZ6mHSI8yf"&amp;"95DNqHwTJ1cpeFsvqt6cxV34QA/edit?usp=share_link"",""ตราด!L253"")+IMPORTRANGE(""https://docs.google.com/spreadsheets/d/1phaeSb9lTGgzDpbvVqI9hfmOQQzUom07-HEvpbARzEg/edit?usp=share_link"",""นครนายก!L253"")+IMPORTRANGE(""https://docs.google.com/spreadsheets/d/"&amp;"1tpwhWwkqkBeiSWCcfB5f2fbwPRbM9hHOEDSDHpl2MIc/edit?usp=share_link"",""นครปฐม!L253"")+IMPORTRANGE(""https://docs.google.com/spreadsheets/d/1fJJCVBkBnhriyv0Cp5ZFMr0I_yrfdEITNpb4zILJgUQ/edit?usp=share_link"",""ปทุมธานี!L253"")+IMPORTRANGE(""https://docs.googl"&amp;"e.com/spreadsheets/d/1W5Jj_S0gYw6wSO7QcMI02YgyOBDKYgmm0NSUk-AQEac/edit?usp=share_link"",""ประจวบคีรีขันธ์!L253"")+IMPORTRANGE(""https://docs.google.com/spreadsheets/d/1nYxRXgnCfTXtqUY1otYuTlnrzE0Tn-Y0YRsW5pkRVqo/edit?usp=share_link"",""ปราจีนบุรี!L253"")+"&amp;"IMPORTRANGE(""https://docs.google.com/spreadsheets/d/1nNHCLO8ZAXOMfQvxux7cf_hrzPAh8FAvaHq_ClKbZNo/edit?usp=share_link"",""พระนครศรีอยุธยา!L253"")+IMPORTRANGE(""https://docs.google.com/spreadsheets/d/1CdNicvf3i6yt4tJlCePe3V1Va76wYqW0QzMzTsaGRrA/edit?usp=sh"&amp;"are_link"",""เพชรบุรี!L253"")+IMPORTRANGE(""https://docs.google.com/spreadsheets/d/1XiF77UIVHV0Kjc6xbXuOuJ10WgJYxd4p_22ngKVV5oM/edit?usp=share_link"",""ระยอง!L253"")+IMPORTRANGE(""https://docs.google.com/spreadsheets/d/1qU-W_9MCQD1pgIVXGEOjCFo9QqlmJywueby"&amp;"GgaN92r8/edit?usp=share_link"",""ราชบุรี!L253"")+IMPORTRANGE(""https://docs.google.com/spreadsheets/d/1xYFIxIM_CspAP5Q-5Zx_V0T_Ut3cjryrjd2hss28vGk/edit?usp=share_link"",""ลพบุรี!L253"")+IMPORTRANGE(""https://docs.google.com/spreadsheets/d/11s9m3tKsCBdPWq6"&amp;"syhZm27eBGbKneDLZc75co106bio/edit?usp=share_link"",""สระแก้ว!L253"")+IMPORTRANGE(""https://docs.google.com/spreadsheets/d/1Nn1EvsFPtXldgpgVb3Rcng2K2cls68LFQsBh2FyW0Bg/edit?usp=share_link"",""สระบุรี!L253"")+IMPORTRANGE(""https://docs.google.com/spreadshee"&amp;"ts/d/149xufxukrnEciK3WPbNpHwUK8BKEJxp3UcBG3Al6dA4/edit?usp=share_link"",""สิงห์บุรี!L253"")+IMPORTRANGE(""https://docs.google.com/spreadsheets/d/132g-zJpz2uMKimp17uOIx8A7o3w1Z25zwJyXnwsB56c/edit?usp=share_link"",""สุพรรณบุรี!L253"")+IMPORTRANGE(""https://"&amp;"docs.google.com/spreadsheets/d/12Q_U0nVnFdxDFwa0pej9xvx8ZvLC9Dpi_vRro_aiG5g/edit?usp=share_link"",""อ่างทอง!L253"")
"),20000)</f>
        <v>20000</v>
      </c>
      <c r="M253" s="45"/>
      <c r="N253" s="357">
        <f ca="1">IFERROR(__xludf.DUMMYFUNCTION("IMPORTRANGE(""https://docs.google.com/spreadsheets/d/1hKO5uv94SSRZWOvrh72HRcpyoEQF9TsE_Cvxl77XNU4/edit?usp=share_link"",""กาญจนบุรี!n253"")+IMPORTRANGE(""https://docs.google.com/spreadsheets/d/1njBaP_xXd-Uotvo2D9zb01TTCFkLJLDK97Tk1l9Qux0/edit?usp=share_li"&amp;"nk"",""จันทบุรี!n253"")+IMPORTRANGE(""https://docs.google.com/spreadsheets/d/14xp6qUzrGFnUk_qnc1eEmfiaNRd4_grkhpfQH_46fa8/edit?usp=share_link"",""ฉะเชิงเทรา!n253"")+IMPORTRANGE(""https://docs.google.com/spreadsheets/d/1_Zwps30dlVa-pZFsorjVf1Pil6WXwzCsJU0U"&amp;"2whO3NI/edit?usp=share_link"",""ชลบุรี!n253"")+IMPORTRANGE(""https://docs.google.com/spreadsheets/d/1xAsT4sUbBlom7l0acStESh_15nvjZcXjZM7fK5uZSq8/edit?usp=share_link"",""ชัยนาท!n253"")+IMPORTRANGE(""https://docs.google.com/spreadsheets/d/1vWPVBOAaZ6mHSI8yf"&amp;"95DNqHwTJ1cpeFsvqt6cxV34QA/edit?usp=share_link"",""ตราด!n253"")+IMPORTRANGE(""https://docs.google.com/spreadsheets/d/1phaeSb9lTGgzDpbvVqI9hfmOQQzUom07-HEvpbARzEg/edit?usp=share_link"",""นครนายก!n253"")+IMPORTRANGE(""https://docs.google.com/spreadsheets/d/"&amp;"1tpwhWwkqkBeiSWCcfB5f2fbwPRbM9hHOEDSDHpl2MIc/edit?usp=share_link"",""นครปฐม!n253"")+IMPORTRANGE(""https://docs.google.com/spreadsheets/d/1fJJCVBkBnhriyv0Cp5ZFMr0I_yrfdEITNpb4zILJgUQ/edit?usp=share_link"",""ปทุมธานี!n253"")+IMPORTRANGE(""https://docs.googl"&amp;"e.com/spreadsheets/d/1W5Jj_S0gYw6wSO7QcMI02YgyOBDKYgmm0NSUk-AQEac/edit?usp=share_link"",""ประจวบคีรีขันธ์!n253"")+IMPORTRANGE(""https://docs.google.com/spreadsheets/d/1nYxRXgnCfTXtqUY1otYuTlnrzE0Tn-Y0YRsW5pkRVqo/edit?usp=share_link"",""ปราจีนบุรี!n253"")+"&amp;"IMPORTRANGE(""https://docs.google.com/spreadsheets/d/1nNHCLO8ZAXOMfQvxux7cf_hrzPAh8FAvaHq_ClKbZNo/edit?usp=share_link"",""พระนครศรีอยุธยา!n253"")+IMPORTRANGE(""https://docs.google.com/spreadsheets/d/1CdNicvf3i6yt4tJlCePe3V1Va76wYqW0QzMzTsaGRrA/edit?usp=sh"&amp;"are_link"",""เพชรบุรี!n253"")+IMPORTRANGE(""https://docs.google.com/spreadsheets/d/1XiF77UIVHV0Kjc6xbXuOuJ10WgJYxd4p_22ngKVV5oM/edit?usp=share_link"",""ระยอง!n253"")+IMPORTRANGE(""https://docs.google.com/spreadsheets/d/1qU-W_9MCQD1pgIVXGEOjCFo9QqlmJywueby"&amp;"GgaN92r8/edit?usp=share_link"",""ราชบุรี!n253"")+IMPORTRANGE(""https://docs.google.com/spreadsheets/d/1xYFIxIM_CspAP5Q-5Zx_V0T_Ut3cjryrjd2hss28vGk/edit?usp=share_link"",""ลพบุรี!n253"")+IMPORTRANGE(""https://docs.google.com/spreadsheets/d/11s9m3tKsCBdPWq6"&amp;"syhZm27eBGbKneDLZc75co106bio/edit?usp=share_link"",""สระแก้ว!n253"")+IMPORTRANGE(""https://docs.google.com/spreadsheets/d/1Nn1EvsFPtXldgpgVb3Rcng2K2cls68LFQsBh2FyW0Bg/edit?usp=share_link"",""สระบุรี!n253"")+IMPORTRANGE(""https://docs.google.com/spreadshee"&amp;"ts/d/149xufxukrnEciK3WPbNpHwUK8BKEJxp3UcBG3Al6dA4/edit?usp=share_link"",""สิงห์บุรี!n253"")+IMPORTRANGE(""https://docs.google.com/spreadsheets/d/132g-zJpz2uMKimp17uOIx8A7o3w1Z25zwJyXnwsB56c/edit?usp=share_link"",""สุพรรณบุรี!n253"")+IMPORTRANGE(""https://"&amp;"docs.google.com/spreadsheets/d/12Q_U0nVnFdxDFwa0pej9xvx8ZvLC9Dpi_vRro_aiG5g/edit?usp=share_link"",""อ่างทอง!n253"")
"),0)</f>
        <v>0</v>
      </c>
      <c r="O253" s="45"/>
      <c r="P253" s="45"/>
      <c r="Q253" s="360"/>
      <c r="R253" s="360"/>
      <c r="S253" s="360"/>
      <c r="T253" s="360"/>
      <c r="U253" s="360"/>
      <c r="V253" s="360"/>
      <c r="W253" s="360"/>
      <c r="X253" s="360"/>
      <c r="Y253" s="360"/>
      <c r="Z253" s="360"/>
    </row>
    <row r="254" spans="1:26" ht="20.25" hidden="1" customHeight="1">
      <c r="A254" s="361"/>
      <c r="B254" s="362"/>
      <c r="C254" s="359" t="s">
        <v>16</v>
      </c>
      <c r="D254" s="266" t="s">
        <v>38</v>
      </c>
      <c r="E254" s="363"/>
      <c r="F254" s="363"/>
      <c r="G254" s="364"/>
      <c r="H254" s="365"/>
      <c r="I254" s="166"/>
      <c r="J254" s="44"/>
      <c r="K254" s="45"/>
      <c r="L254" s="45"/>
      <c r="M254" s="45"/>
      <c r="N254" s="45"/>
      <c r="O254" s="167"/>
      <c r="P254" s="167"/>
      <c r="Q254" s="31"/>
      <c r="R254" s="31"/>
      <c r="S254" s="31"/>
      <c r="T254" s="31"/>
      <c r="U254" s="31"/>
      <c r="V254" s="31"/>
      <c r="W254" s="31"/>
      <c r="X254" s="31"/>
      <c r="Y254" s="31"/>
      <c r="Z254" s="31"/>
    </row>
    <row r="255" spans="1:26" ht="20.25" hidden="1" customHeight="1">
      <c r="A255" s="361"/>
      <c r="B255" s="362"/>
      <c r="C255" s="362"/>
      <c r="D255" s="366" t="s">
        <v>117</v>
      </c>
      <c r="E255" s="367"/>
      <c r="F255" s="367"/>
      <c r="G255" s="368"/>
      <c r="H255" s="369" t="s">
        <v>35</v>
      </c>
      <c r="I255" s="44">
        <f ca="1">IFERROR(__xludf.DUMMYFUNCTION("IMPORTRANGE(""https://docs.google.com/spreadsheets/d/1hKO5uv94SSRZWOvrh72HRcpyoEQF9TsE_Cvxl77XNU4/edit?usp=share_link"",""กาญจนบุรี!I255"")+IMPORTRANGE(""https://docs.google.com/spreadsheets/d/1njBaP_xXd-Uotvo2D9zb01TTCFkLJLDK97Tk1l9Qux0/edit?usp=share_li"&amp;"nk"",""จันทบุรี!I255"")+IMPORTRANGE(""https://docs.google.com/spreadsheets/d/14xp6qUzrGFnUk_qnc1eEmfiaNRd4_grkhpfQH_46fa8/edit?usp=share_link"",""ฉะเชิงเทรา!I255"")+IMPORTRANGE(""https://docs.google.com/spreadsheets/d/1_Zwps30dlVa-pZFsorjVf1Pil6WXwzCsJU0U"&amp;"2whO3NI/edit?usp=share_link"",""ชลบุรี!I255"")+IMPORTRANGE(""https://docs.google.com/spreadsheets/d/1xAsT4sUbBlom7l0acStESh_15nvjZcXjZM7fK5uZSq8/edit?usp=share_link"",""ชัยนาท!I255"")+IMPORTRANGE(""https://docs.google.com/spreadsheets/d/1vWPVBOAaZ6mHSI8yf"&amp;"95DNqHwTJ1cpeFsvqt6cxV34QA/edit?usp=share_link"",""ตราด!I255"")+IMPORTRANGE(""https://docs.google.com/spreadsheets/d/1phaeSb9lTGgzDpbvVqI9hfmOQQzUom07-HEvpbARzEg/edit?usp=share_link"",""นครนายก!I255"")+IMPORTRANGE(""https://docs.google.com/spreadsheets/d/"&amp;"1tpwhWwkqkBeiSWCcfB5f2fbwPRbM9hHOEDSDHpl2MIc/edit?usp=share_link"",""นครปฐม!I255"")+IMPORTRANGE(""https://docs.google.com/spreadsheets/d/1fJJCVBkBnhriyv0Cp5ZFMr0I_yrfdEITNpb4zILJgUQ/edit?usp=share_link"",""ปทุมธานี!I255"")+IMPORTRANGE(""https://docs.googl"&amp;"e.com/spreadsheets/d/1W5Jj_S0gYw6wSO7QcMI02YgyOBDKYgmm0NSUk-AQEac/edit?usp=share_link"",""ประจวบคีรีขันธ์!I255"")+IMPORTRANGE(""https://docs.google.com/spreadsheets/d/1nYxRXgnCfTXtqUY1otYuTlnrzE0Tn-Y0YRsW5pkRVqo/edit?usp=share_link"",""ปราจีนบุรี!I255"")+"&amp;"IMPORTRANGE(""https://docs.google.com/spreadsheets/d/1nNHCLO8ZAXOMfQvxux7cf_hrzPAh8FAvaHq_ClKbZNo/edit?usp=share_link"",""พระนครศรีอยุธยา!I255"")+IMPORTRANGE(""https://docs.google.com/spreadsheets/d/1CdNicvf3i6yt4tJlCePe3V1Va76wYqW0QzMzTsaGRrA/edit?usp=sh"&amp;"are_link"",""เพชรบุรี!I255"")+IMPORTRANGE(""https://docs.google.com/spreadsheets/d/1XiF77UIVHV0Kjc6xbXuOuJ10WgJYxd4p_22ngKVV5oM/edit?usp=share_link"",""ระยอง!I255"")+IMPORTRANGE(""https://docs.google.com/spreadsheets/d/1qU-W_9MCQD1pgIVXGEOjCFo9QqlmJywueby"&amp;"GgaN92r8/edit?usp=share_link"",""ราชบุรี!I255"")+IMPORTRANGE(""https://docs.google.com/spreadsheets/d/1xYFIxIM_CspAP5Q-5Zx_V0T_Ut3cjryrjd2hss28vGk/edit?usp=share_link"",""ลพบุรี!I255"")+IMPORTRANGE(""https://docs.google.com/spreadsheets/d/11s9m3tKsCBdPWq6"&amp;"syhZm27eBGbKneDLZc75co106bio/edit?usp=share_link"",""สระแก้ว!I255"")+IMPORTRANGE(""https://docs.google.com/spreadsheets/d/1Nn1EvsFPtXldgpgVb3Rcng2K2cls68LFQsBh2FyW0Bg/edit?usp=share_link"",""สระบุรี!I255"")+IMPORTRANGE(""https://docs.google.com/spreadshee"&amp;"ts/d/149xufxukrnEciK3WPbNpHwUK8BKEJxp3UcBG3Al6dA4/edit?usp=share_link"",""สิงห์บุรี!I255"")+IMPORTRANGE(""https://docs.google.com/spreadsheets/d/132g-zJpz2uMKimp17uOIx8A7o3w1Z25zwJyXnwsB56c/edit?usp=share_link"",""สุพรรณบุรี!I255"")+IMPORTRANGE(""https://"&amp;"docs.google.com/spreadsheets/d/12Q_U0nVnFdxDFwa0pej9xvx8ZvLC9Dpi_vRro_aiG5g/edit?usp=share_link"",""อ่างทอง!I255"")
"),70)</f>
        <v>70</v>
      </c>
      <c r="J255" s="370">
        <f ca="1">IFERROR(__xludf.DUMMYFUNCTION("IMPORTRANGE(""https://docs.google.com/spreadsheets/d/1hKO5uv94SSRZWOvrh72HRcpyoEQF9TsE_Cvxl77XNU4/edit?usp=share_link"",""กาญจนบุรี!J255"")+IMPORTRANGE(""https://docs.google.com/spreadsheets/d/1njBaP_xXd-Uotvo2D9zb01TTCFkLJLDK97Tk1l9Qux0/edit?usp=share_li"&amp;"nk"",""จันทบุรี!J255"")+IMPORTRANGE(""https://docs.google.com/spreadsheets/d/14xp6qUzrGFnUk_qnc1eEmfiaNRd4_grkhpfQH_46fa8/edit?usp=share_link"",""ฉะเชิงเทรา!J255"")+IMPORTRANGE(""https://docs.google.com/spreadsheets/d/1_Zwps30dlVa-pZFsorjVf1Pil6WXwzCsJU0U"&amp;"2whO3NI/edit?usp=share_link"",""ชลบุรี!J255"")+IMPORTRANGE(""https://docs.google.com/spreadsheets/d/1xAsT4sUbBlom7l0acStESh_15nvjZcXjZM7fK5uZSq8/edit?usp=share_link"",""ชัยนาท!J255"")+IMPORTRANGE(""https://docs.google.com/spreadsheets/d/1vWPVBOAaZ6mHSI8yf"&amp;"95DNqHwTJ1cpeFsvqt6cxV34QA/edit?usp=share_link"",""ตราด!J255"")+IMPORTRANGE(""https://docs.google.com/spreadsheets/d/1phaeSb9lTGgzDpbvVqI9hfmOQQzUom07-HEvpbARzEg/edit?usp=share_link"",""นครนายก!J255"")+IMPORTRANGE(""https://docs.google.com/spreadsheets/d/"&amp;"1tpwhWwkqkBeiSWCcfB5f2fbwPRbM9hHOEDSDHpl2MIc/edit?usp=share_link"",""นครปฐม!J255"")+IMPORTRANGE(""https://docs.google.com/spreadsheets/d/1fJJCVBkBnhriyv0Cp5ZFMr0I_yrfdEITNpb4zILJgUQ/edit?usp=share_link"",""ปทุมธานี!J255"")+IMPORTRANGE(""https://docs.googl"&amp;"e.com/spreadsheets/d/1W5Jj_S0gYw6wSO7QcMI02YgyOBDKYgmm0NSUk-AQEac/edit?usp=share_link"",""ประจวบคีรีขันธ์!J255"")+IMPORTRANGE(""https://docs.google.com/spreadsheets/d/1nYxRXgnCfTXtqUY1otYuTlnrzE0Tn-Y0YRsW5pkRVqo/edit?usp=share_link"",""ปราจีนบุรี!J255"")+"&amp;"IMPORTRANGE(""https://docs.google.com/spreadsheets/d/1nNHCLO8ZAXOMfQvxux7cf_hrzPAh8FAvaHq_ClKbZNo/edit?usp=share_link"",""พระนครศรีอยุธยา!J255"")+IMPORTRANGE(""https://docs.google.com/spreadsheets/d/1CdNicvf3i6yt4tJlCePe3V1Va76wYqW0QzMzTsaGRrA/edit?usp=sh"&amp;"are_link"",""เพชรบุรี!J255"")+IMPORTRANGE(""https://docs.google.com/spreadsheets/d/1XiF77UIVHV0Kjc6xbXuOuJ10WgJYxd4p_22ngKVV5oM/edit?usp=share_link"",""ระยอง!J255"")+IMPORTRANGE(""https://docs.google.com/spreadsheets/d/1qU-W_9MCQD1pgIVXGEOjCFo9QqlmJywueby"&amp;"GgaN92r8/edit?usp=share_link"",""ราชบุรี!J255"")+IMPORTRANGE(""https://docs.google.com/spreadsheets/d/1xYFIxIM_CspAP5Q-5Zx_V0T_Ut3cjryrjd2hss28vGk/edit?usp=share_link"",""ลพบุรี!J255"")+IMPORTRANGE(""https://docs.google.com/spreadsheets/d/11s9m3tKsCBdPWq6"&amp;"syhZm27eBGbKneDLZc75co106bio/edit?usp=share_link"",""สระแก้ว!J255"")+IMPORTRANGE(""https://docs.google.com/spreadsheets/d/1Nn1EvsFPtXldgpgVb3Rcng2K2cls68LFQsBh2FyW0Bg/edit?usp=share_link"",""สระบุรี!J255"")+IMPORTRANGE(""https://docs.google.com/spreadshee"&amp;"ts/d/149xufxukrnEciK3WPbNpHwUK8BKEJxp3UcBG3Al6dA4/edit?usp=share_link"",""สิงห์บุรี!J255"")+IMPORTRANGE(""https://docs.google.com/spreadsheets/d/132g-zJpz2uMKimp17uOIx8A7o3w1Z25zwJyXnwsB56c/edit?usp=share_link"",""สุพรรณบุรี!J255"")+IMPORTRANGE(""https://"&amp;"docs.google.com/spreadsheets/d/12Q_U0nVnFdxDFwa0pej9xvx8ZvLC9Dpi_vRro_aiG5g/edit?usp=share_link"",""อ่างทอง!J255"")
"),40)</f>
        <v>40</v>
      </c>
      <c r="K255" s="45">
        <f ca="1">IF(I255&gt;0,J255*100/I255,0)</f>
        <v>57.142857142857146</v>
      </c>
      <c r="L255" s="45"/>
      <c r="M255" s="45"/>
      <c r="N255" s="45"/>
      <c r="O255" s="45"/>
      <c r="P255" s="45"/>
      <c r="Q255" s="31"/>
      <c r="R255" s="31"/>
      <c r="S255" s="31"/>
      <c r="T255" s="31"/>
      <c r="U255" s="31"/>
      <c r="V255" s="31"/>
      <c r="W255" s="31"/>
      <c r="X255" s="31"/>
      <c r="Y255" s="31"/>
      <c r="Z255" s="31"/>
    </row>
    <row r="256" spans="1:26" ht="20.25" hidden="1" customHeight="1">
      <c r="A256" s="361"/>
      <c r="B256" s="362"/>
      <c r="C256" s="362"/>
      <c r="D256" s="371" t="s">
        <v>43</v>
      </c>
      <c r="E256" s="372"/>
      <c r="F256" s="367"/>
      <c r="G256" s="368"/>
      <c r="H256" s="369"/>
      <c r="I256" s="44"/>
      <c r="J256" s="44"/>
      <c r="K256" s="45"/>
      <c r="L256" s="45"/>
      <c r="M256" s="45"/>
      <c r="N256" s="45"/>
      <c r="O256" s="167"/>
      <c r="P256" s="167"/>
      <c r="Q256" s="31"/>
      <c r="R256" s="31"/>
      <c r="S256" s="31"/>
      <c r="T256" s="31"/>
      <c r="U256" s="31"/>
      <c r="V256" s="31"/>
      <c r="W256" s="31"/>
      <c r="X256" s="31"/>
      <c r="Y256" s="31"/>
      <c r="Z256" s="31"/>
    </row>
    <row r="257" spans="1:26" ht="20.25" hidden="1" customHeight="1">
      <c r="A257" s="361"/>
      <c r="B257" s="362"/>
      <c r="C257" s="362"/>
      <c r="D257" s="362"/>
      <c r="E257" s="373" t="s">
        <v>118</v>
      </c>
      <c r="F257" s="367"/>
      <c r="G257" s="368"/>
      <c r="H257" s="369" t="s">
        <v>35</v>
      </c>
      <c r="I257" s="44">
        <f ca="1">IFERROR(__xludf.DUMMYFUNCTION("IMPORTRANGE(""https://docs.google.com/spreadsheets/d/1hKO5uv94SSRZWOvrh72HRcpyoEQF9TsE_Cvxl77XNU4/edit?usp=share_link"",""กาญจนบุรี!I257"")+IMPORTRANGE(""https://docs.google.com/spreadsheets/d/1njBaP_xXd-Uotvo2D9zb01TTCFkLJLDK97Tk1l9Qux0/edit?usp=share_li"&amp;"nk"",""จันทบุรี!I257"")+IMPORTRANGE(""https://docs.google.com/spreadsheets/d/14xp6qUzrGFnUk_qnc1eEmfiaNRd4_grkhpfQH_46fa8/edit?usp=share_link"",""ฉะเชิงเทรา!I257"")+IMPORTRANGE(""https://docs.google.com/spreadsheets/d/1_Zwps30dlVa-pZFsorjVf1Pil6WXwzCsJU0U"&amp;"2whO3NI/edit?usp=share_link"",""ชลบุรี!I257"")+IMPORTRANGE(""https://docs.google.com/spreadsheets/d/1xAsT4sUbBlom7l0acStESh_15nvjZcXjZM7fK5uZSq8/edit?usp=share_link"",""ชัยนาท!I257"")+IMPORTRANGE(""https://docs.google.com/spreadsheets/d/1vWPVBOAaZ6mHSI8yf"&amp;"95DNqHwTJ1cpeFsvqt6cxV34QA/edit?usp=share_link"",""ตราด!I257"")+IMPORTRANGE(""https://docs.google.com/spreadsheets/d/1phaeSb9lTGgzDpbvVqI9hfmOQQzUom07-HEvpbARzEg/edit?usp=share_link"",""นครนายก!I257"")+IMPORTRANGE(""https://docs.google.com/spreadsheets/d/"&amp;"1tpwhWwkqkBeiSWCcfB5f2fbwPRbM9hHOEDSDHpl2MIc/edit?usp=share_link"",""นครปฐม!I257"")+IMPORTRANGE(""https://docs.google.com/spreadsheets/d/1fJJCVBkBnhriyv0Cp5ZFMr0I_yrfdEITNpb4zILJgUQ/edit?usp=share_link"",""ปทุมธานี!I257"")+IMPORTRANGE(""https://docs.googl"&amp;"e.com/spreadsheets/d/1W5Jj_S0gYw6wSO7QcMI02YgyOBDKYgmm0NSUk-AQEac/edit?usp=share_link"",""ประจวบคีรีขันธ์!I257"")+IMPORTRANGE(""https://docs.google.com/spreadsheets/d/1nYxRXgnCfTXtqUY1otYuTlnrzE0Tn-Y0YRsW5pkRVqo/edit?usp=share_link"",""ปราจีนบุรี!I257"")+"&amp;"IMPORTRANGE(""https://docs.google.com/spreadsheets/d/1nNHCLO8ZAXOMfQvxux7cf_hrzPAh8FAvaHq_ClKbZNo/edit?usp=share_link"",""พระนครศรีอยุธยา!I257"")+IMPORTRANGE(""https://docs.google.com/spreadsheets/d/1CdNicvf3i6yt4tJlCePe3V1Va76wYqW0QzMzTsaGRrA/edit?usp=sh"&amp;"are_link"",""เพชรบุรี!I257"")+IMPORTRANGE(""https://docs.google.com/spreadsheets/d/1XiF77UIVHV0Kjc6xbXuOuJ10WgJYxd4p_22ngKVV5oM/edit?usp=share_link"",""ระยอง!I257"")+IMPORTRANGE(""https://docs.google.com/spreadsheets/d/1qU-W_9MCQD1pgIVXGEOjCFo9QqlmJywueby"&amp;"GgaN92r8/edit?usp=share_link"",""ราชบุรี!I257"")+IMPORTRANGE(""https://docs.google.com/spreadsheets/d/1xYFIxIM_CspAP5Q-5Zx_V0T_Ut3cjryrjd2hss28vGk/edit?usp=share_link"",""ลพบุรี!I257"")+IMPORTRANGE(""https://docs.google.com/spreadsheets/d/11s9m3tKsCBdPWq6"&amp;"syhZm27eBGbKneDLZc75co106bio/edit?usp=share_link"",""สระแก้ว!I257"")+IMPORTRANGE(""https://docs.google.com/spreadsheets/d/1Nn1EvsFPtXldgpgVb3Rcng2K2cls68LFQsBh2FyW0Bg/edit?usp=share_link"",""สระบุรี!I257"")+IMPORTRANGE(""https://docs.google.com/spreadshee"&amp;"ts/d/149xufxukrnEciK3WPbNpHwUK8BKEJxp3UcBG3Al6dA4/edit?usp=share_link"",""สิงห์บุรี!I257"")+IMPORTRANGE(""https://docs.google.com/spreadsheets/d/132g-zJpz2uMKimp17uOIx8A7o3w1Z25zwJyXnwsB56c/edit?usp=share_link"",""สุพรรณบุรี!I257"")+IMPORTRANGE(""https://"&amp;"docs.google.com/spreadsheets/d/12Q_U0nVnFdxDFwa0pej9xvx8ZvLC9Dpi_vRro_aiG5g/edit?usp=share_link"",""อ่างทอง!I257"")
"),30)</f>
        <v>30</v>
      </c>
      <c r="J257" s="370">
        <f ca="1">IFERROR(__xludf.DUMMYFUNCTION("IMPORTRANGE(""https://docs.google.com/spreadsheets/d/1hKO5uv94SSRZWOvrh72HRcpyoEQF9TsE_Cvxl77XNU4/edit?usp=share_link"",""กาญจนบุรี!J257"")+IMPORTRANGE(""https://docs.google.com/spreadsheets/d/1njBaP_xXd-Uotvo2D9zb01TTCFkLJLDK97Tk1l9Qux0/edit?usp=share_li"&amp;"nk"",""จันทบุรี!J257"")+IMPORTRANGE(""https://docs.google.com/spreadsheets/d/14xp6qUzrGFnUk_qnc1eEmfiaNRd4_grkhpfQH_46fa8/edit?usp=share_link"",""ฉะเชิงเทรา!J257"")+IMPORTRANGE(""https://docs.google.com/spreadsheets/d/1_Zwps30dlVa-pZFsorjVf1Pil6WXwzCsJU0U"&amp;"2whO3NI/edit?usp=share_link"",""ชลบุรี!J257"")+IMPORTRANGE(""https://docs.google.com/spreadsheets/d/1xAsT4sUbBlom7l0acStESh_15nvjZcXjZM7fK5uZSq8/edit?usp=share_link"",""ชัยนาท!J257"")+IMPORTRANGE(""https://docs.google.com/spreadsheets/d/1vWPVBOAaZ6mHSI8yf"&amp;"95DNqHwTJ1cpeFsvqt6cxV34QA/edit?usp=share_link"",""ตราด!J257"")+IMPORTRANGE(""https://docs.google.com/spreadsheets/d/1phaeSb9lTGgzDpbvVqI9hfmOQQzUom07-HEvpbARzEg/edit?usp=share_link"",""นครนายก!J257"")+IMPORTRANGE(""https://docs.google.com/spreadsheets/d/"&amp;"1tpwhWwkqkBeiSWCcfB5f2fbwPRbM9hHOEDSDHpl2MIc/edit?usp=share_link"",""นครปฐม!J257"")+IMPORTRANGE(""https://docs.google.com/spreadsheets/d/1fJJCVBkBnhriyv0Cp5ZFMr0I_yrfdEITNpb4zILJgUQ/edit?usp=share_link"",""ปทุมธานี!J257"")+IMPORTRANGE(""https://docs.googl"&amp;"e.com/spreadsheets/d/1W5Jj_S0gYw6wSO7QcMI02YgyOBDKYgmm0NSUk-AQEac/edit?usp=share_link"",""ประจวบคีรีขันธ์!J257"")+IMPORTRANGE(""https://docs.google.com/spreadsheets/d/1nYxRXgnCfTXtqUY1otYuTlnrzE0Tn-Y0YRsW5pkRVqo/edit?usp=share_link"",""ปราจีนบุรี!J257"")+"&amp;"IMPORTRANGE(""https://docs.google.com/spreadsheets/d/1nNHCLO8ZAXOMfQvxux7cf_hrzPAh8FAvaHq_ClKbZNo/edit?usp=share_link"",""พระนครศรีอยุธยา!J257"")+IMPORTRANGE(""https://docs.google.com/spreadsheets/d/1CdNicvf3i6yt4tJlCePe3V1Va76wYqW0QzMzTsaGRrA/edit?usp=sh"&amp;"are_link"",""เพชรบุรี!J257"")+IMPORTRANGE(""https://docs.google.com/spreadsheets/d/1XiF77UIVHV0Kjc6xbXuOuJ10WgJYxd4p_22ngKVV5oM/edit?usp=share_link"",""ระยอง!J257"")+IMPORTRANGE(""https://docs.google.com/spreadsheets/d/1qU-W_9MCQD1pgIVXGEOjCFo9QqlmJywueby"&amp;"GgaN92r8/edit?usp=share_link"",""ราชบุรี!J257"")+IMPORTRANGE(""https://docs.google.com/spreadsheets/d/1xYFIxIM_CspAP5Q-5Zx_V0T_Ut3cjryrjd2hss28vGk/edit?usp=share_link"",""ลพบุรี!J257"")+IMPORTRANGE(""https://docs.google.com/spreadsheets/d/11s9m3tKsCBdPWq6"&amp;"syhZm27eBGbKneDLZc75co106bio/edit?usp=share_link"",""สระแก้ว!J257"")+IMPORTRANGE(""https://docs.google.com/spreadsheets/d/1Nn1EvsFPtXldgpgVb3Rcng2K2cls68LFQsBh2FyW0Bg/edit?usp=share_link"",""สระบุรี!J257"")+IMPORTRANGE(""https://docs.google.com/spreadshee"&amp;"ts/d/149xufxukrnEciK3WPbNpHwUK8BKEJxp3UcBG3Al6dA4/edit?usp=share_link"",""สิงห์บุรี!J257"")+IMPORTRANGE(""https://docs.google.com/spreadsheets/d/132g-zJpz2uMKimp17uOIx8A7o3w1Z25zwJyXnwsB56c/edit?usp=share_link"",""สุพรรณบุรี!J257"")+IMPORTRANGE(""https://"&amp;"docs.google.com/spreadsheets/d/12Q_U0nVnFdxDFwa0pej9xvx8ZvLC9Dpi_vRro_aiG5g/edit?usp=share_link"",""อ่างทอง!J257"")
"),0)</f>
        <v>0</v>
      </c>
      <c r="K257" s="45">
        <f t="shared" ref="K257:K258" ca="1" si="136">IF(I257&gt;0,J257*100/I257,0)</f>
        <v>0</v>
      </c>
      <c r="L257" s="45"/>
      <c r="M257" s="45"/>
      <c r="N257" s="45"/>
      <c r="O257" s="45"/>
      <c r="P257" s="45"/>
      <c r="Q257" s="31"/>
      <c r="R257" s="31"/>
      <c r="S257" s="31"/>
      <c r="T257" s="31"/>
      <c r="U257" s="31"/>
      <c r="V257" s="31"/>
      <c r="W257" s="31"/>
      <c r="X257" s="31"/>
      <c r="Y257" s="31"/>
      <c r="Z257" s="31"/>
    </row>
    <row r="258" spans="1:26" ht="20.25" hidden="1" customHeight="1">
      <c r="A258" s="361"/>
      <c r="B258" s="362"/>
      <c r="C258" s="362"/>
      <c r="D258" s="362"/>
      <c r="E258" s="267" t="s">
        <v>119</v>
      </c>
      <c r="F258" s="367"/>
      <c r="G258" s="368"/>
      <c r="H258" s="369" t="s">
        <v>69</v>
      </c>
      <c r="I258" s="44">
        <f ca="1">IFERROR(__xludf.DUMMYFUNCTION("IMPORTRANGE(""https://docs.google.com/spreadsheets/d/1hKO5uv94SSRZWOvrh72HRcpyoEQF9TsE_Cvxl77XNU4/edit?usp=share_link"",""กาญจนบุรี!I258"")+IMPORTRANGE(""https://docs.google.com/spreadsheets/d/1njBaP_xXd-Uotvo2D9zb01TTCFkLJLDK97Tk1l9Qux0/edit?usp=share_li"&amp;"nk"",""จันทบุรี!I258"")+IMPORTRANGE(""https://docs.google.com/spreadsheets/d/14xp6qUzrGFnUk_qnc1eEmfiaNRd4_grkhpfQH_46fa8/edit?usp=share_link"",""ฉะเชิงเทรา!I258"")+IMPORTRANGE(""https://docs.google.com/spreadsheets/d/1_Zwps30dlVa-pZFsorjVf1Pil6WXwzCsJU0U"&amp;"2whO3NI/edit?usp=share_link"",""ชลบุรี!I258"")+IMPORTRANGE(""https://docs.google.com/spreadsheets/d/1xAsT4sUbBlom7l0acStESh_15nvjZcXjZM7fK5uZSq8/edit?usp=share_link"",""ชัยนาท!I258"")+IMPORTRANGE(""https://docs.google.com/spreadsheets/d/1vWPVBOAaZ6mHSI8yf"&amp;"95DNqHwTJ1cpeFsvqt6cxV34QA/edit?usp=share_link"",""ตราด!I258"")+IMPORTRANGE(""https://docs.google.com/spreadsheets/d/1phaeSb9lTGgzDpbvVqI9hfmOQQzUom07-HEvpbARzEg/edit?usp=share_link"",""นครนายก!I258"")+IMPORTRANGE(""https://docs.google.com/spreadsheets/d/"&amp;"1tpwhWwkqkBeiSWCcfB5f2fbwPRbM9hHOEDSDHpl2MIc/edit?usp=share_link"",""นครปฐม!I258"")+IMPORTRANGE(""https://docs.google.com/spreadsheets/d/1fJJCVBkBnhriyv0Cp5ZFMr0I_yrfdEITNpb4zILJgUQ/edit?usp=share_link"",""ปทุมธานี!I258"")+IMPORTRANGE(""https://docs.googl"&amp;"e.com/spreadsheets/d/1W5Jj_S0gYw6wSO7QcMI02YgyOBDKYgmm0NSUk-AQEac/edit?usp=share_link"",""ประจวบคีรีขันธ์!I258"")+IMPORTRANGE(""https://docs.google.com/spreadsheets/d/1nYxRXgnCfTXtqUY1otYuTlnrzE0Tn-Y0YRsW5pkRVqo/edit?usp=share_link"",""ปราจีนบุรี!I258"")+"&amp;"IMPORTRANGE(""https://docs.google.com/spreadsheets/d/1nNHCLO8ZAXOMfQvxux7cf_hrzPAh8FAvaHq_ClKbZNo/edit?usp=share_link"",""พระนครศรีอยุธยา!I258"")+IMPORTRANGE(""https://docs.google.com/spreadsheets/d/1CdNicvf3i6yt4tJlCePe3V1Va76wYqW0QzMzTsaGRrA/edit?usp=sh"&amp;"are_link"",""เพชรบุรี!I258"")+IMPORTRANGE(""https://docs.google.com/spreadsheets/d/1XiF77UIVHV0Kjc6xbXuOuJ10WgJYxd4p_22ngKVV5oM/edit?usp=share_link"",""ระยอง!I258"")+IMPORTRANGE(""https://docs.google.com/spreadsheets/d/1qU-W_9MCQD1pgIVXGEOjCFo9QqlmJywueby"&amp;"GgaN92r8/edit?usp=share_link"",""ราชบุรี!I258"")+IMPORTRANGE(""https://docs.google.com/spreadsheets/d/1xYFIxIM_CspAP5Q-5Zx_V0T_Ut3cjryrjd2hss28vGk/edit?usp=share_link"",""ลพบุรี!I258"")+IMPORTRANGE(""https://docs.google.com/spreadsheets/d/11s9m3tKsCBdPWq6"&amp;"syhZm27eBGbKneDLZc75co106bio/edit?usp=share_link"",""สระแก้ว!I258"")+IMPORTRANGE(""https://docs.google.com/spreadsheets/d/1Nn1EvsFPtXldgpgVb3Rcng2K2cls68LFQsBh2FyW0Bg/edit?usp=share_link"",""สระบุรี!I258"")+IMPORTRANGE(""https://docs.google.com/spreadshee"&amp;"ts/d/149xufxukrnEciK3WPbNpHwUK8BKEJxp3UcBG3Al6dA4/edit?usp=share_link"",""สิงห์บุรี!I258"")+IMPORTRANGE(""https://docs.google.com/spreadsheets/d/132g-zJpz2uMKimp17uOIx8A7o3w1Z25zwJyXnwsB56c/edit?usp=share_link"",""สุพรรณบุรี!I258"")+IMPORTRANGE(""https://"&amp;"docs.google.com/spreadsheets/d/12Q_U0nVnFdxDFwa0pej9xvx8ZvLC9Dpi_vRro_aiG5g/edit?usp=share_link"",""อ่างทอง!I258"")
"),2)</f>
        <v>2</v>
      </c>
      <c r="J258" s="370">
        <f ca="1">IFERROR(__xludf.DUMMYFUNCTION("IMPORTRANGE(""https://docs.google.com/spreadsheets/d/1hKO5uv94SSRZWOvrh72HRcpyoEQF9TsE_Cvxl77XNU4/edit?usp=share_link"",""กาญจนบุรี!J258"")+IMPORTRANGE(""https://docs.google.com/spreadsheets/d/1njBaP_xXd-Uotvo2D9zb01TTCFkLJLDK97Tk1l9Qux0/edit?usp=share_li"&amp;"nk"",""จันทบุรี!J258"")+IMPORTRANGE(""https://docs.google.com/spreadsheets/d/14xp6qUzrGFnUk_qnc1eEmfiaNRd4_grkhpfQH_46fa8/edit?usp=share_link"",""ฉะเชิงเทรา!J258"")+IMPORTRANGE(""https://docs.google.com/spreadsheets/d/1_Zwps30dlVa-pZFsorjVf1Pil6WXwzCsJU0U"&amp;"2whO3NI/edit?usp=share_link"",""ชลบุรี!J258"")+IMPORTRANGE(""https://docs.google.com/spreadsheets/d/1xAsT4sUbBlom7l0acStESh_15nvjZcXjZM7fK5uZSq8/edit?usp=share_link"",""ชัยนาท!J258"")+IMPORTRANGE(""https://docs.google.com/spreadsheets/d/1vWPVBOAaZ6mHSI8yf"&amp;"95DNqHwTJ1cpeFsvqt6cxV34QA/edit?usp=share_link"",""ตราด!J258"")+IMPORTRANGE(""https://docs.google.com/spreadsheets/d/1phaeSb9lTGgzDpbvVqI9hfmOQQzUom07-HEvpbARzEg/edit?usp=share_link"",""นครนายก!J258"")+IMPORTRANGE(""https://docs.google.com/spreadsheets/d/"&amp;"1tpwhWwkqkBeiSWCcfB5f2fbwPRbM9hHOEDSDHpl2MIc/edit?usp=share_link"",""นครปฐม!J258"")+IMPORTRANGE(""https://docs.google.com/spreadsheets/d/1fJJCVBkBnhriyv0Cp5ZFMr0I_yrfdEITNpb4zILJgUQ/edit?usp=share_link"",""ปทุมธานี!J258"")+IMPORTRANGE(""https://docs.googl"&amp;"e.com/spreadsheets/d/1W5Jj_S0gYw6wSO7QcMI02YgyOBDKYgmm0NSUk-AQEac/edit?usp=share_link"",""ประจวบคีรีขันธ์!J258"")+IMPORTRANGE(""https://docs.google.com/spreadsheets/d/1nYxRXgnCfTXtqUY1otYuTlnrzE0Tn-Y0YRsW5pkRVqo/edit?usp=share_link"",""ปราจีนบุรี!J258"")+"&amp;"IMPORTRANGE(""https://docs.google.com/spreadsheets/d/1nNHCLO8ZAXOMfQvxux7cf_hrzPAh8FAvaHq_ClKbZNo/edit?usp=share_link"",""พระนครศรีอยุธยา!J258"")+IMPORTRANGE(""https://docs.google.com/spreadsheets/d/1CdNicvf3i6yt4tJlCePe3V1Va76wYqW0QzMzTsaGRrA/edit?usp=sh"&amp;"are_link"",""เพชรบุรี!J258"")+IMPORTRANGE(""https://docs.google.com/spreadsheets/d/1XiF77UIVHV0Kjc6xbXuOuJ10WgJYxd4p_22ngKVV5oM/edit?usp=share_link"",""ระยอง!J258"")+IMPORTRANGE(""https://docs.google.com/spreadsheets/d/1qU-W_9MCQD1pgIVXGEOjCFo9QqlmJywueby"&amp;"GgaN92r8/edit?usp=share_link"",""ราชบุรี!J258"")+IMPORTRANGE(""https://docs.google.com/spreadsheets/d/1xYFIxIM_CspAP5Q-5Zx_V0T_Ut3cjryrjd2hss28vGk/edit?usp=share_link"",""ลพบุรี!J258"")+IMPORTRANGE(""https://docs.google.com/spreadsheets/d/11s9m3tKsCBdPWq6"&amp;"syhZm27eBGbKneDLZc75co106bio/edit?usp=share_link"",""สระแก้ว!J258"")+IMPORTRANGE(""https://docs.google.com/spreadsheets/d/1Nn1EvsFPtXldgpgVb3Rcng2K2cls68LFQsBh2FyW0Bg/edit?usp=share_link"",""สระบุรี!J258"")+IMPORTRANGE(""https://docs.google.com/spreadshee"&amp;"ts/d/149xufxukrnEciK3WPbNpHwUK8BKEJxp3UcBG3Al6dA4/edit?usp=share_link"",""สิงห์บุรี!J258"")+IMPORTRANGE(""https://docs.google.com/spreadsheets/d/132g-zJpz2uMKimp17uOIx8A7o3w1Z25zwJyXnwsB56c/edit?usp=share_link"",""สุพรรณบุรี!J258"")+IMPORTRANGE(""https://"&amp;"docs.google.com/spreadsheets/d/12Q_U0nVnFdxDFwa0pej9xvx8ZvLC9Dpi_vRro_aiG5g/edit?usp=share_link"",""อ่างทอง!J258"")
"),0)</f>
        <v>0</v>
      </c>
      <c r="K258" s="45">
        <f t="shared" ca="1" si="136"/>
        <v>0</v>
      </c>
      <c r="L258" s="45"/>
      <c r="M258" s="45"/>
      <c r="N258" s="45"/>
      <c r="O258" s="45"/>
      <c r="P258" s="45"/>
      <c r="Q258" s="31"/>
      <c r="R258" s="31"/>
      <c r="S258" s="31"/>
      <c r="T258" s="31"/>
      <c r="U258" s="31"/>
      <c r="V258" s="31"/>
      <c r="W258" s="31"/>
      <c r="X258" s="31"/>
      <c r="Y258" s="31"/>
      <c r="Z258" s="31"/>
    </row>
    <row r="259" spans="1:26" ht="20.25" customHeight="1">
      <c r="A259" s="241" t="s">
        <v>122</v>
      </c>
      <c r="B259" s="242"/>
      <c r="C259" s="242"/>
      <c r="D259" s="243"/>
      <c r="E259" s="243"/>
      <c r="F259" s="243"/>
      <c r="G259" s="244"/>
      <c r="H259" s="245"/>
      <c r="I259" s="246"/>
      <c r="J259" s="246"/>
      <c r="K259" s="247"/>
      <c r="L259" s="247"/>
      <c r="M259" s="247"/>
      <c r="N259" s="247"/>
      <c r="O259" s="247"/>
      <c r="P259" s="247"/>
    </row>
    <row r="260" spans="1:26" ht="20.25" customHeight="1">
      <c r="A260" s="248"/>
      <c r="B260" s="249" t="s">
        <v>123</v>
      </c>
      <c r="C260" s="250"/>
      <c r="D260" s="173"/>
      <c r="E260" s="173"/>
      <c r="F260" s="173"/>
      <c r="G260" s="174"/>
      <c r="H260" s="251" t="s">
        <v>35</v>
      </c>
      <c r="I260" s="252">
        <f t="shared" ref="I260:J260" ca="1" si="137">I271</f>
        <v>440</v>
      </c>
      <c r="J260" s="252">
        <f t="shared" ca="1" si="137"/>
        <v>0</v>
      </c>
      <c r="K260" s="253">
        <f ca="1">IF(I260&gt;0,J260*100/I260,0)</f>
        <v>0</v>
      </c>
      <c r="L260" s="254"/>
      <c r="M260" s="254"/>
      <c r="N260" s="254"/>
      <c r="O260" s="254"/>
      <c r="P260" s="254"/>
    </row>
    <row r="261" spans="1:26" ht="20.25" customHeight="1">
      <c r="A261" s="147"/>
      <c r="B261" s="148"/>
      <c r="C261" s="149" t="s">
        <v>16</v>
      </c>
      <c r="D261" s="150" t="s">
        <v>17</v>
      </c>
      <c r="E261" s="148"/>
      <c r="F261" s="148"/>
      <c r="G261" s="151"/>
      <c r="H261" s="152" t="s">
        <v>12</v>
      </c>
      <c r="I261" s="153"/>
      <c r="J261" s="153"/>
      <c r="K261" s="154"/>
      <c r="L261" s="155">
        <f t="shared" ref="L261:N261" ca="1" si="138">L262+L263</f>
        <v>830000</v>
      </c>
      <c r="M261" s="155">
        <f t="shared" ca="1" si="138"/>
        <v>130000</v>
      </c>
      <c r="N261" s="155">
        <f t="shared" ca="1" si="138"/>
        <v>64197.33</v>
      </c>
      <c r="O261" s="155">
        <f t="shared" ref="O261:O269" ca="1" si="139">IF(L261&gt;0,N261*100/L261,0)</f>
        <v>7.7346180722891562</v>
      </c>
      <c r="P261" s="155">
        <f t="shared" ref="P261:P269" ca="1" si="140">IF(M261&gt;0,N261*100/M261,0)</f>
        <v>49.382561538461538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20.25" hidden="1" customHeight="1">
      <c r="A262" s="156"/>
      <c r="B262" s="40"/>
      <c r="C262" s="40"/>
      <c r="D262" s="40"/>
      <c r="E262" s="41" t="s">
        <v>18</v>
      </c>
      <c r="F262" s="40"/>
      <c r="G262" s="157"/>
      <c r="H262" s="158" t="s">
        <v>12</v>
      </c>
      <c r="I262" s="44"/>
      <c r="J262" s="44"/>
      <c r="K262" s="45"/>
      <c r="L262" s="45">
        <f t="shared" ref="L262:N262" si="141">L265+L268</f>
        <v>0</v>
      </c>
      <c r="M262" s="45">
        <f t="shared" si="141"/>
        <v>0</v>
      </c>
      <c r="N262" s="45">
        <f t="shared" si="141"/>
        <v>0</v>
      </c>
      <c r="O262" s="45">
        <f t="shared" si="139"/>
        <v>0</v>
      </c>
      <c r="P262" s="45">
        <f t="shared" si="140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20.25" hidden="1" customHeight="1">
      <c r="A263" s="156"/>
      <c r="B263" s="40"/>
      <c r="C263" s="40"/>
      <c r="D263" s="40"/>
      <c r="E263" s="41" t="s">
        <v>19</v>
      </c>
      <c r="F263" s="40"/>
      <c r="G263" s="157"/>
      <c r="H263" s="158" t="s">
        <v>12</v>
      </c>
      <c r="I263" s="44"/>
      <c r="J263" s="44"/>
      <c r="K263" s="45"/>
      <c r="L263" s="45">
        <f t="shared" ref="L263:N263" ca="1" si="142">L266+L269</f>
        <v>830000</v>
      </c>
      <c r="M263" s="45">
        <f t="shared" ca="1" si="142"/>
        <v>130000</v>
      </c>
      <c r="N263" s="45">
        <f t="shared" ca="1" si="142"/>
        <v>64197.33</v>
      </c>
      <c r="O263" s="45">
        <f t="shared" ca="1" si="139"/>
        <v>7.7346180722891562</v>
      </c>
      <c r="P263" s="45">
        <f t="shared" ca="1" si="140"/>
        <v>49.382561538461538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20.25" customHeight="1">
      <c r="A264" s="159"/>
      <c r="B264" s="33"/>
      <c r="C264" s="160"/>
      <c r="D264" s="34" t="s">
        <v>20</v>
      </c>
      <c r="E264" s="33"/>
      <c r="F264" s="33"/>
      <c r="G264" s="35"/>
      <c r="H264" s="161" t="s">
        <v>12</v>
      </c>
      <c r="I264" s="162"/>
      <c r="J264" s="162"/>
      <c r="K264" s="163"/>
      <c r="L264" s="38">
        <f t="shared" ref="L264:N264" ca="1" si="143">L265+L266</f>
        <v>830000</v>
      </c>
      <c r="M264" s="38">
        <f t="shared" ca="1" si="143"/>
        <v>130000</v>
      </c>
      <c r="N264" s="38">
        <f t="shared" ca="1" si="143"/>
        <v>64197.33</v>
      </c>
      <c r="O264" s="38">
        <f t="shared" ca="1" si="139"/>
        <v>7.7346180722891562</v>
      </c>
      <c r="P264" s="38">
        <f t="shared" ca="1" si="140"/>
        <v>49.382561538461538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20.25" hidden="1" customHeight="1">
      <c r="A265" s="156"/>
      <c r="B265" s="40"/>
      <c r="C265" s="164"/>
      <c r="D265" s="40"/>
      <c r="E265" s="41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45">
        <f t="shared" si="139"/>
        <v>0</v>
      </c>
      <c r="P265" s="45">
        <f t="shared" si="140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20.25" hidden="1" customHeight="1">
      <c r="A266" s="156"/>
      <c r="B266" s="40"/>
      <c r="C266" s="164"/>
      <c r="D266" s="40"/>
      <c r="E266" s="41" t="s">
        <v>37</v>
      </c>
      <c r="F266" s="40"/>
      <c r="G266" s="157"/>
      <c r="H266" s="165" t="s">
        <v>12</v>
      </c>
      <c r="I266" s="166"/>
      <c r="J266" s="166"/>
      <c r="K266" s="167"/>
      <c r="L266" s="45">
        <f ca="1">IFERROR(__xludf.DUMMYFUNCTION("IMPORTRANGE(""https://docs.google.com/spreadsheets/d/1hKO5uv94SSRZWOvrh72HRcpyoEQF9TsE_Cvxl77XNU4/edit?usp=share_link"",""กาญจนบุรี!L266"")+IMPORTRANGE(""https://docs.google.com/spreadsheets/d/1njBaP_xXd-Uotvo2D9zb01TTCFkLJLDK97Tk1l9Qux0/edit?usp=share_li"&amp;"nk"",""จันทบุรี!L266"")+IMPORTRANGE(""https://docs.google.com/spreadsheets/d/14xp6qUzrGFnUk_qnc1eEmfiaNRd4_grkhpfQH_46fa8/edit?usp=share_link"",""ฉะเชิงเทรา!L266"")+IMPORTRANGE(""https://docs.google.com/spreadsheets/d/1_Zwps30dlVa-pZFsorjVf1Pil6WXwzCsJU0U"&amp;"2whO3NI/edit?usp=share_link"",""ชลบุรี!L266"")+IMPORTRANGE(""https://docs.google.com/spreadsheets/d/1xAsT4sUbBlom7l0acStESh_15nvjZcXjZM7fK5uZSq8/edit?usp=share_link"",""ชัยนาท!L266"")+IMPORTRANGE(""https://docs.google.com/spreadsheets/d/1vWPVBOAaZ6mHSI8yf"&amp;"95DNqHwTJ1cpeFsvqt6cxV34QA/edit?usp=share_link"",""ตราด!L266"")+IMPORTRANGE(""https://docs.google.com/spreadsheets/d/1phaeSb9lTGgzDpbvVqI9hfmOQQzUom07-HEvpbARzEg/edit?usp=share_link"",""นครนายก!L266"")+IMPORTRANGE(""https://docs.google.com/spreadsheets/d/"&amp;"1tpwhWwkqkBeiSWCcfB5f2fbwPRbM9hHOEDSDHpl2MIc/edit?usp=share_link"",""นครปฐม!L266"")+IMPORTRANGE(""https://docs.google.com/spreadsheets/d/1fJJCVBkBnhriyv0Cp5ZFMr0I_yrfdEITNpb4zILJgUQ/edit?usp=share_link"",""ปทุมธานี!L266"")+IMPORTRANGE(""https://docs.googl"&amp;"e.com/spreadsheets/d/1W5Jj_S0gYw6wSO7QcMI02YgyOBDKYgmm0NSUk-AQEac/edit?usp=share_link"",""ประจวบคีรีขันธ์!L266"")+IMPORTRANGE(""https://docs.google.com/spreadsheets/d/1nYxRXgnCfTXtqUY1otYuTlnrzE0Tn-Y0YRsW5pkRVqo/edit?usp=share_link"",""ปราจีนบุรี!L266"")+"&amp;"IMPORTRANGE(""https://docs.google.com/spreadsheets/d/1nNHCLO8ZAXOMfQvxux7cf_hrzPAh8FAvaHq_ClKbZNo/edit?usp=share_link"",""พระนครศรีอยุธยา!L266"")+IMPORTRANGE(""https://docs.google.com/spreadsheets/d/1CdNicvf3i6yt4tJlCePe3V1Va76wYqW0QzMzTsaGRrA/edit?usp=sh"&amp;"are_link"",""เพชรบุรี!L266"")+IMPORTRANGE(""https://docs.google.com/spreadsheets/d/1XiF77UIVHV0Kjc6xbXuOuJ10WgJYxd4p_22ngKVV5oM/edit?usp=share_link"",""ระยอง!L266"")+IMPORTRANGE(""https://docs.google.com/spreadsheets/d/1qU-W_9MCQD1pgIVXGEOjCFo9QqlmJywueby"&amp;"GgaN92r8/edit?usp=share_link"",""ราชบุรี!L266"")+IMPORTRANGE(""https://docs.google.com/spreadsheets/d/1xYFIxIM_CspAP5Q-5Zx_V0T_Ut3cjryrjd2hss28vGk/edit?usp=share_link"",""ลพบุรี!L266"")+IMPORTRANGE(""https://docs.google.com/spreadsheets/d/11s9m3tKsCBdPWq6"&amp;"syhZm27eBGbKneDLZc75co106bio/edit?usp=share_link"",""สระแก้ว!L266"")+IMPORTRANGE(""https://docs.google.com/spreadsheets/d/1Nn1EvsFPtXldgpgVb3Rcng2K2cls68LFQsBh2FyW0Bg/edit?usp=share_link"",""สระบุรี!L266"")+IMPORTRANGE(""https://docs.google.com/spreadshee"&amp;"ts/d/149xufxukrnEciK3WPbNpHwUK8BKEJxp3UcBG3Al6dA4/edit?usp=share_link"",""สิงห์บุรี!L266"")+IMPORTRANGE(""https://docs.google.com/spreadsheets/d/132g-zJpz2uMKimp17uOIx8A7o3w1Z25zwJyXnwsB56c/edit?usp=share_link"",""สุพรรณบุรี!L266"")+IMPORTRANGE(""https://"&amp;"docs.google.com/spreadsheets/d/12Q_U0nVnFdxDFwa0pej9xvx8ZvLC9Dpi_vRro_aiG5g/edit?usp=share_link"",""อ่างทอง!L266"")
"),830000)</f>
        <v>830000</v>
      </c>
      <c r="M266" s="45">
        <f ca="1">IFERROR(__xludf.DUMMYFUNCTION("IMPORTRANGE(""https://docs.google.com/spreadsheets/d/1hKO5uv94SSRZWOvrh72HRcpyoEQF9TsE_Cvxl77XNU4/edit?usp=share_link"",""กาญจนบุรี!M266"")+IMPORTRANGE(""https://docs.google.com/spreadsheets/d/1njBaP_xXd-Uotvo2D9zb01TTCFkLJLDK97Tk1l9Qux0/edit?usp=share_li"&amp;"nk"",""จันทบุรี!M266"")+IMPORTRANGE(""https://docs.google.com/spreadsheets/d/14xp6qUzrGFnUk_qnc1eEmfiaNRd4_grkhpfQH_46fa8/edit?usp=share_link"",""ฉะเชิงเทรา!M266"")+IMPORTRANGE(""https://docs.google.com/spreadsheets/d/1_Zwps30dlVa-pZFsorjVf1Pil6WXwzCsJU0U"&amp;"2whO3NI/edit?usp=share_link"",""ชลบุรี!M266"")+IMPORTRANGE(""https://docs.google.com/spreadsheets/d/1xAsT4sUbBlom7l0acStESh_15nvjZcXjZM7fK5uZSq8/edit?usp=share_link"",""ชัยนาท!M266"")+IMPORTRANGE(""https://docs.google.com/spreadsheets/d/1vWPVBOAaZ6mHSI8yf"&amp;"95DNqHwTJ1cpeFsvqt6cxV34QA/edit?usp=share_link"",""ตราด!M266"")+IMPORTRANGE(""https://docs.google.com/spreadsheets/d/1phaeSb9lTGgzDpbvVqI9hfmOQQzUom07-HEvpbARzEg/edit?usp=share_link"",""นครนายก!M266"")+IMPORTRANGE(""https://docs.google.com/spreadsheets/d/"&amp;"1tpwhWwkqkBeiSWCcfB5f2fbwPRbM9hHOEDSDHpl2MIc/edit?usp=share_link"",""นครปฐม!M266"")+IMPORTRANGE(""https://docs.google.com/spreadsheets/d/1fJJCVBkBnhriyv0Cp5ZFMr0I_yrfdEITNpb4zILJgUQ/edit?usp=share_link"",""ปทุมธานี!M266"")+IMPORTRANGE(""https://docs.googl"&amp;"e.com/spreadsheets/d/1W5Jj_S0gYw6wSO7QcMI02YgyOBDKYgmm0NSUk-AQEac/edit?usp=share_link"",""ประจวบคีรีขันธ์!M266"")+IMPORTRANGE(""https://docs.google.com/spreadsheets/d/1nYxRXgnCfTXtqUY1otYuTlnrzE0Tn-Y0YRsW5pkRVqo/edit?usp=share_link"",""ปราจีนบุรี!M266"")+"&amp;"IMPORTRANGE(""https://docs.google.com/spreadsheets/d/1nNHCLO8ZAXOMfQvxux7cf_hrzPAh8FAvaHq_ClKbZNo/edit?usp=share_link"",""พระนครศรีอยุธยา!M266"")+IMPORTRANGE(""https://docs.google.com/spreadsheets/d/1CdNicvf3i6yt4tJlCePe3V1Va76wYqW0QzMzTsaGRrA/edit?usp=sh"&amp;"are_link"",""เพชรบุรี!M266"")+IMPORTRANGE(""https://docs.google.com/spreadsheets/d/1XiF77UIVHV0Kjc6xbXuOuJ10WgJYxd4p_22ngKVV5oM/edit?usp=share_link"",""ระยอง!M266"")+IMPORTRANGE(""https://docs.google.com/spreadsheets/d/1qU-W_9MCQD1pgIVXGEOjCFo9QqlmJywueby"&amp;"GgaN92r8/edit?usp=share_link"",""ราชบุรี!M266"")+IMPORTRANGE(""https://docs.google.com/spreadsheets/d/1xYFIxIM_CspAP5Q-5Zx_V0T_Ut3cjryrjd2hss28vGk/edit?usp=share_link"",""ลพบุรี!M266"")+IMPORTRANGE(""https://docs.google.com/spreadsheets/d/11s9m3tKsCBdPWq6"&amp;"syhZm27eBGbKneDLZc75co106bio/edit?usp=share_link"",""สระแก้ว!M266"")+IMPORTRANGE(""https://docs.google.com/spreadsheets/d/1Nn1EvsFPtXldgpgVb3Rcng2K2cls68LFQsBh2FyW0Bg/edit?usp=share_link"",""สระบุรี!M266"")+IMPORTRANGE(""https://docs.google.com/spreadshee"&amp;"ts/d/149xufxukrnEciK3WPbNpHwUK8BKEJxp3UcBG3Al6dA4/edit?usp=share_link"",""สิงห์บุรี!M266"")+IMPORTRANGE(""https://docs.google.com/spreadsheets/d/132g-zJpz2uMKimp17uOIx8A7o3w1Z25zwJyXnwsB56c/edit?usp=share_link"",""สุพรรณบุรี!M266"")+IMPORTRANGE(""https://"&amp;"docs.google.com/spreadsheets/d/12Q_U0nVnFdxDFwa0pej9xvx8ZvLC9Dpi_vRro_aiG5g/edit?usp=share_link"",""อ่างทอง!M266"")
"),130000)</f>
        <v>130000</v>
      </c>
      <c r="N266" s="45">
        <f ca="1">IFERROR(__xludf.DUMMYFUNCTION("IMPORTRANGE(""https://docs.google.com/spreadsheets/d/1hKO5uv94SSRZWOvrh72HRcpyoEQF9TsE_Cvxl77XNU4/edit?usp=share_link"",""กาญจนบุรี!n266"")+IMPORTRANGE(""https://docs.google.com/spreadsheets/d/1njBaP_xXd-Uotvo2D9zb01TTCFkLJLDK97Tk1l9Qux0/edit?usp=share_li"&amp;"nk"",""จันทบุรี!n266"")+IMPORTRANGE(""https://docs.google.com/spreadsheets/d/14xp6qUzrGFnUk_qnc1eEmfiaNRd4_grkhpfQH_46fa8/edit?usp=share_link"",""ฉะเชิงเทรา!n266"")+IMPORTRANGE(""https://docs.google.com/spreadsheets/d/1_Zwps30dlVa-pZFsorjVf1Pil6WXwzCsJU0U"&amp;"2whO3NI/edit?usp=share_link"",""ชลบุรี!n266"")+IMPORTRANGE(""https://docs.google.com/spreadsheets/d/1xAsT4sUbBlom7l0acStESh_15nvjZcXjZM7fK5uZSq8/edit?usp=share_link"",""ชัยนาท!n266"")+IMPORTRANGE(""https://docs.google.com/spreadsheets/d/1vWPVBOAaZ6mHSI8yf"&amp;"95DNqHwTJ1cpeFsvqt6cxV34QA/edit?usp=share_link"",""ตราด!n266"")+IMPORTRANGE(""https://docs.google.com/spreadsheets/d/1phaeSb9lTGgzDpbvVqI9hfmOQQzUom07-HEvpbARzEg/edit?usp=share_link"",""นครนายก!n266"")+IMPORTRANGE(""https://docs.google.com/spreadsheets/d/"&amp;"1tpwhWwkqkBeiSWCcfB5f2fbwPRbM9hHOEDSDHpl2MIc/edit?usp=share_link"",""นครปฐม!n266"")+IMPORTRANGE(""https://docs.google.com/spreadsheets/d/1fJJCVBkBnhriyv0Cp5ZFMr0I_yrfdEITNpb4zILJgUQ/edit?usp=share_link"",""ปทุมธานี!n266"")+IMPORTRANGE(""https://docs.googl"&amp;"e.com/spreadsheets/d/1W5Jj_S0gYw6wSO7QcMI02YgyOBDKYgmm0NSUk-AQEac/edit?usp=share_link"",""ประจวบคีรีขันธ์!n266"")+IMPORTRANGE(""https://docs.google.com/spreadsheets/d/1nYxRXgnCfTXtqUY1otYuTlnrzE0Tn-Y0YRsW5pkRVqo/edit?usp=share_link"",""ปราจีนบุรี!n266"")+"&amp;"IMPORTRANGE(""https://docs.google.com/spreadsheets/d/1nNHCLO8ZAXOMfQvxux7cf_hrzPAh8FAvaHq_ClKbZNo/edit?usp=share_link"",""พระนครศรีอยุธยา!n266"")+IMPORTRANGE(""https://docs.google.com/spreadsheets/d/1CdNicvf3i6yt4tJlCePe3V1Va76wYqW0QzMzTsaGRrA/edit?usp=sh"&amp;"are_link"",""เพชรบุรี!n266"")+IMPORTRANGE(""https://docs.google.com/spreadsheets/d/1XiF77UIVHV0Kjc6xbXuOuJ10WgJYxd4p_22ngKVV5oM/edit?usp=share_link"",""ระยอง!n266"")+IMPORTRANGE(""https://docs.google.com/spreadsheets/d/1qU-W_9MCQD1pgIVXGEOjCFo9QqlmJywueby"&amp;"GgaN92r8/edit?usp=share_link"",""ราชบุรี!n266"")+IMPORTRANGE(""https://docs.google.com/spreadsheets/d/1xYFIxIM_CspAP5Q-5Zx_V0T_Ut3cjryrjd2hss28vGk/edit?usp=share_link"",""ลพบุรี!n266"")+IMPORTRANGE(""https://docs.google.com/spreadsheets/d/11s9m3tKsCBdPWq6"&amp;"syhZm27eBGbKneDLZc75co106bio/edit?usp=share_link"",""สระแก้ว!n266"")+IMPORTRANGE(""https://docs.google.com/spreadsheets/d/1Nn1EvsFPtXldgpgVb3Rcng2K2cls68LFQsBh2FyW0Bg/edit?usp=share_link"",""สระบุรี!n266"")+IMPORTRANGE(""https://docs.google.com/spreadshee"&amp;"ts/d/149xufxukrnEciK3WPbNpHwUK8BKEJxp3UcBG3Al6dA4/edit?usp=share_link"",""สิงห์บุรี!n266"")+IMPORTRANGE(""https://docs.google.com/spreadsheets/d/132g-zJpz2uMKimp17uOIx8A7o3w1Z25zwJyXnwsB56c/edit?usp=share_link"",""สุพรรณบุรี!n266"")+IMPORTRANGE(""https://"&amp;"docs.google.com/spreadsheets/d/12Q_U0nVnFdxDFwa0pej9xvx8ZvLC9Dpi_vRro_aiG5g/edit?usp=share_link"",""อ่างทอง!n266"")
"),64197.33)</f>
        <v>64197.33</v>
      </c>
      <c r="O266" s="45">
        <f t="shared" ca="1" si="139"/>
        <v>7.7346180722891562</v>
      </c>
      <c r="P266" s="45">
        <f t="shared" ca="1" si="140"/>
        <v>49.382561538461538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20.25" customHeight="1">
      <c r="A267" s="159"/>
      <c r="B267" s="33"/>
      <c r="C267" s="160"/>
      <c r="D267" s="34" t="s">
        <v>21</v>
      </c>
      <c r="E267" s="33"/>
      <c r="F267" s="33"/>
      <c r="G267" s="35"/>
      <c r="H267" s="168" t="s">
        <v>12</v>
      </c>
      <c r="I267" s="162"/>
      <c r="J267" s="162"/>
      <c r="K267" s="163"/>
      <c r="L267" s="38">
        <f t="shared" ref="L267:N267" ca="1" si="144">L268+L269</f>
        <v>0</v>
      </c>
      <c r="M267" s="38">
        <f t="shared" ca="1" si="144"/>
        <v>0</v>
      </c>
      <c r="N267" s="38">
        <f t="shared" ca="1" si="144"/>
        <v>0</v>
      </c>
      <c r="O267" s="38">
        <f t="shared" ca="1" si="139"/>
        <v>0</v>
      </c>
      <c r="P267" s="38">
        <f t="shared" ca="1" si="140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20.25" hidden="1" customHeight="1">
      <c r="A268" s="156"/>
      <c r="B268" s="40"/>
      <c r="C268" s="164"/>
      <c r="D268" s="40"/>
      <c r="E268" s="41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45">
        <f t="shared" si="139"/>
        <v>0</v>
      </c>
      <c r="P268" s="45">
        <f t="shared" si="140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20.25" hidden="1" customHeight="1">
      <c r="A269" s="156"/>
      <c r="B269" s="40"/>
      <c r="C269" s="164"/>
      <c r="D269" s="40"/>
      <c r="E269" s="41" t="s">
        <v>19</v>
      </c>
      <c r="F269" s="40"/>
      <c r="G269" s="157"/>
      <c r="H269" s="169" t="s">
        <v>12</v>
      </c>
      <c r="I269" s="166"/>
      <c r="J269" s="166"/>
      <c r="K269" s="167"/>
      <c r="L269" s="45">
        <f ca="1">IFERROR(__xludf.DUMMYFUNCTION("IMPORTRANGE(""https://docs.google.com/spreadsheets/d/1hKO5uv94SSRZWOvrh72HRcpyoEQF9TsE_Cvxl77XNU4/edit?usp=share_link"",""กาญจนบุรี!L269"")+IMPORTRANGE(""https://docs.google.com/spreadsheets/d/1njBaP_xXd-Uotvo2D9zb01TTCFkLJLDK97Tk1l9Qux0/edit?usp=share_li"&amp;"nk"",""จันทบุรี!L269"")+IMPORTRANGE(""https://docs.google.com/spreadsheets/d/14xp6qUzrGFnUk_qnc1eEmfiaNRd4_grkhpfQH_46fa8/edit?usp=share_link"",""ฉะเชิงเทรา!L269"")+IMPORTRANGE(""https://docs.google.com/spreadsheets/d/1_Zwps30dlVa-pZFsorjVf1Pil6WXwzCsJU0U"&amp;"2whO3NI/edit?usp=share_link"",""ชลบุรี!L269"")+IMPORTRANGE(""https://docs.google.com/spreadsheets/d/1xAsT4sUbBlom7l0acStESh_15nvjZcXjZM7fK5uZSq8/edit?usp=share_link"",""ชัยนาท!L269"")+IMPORTRANGE(""https://docs.google.com/spreadsheets/d/1vWPVBOAaZ6mHSI8yf"&amp;"95DNqHwTJ1cpeFsvqt6cxV34QA/edit?usp=share_link"",""ตราด!L269"")+IMPORTRANGE(""https://docs.google.com/spreadsheets/d/1phaeSb9lTGgzDpbvVqI9hfmOQQzUom07-HEvpbARzEg/edit?usp=share_link"",""นครนายก!L269"")+IMPORTRANGE(""https://docs.google.com/spreadsheets/d/"&amp;"1tpwhWwkqkBeiSWCcfB5f2fbwPRbM9hHOEDSDHpl2MIc/edit?usp=share_link"",""นครปฐม!L269"")+IMPORTRANGE(""https://docs.google.com/spreadsheets/d/1fJJCVBkBnhriyv0Cp5ZFMr0I_yrfdEITNpb4zILJgUQ/edit?usp=share_link"",""ปทุมธานี!L269"")+IMPORTRANGE(""https://docs.googl"&amp;"e.com/spreadsheets/d/1W5Jj_S0gYw6wSO7QcMI02YgyOBDKYgmm0NSUk-AQEac/edit?usp=share_link"",""ประจวบคีรีขันธ์!L269"")+IMPORTRANGE(""https://docs.google.com/spreadsheets/d/1nYxRXgnCfTXtqUY1otYuTlnrzE0Tn-Y0YRsW5pkRVqo/edit?usp=share_link"",""ปราจีนบุรี!L269"")+"&amp;"IMPORTRANGE(""https://docs.google.com/spreadsheets/d/1nNHCLO8ZAXOMfQvxux7cf_hrzPAh8FAvaHq_ClKbZNo/edit?usp=share_link"",""พระนครศรีอยุธยา!L269"")+IMPORTRANGE(""https://docs.google.com/spreadsheets/d/1CdNicvf3i6yt4tJlCePe3V1Va76wYqW0QzMzTsaGRrA/edit?usp=sh"&amp;"are_link"",""เพชรบุรี!L269"")+IMPORTRANGE(""https://docs.google.com/spreadsheets/d/1XiF77UIVHV0Kjc6xbXuOuJ10WgJYxd4p_22ngKVV5oM/edit?usp=share_link"",""ระยอง!L269"")+IMPORTRANGE(""https://docs.google.com/spreadsheets/d/1qU-W_9MCQD1pgIVXGEOjCFo9QqlmJywueby"&amp;"GgaN92r8/edit?usp=share_link"",""ราชบุรี!L269"")+IMPORTRANGE(""https://docs.google.com/spreadsheets/d/1xYFIxIM_CspAP5Q-5Zx_V0T_Ut3cjryrjd2hss28vGk/edit?usp=share_link"",""ลพบุรี!L269"")+IMPORTRANGE(""https://docs.google.com/spreadsheets/d/11s9m3tKsCBdPWq6"&amp;"syhZm27eBGbKneDLZc75co106bio/edit?usp=share_link"",""สระแก้ว!L269"")+IMPORTRANGE(""https://docs.google.com/spreadsheets/d/1Nn1EvsFPtXldgpgVb3Rcng2K2cls68LFQsBh2FyW0Bg/edit?usp=share_link"",""สระบุรี!L269"")+IMPORTRANGE(""https://docs.google.com/spreadshee"&amp;"ts/d/149xufxukrnEciK3WPbNpHwUK8BKEJxp3UcBG3Al6dA4/edit?usp=share_link"",""สิงห์บุรี!L269"")+IMPORTRANGE(""https://docs.google.com/spreadsheets/d/132g-zJpz2uMKimp17uOIx8A7o3w1Z25zwJyXnwsB56c/edit?usp=share_link"",""สุพรรณบุรี!L269"")+IMPORTRANGE(""https://"&amp;"docs.google.com/spreadsheets/d/12Q_U0nVnFdxDFwa0pej9xvx8ZvLC9Dpi_vRro_aiG5g/edit?usp=share_link"",""อ่างทอง!L269"")
"),0)</f>
        <v>0</v>
      </c>
      <c r="M269" s="45">
        <f ca="1">IFERROR(__xludf.DUMMYFUNCTION("IMPORTRANGE(""https://docs.google.com/spreadsheets/d/1hKO5uv94SSRZWOvrh72HRcpyoEQF9TsE_Cvxl77XNU4/edit?usp=share_link"",""กาญจนบุรี!M269"")+IMPORTRANGE(""https://docs.google.com/spreadsheets/d/1njBaP_xXd-Uotvo2D9zb01TTCFkLJLDK97Tk1l9Qux0/edit?usp=share_li"&amp;"nk"",""จันทบุรี!M269"")+IMPORTRANGE(""https://docs.google.com/spreadsheets/d/14xp6qUzrGFnUk_qnc1eEmfiaNRd4_grkhpfQH_46fa8/edit?usp=share_link"",""ฉะเชิงเทรา!M269"")+IMPORTRANGE(""https://docs.google.com/spreadsheets/d/1_Zwps30dlVa-pZFsorjVf1Pil6WXwzCsJU0U"&amp;"2whO3NI/edit?usp=share_link"",""ชลบุรี!M269"")+IMPORTRANGE(""https://docs.google.com/spreadsheets/d/1xAsT4sUbBlom7l0acStESh_15nvjZcXjZM7fK5uZSq8/edit?usp=share_link"",""ชัยนาท!M269"")+IMPORTRANGE(""https://docs.google.com/spreadsheets/d/1vWPVBOAaZ6mHSI8yf"&amp;"95DNqHwTJ1cpeFsvqt6cxV34QA/edit?usp=share_link"",""ตราด!M269"")+IMPORTRANGE(""https://docs.google.com/spreadsheets/d/1phaeSb9lTGgzDpbvVqI9hfmOQQzUom07-HEvpbARzEg/edit?usp=share_link"",""นครนายก!M269"")+IMPORTRANGE(""https://docs.google.com/spreadsheets/d/"&amp;"1tpwhWwkqkBeiSWCcfB5f2fbwPRbM9hHOEDSDHpl2MIc/edit?usp=share_link"",""นครปฐม!M269"")+IMPORTRANGE(""https://docs.google.com/spreadsheets/d/1fJJCVBkBnhriyv0Cp5ZFMr0I_yrfdEITNpb4zILJgUQ/edit?usp=share_link"",""ปทุมธานี!M269"")+IMPORTRANGE(""https://docs.googl"&amp;"e.com/spreadsheets/d/1W5Jj_S0gYw6wSO7QcMI02YgyOBDKYgmm0NSUk-AQEac/edit?usp=share_link"",""ประจวบคีรีขันธ์!M269"")+IMPORTRANGE(""https://docs.google.com/spreadsheets/d/1nYxRXgnCfTXtqUY1otYuTlnrzE0Tn-Y0YRsW5pkRVqo/edit?usp=share_link"",""ปราจีนบุรี!M269"")+"&amp;"IMPORTRANGE(""https://docs.google.com/spreadsheets/d/1nNHCLO8ZAXOMfQvxux7cf_hrzPAh8FAvaHq_ClKbZNo/edit?usp=share_link"",""พระนครศรีอยุธยา!M269"")+IMPORTRANGE(""https://docs.google.com/spreadsheets/d/1CdNicvf3i6yt4tJlCePe3V1Va76wYqW0QzMzTsaGRrA/edit?usp=sh"&amp;"are_link"",""เพชรบุรี!M269"")+IMPORTRANGE(""https://docs.google.com/spreadsheets/d/1XiF77UIVHV0Kjc6xbXuOuJ10WgJYxd4p_22ngKVV5oM/edit?usp=share_link"",""ระยอง!M269"")+IMPORTRANGE(""https://docs.google.com/spreadsheets/d/1qU-W_9MCQD1pgIVXGEOjCFo9QqlmJywueby"&amp;"GgaN92r8/edit?usp=share_link"",""ราชบุรี!M269"")+IMPORTRANGE(""https://docs.google.com/spreadsheets/d/1xYFIxIM_CspAP5Q-5Zx_V0T_Ut3cjryrjd2hss28vGk/edit?usp=share_link"",""ลพบุรี!M269"")+IMPORTRANGE(""https://docs.google.com/spreadsheets/d/11s9m3tKsCBdPWq6"&amp;"syhZm27eBGbKneDLZc75co106bio/edit?usp=share_link"",""สระแก้ว!M269"")+IMPORTRANGE(""https://docs.google.com/spreadsheets/d/1Nn1EvsFPtXldgpgVb3Rcng2K2cls68LFQsBh2FyW0Bg/edit?usp=share_link"",""สระบุรี!M269"")+IMPORTRANGE(""https://docs.google.com/spreadshee"&amp;"ts/d/149xufxukrnEciK3WPbNpHwUK8BKEJxp3UcBG3Al6dA4/edit?usp=share_link"",""สิงห์บุรี!M269"")+IMPORTRANGE(""https://docs.google.com/spreadsheets/d/132g-zJpz2uMKimp17uOIx8A7o3w1Z25zwJyXnwsB56c/edit?usp=share_link"",""สุพรรณบุรี!M269"")+IMPORTRANGE(""https://"&amp;"docs.google.com/spreadsheets/d/12Q_U0nVnFdxDFwa0pej9xvx8ZvLC9Dpi_vRro_aiG5g/edit?usp=share_link"",""อ่างทอง!M269"")
"),0)</f>
        <v>0</v>
      </c>
      <c r="N269" s="45">
        <f ca="1">IFERROR(__xludf.DUMMYFUNCTION("IMPORTRANGE(""https://docs.google.com/spreadsheets/d/1hKO5uv94SSRZWOvrh72HRcpyoEQF9TsE_Cvxl77XNU4/edit?usp=share_link"",""กาญจนบุรี!n269"")+IMPORTRANGE(""https://docs.google.com/spreadsheets/d/1njBaP_xXd-Uotvo2D9zb01TTCFkLJLDK97Tk1l9Qux0/edit?usp=share_li"&amp;"nk"",""จันทบุรี!n269"")+IMPORTRANGE(""https://docs.google.com/spreadsheets/d/14xp6qUzrGFnUk_qnc1eEmfiaNRd4_grkhpfQH_46fa8/edit?usp=share_link"",""ฉะเชิงเทรา!n269"")+IMPORTRANGE(""https://docs.google.com/spreadsheets/d/1_Zwps30dlVa-pZFsorjVf1Pil6WXwzCsJU0U"&amp;"2whO3NI/edit?usp=share_link"",""ชลบุรี!n269"")+IMPORTRANGE(""https://docs.google.com/spreadsheets/d/1xAsT4sUbBlom7l0acStESh_15nvjZcXjZM7fK5uZSq8/edit?usp=share_link"",""ชัยนาท!n269"")+IMPORTRANGE(""https://docs.google.com/spreadsheets/d/1vWPVBOAaZ6mHSI8yf"&amp;"95DNqHwTJ1cpeFsvqt6cxV34QA/edit?usp=share_link"",""ตราด!n269"")+IMPORTRANGE(""https://docs.google.com/spreadsheets/d/1phaeSb9lTGgzDpbvVqI9hfmOQQzUom07-HEvpbARzEg/edit?usp=share_link"",""นครนายก!n269"")+IMPORTRANGE(""https://docs.google.com/spreadsheets/d/"&amp;"1tpwhWwkqkBeiSWCcfB5f2fbwPRbM9hHOEDSDHpl2MIc/edit?usp=share_link"",""นครปฐม!n269"")+IMPORTRANGE(""https://docs.google.com/spreadsheets/d/1fJJCVBkBnhriyv0Cp5ZFMr0I_yrfdEITNpb4zILJgUQ/edit?usp=share_link"",""ปทุมธานี!n269"")+IMPORTRANGE(""https://docs.googl"&amp;"e.com/spreadsheets/d/1W5Jj_S0gYw6wSO7QcMI02YgyOBDKYgmm0NSUk-AQEac/edit?usp=share_link"",""ประจวบคีรีขันธ์!n269"")+IMPORTRANGE(""https://docs.google.com/spreadsheets/d/1nYxRXgnCfTXtqUY1otYuTlnrzE0Tn-Y0YRsW5pkRVqo/edit?usp=share_link"",""ปราจีนบุรี!n269"")+"&amp;"IMPORTRANGE(""https://docs.google.com/spreadsheets/d/1nNHCLO8ZAXOMfQvxux7cf_hrzPAh8FAvaHq_ClKbZNo/edit?usp=share_link"",""พระนครศรีอยุธยา!n269"")+IMPORTRANGE(""https://docs.google.com/spreadsheets/d/1CdNicvf3i6yt4tJlCePe3V1Va76wYqW0QzMzTsaGRrA/edit?usp=sh"&amp;"are_link"",""เพชรบุรี!n269"")+IMPORTRANGE(""https://docs.google.com/spreadsheets/d/1XiF77UIVHV0Kjc6xbXuOuJ10WgJYxd4p_22ngKVV5oM/edit?usp=share_link"",""ระยอง!n269"")+IMPORTRANGE(""https://docs.google.com/spreadsheets/d/1qU-W_9MCQD1pgIVXGEOjCFo9QqlmJywueby"&amp;"GgaN92r8/edit?usp=share_link"",""ราชบุรี!n269"")+IMPORTRANGE(""https://docs.google.com/spreadsheets/d/1xYFIxIM_CspAP5Q-5Zx_V0T_Ut3cjryrjd2hss28vGk/edit?usp=share_link"",""ลพบุรี!n269"")+IMPORTRANGE(""https://docs.google.com/spreadsheets/d/11s9m3tKsCBdPWq6"&amp;"syhZm27eBGbKneDLZc75co106bio/edit?usp=share_link"",""สระแก้ว!n269"")+IMPORTRANGE(""https://docs.google.com/spreadsheets/d/1Nn1EvsFPtXldgpgVb3Rcng2K2cls68LFQsBh2FyW0Bg/edit?usp=share_link"",""สระบุรี!n269"")+IMPORTRANGE(""https://docs.google.com/spreadshee"&amp;"ts/d/149xufxukrnEciK3WPbNpHwUK8BKEJxp3UcBG3Al6dA4/edit?usp=share_link"",""สิงห์บุรี!n269"")+IMPORTRANGE(""https://docs.google.com/spreadsheets/d/132g-zJpz2uMKimp17uOIx8A7o3w1Z25zwJyXnwsB56c/edit?usp=share_link"",""สุพรรณบุรี!n269"")+IMPORTRANGE(""https://"&amp;"docs.google.com/spreadsheets/d/12Q_U0nVnFdxDFwa0pej9xvx8ZvLC9Dpi_vRro_aiG5g/edit?usp=share_link"",""อ่างทอง!n269"")
"),0)</f>
        <v>0</v>
      </c>
      <c r="O269" s="45">
        <f t="shared" ca="1" si="139"/>
        <v>0</v>
      </c>
      <c r="P269" s="45">
        <f t="shared" ca="1" si="140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20.25" customHeight="1">
      <c r="A270" s="170"/>
      <c r="B270" s="171"/>
      <c r="C270" s="160" t="s">
        <v>16</v>
      </c>
      <c r="D270" s="172" t="s">
        <v>38</v>
      </c>
      <c r="E270" s="173"/>
      <c r="F270" s="173"/>
      <c r="G270" s="174"/>
      <c r="H270" s="175"/>
      <c r="I270" s="162"/>
      <c r="J270" s="162"/>
      <c r="K270" s="163"/>
      <c r="L270" s="163"/>
      <c r="M270" s="163"/>
      <c r="N270" s="163"/>
      <c r="O270" s="163"/>
      <c r="P270" s="163"/>
    </row>
    <row r="271" spans="1:26" ht="20.25" customHeight="1">
      <c r="A271" s="170"/>
      <c r="B271" s="171"/>
      <c r="C271" s="171"/>
      <c r="D271" s="375" t="s">
        <v>124</v>
      </c>
      <c r="E271" s="178"/>
      <c r="F271" s="268"/>
      <c r="G271" s="179"/>
      <c r="H271" s="376" t="s">
        <v>35</v>
      </c>
      <c r="I271" s="37">
        <f ca="1">IFERROR(__xludf.DUMMYFUNCTION("IMPORTRANGE(""https://docs.google.com/spreadsheets/d/1hKO5uv94SSRZWOvrh72HRcpyoEQF9TsE_Cvxl77XNU4/edit?usp=share_link"",""กาญจนบุรี!I271"")+IMPORTRANGE(""https://docs.google.com/spreadsheets/d/1njBaP_xXd-Uotvo2D9zb01TTCFkLJLDK97Tk1l9Qux0/edit?usp=share_li"&amp;"nk"",""จันทบุรี!I271"")+IMPORTRANGE(""https://docs.google.com/spreadsheets/d/14xp6qUzrGFnUk_qnc1eEmfiaNRd4_grkhpfQH_46fa8/edit?usp=share_link"",""ฉะเชิงเทรา!I271"")+IMPORTRANGE(""https://docs.google.com/spreadsheets/d/1_Zwps30dlVa-pZFsorjVf1Pil6WXwzCsJU0U"&amp;"2whO3NI/edit?usp=share_link"",""ชลบุรี!I271"")+IMPORTRANGE(""https://docs.google.com/spreadsheets/d/1xAsT4sUbBlom7l0acStESh_15nvjZcXjZM7fK5uZSq8/edit?usp=share_link"",""ชัยนาท!I271"")+IMPORTRANGE(""https://docs.google.com/spreadsheets/d/1vWPVBOAaZ6mHSI8yf"&amp;"95DNqHwTJ1cpeFsvqt6cxV34QA/edit?usp=share_link"",""ตราด!I271"")+IMPORTRANGE(""https://docs.google.com/spreadsheets/d/1phaeSb9lTGgzDpbvVqI9hfmOQQzUom07-HEvpbARzEg/edit?usp=share_link"",""นครนายก!I271"")+IMPORTRANGE(""https://docs.google.com/spreadsheets/d/"&amp;"1tpwhWwkqkBeiSWCcfB5f2fbwPRbM9hHOEDSDHpl2MIc/edit?usp=share_link"",""นครปฐม!I271"")+IMPORTRANGE(""https://docs.google.com/spreadsheets/d/1fJJCVBkBnhriyv0Cp5ZFMr0I_yrfdEITNpb4zILJgUQ/edit?usp=share_link"",""ปทุมธานี!I271"")+IMPORTRANGE(""https://docs.googl"&amp;"e.com/spreadsheets/d/1W5Jj_S0gYw6wSO7QcMI02YgyOBDKYgmm0NSUk-AQEac/edit?usp=share_link"",""ประจวบคีรีขันธ์!I271"")+IMPORTRANGE(""https://docs.google.com/spreadsheets/d/1nYxRXgnCfTXtqUY1otYuTlnrzE0Tn-Y0YRsW5pkRVqo/edit?usp=share_link"",""ปราจีนบุรี!I271"")+"&amp;"IMPORTRANGE(""https://docs.google.com/spreadsheets/d/1nNHCLO8ZAXOMfQvxux7cf_hrzPAh8FAvaHq_ClKbZNo/edit?usp=share_link"",""พระนครศรีอยุธยา!I271"")+IMPORTRANGE(""https://docs.google.com/spreadsheets/d/1CdNicvf3i6yt4tJlCePe3V1Va76wYqW0QzMzTsaGRrA/edit?usp=sh"&amp;"are_link"",""เพชรบุรี!I271"")+IMPORTRANGE(""https://docs.google.com/spreadsheets/d/1XiF77UIVHV0Kjc6xbXuOuJ10WgJYxd4p_22ngKVV5oM/edit?usp=share_link"",""ระยอง!I271"")+IMPORTRANGE(""https://docs.google.com/spreadsheets/d/1qU-W_9MCQD1pgIVXGEOjCFo9QqlmJywueby"&amp;"GgaN92r8/edit?usp=share_link"",""ราชบุรี!I271"")+IMPORTRANGE(""https://docs.google.com/spreadsheets/d/1xYFIxIM_CspAP5Q-5Zx_V0T_Ut3cjryrjd2hss28vGk/edit?usp=share_link"",""ลพบุรี!I271"")+IMPORTRANGE(""https://docs.google.com/spreadsheets/d/11s9m3tKsCBdPWq6"&amp;"syhZm27eBGbKneDLZc75co106bio/edit?usp=share_link"",""สระแก้ว!I271"")+IMPORTRANGE(""https://docs.google.com/spreadsheets/d/1Nn1EvsFPtXldgpgVb3Rcng2K2cls68LFQsBh2FyW0Bg/edit?usp=share_link"",""สระบุรี!I271"")+IMPORTRANGE(""https://docs.google.com/spreadshee"&amp;"ts/d/149xufxukrnEciK3WPbNpHwUK8BKEJxp3UcBG3Al6dA4/edit?usp=share_link"",""สิงห์บุรี!I271"")+IMPORTRANGE(""https://docs.google.com/spreadsheets/d/132g-zJpz2uMKimp17uOIx8A7o3w1Z25zwJyXnwsB56c/edit?usp=share_link"",""สุพรรณบุรี!I271"")+IMPORTRANGE(""https://"&amp;"docs.google.com/spreadsheets/d/12Q_U0nVnFdxDFwa0pej9xvx8ZvLC9Dpi_vRro_aiG5g/edit?usp=share_link"",""อ่างทอง!I271"")
"),440)</f>
        <v>440</v>
      </c>
      <c r="J271" s="183">
        <f ca="1">IFERROR(__xludf.DUMMYFUNCTION("IMPORTRANGE(""https://docs.google.com/spreadsheets/d/1hKO5uv94SSRZWOvrh72HRcpyoEQF9TsE_Cvxl77XNU4/edit?usp=share_link"",""กาญจนบุรี!J271"")+IMPORTRANGE(""https://docs.google.com/spreadsheets/d/1njBaP_xXd-Uotvo2D9zb01TTCFkLJLDK97Tk1l9Qux0/edit?usp=share_li"&amp;"nk"",""จันทบุรี!J271"")+IMPORTRANGE(""https://docs.google.com/spreadsheets/d/14xp6qUzrGFnUk_qnc1eEmfiaNRd4_grkhpfQH_46fa8/edit?usp=share_link"",""ฉะเชิงเทรา!J271"")+IMPORTRANGE(""https://docs.google.com/spreadsheets/d/1_Zwps30dlVa-pZFsorjVf1Pil6WXwzCsJU0U"&amp;"2whO3NI/edit?usp=share_link"",""ชลบุรี!J271"")+IMPORTRANGE(""https://docs.google.com/spreadsheets/d/1xAsT4sUbBlom7l0acStESh_15nvjZcXjZM7fK5uZSq8/edit?usp=share_link"",""ชัยนาท!J271"")+IMPORTRANGE(""https://docs.google.com/spreadsheets/d/1vWPVBOAaZ6mHSI8yf"&amp;"95DNqHwTJ1cpeFsvqt6cxV34QA/edit?usp=share_link"",""ตราด!J271"")+IMPORTRANGE(""https://docs.google.com/spreadsheets/d/1phaeSb9lTGgzDpbvVqI9hfmOQQzUom07-HEvpbARzEg/edit?usp=share_link"",""นครนายก!J271"")+IMPORTRANGE(""https://docs.google.com/spreadsheets/d/"&amp;"1tpwhWwkqkBeiSWCcfB5f2fbwPRbM9hHOEDSDHpl2MIc/edit?usp=share_link"",""นครปฐม!J271"")+IMPORTRANGE(""https://docs.google.com/spreadsheets/d/1fJJCVBkBnhriyv0Cp5ZFMr0I_yrfdEITNpb4zILJgUQ/edit?usp=share_link"",""ปทุมธานี!J271"")+IMPORTRANGE(""https://docs.googl"&amp;"e.com/spreadsheets/d/1W5Jj_S0gYw6wSO7QcMI02YgyOBDKYgmm0NSUk-AQEac/edit?usp=share_link"",""ประจวบคีรีขันธ์!J271"")+IMPORTRANGE(""https://docs.google.com/spreadsheets/d/1nYxRXgnCfTXtqUY1otYuTlnrzE0Tn-Y0YRsW5pkRVqo/edit?usp=share_link"",""ปราจีนบุรี!J271"")+"&amp;"IMPORTRANGE(""https://docs.google.com/spreadsheets/d/1nNHCLO8ZAXOMfQvxux7cf_hrzPAh8FAvaHq_ClKbZNo/edit?usp=share_link"",""พระนครศรีอยุธยา!J271"")+IMPORTRANGE(""https://docs.google.com/spreadsheets/d/1CdNicvf3i6yt4tJlCePe3V1Va76wYqW0QzMzTsaGRrA/edit?usp=sh"&amp;"are_link"",""เพชรบุรี!J271"")+IMPORTRANGE(""https://docs.google.com/spreadsheets/d/1XiF77UIVHV0Kjc6xbXuOuJ10WgJYxd4p_22ngKVV5oM/edit?usp=share_link"",""ระยอง!J271"")+IMPORTRANGE(""https://docs.google.com/spreadsheets/d/1qU-W_9MCQD1pgIVXGEOjCFo9QqlmJywueby"&amp;"GgaN92r8/edit?usp=share_link"",""ราชบุรี!J271"")+IMPORTRANGE(""https://docs.google.com/spreadsheets/d/1xYFIxIM_CspAP5Q-5Zx_V0T_Ut3cjryrjd2hss28vGk/edit?usp=share_link"",""ลพบุรี!J271"")+IMPORTRANGE(""https://docs.google.com/spreadsheets/d/11s9m3tKsCBdPWq6"&amp;"syhZm27eBGbKneDLZc75co106bio/edit?usp=share_link"",""สระแก้ว!J271"")+IMPORTRANGE(""https://docs.google.com/spreadsheets/d/1Nn1EvsFPtXldgpgVb3Rcng2K2cls68LFQsBh2FyW0Bg/edit?usp=share_link"",""สระบุรี!J271"")+IMPORTRANGE(""https://docs.google.com/spreadshee"&amp;"ts/d/149xufxukrnEciK3WPbNpHwUK8BKEJxp3UcBG3Al6dA4/edit?usp=share_link"",""สิงห์บุรี!J271"")+IMPORTRANGE(""https://docs.google.com/spreadsheets/d/132g-zJpz2uMKimp17uOIx8A7o3w1Z25zwJyXnwsB56c/edit?usp=share_link"",""สุพรรณบุรี!J271"")+IMPORTRANGE(""https://"&amp;"docs.google.com/spreadsheets/d/12Q_U0nVnFdxDFwa0pej9xvx8ZvLC9Dpi_vRro_aiG5g/edit?usp=share_link"",""อ่างทอง!J271"")
"),0)</f>
        <v>0</v>
      </c>
      <c r="K271" s="163">
        <f ca="1">IF(I271&gt;0,J271*100/I271,0)</f>
        <v>0</v>
      </c>
      <c r="L271" s="163"/>
      <c r="M271" s="163"/>
      <c r="N271" s="163"/>
      <c r="O271" s="163"/>
      <c r="P271" s="163"/>
    </row>
    <row r="272" spans="1:26" ht="20.25" hidden="1" customHeight="1">
      <c r="A272" s="377"/>
      <c r="B272" s="378"/>
      <c r="C272" s="378"/>
      <c r="D272" s="379" t="s">
        <v>125</v>
      </c>
      <c r="E272" s="380"/>
      <c r="F272" s="380"/>
      <c r="G272" s="381"/>
      <c r="H272" s="50" t="s">
        <v>35</v>
      </c>
      <c r="I272" s="382">
        <v>0</v>
      </c>
      <c r="J272" s="382">
        <v>0</v>
      </c>
      <c r="K272" s="383">
        <v>0</v>
      </c>
      <c r="L272" s="384"/>
      <c r="M272" s="384"/>
      <c r="N272" s="384"/>
      <c r="O272" s="384"/>
      <c r="P272" s="384"/>
    </row>
    <row r="273" spans="1:26" ht="20.25" customHeight="1">
      <c r="A273" s="385" t="s">
        <v>126</v>
      </c>
      <c r="B273" s="386"/>
      <c r="C273" s="386"/>
      <c r="D273" s="386"/>
      <c r="E273" s="387"/>
      <c r="F273" s="387"/>
      <c r="G273" s="388"/>
      <c r="H273" s="389"/>
      <c r="I273" s="390"/>
      <c r="J273" s="390"/>
      <c r="K273" s="391"/>
      <c r="L273" s="391"/>
      <c r="M273" s="391"/>
      <c r="N273" s="391"/>
      <c r="O273" s="391"/>
      <c r="P273" s="391"/>
    </row>
    <row r="274" spans="1:26" ht="20.25" customHeight="1">
      <c r="A274" s="392" t="s">
        <v>127</v>
      </c>
      <c r="B274" s="393"/>
      <c r="C274" s="394"/>
      <c r="D274" s="393"/>
      <c r="E274" s="393"/>
      <c r="F274" s="393"/>
      <c r="G274" s="393"/>
      <c r="H274" s="395"/>
      <c r="I274" s="396"/>
      <c r="J274" s="397"/>
      <c r="K274" s="398"/>
      <c r="L274" s="398"/>
      <c r="M274" s="398"/>
      <c r="N274" s="398"/>
      <c r="O274" s="398"/>
      <c r="P274" s="398"/>
    </row>
    <row r="275" spans="1:26" ht="20.25" customHeight="1">
      <c r="A275" s="399"/>
      <c r="B275" s="400" t="s">
        <v>128</v>
      </c>
      <c r="C275" s="401"/>
      <c r="D275" s="402"/>
      <c r="E275" s="401"/>
      <c r="F275" s="401"/>
      <c r="G275" s="403"/>
      <c r="H275" s="404" t="s">
        <v>35</v>
      </c>
      <c r="I275" s="405">
        <f t="shared" ref="I275:J275" ca="1" si="145">I288</f>
        <v>150</v>
      </c>
      <c r="J275" s="405">
        <f t="shared" ca="1" si="145"/>
        <v>0</v>
      </c>
      <c r="K275" s="406">
        <f t="shared" ref="K275:K276" ca="1" si="146">IF(I275&gt;0,J275*100/I275,0)</f>
        <v>0</v>
      </c>
      <c r="L275" s="407"/>
      <c r="M275" s="407"/>
      <c r="N275" s="407"/>
      <c r="O275" s="407"/>
      <c r="P275" s="407"/>
    </row>
    <row r="276" spans="1:26" ht="20.25" customHeight="1">
      <c r="A276" s="399"/>
      <c r="B276" s="408"/>
      <c r="C276" s="401"/>
      <c r="D276" s="402"/>
      <c r="E276" s="401"/>
      <c r="F276" s="401"/>
      <c r="G276" s="403"/>
      <c r="H276" s="404" t="s">
        <v>46</v>
      </c>
      <c r="I276" s="405">
        <f t="shared" ref="I276:J276" ca="1" si="147">I287</f>
        <v>1500</v>
      </c>
      <c r="J276" s="405">
        <f t="shared" ca="1" si="147"/>
        <v>150</v>
      </c>
      <c r="K276" s="406">
        <f t="shared" ca="1" si="146"/>
        <v>10</v>
      </c>
      <c r="L276" s="407"/>
      <c r="M276" s="407"/>
      <c r="N276" s="407"/>
      <c r="O276" s="407"/>
      <c r="P276" s="407"/>
    </row>
    <row r="277" spans="1:26" ht="20.25" customHeight="1">
      <c r="A277" s="147"/>
      <c r="B277" s="148"/>
      <c r="C277" s="149" t="s">
        <v>16</v>
      </c>
      <c r="D277" s="150" t="s">
        <v>17</v>
      </c>
      <c r="E277" s="148"/>
      <c r="F277" s="148"/>
      <c r="G277" s="151"/>
      <c r="H277" s="152" t="s">
        <v>12</v>
      </c>
      <c r="I277" s="153"/>
      <c r="J277" s="153"/>
      <c r="K277" s="154"/>
      <c r="L277" s="155">
        <f t="shared" ref="L277:N277" ca="1" si="148">L278+L279</f>
        <v>963020</v>
      </c>
      <c r="M277" s="155">
        <f t="shared" ca="1" si="148"/>
        <v>433500</v>
      </c>
      <c r="N277" s="155">
        <f t="shared" ca="1" si="148"/>
        <v>153079.44</v>
      </c>
      <c r="O277" s="155">
        <f t="shared" ref="O277:O285" ca="1" si="149">IF(L277&gt;0,N277*100/L277,0)</f>
        <v>15.895769558264625</v>
      </c>
      <c r="P277" s="155">
        <f t="shared" ref="P277:P285" ca="1" si="150">IF(M277&gt;0,N277*100/M277,0)</f>
        <v>35.312442906574397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20.25" hidden="1" customHeight="1">
      <c r="A278" s="156"/>
      <c r="B278" s="40"/>
      <c r="C278" s="40"/>
      <c r="D278" s="40"/>
      <c r="E278" s="41" t="s">
        <v>18</v>
      </c>
      <c r="F278" s="40"/>
      <c r="G278" s="157"/>
      <c r="H278" s="158" t="s">
        <v>12</v>
      </c>
      <c r="I278" s="44"/>
      <c r="J278" s="44"/>
      <c r="K278" s="45"/>
      <c r="L278" s="45">
        <f t="shared" ref="L278:N278" si="151">L281+L284</f>
        <v>0</v>
      </c>
      <c r="M278" s="45">
        <f t="shared" si="151"/>
        <v>0</v>
      </c>
      <c r="N278" s="45">
        <f t="shared" si="151"/>
        <v>0</v>
      </c>
      <c r="O278" s="45">
        <f t="shared" si="149"/>
        <v>0</v>
      </c>
      <c r="P278" s="45">
        <f t="shared" si="150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20.25" hidden="1" customHeight="1">
      <c r="A279" s="156"/>
      <c r="B279" s="40"/>
      <c r="C279" s="40"/>
      <c r="D279" s="40"/>
      <c r="E279" s="41" t="s">
        <v>19</v>
      </c>
      <c r="F279" s="40"/>
      <c r="G279" s="157"/>
      <c r="H279" s="158" t="s">
        <v>12</v>
      </c>
      <c r="I279" s="44"/>
      <c r="J279" s="44"/>
      <c r="K279" s="45"/>
      <c r="L279" s="45">
        <f t="shared" ref="L279:N279" ca="1" si="152">L282+L285</f>
        <v>963020</v>
      </c>
      <c r="M279" s="45">
        <f t="shared" ca="1" si="152"/>
        <v>433500</v>
      </c>
      <c r="N279" s="45">
        <f t="shared" ca="1" si="152"/>
        <v>153079.44</v>
      </c>
      <c r="O279" s="45">
        <f t="shared" ca="1" si="149"/>
        <v>15.895769558264625</v>
      </c>
      <c r="P279" s="45">
        <f t="shared" ca="1" si="150"/>
        <v>35.312442906574397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20.25" customHeight="1">
      <c r="A280" s="159"/>
      <c r="B280" s="33"/>
      <c r="C280" s="160"/>
      <c r="D280" s="34" t="s">
        <v>20</v>
      </c>
      <c r="E280" s="33"/>
      <c r="F280" s="33"/>
      <c r="G280" s="35"/>
      <c r="H280" s="161" t="s">
        <v>12</v>
      </c>
      <c r="I280" s="162"/>
      <c r="J280" s="162"/>
      <c r="K280" s="163"/>
      <c r="L280" s="38">
        <f t="shared" ref="L280:N280" ca="1" si="153">L281+L282</f>
        <v>963020</v>
      </c>
      <c r="M280" s="38">
        <f t="shared" ca="1" si="153"/>
        <v>433500</v>
      </c>
      <c r="N280" s="38">
        <f t="shared" ca="1" si="153"/>
        <v>153079.44</v>
      </c>
      <c r="O280" s="38">
        <f t="shared" ca="1" si="149"/>
        <v>15.895769558264625</v>
      </c>
      <c r="P280" s="38">
        <f t="shared" ca="1" si="150"/>
        <v>35.312442906574397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20.25" hidden="1" customHeight="1">
      <c r="A281" s="156"/>
      <c r="B281" s="40"/>
      <c r="C281" s="164"/>
      <c r="D281" s="40"/>
      <c r="E281" s="41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45">
        <f t="shared" si="149"/>
        <v>0</v>
      </c>
      <c r="P281" s="45">
        <f t="shared" si="150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20.25" hidden="1" customHeight="1">
      <c r="A282" s="156"/>
      <c r="B282" s="40"/>
      <c r="C282" s="164"/>
      <c r="D282" s="40"/>
      <c r="E282" s="41" t="s">
        <v>37</v>
      </c>
      <c r="F282" s="40"/>
      <c r="G282" s="157"/>
      <c r="H282" s="165" t="s">
        <v>12</v>
      </c>
      <c r="I282" s="166"/>
      <c r="J282" s="166"/>
      <c r="K282" s="167"/>
      <c r="L282" s="45">
        <f ca="1">IFERROR(__xludf.DUMMYFUNCTION("IMPORTRANGE(""https://docs.google.com/spreadsheets/d/1hKO5uv94SSRZWOvrh72HRcpyoEQF9TsE_Cvxl77XNU4/edit?usp=share_link"",""กาญจนบุรี!L282"")+IMPORTRANGE(""https://docs.google.com/spreadsheets/d/1njBaP_xXd-Uotvo2D9zb01TTCFkLJLDK97Tk1l9Qux0/edit?usp=share_li"&amp;"nk"",""จันทบุรี!L282"")+IMPORTRANGE(""https://docs.google.com/spreadsheets/d/14xp6qUzrGFnUk_qnc1eEmfiaNRd4_grkhpfQH_46fa8/edit?usp=share_link"",""ฉะเชิงเทรา!L282"")+IMPORTRANGE(""https://docs.google.com/spreadsheets/d/1_Zwps30dlVa-pZFsorjVf1Pil6WXwzCsJU0U"&amp;"2whO3NI/edit?usp=share_link"",""ชลบุรี!L282"")+IMPORTRANGE(""https://docs.google.com/spreadsheets/d/1xAsT4sUbBlom7l0acStESh_15nvjZcXjZM7fK5uZSq8/edit?usp=share_link"",""ชัยนาท!L282"")+IMPORTRANGE(""https://docs.google.com/spreadsheets/d/1vWPVBOAaZ6mHSI8yf"&amp;"95DNqHwTJ1cpeFsvqt6cxV34QA/edit?usp=share_link"",""ตราด!L282"")+IMPORTRANGE(""https://docs.google.com/spreadsheets/d/1phaeSb9lTGgzDpbvVqI9hfmOQQzUom07-HEvpbARzEg/edit?usp=share_link"",""นครนายก!L282"")+IMPORTRANGE(""https://docs.google.com/spreadsheets/d/"&amp;"1tpwhWwkqkBeiSWCcfB5f2fbwPRbM9hHOEDSDHpl2MIc/edit?usp=share_link"",""นครปฐม!L282"")+IMPORTRANGE(""https://docs.google.com/spreadsheets/d/1fJJCVBkBnhriyv0Cp5ZFMr0I_yrfdEITNpb4zILJgUQ/edit?usp=share_link"",""ปทุมธานี!L282"")+IMPORTRANGE(""https://docs.googl"&amp;"e.com/spreadsheets/d/1W5Jj_S0gYw6wSO7QcMI02YgyOBDKYgmm0NSUk-AQEac/edit?usp=share_link"",""ประจวบคีรีขันธ์!L282"")+IMPORTRANGE(""https://docs.google.com/spreadsheets/d/1nYxRXgnCfTXtqUY1otYuTlnrzE0Tn-Y0YRsW5pkRVqo/edit?usp=share_link"",""ปราจีนบุรี!L282"")+"&amp;"IMPORTRANGE(""https://docs.google.com/spreadsheets/d/1nNHCLO8ZAXOMfQvxux7cf_hrzPAh8FAvaHq_ClKbZNo/edit?usp=share_link"",""พระนครศรีอยุธยา!L282"")+IMPORTRANGE(""https://docs.google.com/spreadsheets/d/1CdNicvf3i6yt4tJlCePe3V1Va76wYqW0QzMzTsaGRrA/edit?usp=sh"&amp;"are_link"",""เพชรบุรี!L282"")+IMPORTRANGE(""https://docs.google.com/spreadsheets/d/1XiF77UIVHV0Kjc6xbXuOuJ10WgJYxd4p_22ngKVV5oM/edit?usp=share_link"",""ระยอง!L282"")+IMPORTRANGE(""https://docs.google.com/spreadsheets/d/1qU-W_9MCQD1pgIVXGEOjCFo9QqlmJywueby"&amp;"GgaN92r8/edit?usp=share_link"",""ราชบุรี!L282"")+IMPORTRANGE(""https://docs.google.com/spreadsheets/d/1xYFIxIM_CspAP5Q-5Zx_V0T_Ut3cjryrjd2hss28vGk/edit?usp=share_link"",""ลพบุรี!L282"")+IMPORTRANGE(""https://docs.google.com/spreadsheets/d/11s9m3tKsCBdPWq6"&amp;"syhZm27eBGbKneDLZc75co106bio/edit?usp=share_link"",""สระแก้ว!L282"")+IMPORTRANGE(""https://docs.google.com/spreadsheets/d/1Nn1EvsFPtXldgpgVb3Rcng2K2cls68LFQsBh2FyW0Bg/edit?usp=share_link"",""สระบุรี!L282"")+IMPORTRANGE(""https://docs.google.com/spreadshee"&amp;"ts/d/149xufxukrnEciK3WPbNpHwUK8BKEJxp3UcBG3Al6dA4/edit?usp=share_link"",""สิงห์บุรี!L282"")+IMPORTRANGE(""https://docs.google.com/spreadsheets/d/132g-zJpz2uMKimp17uOIx8A7o3w1Z25zwJyXnwsB56c/edit?usp=share_link"",""สุพรรณบุรี!L282"")+IMPORTRANGE(""https://"&amp;"docs.google.com/spreadsheets/d/12Q_U0nVnFdxDFwa0pej9xvx8ZvLC9Dpi_vRro_aiG5g/edit?usp=share_link"",""อ่างทอง!L282"")
"),963020)</f>
        <v>963020</v>
      </c>
      <c r="M282" s="45">
        <f ca="1">IFERROR(__xludf.DUMMYFUNCTION("IMPORTRANGE(""https://docs.google.com/spreadsheets/d/1hKO5uv94SSRZWOvrh72HRcpyoEQF9TsE_Cvxl77XNU4/edit?usp=share_link"",""กาญจนบุรี!M282"")+IMPORTRANGE(""https://docs.google.com/spreadsheets/d/1njBaP_xXd-Uotvo2D9zb01TTCFkLJLDK97Tk1l9Qux0/edit?usp=share_li"&amp;"nk"",""จันทบุรี!M282"")+IMPORTRANGE(""https://docs.google.com/spreadsheets/d/14xp6qUzrGFnUk_qnc1eEmfiaNRd4_grkhpfQH_46fa8/edit?usp=share_link"",""ฉะเชิงเทรา!M282"")+IMPORTRANGE(""https://docs.google.com/spreadsheets/d/1_Zwps30dlVa-pZFsorjVf1Pil6WXwzCsJU0U"&amp;"2whO3NI/edit?usp=share_link"",""ชลบุรี!M282"")+IMPORTRANGE(""https://docs.google.com/spreadsheets/d/1xAsT4sUbBlom7l0acStESh_15nvjZcXjZM7fK5uZSq8/edit?usp=share_link"",""ชัยนาท!M282"")+IMPORTRANGE(""https://docs.google.com/spreadsheets/d/1vWPVBOAaZ6mHSI8yf"&amp;"95DNqHwTJ1cpeFsvqt6cxV34QA/edit?usp=share_link"",""ตราด!M282"")+IMPORTRANGE(""https://docs.google.com/spreadsheets/d/1phaeSb9lTGgzDpbvVqI9hfmOQQzUom07-HEvpbARzEg/edit?usp=share_link"",""นครนายก!M282"")+IMPORTRANGE(""https://docs.google.com/spreadsheets/d/"&amp;"1tpwhWwkqkBeiSWCcfB5f2fbwPRbM9hHOEDSDHpl2MIc/edit?usp=share_link"",""นครปฐม!M282"")+IMPORTRANGE(""https://docs.google.com/spreadsheets/d/1fJJCVBkBnhriyv0Cp5ZFMr0I_yrfdEITNpb4zILJgUQ/edit?usp=share_link"",""ปทุมธานี!M282"")+IMPORTRANGE(""https://docs.googl"&amp;"e.com/spreadsheets/d/1W5Jj_S0gYw6wSO7QcMI02YgyOBDKYgmm0NSUk-AQEac/edit?usp=share_link"",""ประจวบคีรีขันธ์!M282"")+IMPORTRANGE(""https://docs.google.com/spreadsheets/d/1nYxRXgnCfTXtqUY1otYuTlnrzE0Tn-Y0YRsW5pkRVqo/edit?usp=share_link"",""ปราจีนบุรี!M282"")+"&amp;"IMPORTRANGE(""https://docs.google.com/spreadsheets/d/1nNHCLO8ZAXOMfQvxux7cf_hrzPAh8FAvaHq_ClKbZNo/edit?usp=share_link"",""พระนครศรีอยุธยา!M282"")+IMPORTRANGE(""https://docs.google.com/spreadsheets/d/1CdNicvf3i6yt4tJlCePe3V1Va76wYqW0QzMzTsaGRrA/edit?usp=sh"&amp;"are_link"",""เพชรบุรี!M282"")+IMPORTRANGE(""https://docs.google.com/spreadsheets/d/1XiF77UIVHV0Kjc6xbXuOuJ10WgJYxd4p_22ngKVV5oM/edit?usp=share_link"",""ระยอง!M282"")+IMPORTRANGE(""https://docs.google.com/spreadsheets/d/1qU-W_9MCQD1pgIVXGEOjCFo9QqlmJywueby"&amp;"GgaN92r8/edit?usp=share_link"",""ราชบุรี!M282"")+IMPORTRANGE(""https://docs.google.com/spreadsheets/d/1xYFIxIM_CspAP5Q-5Zx_V0T_Ut3cjryrjd2hss28vGk/edit?usp=share_link"",""ลพบุรี!M282"")+IMPORTRANGE(""https://docs.google.com/spreadsheets/d/11s9m3tKsCBdPWq6"&amp;"syhZm27eBGbKneDLZc75co106bio/edit?usp=share_link"",""สระแก้ว!M282"")+IMPORTRANGE(""https://docs.google.com/spreadsheets/d/1Nn1EvsFPtXldgpgVb3Rcng2K2cls68LFQsBh2FyW0Bg/edit?usp=share_link"",""สระบุรี!M282"")+IMPORTRANGE(""https://docs.google.com/spreadshee"&amp;"ts/d/149xufxukrnEciK3WPbNpHwUK8BKEJxp3UcBG3Al6dA4/edit?usp=share_link"",""สิงห์บุรี!M282"")+IMPORTRANGE(""https://docs.google.com/spreadsheets/d/132g-zJpz2uMKimp17uOIx8A7o3w1Z25zwJyXnwsB56c/edit?usp=share_link"",""สุพรรณบุรี!M282"")+IMPORTRANGE(""https://"&amp;"docs.google.com/spreadsheets/d/12Q_U0nVnFdxDFwa0pej9xvx8ZvLC9Dpi_vRro_aiG5g/edit?usp=share_link"",""อ่างทอง!M282"")
"),433500)</f>
        <v>433500</v>
      </c>
      <c r="N282" s="45">
        <f ca="1">IFERROR(__xludf.DUMMYFUNCTION("IMPORTRANGE(""https://docs.google.com/spreadsheets/d/1hKO5uv94SSRZWOvrh72HRcpyoEQF9TsE_Cvxl77XNU4/edit?usp=share_link"",""กาญจนบุรี!n282"")+IMPORTRANGE(""https://docs.google.com/spreadsheets/d/1njBaP_xXd-Uotvo2D9zb01TTCFkLJLDK97Tk1l9Qux0/edit?usp=share_li"&amp;"nk"",""จันทบุรี!n282"")+IMPORTRANGE(""https://docs.google.com/spreadsheets/d/14xp6qUzrGFnUk_qnc1eEmfiaNRd4_grkhpfQH_46fa8/edit?usp=share_link"",""ฉะเชิงเทรา!n282"")+IMPORTRANGE(""https://docs.google.com/spreadsheets/d/1_Zwps30dlVa-pZFsorjVf1Pil6WXwzCsJU0U"&amp;"2whO3NI/edit?usp=share_link"",""ชลบุรี!n282"")+IMPORTRANGE(""https://docs.google.com/spreadsheets/d/1xAsT4sUbBlom7l0acStESh_15nvjZcXjZM7fK5uZSq8/edit?usp=share_link"",""ชัยนาท!n282"")+IMPORTRANGE(""https://docs.google.com/spreadsheets/d/1vWPVBOAaZ6mHSI8yf"&amp;"95DNqHwTJ1cpeFsvqt6cxV34QA/edit?usp=share_link"",""ตราด!n282"")+IMPORTRANGE(""https://docs.google.com/spreadsheets/d/1phaeSb9lTGgzDpbvVqI9hfmOQQzUom07-HEvpbARzEg/edit?usp=share_link"",""นครนายก!n282"")+IMPORTRANGE(""https://docs.google.com/spreadsheets/d/"&amp;"1tpwhWwkqkBeiSWCcfB5f2fbwPRbM9hHOEDSDHpl2MIc/edit?usp=share_link"",""นครปฐม!n282"")+IMPORTRANGE(""https://docs.google.com/spreadsheets/d/1fJJCVBkBnhriyv0Cp5ZFMr0I_yrfdEITNpb4zILJgUQ/edit?usp=share_link"",""ปทุมธานี!n282"")+IMPORTRANGE(""https://docs.googl"&amp;"e.com/spreadsheets/d/1W5Jj_S0gYw6wSO7QcMI02YgyOBDKYgmm0NSUk-AQEac/edit?usp=share_link"",""ประจวบคีรีขันธ์!n282"")+IMPORTRANGE(""https://docs.google.com/spreadsheets/d/1nYxRXgnCfTXtqUY1otYuTlnrzE0Tn-Y0YRsW5pkRVqo/edit?usp=share_link"",""ปราจีนบุรี!n282"")+"&amp;"IMPORTRANGE(""https://docs.google.com/spreadsheets/d/1nNHCLO8ZAXOMfQvxux7cf_hrzPAh8FAvaHq_ClKbZNo/edit?usp=share_link"",""พระนครศรีอยุธยา!n282"")+IMPORTRANGE(""https://docs.google.com/spreadsheets/d/1CdNicvf3i6yt4tJlCePe3V1Va76wYqW0QzMzTsaGRrA/edit?usp=sh"&amp;"are_link"",""เพชรบุรี!n282"")+IMPORTRANGE(""https://docs.google.com/spreadsheets/d/1XiF77UIVHV0Kjc6xbXuOuJ10WgJYxd4p_22ngKVV5oM/edit?usp=share_link"",""ระยอง!n282"")+IMPORTRANGE(""https://docs.google.com/spreadsheets/d/1qU-W_9MCQD1pgIVXGEOjCFo9QqlmJywueby"&amp;"GgaN92r8/edit?usp=share_link"",""ราชบุรี!n282"")+IMPORTRANGE(""https://docs.google.com/spreadsheets/d/1xYFIxIM_CspAP5Q-5Zx_V0T_Ut3cjryrjd2hss28vGk/edit?usp=share_link"",""ลพบุรี!n282"")+IMPORTRANGE(""https://docs.google.com/spreadsheets/d/11s9m3tKsCBdPWq6"&amp;"syhZm27eBGbKneDLZc75co106bio/edit?usp=share_link"",""สระแก้ว!n282"")+IMPORTRANGE(""https://docs.google.com/spreadsheets/d/1Nn1EvsFPtXldgpgVb3Rcng2K2cls68LFQsBh2FyW0Bg/edit?usp=share_link"",""สระบุรี!n282"")+IMPORTRANGE(""https://docs.google.com/spreadshee"&amp;"ts/d/149xufxukrnEciK3WPbNpHwUK8BKEJxp3UcBG3Al6dA4/edit?usp=share_link"",""สิงห์บุรี!n282"")+IMPORTRANGE(""https://docs.google.com/spreadsheets/d/132g-zJpz2uMKimp17uOIx8A7o3w1Z25zwJyXnwsB56c/edit?usp=share_link"",""สุพรรณบุรี!n282"")+IMPORTRANGE(""https://"&amp;"docs.google.com/spreadsheets/d/12Q_U0nVnFdxDFwa0pej9xvx8ZvLC9Dpi_vRro_aiG5g/edit?usp=share_link"",""อ่างทอง!n282"")
"),153079.44)</f>
        <v>153079.44</v>
      </c>
      <c r="O282" s="45">
        <f t="shared" ca="1" si="149"/>
        <v>15.895769558264625</v>
      </c>
      <c r="P282" s="45">
        <f t="shared" ca="1" si="150"/>
        <v>35.312442906574397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20.25" customHeight="1">
      <c r="A283" s="159"/>
      <c r="B283" s="33"/>
      <c r="C283" s="160"/>
      <c r="D283" s="34" t="s">
        <v>21</v>
      </c>
      <c r="E283" s="33"/>
      <c r="F283" s="33"/>
      <c r="G283" s="35"/>
      <c r="H283" s="168" t="s">
        <v>12</v>
      </c>
      <c r="I283" s="162"/>
      <c r="J283" s="162"/>
      <c r="K283" s="163"/>
      <c r="L283" s="38">
        <f t="shared" ref="L283:N283" ca="1" si="154">L284+L285</f>
        <v>0</v>
      </c>
      <c r="M283" s="38">
        <f t="shared" ca="1" si="154"/>
        <v>0</v>
      </c>
      <c r="N283" s="38">
        <f t="shared" ca="1" si="154"/>
        <v>0</v>
      </c>
      <c r="O283" s="38">
        <f t="shared" ca="1" si="149"/>
        <v>0</v>
      </c>
      <c r="P283" s="38">
        <f t="shared" ca="1" si="150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20.25" hidden="1" customHeight="1">
      <c r="A284" s="156"/>
      <c r="B284" s="40"/>
      <c r="C284" s="164"/>
      <c r="D284" s="40"/>
      <c r="E284" s="41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45">
        <f t="shared" si="149"/>
        <v>0</v>
      </c>
      <c r="P284" s="45">
        <f t="shared" si="150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20.25" hidden="1" customHeight="1">
      <c r="A285" s="156"/>
      <c r="B285" s="40"/>
      <c r="C285" s="164"/>
      <c r="D285" s="40"/>
      <c r="E285" s="41" t="s">
        <v>19</v>
      </c>
      <c r="F285" s="40"/>
      <c r="G285" s="157"/>
      <c r="H285" s="169" t="s">
        <v>12</v>
      </c>
      <c r="I285" s="166"/>
      <c r="J285" s="166"/>
      <c r="K285" s="167"/>
      <c r="L285" s="45">
        <f ca="1">IFERROR(__xludf.DUMMYFUNCTION("IMPORTRANGE(""https://docs.google.com/spreadsheets/d/1hKO5uv94SSRZWOvrh72HRcpyoEQF9TsE_Cvxl77XNU4/edit?usp=share_link"",""กาญจนบุรี!L285"")+IMPORTRANGE(""https://docs.google.com/spreadsheets/d/1njBaP_xXd-Uotvo2D9zb01TTCFkLJLDK97Tk1l9Qux0/edit?usp=share_li"&amp;"nk"",""จันทบุรี!L285"")+IMPORTRANGE(""https://docs.google.com/spreadsheets/d/14xp6qUzrGFnUk_qnc1eEmfiaNRd4_grkhpfQH_46fa8/edit?usp=share_link"",""ฉะเชิงเทรา!L285"")+IMPORTRANGE(""https://docs.google.com/spreadsheets/d/1_Zwps30dlVa-pZFsorjVf1Pil6WXwzCsJU0U"&amp;"2whO3NI/edit?usp=share_link"",""ชลบุรี!L285"")+IMPORTRANGE(""https://docs.google.com/spreadsheets/d/1xAsT4sUbBlom7l0acStESh_15nvjZcXjZM7fK5uZSq8/edit?usp=share_link"",""ชัยนาท!L285"")+IMPORTRANGE(""https://docs.google.com/spreadsheets/d/1vWPVBOAaZ6mHSI8yf"&amp;"95DNqHwTJ1cpeFsvqt6cxV34QA/edit?usp=share_link"",""ตราด!L285"")+IMPORTRANGE(""https://docs.google.com/spreadsheets/d/1phaeSb9lTGgzDpbvVqI9hfmOQQzUom07-HEvpbARzEg/edit?usp=share_link"",""นครนายก!L285"")+IMPORTRANGE(""https://docs.google.com/spreadsheets/d/"&amp;"1tpwhWwkqkBeiSWCcfB5f2fbwPRbM9hHOEDSDHpl2MIc/edit?usp=share_link"",""นครปฐม!L285"")+IMPORTRANGE(""https://docs.google.com/spreadsheets/d/1fJJCVBkBnhriyv0Cp5ZFMr0I_yrfdEITNpb4zILJgUQ/edit?usp=share_link"",""ปทุมธานี!L285"")+IMPORTRANGE(""https://docs.googl"&amp;"e.com/spreadsheets/d/1W5Jj_S0gYw6wSO7QcMI02YgyOBDKYgmm0NSUk-AQEac/edit?usp=share_link"",""ประจวบคีรีขันธ์!L285"")+IMPORTRANGE(""https://docs.google.com/spreadsheets/d/1nYxRXgnCfTXtqUY1otYuTlnrzE0Tn-Y0YRsW5pkRVqo/edit?usp=share_link"",""ปราจีนบุรี!L285"")+"&amp;"IMPORTRANGE(""https://docs.google.com/spreadsheets/d/1nNHCLO8ZAXOMfQvxux7cf_hrzPAh8FAvaHq_ClKbZNo/edit?usp=share_link"",""พระนครศรีอยุธยา!L285"")+IMPORTRANGE(""https://docs.google.com/spreadsheets/d/1CdNicvf3i6yt4tJlCePe3V1Va76wYqW0QzMzTsaGRrA/edit?usp=sh"&amp;"are_link"",""เพชรบุรี!L285"")+IMPORTRANGE(""https://docs.google.com/spreadsheets/d/1XiF77UIVHV0Kjc6xbXuOuJ10WgJYxd4p_22ngKVV5oM/edit?usp=share_link"",""ระยอง!L285"")+IMPORTRANGE(""https://docs.google.com/spreadsheets/d/1qU-W_9MCQD1pgIVXGEOjCFo9QqlmJywueby"&amp;"GgaN92r8/edit?usp=share_link"",""ราชบุรี!L285"")+IMPORTRANGE(""https://docs.google.com/spreadsheets/d/1xYFIxIM_CspAP5Q-5Zx_V0T_Ut3cjryrjd2hss28vGk/edit?usp=share_link"",""ลพบุรี!L285"")+IMPORTRANGE(""https://docs.google.com/spreadsheets/d/11s9m3tKsCBdPWq6"&amp;"syhZm27eBGbKneDLZc75co106bio/edit?usp=share_link"",""สระแก้ว!L285"")+IMPORTRANGE(""https://docs.google.com/spreadsheets/d/1Nn1EvsFPtXldgpgVb3Rcng2K2cls68LFQsBh2FyW0Bg/edit?usp=share_link"",""สระบุรี!L285"")+IMPORTRANGE(""https://docs.google.com/spreadshee"&amp;"ts/d/149xufxukrnEciK3WPbNpHwUK8BKEJxp3UcBG3Al6dA4/edit?usp=share_link"",""สิงห์บุรี!L285"")+IMPORTRANGE(""https://docs.google.com/spreadsheets/d/132g-zJpz2uMKimp17uOIx8A7o3w1Z25zwJyXnwsB56c/edit?usp=share_link"",""สุพรรณบุรี!L285"")+IMPORTRANGE(""https://"&amp;"docs.google.com/spreadsheets/d/12Q_U0nVnFdxDFwa0pej9xvx8ZvLC9Dpi_vRro_aiG5g/edit?usp=share_link"",""อ่างทอง!L285"")
"),0)</f>
        <v>0</v>
      </c>
      <c r="M285" s="45">
        <f ca="1">IFERROR(__xludf.DUMMYFUNCTION("IMPORTRANGE(""https://docs.google.com/spreadsheets/d/1hKO5uv94SSRZWOvrh72HRcpyoEQF9TsE_Cvxl77XNU4/edit?usp=share_link"",""กาญจนบุรี!M285"")+IMPORTRANGE(""https://docs.google.com/spreadsheets/d/1njBaP_xXd-Uotvo2D9zb01TTCFkLJLDK97Tk1l9Qux0/edit?usp=share_li"&amp;"nk"",""จันทบุรี!M285"")+IMPORTRANGE(""https://docs.google.com/spreadsheets/d/14xp6qUzrGFnUk_qnc1eEmfiaNRd4_grkhpfQH_46fa8/edit?usp=share_link"",""ฉะเชิงเทรา!M285"")+IMPORTRANGE(""https://docs.google.com/spreadsheets/d/1_Zwps30dlVa-pZFsorjVf1Pil6WXwzCsJU0U"&amp;"2whO3NI/edit?usp=share_link"",""ชลบุรี!M285"")+IMPORTRANGE(""https://docs.google.com/spreadsheets/d/1xAsT4sUbBlom7l0acStESh_15nvjZcXjZM7fK5uZSq8/edit?usp=share_link"",""ชัยนาท!M285"")+IMPORTRANGE(""https://docs.google.com/spreadsheets/d/1vWPVBOAaZ6mHSI8yf"&amp;"95DNqHwTJ1cpeFsvqt6cxV34QA/edit?usp=share_link"",""ตราด!M285"")+IMPORTRANGE(""https://docs.google.com/spreadsheets/d/1phaeSb9lTGgzDpbvVqI9hfmOQQzUom07-HEvpbARzEg/edit?usp=share_link"",""นครนายก!M285"")+IMPORTRANGE(""https://docs.google.com/spreadsheets/d/"&amp;"1tpwhWwkqkBeiSWCcfB5f2fbwPRbM9hHOEDSDHpl2MIc/edit?usp=share_link"",""นครปฐม!M285"")+IMPORTRANGE(""https://docs.google.com/spreadsheets/d/1fJJCVBkBnhriyv0Cp5ZFMr0I_yrfdEITNpb4zILJgUQ/edit?usp=share_link"",""ปทุมธานี!M285"")+IMPORTRANGE(""https://docs.googl"&amp;"e.com/spreadsheets/d/1W5Jj_S0gYw6wSO7QcMI02YgyOBDKYgmm0NSUk-AQEac/edit?usp=share_link"",""ประจวบคีรีขันธ์!M285"")+IMPORTRANGE(""https://docs.google.com/spreadsheets/d/1nYxRXgnCfTXtqUY1otYuTlnrzE0Tn-Y0YRsW5pkRVqo/edit?usp=share_link"",""ปราจีนบุรี!M285"")+"&amp;"IMPORTRANGE(""https://docs.google.com/spreadsheets/d/1nNHCLO8ZAXOMfQvxux7cf_hrzPAh8FAvaHq_ClKbZNo/edit?usp=share_link"",""พระนครศรีอยุธยา!M285"")+IMPORTRANGE(""https://docs.google.com/spreadsheets/d/1CdNicvf3i6yt4tJlCePe3V1Va76wYqW0QzMzTsaGRrA/edit?usp=sh"&amp;"are_link"",""เพชรบุรี!M285"")+IMPORTRANGE(""https://docs.google.com/spreadsheets/d/1XiF77UIVHV0Kjc6xbXuOuJ10WgJYxd4p_22ngKVV5oM/edit?usp=share_link"",""ระยอง!M285"")+IMPORTRANGE(""https://docs.google.com/spreadsheets/d/1qU-W_9MCQD1pgIVXGEOjCFo9QqlmJywueby"&amp;"GgaN92r8/edit?usp=share_link"",""ราชบุรี!M285"")+IMPORTRANGE(""https://docs.google.com/spreadsheets/d/1xYFIxIM_CspAP5Q-5Zx_V0T_Ut3cjryrjd2hss28vGk/edit?usp=share_link"",""ลพบุรี!M285"")+IMPORTRANGE(""https://docs.google.com/spreadsheets/d/11s9m3tKsCBdPWq6"&amp;"syhZm27eBGbKneDLZc75co106bio/edit?usp=share_link"",""สระแก้ว!M285"")+IMPORTRANGE(""https://docs.google.com/spreadsheets/d/1Nn1EvsFPtXldgpgVb3Rcng2K2cls68LFQsBh2FyW0Bg/edit?usp=share_link"",""สระบุรี!M285"")+IMPORTRANGE(""https://docs.google.com/spreadshee"&amp;"ts/d/149xufxukrnEciK3WPbNpHwUK8BKEJxp3UcBG3Al6dA4/edit?usp=share_link"",""สิงห์บุรี!M285"")+IMPORTRANGE(""https://docs.google.com/spreadsheets/d/132g-zJpz2uMKimp17uOIx8A7o3w1Z25zwJyXnwsB56c/edit?usp=share_link"",""สุพรรณบุรี!M285"")+IMPORTRANGE(""https://"&amp;"docs.google.com/spreadsheets/d/12Q_U0nVnFdxDFwa0pej9xvx8ZvLC9Dpi_vRro_aiG5g/edit?usp=share_link"",""อ่างทอง!M285"")
"),0)</f>
        <v>0</v>
      </c>
      <c r="N285" s="45">
        <f ca="1">IFERROR(__xludf.DUMMYFUNCTION("IMPORTRANGE(""https://docs.google.com/spreadsheets/d/1hKO5uv94SSRZWOvrh72HRcpyoEQF9TsE_Cvxl77XNU4/edit?usp=share_link"",""กาญจนบุรี!n285"")+IMPORTRANGE(""https://docs.google.com/spreadsheets/d/1njBaP_xXd-Uotvo2D9zb01TTCFkLJLDK97Tk1l9Qux0/edit?usp=share_li"&amp;"nk"",""จันทบุรี!n285"")+IMPORTRANGE(""https://docs.google.com/spreadsheets/d/14xp6qUzrGFnUk_qnc1eEmfiaNRd4_grkhpfQH_46fa8/edit?usp=share_link"",""ฉะเชิงเทรา!n285"")+IMPORTRANGE(""https://docs.google.com/spreadsheets/d/1_Zwps30dlVa-pZFsorjVf1Pil6WXwzCsJU0U"&amp;"2whO3NI/edit?usp=share_link"",""ชลบุรี!n285"")+IMPORTRANGE(""https://docs.google.com/spreadsheets/d/1xAsT4sUbBlom7l0acStESh_15nvjZcXjZM7fK5uZSq8/edit?usp=share_link"",""ชัยนาท!n285"")+IMPORTRANGE(""https://docs.google.com/spreadsheets/d/1vWPVBOAaZ6mHSI8yf"&amp;"95DNqHwTJ1cpeFsvqt6cxV34QA/edit?usp=share_link"",""ตราด!n285"")+IMPORTRANGE(""https://docs.google.com/spreadsheets/d/1phaeSb9lTGgzDpbvVqI9hfmOQQzUom07-HEvpbARzEg/edit?usp=share_link"",""นครนายก!n285"")+IMPORTRANGE(""https://docs.google.com/spreadsheets/d/"&amp;"1tpwhWwkqkBeiSWCcfB5f2fbwPRbM9hHOEDSDHpl2MIc/edit?usp=share_link"",""นครปฐม!n285"")+IMPORTRANGE(""https://docs.google.com/spreadsheets/d/1fJJCVBkBnhriyv0Cp5ZFMr0I_yrfdEITNpb4zILJgUQ/edit?usp=share_link"",""ปทุมธานี!n285"")+IMPORTRANGE(""https://docs.googl"&amp;"e.com/spreadsheets/d/1W5Jj_S0gYw6wSO7QcMI02YgyOBDKYgmm0NSUk-AQEac/edit?usp=share_link"",""ประจวบคีรีขันธ์!n285"")+IMPORTRANGE(""https://docs.google.com/spreadsheets/d/1nYxRXgnCfTXtqUY1otYuTlnrzE0Tn-Y0YRsW5pkRVqo/edit?usp=share_link"",""ปราจีนบุรี!n285"")+"&amp;"IMPORTRANGE(""https://docs.google.com/spreadsheets/d/1nNHCLO8ZAXOMfQvxux7cf_hrzPAh8FAvaHq_ClKbZNo/edit?usp=share_link"",""พระนครศรีอยุธยา!n285"")+IMPORTRANGE(""https://docs.google.com/spreadsheets/d/1CdNicvf3i6yt4tJlCePe3V1Va76wYqW0QzMzTsaGRrA/edit?usp=sh"&amp;"are_link"",""เพชรบุรี!n285"")+IMPORTRANGE(""https://docs.google.com/spreadsheets/d/1XiF77UIVHV0Kjc6xbXuOuJ10WgJYxd4p_22ngKVV5oM/edit?usp=share_link"",""ระยอง!n285"")+IMPORTRANGE(""https://docs.google.com/spreadsheets/d/1qU-W_9MCQD1pgIVXGEOjCFo9QqlmJywueby"&amp;"GgaN92r8/edit?usp=share_link"",""ราชบุรี!n285"")+IMPORTRANGE(""https://docs.google.com/spreadsheets/d/1xYFIxIM_CspAP5Q-5Zx_V0T_Ut3cjryrjd2hss28vGk/edit?usp=share_link"",""ลพบุรี!n285"")+IMPORTRANGE(""https://docs.google.com/spreadsheets/d/11s9m3tKsCBdPWq6"&amp;"syhZm27eBGbKneDLZc75co106bio/edit?usp=share_link"",""สระแก้ว!n285"")+IMPORTRANGE(""https://docs.google.com/spreadsheets/d/1Nn1EvsFPtXldgpgVb3Rcng2K2cls68LFQsBh2FyW0Bg/edit?usp=share_link"",""สระบุรี!n285"")+IMPORTRANGE(""https://docs.google.com/spreadshee"&amp;"ts/d/149xufxukrnEciK3WPbNpHwUK8BKEJxp3UcBG3Al6dA4/edit?usp=share_link"",""สิงห์บุรี!n285"")+IMPORTRANGE(""https://docs.google.com/spreadsheets/d/132g-zJpz2uMKimp17uOIx8A7o3w1Z25zwJyXnwsB56c/edit?usp=share_link"",""สุพรรณบุรี!n285"")+IMPORTRANGE(""https://"&amp;"docs.google.com/spreadsheets/d/12Q_U0nVnFdxDFwa0pej9xvx8ZvLC9Dpi_vRro_aiG5g/edit?usp=share_link"",""อ่างทอง!n285"")
"),0)</f>
        <v>0</v>
      </c>
      <c r="O285" s="45">
        <f t="shared" ca="1" si="149"/>
        <v>0</v>
      </c>
      <c r="P285" s="45">
        <f t="shared" ca="1" si="150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20.25" customHeight="1">
      <c r="A286" s="170"/>
      <c r="B286" s="171"/>
      <c r="C286" s="164" t="s">
        <v>16</v>
      </c>
      <c r="D286" s="172" t="s">
        <v>38</v>
      </c>
      <c r="E286" s="173"/>
      <c r="F286" s="173"/>
      <c r="G286" s="174"/>
      <c r="H286" s="175"/>
      <c r="I286" s="162"/>
      <c r="J286" s="162"/>
      <c r="K286" s="163"/>
      <c r="L286" s="163"/>
      <c r="M286" s="163"/>
      <c r="N286" s="163"/>
      <c r="O286" s="163"/>
      <c r="P286" s="163"/>
    </row>
    <row r="287" spans="1:26" ht="20.25" customHeight="1">
      <c r="A287" s="170"/>
      <c r="B287" s="171"/>
      <c r="C287" s="171"/>
      <c r="D287" s="409" t="s">
        <v>129</v>
      </c>
      <c r="E287" s="171"/>
      <c r="F287" s="178"/>
      <c r="G287" s="179"/>
      <c r="H287" s="185" t="s">
        <v>46</v>
      </c>
      <c r="I287" s="269">
        <f ca="1">IFERROR(__xludf.DUMMYFUNCTION("IMPORTRANGE(""https://docs.google.com/spreadsheets/d/1hKO5uv94SSRZWOvrh72HRcpyoEQF9TsE_Cvxl77XNU4/edit?usp=share_link"",""กาญจนบุรี!I287"")+IMPORTRANGE(""https://docs.google.com/spreadsheets/d/1njBaP_xXd-Uotvo2D9zb01TTCFkLJLDK97Tk1l9Qux0/edit?usp=share_li"&amp;"nk"",""จันทบุรี!I287"")+IMPORTRANGE(""https://docs.google.com/spreadsheets/d/14xp6qUzrGFnUk_qnc1eEmfiaNRd4_grkhpfQH_46fa8/edit?usp=share_link"",""ฉะเชิงเทรา!I287"")+IMPORTRANGE(""https://docs.google.com/spreadsheets/d/1_Zwps30dlVa-pZFsorjVf1Pil6WXwzCsJU0U"&amp;"2whO3NI/edit?usp=share_link"",""ชลบุรี!I287"")+IMPORTRANGE(""https://docs.google.com/spreadsheets/d/1xAsT4sUbBlom7l0acStESh_15nvjZcXjZM7fK5uZSq8/edit?usp=share_link"",""ชัยนาท!I287"")+IMPORTRANGE(""https://docs.google.com/spreadsheets/d/1vWPVBOAaZ6mHSI8yf"&amp;"95DNqHwTJ1cpeFsvqt6cxV34QA/edit?usp=share_link"",""ตราด!I287"")+IMPORTRANGE(""https://docs.google.com/spreadsheets/d/1phaeSb9lTGgzDpbvVqI9hfmOQQzUom07-HEvpbARzEg/edit?usp=share_link"",""นครนายก!I287"")+IMPORTRANGE(""https://docs.google.com/spreadsheets/d/"&amp;"1tpwhWwkqkBeiSWCcfB5f2fbwPRbM9hHOEDSDHpl2MIc/edit?usp=share_link"",""นครปฐม!I287"")+IMPORTRANGE(""https://docs.google.com/spreadsheets/d/1fJJCVBkBnhriyv0Cp5ZFMr0I_yrfdEITNpb4zILJgUQ/edit?usp=share_link"",""ปทุมธานี!I287"")+IMPORTRANGE(""https://docs.googl"&amp;"e.com/spreadsheets/d/1W5Jj_S0gYw6wSO7QcMI02YgyOBDKYgmm0NSUk-AQEac/edit?usp=share_link"",""ประจวบคีรีขันธ์!I287"")+IMPORTRANGE(""https://docs.google.com/spreadsheets/d/1nYxRXgnCfTXtqUY1otYuTlnrzE0Tn-Y0YRsW5pkRVqo/edit?usp=share_link"",""ปราจีนบุรี!I287"")+"&amp;"IMPORTRANGE(""https://docs.google.com/spreadsheets/d/1nNHCLO8ZAXOMfQvxux7cf_hrzPAh8FAvaHq_ClKbZNo/edit?usp=share_link"",""พระนครศรีอยุธยา!I287"")+IMPORTRANGE(""https://docs.google.com/spreadsheets/d/1CdNicvf3i6yt4tJlCePe3V1Va76wYqW0QzMzTsaGRrA/edit?usp=sh"&amp;"are_link"",""เพชรบุรี!I287"")+IMPORTRANGE(""https://docs.google.com/spreadsheets/d/1XiF77UIVHV0Kjc6xbXuOuJ10WgJYxd4p_22ngKVV5oM/edit?usp=share_link"",""ระยอง!I287"")+IMPORTRANGE(""https://docs.google.com/spreadsheets/d/1qU-W_9MCQD1pgIVXGEOjCFo9QqlmJywueby"&amp;"GgaN92r8/edit?usp=share_link"",""ราชบุรี!I287"")+IMPORTRANGE(""https://docs.google.com/spreadsheets/d/1xYFIxIM_CspAP5Q-5Zx_V0T_Ut3cjryrjd2hss28vGk/edit?usp=share_link"",""ลพบุรี!I287"")+IMPORTRANGE(""https://docs.google.com/spreadsheets/d/11s9m3tKsCBdPWq6"&amp;"syhZm27eBGbKneDLZc75co106bio/edit?usp=share_link"",""สระแก้ว!I287"")+IMPORTRANGE(""https://docs.google.com/spreadsheets/d/1Nn1EvsFPtXldgpgVb3Rcng2K2cls68LFQsBh2FyW0Bg/edit?usp=share_link"",""สระบุรี!I287"")+IMPORTRANGE(""https://docs.google.com/spreadshee"&amp;"ts/d/149xufxukrnEciK3WPbNpHwUK8BKEJxp3UcBG3Al6dA4/edit?usp=share_link"",""สิงห์บุรี!I287"")+IMPORTRANGE(""https://docs.google.com/spreadsheets/d/132g-zJpz2uMKimp17uOIx8A7o3w1Z25zwJyXnwsB56c/edit?usp=share_link"",""สุพรรณบุรี!I287"")+IMPORTRANGE(""https://"&amp;"docs.google.com/spreadsheets/d/12Q_U0nVnFdxDFwa0pej9xvx8ZvLC9Dpi_vRro_aiG5g/edit?usp=share_link"",""อ่างทอง!I287"")
"),1500)</f>
        <v>1500</v>
      </c>
      <c r="J287" s="183">
        <f ca="1">IFERROR(__xludf.DUMMYFUNCTION("IMPORTRANGE(""https://docs.google.com/spreadsheets/d/1hKO5uv94SSRZWOvrh72HRcpyoEQF9TsE_Cvxl77XNU4/edit?usp=share_link"",""กาญจนบุรี!J287"")+IMPORTRANGE(""https://docs.google.com/spreadsheets/d/1njBaP_xXd-Uotvo2D9zb01TTCFkLJLDK97Tk1l9Qux0/edit?usp=share_li"&amp;"nk"",""จันทบุรี!J287"")+IMPORTRANGE(""https://docs.google.com/spreadsheets/d/14xp6qUzrGFnUk_qnc1eEmfiaNRd4_grkhpfQH_46fa8/edit?usp=share_link"",""ฉะเชิงเทรา!J287"")+IMPORTRANGE(""https://docs.google.com/spreadsheets/d/1_Zwps30dlVa-pZFsorjVf1Pil6WXwzCsJU0U"&amp;"2whO3NI/edit?usp=share_link"",""ชลบุรี!J287"")+IMPORTRANGE(""https://docs.google.com/spreadsheets/d/1xAsT4sUbBlom7l0acStESh_15nvjZcXjZM7fK5uZSq8/edit?usp=share_link"",""ชัยนาท!J287"")+IMPORTRANGE(""https://docs.google.com/spreadsheets/d/1vWPVBOAaZ6mHSI8yf"&amp;"95DNqHwTJ1cpeFsvqt6cxV34QA/edit?usp=share_link"",""ตราด!J287"")+IMPORTRANGE(""https://docs.google.com/spreadsheets/d/1phaeSb9lTGgzDpbvVqI9hfmOQQzUom07-HEvpbARzEg/edit?usp=share_link"",""นครนายก!J287"")+IMPORTRANGE(""https://docs.google.com/spreadsheets/d/"&amp;"1tpwhWwkqkBeiSWCcfB5f2fbwPRbM9hHOEDSDHpl2MIc/edit?usp=share_link"",""นครปฐม!J287"")+IMPORTRANGE(""https://docs.google.com/spreadsheets/d/1fJJCVBkBnhriyv0Cp5ZFMr0I_yrfdEITNpb4zILJgUQ/edit?usp=share_link"",""ปทุมธานี!J287"")+IMPORTRANGE(""https://docs.googl"&amp;"e.com/spreadsheets/d/1W5Jj_S0gYw6wSO7QcMI02YgyOBDKYgmm0NSUk-AQEac/edit?usp=share_link"",""ประจวบคีรีขันธ์!J287"")+IMPORTRANGE(""https://docs.google.com/spreadsheets/d/1nYxRXgnCfTXtqUY1otYuTlnrzE0Tn-Y0YRsW5pkRVqo/edit?usp=share_link"",""ปราจีนบุรี!J287"")+"&amp;"IMPORTRANGE(""https://docs.google.com/spreadsheets/d/1nNHCLO8ZAXOMfQvxux7cf_hrzPAh8FAvaHq_ClKbZNo/edit?usp=share_link"",""พระนครศรีอยุธยา!J287"")+IMPORTRANGE(""https://docs.google.com/spreadsheets/d/1CdNicvf3i6yt4tJlCePe3V1Va76wYqW0QzMzTsaGRrA/edit?usp=sh"&amp;"are_link"",""เพชรบุรี!J287"")+IMPORTRANGE(""https://docs.google.com/spreadsheets/d/1XiF77UIVHV0Kjc6xbXuOuJ10WgJYxd4p_22ngKVV5oM/edit?usp=share_link"",""ระยอง!J287"")+IMPORTRANGE(""https://docs.google.com/spreadsheets/d/1qU-W_9MCQD1pgIVXGEOjCFo9QqlmJywueby"&amp;"GgaN92r8/edit?usp=share_link"",""ราชบุรี!J287"")+IMPORTRANGE(""https://docs.google.com/spreadsheets/d/1xYFIxIM_CspAP5Q-5Zx_V0T_Ut3cjryrjd2hss28vGk/edit?usp=share_link"",""ลพบุรี!J287"")+IMPORTRANGE(""https://docs.google.com/spreadsheets/d/11s9m3tKsCBdPWq6"&amp;"syhZm27eBGbKneDLZc75co106bio/edit?usp=share_link"",""สระแก้ว!J287"")+IMPORTRANGE(""https://docs.google.com/spreadsheets/d/1Nn1EvsFPtXldgpgVb3Rcng2K2cls68LFQsBh2FyW0Bg/edit?usp=share_link"",""สระบุรี!J287"")+IMPORTRANGE(""https://docs.google.com/spreadshee"&amp;"ts/d/149xufxukrnEciK3WPbNpHwUK8BKEJxp3UcBG3Al6dA4/edit?usp=share_link"",""สิงห์บุรี!J287"")+IMPORTRANGE(""https://docs.google.com/spreadsheets/d/132g-zJpz2uMKimp17uOIx8A7o3w1Z25zwJyXnwsB56c/edit?usp=share_link"",""สุพรรณบุรี!J287"")+IMPORTRANGE(""https://"&amp;"docs.google.com/spreadsheets/d/12Q_U0nVnFdxDFwa0pej9xvx8ZvLC9Dpi_vRro_aiG5g/edit?usp=share_link"",""อ่างทอง!J287"")
"),150)</f>
        <v>150</v>
      </c>
      <c r="K287" s="163">
        <f t="shared" ref="K287:K288" ca="1" si="155">IF(I287&gt;0,J287*100/I287,0)</f>
        <v>10</v>
      </c>
      <c r="L287" s="163"/>
      <c r="M287" s="163"/>
      <c r="N287" s="163"/>
      <c r="O287" s="163"/>
      <c r="P287" s="163"/>
    </row>
    <row r="288" spans="1:26" ht="20.25" customHeight="1">
      <c r="A288" s="170"/>
      <c r="B288" s="171"/>
      <c r="C288" s="171"/>
      <c r="D288" s="409" t="s">
        <v>130</v>
      </c>
      <c r="E288" s="171"/>
      <c r="F288" s="178"/>
      <c r="G288" s="179"/>
      <c r="H288" s="180" t="s">
        <v>35</v>
      </c>
      <c r="I288" s="194">
        <f ca="1">IFERROR(__xludf.DUMMYFUNCTION("IMPORTRANGE(""https://docs.google.com/spreadsheets/d/1hKO5uv94SSRZWOvrh72HRcpyoEQF9TsE_Cvxl77XNU4/edit?usp=share_link"",""กาญจนบุรี!I288"")+IMPORTRANGE(""https://docs.google.com/spreadsheets/d/1njBaP_xXd-Uotvo2D9zb01TTCFkLJLDK97Tk1l9Qux0/edit?usp=share_li"&amp;"nk"",""จันทบุรี!I288"")+IMPORTRANGE(""https://docs.google.com/spreadsheets/d/14xp6qUzrGFnUk_qnc1eEmfiaNRd4_grkhpfQH_46fa8/edit?usp=share_link"",""ฉะเชิงเทรา!I288"")+IMPORTRANGE(""https://docs.google.com/spreadsheets/d/1_Zwps30dlVa-pZFsorjVf1Pil6WXwzCsJU0U"&amp;"2whO3NI/edit?usp=share_link"",""ชลบุรี!I288"")+IMPORTRANGE(""https://docs.google.com/spreadsheets/d/1xAsT4sUbBlom7l0acStESh_15nvjZcXjZM7fK5uZSq8/edit?usp=share_link"",""ชัยนาท!I288"")+IMPORTRANGE(""https://docs.google.com/spreadsheets/d/1vWPVBOAaZ6mHSI8yf"&amp;"95DNqHwTJ1cpeFsvqt6cxV34QA/edit?usp=share_link"",""ตราด!I288"")+IMPORTRANGE(""https://docs.google.com/spreadsheets/d/1phaeSb9lTGgzDpbvVqI9hfmOQQzUom07-HEvpbARzEg/edit?usp=share_link"",""นครนายก!I288"")+IMPORTRANGE(""https://docs.google.com/spreadsheets/d/"&amp;"1tpwhWwkqkBeiSWCcfB5f2fbwPRbM9hHOEDSDHpl2MIc/edit?usp=share_link"",""นครปฐม!I288"")+IMPORTRANGE(""https://docs.google.com/spreadsheets/d/1fJJCVBkBnhriyv0Cp5ZFMr0I_yrfdEITNpb4zILJgUQ/edit?usp=share_link"",""ปทุมธานี!I288"")+IMPORTRANGE(""https://docs.googl"&amp;"e.com/spreadsheets/d/1W5Jj_S0gYw6wSO7QcMI02YgyOBDKYgmm0NSUk-AQEac/edit?usp=share_link"",""ประจวบคีรีขันธ์!I288"")+IMPORTRANGE(""https://docs.google.com/spreadsheets/d/1nYxRXgnCfTXtqUY1otYuTlnrzE0Tn-Y0YRsW5pkRVqo/edit?usp=share_link"",""ปราจีนบุรี!I288"")+"&amp;"IMPORTRANGE(""https://docs.google.com/spreadsheets/d/1nNHCLO8ZAXOMfQvxux7cf_hrzPAh8FAvaHq_ClKbZNo/edit?usp=share_link"",""พระนครศรีอยุธยา!I288"")+IMPORTRANGE(""https://docs.google.com/spreadsheets/d/1CdNicvf3i6yt4tJlCePe3V1Va76wYqW0QzMzTsaGRrA/edit?usp=sh"&amp;"are_link"",""เพชรบุรี!I288"")+IMPORTRANGE(""https://docs.google.com/spreadsheets/d/1XiF77UIVHV0Kjc6xbXuOuJ10WgJYxd4p_22ngKVV5oM/edit?usp=share_link"",""ระยอง!I288"")+IMPORTRANGE(""https://docs.google.com/spreadsheets/d/1qU-W_9MCQD1pgIVXGEOjCFo9QqlmJywueby"&amp;"GgaN92r8/edit?usp=share_link"",""ราชบุรี!I288"")+IMPORTRANGE(""https://docs.google.com/spreadsheets/d/1xYFIxIM_CspAP5Q-5Zx_V0T_Ut3cjryrjd2hss28vGk/edit?usp=share_link"",""ลพบุรี!I288"")+IMPORTRANGE(""https://docs.google.com/spreadsheets/d/11s9m3tKsCBdPWq6"&amp;"syhZm27eBGbKneDLZc75co106bio/edit?usp=share_link"",""สระแก้ว!I288"")+IMPORTRANGE(""https://docs.google.com/spreadsheets/d/1Nn1EvsFPtXldgpgVb3Rcng2K2cls68LFQsBh2FyW0Bg/edit?usp=share_link"",""สระบุรี!I288"")+IMPORTRANGE(""https://docs.google.com/spreadshee"&amp;"ts/d/149xufxukrnEciK3WPbNpHwUK8BKEJxp3UcBG3Al6dA4/edit?usp=share_link"",""สิงห์บุรี!I288"")+IMPORTRANGE(""https://docs.google.com/spreadsheets/d/132g-zJpz2uMKimp17uOIx8A7o3w1Z25zwJyXnwsB56c/edit?usp=share_link"",""สุพรรณบุรี!I288"")+IMPORTRANGE(""https://"&amp;"docs.google.com/spreadsheets/d/12Q_U0nVnFdxDFwa0pej9xvx8ZvLC9Dpi_vRro_aiG5g/edit?usp=share_link"",""อ่างทอง!I288"")
"),150)</f>
        <v>150</v>
      </c>
      <c r="J288" s="194">
        <f ca="1">IF(AND(J291&gt;=I288,J294&gt;=I288),J294,0)</f>
        <v>0</v>
      </c>
      <c r="K288" s="410">
        <f t="shared" ca="1" si="155"/>
        <v>0</v>
      </c>
      <c r="L288" s="163"/>
      <c r="M288" s="163"/>
      <c r="N288" s="163"/>
      <c r="O288" s="163"/>
      <c r="P288" s="163"/>
    </row>
    <row r="289" spans="1:26" ht="20.25" customHeight="1">
      <c r="A289" s="170"/>
      <c r="B289" s="171"/>
      <c r="C289" s="171"/>
      <c r="D289" s="411"/>
      <c r="E289" s="412" t="s">
        <v>131</v>
      </c>
      <c r="F289" s="178"/>
      <c r="G289" s="179"/>
      <c r="H289" s="182"/>
      <c r="I289" s="184"/>
      <c r="J289" s="269"/>
      <c r="K289" s="163"/>
      <c r="L289" s="163"/>
      <c r="M289" s="163"/>
      <c r="N289" s="163"/>
      <c r="O289" s="163"/>
      <c r="P289" s="163"/>
    </row>
    <row r="290" spans="1:26" ht="20.25" customHeight="1">
      <c r="A290" s="170"/>
      <c r="B290" s="171"/>
      <c r="C290" s="171"/>
      <c r="D290" s="411"/>
      <c r="E290" s="409" t="s">
        <v>132</v>
      </c>
      <c r="F290" s="178"/>
      <c r="G290" s="179"/>
      <c r="H290" s="182" t="s">
        <v>35</v>
      </c>
      <c r="I290" s="184">
        <f ca="1">IFERROR(__xludf.DUMMYFUNCTION("IMPORTRANGE(""https://docs.google.com/spreadsheets/d/1hKO5uv94SSRZWOvrh72HRcpyoEQF9TsE_Cvxl77XNU4/edit?usp=share_link"",""กาญจนบุรี!I290"")+IMPORTRANGE(""https://docs.google.com/spreadsheets/d/1njBaP_xXd-Uotvo2D9zb01TTCFkLJLDK97Tk1l9Qux0/edit?usp=share_li"&amp;"nk"",""จันทบุรี!I290"")+IMPORTRANGE(""https://docs.google.com/spreadsheets/d/14xp6qUzrGFnUk_qnc1eEmfiaNRd4_grkhpfQH_46fa8/edit?usp=share_link"",""ฉะเชิงเทรา!I290"")+IMPORTRANGE(""https://docs.google.com/spreadsheets/d/1_Zwps30dlVa-pZFsorjVf1Pil6WXwzCsJU0U"&amp;"2whO3NI/edit?usp=share_link"",""ชลบุรี!I290"")+IMPORTRANGE(""https://docs.google.com/spreadsheets/d/1xAsT4sUbBlom7l0acStESh_15nvjZcXjZM7fK5uZSq8/edit?usp=share_link"",""ชัยนาท!I290"")+IMPORTRANGE(""https://docs.google.com/spreadsheets/d/1vWPVBOAaZ6mHSI8yf"&amp;"95DNqHwTJ1cpeFsvqt6cxV34QA/edit?usp=share_link"",""ตราด!I290"")+IMPORTRANGE(""https://docs.google.com/spreadsheets/d/1phaeSb9lTGgzDpbvVqI9hfmOQQzUom07-HEvpbARzEg/edit?usp=share_link"",""นครนายก!I290"")+IMPORTRANGE(""https://docs.google.com/spreadsheets/d/"&amp;"1tpwhWwkqkBeiSWCcfB5f2fbwPRbM9hHOEDSDHpl2MIc/edit?usp=share_link"",""นครปฐม!I290"")+IMPORTRANGE(""https://docs.google.com/spreadsheets/d/1fJJCVBkBnhriyv0Cp5ZFMr0I_yrfdEITNpb4zILJgUQ/edit?usp=share_link"",""ปทุมธานี!I290"")+IMPORTRANGE(""https://docs.googl"&amp;"e.com/spreadsheets/d/1W5Jj_S0gYw6wSO7QcMI02YgyOBDKYgmm0NSUk-AQEac/edit?usp=share_link"",""ประจวบคีรีขันธ์!I290"")+IMPORTRANGE(""https://docs.google.com/spreadsheets/d/1nYxRXgnCfTXtqUY1otYuTlnrzE0Tn-Y0YRsW5pkRVqo/edit?usp=share_link"",""ปราจีนบุรี!I290"")+"&amp;"IMPORTRANGE(""https://docs.google.com/spreadsheets/d/1nNHCLO8ZAXOMfQvxux7cf_hrzPAh8FAvaHq_ClKbZNo/edit?usp=share_link"",""พระนครศรีอยุธยา!I290"")+IMPORTRANGE(""https://docs.google.com/spreadsheets/d/1CdNicvf3i6yt4tJlCePe3V1Va76wYqW0QzMzTsaGRrA/edit?usp=sh"&amp;"are_link"",""เพชรบุรี!I290"")+IMPORTRANGE(""https://docs.google.com/spreadsheets/d/1XiF77UIVHV0Kjc6xbXuOuJ10WgJYxd4p_22ngKVV5oM/edit?usp=share_link"",""ระยอง!I290"")+IMPORTRANGE(""https://docs.google.com/spreadsheets/d/1qU-W_9MCQD1pgIVXGEOjCFo9QqlmJywueby"&amp;"GgaN92r8/edit?usp=share_link"",""ราชบุรี!I290"")+IMPORTRANGE(""https://docs.google.com/spreadsheets/d/1xYFIxIM_CspAP5Q-5Zx_V0T_Ut3cjryrjd2hss28vGk/edit?usp=share_link"",""ลพบุรี!I290"")+IMPORTRANGE(""https://docs.google.com/spreadsheets/d/11s9m3tKsCBdPWq6"&amp;"syhZm27eBGbKneDLZc75co106bio/edit?usp=share_link"",""สระแก้ว!I290"")+IMPORTRANGE(""https://docs.google.com/spreadsheets/d/1Nn1EvsFPtXldgpgVb3Rcng2K2cls68LFQsBh2FyW0Bg/edit?usp=share_link"",""สระบุรี!I290"")+IMPORTRANGE(""https://docs.google.com/spreadshee"&amp;"ts/d/149xufxukrnEciK3WPbNpHwUK8BKEJxp3UcBG3Al6dA4/edit?usp=share_link"",""สิงห์บุรี!I290"")+IMPORTRANGE(""https://docs.google.com/spreadsheets/d/132g-zJpz2uMKimp17uOIx8A7o3w1Z25zwJyXnwsB56c/edit?usp=share_link"",""สุพรรณบุรี!I290"")+IMPORTRANGE(""https://"&amp;"docs.google.com/spreadsheets/d/12Q_U0nVnFdxDFwa0pej9xvx8ZvLC9Dpi_vRro_aiG5g/edit?usp=share_link"",""อ่างทอง!I290"")
"),150)</f>
        <v>150</v>
      </c>
      <c r="J290" s="183">
        <f ca="1">IFERROR(__xludf.DUMMYFUNCTION("IMPORTRANGE(""https://docs.google.com/spreadsheets/d/1hKO5uv94SSRZWOvrh72HRcpyoEQF9TsE_Cvxl77XNU4/edit?usp=share_link"",""กาญจนบุรี!J290"")+IMPORTRANGE(""https://docs.google.com/spreadsheets/d/1njBaP_xXd-Uotvo2D9zb01TTCFkLJLDK97Tk1l9Qux0/edit?usp=share_li"&amp;"nk"",""จันทบุรี!J290"")+IMPORTRANGE(""https://docs.google.com/spreadsheets/d/14xp6qUzrGFnUk_qnc1eEmfiaNRd4_grkhpfQH_46fa8/edit?usp=share_link"",""ฉะเชิงเทรา!J290"")+IMPORTRANGE(""https://docs.google.com/spreadsheets/d/1_Zwps30dlVa-pZFsorjVf1Pil6WXwzCsJU0U"&amp;"2whO3NI/edit?usp=share_link"",""ชลบุรี!J290"")+IMPORTRANGE(""https://docs.google.com/spreadsheets/d/1xAsT4sUbBlom7l0acStESh_15nvjZcXjZM7fK5uZSq8/edit?usp=share_link"",""ชัยนาท!J290"")+IMPORTRANGE(""https://docs.google.com/spreadsheets/d/1vWPVBOAaZ6mHSI8yf"&amp;"95DNqHwTJ1cpeFsvqt6cxV34QA/edit?usp=share_link"",""ตราด!J290"")+IMPORTRANGE(""https://docs.google.com/spreadsheets/d/1phaeSb9lTGgzDpbvVqI9hfmOQQzUom07-HEvpbARzEg/edit?usp=share_link"",""นครนายก!J290"")+IMPORTRANGE(""https://docs.google.com/spreadsheets/d/"&amp;"1tpwhWwkqkBeiSWCcfB5f2fbwPRbM9hHOEDSDHpl2MIc/edit?usp=share_link"",""นครปฐม!J290"")+IMPORTRANGE(""https://docs.google.com/spreadsheets/d/1fJJCVBkBnhriyv0Cp5ZFMr0I_yrfdEITNpb4zILJgUQ/edit?usp=share_link"",""ปทุมธานี!J290"")+IMPORTRANGE(""https://docs.googl"&amp;"e.com/spreadsheets/d/1W5Jj_S0gYw6wSO7QcMI02YgyOBDKYgmm0NSUk-AQEac/edit?usp=share_link"",""ประจวบคีรีขันธ์!J290"")+IMPORTRANGE(""https://docs.google.com/spreadsheets/d/1nYxRXgnCfTXtqUY1otYuTlnrzE0Tn-Y0YRsW5pkRVqo/edit?usp=share_link"",""ปราจีนบุรี!J290"")+"&amp;"IMPORTRANGE(""https://docs.google.com/spreadsheets/d/1nNHCLO8ZAXOMfQvxux7cf_hrzPAh8FAvaHq_ClKbZNo/edit?usp=share_link"",""พระนครศรีอยุธยา!J290"")+IMPORTRANGE(""https://docs.google.com/spreadsheets/d/1CdNicvf3i6yt4tJlCePe3V1Va76wYqW0QzMzTsaGRrA/edit?usp=sh"&amp;"are_link"",""เพชรบุรี!J290"")+IMPORTRANGE(""https://docs.google.com/spreadsheets/d/1XiF77UIVHV0Kjc6xbXuOuJ10WgJYxd4p_22ngKVV5oM/edit?usp=share_link"",""ระยอง!J290"")+IMPORTRANGE(""https://docs.google.com/spreadsheets/d/1qU-W_9MCQD1pgIVXGEOjCFo9QqlmJywueby"&amp;"GgaN92r8/edit?usp=share_link"",""ราชบุรี!J290"")+IMPORTRANGE(""https://docs.google.com/spreadsheets/d/1xYFIxIM_CspAP5Q-5Zx_V0T_Ut3cjryrjd2hss28vGk/edit?usp=share_link"",""ลพบุรี!J290"")+IMPORTRANGE(""https://docs.google.com/spreadsheets/d/11s9m3tKsCBdPWq6"&amp;"syhZm27eBGbKneDLZc75co106bio/edit?usp=share_link"",""สระแก้ว!J290"")+IMPORTRANGE(""https://docs.google.com/spreadsheets/d/1Nn1EvsFPtXldgpgVb3Rcng2K2cls68LFQsBh2FyW0Bg/edit?usp=share_link"",""สระบุรี!J290"")+IMPORTRANGE(""https://docs.google.com/spreadshee"&amp;"ts/d/149xufxukrnEciK3WPbNpHwUK8BKEJxp3UcBG3Al6dA4/edit?usp=share_link"",""สิงห์บุรี!J290"")+IMPORTRANGE(""https://docs.google.com/spreadsheets/d/132g-zJpz2uMKimp17uOIx8A7o3w1Z25zwJyXnwsB56c/edit?usp=share_link"",""สุพรรณบุรี!J290"")+IMPORTRANGE(""https://"&amp;"docs.google.com/spreadsheets/d/12Q_U0nVnFdxDFwa0pej9xvx8ZvLC9Dpi_vRro_aiG5g/edit?usp=share_link"",""อ่างทอง!J290"")
"),45)</f>
        <v>45</v>
      </c>
      <c r="K290" s="163">
        <f t="shared" ref="K290:K291" ca="1" si="156">IF(I290&gt;0,J290*100/I290,0)</f>
        <v>30</v>
      </c>
      <c r="L290" s="163"/>
      <c r="M290" s="163"/>
      <c r="N290" s="163"/>
      <c r="O290" s="163"/>
      <c r="P290" s="163"/>
    </row>
    <row r="291" spans="1:26" ht="20.25" customHeight="1">
      <c r="A291" s="170"/>
      <c r="B291" s="171"/>
      <c r="C291" s="171"/>
      <c r="D291" s="178"/>
      <c r="E291" s="409" t="s">
        <v>133</v>
      </c>
      <c r="F291" s="178"/>
      <c r="G291" s="179"/>
      <c r="H291" s="182" t="s">
        <v>35</v>
      </c>
      <c r="I291" s="184">
        <f ca="1">IFERROR(__xludf.DUMMYFUNCTION("IMPORTRANGE(""https://docs.google.com/spreadsheets/d/1hKO5uv94SSRZWOvrh72HRcpyoEQF9TsE_Cvxl77XNU4/edit?usp=share_link"",""กาญจนบุรี!I291"")+IMPORTRANGE(""https://docs.google.com/spreadsheets/d/1njBaP_xXd-Uotvo2D9zb01TTCFkLJLDK97Tk1l9Qux0/edit?usp=share_li"&amp;"nk"",""จันทบุรี!I291"")+IMPORTRANGE(""https://docs.google.com/spreadsheets/d/14xp6qUzrGFnUk_qnc1eEmfiaNRd4_grkhpfQH_46fa8/edit?usp=share_link"",""ฉะเชิงเทรา!I291"")+IMPORTRANGE(""https://docs.google.com/spreadsheets/d/1_Zwps30dlVa-pZFsorjVf1Pil6WXwzCsJU0U"&amp;"2whO3NI/edit?usp=share_link"",""ชลบุรี!I291"")+IMPORTRANGE(""https://docs.google.com/spreadsheets/d/1xAsT4sUbBlom7l0acStESh_15nvjZcXjZM7fK5uZSq8/edit?usp=share_link"",""ชัยนาท!I291"")+IMPORTRANGE(""https://docs.google.com/spreadsheets/d/1vWPVBOAaZ6mHSI8yf"&amp;"95DNqHwTJ1cpeFsvqt6cxV34QA/edit?usp=share_link"",""ตราด!I291"")+IMPORTRANGE(""https://docs.google.com/spreadsheets/d/1phaeSb9lTGgzDpbvVqI9hfmOQQzUom07-HEvpbARzEg/edit?usp=share_link"",""นครนายก!I291"")+IMPORTRANGE(""https://docs.google.com/spreadsheets/d/"&amp;"1tpwhWwkqkBeiSWCcfB5f2fbwPRbM9hHOEDSDHpl2MIc/edit?usp=share_link"",""นครปฐม!I291"")+IMPORTRANGE(""https://docs.google.com/spreadsheets/d/1fJJCVBkBnhriyv0Cp5ZFMr0I_yrfdEITNpb4zILJgUQ/edit?usp=share_link"",""ปทุมธานี!I291"")+IMPORTRANGE(""https://docs.googl"&amp;"e.com/spreadsheets/d/1W5Jj_S0gYw6wSO7QcMI02YgyOBDKYgmm0NSUk-AQEac/edit?usp=share_link"",""ประจวบคีรีขันธ์!I291"")+IMPORTRANGE(""https://docs.google.com/spreadsheets/d/1nYxRXgnCfTXtqUY1otYuTlnrzE0Tn-Y0YRsW5pkRVqo/edit?usp=share_link"",""ปราจีนบุรี!I291"")+"&amp;"IMPORTRANGE(""https://docs.google.com/spreadsheets/d/1nNHCLO8ZAXOMfQvxux7cf_hrzPAh8FAvaHq_ClKbZNo/edit?usp=share_link"",""พระนครศรีอยุธยา!I291"")+IMPORTRANGE(""https://docs.google.com/spreadsheets/d/1CdNicvf3i6yt4tJlCePe3V1Va76wYqW0QzMzTsaGRrA/edit?usp=sh"&amp;"are_link"",""เพชรบุรี!I291"")+IMPORTRANGE(""https://docs.google.com/spreadsheets/d/1XiF77UIVHV0Kjc6xbXuOuJ10WgJYxd4p_22ngKVV5oM/edit?usp=share_link"",""ระยอง!I291"")+IMPORTRANGE(""https://docs.google.com/spreadsheets/d/1qU-W_9MCQD1pgIVXGEOjCFo9QqlmJywueby"&amp;"GgaN92r8/edit?usp=share_link"",""ราชบุรี!I291"")+IMPORTRANGE(""https://docs.google.com/spreadsheets/d/1xYFIxIM_CspAP5Q-5Zx_V0T_Ut3cjryrjd2hss28vGk/edit?usp=share_link"",""ลพบุรี!I291"")+IMPORTRANGE(""https://docs.google.com/spreadsheets/d/11s9m3tKsCBdPWq6"&amp;"syhZm27eBGbKneDLZc75co106bio/edit?usp=share_link"",""สระแก้ว!I291"")+IMPORTRANGE(""https://docs.google.com/spreadsheets/d/1Nn1EvsFPtXldgpgVb3Rcng2K2cls68LFQsBh2FyW0Bg/edit?usp=share_link"",""สระบุรี!I291"")+IMPORTRANGE(""https://docs.google.com/spreadshee"&amp;"ts/d/149xufxukrnEciK3WPbNpHwUK8BKEJxp3UcBG3Al6dA4/edit?usp=share_link"",""สิงห์บุรี!I291"")+IMPORTRANGE(""https://docs.google.com/spreadsheets/d/132g-zJpz2uMKimp17uOIx8A7o3w1Z25zwJyXnwsB56c/edit?usp=share_link"",""สุพรรณบุรี!I291"")+IMPORTRANGE(""https://"&amp;"docs.google.com/spreadsheets/d/12Q_U0nVnFdxDFwa0pej9xvx8ZvLC9Dpi_vRro_aiG5g/edit?usp=share_link"",""อ่างทอง!I291"")
"),150)</f>
        <v>150</v>
      </c>
      <c r="J291" s="183">
        <f ca="1">IFERROR(__xludf.DUMMYFUNCTION("IMPORTRANGE(""https://docs.google.com/spreadsheets/d/1hKO5uv94SSRZWOvrh72HRcpyoEQF9TsE_Cvxl77XNU4/edit?usp=share_link"",""กาญจนบุรี!J291"")+IMPORTRANGE(""https://docs.google.com/spreadsheets/d/1njBaP_xXd-Uotvo2D9zb01TTCFkLJLDK97Tk1l9Qux0/edit?usp=share_li"&amp;"nk"",""จันทบุรี!J291"")+IMPORTRANGE(""https://docs.google.com/spreadsheets/d/14xp6qUzrGFnUk_qnc1eEmfiaNRd4_grkhpfQH_46fa8/edit?usp=share_link"",""ฉะเชิงเทรา!J291"")+IMPORTRANGE(""https://docs.google.com/spreadsheets/d/1_Zwps30dlVa-pZFsorjVf1Pil6WXwzCsJU0U"&amp;"2whO3NI/edit?usp=share_link"",""ชลบุรี!J291"")+IMPORTRANGE(""https://docs.google.com/spreadsheets/d/1xAsT4sUbBlom7l0acStESh_15nvjZcXjZM7fK5uZSq8/edit?usp=share_link"",""ชัยนาท!J291"")+IMPORTRANGE(""https://docs.google.com/spreadsheets/d/1vWPVBOAaZ6mHSI8yf"&amp;"95DNqHwTJ1cpeFsvqt6cxV34QA/edit?usp=share_link"",""ตราด!J291"")+IMPORTRANGE(""https://docs.google.com/spreadsheets/d/1phaeSb9lTGgzDpbvVqI9hfmOQQzUom07-HEvpbARzEg/edit?usp=share_link"",""นครนายก!J291"")+IMPORTRANGE(""https://docs.google.com/spreadsheets/d/"&amp;"1tpwhWwkqkBeiSWCcfB5f2fbwPRbM9hHOEDSDHpl2MIc/edit?usp=share_link"",""นครปฐม!J291"")+IMPORTRANGE(""https://docs.google.com/spreadsheets/d/1fJJCVBkBnhriyv0Cp5ZFMr0I_yrfdEITNpb4zILJgUQ/edit?usp=share_link"",""ปทุมธานี!J291"")+IMPORTRANGE(""https://docs.googl"&amp;"e.com/spreadsheets/d/1W5Jj_S0gYw6wSO7QcMI02YgyOBDKYgmm0NSUk-AQEac/edit?usp=share_link"",""ประจวบคีรีขันธ์!J291"")+IMPORTRANGE(""https://docs.google.com/spreadsheets/d/1nYxRXgnCfTXtqUY1otYuTlnrzE0Tn-Y0YRsW5pkRVqo/edit?usp=share_link"",""ปราจีนบุรี!J291"")+"&amp;"IMPORTRANGE(""https://docs.google.com/spreadsheets/d/1nNHCLO8ZAXOMfQvxux7cf_hrzPAh8FAvaHq_ClKbZNo/edit?usp=share_link"",""พระนครศรีอยุธยา!J291"")+IMPORTRANGE(""https://docs.google.com/spreadsheets/d/1CdNicvf3i6yt4tJlCePe3V1Va76wYqW0QzMzTsaGRrA/edit?usp=sh"&amp;"are_link"",""เพชรบุรี!J291"")+IMPORTRANGE(""https://docs.google.com/spreadsheets/d/1XiF77UIVHV0Kjc6xbXuOuJ10WgJYxd4p_22ngKVV5oM/edit?usp=share_link"",""ระยอง!J291"")+IMPORTRANGE(""https://docs.google.com/spreadsheets/d/1qU-W_9MCQD1pgIVXGEOjCFo9QqlmJywueby"&amp;"GgaN92r8/edit?usp=share_link"",""ราชบุรี!J291"")+IMPORTRANGE(""https://docs.google.com/spreadsheets/d/1xYFIxIM_CspAP5Q-5Zx_V0T_Ut3cjryrjd2hss28vGk/edit?usp=share_link"",""ลพบุรี!J291"")+IMPORTRANGE(""https://docs.google.com/spreadsheets/d/11s9m3tKsCBdPWq6"&amp;"syhZm27eBGbKneDLZc75co106bio/edit?usp=share_link"",""สระแก้ว!J291"")+IMPORTRANGE(""https://docs.google.com/spreadsheets/d/1Nn1EvsFPtXldgpgVb3Rcng2K2cls68LFQsBh2FyW0Bg/edit?usp=share_link"",""สระบุรี!J291"")+IMPORTRANGE(""https://docs.google.com/spreadshee"&amp;"ts/d/149xufxukrnEciK3WPbNpHwUK8BKEJxp3UcBG3Al6dA4/edit?usp=share_link"",""สิงห์บุรี!J291"")+IMPORTRANGE(""https://docs.google.com/spreadsheets/d/132g-zJpz2uMKimp17uOIx8A7o3w1Z25zwJyXnwsB56c/edit?usp=share_link"",""สุพรรณบุรี!J291"")+IMPORTRANGE(""https://"&amp;"docs.google.com/spreadsheets/d/12Q_U0nVnFdxDFwa0pej9xvx8ZvLC9Dpi_vRro_aiG5g/edit?usp=share_link"",""อ่างทอง!J291"")
"),45)</f>
        <v>45</v>
      </c>
      <c r="K291" s="163">
        <f t="shared" ca="1" si="156"/>
        <v>30</v>
      </c>
      <c r="L291" s="163"/>
      <c r="M291" s="163"/>
      <c r="N291" s="163"/>
      <c r="O291" s="163"/>
      <c r="P291" s="163"/>
    </row>
    <row r="292" spans="1:26" ht="20.25" customHeight="1">
      <c r="A292" s="413"/>
      <c r="B292" s="414"/>
      <c r="C292" s="414"/>
      <c r="D292" s="415"/>
      <c r="E292" s="416" t="s">
        <v>134</v>
      </c>
      <c r="F292" s="287"/>
      <c r="G292" s="288"/>
      <c r="H292" s="417"/>
      <c r="I292" s="418"/>
      <c r="J292" s="419"/>
      <c r="K292" s="279"/>
      <c r="L292" s="279"/>
      <c r="M292" s="279"/>
      <c r="N292" s="279"/>
      <c r="O292" s="279"/>
      <c r="P292" s="279"/>
    </row>
    <row r="293" spans="1:26" ht="20.25" customHeight="1">
      <c r="A293" s="170"/>
      <c r="B293" s="171"/>
      <c r="C293" s="171"/>
      <c r="D293" s="411"/>
      <c r="E293" s="409" t="s">
        <v>135</v>
      </c>
      <c r="F293" s="178"/>
      <c r="G293" s="179"/>
      <c r="H293" s="182" t="s">
        <v>35</v>
      </c>
      <c r="I293" s="184">
        <f ca="1">IFERROR(__xludf.DUMMYFUNCTION("IMPORTRANGE(""https://docs.google.com/spreadsheets/d/1hKO5uv94SSRZWOvrh72HRcpyoEQF9TsE_Cvxl77XNU4/edit?usp=share_link"",""กาญจนบุรี!I293"")+IMPORTRANGE(""https://docs.google.com/spreadsheets/d/1njBaP_xXd-Uotvo2D9zb01TTCFkLJLDK97Tk1l9Qux0/edit?usp=share_li"&amp;"nk"",""จันทบุรี!I293"")+IMPORTRANGE(""https://docs.google.com/spreadsheets/d/14xp6qUzrGFnUk_qnc1eEmfiaNRd4_grkhpfQH_46fa8/edit?usp=share_link"",""ฉะเชิงเทรา!I293"")+IMPORTRANGE(""https://docs.google.com/spreadsheets/d/1_Zwps30dlVa-pZFsorjVf1Pil6WXwzCsJU0U"&amp;"2whO3NI/edit?usp=share_link"",""ชลบุรี!I293"")+IMPORTRANGE(""https://docs.google.com/spreadsheets/d/1xAsT4sUbBlom7l0acStESh_15nvjZcXjZM7fK5uZSq8/edit?usp=share_link"",""ชัยนาท!I293"")+IMPORTRANGE(""https://docs.google.com/spreadsheets/d/1vWPVBOAaZ6mHSI8yf"&amp;"95DNqHwTJ1cpeFsvqt6cxV34QA/edit?usp=share_link"",""ตราด!I293"")+IMPORTRANGE(""https://docs.google.com/spreadsheets/d/1phaeSb9lTGgzDpbvVqI9hfmOQQzUom07-HEvpbARzEg/edit?usp=share_link"",""นครนายก!I293"")+IMPORTRANGE(""https://docs.google.com/spreadsheets/d/"&amp;"1tpwhWwkqkBeiSWCcfB5f2fbwPRbM9hHOEDSDHpl2MIc/edit?usp=share_link"",""นครปฐม!I293"")+IMPORTRANGE(""https://docs.google.com/spreadsheets/d/1fJJCVBkBnhriyv0Cp5ZFMr0I_yrfdEITNpb4zILJgUQ/edit?usp=share_link"",""ปทุมธานี!I293"")+IMPORTRANGE(""https://docs.googl"&amp;"e.com/spreadsheets/d/1W5Jj_S0gYw6wSO7QcMI02YgyOBDKYgmm0NSUk-AQEac/edit?usp=share_link"",""ประจวบคีรีขันธ์!I293"")+IMPORTRANGE(""https://docs.google.com/spreadsheets/d/1nYxRXgnCfTXtqUY1otYuTlnrzE0Tn-Y0YRsW5pkRVqo/edit?usp=share_link"",""ปราจีนบุรี!I293"")+"&amp;"IMPORTRANGE(""https://docs.google.com/spreadsheets/d/1nNHCLO8ZAXOMfQvxux7cf_hrzPAh8FAvaHq_ClKbZNo/edit?usp=share_link"",""พระนครศรีอยุธยา!I293"")+IMPORTRANGE(""https://docs.google.com/spreadsheets/d/1CdNicvf3i6yt4tJlCePe3V1Va76wYqW0QzMzTsaGRrA/edit?usp=sh"&amp;"are_link"",""เพชรบุรี!I293"")+IMPORTRANGE(""https://docs.google.com/spreadsheets/d/1XiF77UIVHV0Kjc6xbXuOuJ10WgJYxd4p_22ngKVV5oM/edit?usp=share_link"",""ระยอง!I293"")+IMPORTRANGE(""https://docs.google.com/spreadsheets/d/1qU-W_9MCQD1pgIVXGEOjCFo9QqlmJywueby"&amp;"GgaN92r8/edit?usp=share_link"",""ราชบุรี!I293"")+IMPORTRANGE(""https://docs.google.com/spreadsheets/d/1xYFIxIM_CspAP5Q-5Zx_V0T_Ut3cjryrjd2hss28vGk/edit?usp=share_link"",""ลพบุรี!I293"")+IMPORTRANGE(""https://docs.google.com/spreadsheets/d/11s9m3tKsCBdPWq6"&amp;"syhZm27eBGbKneDLZc75co106bio/edit?usp=share_link"",""สระแก้ว!I293"")+IMPORTRANGE(""https://docs.google.com/spreadsheets/d/1Nn1EvsFPtXldgpgVb3Rcng2K2cls68LFQsBh2FyW0Bg/edit?usp=share_link"",""สระบุรี!I293"")+IMPORTRANGE(""https://docs.google.com/spreadshee"&amp;"ts/d/149xufxukrnEciK3WPbNpHwUK8BKEJxp3UcBG3Al6dA4/edit?usp=share_link"",""สิงห์บุรี!I293"")+IMPORTRANGE(""https://docs.google.com/spreadsheets/d/132g-zJpz2uMKimp17uOIx8A7o3w1Z25zwJyXnwsB56c/edit?usp=share_link"",""สุพรรณบุรี!I293"")+IMPORTRANGE(""https://"&amp;"docs.google.com/spreadsheets/d/12Q_U0nVnFdxDFwa0pej9xvx8ZvLC9Dpi_vRro_aiG5g/edit?usp=share_link"",""อ่างทอง!I293"")
"),150)</f>
        <v>150</v>
      </c>
      <c r="J293" s="183">
        <f ca="1">IFERROR(__xludf.DUMMYFUNCTION("IMPORTRANGE(""https://docs.google.com/spreadsheets/d/1hKO5uv94SSRZWOvrh72HRcpyoEQF9TsE_Cvxl77XNU4/edit?usp=share_link"",""กาญจนบุรี!J293"")+IMPORTRANGE(""https://docs.google.com/spreadsheets/d/1njBaP_xXd-Uotvo2D9zb01TTCFkLJLDK97Tk1l9Qux0/edit?usp=share_li"&amp;"nk"",""จันทบุรี!J293"")+IMPORTRANGE(""https://docs.google.com/spreadsheets/d/14xp6qUzrGFnUk_qnc1eEmfiaNRd4_grkhpfQH_46fa8/edit?usp=share_link"",""ฉะเชิงเทรา!J293"")+IMPORTRANGE(""https://docs.google.com/spreadsheets/d/1_Zwps30dlVa-pZFsorjVf1Pil6WXwzCsJU0U"&amp;"2whO3NI/edit?usp=share_link"",""ชลบุรี!J293"")+IMPORTRANGE(""https://docs.google.com/spreadsheets/d/1xAsT4sUbBlom7l0acStESh_15nvjZcXjZM7fK5uZSq8/edit?usp=share_link"",""ชัยนาท!J293"")+IMPORTRANGE(""https://docs.google.com/spreadsheets/d/1vWPVBOAaZ6mHSI8yf"&amp;"95DNqHwTJ1cpeFsvqt6cxV34QA/edit?usp=share_link"",""ตราด!J293"")+IMPORTRANGE(""https://docs.google.com/spreadsheets/d/1phaeSb9lTGgzDpbvVqI9hfmOQQzUom07-HEvpbARzEg/edit?usp=share_link"",""นครนายก!J293"")+IMPORTRANGE(""https://docs.google.com/spreadsheets/d/"&amp;"1tpwhWwkqkBeiSWCcfB5f2fbwPRbM9hHOEDSDHpl2MIc/edit?usp=share_link"",""นครปฐม!J293"")+IMPORTRANGE(""https://docs.google.com/spreadsheets/d/1fJJCVBkBnhriyv0Cp5ZFMr0I_yrfdEITNpb4zILJgUQ/edit?usp=share_link"",""ปทุมธานี!J293"")+IMPORTRANGE(""https://docs.googl"&amp;"e.com/spreadsheets/d/1W5Jj_S0gYw6wSO7QcMI02YgyOBDKYgmm0NSUk-AQEac/edit?usp=share_link"",""ประจวบคีรีขันธ์!J293"")+IMPORTRANGE(""https://docs.google.com/spreadsheets/d/1nYxRXgnCfTXtqUY1otYuTlnrzE0Tn-Y0YRsW5pkRVqo/edit?usp=share_link"",""ปราจีนบุรี!J293"")+"&amp;"IMPORTRANGE(""https://docs.google.com/spreadsheets/d/1nNHCLO8ZAXOMfQvxux7cf_hrzPAh8FAvaHq_ClKbZNo/edit?usp=share_link"",""พระนครศรีอยุธยา!J293"")+IMPORTRANGE(""https://docs.google.com/spreadsheets/d/1CdNicvf3i6yt4tJlCePe3V1Va76wYqW0QzMzTsaGRrA/edit?usp=sh"&amp;"are_link"",""เพชรบุรี!J293"")+IMPORTRANGE(""https://docs.google.com/spreadsheets/d/1XiF77UIVHV0Kjc6xbXuOuJ10WgJYxd4p_22ngKVV5oM/edit?usp=share_link"",""ระยอง!J293"")+IMPORTRANGE(""https://docs.google.com/spreadsheets/d/1qU-W_9MCQD1pgIVXGEOjCFo9QqlmJywueby"&amp;"GgaN92r8/edit?usp=share_link"",""ราชบุรี!J293"")+IMPORTRANGE(""https://docs.google.com/spreadsheets/d/1xYFIxIM_CspAP5Q-5Zx_V0T_Ut3cjryrjd2hss28vGk/edit?usp=share_link"",""ลพบุรี!J293"")+IMPORTRANGE(""https://docs.google.com/spreadsheets/d/11s9m3tKsCBdPWq6"&amp;"syhZm27eBGbKneDLZc75co106bio/edit?usp=share_link"",""สระแก้ว!J293"")+IMPORTRANGE(""https://docs.google.com/spreadsheets/d/1Nn1EvsFPtXldgpgVb3Rcng2K2cls68LFQsBh2FyW0Bg/edit?usp=share_link"",""สระบุรี!J293"")+IMPORTRANGE(""https://docs.google.com/spreadshee"&amp;"ts/d/149xufxukrnEciK3WPbNpHwUK8BKEJxp3UcBG3Al6dA4/edit?usp=share_link"",""สิงห์บุรี!J293"")+IMPORTRANGE(""https://docs.google.com/spreadsheets/d/132g-zJpz2uMKimp17uOIx8A7o3w1Z25zwJyXnwsB56c/edit?usp=share_link"",""สุพรรณบุรี!J293"")+IMPORTRANGE(""https://"&amp;"docs.google.com/spreadsheets/d/12Q_U0nVnFdxDFwa0pej9xvx8ZvLC9Dpi_vRro_aiG5g/edit?usp=share_link"",""อ่างทอง!J293"")
"),0)</f>
        <v>0</v>
      </c>
      <c r="K293" s="163">
        <f t="shared" ref="K293:K294" ca="1" si="157">IF(I293&gt;0,J293*100/I293,0)</f>
        <v>0</v>
      </c>
      <c r="L293" s="163"/>
      <c r="M293" s="163"/>
      <c r="N293" s="163"/>
      <c r="O293" s="163"/>
      <c r="P293" s="163"/>
    </row>
    <row r="294" spans="1:26" ht="20.25" customHeight="1">
      <c r="A294" s="377"/>
      <c r="B294" s="378"/>
      <c r="C294" s="378"/>
      <c r="D294" s="380"/>
      <c r="E294" s="420" t="s">
        <v>136</v>
      </c>
      <c r="F294" s="380"/>
      <c r="G294" s="381"/>
      <c r="H294" s="421" t="s">
        <v>35</v>
      </c>
      <c r="I294" s="422">
        <f ca="1">IFERROR(__xludf.DUMMYFUNCTION("IMPORTRANGE(""https://docs.google.com/spreadsheets/d/1hKO5uv94SSRZWOvrh72HRcpyoEQF9TsE_Cvxl77XNU4/edit?usp=share_link"",""กาญจนบุรี!I294"")+IMPORTRANGE(""https://docs.google.com/spreadsheets/d/1njBaP_xXd-Uotvo2D9zb01TTCFkLJLDK97Tk1l9Qux0/edit?usp=share_li"&amp;"nk"",""จันทบุรี!I294"")+IMPORTRANGE(""https://docs.google.com/spreadsheets/d/14xp6qUzrGFnUk_qnc1eEmfiaNRd4_grkhpfQH_46fa8/edit?usp=share_link"",""ฉะเชิงเทรา!I294"")+IMPORTRANGE(""https://docs.google.com/spreadsheets/d/1_Zwps30dlVa-pZFsorjVf1Pil6WXwzCsJU0U"&amp;"2whO3NI/edit?usp=share_link"",""ชลบุรี!I294"")+IMPORTRANGE(""https://docs.google.com/spreadsheets/d/1xAsT4sUbBlom7l0acStESh_15nvjZcXjZM7fK5uZSq8/edit?usp=share_link"",""ชัยนาท!I294"")+IMPORTRANGE(""https://docs.google.com/spreadsheets/d/1vWPVBOAaZ6mHSI8yf"&amp;"95DNqHwTJ1cpeFsvqt6cxV34QA/edit?usp=share_link"",""ตราด!I294"")+IMPORTRANGE(""https://docs.google.com/spreadsheets/d/1phaeSb9lTGgzDpbvVqI9hfmOQQzUom07-HEvpbARzEg/edit?usp=share_link"",""นครนายก!I294"")+IMPORTRANGE(""https://docs.google.com/spreadsheets/d/"&amp;"1tpwhWwkqkBeiSWCcfB5f2fbwPRbM9hHOEDSDHpl2MIc/edit?usp=share_link"",""นครปฐม!I294"")+IMPORTRANGE(""https://docs.google.com/spreadsheets/d/1fJJCVBkBnhriyv0Cp5ZFMr0I_yrfdEITNpb4zILJgUQ/edit?usp=share_link"",""ปทุมธานี!I294"")+IMPORTRANGE(""https://docs.googl"&amp;"e.com/spreadsheets/d/1W5Jj_S0gYw6wSO7QcMI02YgyOBDKYgmm0NSUk-AQEac/edit?usp=share_link"",""ประจวบคีรีขันธ์!I294"")+IMPORTRANGE(""https://docs.google.com/spreadsheets/d/1nYxRXgnCfTXtqUY1otYuTlnrzE0Tn-Y0YRsW5pkRVqo/edit?usp=share_link"",""ปราจีนบุรี!I294"")+"&amp;"IMPORTRANGE(""https://docs.google.com/spreadsheets/d/1nNHCLO8ZAXOMfQvxux7cf_hrzPAh8FAvaHq_ClKbZNo/edit?usp=share_link"",""พระนครศรีอยุธยา!I294"")+IMPORTRANGE(""https://docs.google.com/spreadsheets/d/1CdNicvf3i6yt4tJlCePe3V1Va76wYqW0QzMzTsaGRrA/edit?usp=sh"&amp;"are_link"",""เพชรบุรี!I294"")+IMPORTRANGE(""https://docs.google.com/spreadsheets/d/1XiF77UIVHV0Kjc6xbXuOuJ10WgJYxd4p_22ngKVV5oM/edit?usp=share_link"",""ระยอง!I294"")+IMPORTRANGE(""https://docs.google.com/spreadsheets/d/1qU-W_9MCQD1pgIVXGEOjCFo9QqlmJywueby"&amp;"GgaN92r8/edit?usp=share_link"",""ราชบุรี!I294"")+IMPORTRANGE(""https://docs.google.com/spreadsheets/d/1xYFIxIM_CspAP5Q-5Zx_V0T_Ut3cjryrjd2hss28vGk/edit?usp=share_link"",""ลพบุรี!I294"")+IMPORTRANGE(""https://docs.google.com/spreadsheets/d/11s9m3tKsCBdPWq6"&amp;"syhZm27eBGbKneDLZc75co106bio/edit?usp=share_link"",""สระแก้ว!I294"")+IMPORTRANGE(""https://docs.google.com/spreadsheets/d/1Nn1EvsFPtXldgpgVb3Rcng2K2cls68LFQsBh2FyW0Bg/edit?usp=share_link"",""สระบุรี!I294"")+IMPORTRANGE(""https://docs.google.com/spreadshee"&amp;"ts/d/149xufxukrnEciK3WPbNpHwUK8BKEJxp3UcBG3Al6dA4/edit?usp=share_link"",""สิงห์บุรี!I294"")+IMPORTRANGE(""https://docs.google.com/spreadsheets/d/132g-zJpz2uMKimp17uOIx8A7o3w1Z25zwJyXnwsB56c/edit?usp=share_link"",""สุพรรณบุรี!I294"")+IMPORTRANGE(""https://"&amp;"docs.google.com/spreadsheets/d/12Q_U0nVnFdxDFwa0pej9xvx8ZvLC9Dpi_vRro_aiG5g/edit?usp=share_link"",""อ่างทอง!I294"")
"),150)</f>
        <v>150</v>
      </c>
      <c r="J294" s="423">
        <f ca="1">IFERROR(__xludf.DUMMYFUNCTION("IMPORTRANGE(""https://docs.google.com/spreadsheets/d/1hKO5uv94SSRZWOvrh72HRcpyoEQF9TsE_Cvxl77XNU4/edit?usp=share_link"",""กาญจนบุรี!J294"")+IMPORTRANGE(""https://docs.google.com/spreadsheets/d/1njBaP_xXd-Uotvo2D9zb01TTCFkLJLDK97Tk1l9Qux0/edit?usp=share_li"&amp;"nk"",""จันทบุรี!J294"")+IMPORTRANGE(""https://docs.google.com/spreadsheets/d/14xp6qUzrGFnUk_qnc1eEmfiaNRd4_grkhpfQH_46fa8/edit?usp=share_link"",""ฉะเชิงเทรา!J294"")+IMPORTRANGE(""https://docs.google.com/spreadsheets/d/1_Zwps30dlVa-pZFsorjVf1Pil6WXwzCsJU0U"&amp;"2whO3NI/edit?usp=share_link"",""ชลบุรี!J294"")+IMPORTRANGE(""https://docs.google.com/spreadsheets/d/1xAsT4sUbBlom7l0acStESh_15nvjZcXjZM7fK5uZSq8/edit?usp=share_link"",""ชัยนาท!J294"")+IMPORTRANGE(""https://docs.google.com/spreadsheets/d/1vWPVBOAaZ6mHSI8yf"&amp;"95DNqHwTJ1cpeFsvqt6cxV34QA/edit?usp=share_link"",""ตราด!J294"")+IMPORTRANGE(""https://docs.google.com/spreadsheets/d/1phaeSb9lTGgzDpbvVqI9hfmOQQzUom07-HEvpbARzEg/edit?usp=share_link"",""นครนายก!J294"")+IMPORTRANGE(""https://docs.google.com/spreadsheets/d/"&amp;"1tpwhWwkqkBeiSWCcfB5f2fbwPRbM9hHOEDSDHpl2MIc/edit?usp=share_link"",""นครปฐม!J294"")+IMPORTRANGE(""https://docs.google.com/spreadsheets/d/1fJJCVBkBnhriyv0Cp5ZFMr0I_yrfdEITNpb4zILJgUQ/edit?usp=share_link"",""ปทุมธานี!J294"")+IMPORTRANGE(""https://docs.googl"&amp;"e.com/spreadsheets/d/1W5Jj_S0gYw6wSO7QcMI02YgyOBDKYgmm0NSUk-AQEac/edit?usp=share_link"",""ประจวบคีรีขันธ์!J294"")+IMPORTRANGE(""https://docs.google.com/spreadsheets/d/1nYxRXgnCfTXtqUY1otYuTlnrzE0Tn-Y0YRsW5pkRVqo/edit?usp=share_link"",""ปราจีนบุรี!J294"")+"&amp;"IMPORTRANGE(""https://docs.google.com/spreadsheets/d/1nNHCLO8ZAXOMfQvxux7cf_hrzPAh8FAvaHq_ClKbZNo/edit?usp=share_link"",""พระนครศรีอยุธยา!J294"")+IMPORTRANGE(""https://docs.google.com/spreadsheets/d/1CdNicvf3i6yt4tJlCePe3V1Va76wYqW0QzMzTsaGRrA/edit?usp=sh"&amp;"are_link"",""เพชรบุรี!J294"")+IMPORTRANGE(""https://docs.google.com/spreadsheets/d/1XiF77UIVHV0Kjc6xbXuOuJ10WgJYxd4p_22ngKVV5oM/edit?usp=share_link"",""ระยอง!J294"")+IMPORTRANGE(""https://docs.google.com/spreadsheets/d/1qU-W_9MCQD1pgIVXGEOjCFo9QqlmJywueby"&amp;"GgaN92r8/edit?usp=share_link"",""ราชบุรี!J294"")+IMPORTRANGE(""https://docs.google.com/spreadsheets/d/1xYFIxIM_CspAP5Q-5Zx_V0T_Ut3cjryrjd2hss28vGk/edit?usp=share_link"",""ลพบุรี!J294"")+IMPORTRANGE(""https://docs.google.com/spreadsheets/d/11s9m3tKsCBdPWq6"&amp;"syhZm27eBGbKneDLZc75co106bio/edit?usp=share_link"",""สระแก้ว!J294"")+IMPORTRANGE(""https://docs.google.com/spreadsheets/d/1Nn1EvsFPtXldgpgVb3Rcng2K2cls68LFQsBh2FyW0Bg/edit?usp=share_link"",""สระบุรี!J294"")+IMPORTRANGE(""https://docs.google.com/spreadshee"&amp;"ts/d/149xufxukrnEciK3WPbNpHwUK8BKEJxp3UcBG3Al6dA4/edit?usp=share_link"",""สิงห์บุรี!J294"")+IMPORTRANGE(""https://docs.google.com/spreadsheets/d/132g-zJpz2uMKimp17uOIx8A7o3w1Z25zwJyXnwsB56c/edit?usp=share_link"",""สุพรรณบุรี!J294"")+IMPORTRANGE(""https://"&amp;"docs.google.com/spreadsheets/d/12Q_U0nVnFdxDFwa0pej9xvx8ZvLC9Dpi_vRro_aiG5g/edit?usp=share_link"",""อ่างทอง!J294"")
"),0)</f>
        <v>0</v>
      </c>
      <c r="K294" s="384">
        <f t="shared" ca="1" si="157"/>
        <v>0</v>
      </c>
      <c r="L294" s="384"/>
      <c r="M294" s="384"/>
      <c r="N294" s="384"/>
      <c r="O294" s="384"/>
      <c r="P294" s="384"/>
    </row>
    <row r="295" spans="1:26" ht="20.25" customHeight="1">
      <c r="A295" s="424" t="s">
        <v>137</v>
      </c>
      <c r="B295" s="425"/>
      <c r="C295" s="425"/>
      <c r="D295" s="425"/>
      <c r="E295" s="426"/>
      <c r="F295" s="426"/>
      <c r="G295" s="427"/>
      <c r="H295" s="428"/>
      <c r="I295" s="429"/>
      <c r="J295" s="429"/>
      <c r="K295" s="430"/>
      <c r="L295" s="430"/>
      <c r="M295" s="430"/>
      <c r="N295" s="430"/>
      <c r="O295" s="430"/>
      <c r="P295" s="430"/>
    </row>
    <row r="296" spans="1:26" ht="20.25" customHeight="1">
      <c r="A296" s="431" t="s">
        <v>138</v>
      </c>
      <c r="B296" s="432"/>
      <c r="C296" s="432"/>
      <c r="D296" s="433"/>
      <c r="E296" s="433"/>
      <c r="F296" s="433"/>
      <c r="G296" s="434"/>
      <c r="H296" s="435"/>
      <c r="I296" s="436"/>
      <c r="J296" s="436"/>
      <c r="K296" s="437"/>
      <c r="L296" s="437"/>
      <c r="M296" s="437"/>
      <c r="N296" s="437"/>
      <c r="O296" s="437"/>
      <c r="P296" s="437"/>
    </row>
    <row r="297" spans="1:26" ht="20.25" customHeight="1">
      <c r="A297" s="438"/>
      <c r="B297" s="439" t="s">
        <v>139</v>
      </c>
      <c r="C297" s="440"/>
      <c r="D297" s="440"/>
      <c r="E297" s="440"/>
      <c r="F297" s="440"/>
      <c r="G297" s="441"/>
      <c r="H297" s="442" t="s">
        <v>35</v>
      </c>
      <c r="I297" s="443">
        <f t="shared" ref="I297:J297" ca="1" si="158">I309</f>
        <v>225</v>
      </c>
      <c r="J297" s="443">
        <f t="shared" ca="1" si="158"/>
        <v>70</v>
      </c>
      <c r="K297" s="444">
        <f ca="1">IF(I297&gt;0,J297*100/I297,0)</f>
        <v>31.111111111111111</v>
      </c>
      <c r="L297" s="445"/>
      <c r="M297" s="445"/>
      <c r="N297" s="445"/>
      <c r="O297" s="445"/>
      <c r="P297" s="445"/>
    </row>
    <row r="298" spans="1:26" ht="20.25" customHeight="1">
      <c r="A298" s="147"/>
      <c r="B298" s="148"/>
      <c r="C298" s="149" t="s">
        <v>16</v>
      </c>
      <c r="D298" s="150" t="s">
        <v>17</v>
      </c>
      <c r="E298" s="148"/>
      <c r="F298" s="148"/>
      <c r="G298" s="151"/>
      <c r="H298" s="152" t="s">
        <v>12</v>
      </c>
      <c r="I298" s="153"/>
      <c r="J298" s="153"/>
      <c r="K298" s="154"/>
      <c r="L298" s="155">
        <f t="shared" ref="L298:N298" ca="1" si="159">L299+L300</f>
        <v>2220000</v>
      </c>
      <c r="M298" s="155">
        <f t="shared" ca="1" si="159"/>
        <v>1140600</v>
      </c>
      <c r="N298" s="155">
        <f t="shared" ca="1" si="159"/>
        <v>463675.78</v>
      </c>
      <c r="O298" s="155">
        <f t="shared" ref="O298:O306" ca="1" si="160">IF(L298&gt;0,N298*100/L298,0)</f>
        <v>20.886296396396396</v>
      </c>
      <c r="P298" s="155">
        <f t="shared" ref="P298:P306" ca="1" si="161">IF(M298&gt;0,N298*100/M298,0)</f>
        <v>40.651918288620024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20.25" hidden="1" customHeight="1">
      <c r="A299" s="156"/>
      <c r="B299" s="40"/>
      <c r="C299" s="40"/>
      <c r="D299" s="40"/>
      <c r="E299" s="41" t="s">
        <v>18</v>
      </c>
      <c r="F299" s="40"/>
      <c r="G299" s="157"/>
      <c r="H299" s="158" t="s">
        <v>12</v>
      </c>
      <c r="I299" s="44"/>
      <c r="J299" s="44"/>
      <c r="K299" s="45"/>
      <c r="L299" s="45">
        <f t="shared" ref="L299:N299" si="162">L302+L305</f>
        <v>0</v>
      </c>
      <c r="M299" s="45">
        <f t="shared" si="162"/>
        <v>0</v>
      </c>
      <c r="N299" s="45">
        <f t="shared" si="162"/>
        <v>0</v>
      </c>
      <c r="O299" s="45">
        <f t="shared" si="160"/>
        <v>0</v>
      </c>
      <c r="P299" s="45">
        <f t="shared" si="161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20.25" hidden="1" customHeight="1">
      <c r="A300" s="156"/>
      <c r="B300" s="40"/>
      <c r="C300" s="40"/>
      <c r="D300" s="40"/>
      <c r="E300" s="41" t="s">
        <v>19</v>
      </c>
      <c r="F300" s="40"/>
      <c r="G300" s="157"/>
      <c r="H300" s="158" t="s">
        <v>12</v>
      </c>
      <c r="I300" s="44"/>
      <c r="J300" s="44"/>
      <c r="K300" s="45"/>
      <c r="L300" s="45">
        <f t="shared" ref="L300:N300" ca="1" si="163">L303+L306</f>
        <v>2220000</v>
      </c>
      <c r="M300" s="45">
        <f t="shared" ca="1" si="163"/>
        <v>1140600</v>
      </c>
      <c r="N300" s="45">
        <f t="shared" ca="1" si="163"/>
        <v>463675.78</v>
      </c>
      <c r="O300" s="45">
        <f t="shared" ca="1" si="160"/>
        <v>20.886296396396396</v>
      </c>
      <c r="P300" s="45">
        <f t="shared" ca="1" si="161"/>
        <v>40.651918288620024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20.25" customHeight="1">
      <c r="A301" s="159"/>
      <c r="B301" s="33"/>
      <c r="C301" s="160"/>
      <c r="D301" s="34" t="s">
        <v>20</v>
      </c>
      <c r="E301" s="33"/>
      <c r="F301" s="33"/>
      <c r="G301" s="35"/>
      <c r="H301" s="161" t="s">
        <v>12</v>
      </c>
      <c r="I301" s="162"/>
      <c r="J301" s="162"/>
      <c r="K301" s="163"/>
      <c r="L301" s="38">
        <f t="shared" ref="L301:N301" ca="1" si="164">L302+L303</f>
        <v>2220000</v>
      </c>
      <c r="M301" s="38">
        <f t="shared" ca="1" si="164"/>
        <v>1140600</v>
      </c>
      <c r="N301" s="38">
        <f t="shared" ca="1" si="164"/>
        <v>463675.78</v>
      </c>
      <c r="O301" s="38">
        <f t="shared" ca="1" si="160"/>
        <v>20.886296396396396</v>
      </c>
      <c r="P301" s="38">
        <f t="shared" ca="1" si="161"/>
        <v>40.651918288620024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20.25" hidden="1" customHeight="1">
      <c r="A302" s="156"/>
      <c r="B302" s="40"/>
      <c r="C302" s="164"/>
      <c r="D302" s="40"/>
      <c r="E302" s="41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45">
        <f t="shared" si="160"/>
        <v>0</v>
      </c>
      <c r="P302" s="45">
        <f t="shared" si="161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20.25" hidden="1" customHeight="1">
      <c r="A303" s="156"/>
      <c r="B303" s="40"/>
      <c r="C303" s="164"/>
      <c r="D303" s="40"/>
      <c r="E303" s="41" t="s">
        <v>37</v>
      </c>
      <c r="F303" s="40"/>
      <c r="G303" s="157"/>
      <c r="H303" s="165" t="s">
        <v>12</v>
      </c>
      <c r="I303" s="166"/>
      <c r="J303" s="166"/>
      <c r="K303" s="167"/>
      <c r="L303" s="45">
        <f ca="1">IFERROR(__xludf.DUMMYFUNCTION("IMPORTRANGE(""https://docs.google.com/spreadsheets/d/1hKO5uv94SSRZWOvrh72HRcpyoEQF9TsE_Cvxl77XNU4/edit?usp=share_link"",""กาญจนบุรี!L303"")+IMPORTRANGE(""https://docs.google.com/spreadsheets/d/1njBaP_xXd-Uotvo2D9zb01TTCFkLJLDK97Tk1l9Qux0/edit?usp=share_li"&amp;"nk"",""จันทบุรี!L303"")+IMPORTRANGE(""https://docs.google.com/spreadsheets/d/14xp6qUzrGFnUk_qnc1eEmfiaNRd4_grkhpfQH_46fa8/edit?usp=share_link"",""ฉะเชิงเทรา!L303"")+IMPORTRANGE(""https://docs.google.com/spreadsheets/d/1_Zwps30dlVa-pZFsorjVf1Pil6WXwzCsJU0U"&amp;"2whO3NI/edit?usp=share_link"",""ชลบุรี!L303"")+IMPORTRANGE(""https://docs.google.com/spreadsheets/d/1xAsT4sUbBlom7l0acStESh_15nvjZcXjZM7fK5uZSq8/edit?usp=share_link"",""ชัยนาท!L303"")+IMPORTRANGE(""https://docs.google.com/spreadsheets/d/1vWPVBOAaZ6mHSI8yf"&amp;"95DNqHwTJ1cpeFsvqt6cxV34QA/edit?usp=share_link"",""ตราด!L303"")+IMPORTRANGE(""https://docs.google.com/spreadsheets/d/1phaeSb9lTGgzDpbvVqI9hfmOQQzUom07-HEvpbARzEg/edit?usp=share_link"",""นครนายก!L303"")+IMPORTRANGE(""https://docs.google.com/spreadsheets/d/"&amp;"1tpwhWwkqkBeiSWCcfB5f2fbwPRbM9hHOEDSDHpl2MIc/edit?usp=share_link"",""นครปฐม!L303"")+IMPORTRANGE(""https://docs.google.com/spreadsheets/d/1fJJCVBkBnhriyv0Cp5ZFMr0I_yrfdEITNpb4zILJgUQ/edit?usp=share_link"",""ปทุมธานี!L303"")+IMPORTRANGE(""https://docs.googl"&amp;"e.com/spreadsheets/d/1W5Jj_S0gYw6wSO7QcMI02YgyOBDKYgmm0NSUk-AQEac/edit?usp=share_link"",""ประจวบคีรีขันธ์!L303"")+IMPORTRANGE(""https://docs.google.com/spreadsheets/d/1nYxRXgnCfTXtqUY1otYuTlnrzE0Tn-Y0YRsW5pkRVqo/edit?usp=share_link"",""ปราจีนบุรี!L303"")+"&amp;"IMPORTRANGE(""https://docs.google.com/spreadsheets/d/1nNHCLO8ZAXOMfQvxux7cf_hrzPAh8FAvaHq_ClKbZNo/edit?usp=share_link"",""พระนครศรีอยุธยา!L303"")+IMPORTRANGE(""https://docs.google.com/spreadsheets/d/1CdNicvf3i6yt4tJlCePe3V1Va76wYqW0QzMzTsaGRrA/edit?usp=sh"&amp;"are_link"",""เพชรบุรี!L303"")+IMPORTRANGE(""https://docs.google.com/spreadsheets/d/1XiF77UIVHV0Kjc6xbXuOuJ10WgJYxd4p_22ngKVV5oM/edit?usp=share_link"",""ระยอง!L303"")+IMPORTRANGE(""https://docs.google.com/spreadsheets/d/1qU-W_9MCQD1pgIVXGEOjCFo9QqlmJywueby"&amp;"GgaN92r8/edit?usp=share_link"",""ราชบุรี!L303"")+IMPORTRANGE(""https://docs.google.com/spreadsheets/d/1xYFIxIM_CspAP5Q-5Zx_V0T_Ut3cjryrjd2hss28vGk/edit?usp=share_link"",""ลพบุรี!L303"")+IMPORTRANGE(""https://docs.google.com/spreadsheets/d/11s9m3tKsCBdPWq6"&amp;"syhZm27eBGbKneDLZc75co106bio/edit?usp=share_link"",""สระแก้ว!L303"")+IMPORTRANGE(""https://docs.google.com/spreadsheets/d/1Nn1EvsFPtXldgpgVb3Rcng2K2cls68LFQsBh2FyW0Bg/edit?usp=share_link"",""สระบุรี!L303"")+IMPORTRANGE(""https://docs.google.com/spreadshee"&amp;"ts/d/149xufxukrnEciK3WPbNpHwUK8BKEJxp3UcBG3Al6dA4/edit?usp=share_link"",""สิงห์บุรี!L303"")+IMPORTRANGE(""https://docs.google.com/spreadsheets/d/132g-zJpz2uMKimp17uOIx8A7o3w1Z25zwJyXnwsB56c/edit?usp=share_link"",""สุพรรณบุรี!L303"")+IMPORTRANGE(""https://"&amp;"docs.google.com/spreadsheets/d/12Q_U0nVnFdxDFwa0pej9xvx8ZvLC9Dpi_vRro_aiG5g/edit?usp=share_link"",""อ่างทอง!L303"")
"),2220000)</f>
        <v>2220000</v>
      </c>
      <c r="M303" s="45">
        <f ca="1">IFERROR(__xludf.DUMMYFUNCTION("IMPORTRANGE(""https://docs.google.com/spreadsheets/d/1hKO5uv94SSRZWOvrh72HRcpyoEQF9TsE_Cvxl77XNU4/edit?usp=share_link"",""กาญจนบุรี!M303"")+IMPORTRANGE(""https://docs.google.com/spreadsheets/d/1njBaP_xXd-Uotvo2D9zb01TTCFkLJLDK97Tk1l9Qux0/edit?usp=share_li"&amp;"nk"",""จันทบุรี!M303"")+IMPORTRANGE(""https://docs.google.com/spreadsheets/d/14xp6qUzrGFnUk_qnc1eEmfiaNRd4_grkhpfQH_46fa8/edit?usp=share_link"",""ฉะเชิงเทรา!M303"")+IMPORTRANGE(""https://docs.google.com/spreadsheets/d/1_Zwps30dlVa-pZFsorjVf1Pil6WXwzCsJU0U"&amp;"2whO3NI/edit?usp=share_link"",""ชลบุรี!M303"")+IMPORTRANGE(""https://docs.google.com/spreadsheets/d/1xAsT4sUbBlom7l0acStESh_15nvjZcXjZM7fK5uZSq8/edit?usp=share_link"",""ชัยนาท!M303"")+IMPORTRANGE(""https://docs.google.com/spreadsheets/d/1vWPVBOAaZ6mHSI8yf"&amp;"95DNqHwTJ1cpeFsvqt6cxV34QA/edit?usp=share_link"",""ตราด!M303"")+IMPORTRANGE(""https://docs.google.com/spreadsheets/d/1phaeSb9lTGgzDpbvVqI9hfmOQQzUom07-HEvpbARzEg/edit?usp=share_link"",""นครนายก!M303"")+IMPORTRANGE(""https://docs.google.com/spreadsheets/d/"&amp;"1tpwhWwkqkBeiSWCcfB5f2fbwPRbM9hHOEDSDHpl2MIc/edit?usp=share_link"",""นครปฐม!M303"")+IMPORTRANGE(""https://docs.google.com/spreadsheets/d/1fJJCVBkBnhriyv0Cp5ZFMr0I_yrfdEITNpb4zILJgUQ/edit?usp=share_link"",""ปทุมธานี!M303"")+IMPORTRANGE(""https://docs.googl"&amp;"e.com/spreadsheets/d/1W5Jj_S0gYw6wSO7QcMI02YgyOBDKYgmm0NSUk-AQEac/edit?usp=share_link"",""ประจวบคีรีขันธ์!M303"")+IMPORTRANGE(""https://docs.google.com/spreadsheets/d/1nYxRXgnCfTXtqUY1otYuTlnrzE0Tn-Y0YRsW5pkRVqo/edit?usp=share_link"",""ปราจีนบุรี!M303"")+"&amp;"IMPORTRANGE(""https://docs.google.com/spreadsheets/d/1nNHCLO8ZAXOMfQvxux7cf_hrzPAh8FAvaHq_ClKbZNo/edit?usp=share_link"",""พระนครศรีอยุธยา!M303"")+IMPORTRANGE(""https://docs.google.com/spreadsheets/d/1CdNicvf3i6yt4tJlCePe3V1Va76wYqW0QzMzTsaGRrA/edit?usp=sh"&amp;"are_link"",""เพชรบุรี!M303"")+IMPORTRANGE(""https://docs.google.com/spreadsheets/d/1XiF77UIVHV0Kjc6xbXuOuJ10WgJYxd4p_22ngKVV5oM/edit?usp=share_link"",""ระยอง!M303"")+IMPORTRANGE(""https://docs.google.com/spreadsheets/d/1qU-W_9MCQD1pgIVXGEOjCFo9QqlmJywueby"&amp;"GgaN92r8/edit?usp=share_link"",""ราชบุรี!M303"")+IMPORTRANGE(""https://docs.google.com/spreadsheets/d/1xYFIxIM_CspAP5Q-5Zx_V0T_Ut3cjryrjd2hss28vGk/edit?usp=share_link"",""ลพบุรี!M303"")+IMPORTRANGE(""https://docs.google.com/spreadsheets/d/11s9m3tKsCBdPWq6"&amp;"syhZm27eBGbKneDLZc75co106bio/edit?usp=share_link"",""สระแก้ว!M303"")+IMPORTRANGE(""https://docs.google.com/spreadsheets/d/1Nn1EvsFPtXldgpgVb3Rcng2K2cls68LFQsBh2FyW0Bg/edit?usp=share_link"",""สระบุรี!M303"")+IMPORTRANGE(""https://docs.google.com/spreadshee"&amp;"ts/d/149xufxukrnEciK3WPbNpHwUK8BKEJxp3UcBG3Al6dA4/edit?usp=share_link"",""สิงห์บุรี!M303"")+IMPORTRANGE(""https://docs.google.com/spreadsheets/d/132g-zJpz2uMKimp17uOIx8A7o3w1Z25zwJyXnwsB56c/edit?usp=share_link"",""สุพรรณบุรี!M303"")+IMPORTRANGE(""https://"&amp;"docs.google.com/spreadsheets/d/12Q_U0nVnFdxDFwa0pej9xvx8ZvLC9Dpi_vRro_aiG5g/edit?usp=share_link"",""อ่างทอง!M303"")
"),1140600)</f>
        <v>1140600</v>
      </c>
      <c r="N303" s="45">
        <f ca="1">IFERROR(__xludf.DUMMYFUNCTION("IMPORTRANGE(""https://docs.google.com/spreadsheets/d/1hKO5uv94SSRZWOvrh72HRcpyoEQF9TsE_Cvxl77XNU4/edit?usp=share_link"",""กาญจนบุรี!n303"")+IMPORTRANGE(""https://docs.google.com/spreadsheets/d/1njBaP_xXd-Uotvo2D9zb01TTCFkLJLDK97Tk1l9Qux0/edit?usp=share_li"&amp;"nk"",""จันทบุรี!n303"")+IMPORTRANGE(""https://docs.google.com/spreadsheets/d/14xp6qUzrGFnUk_qnc1eEmfiaNRd4_grkhpfQH_46fa8/edit?usp=share_link"",""ฉะเชิงเทรา!n303"")+IMPORTRANGE(""https://docs.google.com/spreadsheets/d/1_Zwps30dlVa-pZFsorjVf1Pil6WXwzCsJU0U"&amp;"2whO3NI/edit?usp=share_link"",""ชลบุรี!n303"")+IMPORTRANGE(""https://docs.google.com/spreadsheets/d/1xAsT4sUbBlom7l0acStESh_15nvjZcXjZM7fK5uZSq8/edit?usp=share_link"",""ชัยนาท!n303"")+IMPORTRANGE(""https://docs.google.com/spreadsheets/d/1vWPVBOAaZ6mHSI8yf"&amp;"95DNqHwTJ1cpeFsvqt6cxV34QA/edit?usp=share_link"",""ตราด!n303"")+IMPORTRANGE(""https://docs.google.com/spreadsheets/d/1phaeSb9lTGgzDpbvVqI9hfmOQQzUom07-HEvpbARzEg/edit?usp=share_link"",""นครนายก!n303"")+IMPORTRANGE(""https://docs.google.com/spreadsheets/d/"&amp;"1tpwhWwkqkBeiSWCcfB5f2fbwPRbM9hHOEDSDHpl2MIc/edit?usp=share_link"",""นครปฐม!n303"")+IMPORTRANGE(""https://docs.google.com/spreadsheets/d/1fJJCVBkBnhriyv0Cp5ZFMr0I_yrfdEITNpb4zILJgUQ/edit?usp=share_link"",""ปทุมธานี!n303"")+IMPORTRANGE(""https://docs.googl"&amp;"e.com/spreadsheets/d/1W5Jj_S0gYw6wSO7QcMI02YgyOBDKYgmm0NSUk-AQEac/edit?usp=share_link"",""ประจวบคีรีขันธ์!n303"")+IMPORTRANGE(""https://docs.google.com/spreadsheets/d/1nYxRXgnCfTXtqUY1otYuTlnrzE0Tn-Y0YRsW5pkRVqo/edit?usp=share_link"",""ปราจีนบุรี!n303"")+"&amp;"IMPORTRANGE(""https://docs.google.com/spreadsheets/d/1nNHCLO8ZAXOMfQvxux7cf_hrzPAh8FAvaHq_ClKbZNo/edit?usp=share_link"",""พระนครศรีอยุธยา!n303"")+IMPORTRANGE(""https://docs.google.com/spreadsheets/d/1CdNicvf3i6yt4tJlCePe3V1Va76wYqW0QzMzTsaGRrA/edit?usp=sh"&amp;"are_link"",""เพชรบุรี!n303"")+IMPORTRANGE(""https://docs.google.com/spreadsheets/d/1XiF77UIVHV0Kjc6xbXuOuJ10WgJYxd4p_22ngKVV5oM/edit?usp=share_link"",""ระยอง!n303"")+IMPORTRANGE(""https://docs.google.com/spreadsheets/d/1qU-W_9MCQD1pgIVXGEOjCFo9QqlmJywueby"&amp;"GgaN92r8/edit?usp=share_link"",""ราชบุรี!n303"")+IMPORTRANGE(""https://docs.google.com/spreadsheets/d/1xYFIxIM_CspAP5Q-5Zx_V0T_Ut3cjryrjd2hss28vGk/edit?usp=share_link"",""ลพบุรี!n303"")+IMPORTRANGE(""https://docs.google.com/spreadsheets/d/11s9m3tKsCBdPWq6"&amp;"syhZm27eBGbKneDLZc75co106bio/edit?usp=share_link"",""สระแก้ว!n303"")+IMPORTRANGE(""https://docs.google.com/spreadsheets/d/1Nn1EvsFPtXldgpgVb3Rcng2K2cls68LFQsBh2FyW0Bg/edit?usp=share_link"",""สระบุรี!n303"")+IMPORTRANGE(""https://docs.google.com/spreadshee"&amp;"ts/d/149xufxukrnEciK3WPbNpHwUK8BKEJxp3UcBG3Al6dA4/edit?usp=share_link"",""สิงห์บุรี!n303"")+IMPORTRANGE(""https://docs.google.com/spreadsheets/d/132g-zJpz2uMKimp17uOIx8A7o3w1Z25zwJyXnwsB56c/edit?usp=share_link"",""สุพรรณบุรี!n303"")+IMPORTRANGE(""https://"&amp;"docs.google.com/spreadsheets/d/12Q_U0nVnFdxDFwa0pej9xvx8ZvLC9Dpi_vRro_aiG5g/edit?usp=share_link"",""อ่างทอง!n303"")
"),463675.78)</f>
        <v>463675.78</v>
      </c>
      <c r="O303" s="45">
        <f t="shared" ca="1" si="160"/>
        <v>20.886296396396396</v>
      </c>
      <c r="P303" s="45">
        <f t="shared" ca="1" si="161"/>
        <v>40.651918288620024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20.25" customHeight="1">
      <c r="A304" s="159"/>
      <c r="B304" s="33"/>
      <c r="C304" s="160"/>
      <c r="D304" s="34" t="s">
        <v>21</v>
      </c>
      <c r="E304" s="33"/>
      <c r="F304" s="33"/>
      <c r="G304" s="35"/>
      <c r="H304" s="168" t="s">
        <v>12</v>
      </c>
      <c r="I304" s="162"/>
      <c r="J304" s="162"/>
      <c r="K304" s="163"/>
      <c r="L304" s="38">
        <f t="shared" ref="L304:N304" ca="1" si="165">L305+L306</f>
        <v>0</v>
      </c>
      <c r="M304" s="38">
        <f t="shared" ca="1" si="165"/>
        <v>0</v>
      </c>
      <c r="N304" s="38">
        <f t="shared" ca="1" si="165"/>
        <v>0</v>
      </c>
      <c r="O304" s="38">
        <f t="shared" ca="1" si="160"/>
        <v>0</v>
      </c>
      <c r="P304" s="38">
        <f t="shared" ca="1" si="161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20.25" hidden="1" customHeight="1">
      <c r="A305" s="156"/>
      <c r="B305" s="40"/>
      <c r="C305" s="164"/>
      <c r="D305" s="40"/>
      <c r="E305" s="41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45">
        <f t="shared" si="160"/>
        <v>0</v>
      </c>
      <c r="P305" s="45">
        <f t="shared" si="161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20.25" hidden="1" customHeight="1">
      <c r="A306" s="156"/>
      <c r="B306" s="40"/>
      <c r="C306" s="164"/>
      <c r="D306" s="40"/>
      <c r="E306" s="41" t="s">
        <v>19</v>
      </c>
      <c r="F306" s="40"/>
      <c r="G306" s="157"/>
      <c r="H306" s="169" t="s">
        <v>12</v>
      </c>
      <c r="I306" s="166"/>
      <c r="J306" s="166"/>
      <c r="K306" s="167"/>
      <c r="L306" s="45">
        <f ca="1">IFERROR(__xludf.DUMMYFUNCTION("IMPORTRANGE(""https://docs.google.com/spreadsheets/d/1hKO5uv94SSRZWOvrh72HRcpyoEQF9TsE_Cvxl77XNU4/edit?usp=share_link"",""กาญจนบุรี!L306"")+IMPORTRANGE(""https://docs.google.com/spreadsheets/d/1njBaP_xXd-Uotvo2D9zb01TTCFkLJLDK97Tk1l9Qux0/edit?usp=share_li"&amp;"nk"",""จันทบุรี!L306"")+IMPORTRANGE(""https://docs.google.com/spreadsheets/d/14xp6qUzrGFnUk_qnc1eEmfiaNRd4_grkhpfQH_46fa8/edit?usp=share_link"",""ฉะเชิงเทรา!L306"")+IMPORTRANGE(""https://docs.google.com/spreadsheets/d/1_Zwps30dlVa-pZFsorjVf1Pil6WXwzCsJU0U"&amp;"2whO3NI/edit?usp=share_link"",""ชลบุรี!L306"")+IMPORTRANGE(""https://docs.google.com/spreadsheets/d/1xAsT4sUbBlom7l0acStESh_15nvjZcXjZM7fK5uZSq8/edit?usp=share_link"",""ชัยนาท!L306"")+IMPORTRANGE(""https://docs.google.com/spreadsheets/d/1vWPVBOAaZ6mHSI8yf"&amp;"95DNqHwTJ1cpeFsvqt6cxV34QA/edit?usp=share_link"",""ตราด!L306"")+IMPORTRANGE(""https://docs.google.com/spreadsheets/d/1phaeSb9lTGgzDpbvVqI9hfmOQQzUom07-HEvpbARzEg/edit?usp=share_link"",""นครนายก!L306"")+IMPORTRANGE(""https://docs.google.com/spreadsheets/d/"&amp;"1tpwhWwkqkBeiSWCcfB5f2fbwPRbM9hHOEDSDHpl2MIc/edit?usp=share_link"",""นครปฐม!L306"")+IMPORTRANGE(""https://docs.google.com/spreadsheets/d/1fJJCVBkBnhriyv0Cp5ZFMr0I_yrfdEITNpb4zILJgUQ/edit?usp=share_link"",""ปทุมธานี!L306"")+IMPORTRANGE(""https://docs.googl"&amp;"e.com/spreadsheets/d/1W5Jj_S0gYw6wSO7QcMI02YgyOBDKYgmm0NSUk-AQEac/edit?usp=share_link"",""ประจวบคีรีขันธ์!L306"")+IMPORTRANGE(""https://docs.google.com/spreadsheets/d/1nYxRXgnCfTXtqUY1otYuTlnrzE0Tn-Y0YRsW5pkRVqo/edit?usp=share_link"",""ปราจีนบุรี!L306"")+"&amp;"IMPORTRANGE(""https://docs.google.com/spreadsheets/d/1nNHCLO8ZAXOMfQvxux7cf_hrzPAh8FAvaHq_ClKbZNo/edit?usp=share_link"",""พระนครศรีอยุธยา!L306"")+IMPORTRANGE(""https://docs.google.com/spreadsheets/d/1CdNicvf3i6yt4tJlCePe3V1Va76wYqW0QzMzTsaGRrA/edit?usp=sh"&amp;"are_link"",""เพชรบุรี!L306"")+IMPORTRANGE(""https://docs.google.com/spreadsheets/d/1XiF77UIVHV0Kjc6xbXuOuJ10WgJYxd4p_22ngKVV5oM/edit?usp=share_link"",""ระยอง!L306"")+IMPORTRANGE(""https://docs.google.com/spreadsheets/d/1qU-W_9MCQD1pgIVXGEOjCFo9QqlmJywueby"&amp;"GgaN92r8/edit?usp=share_link"",""ราชบุรี!L306"")+IMPORTRANGE(""https://docs.google.com/spreadsheets/d/1xYFIxIM_CspAP5Q-5Zx_V0T_Ut3cjryrjd2hss28vGk/edit?usp=share_link"",""ลพบุรี!L306"")+IMPORTRANGE(""https://docs.google.com/spreadsheets/d/11s9m3tKsCBdPWq6"&amp;"syhZm27eBGbKneDLZc75co106bio/edit?usp=share_link"",""สระแก้ว!L306"")+IMPORTRANGE(""https://docs.google.com/spreadsheets/d/1Nn1EvsFPtXldgpgVb3Rcng2K2cls68LFQsBh2FyW0Bg/edit?usp=share_link"",""สระบุรี!L306"")+IMPORTRANGE(""https://docs.google.com/spreadshee"&amp;"ts/d/149xufxukrnEciK3WPbNpHwUK8BKEJxp3UcBG3Al6dA4/edit?usp=share_link"",""สิงห์บุรี!L306"")+IMPORTRANGE(""https://docs.google.com/spreadsheets/d/132g-zJpz2uMKimp17uOIx8A7o3w1Z25zwJyXnwsB56c/edit?usp=share_link"",""สุพรรณบุรี!L306"")+IMPORTRANGE(""https://"&amp;"docs.google.com/spreadsheets/d/12Q_U0nVnFdxDFwa0pej9xvx8ZvLC9Dpi_vRro_aiG5g/edit?usp=share_link"",""อ่างทอง!L306"")
"),0)</f>
        <v>0</v>
      </c>
      <c r="M306" s="45">
        <f ca="1">IFERROR(__xludf.DUMMYFUNCTION("IMPORTRANGE(""https://docs.google.com/spreadsheets/d/1hKO5uv94SSRZWOvrh72HRcpyoEQF9TsE_Cvxl77XNU4/edit?usp=share_link"",""กาญจนบุรี!M306"")+IMPORTRANGE(""https://docs.google.com/spreadsheets/d/1njBaP_xXd-Uotvo2D9zb01TTCFkLJLDK97Tk1l9Qux0/edit?usp=share_li"&amp;"nk"",""จันทบุรี!M306"")+IMPORTRANGE(""https://docs.google.com/spreadsheets/d/14xp6qUzrGFnUk_qnc1eEmfiaNRd4_grkhpfQH_46fa8/edit?usp=share_link"",""ฉะเชิงเทรา!M306"")+IMPORTRANGE(""https://docs.google.com/spreadsheets/d/1_Zwps30dlVa-pZFsorjVf1Pil6WXwzCsJU0U"&amp;"2whO3NI/edit?usp=share_link"",""ชลบุรี!M306"")+IMPORTRANGE(""https://docs.google.com/spreadsheets/d/1xAsT4sUbBlom7l0acStESh_15nvjZcXjZM7fK5uZSq8/edit?usp=share_link"",""ชัยนาท!M306"")+IMPORTRANGE(""https://docs.google.com/spreadsheets/d/1vWPVBOAaZ6mHSI8yf"&amp;"95DNqHwTJ1cpeFsvqt6cxV34QA/edit?usp=share_link"",""ตราด!M306"")+IMPORTRANGE(""https://docs.google.com/spreadsheets/d/1phaeSb9lTGgzDpbvVqI9hfmOQQzUom07-HEvpbARzEg/edit?usp=share_link"",""นครนายก!M306"")+IMPORTRANGE(""https://docs.google.com/spreadsheets/d/"&amp;"1tpwhWwkqkBeiSWCcfB5f2fbwPRbM9hHOEDSDHpl2MIc/edit?usp=share_link"",""นครปฐม!M306"")+IMPORTRANGE(""https://docs.google.com/spreadsheets/d/1fJJCVBkBnhriyv0Cp5ZFMr0I_yrfdEITNpb4zILJgUQ/edit?usp=share_link"",""ปทุมธานี!M306"")+IMPORTRANGE(""https://docs.googl"&amp;"e.com/spreadsheets/d/1W5Jj_S0gYw6wSO7QcMI02YgyOBDKYgmm0NSUk-AQEac/edit?usp=share_link"",""ประจวบคีรีขันธ์!M306"")+IMPORTRANGE(""https://docs.google.com/spreadsheets/d/1nYxRXgnCfTXtqUY1otYuTlnrzE0Tn-Y0YRsW5pkRVqo/edit?usp=share_link"",""ปราจีนบุรี!M306"")+"&amp;"IMPORTRANGE(""https://docs.google.com/spreadsheets/d/1nNHCLO8ZAXOMfQvxux7cf_hrzPAh8FAvaHq_ClKbZNo/edit?usp=share_link"",""พระนครศรีอยุธยา!M306"")+IMPORTRANGE(""https://docs.google.com/spreadsheets/d/1CdNicvf3i6yt4tJlCePe3V1Va76wYqW0QzMzTsaGRrA/edit?usp=sh"&amp;"are_link"",""เพชรบุรี!M306"")+IMPORTRANGE(""https://docs.google.com/spreadsheets/d/1XiF77UIVHV0Kjc6xbXuOuJ10WgJYxd4p_22ngKVV5oM/edit?usp=share_link"",""ระยอง!M306"")+IMPORTRANGE(""https://docs.google.com/spreadsheets/d/1qU-W_9MCQD1pgIVXGEOjCFo9QqlmJywueby"&amp;"GgaN92r8/edit?usp=share_link"",""ราชบุรี!M306"")+IMPORTRANGE(""https://docs.google.com/spreadsheets/d/1xYFIxIM_CspAP5Q-5Zx_V0T_Ut3cjryrjd2hss28vGk/edit?usp=share_link"",""ลพบุรี!M306"")+IMPORTRANGE(""https://docs.google.com/spreadsheets/d/11s9m3tKsCBdPWq6"&amp;"syhZm27eBGbKneDLZc75co106bio/edit?usp=share_link"",""สระแก้ว!M306"")+IMPORTRANGE(""https://docs.google.com/spreadsheets/d/1Nn1EvsFPtXldgpgVb3Rcng2K2cls68LFQsBh2FyW0Bg/edit?usp=share_link"",""สระบุรี!M306"")+IMPORTRANGE(""https://docs.google.com/spreadshee"&amp;"ts/d/149xufxukrnEciK3WPbNpHwUK8BKEJxp3UcBG3Al6dA4/edit?usp=share_link"",""สิงห์บุรี!M306"")+IMPORTRANGE(""https://docs.google.com/spreadsheets/d/132g-zJpz2uMKimp17uOIx8A7o3w1Z25zwJyXnwsB56c/edit?usp=share_link"",""สุพรรณบุรี!M306"")+IMPORTRANGE(""https://"&amp;"docs.google.com/spreadsheets/d/12Q_U0nVnFdxDFwa0pej9xvx8ZvLC9Dpi_vRro_aiG5g/edit?usp=share_link"",""อ่างทอง!M306"")
"),0)</f>
        <v>0</v>
      </c>
      <c r="N306" s="45">
        <f ca="1">IFERROR(__xludf.DUMMYFUNCTION("IMPORTRANGE(""https://docs.google.com/spreadsheets/d/1hKO5uv94SSRZWOvrh72HRcpyoEQF9TsE_Cvxl77XNU4/edit?usp=share_link"",""กาญจนบุรี!n306"")+IMPORTRANGE(""https://docs.google.com/spreadsheets/d/1njBaP_xXd-Uotvo2D9zb01TTCFkLJLDK97Tk1l9Qux0/edit?usp=share_li"&amp;"nk"",""จันทบุรี!n306"")+IMPORTRANGE(""https://docs.google.com/spreadsheets/d/14xp6qUzrGFnUk_qnc1eEmfiaNRd4_grkhpfQH_46fa8/edit?usp=share_link"",""ฉะเชิงเทรา!n306"")+IMPORTRANGE(""https://docs.google.com/spreadsheets/d/1_Zwps30dlVa-pZFsorjVf1Pil6WXwzCsJU0U"&amp;"2whO3NI/edit?usp=share_link"",""ชลบุรี!n306"")+IMPORTRANGE(""https://docs.google.com/spreadsheets/d/1xAsT4sUbBlom7l0acStESh_15nvjZcXjZM7fK5uZSq8/edit?usp=share_link"",""ชัยนาท!n306"")+IMPORTRANGE(""https://docs.google.com/spreadsheets/d/1vWPVBOAaZ6mHSI8yf"&amp;"95DNqHwTJ1cpeFsvqt6cxV34QA/edit?usp=share_link"",""ตราด!n306"")+IMPORTRANGE(""https://docs.google.com/spreadsheets/d/1phaeSb9lTGgzDpbvVqI9hfmOQQzUom07-HEvpbARzEg/edit?usp=share_link"",""นครนายก!n306"")+IMPORTRANGE(""https://docs.google.com/spreadsheets/d/"&amp;"1tpwhWwkqkBeiSWCcfB5f2fbwPRbM9hHOEDSDHpl2MIc/edit?usp=share_link"",""นครปฐม!n306"")+IMPORTRANGE(""https://docs.google.com/spreadsheets/d/1fJJCVBkBnhriyv0Cp5ZFMr0I_yrfdEITNpb4zILJgUQ/edit?usp=share_link"",""ปทุมธานี!n306"")+IMPORTRANGE(""https://docs.googl"&amp;"e.com/spreadsheets/d/1W5Jj_S0gYw6wSO7QcMI02YgyOBDKYgmm0NSUk-AQEac/edit?usp=share_link"",""ประจวบคีรีขันธ์!n306"")+IMPORTRANGE(""https://docs.google.com/spreadsheets/d/1nYxRXgnCfTXtqUY1otYuTlnrzE0Tn-Y0YRsW5pkRVqo/edit?usp=share_link"",""ปราจีนบุรี!n306"")+"&amp;"IMPORTRANGE(""https://docs.google.com/spreadsheets/d/1nNHCLO8ZAXOMfQvxux7cf_hrzPAh8FAvaHq_ClKbZNo/edit?usp=share_link"",""พระนครศรีอยุธยา!n306"")+IMPORTRANGE(""https://docs.google.com/spreadsheets/d/1CdNicvf3i6yt4tJlCePe3V1Va76wYqW0QzMzTsaGRrA/edit?usp=sh"&amp;"are_link"",""เพชรบุรี!n306"")+IMPORTRANGE(""https://docs.google.com/spreadsheets/d/1XiF77UIVHV0Kjc6xbXuOuJ10WgJYxd4p_22ngKVV5oM/edit?usp=share_link"",""ระยอง!n306"")+IMPORTRANGE(""https://docs.google.com/spreadsheets/d/1qU-W_9MCQD1pgIVXGEOjCFo9QqlmJywueby"&amp;"GgaN92r8/edit?usp=share_link"",""ราชบุรี!n306"")+IMPORTRANGE(""https://docs.google.com/spreadsheets/d/1xYFIxIM_CspAP5Q-5Zx_V0T_Ut3cjryrjd2hss28vGk/edit?usp=share_link"",""ลพบุรี!n306"")+IMPORTRANGE(""https://docs.google.com/spreadsheets/d/11s9m3tKsCBdPWq6"&amp;"syhZm27eBGbKneDLZc75co106bio/edit?usp=share_link"",""สระแก้ว!n306"")+IMPORTRANGE(""https://docs.google.com/spreadsheets/d/1Nn1EvsFPtXldgpgVb3Rcng2K2cls68LFQsBh2FyW0Bg/edit?usp=share_link"",""สระบุรี!n306"")+IMPORTRANGE(""https://docs.google.com/spreadshee"&amp;"ts/d/149xufxukrnEciK3WPbNpHwUK8BKEJxp3UcBG3Al6dA4/edit?usp=share_link"",""สิงห์บุรี!n306"")+IMPORTRANGE(""https://docs.google.com/spreadsheets/d/132g-zJpz2uMKimp17uOIx8A7o3w1Z25zwJyXnwsB56c/edit?usp=share_link"",""สุพรรณบุรี!n306"")+IMPORTRANGE(""https://"&amp;"docs.google.com/spreadsheets/d/12Q_U0nVnFdxDFwa0pej9xvx8ZvLC9Dpi_vRro_aiG5g/edit?usp=share_link"",""อ่างทอง!n306"")
"),0)</f>
        <v>0</v>
      </c>
      <c r="O306" s="45">
        <f t="shared" ca="1" si="160"/>
        <v>0</v>
      </c>
      <c r="P306" s="45">
        <f t="shared" ca="1" si="161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20.25" customHeight="1">
      <c r="A307" s="170"/>
      <c r="B307" s="171"/>
      <c r="C307" s="164" t="s">
        <v>16</v>
      </c>
      <c r="D307" s="172" t="s">
        <v>38</v>
      </c>
      <c r="E307" s="173"/>
      <c r="F307" s="173"/>
      <c r="G307" s="174"/>
      <c r="H307" s="175"/>
      <c r="I307" s="37"/>
      <c r="J307" s="37"/>
      <c r="K307" s="38"/>
      <c r="L307" s="38"/>
      <c r="M307" s="38"/>
      <c r="N307" s="38"/>
      <c r="O307" s="38"/>
      <c r="P307" s="38"/>
    </row>
    <row r="308" spans="1:26" ht="20.25" customHeight="1">
      <c r="A308" s="170"/>
      <c r="B308" s="171"/>
      <c r="C308" s="171"/>
      <c r="D308" s="446" t="s">
        <v>140</v>
      </c>
      <c r="E308" s="177"/>
      <c r="F308" s="177"/>
      <c r="G308" s="179"/>
      <c r="H308" s="182"/>
      <c r="I308" s="37"/>
      <c r="J308" s="183">
        <f ca="1">IFERROR(__xludf.DUMMYFUNCTION("IMPORTRANGE(""https://docs.google.com/spreadsheets/d/1hKO5uv94SSRZWOvrh72HRcpyoEQF9TsE_Cvxl77XNU4/edit?usp=share_link"",""กาญจนบุรี!J308"")+IMPORTRANGE(""https://docs.google.com/spreadsheets/d/1njBaP_xXd-Uotvo2D9zb01TTCFkLJLDK97Tk1l9Qux0/edit?usp=share_li"&amp;"nk"",""จันทบุรี!J308"")+IMPORTRANGE(""https://docs.google.com/spreadsheets/d/14xp6qUzrGFnUk_qnc1eEmfiaNRd4_grkhpfQH_46fa8/edit?usp=share_link"",""ฉะเชิงเทรา!J308"")+IMPORTRANGE(""https://docs.google.com/spreadsheets/d/1_Zwps30dlVa-pZFsorjVf1Pil6WXwzCsJU0U"&amp;"2whO3NI/edit?usp=share_link"",""ชลบุรี!J308"")+IMPORTRANGE(""https://docs.google.com/spreadsheets/d/1xAsT4sUbBlom7l0acStESh_15nvjZcXjZM7fK5uZSq8/edit?usp=share_link"",""ชัยนาท!J308"")+IMPORTRANGE(""https://docs.google.com/spreadsheets/d/1vWPVBOAaZ6mHSI8yf"&amp;"95DNqHwTJ1cpeFsvqt6cxV34QA/edit?usp=share_link"",""ตราด!J308"")+IMPORTRANGE(""https://docs.google.com/spreadsheets/d/1phaeSb9lTGgzDpbvVqI9hfmOQQzUom07-HEvpbARzEg/edit?usp=share_link"",""นครนายก!J308"")+IMPORTRANGE(""https://docs.google.com/spreadsheets/d/"&amp;"1tpwhWwkqkBeiSWCcfB5f2fbwPRbM9hHOEDSDHpl2MIc/edit?usp=share_link"",""นครปฐม!J308"")+IMPORTRANGE(""https://docs.google.com/spreadsheets/d/1fJJCVBkBnhriyv0Cp5ZFMr0I_yrfdEITNpb4zILJgUQ/edit?usp=share_link"",""ปทุมธานี!J308"")+IMPORTRANGE(""https://docs.googl"&amp;"e.com/spreadsheets/d/1W5Jj_S0gYw6wSO7QcMI02YgyOBDKYgmm0NSUk-AQEac/edit?usp=share_link"",""ประจวบคีรีขันธ์!J308"")+IMPORTRANGE(""https://docs.google.com/spreadsheets/d/1nYxRXgnCfTXtqUY1otYuTlnrzE0Tn-Y0YRsW5pkRVqo/edit?usp=share_link"",""ปราจีนบุรี!J308"")+"&amp;"IMPORTRANGE(""https://docs.google.com/spreadsheets/d/1nNHCLO8ZAXOMfQvxux7cf_hrzPAh8FAvaHq_ClKbZNo/edit?usp=share_link"",""พระนครศรีอยุธยา!J308"")+IMPORTRANGE(""https://docs.google.com/spreadsheets/d/1CdNicvf3i6yt4tJlCePe3V1Va76wYqW0QzMzTsaGRrA/edit?usp=sh"&amp;"are_link"",""เพชรบุรี!J308"")+IMPORTRANGE(""https://docs.google.com/spreadsheets/d/1XiF77UIVHV0Kjc6xbXuOuJ10WgJYxd4p_22ngKVV5oM/edit?usp=share_link"",""ระยอง!J308"")+IMPORTRANGE(""https://docs.google.com/spreadsheets/d/1qU-W_9MCQD1pgIVXGEOjCFo9QqlmJywueby"&amp;"GgaN92r8/edit?usp=share_link"",""ราชบุรี!J308"")+IMPORTRANGE(""https://docs.google.com/spreadsheets/d/1xYFIxIM_CspAP5Q-5Zx_V0T_Ut3cjryrjd2hss28vGk/edit?usp=share_link"",""ลพบุรี!J308"")+IMPORTRANGE(""https://docs.google.com/spreadsheets/d/11s9m3tKsCBdPWq6"&amp;"syhZm27eBGbKneDLZc75co106bio/edit?usp=share_link"",""สระแก้ว!J308"")+IMPORTRANGE(""https://docs.google.com/spreadsheets/d/1Nn1EvsFPtXldgpgVb3Rcng2K2cls68LFQsBh2FyW0Bg/edit?usp=share_link"",""สระบุรี!J308"")+IMPORTRANGE(""https://docs.google.com/spreadshee"&amp;"ts/d/149xufxukrnEciK3WPbNpHwUK8BKEJxp3UcBG3Al6dA4/edit?usp=share_link"",""สิงห์บุรี!J308"")+IMPORTRANGE(""https://docs.google.com/spreadsheets/d/132g-zJpz2uMKimp17uOIx8A7o3w1Z25zwJyXnwsB56c/edit?usp=share_link"",""สุพรรณบุรี!J308"")+IMPORTRANGE(""https://"&amp;"docs.google.com/spreadsheets/d/12Q_U0nVnFdxDFwa0pej9xvx8ZvLC9Dpi_vRro_aiG5g/edit?usp=share_link"",""อ่างทอง!J308"")
"),6)</f>
        <v>6</v>
      </c>
      <c r="K308" s="38"/>
      <c r="L308" s="38"/>
      <c r="M308" s="38"/>
      <c r="N308" s="38"/>
      <c r="O308" s="38"/>
      <c r="P308" s="38"/>
    </row>
    <row r="309" spans="1:26" ht="20.25" customHeight="1">
      <c r="A309" s="170"/>
      <c r="B309" s="171"/>
      <c r="C309" s="171"/>
      <c r="D309" s="181" t="s">
        <v>141</v>
      </c>
      <c r="E309" s="177"/>
      <c r="F309" s="177"/>
      <c r="G309" s="179"/>
      <c r="H309" s="182" t="s">
        <v>35</v>
      </c>
      <c r="I309" s="37">
        <f ca="1">IFERROR(__xludf.DUMMYFUNCTION("IMPORTRANGE(""https://docs.google.com/spreadsheets/d/1hKO5uv94SSRZWOvrh72HRcpyoEQF9TsE_Cvxl77XNU4/edit?usp=share_link"",""กาญจนบุรี!I309"")+IMPORTRANGE(""https://docs.google.com/spreadsheets/d/1njBaP_xXd-Uotvo2D9zb01TTCFkLJLDK97Tk1l9Qux0/edit?usp=share_li"&amp;"nk"",""จันทบุรี!I309"")+IMPORTRANGE(""https://docs.google.com/spreadsheets/d/14xp6qUzrGFnUk_qnc1eEmfiaNRd4_grkhpfQH_46fa8/edit?usp=share_link"",""ฉะเชิงเทรา!I309"")+IMPORTRANGE(""https://docs.google.com/spreadsheets/d/1_Zwps30dlVa-pZFsorjVf1Pil6WXwzCsJU0U"&amp;"2whO3NI/edit?usp=share_link"",""ชลบุรี!I309"")+IMPORTRANGE(""https://docs.google.com/spreadsheets/d/1xAsT4sUbBlom7l0acStESh_15nvjZcXjZM7fK5uZSq8/edit?usp=share_link"",""ชัยนาท!I309"")+IMPORTRANGE(""https://docs.google.com/spreadsheets/d/1vWPVBOAaZ6mHSI8yf"&amp;"95DNqHwTJ1cpeFsvqt6cxV34QA/edit?usp=share_link"",""ตราด!I309"")+IMPORTRANGE(""https://docs.google.com/spreadsheets/d/1phaeSb9lTGgzDpbvVqI9hfmOQQzUom07-HEvpbARzEg/edit?usp=share_link"",""นครนายก!I309"")+IMPORTRANGE(""https://docs.google.com/spreadsheets/d/"&amp;"1tpwhWwkqkBeiSWCcfB5f2fbwPRbM9hHOEDSDHpl2MIc/edit?usp=share_link"",""นครปฐม!I309"")+IMPORTRANGE(""https://docs.google.com/spreadsheets/d/1fJJCVBkBnhriyv0Cp5ZFMr0I_yrfdEITNpb4zILJgUQ/edit?usp=share_link"",""ปทุมธานี!I309"")+IMPORTRANGE(""https://docs.googl"&amp;"e.com/spreadsheets/d/1W5Jj_S0gYw6wSO7QcMI02YgyOBDKYgmm0NSUk-AQEac/edit?usp=share_link"",""ประจวบคีรีขันธ์!I309"")+IMPORTRANGE(""https://docs.google.com/spreadsheets/d/1nYxRXgnCfTXtqUY1otYuTlnrzE0Tn-Y0YRsW5pkRVqo/edit?usp=share_link"",""ปราจีนบุรี!I309"")+"&amp;"IMPORTRANGE(""https://docs.google.com/spreadsheets/d/1nNHCLO8ZAXOMfQvxux7cf_hrzPAh8FAvaHq_ClKbZNo/edit?usp=share_link"",""พระนครศรีอยุธยา!I309"")+IMPORTRANGE(""https://docs.google.com/spreadsheets/d/1CdNicvf3i6yt4tJlCePe3V1Va76wYqW0QzMzTsaGRrA/edit?usp=sh"&amp;"are_link"",""เพชรบุรี!I309"")+IMPORTRANGE(""https://docs.google.com/spreadsheets/d/1XiF77UIVHV0Kjc6xbXuOuJ10WgJYxd4p_22ngKVV5oM/edit?usp=share_link"",""ระยอง!I309"")+IMPORTRANGE(""https://docs.google.com/spreadsheets/d/1qU-W_9MCQD1pgIVXGEOjCFo9QqlmJywueby"&amp;"GgaN92r8/edit?usp=share_link"",""ราชบุรี!I309"")+IMPORTRANGE(""https://docs.google.com/spreadsheets/d/1xYFIxIM_CspAP5Q-5Zx_V0T_Ut3cjryrjd2hss28vGk/edit?usp=share_link"",""ลพบุรี!I309"")+IMPORTRANGE(""https://docs.google.com/spreadsheets/d/11s9m3tKsCBdPWq6"&amp;"syhZm27eBGbKneDLZc75co106bio/edit?usp=share_link"",""สระแก้ว!I309"")+IMPORTRANGE(""https://docs.google.com/spreadsheets/d/1Nn1EvsFPtXldgpgVb3Rcng2K2cls68LFQsBh2FyW0Bg/edit?usp=share_link"",""สระบุรี!I309"")+IMPORTRANGE(""https://docs.google.com/spreadshee"&amp;"ts/d/149xufxukrnEciK3WPbNpHwUK8BKEJxp3UcBG3Al6dA4/edit?usp=share_link"",""สิงห์บุรี!I309"")+IMPORTRANGE(""https://docs.google.com/spreadsheets/d/132g-zJpz2uMKimp17uOIx8A7o3w1Z25zwJyXnwsB56c/edit?usp=share_link"",""สุพรรณบุรี!I309"")+IMPORTRANGE(""https://"&amp;"docs.google.com/spreadsheets/d/12Q_U0nVnFdxDFwa0pej9xvx8ZvLC9Dpi_vRro_aiG5g/edit?usp=share_link"",""อ่างทอง!I309"")
"),225)</f>
        <v>225</v>
      </c>
      <c r="J309" s="183">
        <f ca="1">IFERROR(__xludf.DUMMYFUNCTION("IMPORTRANGE(""https://docs.google.com/spreadsheets/d/1hKO5uv94SSRZWOvrh72HRcpyoEQF9TsE_Cvxl77XNU4/edit?usp=share_link"",""กาญจนบุรี!J309"")+IMPORTRANGE(""https://docs.google.com/spreadsheets/d/1njBaP_xXd-Uotvo2D9zb01TTCFkLJLDK97Tk1l9Qux0/edit?usp=share_li"&amp;"nk"",""จันทบุรี!J309"")+IMPORTRANGE(""https://docs.google.com/spreadsheets/d/14xp6qUzrGFnUk_qnc1eEmfiaNRd4_grkhpfQH_46fa8/edit?usp=share_link"",""ฉะเชิงเทรา!J309"")+IMPORTRANGE(""https://docs.google.com/spreadsheets/d/1_Zwps30dlVa-pZFsorjVf1Pil6WXwzCsJU0U"&amp;"2whO3NI/edit?usp=share_link"",""ชลบุรี!J309"")+IMPORTRANGE(""https://docs.google.com/spreadsheets/d/1xAsT4sUbBlom7l0acStESh_15nvjZcXjZM7fK5uZSq8/edit?usp=share_link"",""ชัยนาท!J309"")+IMPORTRANGE(""https://docs.google.com/spreadsheets/d/1vWPVBOAaZ6mHSI8yf"&amp;"95DNqHwTJ1cpeFsvqt6cxV34QA/edit?usp=share_link"",""ตราด!J309"")+IMPORTRANGE(""https://docs.google.com/spreadsheets/d/1phaeSb9lTGgzDpbvVqI9hfmOQQzUom07-HEvpbARzEg/edit?usp=share_link"",""นครนายก!J309"")+IMPORTRANGE(""https://docs.google.com/spreadsheets/d/"&amp;"1tpwhWwkqkBeiSWCcfB5f2fbwPRbM9hHOEDSDHpl2MIc/edit?usp=share_link"",""นครปฐม!J309"")+IMPORTRANGE(""https://docs.google.com/spreadsheets/d/1fJJCVBkBnhriyv0Cp5ZFMr0I_yrfdEITNpb4zILJgUQ/edit?usp=share_link"",""ปทุมธานี!J309"")+IMPORTRANGE(""https://docs.googl"&amp;"e.com/spreadsheets/d/1W5Jj_S0gYw6wSO7QcMI02YgyOBDKYgmm0NSUk-AQEac/edit?usp=share_link"",""ประจวบคีรีขันธ์!J309"")+IMPORTRANGE(""https://docs.google.com/spreadsheets/d/1nYxRXgnCfTXtqUY1otYuTlnrzE0Tn-Y0YRsW5pkRVqo/edit?usp=share_link"",""ปราจีนบุรี!J309"")+"&amp;"IMPORTRANGE(""https://docs.google.com/spreadsheets/d/1nNHCLO8ZAXOMfQvxux7cf_hrzPAh8FAvaHq_ClKbZNo/edit?usp=share_link"",""พระนครศรีอยุธยา!J309"")+IMPORTRANGE(""https://docs.google.com/spreadsheets/d/1CdNicvf3i6yt4tJlCePe3V1Va76wYqW0QzMzTsaGRrA/edit?usp=sh"&amp;"are_link"",""เพชรบุรี!J309"")+IMPORTRANGE(""https://docs.google.com/spreadsheets/d/1XiF77UIVHV0Kjc6xbXuOuJ10WgJYxd4p_22ngKVV5oM/edit?usp=share_link"",""ระยอง!J309"")+IMPORTRANGE(""https://docs.google.com/spreadsheets/d/1qU-W_9MCQD1pgIVXGEOjCFo9QqlmJywueby"&amp;"GgaN92r8/edit?usp=share_link"",""ราชบุรี!J309"")+IMPORTRANGE(""https://docs.google.com/spreadsheets/d/1xYFIxIM_CspAP5Q-5Zx_V0T_Ut3cjryrjd2hss28vGk/edit?usp=share_link"",""ลพบุรี!J309"")+IMPORTRANGE(""https://docs.google.com/spreadsheets/d/11s9m3tKsCBdPWq6"&amp;"syhZm27eBGbKneDLZc75co106bio/edit?usp=share_link"",""สระแก้ว!J309"")+IMPORTRANGE(""https://docs.google.com/spreadsheets/d/1Nn1EvsFPtXldgpgVb3Rcng2K2cls68LFQsBh2FyW0Bg/edit?usp=share_link"",""สระบุรี!J309"")+IMPORTRANGE(""https://docs.google.com/spreadshee"&amp;"ts/d/149xufxukrnEciK3WPbNpHwUK8BKEJxp3UcBG3Al6dA4/edit?usp=share_link"",""สิงห์บุรี!J309"")+IMPORTRANGE(""https://docs.google.com/spreadsheets/d/132g-zJpz2uMKimp17uOIx8A7o3w1Z25zwJyXnwsB56c/edit?usp=share_link"",""สุพรรณบุรี!J309"")+IMPORTRANGE(""https://"&amp;"docs.google.com/spreadsheets/d/12Q_U0nVnFdxDFwa0pej9xvx8ZvLC9Dpi_vRro_aiG5g/edit?usp=share_link"",""อ่างทอง!J309"")
"),70)</f>
        <v>70</v>
      </c>
      <c r="K309" s="38">
        <f t="shared" ref="K309:K312" ca="1" si="166">IF(I309&gt;0,J309*100/I309,0)</f>
        <v>31.111111111111111</v>
      </c>
      <c r="L309" s="38"/>
      <c r="M309" s="38"/>
      <c r="N309" s="38"/>
      <c r="O309" s="38"/>
      <c r="P309" s="38"/>
    </row>
    <row r="310" spans="1:26" ht="20.25" customHeight="1">
      <c r="A310" s="170"/>
      <c r="B310" s="171"/>
      <c r="C310" s="171"/>
      <c r="D310" s="446" t="s">
        <v>142</v>
      </c>
      <c r="E310" s="177"/>
      <c r="F310" s="177"/>
      <c r="G310" s="179"/>
      <c r="H310" s="182" t="s">
        <v>35</v>
      </c>
      <c r="I310" s="37">
        <f ca="1">IFERROR(__xludf.DUMMYFUNCTION("IMPORTRANGE(""https://docs.google.com/spreadsheets/d/1hKO5uv94SSRZWOvrh72HRcpyoEQF9TsE_Cvxl77XNU4/edit?usp=share_link"",""กาญจนบุรี!I310"")+IMPORTRANGE(""https://docs.google.com/spreadsheets/d/1njBaP_xXd-Uotvo2D9zb01TTCFkLJLDK97Tk1l9Qux0/edit?usp=share_li"&amp;"nk"",""จันทบุรี!I310"")+IMPORTRANGE(""https://docs.google.com/spreadsheets/d/14xp6qUzrGFnUk_qnc1eEmfiaNRd4_grkhpfQH_46fa8/edit?usp=share_link"",""ฉะเชิงเทรา!I310"")+IMPORTRANGE(""https://docs.google.com/spreadsheets/d/1_Zwps30dlVa-pZFsorjVf1Pil6WXwzCsJU0U"&amp;"2whO3NI/edit?usp=share_link"",""ชลบุรี!I310"")+IMPORTRANGE(""https://docs.google.com/spreadsheets/d/1xAsT4sUbBlom7l0acStESh_15nvjZcXjZM7fK5uZSq8/edit?usp=share_link"",""ชัยนาท!I310"")+IMPORTRANGE(""https://docs.google.com/spreadsheets/d/1vWPVBOAaZ6mHSI8yf"&amp;"95DNqHwTJ1cpeFsvqt6cxV34QA/edit?usp=share_link"",""ตราด!I310"")+IMPORTRANGE(""https://docs.google.com/spreadsheets/d/1phaeSb9lTGgzDpbvVqI9hfmOQQzUom07-HEvpbARzEg/edit?usp=share_link"",""นครนายก!I310"")+IMPORTRANGE(""https://docs.google.com/spreadsheets/d/"&amp;"1tpwhWwkqkBeiSWCcfB5f2fbwPRbM9hHOEDSDHpl2MIc/edit?usp=share_link"",""นครปฐม!I310"")+IMPORTRANGE(""https://docs.google.com/spreadsheets/d/1fJJCVBkBnhriyv0Cp5ZFMr0I_yrfdEITNpb4zILJgUQ/edit?usp=share_link"",""ปทุมธานี!I310"")+IMPORTRANGE(""https://docs.googl"&amp;"e.com/spreadsheets/d/1W5Jj_S0gYw6wSO7QcMI02YgyOBDKYgmm0NSUk-AQEac/edit?usp=share_link"",""ประจวบคีรีขันธ์!I310"")+IMPORTRANGE(""https://docs.google.com/spreadsheets/d/1nYxRXgnCfTXtqUY1otYuTlnrzE0Tn-Y0YRsW5pkRVqo/edit?usp=share_link"",""ปราจีนบุรี!I310"")+"&amp;"IMPORTRANGE(""https://docs.google.com/spreadsheets/d/1nNHCLO8ZAXOMfQvxux7cf_hrzPAh8FAvaHq_ClKbZNo/edit?usp=share_link"",""พระนครศรีอยุธยา!I310"")+IMPORTRANGE(""https://docs.google.com/spreadsheets/d/1CdNicvf3i6yt4tJlCePe3V1Va76wYqW0QzMzTsaGRrA/edit?usp=sh"&amp;"are_link"",""เพชรบุรี!I310"")+IMPORTRANGE(""https://docs.google.com/spreadsheets/d/1XiF77UIVHV0Kjc6xbXuOuJ10WgJYxd4p_22ngKVV5oM/edit?usp=share_link"",""ระยอง!I310"")+IMPORTRANGE(""https://docs.google.com/spreadsheets/d/1qU-W_9MCQD1pgIVXGEOjCFo9QqlmJywueby"&amp;"GgaN92r8/edit?usp=share_link"",""ราชบุรี!I310"")+IMPORTRANGE(""https://docs.google.com/spreadsheets/d/1xYFIxIM_CspAP5Q-5Zx_V0T_Ut3cjryrjd2hss28vGk/edit?usp=share_link"",""ลพบุรี!I310"")+IMPORTRANGE(""https://docs.google.com/spreadsheets/d/11s9m3tKsCBdPWq6"&amp;"syhZm27eBGbKneDLZc75co106bio/edit?usp=share_link"",""สระแก้ว!I310"")+IMPORTRANGE(""https://docs.google.com/spreadsheets/d/1Nn1EvsFPtXldgpgVb3Rcng2K2cls68LFQsBh2FyW0Bg/edit?usp=share_link"",""สระบุรี!I310"")+IMPORTRANGE(""https://docs.google.com/spreadshee"&amp;"ts/d/149xufxukrnEciK3WPbNpHwUK8BKEJxp3UcBG3Al6dA4/edit?usp=share_link"",""สิงห์บุรี!I310"")+IMPORTRANGE(""https://docs.google.com/spreadsheets/d/132g-zJpz2uMKimp17uOIx8A7o3w1Z25zwJyXnwsB56c/edit?usp=share_link"",""สุพรรณบุรี!I310"")+IMPORTRANGE(""https://"&amp;"docs.google.com/spreadsheets/d/12Q_U0nVnFdxDFwa0pej9xvx8ZvLC9Dpi_vRro_aiG5g/edit?usp=share_link"",""อ่างทอง!I310"")
"),225)</f>
        <v>225</v>
      </c>
      <c r="J310" s="183">
        <f ca="1">IFERROR(__xludf.DUMMYFUNCTION("IMPORTRANGE(""https://docs.google.com/spreadsheets/d/1hKO5uv94SSRZWOvrh72HRcpyoEQF9TsE_Cvxl77XNU4/edit?usp=share_link"",""กาญจนบุรี!J310"")+IMPORTRANGE(""https://docs.google.com/spreadsheets/d/1njBaP_xXd-Uotvo2D9zb01TTCFkLJLDK97Tk1l9Qux0/edit?usp=share_li"&amp;"nk"",""จันทบุรี!J310"")+IMPORTRANGE(""https://docs.google.com/spreadsheets/d/14xp6qUzrGFnUk_qnc1eEmfiaNRd4_grkhpfQH_46fa8/edit?usp=share_link"",""ฉะเชิงเทรา!J310"")+IMPORTRANGE(""https://docs.google.com/spreadsheets/d/1_Zwps30dlVa-pZFsorjVf1Pil6WXwzCsJU0U"&amp;"2whO3NI/edit?usp=share_link"",""ชลบุรี!J310"")+IMPORTRANGE(""https://docs.google.com/spreadsheets/d/1xAsT4sUbBlom7l0acStESh_15nvjZcXjZM7fK5uZSq8/edit?usp=share_link"",""ชัยนาท!J310"")+IMPORTRANGE(""https://docs.google.com/spreadsheets/d/1vWPVBOAaZ6mHSI8yf"&amp;"95DNqHwTJ1cpeFsvqt6cxV34QA/edit?usp=share_link"",""ตราด!J310"")+IMPORTRANGE(""https://docs.google.com/spreadsheets/d/1phaeSb9lTGgzDpbvVqI9hfmOQQzUom07-HEvpbARzEg/edit?usp=share_link"",""นครนายก!J310"")+IMPORTRANGE(""https://docs.google.com/spreadsheets/d/"&amp;"1tpwhWwkqkBeiSWCcfB5f2fbwPRbM9hHOEDSDHpl2MIc/edit?usp=share_link"",""นครปฐม!J310"")+IMPORTRANGE(""https://docs.google.com/spreadsheets/d/1fJJCVBkBnhriyv0Cp5ZFMr0I_yrfdEITNpb4zILJgUQ/edit?usp=share_link"",""ปทุมธานี!J310"")+IMPORTRANGE(""https://docs.googl"&amp;"e.com/spreadsheets/d/1W5Jj_S0gYw6wSO7QcMI02YgyOBDKYgmm0NSUk-AQEac/edit?usp=share_link"",""ประจวบคีรีขันธ์!J310"")+IMPORTRANGE(""https://docs.google.com/spreadsheets/d/1nYxRXgnCfTXtqUY1otYuTlnrzE0Tn-Y0YRsW5pkRVqo/edit?usp=share_link"",""ปราจีนบุรี!J310"")+"&amp;"IMPORTRANGE(""https://docs.google.com/spreadsheets/d/1nNHCLO8ZAXOMfQvxux7cf_hrzPAh8FAvaHq_ClKbZNo/edit?usp=share_link"",""พระนครศรีอยุธยา!J310"")+IMPORTRANGE(""https://docs.google.com/spreadsheets/d/1CdNicvf3i6yt4tJlCePe3V1Va76wYqW0QzMzTsaGRrA/edit?usp=sh"&amp;"are_link"",""เพชรบุรี!J310"")+IMPORTRANGE(""https://docs.google.com/spreadsheets/d/1XiF77UIVHV0Kjc6xbXuOuJ10WgJYxd4p_22ngKVV5oM/edit?usp=share_link"",""ระยอง!J310"")+IMPORTRANGE(""https://docs.google.com/spreadsheets/d/1qU-W_9MCQD1pgIVXGEOjCFo9QqlmJywueby"&amp;"GgaN92r8/edit?usp=share_link"",""ราชบุรี!J310"")+IMPORTRANGE(""https://docs.google.com/spreadsheets/d/1xYFIxIM_CspAP5Q-5Zx_V0T_Ut3cjryrjd2hss28vGk/edit?usp=share_link"",""ลพบุรี!J310"")+IMPORTRANGE(""https://docs.google.com/spreadsheets/d/11s9m3tKsCBdPWq6"&amp;"syhZm27eBGbKneDLZc75co106bio/edit?usp=share_link"",""สระแก้ว!J310"")+IMPORTRANGE(""https://docs.google.com/spreadsheets/d/1Nn1EvsFPtXldgpgVb3Rcng2K2cls68LFQsBh2FyW0Bg/edit?usp=share_link"",""สระบุรี!J310"")+IMPORTRANGE(""https://docs.google.com/spreadshee"&amp;"ts/d/149xufxukrnEciK3WPbNpHwUK8BKEJxp3UcBG3Al6dA4/edit?usp=share_link"",""สิงห์บุรี!J310"")+IMPORTRANGE(""https://docs.google.com/spreadsheets/d/132g-zJpz2uMKimp17uOIx8A7o3w1Z25zwJyXnwsB56c/edit?usp=share_link"",""สุพรรณบุรี!J310"")+IMPORTRANGE(""https://"&amp;"docs.google.com/spreadsheets/d/12Q_U0nVnFdxDFwa0pej9xvx8ZvLC9Dpi_vRro_aiG5g/edit?usp=share_link"",""อ่างทอง!J310"")
"),30)</f>
        <v>30</v>
      </c>
      <c r="K310" s="38">
        <f t="shared" ca="1" si="166"/>
        <v>13.333333333333334</v>
      </c>
      <c r="L310" s="38"/>
      <c r="M310" s="38"/>
      <c r="N310" s="38"/>
      <c r="O310" s="38"/>
      <c r="P310" s="38"/>
    </row>
    <row r="311" spans="1:26" ht="20.25" customHeight="1">
      <c r="A311" s="170"/>
      <c r="B311" s="171"/>
      <c r="C311" s="171"/>
      <c r="D311" s="446" t="s">
        <v>59</v>
      </c>
      <c r="E311" s="177"/>
      <c r="F311" s="177"/>
      <c r="G311" s="179"/>
      <c r="H311" s="447" t="s">
        <v>35</v>
      </c>
      <c r="I311" s="37">
        <f ca="1">IFERROR(__xludf.DUMMYFUNCTION("IMPORTRANGE(""https://docs.google.com/spreadsheets/d/1hKO5uv94SSRZWOvrh72HRcpyoEQF9TsE_Cvxl77XNU4/edit?usp=share_link"",""กาญจนบุรี!I311"")+IMPORTRANGE(""https://docs.google.com/spreadsheets/d/1njBaP_xXd-Uotvo2D9zb01TTCFkLJLDK97Tk1l9Qux0/edit?usp=share_li"&amp;"nk"",""จันทบุรี!I311"")+IMPORTRANGE(""https://docs.google.com/spreadsheets/d/14xp6qUzrGFnUk_qnc1eEmfiaNRd4_grkhpfQH_46fa8/edit?usp=share_link"",""ฉะเชิงเทรา!I311"")+IMPORTRANGE(""https://docs.google.com/spreadsheets/d/1_Zwps30dlVa-pZFsorjVf1Pil6WXwzCsJU0U"&amp;"2whO3NI/edit?usp=share_link"",""ชลบุรี!I311"")+IMPORTRANGE(""https://docs.google.com/spreadsheets/d/1xAsT4sUbBlom7l0acStESh_15nvjZcXjZM7fK5uZSq8/edit?usp=share_link"",""ชัยนาท!I311"")+IMPORTRANGE(""https://docs.google.com/spreadsheets/d/1vWPVBOAaZ6mHSI8yf"&amp;"95DNqHwTJ1cpeFsvqt6cxV34QA/edit?usp=share_link"",""ตราด!I311"")+IMPORTRANGE(""https://docs.google.com/spreadsheets/d/1phaeSb9lTGgzDpbvVqI9hfmOQQzUom07-HEvpbARzEg/edit?usp=share_link"",""นครนายก!I311"")+IMPORTRANGE(""https://docs.google.com/spreadsheets/d/"&amp;"1tpwhWwkqkBeiSWCcfB5f2fbwPRbM9hHOEDSDHpl2MIc/edit?usp=share_link"",""นครปฐม!I311"")+IMPORTRANGE(""https://docs.google.com/spreadsheets/d/1fJJCVBkBnhriyv0Cp5ZFMr0I_yrfdEITNpb4zILJgUQ/edit?usp=share_link"",""ปทุมธานี!I311"")+IMPORTRANGE(""https://docs.googl"&amp;"e.com/spreadsheets/d/1W5Jj_S0gYw6wSO7QcMI02YgyOBDKYgmm0NSUk-AQEac/edit?usp=share_link"",""ประจวบคีรีขันธ์!I311"")+IMPORTRANGE(""https://docs.google.com/spreadsheets/d/1nYxRXgnCfTXtqUY1otYuTlnrzE0Tn-Y0YRsW5pkRVqo/edit?usp=share_link"",""ปราจีนบุรี!I311"")+"&amp;"IMPORTRANGE(""https://docs.google.com/spreadsheets/d/1nNHCLO8ZAXOMfQvxux7cf_hrzPAh8FAvaHq_ClKbZNo/edit?usp=share_link"",""พระนครศรีอยุธยา!I311"")+IMPORTRANGE(""https://docs.google.com/spreadsheets/d/1CdNicvf3i6yt4tJlCePe3V1Va76wYqW0QzMzTsaGRrA/edit?usp=sh"&amp;"are_link"",""เพชรบุรี!I311"")+IMPORTRANGE(""https://docs.google.com/spreadsheets/d/1XiF77UIVHV0Kjc6xbXuOuJ10WgJYxd4p_22ngKVV5oM/edit?usp=share_link"",""ระยอง!I311"")+IMPORTRANGE(""https://docs.google.com/spreadsheets/d/1qU-W_9MCQD1pgIVXGEOjCFo9QqlmJywueby"&amp;"GgaN92r8/edit?usp=share_link"",""ราชบุรี!I311"")+IMPORTRANGE(""https://docs.google.com/spreadsheets/d/1xYFIxIM_CspAP5Q-5Zx_V0T_Ut3cjryrjd2hss28vGk/edit?usp=share_link"",""ลพบุรี!I311"")+IMPORTRANGE(""https://docs.google.com/spreadsheets/d/11s9m3tKsCBdPWq6"&amp;"syhZm27eBGbKneDLZc75co106bio/edit?usp=share_link"",""สระแก้ว!I311"")+IMPORTRANGE(""https://docs.google.com/spreadsheets/d/1Nn1EvsFPtXldgpgVb3Rcng2K2cls68LFQsBh2FyW0Bg/edit?usp=share_link"",""สระบุรี!I311"")+IMPORTRANGE(""https://docs.google.com/spreadshee"&amp;"ts/d/149xufxukrnEciK3WPbNpHwUK8BKEJxp3UcBG3Al6dA4/edit?usp=share_link"",""สิงห์บุรี!I311"")+IMPORTRANGE(""https://docs.google.com/spreadsheets/d/132g-zJpz2uMKimp17uOIx8A7o3w1Z25zwJyXnwsB56c/edit?usp=share_link"",""สุพรรณบุรี!I311"")+IMPORTRANGE(""https://"&amp;"docs.google.com/spreadsheets/d/12Q_U0nVnFdxDFwa0pej9xvx8ZvLC9Dpi_vRro_aiG5g/edit?usp=share_link"",""อ่างทอง!I311"")
"),225)</f>
        <v>225</v>
      </c>
      <c r="J311" s="183">
        <f ca="1">IFERROR(__xludf.DUMMYFUNCTION("IMPORTRANGE(""https://docs.google.com/spreadsheets/d/1hKO5uv94SSRZWOvrh72HRcpyoEQF9TsE_Cvxl77XNU4/edit?usp=share_link"",""กาญจนบุรี!J311"")+IMPORTRANGE(""https://docs.google.com/spreadsheets/d/1njBaP_xXd-Uotvo2D9zb01TTCFkLJLDK97Tk1l9Qux0/edit?usp=share_li"&amp;"nk"",""จันทบุรี!J311"")+IMPORTRANGE(""https://docs.google.com/spreadsheets/d/14xp6qUzrGFnUk_qnc1eEmfiaNRd4_grkhpfQH_46fa8/edit?usp=share_link"",""ฉะเชิงเทรา!J311"")+IMPORTRANGE(""https://docs.google.com/spreadsheets/d/1_Zwps30dlVa-pZFsorjVf1Pil6WXwzCsJU0U"&amp;"2whO3NI/edit?usp=share_link"",""ชลบุรี!J311"")+IMPORTRANGE(""https://docs.google.com/spreadsheets/d/1xAsT4sUbBlom7l0acStESh_15nvjZcXjZM7fK5uZSq8/edit?usp=share_link"",""ชัยนาท!J311"")+IMPORTRANGE(""https://docs.google.com/spreadsheets/d/1vWPVBOAaZ6mHSI8yf"&amp;"95DNqHwTJ1cpeFsvqt6cxV34QA/edit?usp=share_link"",""ตราด!J311"")+IMPORTRANGE(""https://docs.google.com/spreadsheets/d/1phaeSb9lTGgzDpbvVqI9hfmOQQzUom07-HEvpbARzEg/edit?usp=share_link"",""นครนายก!J311"")+IMPORTRANGE(""https://docs.google.com/spreadsheets/d/"&amp;"1tpwhWwkqkBeiSWCcfB5f2fbwPRbM9hHOEDSDHpl2MIc/edit?usp=share_link"",""นครปฐม!J311"")+IMPORTRANGE(""https://docs.google.com/spreadsheets/d/1fJJCVBkBnhriyv0Cp5ZFMr0I_yrfdEITNpb4zILJgUQ/edit?usp=share_link"",""ปทุมธานี!J311"")+IMPORTRANGE(""https://docs.googl"&amp;"e.com/spreadsheets/d/1W5Jj_S0gYw6wSO7QcMI02YgyOBDKYgmm0NSUk-AQEac/edit?usp=share_link"",""ประจวบคีรีขันธ์!J311"")+IMPORTRANGE(""https://docs.google.com/spreadsheets/d/1nYxRXgnCfTXtqUY1otYuTlnrzE0Tn-Y0YRsW5pkRVqo/edit?usp=share_link"",""ปราจีนบุรี!J311"")+"&amp;"IMPORTRANGE(""https://docs.google.com/spreadsheets/d/1nNHCLO8ZAXOMfQvxux7cf_hrzPAh8FAvaHq_ClKbZNo/edit?usp=share_link"",""พระนครศรีอยุธยา!J311"")+IMPORTRANGE(""https://docs.google.com/spreadsheets/d/1CdNicvf3i6yt4tJlCePe3V1Va76wYqW0QzMzTsaGRrA/edit?usp=sh"&amp;"are_link"",""เพชรบุรี!J311"")+IMPORTRANGE(""https://docs.google.com/spreadsheets/d/1XiF77UIVHV0Kjc6xbXuOuJ10WgJYxd4p_22ngKVV5oM/edit?usp=share_link"",""ระยอง!J311"")+IMPORTRANGE(""https://docs.google.com/spreadsheets/d/1qU-W_9MCQD1pgIVXGEOjCFo9QqlmJywueby"&amp;"GgaN92r8/edit?usp=share_link"",""ราชบุรี!J311"")+IMPORTRANGE(""https://docs.google.com/spreadsheets/d/1xYFIxIM_CspAP5Q-5Zx_V0T_Ut3cjryrjd2hss28vGk/edit?usp=share_link"",""ลพบุรี!J311"")+IMPORTRANGE(""https://docs.google.com/spreadsheets/d/11s9m3tKsCBdPWq6"&amp;"syhZm27eBGbKneDLZc75co106bio/edit?usp=share_link"",""สระแก้ว!J311"")+IMPORTRANGE(""https://docs.google.com/spreadsheets/d/1Nn1EvsFPtXldgpgVb3Rcng2K2cls68LFQsBh2FyW0Bg/edit?usp=share_link"",""สระบุรี!J311"")+IMPORTRANGE(""https://docs.google.com/spreadshee"&amp;"ts/d/149xufxukrnEciK3WPbNpHwUK8BKEJxp3UcBG3Al6dA4/edit?usp=share_link"",""สิงห์บุรี!J311"")+IMPORTRANGE(""https://docs.google.com/spreadsheets/d/132g-zJpz2uMKimp17uOIx8A7o3w1Z25zwJyXnwsB56c/edit?usp=share_link"",""สุพรรณบุรี!J311"")+IMPORTRANGE(""https://"&amp;"docs.google.com/spreadsheets/d/12Q_U0nVnFdxDFwa0pej9xvx8ZvLC9Dpi_vRro_aiG5g/edit?usp=share_link"",""อ่างทอง!J311"")
"),0)</f>
        <v>0</v>
      </c>
      <c r="K311" s="38">
        <f t="shared" ca="1" si="166"/>
        <v>0</v>
      </c>
      <c r="L311" s="38"/>
      <c r="M311" s="38"/>
      <c r="N311" s="38"/>
      <c r="O311" s="38"/>
      <c r="P311" s="38"/>
    </row>
    <row r="312" spans="1:26" ht="20.25" customHeight="1">
      <c r="A312" s="170"/>
      <c r="B312" s="171"/>
      <c r="C312" s="171"/>
      <c r="D312" s="446" t="s">
        <v>143</v>
      </c>
      <c r="E312" s="177"/>
      <c r="F312" s="177"/>
      <c r="G312" s="179"/>
      <c r="H312" s="182" t="s">
        <v>35</v>
      </c>
      <c r="I312" s="37">
        <f ca="1">IFERROR(__xludf.DUMMYFUNCTION("IMPORTRANGE(""https://docs.google.com/spreadsheets/d/1hKO5uv94SSRZWOvrh72HRcpyoEQF9TsE_Cvxl77XNU4/edit?usp=share_link"",""กาญจนบุรี!I312"")+IMPORTRANGE(""https://docs.google.com/spreadsheets/d/1njBaP_xXd-Uotvo2D9zb01TTCFkLJLDK97Tk1l9Qux0/edit?usp=share_li"&amp;"nk"",""จันทบุรี!I312"")+IMPORTRANGE(""https://docs.google.com/spreadsheets/d/14xp6qUzrGFnUk_qnc1eEmfiaNRd4_grkhpfQH_46fa8/edit?usp=share_link"",""ฉะเชิงเทรา!I312"")+IMPORTRANGE(""https://docs.google.com/spreadsheets/d/1_Zwps30dlVa-pZFsorjVf1Pil6WXwzCsJU0U"&amp;"2whO3NI/edit?usp=share_link"",""ชลบุรี!I312"")+IMPORTRANGE(""https://docs.google.com/spreadsheets/d/1xAsT4sUbBlom7l0acStESh_15nvjZcXjZM7fK5uZSq8/edit?usp=share_link"",""ชัยนาท!I312"")+IMPORTRANGE(""https://docs.google.com/spreadsheets/d/1vWPVBOAaZ6mHSI8yf"&amp;"95DNqHwTJ1cpeFsvqt6cxV34QA/edit?usp=share_link"",""ตราด!I312"")+IMPORTRANGE(""https://docs.google.com/spreadsheets/d/1phaeSb9lTGgzDpbvVqI9hfmOQQzUom07-HEvpbARzEg/edit?usp=share_link"",""นครนายก!I312"")+IMPORTRANGE(""https://docs.google.com/spreadsheets/d/"&amp;"1tpwhWwkqkBeiSWCcfB5f2fbwPRbM9hHOEDSDHpl2MIc/edit?usp=share_link"",""นครปฐม!I312"")+IMPORTRANGE(""https://docs.google.com/spreadsheets/d/1fJJCVBkBnhriyv0Cp5ZFMr0I_yrfdEITNpb4zILJgUQ/edit?usp=share_link"",""ปทุมธานี!I312"")+IMPORTRANGE(""https://docs.googl"&amp;"e.com/spreadsheets/d/1W5Jj_S0gYw6wSO7QcMI02YgyOBDKYgmm0NSUk-AQEac/edit?usp=share_link"",""ประจวบคีรีขันธ์!I312"")+IMPORTRANGE(""https://docs.google.com/spreadsheets/d/1nYxRXgnCfTXtqUY1otYuTlnrzE0Tn-Y0YRsW5pkRVqo/edit?usp=share_link"",""ปราจีนบุรี!I312"")+"&amp;"IMPORTRANGE(""https://docs.google.com/spreadsheets/d/1nNHCLO8ZAXOMfQvxux7cf_hrzPAh8FAvaHq_ClKbZNo/edit?usp=share_link"",""พระนครศรีอยุธยา!I312"")+IMPORTRANGE(""https://docs.google.com/spreadsheets/d/1CdNicvf3i6yt4tJlCePe3V1Va76wYqW0QzMzTsaGRrA/edit?usp=sh"&amp;"are_link"",""เพชรบุรี!I312"")+IMPORTRANGE(""https://docs.google.com/spreadsheets/d/1XiF77UIVHV0Kjc6xbXuOuJ10WgJYxd4p_22ngKVV5oM/edit?usp=share_link"",""ระยอง!I312"")+IMPORTRANGE(""https://docs.google.com/spreadsheets/d/1qU-W_9MCQD1pgIVXGEOjCFo9QqlmJywueby"&amp;"GgaN92r8/edit?usp=share_link"",""ราชบุรี!I312"")+IMPORTRANGE(""https://docs.google.com/spreadsheets/d/1xYFIxIM_CspAP5Q-5Zx_V0T_Ut3cjryrjd2hss28vGk/edit?usp=share_link"",""ลพบุรี!I312"")+IMPORTRANGE(""https://docs.google.com/spreadsheets/d/11s9m3tKsCBdPWq6"&amp;"syhZm27eBGbKneDLZc75co106bio/edit?usp=share_link"",""สระแก้ว!I312"")+IMPORTRANGE(""https://docs.google.com/spreadsheets/d/1Nn1EvsFPtXldgpgVb3Rcng2K2cls68LFQsBh2FyW0Bg/edit?usp=share_link"",""สระบุรี!I312"")+IMPORTRANGE(""https://docs.google.com/spreadshee"&amp;"ts/d/149xufxukrnEciK3WPbNpHwUK8BKEJxp3UcBG3Al6dA4/edit?usp=share_link"",""สิงห์บุรี!I312"")+IMPORTRANGE(""https://docs.google.com/spreadsheets/d/132g-zJpz2uMKimp17uOIx8A7o3w1Z25zwJyXnwsB56c/edit?usp=share_link"",""สุพรรณบุรี!I312"")+IMPORTRANGE(""https://"&amp;"docs.google.com/spreadsheets/d/12Q_U0nVnFdxDFwa0pej9xvx8ZvLC9Dpi_vRro_aiG5g/edit?usp=share_link"",""อ่างทอง!I312"")
"),45)</f>
        <v>45</v>
      </c>
      <c r="J312" s="183">
        <f ca="1">IFERROR(__xludf.DUMMYFUNCTION("IMPORTRANGE(""https://docs.google.com/spreadsheets/d/1hKO5uv94SSRZWOvrh72HRcpyoEQF9TsE_Cvxl77XNU4/edit?usp=share_link"",""กาญจนบุรี!J312"")+IMPORTRANGE(""https://docs.google.com/spreadsheets/d/1njBaP_xXd-Uotvo2D9zb01TTCFkLJLDK97Tk1l9Qux0/edit?usp=share_li"&amp;"nk"",""จันทบุรี!J312"")+IMPORTRANGE(""https://docs.google.com/spreadsheets/d/14xp6qUzrGFnUk_qnc1eEmfiaNRd4_grkhpfQH_46fa8/edit?usp=share_link"",""ฉะเชิงเทรา!J312"")+IMPORTRANGE(""https://docs.google.com/spreadsheets/d/1_Zwps30dlVa-pZFsorjVf1Pil6WXwzCsJU0U"&amp;"2whO3NI/edit?usp=share_link"",""ชลบุรี!J312"")+IMPORTRANGE(""https://docs.google.com/spreadsheets/d/1xAsT4sUbBlom7l0acStESh_15nvjZcXjZM7fK5uZSq8/edit?usp=share_link"",""ชัยนาท!J312"")+IMPORTRANGE(""https://docs.google.com/spreadsheets/d/1vWPVBOAaZ6mHSI8yf"&amp;"95DNqHwTJ1cpeFsvqt6cxV34QA/edit?usp=share_link"",""ตราด!J312"")+IMPORTRANGE(""https://docs.google.com/spreadsheets/d/1phaeSb9lTGgzDpbvVqI9hfmOQQzUom07-HEvpbARzEg/edit?usp=share_link"",""นครนายก!J312"")+IMPORTRANGE(""https://docs.google.com/spreadsheets/d/"&amp;"1tpwhWwkqkBeiSWCcfB5f2fbwPRbM9hHOEDSDHpl2MIc/edit?usp=share_link"",""นครปฐม!J312"")+IMPORTRANGE(""https://docs.google.com/spreadsheets/d/1fJJCVBkBnhriyv0Cp5ZFMr0I_yrfdEITNpb4zILJgUQ/edit?usp=share_link"",""ปทุมธานี!J312"")+IMPORTRANGE(""https://docs.googl"&amp;"e.com/spreadsheets/d/1W5Jj_S0gYw6wSO7QcMI02YgyOBDKYgmm0NSUk-AQEac/edit?usp=share_link"",""ประจวบคีรีขันธ์!J312"")+IMPORTRANGE(""https://docs.google.com/spreadsheets/d/1nYxRXgnCfTXtqUY1otYuTlnrzE0Tn-Y0YRsW5pkRVqo/edit?usp=share_link"",""ปราจีนบุรี!J312"")+"&amp;"IMPORTRANGE(""https://docs.google.com/spreadsheets/d/1nNHCLO8ZAXOMfQvxux7cf_hrzPAh8FAvaHq_ClKbZNo/edit?usp=share_link"",""พระนครศรีอยุธยา!J312"")+IMPORTRANGE(""https://docs.google.com/spreadsheets/d/1CdNicvf3i6yt4tJlCePe3V1Va76wYqW0QzMzTsaGRrA/edit?usp=sh"&amp;"are_link"",""เพชรบุรี!J312"")+IMPORTRANGE(""https://docs.google.com/spreadsheets/d/1XiF77UIVHV0Kjc6xbXuOuJ10WgJYxd4p_22ngKVV5oM/edit?usp=share_link"",""ระยอง!J312"")+IMPORTRANGE(""https://docs.google.com/spreadsheets/d/1qU-W_9MCQD1pgIVXGEOjCFo9QqlmJywueby"&amp;"GgaN92r8/edit?usp=share_link"",""ราชบุรี!J312"")+IMPORTRANGE(""https://docs.google.com/spreadsheets/d/1xYFIxIM_CspAP5Q-5Zx_V0T_Ut3cjryrjd2hss28vGk/edit?usp=share_link"",""ลพบุรี!J312"")+IMPORTRANGE(""https://docs.google.com/spreadsheets/d/11s9m3tKsCBdPWq6"&amp;"syhZm27eBGbKneDLZc75co106bio/edit?usp=share_link"",""สระแก้ว!J312"")+IMPORTRANGE(""https://docs.google.com/spreadsheets/d/1Nn1EvsFPtXldgpgVb3Rcng2K2cls68LFQsBh2FyW0Bg/edit?usp=share_link"",""สระบุรี!J312"")+IMPORTRANGE(""https://docs.google.com/spreadshee"&amp;"ts/d/149xufxukrnEciK3WPbNpHwUK8BKEJxp3UcBG3Al6dA4/edit?usp=share_link"",""สิงห์บุรี!J312"")+IMPORTRANGE(""https://docs.google.com/spreadsheets/d/132g-zJpz2uMKimp17uOIx8A7o3w1Z25zwJyXnwsB56c/edit?usp=share_link"",""สุพรรณบุรี!J312"")+IMPORTRANGE(""https://"&amp;"docs.google.com/spreadsheets/d/12Q_U0nVnFdxDFwa0pej9xvx8ZvLC9Dpi_vRro_aiG5g/edit?usp=share_link"",""อ่างทอง!J312"")
"),0)</f>
        <v>0</v>
      </c>
      <c r="K312" s="38">
        <f t="shared" ca="1" si="166"/>
        <v>0</v>
      </c>
      <c r="L312" s="38"/>
      <c r="M312" s="38"/>
      <c r="N312" s="38"/>
      <c r="O312" s="38"/>
      <c r="P312" s="38"/>
    </row>
    <row r="313" spans="1:26" ht="20.25" customHeight="1">
      <c r="A313" s="431" t="s">
        <v>144</v>
      </c>
      <c r="B313" s="432"/>
      <c r="C313" s="432"/>
      <c r="D313" s="433"/>
      <c r="E313" s="432"/>
      <c r="F313" s="432"/>
      <c r="G313" s="432"/>
      <c r="H313" s="448"/>
      <c r="I313" s="436"/>
      <c r="J313" s="436"/>
      <c r="K313" s="437"/>
      <c r="L313" s="437"/>
      <c r="M313" s="437"/>
      <c r="N313" s="437"/>
      <c r="O313" s="437"/>
      <c r="P313" s="437"/>
    </row>
    <row r="314" spans="1:26" ht="20.25" customHeight="1">
      <c r="A314" s="449"/>
      <c r="B314" s="439" t="s">
        <v>145</v>
      </c>
      <c r="C314" s="450"/>
      <c r="D314" s="451"/>
      <c r="E314" s="440"/>
      <c r="F314" s="440"/>
      <c r="G314" s="441"/>
      <c r="H314" s="442" t="s">
        <v>146</v>
      </c>
      <c r="I314" s="443">
        <f t="shared" ref="I314:J314" ca="1" si="167">I325</f>
        <v>5</v>
      </c>
      <c r="J314" s="443">
        <f t="shared" ca="1" si="167"/>
        <v>2</v>
      </c>
      <c r="K314" s="444">
        <f ca="1">IF(I314&gt;0,J314*100/I314,0)</f>
        <v>40</v>
      </c>
      <c r="L314" s="445"/>
      <c r="M314" s="445"/>
      <c r="N314" s="445"/>
      <c r="O314" s="445"/>
      <c r="P314" s="445"/>
    </row>
    <row r="315" spans="1:26" ht="20.25" customHeight="1">
      <c r="A315" s="147"/>
      <c r="B315" s="148"/>
      <c r="C315" s="149" t="s">
        <v>16</v>
      </c>
      <c r="D315" s="150" t="s">
        <v>17</v>
      </c>
      <c r="E315" s="148"/>
      <c r="F315" s="148"/>
      <c r="G315" s="151"/>
      <c r="H315" s="152" t="s">
        <v>12</v>
      </c>
      <c r="I315" s="153"/>
      <c r="J315" s="153"/>
      <c r="K315" s="154"/>
      <c r="L315" s="155">
        <f t="shared" ref="L315:N315" ca="1" si="168">L316+L317</f>
        <v>459000</v>
      </c>
      <c r="M315" s="155">
        <f t="shared" ca="1" si="168"/>
        <v>229500</v>
      </c>
      <c r="N315" s="155">
        <f t="shared" ca="1" si="168"/>
        <v>87098.59</v>
      </c>
      <c r="O315" s="155">
        <f t="shared" ref="O315:O323" ca="1" si="169">IF(L315&gt;0,N315*100/L315,0)</f>
        <v>18.975727668845316</v>
      </c>
      <c r="P315" s="155">
        <f t="shared" ref="P315:P323" ca="1" si="170">IF(M315&gt;0,N315*100/M315,0)</f>
        <v>37.951455337690632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20.25" hidden="1" customHeight="1">
      <c r="A316" s="156"/>
      <c r="B316" s="40"/>
      <c r="C316" s="40"/>
      <c r="D316" s="40"/>
      <c r="E316" s="41" t="s">
        <v>18</v>
      </c>
      <c r="F316" s="40"/>
      <c r="G316" s="157"/>
      <c r="H316" s="158" t="s">
        <v>12</v>
      </c>
      <c r="I316" s="44"/>
      <c r="J316" s="44"/>
      <c r="K316" s="45"/>
      <c r="L316" s="45">
        <f t="shared" ref="L316:N316" si="171">L319+L322</f>
        <v>0</v>
      </c>
      <c r="M316" s="45">
        <f t="shared" si="171"/>
        <v>0</v>
      </c>
      <c r="N316" s="45">
        <f t="shared" si="171"/>
        <v>0</v>
      </c>
      <c r="O316" s="45">
        <f t="shared" si="169"/>
        <v>0</v>
      </c>
      <c r="P316" s="45">
        <f t="shared" si="170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20.25" hidden="1" customHeight="1">
      <c r="A317" s="156"/>
      <c r="B317" s="40"/>
      <c r="C317" s="40"/>
      <c r="D317" s="40"/>
      <c r="E317" s="41" t="s">
        <v>19</v>
      </c>
      <c r="F317" s="40"/>
      <c r="G317" s="157"/>
      <c r="H317" s="158" t="s">
        <v>12</v>
      </c>
      <c r="I317" s="44"/>
      <c r="J317" s="44"/>
      <c r="K317" s="45"/>
      <c r="L317" s="45">
        <f t="shared" ref="L317:N317" ca="1" si="172">L320+L323</f>
        <v>459000</v>
      </c>
      <c r="M317" s="45">
        <f t="shared" ca="1" si="172"/>
        <v>229500</v>
      </c>
      <c r="N317" s="45">
        <f t="shared" ca="1" si="172"/>
        <v>87098.59</v>
      </c>
      <c r="O317" s="45">
        <f t="shared" ca="1" si="169"/>
        <v>18.975727668845316</v>
      </c>
      <c r="P317" s="45">
        <f t="shared" ca="1" si="170"/>
        <v>37.951455337690632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20.25" customHeight="1">
      <c r="A318" s="159"/>
      <c r="B318" s="33"/>
      <c r="C318" s="160"/>
      <c r="D318" s="34" t="s">
        <v>20</v>
      </c>
      <c r="E318" s="33"/>
      <c r="F318" s="33"/>
      <c r="G318" s="35"/>
      <c r="H318" s="161" t="s">
        <v>12</v>
      </c>
      <c r="I318" s="162"/>
      <c r="J318" s="162"/>
      <c r="K318" s="163"/>
      <c r="L318" s="38">
        <f t="shared" ref="L318:N318" ca="1" si="173">L319+L320</f>
        <v>459000</v>
      </c>
      <c r="M318" s="38">
        <f t="shared" ca="1" si="173"/>
        <v>229500</v>
      </c>
      <c r="N318" s="38">
        <f t="shared" ca="1" si="173"/>
        <v>87098.59</v>
      </c>
      <c r="O318" s="38">
        <f t="shared" ca="1" si="169"/>
        <v>18.975727668845316</v>
      </c>
      <c r="P318" s="38">
        <f t="shared" ca="1" si="170"/>
        <v>37.951455337690632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20.25" hidden="1" customHeight="1">
      <c r="A319" s="156"/>
      <c r="B319" s="40"/>
      <c r="C319" s="164"/>
      <c r="D319" s="40"/>
      <c r="E319" s="41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45">
        <f t="shared" si="169"/>
        <v>0</v>
      </c>
      <c r="P319" s="45">
        <f t="shared" si="170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20.25" hidden="1" customHeight="1">
      <c r="A320" s="156"/>
      <c r="B320" s="40"/>
      <c r="C320" s="164"/>
      <c r="D320" s="40"/>
      <c r="E320" s="41" t="s">
        <v>37</v>
      </c>
      <c r="F320" s="40"/>
      <c r="G320" s="157"/>
      <c r="H320" s="165" t="s">
        <v>12</v>
      </c>
      <c r="I320" s="166"/>
      <c r="J320" s="166"/>
      <c r="K320" s="167"/>
      <c r="L320" s="45">
        <f ca="1">IFERROR(__xludf.DUMMYFUNCTION("IMPORTRANGE(""https://docs.google.com/spreadsheets/d/1hKO5uv94SSRZWOvrh72HRcpyoEQF9TsE_Cvxl77XNU4/edit?usp=share_link"",""กาญจนบุรี!L320"")+IMPORTRANGE(""https://docs.google.com/spreadsheets/d/1njBaP_xXd-Uotvo2D9zb01TTCFkLJLDK97Tk1l9Qux0/edit?usp=share_li"&amp;"nk"",""จันทบุรี!L320"")+IMPORTRANGE(""https://docs.google.com/spreadsheets/d/14xp6qUzrGFnUk_qnc1eEmfiaNRd4_grkhpfQH_46fa8/edit?usp=share_link"",""ฉะเชิงเทรา!L320"")+IMPORTRANGE(""https://docs.google.com/spreadsheets/d/1_Zwps30dlVa-pZFsorjVf1Pil6WXwzCsJU0U"&amp;"2whO3NI/edit?usp=share_link"",""ชลบุรี!L320"")+IMPORTRANGE(""https://docs.google.com/spreadsheets/d/1xAsT4sUbBlom7l0acStESh_15nvjZcXjZM7fK5uZSq8/edit?usp=share_link"",""ชัยนาท!L320"")+IMPORTRANGE(""https://docs.google.com/spreadsheets/d/1vWPVBOAaZ6mHSI8yf"&amp;"95DNqHwTJ1cpeFsvqt6cxV34QA/edit?usp=share_link"",""ตราด!L320"")+IMPORTRANGE(""https://docs.google.com/spreadsheets/d/1phaeSb9lTGgzDpbvVqI9hfmOQQzUom07-HEvpbARzEg/edit?usp=share_link"",""นครนายก!L320"")+IMPORTRANGE(""https://docs.google.com/spreadsheets/d/"&amp;"1tpwhWwkqkBeiSWCcfB5f2fbwPRbM9hHOEDSDHpl2MIc/edit?usp=share_link"",""นครปฐม!L320"")+IMPORTRANGE(""https://docs.google.com/spreadsheets/d/1fJJCVBkBnhriyv0Cp5ZFMr0I_yrfdEITNpb4zILJgUQ/edit?usp=share_link"",""ปทุมธานี!L320"")+IMPORTRANGE(""https://docs.googl"&amp;"e.com/spreadsheets/d/1W5Jj_S0gYw6wSO7QcMI02YgyOBDKYgmm0NSUk-AQEac/edit?usp=share_link"",""ประจวบคีรีขันธ์!L320"")+IMPORTRANGE(""https://docs.google.com/spreadsheets/d/1nYxRXgnCfTXtqUY1otYuTlnrzE0Tn-Y0YRsW5pkRVqo/edit?usp=share_link"",""ปราจีนบุรี!L320"")+"&amp;"IMPORTRANGE(""https://docs.google.com/spreadsheets/d/1nNHCLO8ZAXOMfQvxux7cf_hrzPAh8FAvaHq_ClKbZNo/edit?usp=share_link"",""พระนครศรีอยุธยา!L320"")+IMPORTRANGE(""https://docs.google.com/spreadsheets/d/1CdNicvf3i6yt4tJlCePe3V1Va76wYqW0QzMzTsaGRrA/edit?usp=sh"&amp;"are_link"",""เพชรบุรี!L320"")+IMPORTRANGE(""https://docs.google.com/spreadsheets/d/1XiF77UIVHV0Kjc6xbXuOuJ10WgJYxd4p_22ngKVV5oM/edit?usp=share_link"",""ระยอง!L320"")+IMPORTRANGE(""https://docs.google.com/spreadsheets/d/1qU-W_9MCQD1pgIVXGEOjCFo9QqlmJywueby"&amp;"GgaN92r8/edit?usp=share_link"",""ราชบุรี!L320"")+IMPORTRANGE(""https://docs.google.com/spreadsheets/d/1xYFIxIM_CspAP5Q-5Zx_V0T_Ut3cjryrjd2hss28vGk/edit?usp=share_link"",""ลพบุรี!L320"")+IMPORTRANGE(""https://docs.google.com/spreadsheets/d/11s9m3tKsCBdPWq6"&amp;"syhZm27eBGbKneDLZc75co106bio/edit?usp=share_link"",""สระแก้ว!L320"")+IMPORTRANGE(""https://docs.google.com/spreadsheets/d/1Nn1EvsFPtXldgpgVb3Rcng2K2cls68LFQsBh2FyW0Bg/edit?usp=share_link"",""สระบุรี!L320"")+IMPORTRANGE(""https://docs.google.com/spreadshee"&amp;"ts/d/149xufxukrnEciK3WPbNpHwUK8BKEJxp3UcBG3Al6dA4/edit?usp=share_link"",""สิงห์บุรี!L320"")+IMPORTRANGE(""https://docs.google.com/spreadsheets/d/132g-zJpz2uMKimp17uOIx8A7o3w1Z25zwJyXnwsB56c/edit?usp=share_link"",""สุพรรณบุรี!L320"")+IMPORTRANGE(""https://"&amp;"docs.google.com/spreadsheets/d/12Q_U0nVnFdxDFwa0pej9xvx8ZvLC9Dpi_vRro_aiG5g/edit?usp=share_link"",""อ่างทอง!L320"")
"),459000)</f>
        <v>459000</v>
      </c>
      <c r="M320" s="45">
        <f ca="1">IFERROR(__xludf.DUMMYFUNCTION("IMPORTRANGE(""https://docs.google.com/spreadsheets/d/1hKO5uv94SSRZWOvrh72HRcpyoEQF9TsE_Cvxl77XNU4/edit?usp=share_link"",""กาญจนบุรี!M320"")+IMPORTRANGE(""https://docs.google.com/spreadsheets/d/1njBaP_xXd-Uotvo2D9zb01TTCFkLJLDK97Tk1l9Qux0/edit?usp=share_li"&amp;"nk"",""จันทบุรี!M320"")+IMPORTRANGE(""https://docs.google.com/spreadsheets/d/14xp6qUzrGFnUk_qnc1eEmfiaNRd4_grkhpfQH_46fa8/edit?usp=share_link"",""ฉะเชิงเทรา!M320"")+IMPORTRANGE(""https://docs.google.com/spreadsheets/d/1_Zwps30dlVa-pZFsorjVf1Pil6WXwzCsJU0U"&amp;"2whO3NI/edit?usp=share_link"",""ชลบุรี!M320"")+IMPORTRANGE(""https://docs.google.com/spreadsheets/d/1xAsT4sUbBlom7l0acStESh_15nvjZcXjZM7fK5uZSq8/edit?usp=share_link"",""ชัยนาท!M320"")+IMPORTRANGE(""https://docs.google.com/spreadsheets/d/1vWPVBOAaZ6mHSI8yf"&amp;"95DNqHwTJ1cpeFsvqt6cxV34QA/edit?usp=share_link"",""ตราด!M320"")+IMPORTRANGE(""https://docs.google.com/spreadsheets/d/1phaeSb9lTGgzDpbvVqI9hfmOQQzUom07-HEvpbARzEg/edit?usp=share_link"",""นครนายก!M320"")+IMPORTRANGE(""https://docs.google.com/spreadsheets/d/"&amp;"1tpwhWwkqkBeiSWCcfB5f2fbwPRbM9hHOEDSDHpl2MIc/edit?usp=share_link"",""นครปฐม!M320"")+IMPORTRANGE(""https://docs.google.com/spreadsheets/d/1fJJCVBkBnhriyv0Cp5ZFMr0I_yrfdEITNpb4zILJgUQ/edit?usp=share_link"",""ปทุมธานี!M320"")+IMPORTRANGE(""https://docs.googl"&amp;"e.com/spreadsheets/d/1W5Jj_S0gYw6wSO7QcMI02YgyOBDKYgmm0NSUk-AQEac/edit?usp=share_link"",""ประจวบคีรีขันธ์!M320"")+IMPORTRANGE(""https://docs.google.com/spreadsheets/d/1nYxRXgnCfTXtqUY1otYuTlnrzE0Tn-Y0YRsW5pkRVqo/edit?usp=share_link"",""ปราจีนบุรี!M320"")+"&amp;"IMPORTRANGE(""https://docs.google.com/spreadsheets/d/1nNHCLO8ZAXOMfQvxux7cf_hrzPAh8FAvaHq_ClKbZNo/edit?usp=share_link"",""พระนครศรีอยุธยา!M320"")+IMPORTRANGE(""https://docs.google.com/spreadsheets/d/1CdNicvf3i6yt4tJlCePe3V1Va76wYqW0QzMzTsaGRrA/edit?usp=sh"&amp;"are_link"",""เพชรบุรี!M320"")+IMPORTRANGE(""https://docs.google.com/spreadsheets/d/1XiF77UIVHV0Kjc6xbXuOuJ10WgJYxd4p_22ngKVV5oM/edit?usp=share_link"",""ระยอง!M320"")+IMPORTRANGE(""https://docs.google.com/spreadsheets/d/1qU-W_9MCQD1pgIVXGEOjCFo9QqlmJywueby"&amp;"GgaN92r8/edit?usp=share_link"",""ราชบุรี!M320"")+IMPORTRANGE(""https://docs.google.com/spreadsheets/d/1xYFIxIM_CspAP5Q-5Zx_V0T_Ut3cjryrjd2hss28vGk/edit?usp=share_link"",""ลพบุรี!M320"")+IMPORTRANGE(""https://docs.google.com/spreadsheets/d/11s9m3tKsCBdPWq6"&amp;"syhZm27eBGbKneDLZc75co106bio/edit?usp=share_link"",""สระแก้ว!M320"")+IMPORTRANGE(""https://docs.google.com/spreadsheets/d/1Nn1EvsFPtXldgpgVb3Rcng2K2cls68LFQsBh2FyW0Bg/edit?usp=share_link"",""สระบุรี!M320"")+IMPORTRANGE(""https://docs.google.com/spreadshee"&amp;"ts/d/149xufxukrnEciK3WPbNpHwUK8BKEJxp3UcBG3Al6dA4/edit?usp=share_link"",""สิงห์บุรี!M320"")+IMPORTRANGE(""https://docs.google.com/spreadsheets/d/132g-zJpz2uMKimp17uOIx8A7o3w1Z25zwJyXnwsB56c/edit?usp=share_link"",""สุพรรณบุรี!M320"")+IMPORTRANGE(""https://"&amp;"docs.google.com/spreadsheets/d/12Q_U0nVnFdxDFwa0pej9xvx8ZvLC9Dpi_vRro_aiG5g/edit?usp=share_link"",""อ่างทอง!M320"")
"),229500)</f>
        <v>229500</v>
      </c>
      <c r="N320" s="45">
        <f ca="1">IFERROR(__xludf.DUMMYFUNCTION("IMPORTRANGE(""https://docs.google.com/spreadsheets/d/1hKO5uv94SSRZWOvrh72HRcpyoEQF9TsE_Cvxl77XNU4/edit?usp=share_link"",""กาญจนบุรี!n320"")+IMPORTRANGE(""https://docs.google.com/spreadsheets/d/1njBaP_xXd-Uotvo2D9zb01TTCFkLJLDK97Tk1l9Qux0/edit?usp=share_li"&amp;"nk"",""จันทบุรี!n320"")+IMPORTRANGE(""https://docs.google.com/spreadsheets/d/14xp6qUzrGFnUk_qnc1eEmfiaNRd4_grkhpfQH_46fa8/edit?usp=share_link"",""ฉะเชิงเทรา!n320"")+IMPORTRANGE(""https://docs.google.com/spreadsheets/d/1_Zwps30dlVa-pZFsorjVf1Pil6WXwzCsJU0U"&amp;"2whO3NI/edit?usp=share_link"",""ชลบุรี!n320"")+IMPORTRANGE(""https://docs.google.com/spreadsheets/d/1xAsT4sUbBlom7l0acStESh_15nvjZcXjZM7fK5uZSq8/edit?usp=share_link"",""ชัยนาท!n320"")+IMPORTRANGE(""https://docs.google.com/spreadsheets/d/1vWPVBOAaZ6mHSI8yf"&amp;"95DNqHwTJ1cpeFsvqt6cxV34QA/edit?usp=share_link"",""ตราด!n320"")+IMPORTRANGE(""https://docs.google.com/spreadsheets/d/1phaeSb9lTGgzDpbvVqI9hfmOQQzUom07-HEvpbARzEg/edit?usp=share_link"",""นครนายก!n320"")+IMPORTRANGE(""https://docs.google.com/spreadsheets/d/"&amp;"1tpwhWwkqkBeiSWCcfB5f2fbwPRbM9hHOEDSDHpl2MIc/edit?usp=share_link"",""นครปฐม!n320"")+IMPORTRANGE(""https://docs.google.com/spreadsheets/d/1fJJCVBkBnhriyv0Cp5ZFMr0I_yrfdEITNpb4zILJgUQ/edit?usp=share_link"",""ปทุมธานี!n320"")+IMPORTRANGE(""https://docs.googl"&amp;"e.com/spreadsheets/d/1W5Jj_S0gYw6wSO7QcMI02YgyOBDKYgmm0NSUk-AQEac/edit?usp=share_link"",""ประจวบคีรีขันธ์!n320"")+IMPORTRANGE(""https://docs.google.com/spreadsheets/d/1nYxRXgnCfTXtqUY1otYuTlnrzE0Tn-Y0YRsW5pkRVqo/edit?usp=share_link"",""ปราจีนบุรี!n320"")+"&amp;"IMPORTRANGE(""https://docs.google.com/spreadsheets/d/1nNHCLO8ZAXOMfQvxux7cf_hrzPAh8FAvaHq_ClKbZNo/edit?usp=share_link"",""พระนครศรีอยุธยา!n320"")+IMPORTRANGE(""https://docs.google.com/spreadsheets/d/1CdNicvf3i6yt4tJlCePe3V1Va76wYqW0QzMzTsaGRrA/edit?usp=sh"&amp;"are_link"",""เพชรบุรี!n320"")+IMPORTRANGE(""https://docs.google.com/spreadsheets/d/1XiF77UIVHV0Kjc6xbXuOuJ10WgJYxd4p_22ngKVV5oM/edit?usp=share_link"",""ระยอง!n320"")+IMPORTRANGE(""https://docs.google.com/spreadsheets/d/1qU-W_9MCQD1pgIVXGEOjCFo9QqlmJywueby"&amp;"GgaN92r8/edit?usp=share_link"",""ราชบุรี!n320"")+IMPORTRANGE(""https://docs.google.com/spreadsheets/d/1xYFIxIM_CspAP5Q-5Zx_V0T_Ut3cjryrjd2hss28vGk/edit?usp=share_link"",""ลพบุรี!n320"")+IMPORTRANGE(""https://docs.google.com/spreadsheets/d/11s9m3tKsCBdPWq6"&amp;"syhZm27eBGbKneDLZc75co106bio/edit?usp=share_link"",""สระแก้ว!n320"")+IMPORTRANGE(""https://docs.google.com/spreadsheets/d/1Nn1EvsFPtXldgpgVb3Rcng2K2cls68LFQsBh2FyW0Bg/edit?usp=share_link"",""สระบุรี!n320"")+IMPORTRANGE(""https://docs.google.com/spreadshee"&amp;"ts/d/149xufxukrnEciK3WPbNpHwUK8BKEJxp3UcBG3Al6dA4/edit?usp=share_link"",""สิงห์บุรี!n320"")+IMPORTRANGE(""https://docs.google.com/spreadsheets/d/132g-zJpz2uMKimp17uOIx8A7o3w1Z25zwJyXnwsB56c/edit?usp=share_link"",""สุพรรณบุรี!n320"")+IMPORTRANGE(""https://"&amp;"docs.google.com/spreadsheets/d/12Q_U0nVnFdxDFwa0pej9xvx8ZvLC9Dpi_vRro_aiG5g/edit?usp=share_link"",""อ่างทอง!n320"")
"),87098.59)</f>
        <v>87098.59</v>
      </c>
      <c r="O320" s="45">
        <f t="shared" ca="1" si="169"/>
        <v>18.975727668845316</v>
      </c>
      <c r="P320" s="45">
        <f t="shared" ca="1" si="170"/>
        <v>37.951455337690632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20.25" customHeight="1">
      <c r="A321" s="159"/>
      <c r="B321" s="33"/>
      <c r="C321" s="160"/>
      <c r="D321" s="34" t="s">
        <v>21</v>
      </c>
      <c r="E321" s="33"/>
      <c r="F321" s="33"/>
      <c r="G321" s="35"/>
      <c r="H321" s="168" t="s">
        <v>12</v>
      </c>
      <c r="I321" s="162"/>
      <c r="J321" s="162"/>
      <c r="K321" s="163"/>
      <c r="L321" s="38">
        <f t="shared" ref="L321:N321" ca="1" si="174">L322+L323</f>
        <v>0</v>
      </c>
      <c r="M321" s="38">
        <f t="shared" ca="1" si="174"/>
        <v>0</v>
      </c>
      <c r="N321" s="38">
        <f t="shared" ca="1" si="174"/>
        <v>0</v>
      </c>
      <c r="O321" s="38">
        <f t="shared" ca="1" si="169"/>
        <v>0</v>
      </c>
      <c r="P321" s="38">
        <f t="shared" ca="1" si="170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20.25" hidden="1" customHeight="1">
      <c r="A322" s="156"/>
      <c r="B322" s="40"/>
      <c r="C322" s="164"/>
      <c r="D322" s="40"/>
      <c r="E322" s="41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45">
        <f t="shared" si="169"/>
        <v>0</v>
      </c>
      <c r="P322" s="45">
        <f t="shared" si="170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20.25" hidden="1" customHeight="1">
      <c r="A323" s="156"/>
      <c r="B323" s="40"/>
      <c r="C323" s="164"/>
      <c r="D323" s="40"/>
      <c r="E323" s="41" t="s">
        <v>19</v>
      </c>
      <c r="F323" s="40"/>
      <c r="G323" s="157"/>
      <c r="H323" s="169" t="s">
        <v>12</v>
      </c>
      <c r="I323" s="166"/>
      <c r="J323" s="166"/>
      <c r="K323" s="167"/>
      <c r="L323" s="45">
        <f ca="1">IFERROR(__xludf.DUMMYFUNCTION("IMPORTRANGE(""https://docs.google.com/spreadsheets/d/1hKO5uv94SSRZWOvrh72HRcpyoEQF9TsE_Cvxl77XNU4/edit?usp=share_link"",""กาญจนบุรี!L323"")+IMPORTRANGE(""https://docs.google.com/spreadsheets/d/1njBaP_xXd-Uotvo2D9zb01TTCFkLJLDK97Tk1l9Qux0/edit?usp=share_li"&amp;"nk"",""จันทบุรี!L323"")+IMPORTRANGE(""https://docs.google.com/spreadsheets/d/14xp6qUzrGFnUk_qnc1eEmfiaNRd4_grkhpfQH_46fa8/edit?usp=share_link"",""ฉะเชิงเทรา!L323"")+IMPORTRANGE(""https://docs.google.com/spreadsheets/d/1_Zwps30dlVa-pZFsorjVf1Pil6WXwzCsJU0U"&amp;"2whO3NI/edit?usp=share_link"",""ชลบุรี!L323"")+IMPORTRANGE(""https://docs.google.com/spreadsheets/d/1xAsT4sUbBlom7l0acStESh_15nvjZcXjZM7fK5uZSq8/edit?usp=share_link"",""ชัยนาท!L323"")+IMPORTRANGE(""https://docs.google.com/spreadsheets/d/1vWPVBOAaZ6mHSI8yf"&amp;"95DNqHwTJ1cpeFsvqt6cxV34QA/edit?usp=share_link"",""ตราด!L323"")+IMPORTRANGE(""https://docs.google.com/spreadsheets/d/1phaeSb9lTGgzDpbvVqI9hfmOQQzUom07-HEvpbARzEg/edit?usp=share_link"",""นครนายก!L323"")+IMPORTRANGE(""https://docs.google.com/spreadsheets/d/"&amp;"1tpwhWwkqkBeiSWCcfB5f2fbwPRbM9hHOEDSDHpl2MIc/edit?usp=share_link"",""นครปฐม!L323"")+IMPORTRANGE(""https://docs.google.com/spreadsheets/d/1fJJCVBkBnhriyv0Cp5ZFMr0I_yrfdEITNpb4zILJgUQ/edit?usp=share_link"",""ปทุมธานี!L323"")+IMPORTRANGE(""https://docs.googl"&amp;"e.com/spreadsheets/d/1W5Jj_S0gYw6wSO7QcMI02YgyOBDKYgmm0NSUk-AQEac/edit?usp=share_link"",""ประจวบคีรีขันธ์!L323"")+IMPORTRANGE(""https://docs.google.com/spreadsheets/d/1nYxRXgnCfTXtqUY1otYuTlnrzE0Tn-Y0YRsW5pkRVqo/edit?usp=share_link"",""ปราจีนบุรี!L323"")+"&amp;"IMPORTRANGE(""https://docs.google.com/spreadsheets/d/1nNHCLO8ZAXOMfQvxux7cf_hrzPAh8FAvaHq_ClKbZNo/edit?usp=share_link"",""พระนครศรีอยุธยา!L323"")+IMPORTRANGE(""https://docs.google.com/spreadsheets/d/1CdNicvf3i6yt4tJlCePe3V1Va76wYqW0QzMzTsaGRrA/edit?usp=sh"&amp;"are_link"",""เพชรบุรี!L323"")+IMPORTRANGE(""https://docs.google.com/spreadsheets/d/1XiF77UIVHV0Kjc6xbXuOuJ10WgJYxd4p_22ngKVV5oM/edit?usp=share_link"",""ระยอง!L323"")+IMPORTRANGE(""https://docs.google.com/spreadsheets/d/1qU-W_9MCQD1pgIVXGEOjCFo9QqlmJywueby"&amp;"GgaN92r8/edit?usp=share_link"",""ราชบุรี!L323"")+IMPORTRANGE(""https://docs.google.com/spreadsheets/d/1xYFIxIM_CspAP5Q-5Zx_V0T_Ut3cjryrjd2hss28vGk/edit?usp=share_link"",""ลพบุรี!L323"")+IMPORTRANGE(""https://docs.google.com/spreadsheets/d/11s9m3tKsCBdPWq6"&amp;"syhZm27eBGbKneDLZc75co106bio/edit?usp=share_link"",""สระแก้ว!L323"")+IMPORTRANGE(""https://docs.google.com/spreadsheets/d/1Nn1EvsFPtXldgpgVb3Rcng2K2cls68LFQsBh2FyW0Bg/edit?usp=share_link"",""สระบุรี!L323"")+IMPORTRANGE(""https://docs.google.com/spreadshee"&amp;"ts/d/149xufxukrnEciK3WPbNpHwUK8BKEJxp3UcBG3Al6dA4/edit?usp=share_link"",""สิงห์บุรี!L323"")+IMPORTRANGE(""https://docs.google.com/spreadsheets/d/132g-zJpz2uMKimp17uOIx8A7o3w1Z25zwJyXnwsB56c/edit?usp=share_link"",""สุพรรณบุรี!L323"")+IMPORTRANGE(""https://"&amp;"docs.google.com/spreadsheets/d/12Q_U0nVnFdxDFwa0pej9xvx8ZvLC9Dpi_vRro_aiG5g/edit?usp=share_link"",""อ่างทอง!L323"")
"),0)</f>
        <v>0</v>
      </c>
      <c r="M323" s="45">
        <f ca="1">IFERROR(__xludf.DUMMYFUNCTION("IMPORTRANGE(""https://docs.google.com/spreadsheets/d/1hKO5uv94SSRZWOvrh72HRcpyoEQF9TsE_Cvxl77XNU4/edit?usp=share_link"",""กาญจนบุรี!M323"")+IMPORTRANGE(""https://docs.google.com/spreadsheets/d/1njBaP_xXd-Uotvo2D9zb01TTCFkLJLDK97Tk1l9Qux0/edit?usp=share_li"&amp;"nk"",""จันทบุรี!M323"")+IMPORTRANGE(""https://docs.google.com/spreadsheets/d/14xp6qUzrGFnUk_qnc1eEmfiaNRd4_grkhpfQH_46fa8/edit?usp=share_link"",""ฉะเชิงเทรา!M323"")+IMPORTRANGE(""https://docs.google.com/spreadsheets/d/1_Zwps30dlVa-pZFsorjVf1Pil6WXwzCsJU0U"&amp;"2whO3NI/edit?usp=share_link"",""ชลบุรี!M323"")+IMPORTRANGE(""https://docs.google.com/spreadsheets/d/1xAsT4sUbBlom7l0acStESh_15nvjZcXjZM7fK5uZSq8/edit?usp=share_link"",""ชัยนาท!M323"")+IMPORTRANGE(""https://docs.google.com/spreadsheets/d/1vWPVBOAaZ6mHSI8yf"&amp;"95DNqHwTJ1cpeFsvqt6cxV34QA/edit?usp=share_link"",""ตราด!M323"")+IMPORTRANGE(""https://docs.google.com/spreadsheets/d/1phaeSb9lTGgzDpbvVqI9hfmOQQzUom07-HEvpbARzEg/edit?usp=share_link"",""นครนายก!M323"")+IMPORTRANGE(""https://docs.google.com/spreadsheets/d/"&amp;"1tpwhWwkqkBeiSWCcfB5f2fbwPRbM9hHOEDSDHpl2MIc/edit?usp=share_link"",""นครปฐม!M323"")+IMPORTRANGE(""https://docs.google.com/spreadsheets/d/1fJJCVBkBnhriyv0Cp5ZFMr0I_yrfdEITNpb4zILJgUQ/edit?usp=share_link"",""ปทุมธานี!M323"")+IMPORTRANGE(""https://docs.googl"&amp;"e.com/spreadsheets/d/1W5Jj_S0gYw6wSO7QcMI02YgyOBDKYgmm0NSUk-AQEac/edit?usp=share_link"",""ประจวบคีรีขันธ์!M323"")+IMPORTRANGE(""https://docs.google.com/spreadsheets/d/1nYxRXgnCfTXtqUY1otYuTlnrzE0Tn-Y0YRsW5pkRVqo/edit?usp=share_link"",""ปราจีนบุรี!M323"")+"&amp;"IMPORTRANGE(""https://docs.google.com/spreadsheets/d/1nNHCLO8ZAXOMfQvxux7cf_hrzPAh8FAvaHq_ClKbZNo/edit?usp=share_link"",""พระนครศรีอยุธยา!M323"")+IMPORTRANGE(""https://docs.google.com/spreadsheets/d/1CdNicvf3i6yt4tJlCePe3V1Va76wYqW0QzMzTsaGRrA/edit?usp=sh"&amp;"are_link"",""เพชรบุรี!M323"")+IMPORTRANGE(""https://docs.google.com/spreadsheets/d/1XiF77UIVHV0Kjc6xbXuOuJ10WgJYxd4p_22ngKVV5oM/edit?usp=share_link"",""ระยอง!M323"")+IMPORTRANGE(""https://docs.google.com/spreadsheets/d/1qU-W_9MCQD1pgIVXGEOjCFo9QqlmJywueby"&amp;"GgaN92r8/edit?usp=share_link"",""ราชบุรี!M323"")+IMPORTRANGE(""https://docs.google.com/spreadsheets/d/1xYFIxIM_CspAP5Q-5Zx_V0T_Ut3cjryrjd2hss28vGk/edit?usp=share_link"",""ลพบุรี!M323"")+IMPORTRANGE(""https://docs.google.com/spreadsheets/d/11s9m3tKsCBdPWq6"&amp;"syhZm27eBGbKneDLZc75co106bio/edit?usp=share_link"",""สระแก้ว!M323"")+IMPORTRANGE(""https://docs.google.com/spreadsheets/d/1Nn1EvsFPtXldgpgVb3Rcng2K2cls68LFQsBh2FyW0Bg/edit?usp=share_link"",""สระบุรี!M323"")+IMPORTRANGE(""https://docs.google.com/spreadshee"&amp;"ts/d/149xufxukrnEciK3WPbNpHwUK8BKEJxp3UcBG3Al6dA4/edit?usp=share_link"",""สิงห์บุรี!M323"")+IMPORTRANGE(""https://docs.google.com/spreadsheets/d/132g-zJpz2uMKimp17uOIx8A7o3w1Z25zwJyXnwsB56c/edit?usp=share_link"",""สุพรรณบุรี!M323"")+IMPORTRANGE(""https://"&amp;"docs.google.com/spreadsheets/d/12Q_U0nVnFdxDFwa0pej9xvx8ZvLC9Dpi_vRro_aiG5g/edit?usp=share_link"",""อ่างทอง!M323"")
"),0)</f>
        <v>0</v>
      </c>
      <c r="N323" s="45">
        <f ca="1">IFERROR(__xludf.DUMMYFUNCTION("IMPORTRANGE(""https://docs.google.com/spreadsheets/d/1hKO5uv94SSRZWOvrh72HRcpyoEQF9TsE_Cvxl77XNU4/edit?usp=share_link"",""กาญจนบุรี!n323"")+IMPORTRANGE(""https://docs.google.com/spreadsheets/d/1njBaP_xXd-Uotvo2D9zb01TTCFkLJLDK97Tk1l9Qux0/edit?usp=share_li"&amp;"nk"",""จันทบุรี!n323"")+IMPORTRANGE(""https://docs.google.com/spreadsheets/d/14xp6qUzrGFnUk_qnc1eEmfiaNRd4_grkhpfQH_46fa8/edit?usp=share_link"",""ฉะเชิงเทรา!n323"")+IMPORTRANGE(""https://docs.google.com/spreadsheets/d/1_Zwps30dlVa-pZFsorjVf1Pil6WXwzCsJU0U"&amp;"2whO3NI/edit?usp=share_link"",""ชลบุรี!n323"")+IMPORTRANGE(""https://docs.google.com/spreadsheets/d/1xAsT4sUbBlom7l0acStESh_15nvjZcXjZM7fK5uZSq8/edit?usp=share_link"",""ชัยนาท!n323"")+IMPORTRANGE(""https://docs.google.com/spreadsheets/d/1vWPVBOAaZ6mHSI8yf"&amp;"95DNqHwTJ1cpeFsvqt6cxV34QA/edit?usp=share_link"",""ตราด!n323"")+IMPORTRANGE(""https://docs.google.com/spreadsheets/d/1phaeSb9lTGgzDpbvVqI9hfmOQQzUom07-HEvpbARzEg/edit?usp=share_link"",""นครนายก!n323"")+IMPORTRANGE(""https://docs.google.com/spreadsheets/d/"&amp;"1tpwhWwkqkBeiSWCcfB5f2fbwPRbM9hHOEDSDHpl2MIc/edit?usp=share_link"",""นครปฐม!n323"")+IMPORTRANGE(""https://docs.google.com/spreadsheets/d/1fJJCVBkBnhriyv0Cp5ZFMr0I_yrfdEITNpb4zILJgUQ/edit?usp=share_link"",""ปทุมธานี!n323"")+IMPORTRANGE(""https://docs.googl"&amp;"e.com/spreadsheets/d/1W5Jj_S0gYw6wSO7QcMI02YgyOBDKYgmm0NSUk-AQEac/edit?usp=share_link"",""ประจวบคีรีขันธ์!n323"")+IMPORTRANGE(""https://docs.google.com/spreadsheets/d/1nYxRXgnCfTXtqUY1otYuTlnrzE0Tn-Y0YRsW5pkRVqo/edit?usp=share_link"",""ปราจีนบุรี!n323"")+"&amp;"IMPORTRANGE(""https://docs.google.com/spreadsheets/d/1nNHCLO8ZAXOMfQvxux7cf_hrzPAh8FAvaHq_ClKbZNo/edit?usp=share_link"",""พระนครศรีอยุธยา!n323"")+IMPORTRANGE(""https://docs.google.com/spreadsheets/d/1CdNicvf3i6yt4tJlCePe3V1Va76wYqW0QzMzTsaGRrA/edit?usp=sh"&amp;"are_link"",""เพชรบุรี!n323"")+IMPORTRANGE(""https://docs.google.com/spreadsheets/d/1XiF77UIVHV0Kjc6xbXuOuJ10WgJYxd4p_22ngKVV5oM/edit?usp=share_link"",""ระยอง!n323"")+IMPORTRANGE(""https://docs.google.com/spreadsheets/d/1qU-W_9MCQD1pgIVXGEOjCFo9QqlmJywueby"&amp;"GgaN92r8/edit?usp=share_link"",""ราชบุรี!n323"")+IMPORTRANGE(""https://docs.google.com/spreadsheets/d/1xYFIxIM_CspAP5Q-5Zx_V0T_Ut3cjryrjd2hss28vGk/edit?usp=share_link"",""ลพบุรี!n323"")+IMPORTRANGE(""https://docs.google.com/spreadsheets/d/11s9m3tKsCBdPWq6"&amp;"syhZm27eBGbKneDLZc75co106bio/edit?usp=share_link"",""สระแก้ว!n323"")+IMPORTRANGE(""https://docs.google.com/spreadsheets/d/1Nn1EvsFPtXldgpgVb3Rcng2K2cls68LFQsBh2FyW0Bg/edit?usp=share_link"",""สระบุรี!n323"")+IMPORTRANGE(""https://docs.google.com/spreadshee"&amp;"ts/d/149xufxukrnEciK3WPbNpHwUK8BKEJxp3UcBG3Al6dA4/edit?usp=share_link"",""สิงห์บุรี!n323"")+IMPORTRANGE(""https://docs.google.com/spreadsheets/d/132g-zJpz2uMKimp17uOIx8A7o3w1Z25zwJyXnwsB56c/edit?usp=share_link"",""สุพรรณบุรี!n323"")+IMPORTRANGE(""https://"&amp;"docs.google.com/spreadsheets/d/12Q_U0nVnFdxDFwa0pej9xvx8ZvLC9Dpi_vRro_aiG5g/edit?usp=share_link"",""อ่างทอง!n323"")
"),0)</f>
        <v>0</v>
      </c>
      <c r="O323" s="45">
        <f t="shared" ca="1" si="169"/>
        <v>0</v>
      </c>
      <c r="P323" s="45">
        <f t="shared" ca="1" si="170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20.25" customHeight="1">
      <c r="A324" s="170"/>
      <c r="B324" s="171"/>
      <c r="C324" s="164" t="s">
        <v>16</v>
      </c>
      <c r="D324" s="172" t="s">
        <v>38</v>
      </c>
      <c r="E324" s="173"/>
      <c r="F324" s="173"/>
      <c r="G324" s="174"/>
      <c r="H324" s="175"/>
      <c r="I324" s="162"/>
      <c r="J324" s="37"/>
      <c r="K324" s="38"/>
      <c r="L324" s="38"/>
      <c r="M324" s="38"/>
      <c r="N324" s="38"/>
      <c r="O324" s="163"/>
      <c r="P324" s="163"/>
    </row>
    <row r="325" spans="1:26" ht="20.25" customHeight="1">
      <c r="A325" s="170"/>
      <c r="B325" s="171"/>
      <c r="C325" s="171"/>
      <c r="D325" s="176" t="s">
        <v>147</v>
      </c>
      <c r="E325" s="178"/>
      <c r="F325" s="181"/>
      <c r="G325" s="179"/>
      <c r="H325" s="36" t="s">
        <v>146</v>
      </c>
      <c r="I325" s="37">
        <f ca="1">IFERROR(__xludf.DUMMYFUNCTION("IMPORTRANGE(""https://docs.google.com/spreadsheets/d/1hKO5uv94SSRZWOvrh72HRcpyoEQF9TsE_Cvxl77XNU4/edit?usp=share_link"",""กาญจนบุรี!I325"")+IMPORTRANGE(""https://docs.google.com/spreadsheets/d/1njBaP_xXd-Uotvo2D9zb01TTCFkLJLDK97Tk1l9Qux0/edit?usp=share_li"&amp;"nk"",""จันทบุรี!I325"")+IMPORTRANGE(""https://docs.google.com/spreadsheets/d/14xp6qUzrGFnUk_qnc1eEmfiaNRd4_grkhpfQH_46fa8/edit?usp=share_link"",""ฉะเชิงเทรา!I325"")+IMPORTRANGE(""https://docs.google.com/spreadsheets/d/1_Zwps30dlVa-pZFsorjVf1Pil6WXwzCsJU0U"&amp;"2whO3NI/edit?usp=share_link"",""ชลบุรี!I325"")+IMPORTRANGE(""https://docs.google.com/spreadsheets/d/1xAsT4sUbBlom7l0acStESh_15nvjZcXjZM7fK5uZSq8/edit?usp=share_link"",""ชัยนาท!I325"")+IMPORTRANGE(""https://docs.google.com/spreadsheets/d/1vWPVBOAaZ6mHSI8yf"&amp;"95DNqHwTJ1cpeFsvqt6cxV34QA/edit?usp=share_link"",""ตราด!I325"")+IMPORTRANGE(""https://docs.google.com/spreadsheets/d/1phaeSb9lTGgzDpbvVqI9hfmOQQzUom07-HEvpbARzEg/edit?usp=share_link"",""นครนายก!I325"")+IMPORTRANGE(""https://docs.google.com/spreadsheets/d/"&amp;"1tpwhWwkqkBeiSWCcfB5f2fbwPRbM9hHOEDSDHpl2MIc/edit?usp=share_link"",""นครปฐม!I325"")+IMPORTRANGE(""https://docs.google.com/spreadsheets/d/1fJJCVBkBnhriyv0Cp5ZFMr0I_yrfdEITNpb4zILJgUQ/edit?usp=share_link"",""ปทุมธานี!I325"")+IMPORTRANGE(""https://docs.googl"&amp;"e.com/spreadsheets/d/1W5Jj_S0gYw6wSO7QcMI02YgyOBDKYgmm0NSUk-AQEac/edit?usp=share_link"",""ประจวบคีรีขันธ์!I325"")+IMPORTRANGE(""https://docs.google.com/spreadsheets/d/1nYxRXgnCfTXtqUY1otYuTlnrzE0Tn-Y0YRsW5pkRVqo/edit?usp=share_link"",""ปราจีนบุรี!I325"")+"&amp;"IMPORTRANGE(""https://docs.google.com/spreadsheets/d/1nNHCLO8ZAXOMfQvxux7cf_hrzPAh8FAvaHq_ClKbZNo/edit?usp=share_link"",""พระนครศรีอยุธยา!I325"")+IMPORTRANGE(""https://docs.google.com/spreadsheets/d/1CdNicvf3i6yt4tJlCePe3V1Va76wYqW0QzMzTsaGRrA/edit?usp=sh"&amp;"are_link"",""เพชรบุรี!I325"")+IMPORTRANGE(""https://docs.google.com/spreadsheets/d/1XiF77UIVHV0Kjc6xbXuOuJ10WgJYxd4p_22ngKVV5oM/edit?usp=share_link"",""ระยอง!I325"")+IMPORTRANGE(""https://docs.google.com/spreadsheets/d/1qU-W_9MCQD1pgIVXGEOjCFo9QqlmJywueby"&amp;"GgaN92r8/edit?usp=share_link"",""ราชบุรี!I325"")+IMPORTRANGE(""https://docs.google.com/spreadsheets/d/1xYFIxIM_CspAP5Q-5Zx_V0T_Ut3cjryrjd2hss28vGk/edit?usp=share_link"",""ลพบุรี!I325"")+IMPORTRANGE(""https://docs.google.com/spreadsheets/d/11s9m3tKsCBdPWq6"&amp;"syhZm27eBGbKneDLZc75co106bio/edit?usp=share_link"",""สระแก้ว!I325"")+IMPORTRANGE(""https://docs.google.com/spreadsheets/d/1Nn1EvsFPtXldgpgVb3Rcng2K2cls68LFQsBh2FyW0Bg/edit?usp=share_link"",""สระบุรี!I325"")+IMPORTRANGE(""https://docs.google.com/spreadshee"&amp;"ts/d/149xufxukrnEciK3WPbNpHwUK8BKEJxp3UcBG3Al6dA4/edit?usp=share_link"",""สิงห์บุรี!I325"")+IMPORTRANGE(""https://docs.google.com/spreadsheets/d/132g-zJpz2uMKimp17uOIx8A7o3w1Z25zwJyXnwsB56c/edit?usp=share_link"",""สุพรรณบุรี!I325"")+IMPORTRANGE(""https://"&amp;"docs.google.com/spreadsheets/d/12Q_U0nVnFdxDFwa0pej9xvx8ZvLC9Dpi_vRro_aiG5g/edit?usp=share_link"",""อ่างทอง!I325"")
"),5)</f>
        <v>5</v>
      </c>
      <c r="J325" s="183">
        <f ca="1">IFERROR(__xludf.DUMMYFUNCTION("IMPORTRANGE(""https://docs.google.com/spreadsheets/d/1hKO5uv94SSRZWOvrh72HRcpyoEQF9TsE_Cvxl77XNU4/edit?usp=share_link"",""กาญจนบุรี!J325"")+IMPORTRANGE(""https://docs.google.com/spreadsheets/d/1njBaP_xXd-Uotvo2D9zb01TTCFkLJLDK97Tk1l9Qux0/edit?usp=share_li"&amp;"nk"",""จันทบุรี!J325"")+IMPORTRANGE(""https://docs.google.com/spreadsheets/d/14xp6qUzrGFnUk_qnc1eEmfiaNRd4_grkhpfQH_46fa8/edit?usp=share_link"",""ฉะเชิงเทรา!J325"")+IMPORTRANGE(""https://docs.google.com/spreadsheets/d/1_Zwps30dlVa-pZFsorjVf1Pil6WXwzCsJU0U"&amp;"2whO3NI/edit?usp=share_link"",""ชลบุรี!J325"")+IMPORTRANGE(""https://docs.google.com/spreadsheets/d/1xAsT4sUbBlom7l0acStESh_15nvjZcXjZM7fK5uZSq8/edit?usp=share_link"",""ชัยนาท!J325"")+IMPORTRANGE(""https://docs.google.com/spreadsheets/d/1vWPVBOAaZ6mHSI8yf"&amp;"95DNqHwTJ1cpeFsvqt6cxV34QA/edit?usp=share_link"",""ตราด!J325"")+IMPORTRANGE(""https://docs.google.com/spreadsheets/d/1phaeSb9lTGgzDpbvVqI9hfmOQQzUom07-HEvpbARzEg/edit?usp=share_link"",""นครนายก!J325"")+IMPORTRANGE(""https://docs.google.com/spreadsheets/d/"&amp;"1tpwhWwkqkBeiSWCcfB5f2fbwPRbM9hHOEDSDHpl2MIc/edit?usp=share_link"",""นครปฐม!J325"")+IMPORTRANGE(""https://docs.google.com/spreadsheets/d/1fJJCVBkBnhriyv0Cp5ZFMr0I_yrfdEITNpb4zILJgUQ/edit?usp=share_link"",""ปทุมธานี!J325"")+IMPORTRANGE(""https://docs.googl"&amp;"e.com/spreadsheets/d/1W5Jj_S0gYw6wSO7QcMI02YgyOBDKYgmm0NSUk-AQEac/edit?usp=share_link"",""ประจวบคีรีขันธ์!J325"")+IMPORTRANGE(""https://docs.google.com/spreadsheets/d/1nYxRXgnCfTXtqUY1otYuTlnrzE0Tn-Y0YRsW5pkRVqo/edit?usp=share_link"",""ปราจีนบุรี!J325"")+"&amp;"IMPORTRANGE(""https://docs.google.com/spreadsheets/d/1nNHCLO8ZAXOMfQvxux7cf_hrzPAh8FAvaHq_ClKbZNo/edit?usp=share_link"",""พระนครศรีอยุธยา!J325"")+IMPORTRANGE(""https://docs.google.com/spreadsheets/d/1CdNicvf3i6yt4tJlCePe3V1Va76wYqW0QzMzTsaGRrA/edit?usp=sh"&amp;"are_link"",""เพชรบุรี!J325"")+IMPORTRANGE(""https://docs.google.com/spreadsheets/d/1XiF77UIVHV0Kjc6xbXuOuJ10WgJYxd4p_22ngKVV5oM/edit?usp=share_link"",""ระยอง!J325"")+IMPORTRANGE(""https://docs.google.com/spreadsheets/d/1qU-W_9MCQD1pgIVXGEOjCFo9QqlmJywueby"&amp;"GgaN92r8/edit?usp=share_link"",""ราชบุรี!J325"")+IMPORTRANGE(""https://docs.google.com/spreadsheets/d/1xYFIxIM_CspAP5Q-5Zx_V0T_Ut3cjryrjd2hss28vGk/edit?usp=share_link"",""ลพบุรี!J325"")+IMPORTRANGE(""https://docs.google.com/spreadsheets/d/11s9m3tKsCBdPWq6"&amp;"syhZm27eBGbKneDLZc75co106bio/edit?usp=share_link"",""สระแก้ว!J325"")+IMPORTRANGE(""https://docs.google.com/spreadsheets/d/1Nn1EvsFPtXldgpgVb3Rcng2K2cls68LFQsBh2FyW0Bg/edit?usp=share_link"",""สระบุรี!J325"")+IMPORTRANGE(""https://docs.google.com/spreadshee"&amp;"ts/d/149xufxukrnEciK3WPbNpHwUK8BKEJxp3UcBG3Al6dA4/edit?usp=share_link"",""สิงห์บุรี!J325"")+IMPORTRANGE(""https://docs.google.com/spreadsheets/d/132g-zJpz2uMKimp17uOIx8A7o3w1Z25zwJyXnwsB56c/edit?usp=share_link"",""สุพรรณบุรี!J325"")+IMPORTRANGE(""https://"&amp;"docs.google.com/spreadsheets/d/12Q_U0nVnFdxDFwa0pej9xvx8ZvLC9Dpi_vRro_aiG5g/edit?usp=share_link"",""อ่างทอง!J325"")
"),2)</f>
        <v>2</v>
      </c>
      <c r="K325" s="38">
        <f ca="1">IF(I325&gt;0,J325*100/I325,0)</f>
        <v>40</v>
      </c>
      <c r="L325" s="38"/>
      <c r="M325" s="38"/>
      <c r="N325" s="38"/>
      <c r="O325" s="163"/>
      <c r="P325" s="163"/>
    </row>
    <row r="326" spans="1:26" ht="20.25" customHeight="1">
      <c r="A326" s="431" t="s">
        <v>148</v>
      </c>
      <c r="B326" s="432"/>
      <c r="C326" s="432"/>
      <c r="D326" s="433"/>
      <c r="E326" s="432"/>
      <c r="F326" s="432"/>
      <c r="G326" s="432"/>
      <c r="H326" s="448"/>
      <c r="I326" s="436"/>
      <c r="J326" s="436"/>
      <c r="K326" s="437"/>
      <c r="L326" s="437"/>
      <c r="M326" s="437"/>
      <c r="N326" s="437"/>
      <c r="O326" s="437"/>
      <c r="P326" s="437"/>
    </row>
    <row r="327" spans="1:26" ht="20.25" customHeight="1">
      <c r="A327" s="438"/>
      <c r="B327" s="439" t="s">
        <v>149</v>
      </c>
      <c r="C327" s="451"/>
      <c r="D327" s="440"/>
      <c r="E327" s="440"/>
      <c r="F327" s="440"/>
      <c r="G327" s="441"/>
      <c r="H327" s="442" t="s">
        <v>35</v>
      </c>
      <c r="I327" s="443">
        <f ca="1">IFERROR(__xludf.DUMMYFUNCTION("IMPORTRANGE(""https://docs.google.com/spreadsheets/d/1hKO5uv94SSRZWOvrh72HRcpyoEQF9TsE_Cvxl77XNU4/edit?usp=share_link"",""กาญจนบุรี!I327"")+IMPORTRANGE(""https://docs.google.com/spreadsheets/d/1njBaP_xXd-Uotvo2D9zb01TTCFkLJLDK97Tk1l9Qux0/edit?usp=share_li"&amp;"nk"",""จันทบุรี!I327"")+IMPORTRANGE(""https://docs.google.com/spreadsheets/d/14xp6qUzrGFnUk_qnc1eEmfiaNRd4_grkhpfQH_46fa8/edit?usp=share_link"",""ฉะเชิงเทรา!I327"")+IMPORTRANGE(""https://docs.google.com/spreadsheets/d/1_Zwps30dlVa-pZFsorjVf1Pil6WXwzCsJU0U"&amp;"2whO3NI/edit?usp=share_link"",""ชลบุรี!I327"")+IMPORTRANGE(""https://docs.google.com/spreadsheets/d/1xAsT4sUbBlom7l0acStESh_15nvjZcXjZM7fK5uZSq8/edit?usp=share_link"",""ชัยนาท!I327"")+IMPORTRANGE(""https://docs.google.com/spreadsheets/d/1vWPVBOAaZ6mHSI8yf"&amp;"95DNqHwTJ1cpeFsvqt6cxV34QA/edit?usp=share_link"",""ตราด!I327"")+IMPORTRANGE(""https://docs.google.com/spreadsheets/d/1phaeSb9lTGgzDpbvVqI9hfmOQQzUom07-HEvpbARzEg/edit?usp=share_link"",""นครนายก!I327"")+IMPORTRANGE(""https://docs.google.com/spreadsheets/d/"&amp;"1tpwhWwkqkBeiSWCcfB5f2fbwPRbM9hHOEDSDHpl2MIc/edit?usp=share_link"",""นครปฐม!I327"")+IMPORTRANGE(""https://docs.google.com/spreadsheets/d/1fJJCVBkBnhriyv0Cp5ZFMr0I_yrfdEITNpb4zILJgUQ/edit?usp=share_link"",""ปทุมธานี!I327"")+IMPORTRANGE(""https://docs.googl"&amp;"e.com/spreadsheets/d/1W5Jj_S0gYw6wSO7QcMI02YgyOBDKYgmm0NSUk-AQEac/edit?usp=share_link"",""ประจวบคีรีขันธ์!I327"")+IMPORTRANGE(""https://docs.google.com/spreadsheets/d/1nYxRXgnCfTXtqUY1otYuTlnrzE0Tn-Y0YRsW5pkRVqo/edit?usp=share_link"",""ปราจีนบุรี!I327"")+"&amp;"IMPORTRANGE(""https://docs.google.com/spreadsheets/d/1nNHCLO8ZAXOMfQvxux7cf_hrzPAh8FAvaHq_ClKbZNo/edit?usp=share_link"",""พระนครศรีอยุธยา!I327"")+IMPORTRANGE(""https://docs.google.com/spreadsheets/d/1CdNicvf3i6yt4tJlCePe3V1Va76wYqW0QzMzTsaGRrA/edit?usp=sh"&amp;"are_link"",""เพชรบุรี!I327"")+IMPORTRANGE(""https://docs.google.com/spreadsheets/d/1XiF77UIVHV0Kjc6xbXuOuJ10WgJYxd4p_22ngKVV5oM/edit?usp=share_link"",""ระยอง!I327"")+IMPORTRANGE(""https://docs.google.com/spreadsheets/d/1qU-W_9MCQD1pgIVXGEOjCFo9QqlmJywueby"&amp;"GgaN92r8/edit?usp=share_link"",""ราชบุรี!I327"")+IMPORTRANGE(""https://docs.google.com/spreadsheets/d/1xYFIxIM_CspAP5Q-5Zx_V0T_Ut3cjryrjd2hss28vGk/edit?usp=share_link"",""ลพบุรี!I327"")+IMPORTRANGE(""https://docs.google.com/spreadsheets/d/11s9m3tKsCBdPWq6"&amp;"syhZm27eBGbKneDLZc75co106bio/edit?usp=share_link"",""สระแก้ว!I327"")+IMPORTRANGE(""https://docs.google.com/spreadsheets/d/1Nn1EvsFPtXldgpgVb3Rcng2K2cls68LFQsBh2FyW0Bg/edit?usp=share_link"",""สระบุรี!I327"")+IMPORTRANGE(""https://docs.google.com/spreadshee"&amp;"ts/d/149xufxukrnEciK3WPbNpHwUK8BKEJxp3UcBG3Al6dA4/edit?usp=share_link"",""สิงห์บุรี!I327"")+IMPORTRANGE(""https://docs.google.com/spreadsheets/d/132g-zJpz2uMKimp17uOIx8A7o3w1Z25zwJyXnwsB56c/edit?usp=share_link"",""สุพรรณบุรี!I327"")+IMPORTRANGE(""https://"&amp;"docs.google.com/spreadsheets/d/12Q_U0nVnFdxDFwa0pej9xvx8ZvLC9Dpi_vRro_aiG5g/edit?usp=share_link"",""อ่างทอง!I327"")
"),29100)</f>
        <v>29100</v>
      </c>
      <c r="J327" s="443">
        <f ca="1">J338+J341+J342+J343</f>
        <v>11550</v>
      </c>
      <c r="K327" s="444">
        <f ca="1">IF(I327&gt;0,J327*100/I327,0)</f>
        <v>39.690721649484537</v>
      </c>
      <c r="L327" s="445"/>
      <c r="M327" s="445"/>
      <c r="N327" s="445"/>
      <c r="O327" s="445"/>
      <c r="P327" s="445"/>
    </row>
    <row r="328" spans="1:26" ht="20.25" customHeight="1">
      <c r="A328" s="147"/>
      <c r="B328" s="148"/>
      <c r="C328" s="149" t="s">
        <v>16</v>
      </c>
      <c r="D328" s="150" t="s">
        <v>17</v>
      </c>
      <c r="E328" s="148"/>
      <c r="F328" s="148"/>
      <c r="G328" s="151"/>
      <c r="H328" s="152" t="s">
        <v>12</v>
      </c>
      <c r="I328" s="153"/>
      <c r="J328" s="153"/>
      <c r="K328" s="154"/>
      <c r="L328" s="155">
        <f t="shared" ref="L328:N328" ca="1" si="175">L329+L330</f>
        <v>7746800</v>
      </c>
      <c r="M328" s="155">
        <f t="shared" ca="1" si="175"/>
        <v>4779400</v>
      </c>
      <c r="N328" s="155">
        <f t="shared" ca="1" si="175"/>
        <v>1282135.1200000001</v>
      </c>
      <c r="O328" s="155">
        <f t="shared" ref="O328:O336" ca="1" si="176">IF(L328&gt;0,N328*100/L328,0)</f>
        <v>16.550512727836011</v>
      </c>
      <c r="P328" s="155">
        <f t="shared" ref="P328:P336" ca="1" si="177">IF(M328&gt;0,N328*100/M328,0)</f>
        <v>26.82627777545299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20.25" hidden="1" customHeight="1">
      <c r="A329" s="156"/>
      <c r="B329" s="40"/>
      <c r="C329" s="40"/>
      <c r="D329" s="40"/>
      <c r="E329" s="41" t="s">
        <v>18</v>
      </c>
      <c r="F329" s="40"/>
      <c r="G329" s="157"/>
      <c r="H329" s="158" t="s">
        <v>12</v>
      </c>
      <c r="I329" s="44"/>
      <c r="J329" s="44"/>
      <c r="K329" s="45"/>
      <c r="L329" s="45">
        <f t="shared" ref="L329:N329" si="178">L332+L335</f>
        <v>0</v>
      </c>
      <c r="M329" s="45">
        <f t="shared" si="178"/>
        <v>0</v>
      </c>
      <c r="N329" s="45">
        <f t="shared" si="178"/>
        <v>0</v>
      </c>
      <c r="O329" s="45">
        <f t="shared" si="176"/>
        <v>0</v>
      </c>
      <c r="P329" s="45">
        <f t="shared" si="177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20.25" hidden="1" customHeight="1">
      <c r="A330" s="156"/>
      <c r="B330" s="40"/>
      <c r="C330" s="40"/>
      <c r="D330" s="40"/>
      <c r="E330" s="41" t="s">
        <v>19</v>
      </c>
      <c r="F330" s="40"/>
      <c r="G330" s="157"/>
      <c r="H330" s="158" t="s">
        <v>12</v>
      </c>
      <c r="I330" s="44"/>
      <c r="J330" s="44"/>
      <c r="K330" s="45"/>
      <c r="L330" s="45">
        <f t="shared" ref="L330:N330" ca="1" si="179">L333+L336</f>
        <v>7746800</v>
      </c>
      <c r="M330" s="45">
        <f t="shared" ca="1" si="179"/>
        <v>4779400</v>
      </c>
      <c r="N330" s="45">
        <f t="shared" ca="1" si="179"/>
        <v>1282135.1200000001</v>
      </c>
      <c r="O330" s="45">
        <f t="shared" ca="1" si="176"/>
        <v>16.550512727836011</v>
      </c>
      <c r="P330" s="45">
        <f t="shared" ca="1" si="177"/>
        <v>26.82627777545299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20.25" customHeight="1">
      <c r="A331" s="159"/>
      <c r="B331" s="33"/>
      <c r="C331" s="160"/>
      <c r="D331" s="34" t="s">
        <v>20</v>
      </c>
      <c r="E331" s="33"/>
      <c r="F331" s="33"/>
      <c r="G331" s="35"/>
      <c r="H331" s="161" t="s">
        <v>12</v>
      </c>
      <c r="I331" s="162"/>
      <c r="J331" s="162"/>
      <c r="K331" s="163"/>
      <c r="L331" s="38">
        <f t="shared" ref="L331:N331" ca="1" si="180">L332+L333</f>
        <v>5934800</v>
      </c>
      <c r="M331" s="38">
        <f t="shared" ca="1" si="180"/>
        <v>2967400</v>
      </c>
      <c r="N331" s="38">
        <f t="shared" ca="1" si="180"/>
        <v>1282135.1200000001</v>
      </c>
      <c r="O331" s="38">
        <f t="shared" ca="1" si="176"/>
        <v>21.603678641234755</v>
      </c>
      <c r="P331" s="38">
        <f t="shared" ca="1" si="177"/>
        <v>43.207357282469509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20.25" hidden="1" customHeight="1">
      <c r="A332" s="156"/>
      <c r="B332" s="40"/>
      <c r="C332" s="164"/>
      <c r="D332" s="40"/>
      <c r="E332" s="41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45">
        <f t="shared" si="176"/>
        <v>0</v>
      </c>
      <c r="P332" s="45">
        <f t="shared" si="177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20.25" hidden="1" customHeight="1">
      <c r="A333" s="156"/>
      <c r="B333" s="40"/>
      <c r="C333" s="164"/>
      <c r="D333" s="40"/>
      <c r="E333" s="41" t="s">
        <v>37</v>
      </c>
      <c r="F333" s="40"/>
      <c r="G333" s="157"/>
      <c r="H333" s="165" t="s">
        <v>12</v>
      </c>
      <c r="I333" s="166"/>
      <c r="J333" s="166"/>
      <c r="K333" s="167"/>
      <c r="L333" s="45">
        <f ca="1">IFERROR(__xludf.DUMMYFUNCTION("IMPORTRANGE(""https://docs.google.com/spreadsheets/d/1hKO5uv94SSRZWOvrh72HRcpyoEQF9TsE_Cvxl77XNU4/edit?usp=share_link"",""กาญจนบุรี!L333"")+IMPORTRANGE(""https://docs.google.com/spreadsheets/d/1njBaP_xXd-Uotvo2D9zb01TTCFkLJLDK97Tk1l9Qux0/edit?usp=share_li"&amp;"nk"",""จันทบุรี!L333"")+IMPORTRANGE(""https://docs.google.com/spreadsheets/d/14xp6qUzrGFnUk_qnc1eEmfiaNRd4_grkhpfQH_46fa8/edit?usp=share_link"",""ฉะเชิงเทรา!L333"")+IMPORTRANGE(""https://docs.google.com/spreadsheets/d/1_Zwps30dlVa-pZFsorjVf1Pil6WXwzCsJU0U"&amp;"2whO3NI/edit?usp=share_link"",""ชลบุรี!L333"")+IMPORTRANGE(""https://docs.google.com/spreadsheets/d/1xAsT4sUbBlom7l0acStESh_15nvjZcXjZM7fK5uZSq8/edit?usp=share_link"",""ชัยนาท!L333"")+IMPORTRANGE(""https://docs.google.com/spreadsheets/d/1vWPVBOAaZ6mHSI8yf"&amp;"95DNqHwTJ1cpeFsvqt6cxV34QA/edit?usp=share_link"",""ตราด!L333"")+IMPORTRANGE(""https://docs.google.com/spreadsheets/d/1phaeSb9lTGgzDpbvVqI9hfmOQQzUom07-HEvpbARzEg/edit?usp=share_link"",""นครนายก!L333"")+IMPORTRANGE(""https://docs.google.com/spreadsheets/d/"&amp;"1tpwhWwkqkBeiSWCcfB5f2fbwPRbM9hHOEDSDHpl2MIc/edit?usp=share_link"",""นครปฐม!L333"")+IMPORTRANGE(""https://docs.google.com/spreadsheets/d/1fJJCVBkBnhriyv0Cp5ZFMr0I_yrfdEITNpb4zILJgUQ/edit?usp=share_link"",""ปทุมธานี!L333"")+IMPORTRANGE(""https://docs.googl"&amp;"e.com/spreadsheets/d/1W5Jj_S0gYw6wSO7QcMI02YgyOBDKYgmm0NSUk-AQEac/edit?usp=share_link"",""ประจวบคีรีขันธ์!L333"")+IMPORTRANGE(""https://docs.google.com/spreadsheets/d/1nYxRXgnCfTXtqUY1otYuTlnrzE0Tn-Y0YRsW5pkRVqo/edit?usp=share_link"",""ปราจีนบุรี!L333"")+"&amp;"IMPORTRANGE(""https://docs.google.com/spreadsheets/d/1nNHCLO8ZAXOMfQvxux7cf_hrzPAh8FAvaHq_ClKbZNo/edit?usp=share_link"",""พระนครศรีอยุธยา!L333"")+IMPORTRANGE(""https://docs.google.com/spreadsheets/d/1CdNicvf3i6yt4tJlCePe3V1Va76wYqW0QzMzTsaGRrA/edit?usp=sh"&amp;"are_link"",""เพชรบุรี!L333"")+IMPORTRANGE(""https://docs.google.com/spreadsheets/d/1XiF77UIVHV0Kjc6xbXuOuJ10WgJYxd4p_22ngKVV5oM/edit?usp=share_link"",""ระยอง!L333"")+IMPORTRANGE(""https://docs.google.com/spreadsheets/d/1qU-W_9MCQD1pgIVXGEOjCFo9QqlmJywueby"&amp;"GgaN92r8/edit?usp=share_link"",""ราชบุรี!L333"")+IMPORTRANGE(""https://docs.google.com/spreadsheets/d/1xYFIxIM_CspAP5Q-5Zx_V0T_Ut3cjryrjd2hss28vGk/edit?usp=share_link"",""ลพบุรี!L333"")+IMPORTRANGE(""https://docs.google.com/spreadsheets/d/11s9m3tKsCBdPWq6"&amp;"syhZm27eBGbKneDLZc75co106bio/edit?usp=share_link"",""สระแก้ว!L333"")+IMPORTRANGE(""https://docs.google.com/spreadsheets/d/1Nn1EvsFPtXldgpgVb3Rcng2K2cls68LFQsBh2FyW0Bg/edit?usp=share_link"",""สระบุรี!L333"")+IMPORTRANGE(""https://docs.google.com/spreadshee"&amp;"ts/d/149xufxukrnEciK3WPbNpHwUK8BKEJxp3UcBG3Al6dA4/edit?usp=share_link"",""สิงห์บุรี!L333"")+IMPORTRANGE(""https://docs.google.com/spreadsheets/d/132g-zJpz2uMKimp17uOIx8A7o3w1Z25zwJyXnwsB56c/edit?usp=share_link"",""สุพรรณบุรี!L333"")+IMPORTRANGE(""https://"&amp;"docs.google.com/spreadsheets/d/12Q_U0nVnFdxDFwa0pej9xvx8ZvLC9Dpi_vRro_aiG5g/edit?usp=share_link"",""อ่างทอง!L333"")
"),5934800)</f>
        <v>5934800</v>
      </c>
      <c r="M333" s="45">
        <f ca="1">IFERROR(__xludf.DUMMYFUNCTION("IMPORTRANGE(""https://docs.google.com/spreadsheets/d/1hKO5uv94SSRZWOvrh72HRcpyoEQF9TsE_Cvxl77XNU4/edit?usp=share_link"",""กาญจนบุรี!M333"")+IMPORTRANGE(""https://docs.google.com/spreadsheets/d/1njBaP_xXd-Uotvo2D9zb01TTCFkLJLDK97Tk1l9Qux0/edit?usp=share_li"&amp;"nk"",""จันทบุรี!M333"")+IMPORTRANGE(""https://docs.google.com/spreadsheets/d/14xp6qUzrGFnUk_qnc1eEmfiaNRd4_grkhpfQH_46fa8/edit?usp=share_link"",""ฉะเชิงเทรา!M333"")+IMPORTRANGE(""https://docs.google.com/spreadsheets/d/1_Zwps30dlVa-pZFsorjVf1Pil6WXwzCsJU0U"&amp;"2whO3NI/edit?usp=share_link"",""ชลบุรี!M333"")+IMPORTRANGE(""https://docs.google.com/spreadsheets/d/1xAsT4sUbBlom7l0acStESh_15nvjZcXjZM7fK5uZSq8/edit?usp=share_link"",""ชัยนาท!M333"")+IMPORTRANGE(""https://docs.google.com/spreadsheets/d/1vWPVBOAaZ6mHSI8yf"&amp;"95DNqHwTJ1cpeFsvqt6cxV34QA/edit?usp=share_link"",""ตราด!M333"")+IMPORTRANGE(""https://docs.google.com/spreadsheets/d/1phaeSb9lTGgzDpbvVqI9hfmOQQzUom07-HEvpbARzEg/edit?usp=share_link"",""นครนายก!M333"")+IMPORTRANGE(""https://docs.google.com/spreadsheets/d/"&amp;"1tpwhWwkqkBeiSWCcfB5f2fbwPRbM9hHOEDSDHpl2MIc/edit?usp=share_link"",""นครปฐม!M333"")+IMPORTRANGE(""https://docs.google.com/spreadsheets/d/1fJJCVBkBnhriyv0Cp5ZFMr0I_yrfdEITNpb4zILJgUQ/edit?usp=share_link"",""ปทุมธานี!M333"")+IMPORTRANGE(""https://docs.googl"&amp;"e.com/spreadsheets/d/1W5Jj_S0gYw6wSO7QcMI02YgyOBDKYgmm0NSUk-AQEac/edit?usp=share_link"",""ประจวบคีรีขันธ์!M333"")+IMPORTRANGE(""https://docs.google.com/spreadsheets/d/1nYxRXgnCfTXtqUY1otYuTlnrzE0Tn-Y0YRsW5pkRVqo/edit?usp=share_link"",""ปราจีนบุรี!M333"")+"&amp;"IMPORTRANGE(""https://docs.google.com/spreadsheets/d/1nNHCLO8ZAXOMfQvxux7cf_hrzPAh8FAvaHq_ClKbZNo/edit?usp=share_link"",""พระนครศรีอยุธยา!M333"")+IMPORTRANGE(""https://docs.google.com/spreadsheets/d/1CdNicvf3i6yt4tJlCePe3V1Va76wYqW0QzMzTsaGRrA/edit?usp=sh"&amp;"are_link"",""เพชรบุรี!M333"")+IMPORTRANGE(""https://docs.google.com/spreadsheets/d/1XiF77UIVHV0Kjc6xbXuOuJ10WgJYxd4p_22ngKVV5oM/edit?usp=share_link"",""ระยอง!M333"")+IMPORTRANGE(""https://docs.google.com/spreadsheets/d/1qU-W_9MCQD1pgIVXGEOjCFo9QqlmJywueby"&amp;"GgaN92r8/edit?usp=share_link"",""ราชบุรี!M333"")+IMPORTRANGE(""https://docs.google.com/spreadsheets/d/1xYFIxIM_CspAP5Q-5Zx_V0T_Ut3cjryrjd2hss28vGk/edit?usp=share_link"",""ลพบุรี!M333"")+IMPORTRANGE(""https://docs.google.com/spreadsheets/d/11s9m3tKsCBdPWq6"&amp;"syhZm27eBGbKneDLZc75co106bio/edit?usp=share_link"",""สระแก้ว!M333"")+IMPORTRANGE(""https://docs.google.com/spreadsheets/d/1Nn1EvsFPtXldgpgVb3Rcng2K2cls68LFQsBh2FyW0Bg/edit?usp=share_link"",""สระบุรี!M333"")+IMPORTRANGE(""https://docs.google.com/spreadshee"&amp;"ts/d/149xufxukrnEciK3WPbNpHwUK8BKEJxp3UcBG3Al6dA4/edit?usp=share_link"",""สิงห์บุรี!M333"")+IMPORTRANGE(""https://docs.google.com/spreadsheets/d/132g-zJpz2uMKimp17uOIx8A7o3w1Z25zwJyXnwsB56c/edit?usp=share_link"",""สุพรรณบุรี!M333"")+IMPORTRANGE(""https://"&amp;"docs.google.com/spreadsheets/d/12Q_U0nVnFdxDFwa0pej9xvx8ZvLC9Dpi_vRro_aiG5g/edit?usp=share_link"",""อ่างทอง!M333"")
"),2967400)</f>
        <v>2967400</v>
      </c>
      <c r="N333" s="45">
        <f ca="1">IFERROR(__xludf.DUMMYFUNCTION("IMPORTRANGE(""https://docs.google.com/spreadsheets/d/1hKO5uv94SSRZWOvrh72HRcpyoEQF9TsE_Cvxl77XNU4/edit?usp=share_link"",""กาญจนบุรี!n333"")+IMPORTRANGE(""https://docs.google.com/spreadsheets/d/1njBaP_xXd-Uotvo2D9zb01TTCFkLJLDK97Tk1l9Qux0/edit?usp=share_li"&amp;"nk"",""จันทบุรี!n333"")+IMPORTRANGE(""https://docs.google.com/spreadsheets/d/14xp6qUzrGFnUk_qnc1eEmfiaNRd4_grkhpfQH_46fa8/edit?usp=share_link"",""ฉะเชิงเทรา!n333"")+IMPORTRANGE(""https://docs.google.com/spreadsheets/d/1_Zwps30dlVa-pZFsorjVf1Pil6WXwzCsJU0U"&amp;"2whO3NI/edit?usp=share_link"",""ชลบุรี!n333"")+IMPORTRANGE(""https://docs.google.com/spreadsheets/d/1xAsT4sUbBlom7l0acStESh_15nvjZcXjZM7fK5uZSq8/edit?usp=share_link"",""ชัยนาท!n333"")+IMPORTRANGE(""https://docs.google.com/spreadsheets/d/1vWPVBOAaZ6mHSI8yf"&amp;"95DNqHwTJ1cpeFsvqt6cxV34QA/edit?usp=share_link"",""ตราด!n333"")+IMPORTRANGE(""https://docs.google.com/spreadsheets/d/1phaeSb9lTGgzDpbvVqI9hfmOQQzUom07-HEvpbARzEg/edit?usp=share_link"",""นครนายก!n333"")+IMPORTRANGE(""https://docs.google.com/spreadsheets/d/"&amp;"1tpwhWwkqkBeiSWCcfB5f2fbwPRbM9hHOEDSDHpl2MIc/edit?usp=share_link"",""นครปฐม!n333"")+IMPORTRANGE(""https://docs.google.com/spreadsheets/d/1fJJCVBkBnhriyv0Cp5ZFMr0I_yrfdEITNpb4zILJgUQ/edit?usp=share_link"",""ปทุมธานี!n333"")+IMPORTRANGE(""https://docs.googl"&amp;"e.com/spreadsheets/d/1W5Jj_S0gYw6wSO7QcMI02YgyOBDKYgmm0NSUk-AQEac/edit?usp=share_link"",""ประจวบคีรีขันธ์!n333"")+IMPORTRANGE(""https://docs.google.com/spreadsheets/d/1nYxRXgnCfTXtqUY1otYuTlnrzE0Tn-Y0YRsW5pkRVqo/edit?usp=share_link"",""ปราจีนบุรี!n333"")+"&amp;"IMPORTRANGE(""https://docs.google.com/spreadsheets/d/1nNHCLO8ZAXOMfQvxux7cf_hrzPAh8FAvaHq_ClKbZNo/edit?usp=share_link"",""พระนครศรีอยุธยา!n333"")+IMPORTRANGE(""https://docs.google.com/spreadsheets/d/1CdNicvf3i6yt4tJlCePe3V1Va76wYqW0QzMzTsaGRrA/edit?usp=sh"&amp;"are_link"",""เพชรบุรี!n333"")+IMPORTRANGE(""https://docs.google.com/spreadsheets/d/1XiF77UIVHV0Kjc6xbXuOuJ10WgJYxd4p_22ngKVV5oM/edit?usp=share_link"",""ระยอง!n333"")+IMPORTRANGE(""https://docs.google.com/spreadsheets/d/1qU-W_9MCQD1pgIVXGEOjCFo9QqlmJywueby"&amp;"GgaN92r8/edit?usp=share_link"",""ราชบุรี!n333"")+IMPORTRANGE(""https://docs.google.com/spreadsheets/d/1xYFIxIM_CspAP5Q-5Zx_V0T_Ut3cjryrjd2hss28vGk/edit?usp=share_link"",""ลพบุรี!n333"")+IMPORTRANGE(""https://docs.google.com/spreadsheets/d/11s9m3tKsCBdPWq6"&amp;"syhZm27eBGbKneDLZc75co106bio/edit?usp=share_link"",""สระแก้ว!n333"")+IMPORTRANGE(""https://docs.google.com/spreadsheets/d/1Nn1EvsFPtXldgpgVb3Rcng2K2cls68LFQsBh2FyW0Bg/edit?usp=share_link"",""สระบุรี!n333"")+IMPORTRANGE(""https://docs.google.com/spreadshee"&amp;"ts/d/149xufxukrnEciK3WPbNpHwUK8BKEJxp3UcBG3Al6dA4/edit?usp=share_link"",""สิงห์บุรี!n333"")+IMPORTRANGE(""https://docs.google.com/spreadsheets/d/132g-zJpz2uMKimp17uOIx8A7o3w1Z25zwJyXnwsB56c/edit?usp=share_link"",""สุพรรณบุรี!n333"")+IMPORTRANGE(""https://"&amp;"docs.google.com/spreadsheets/d/12Q_U0nVnFdxDFwa0pej9xvx8ZvLC9Dpi_vRro_aiG5g/edit?usp=share_link"",""อ่างทอง!n333"")
"),1282135.12)</f>
        <v>1282135.1200000001</v>
      </c>
      <c r="O333" s="45">
        <f t="shared" ca="1" si="176"/>
        <v>21.603678641234755</v>
      </c>
      <c r="P333" s="45">
        <f t="shared" ca="1" si="177"/>
        <v>43.207357282469509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20.25" customHeight="1">
      <c r="A334" s="159"/>
      <c r="B334" s="33"/>
      <c r="C334" s="160"/>
      <c r="D334" s="34" t="s">
        <v>21</v>
      </c>
      <c r="E334" s="33"/>
      <c r="F334" s="33"/>
      <c r="G334" s="35"/>
      <c r="H334" s="168" t="s">
        <v>12</v>
      </c>
      <c r="I334" s="162"/>
      <c r="J334" s="162"/>
      <c r="K334" s="163"/>
      <c r="L334" s="38">
        <f t="shared" ref="L334:N334" ca="1" si="181">L335+L336</f>
        <v>1812000</v>
      </c>
      <c r="M334" s="38">
        <f t="shared" ca="1" si="181"/>
        <v>1812000</v>
      </c>
      <c r="N334" s="38">
        <f t="shared" ca="1" si="181"/>
        <v>0</v>
      </c>
      <c r="O334" s="38">
        <f t="shared" ca="1" si="176"/>
        <v>0</v>
      </c>
      <c r="P334" s="38">
        <f t="shared" ca="1" si="177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20.25" hidden="1" customHeight="1">
      <c r="A335" s="156"/>
      <c r="B335" s="40"/>
      <c r="C335" s="164"/>
      <c r="D335" s="40"/>
      <c r="E335" s="41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45">
        <f t="shared" si="176"/>
        <v>0</v>
      </c>
      <c r="P335" s="45">
        <f t="shared" si="177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20.25" hidden="1" customHeight="1">
      <c r="A336" s="156"/>
      <c r="B336" s="40"/>
      <c r="C336" s="164"/>
      <c r="D336" s="40"/>
      <c r="E336" s="41" t="s">
        <v>19</v>
      </c>
      <c r="F336" s="40"/>
      <c r="G336" s="157"/>
      <c r="H336" s="169" t="s">
        <v>12</v>
      </c>
      <c r="I336" s="166"/>
      <c r="J336" s="166"/>
      <c r="K336" s="167"/>
      <c r="L336" s="45">
        <f ca="1">IFERROR(__xludf.DUMMYFUNCTION("IMPORTRANGE(""https://docs.google.com/spreadsheets/d/1hKO5uv94SSRZWOvrh72HRcpyoEQF9TsE_Cvxl77XNU4/edit?usp=share_link"",""กาญจนบุรี!L336"")+IMPORTRANGE(""https://docs.google.com/spreadsheets/d/1njBaP_xXd-Uotvo2D9zb01TTCFkLJLDK97Tk1l9Qux0/edit?usp=share_li"&amp;"nk"",""จันทบุรี!L336"")+IMPORTRANGE(""https://docs.google.com/spreadsheets/d/14xp6qUzrGFnUk_qnc1eEmfiaNRd4_grkhpfQH_46fa8/edit?usp=share_link"",""ฉะเชิงเทรา!L336"")+IMPORTRANGE(""https://docs.google.com/spreadsheets/d/1_Zwps30dlVa-pZFsorjVf1Pil6WXwzCsJU0U"&amp;"2whO3NI/edit?usp=share_link"",""ชลบุรี!L336"")+IMPORTRANGE(""https://docs.google.com/spreadsheets/d/1xAsT4sUbBlom7l0acStESh_15nvjZcXjZM7fK5uZSq8/edit?usp=share_link"",""ชัยนาท!L336"")+IMPORTRANGE(""https://docs.google.com/spreadsheets/d/1vWPVBOAaZ6mHSI8yf"&amp;"95DNqHwTJ1cpeFsvqt6cxV34QA/edit?usp=share_link"",""ตราด!L336"")+IMPORTRANGE(""https://docs.google.com/spreadsheets/d/1phaeSb9lTGgzDpbvVqI9hfmOQQzUom07-HEvpbARzEg/edit?usp=share_link"",""นครนายก!L336"")+IMPORTRANGE(""https://docs.google.com/spreadsheets/d/"&amp;"1tpwhWwkqkBeiSWCcfB5f2fbwPRbM9hHOEDSDHpl2MIc/edit?usp=share_link"",""นครปฐม!L336"")+IMPORTRANGE(""https://docs.google.com/spreadsheets/d/1fJJCVBkBnhriyv0Cp5ZFMr0I_yrfdEITNpb4zILJgUQ/edit?usp=share_link"",""ปทุมธานี!L336"")+IMPORTRANGE(""https://docs.googl"&amp;"e.com/spreadsheets/d/1W5Jj_S0gYw6wSO7QcMI02YgyOBDKYgmm0NSUk-AQEac/edit?usp=share_link"",""ประจวบคีรีขันธ์!L336"")+IMPORTRANGE(""https://docs.google.com/spreadsheets/d/1nYxRXgnCfTXtqUY1otYuTlnrzE0Tn-Y0YRsW5pkRVqo/edit?usp=share_link"",""ปราจีนบุรี!L336"")+"&amp;"IMPORTRANGE(""https://docs.google.com/spreadsheets/d/1nNHCLO8ZAXOMfQvxux7cf_hrzPAh8FAvaHq_ClKbZNo/edit?usp=share_link"",""พระนครศรีอยุธยา!L336"")+IMPORTRANGE(""https://docs.google.com/spreadsheets/d/1CdNicvf3i6yt4tJlCePe3V1Va76wYqW0QzMzTsaGRrA/edit?usp=sh"&amp;"are_link"",""เพชรบุรี!L336"")+IMPORTRANGE(""https://docs.google.com/spreadsheets/d/1XiF77UIVHV0Kjc6xbXuOuJ10WgJYxd4p_22ngKVV5oM/edit?usp=share_link"",""ระยอง!L336"")+IMPORTRANGE(""https://docs.google.com/spreadsheets/d/1qU-W_9MCQD1pgIVXGEOjCFo9QqlmJywueby"&amp;"GgaN92r8/edit?usp=share_link"",""ราชบุรี!L336"")+IMPORTRANGE(""https://docs.google.com/spreadsheets/d/1xYFIxIM_CspAP5Q-5Zx_V0T_Ut3cjryrjd2hss28vGk/edit?usp=share_link"",""ลพบุรี!L336"")+IMPORTRANGE(""https://docs.google.com/spreadsheets/d/11s9m3tKsCBdPWq6"&amp;"syhZm27eBGbKneDLZc75co106bio/edit?usp=share_link"",""สระแก้ว!L336"")+IMPORTRANGE(""https://docs.google.com/spreadsheets/d/1Nn1EvsFPtXldgpgVb3Rcng2K2cls68LFQsBh2FyW0Bg/edit?usp=share_link"",""สระบุรี!L336"")+IMPORTRANGE(""https://docs.google.com/spreadshee"&amp;"ts/d/149xufxukrnEciK3WPbNpHwUK8BKEJxp3UcBG3Al6dA4/edit?usp=share_link"",""สิงห์บุรี!L336"")+IMPORTRANGE(""https://docs.google.com/spreadsheets/d/132g-zJpz2uMKimp17uOIx8A7o3w1Z25zwJyXnwsB56c/edit?usp=share_link"",""สุพรรณบุรี!L336"")+IMPORTRANGE(""https://"&amp;"docs.google.com/spreadsheets/d/12Q_U0nVnFdxDFwa0pej9xvx8ZvLC9Dpi_vRro_aiG5g/edit?usp=share_link"",""อ่างทอง!L336"")
"),1812000)</f>
        <v>1812000</v>
      </c>
      <c r="M336" s="45">
        <f ca="1">IFERROR(__xludf.DUMMYFUNCTION("IMPORTRANGE(""https://docs.google.com/spreadsheets/d/1hKO5uv94SSRZWOvrh72HRcpyoEQF9TsE_Cvxl77XNU4/edit?usp=share_link"",""กาญจนบุรี!M336"")+IMPORTRANGE(""https://docs.google.com/spreadsheets/d/1njBaP_xXd-Uotvo2D9zb01TTCFkLJLDK97Tk1l9Qux0/edit?usp=share_li"&amp;"nk"",""จันทบุรี!M336"")+IMPORTRANGE(""https://docs.google.com/spreadsheets/d/14xp6qUzrGFnUk_qnc1eEmfiaNRd4_grkhpfQH_46fa8/edit?usp=share_link"",""ฉะเชิงเทรา!M336"")+IMPORTRANGE(""https://docs.google.com/spreadsheets/d/1_Zwps30dlVa-pZFsorjVf1Pil6WXwzCsJU0U"&amp;"2whO3NI/edit?usp=share_link"",""ชลบุรี!M336"")+IMPORTRANGE(""https://docs.google.com/spreadsheets/d/1xAsT4sUbBlom7l0acStESh_15nvjZcXjZM7fK5uZSq8/edit?usp=share_link"",""ชัยนาท!M336"")+IMPORTRANGE(""https://docs.google.com/spreadsheets/d/1vWPVBOAaZ6mHSI8yf"&amp;"95DNqHwTJ1cpeFsvqt6cxV34QA/edit?usp=share_link"",""ตราด!M336"")+IMPORTRANGE(""https://docs.google.com/spreadsheets/d/1phaeSb9lTGgzDpbvVqI9hfmOQQzUom07-HEvpbARzEg/edit?usp=share_link"",""นครนายก!M336"")+IMPORTRANGE(""https://docs.google.com/spreadsheets/d/"&amp;"1tpwhWwkqkBeiSWCcfB5f2fbwPRbM9hHOEDSDHpl2MIc/edit?usp=share_link"",""นครปฐม!M336"")+IMPORTRANGE(""https://docs.google.com/spreadsheets/d/1fJJCVBkBnhriyv0Cp5ZFMr0I_yrfdEITNpb4zILJgUQ/edit?usp=share_link"",""ปทุมธานี!M336"")+IMPORTRANGE(""https://docs.googl"&amp;"e.com/spreadsheets/d/1W5Jj_S0gYw6wSO7QcMI02YgyOBDKYgmm0NSUk-AQEac/edit?usp=share_link"",""ประจวบคีรีขันธ์!M336"")+IMPORTRANGE(""https://docs.google.com/spreadsheets/d/1nYxRXgnCfTXtqUY1otYuTlnrzE0Tn-Y0YRsW5pkRVqo/edit?usp=share_link"",""ปราจีนบุรี!M336"")+"&amp;"IMPORTRANGE(""https://docs.google.com/spreadsheets/d/1nNHCLO8ZAXOMfQvxux7cf_hrzPAh8FAvaHq_ClKbZNo/edit?usp=share_link"",""พระนครศรีอยุธยา!M336"")+IMPORTRANGE(""https://docs.google.com/spreadsheets/d/1CdNicvf3i6yt4tJlCePe3V1Va76wYqW0QzMzTsaGRrA/edit?usp=sh"&amp;"are_link"",""เพชรบุรี!M336"")+IMPORTRANGE(""https://docs.google.com/spreadsheets/d/1XiF77UIVHV0Kjc6xbXuOuJ10WgJYxd4p_22ngKVV5oM/edit?usp=share_link"",""ระยอง!M336"")+IMPORTRANGE(""https://docs.google.com/spreadsheets/d/1qU-W_9MCQD1pgIVXGEOjCFo9QqlmJywueby"&amp;"GgaN92r8/edit?usp=share_link"",""ราชบุรี!M336"")+IMPORTRANGE(""https://docs.google.com/spreadsheets/d/1xYFIxIM_CspAP5Q-5Zx_V0T_Ut3cjryrjd2hss28vGk/edit?usp=share_link"",""ลพบุรี!M336"")+IMPORTRANGE(""https://docs.google.com/spreadsheets/d/11s9m3tKsCBdPWq6"&amp;"syhZm27eBGbKneDLZc75co106bio/edit?usp=share_link"",""สระแก้ว!M336"")+IMPORTRANGE(""https://docs.google.com/spreadsheets/d/1Nn1EvsFPtXldgpgVb3Rcng2K2cls68LFQsBh2FyW0Bg/edit?usp=share_link"",""สระบุรี!M336"")+IMPORTRANGE(""https://docs.google.com/spreadshee"&amp;"ts/d/149xufxukrnEciK3WPbNpHwUK8BKEJxp3UcBG3Al6dA4/edit?usp=share_link"",""สิงห์บุรี!M336"")+IMPORTRANGE(""https://docs.google.com/spreadsheets/d/132g-zJpz2uMKimp17uOIx8A7o3w1Z25zwJyXnwsB56c/edit?usp=share_link"",""สุพรรณบุรี!M336"")+IMPORTRANGE(""https://"&amp;"docs.google.com/spreadsheets/d/12Q_U0nVnFdxDFwa0pej9xvx8ZvLC9Dpi_vRro_aiG5g/edit?usp=share_link"",""อ่างทอง!M336"")
"),1812000)</f>
        <v>1812000</v>
      </c>
      <c r="N336" s="45">
        <f ca="1">IFERROR(__xludf.DUMMYFUNCTION("IMPORTRANGE(""https://docs.google.com/spreadsheets/d/1hKO5uv94SSRZWOvrh72HRcpyoEQF9TsE_Cvxl77XNU4/edit?usp=share_link"",""กาญจนบุรี!n336"")+IMPORTRANGE(""https://docs.google.com/spreadsheets/d/1njBaP_xXd-Uotvo2D9zb01TTCFkLJLDK97Tk1l9Qux0/edit?usp=share_li"&amp;"nk"",""จันทบุรี!n336"")+IMPORTRANGE(""https://docs.google.com/spreadsheets/d/14xp6qUzrGFnUk_qnc1eEmfiaNRd4_grkhpfQH_46fa8/edit?usp=share_link"",""ฉะเชิงเทรา!n336"")+IMPORTRANGE(""https://docs.google.com/spreadsheets/d/1_Zwps30dlVa-pZFsorjVf1Pil6WXwzCsJU0U"&amp;"2whO3NI/edit?usp=share_link"",""ชลบุรี!n336"")+IMPORTRANGE(""https://docs.google.com/spreadsheets/d/1xAsT4sUbBlom7l0acStESh_15nvjZcXjZM7fK5uZSq8/edit?usp=share_link"",""ชัยนาท!n336"")+IMPORTRANGE(""https://docs.google.com/spreadsheets/d/1vWPVBOAaZ6mHSI8yf"&amp;"95DNqHwTJ1cpeFsvqt6cxV34QA/edit?usp=share_link"",""ตราด!n336"")+IMPORTRANGE(""https://docs.google.com/spreadsheets/d/1phaeSb9lTGgzDpbvVqI9hfmOQQzUom07-HEvpbARzEg/edit?usp=share_link"",""นครนายก!n336"")+IMPORTRANGE(""https://docs.google.com/spreadsheets/d/"&amp;"1tpwhWwkqkBeiSWCcfB5f2fbwPRbM9hHOEDSDHpl2MIc/edit?usp=share_link"",""นครปฐม!n336"")+IMPORTRANGE(""https://docs.google.com/spreadsheets/d/1fJJCVBkBnhriyv0Cp5ZFMr0I_yrfdEITNpb4zILJgUQ/edit?usp=share_link"",""ปทุมธานี!n336"")+IMPORTRANGE(""https://docs.googl"&amp;"e.com/spreadsheets/d/1W5Jj_S0gYw6wSO7QcMI02YgyOBDKYgmm0NSUk-AQEac/edit?usp=share_link"",""ประจวบคีรีขันธ์!n336"")+IMPORTRANGE(""https://docs.google.com/spreadsheets/d/1nYxRXgnCfTXtqUY1otYuTlnrzE0Tn-Y0YRsW5pkRVqo/edit?usp=share_link"",""ปราจีนบุรี!n336"")+"&amp;"IMPORTRANGE(""https://docs.google.com/spreadsheets/d/1nNHCLO8ZAXOMfQvxux7cf_hrzPAh8FAvaHq_ClKbZNo/edit?usp=share_link"",""พระนครศรีอยุธยา!n336"")+IMPORTRANGE(""https://docs.google.com/spreadsheets/d/1CdNicvf3i6yt4tJlCePe3V1Va76wYqW0QzMzTsaGRrA/edit?usp=sh"&amp;"are_link"",""เพชรบุรี!n336"")+IMPORTRANGE(""https://docs.google.com/spreadsheets/d/1XiF77UIVHV0Kjc6xbXuOuJ10WgJYxd4p_22ngKVV5oM/edit?usp=share_link"",""ระยอง!n336"")+IMPORTRANGE(""https://docs.google.com/spreadsheets/d/1qU-W_9MCQD1pgIVXGEOjCFo9QqlmJywueby"&amp;"GgaN92r8/edit?usp=share_link"",""ราชบุรี!n336"")+IMPORTRANGE(""https://docs.google.com/spreadsheets/d/1xYFIxIM_CspAP5Q-5Zx_V0T_Ut3cjryrjd2hss28vGk/edit?usp=share_link"",""ลพบุรี!n336"")+IMPORTRANGE(""https://docs.google.com/spreadsheets/d/11s9m3tKsCBdPWq6"&amp;"syhZm27eBGbKneDLZc75co106bio/edit?usp=share_link"",""สระแก้ว!n336"")+IMPORTRANGE(""https://docs.google.com/spreadsheets/d/1Nn1EvsFPtXldgpgVb3Rcng2K2cls68LFQsBh2FyW0Bg/edit?usp=share_link"",""สระบุรี!n336"")+IMPORTRANGE(""https://docs.google.com/spreadshee"&amp;"ts/d/149xufxukrnEciK3WPbNpHwUK8BKEJxp3UcBG3Al6dA4/edit?usp=share_link"",""สิงห์บุรี!n336"")+IMPORTRANGE(""https://docs.google.com/spreadsheets/d/132g-zJpz2uMKimp17uOIx8A7o3w1Z25zwJyXnwsB56c/edit?usp=share_link"",""สุพรรณบุรี!n336"")+IMPORTRANGE(""https://"&amp;"docs.google.com/spreadsheets/d/12Q_U0nVnFdxDFwa0pej9xvx8ZvLC9Dpi_vRro_aiG5g/edit?usp=share_link"",""อ่างทอง!n336"")
"),0)</f>
        <v>0</v>
      </c>
      <c r="O336" s="45">
        <f t="shared" ca="1" si="176"/>
        <v>0</v>
      </c>
      <c r="P336" s="45">
        <f t="shared" ca="1" si="177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20.25" customHeight="1">
      <c r="A337" s="170"/>
      <c r="B337" s="171"/>
      <c r="C337" s="164" t="s">
        <v>16</v>
      </c>
      <c r="D337" s="172" t="s">
        <v>38</v>
      </c>
      <c r="E337" s="173"/>
      <c r="F337" s="173"/>
      <c r="G337" s="174"/>
      <c r="H337" s="175"/>
      <c r="I337" s="162"/>
      <c r="J337" s="37"/>
      <c r="K337" s="38"/>
      <c r="L337" s="38"/>
      <c r="M337" s="38"/>
      <c r="N337" s="38"/>
      <c r="O337" s="163"/>
      <c r="P337" s="163"/>
    </row>
    <row r="338" spans="1:26" ht="20.25" customHeight="1">
      <c r="A338" s="284"/>
      <c r="B338" s="33"/>
      <c r="C338" s="280"/>
      <c r="D338" s="181" t="s">
        <v>150</v>
      </c>
      <c r="E338" s="171"/>
      <c r="F338" s="33"/>
      <c r="G338" s="35"/>
      <c r="H338" s="276" t="s">
        <v>35</v>
      </c>
      <c r="I338" s="37">
        <f ca="1">IFERROR(__xludf.DUMMYFUNCTION("IMPORTRANGE(""https://docs.google.com/spreadsheets/d/1hKO5uv94SSRZWOvrh72HRcpyoEQF9TsE_Cvxl77XNU4/edit?usp=share_link"",""กาญจนบุรี!I338"")+IMPORTRANGE(""https://docs.google.com/spreadsheets/d/1njBaP_xXd-Uotvo2D9zb01TTCFkLJLDK97Tk1l9Qux0/edit?usp=share_li"&amp;"nk"",""จันทบุรี!I338"")+IMPORTRANGE(""https://docs.google.com/spreadsheets/d/14xp6qUzrGFnUk_qnc1eEmfiaNRd4_grkhpfQH_46fa8/edit?usp=share_link"",""ฉะเชิงเทรา!I338"")+IMPORTRANGE(""https://docs.google.com/spreadsheets/d/1_Zwps30dlVa-pZFsorjVf1Pil6WXwzCsJU0U"&amp;"2whO3NI/edit?usp=share_link"",""ชลบุรี!I338"")+IMPORTRANGE(""https://docs.google.com/spreadsheets/d/1xAsT4sUbBlom7l0acStESh_15nvjZcXjZM7fK5uZSq8/edit?usp=share_link"",""ชัยนาท!I338"")+IMPORTRANGE(""https://docs.google.com/spreadsheets/d/1vWPVBOAaZ6mHSI8yf"&amp;"95DNqHwTJ1cpeFsvqt6cxV34QA/edit?usp=share_link"",""ตราด!I338"")+IMPORTRANGE(""https://docs.google.com/spreadsheets/d/1phaeSb9lTGgzDpbvVqI9hfmOQQzUom07-HEvpbARzEg/edit?usp=share_link"",""นครนายก!I338"")+IMPORTRANGE(""https://docs.google.com/spreadsheets/d/"&amp;"1tpwhWwkqkBeiSWCcfB5f2fbwPRbM9hHOEDSDHpl2MIc/edit?usp=share_link"",""นครปฐม!I338"")+IMPORTRANGE(""https://docs.google.com/spreadsheets/d/1fJJCVBkBnhriyv0Cp5ZFMr0I_yrfdEITNpb4zILJgUQ/edit?usp=share_link"",""ปทุมธานี!I338"")+IMPORTRANGE(""https://docs.googl"&amp;"e.com/spreadsheets/d/1W5Jj_S0gYw6wSO7QcMI02YgyOBDKYgmm0NSUk-AQEac/edit?usp=share_link"",""ประจวบคีรีขันธ์!I338"")+IMPORTRANGE(""https://docs.google.com/spreadsheets/d/1nYxRXgnCfTXtqUY1otYuTlnrzE0Tn-Y0YRsW5pkRVqo/edit?usp=share_link"",""ปราจีนบุรี!I338"")+"&amp;"IMPORTRANGE(""https://docs.google.com/spreadsheets/d/1nNHCLO8ZAXOMfQvxux7cf_hrzPAh8FAvaHq_ClKbZNo/edit?usp=share_link"",""พระนครศรีอยุธยา!I338"")+IMPORTRANGE(""https://docs.google.com/spreadsheets/d/1CdNicvf3i6yt4tJlCePe3V1Va76wYqW0QzMzTsaGRrA/edit?usp=sh"&amp;"are_link"",""เพชรบุรี!I338"")+IMPORTRANGE(""https://docs.google.com/spreadsheets/d/1XiF77UIVHV0Kjc6xbXuOuJ10WgJYxd4p_22ngKVV5oM/edit?usp=share_link"",""ระยอง!I338"")+IMPORTRANGE(""https://docs.google.com/spreadsheets/d/1qU-W_9MCQD1pgIVXGEOjCFo9QqlmJywueby"&amp;"GgaN92r8/edit?usp=share_link"",""ราชบุรี!I338"")+IMPORTRANGE(""https://docs.google.com/spreadsheets/d/1xYFIxIM_CspAP5Q-5Zx_V0T_Ut3cjryrjd2hss28vGk/edit?usp=share_link"",""ลพบุรี!I338"")+IMPORTRANGE(""https://docs.google.com/spreadsheets/d/11s9m3tKsCBdPWq6"&amp;"syhZm27eBGbKneDLZc75co106bio/edit?usp=share_link"",""สระแก้ว!I338"")+IMPORTRANGE(""https://docs.google.com/spreadsheets/d/1Nn1EvsFPtXldgpgVb3Rcng2K2cls68LFQsBh2FyW0Bg/edit?usp=share_link"",""สระบุรี!I338"")+IMPORTRANGE(""https://docs.google.com/spreadshee"&amp;"ts/d/149xufxukrnEciK3WPbNpHwUK8BKEJxp3UcBG3Al6dA4/edit?usp=share_link"",""สิงห์บุรี!I338"")+IMPORTRANGE(""https://docs.google.com/spreadsheets/d/132g-zJpz2uMKimp17uOIx8A7o3w1Z25zwJyXnwsB56c/edit?usp=share_link"",""สุพรรณบุรี!I338"")+IMPORTRANGE(""https://"&amp;"docs.google.com/spreadsheets/d/12Q_U0nVnFdxDFwa0pej9xvx8ZvLC9Dpi_vRro_aiG5g/edit?usp=share_link"",""อ่างทอง!I338"")
"),29100)</f>
        <v>29100</v>
      </c>
      <c r="J338" s="269">
        <f ca="1">IFERROR(__xludf.DUMMYFUNCTION("IMPORTRANGE(""https://docs.google.com/spreadsheets/d/1hKO5uv94SSRZWOvrh72HRcpyoEQF9TsE_Cvxl77XNU4/edit?usp=share_link"",""กาญจนบุรี!J338"")+IMPORTRANGE(""https://docs.google.com/spreadsheets/d/1njBaP_xXd-Uotvo2D9zb01TTCFkLJLDK97Tk1l9Qux0/edit?usp=share_li"&amp;"nk"",""จันทบุรี!J338"")+IMPORTRANGE(""https://docs.google.com/spreadsheets/d/14xp6qUzrGFnUk_qnc1eEmfiaNRd4_grkhpfQH_46fa8/edit?usp=share_link"",""ฉะเชิงเทรา!J338"")+IMPORTRANGE(""https://docs.google.com/spreadsheets/d/1_Zwps30dlVa-pZFsorjVf1Pil6WXwzCsJU0U"&amp;"2whO3NI/edit?usp=share_link"",""ชลบุรี!J338"")+IMPORTRANGE(""https://docs.google.com/spreadsheets/d/1xAsT4sUbBlom7l0acStESh_15nvjZcXjZM7fK5uZSq8/edit?usp=share_link"",""ชัยนาท!J338"")+IMPORTRANGE(""https://docs.google.com/spreadsheets/d/1vWPVBOAaZ6mHSI8yf"&amp;"95DNqHwTJ1cpeFsvqt6cxV34QA/edit?usp=share_link"",""ตราด!J338"")+IMPORTRANGE(""https://docs.google.com/spreadsheets/d/1phaeSb9lTGgzDpbvVqI9hfmOQQzUom07-HEvpbARzEg/edit?usp=share_link"",""นครนายก!J338"")+IMPORTRANGE(""https://docs.google.com/spreadsheets/d/"&amp;"1tpwhWwkqkBeiSWCcfB5f2fbwPRbM9hHOEDSDHpl2MIc/edit?usp=share_link"",""นครปฐม!J338"")+IMPORTRANGE(""https://docs.google.com/spreadsheets/d/1fJJCVBkBnhriyv0Cp5ZFMr0I_yrfdEITNpb4zILJgUQ/edit?usp=share_link"",""ปทุมธานี!J338"")+IMPORTRANGE(""https://docs.googl"&amp;"e.com/spreadsheets/d/1W5Jj_S0gYw6wSO7QcMI02YgyOBDKYgmm0NSUk-AQEac/edit?usp=share_link"",""ประจวบคีรีขันธ์!J338"")+IMPORTRANGE(""https://docs.google.com/spreadsheets/d/1nYxRXgnCfTXtqUY1otYuTlnrzE0Tn-Y0YRsW5pkRVqo/edit?usp=share_link"",""ปราจีนบุรี!J338"")+"&amp;"IMPORTRANGE(""https://docs.google.com/spreadsheets/d/1nNHCLO8ZAXOMfQvxux7cf_hrzPAh8FAvaHq_ClKbZNo/edit?usp=share_link"",""พระนครศรีอยุธยา!J338"")+IMPORTRANGE(""https://docs.google.com/spreadsheets/d/1CdNicvf3i6yt4tJlCePe3V1Va76wYqW0QzMzTsaGRrA/edit?usp=sh"&amp;"are_link"",""เพชรบุรี!J338"")+IMPORTRANGE(""https://docs.google.com/spreadsheets/d/1XiF77UIVHV0Kjc6xbXuOuJ10WgJYxd4p_22ngKVV5oM/edit?usp=share_link"",""ระยอง!J338"")+IMPORTRANGE(""https://docs.google.com/spreadsheets/d/1qU-W_9MCQD1pgIVXGEOjCFo9QqlmJywueby"&amp;"GgaN92r8/edit?usp=share_link"",""ราชบุรี!J338"")+IMPORTRANGE(""https://docs.google.com/spreadsheets/d/1xYFIxIM_CspAP5Q-5Zx_V0T_Ut3cjryrjd2hss28vGk/edit?usp=share_link"",""ลพบุรี!J338"")+IMPORTRANGE(""https://docs.google.com/spreadsheets/d/11s9m3tKsCBdPWq6"&amp;"syhZm27eBGbKneDLZc75co106bio/edit?usp=share_link"",""สระแก้ว!J338"")+IMPORTRANGE(""https://docs.google.com/spreadsheets/d/1Nn1EvsFPtXldgpgVb3Rcng2K2cls68LFQsBh2FyW0Bg/edit?usp=share_link"",""สระบุรี!J338"")+IMPORTRANGE(""https://docs.google.com/spreadshee"&amp;"ts/d/149xufxukrnEciK3WPbNpHwUK8BKEJxp3UcBG3Al6dA4/edit?usp=share_link"",""สิงห์บุรี!J338"")+IMPORTRANGE(""https://docs.google.com/spreadsheets/d/132g-zJpz2uMKimp17uOIx8A7o3w1Z25zwJyXnwsB56c/edit?usp=share_link"",""สุพรรณบุรี!J338"")+IMPORTRANGE(""https://"&amp;"docs.google.com/spreadsheets/d/12Q_U0nVnFdxDFwa0pej9xvx8ZvLC9Dpi_vRro_aiG5g/edit?usp=share_link"",""อ่างทอง!J338"")
"),10465)</f>
        <v>10465</v>
      </c>
      <c r="K338" s="38">
        <f ca="1">IF(I338&gt;0,J338*100/I338,0)</f>
        <v>35.962199312714773</v>
      </c>
      <c r="L338" s="38"/>
      <c r="M338" s="38"/>
      <c r="N338" s="38"/>
      <c r="O338" s="38"/>
      <c r="P338" s="38"/>
    </row>
    <row r="339" spans="1:26" ht="20.25" customHeight="1">
      <c r="A339" s="284"/>
      <c r="B339" s="33"/>
      <c r="C339" s="280"/>
      <c r="D339" s="181" t="s">
        <v>151</v>
      </c>
      <c r="E339" s="171"/>
      <c r="F339" s="33"/>
      <c r="G339" s="35"/>
      <c r="H339" s="276"/>
      <c r="I339" s="37"/>
      <c r="J339" s="269"/>
      <c r="K339" s="38"/>
      <c r="L339" s="38"/>
      <c r="M339" s="38"/>
      <c r="N339" s="38"/>
      <c r="O339" s="38"/>
      <c r="P339" s="38"/>
    </row>
    <row r="340" spans="1:26" ht="20.25" customHeight="1">
      <c r="A340" s="284"/>
      <c r="B340" s="33"/>
      <c r="C340" s="280"/>
      <c r="D340" s="178"/>
      <c r="E340" s="181" t="s">
        <v>152</v>
      </c>
      <c r="F340" s="33"/>
      <c r="G340" s="35"/>
      <c r="H340" s="276" t="s">
        <v>153</v>
      </c>
      <c r="I340" s="37">
        <f ca="1">IFERROR(__xludf.DUMMYFUNCTION("IMPORTRANGE(""https://docs.google.com/spreadsheets/d/1hKO5uv94SSRZWOvrh72HRcpyoEQF9TsE_Cvxl77XNU4/edit?usp=share_link"",""กาญจนบุรี!I340"")+IMPORTRANGE(""https://docs.google.com/spreadsheets/d/1njBaP_xXd-Uotvo2D9zb01TTCFkLJLDK97Tk1l9Qux0/edit?usp=share_li"&amp;"nk"",""จันทบุรี!I340"")+IMPORTRANGE(""https://docs.google.com/spreadsheets/d/14xp6qUzrGFnUk_qnc1eEmfiaNRd4_grkhpfQH_46fa8/edit?usp=share_link"",""ฉะเชิงเทรา!I340"")+IMPORTRANGE(""https://docs.google.com/spreadsheets/d/1_Zwps30dlVa-pZFsorjVf1Pil6WXwzCsJU0U"&amp;"2whO3NI/edit?usp=share_link"",""ชลบุรี!I340"")+IMPORTRANGE(""https://docs.google.com/spreadsheets/d/1xAsT4sUbBlom7l0acStESh_15nvjZcXjZM7fK5uZSq8/edit?usp=share_link"",""ชัยนาท!I340"")+IMPORTRANGE(""https://docs.google.com/spreadsheets/d/1vWPVBOAaZ6mHSI8yf"&amp;"95DNqHwTJ1cpeFsvqt6cxV34QA/edit?usp=share_link"",""ตราด!I340"")+IMPORTRANGE(""https://docs.google.com/spreadsheets/d/1phaeSb9lTGgzDpbvVqI9hfmOQQzUom07-HEvpbARzEg/edit?usp=share_link"",""นครนายก!I340"")+IMPORTRANGE(""https://docs.google.com/spreadsheets/d/"&amp;"1tpwhWwkqkBeiSWCcfB5f2fbwPRbM9hHOEDSDHpl2MIc/edit?usp=share_link"",""นครปฐม!I340"")+IMPORTRANGE(""https://docs.google.com/spreadsheets/d/1fJJCVBkBnhriyv0Cp5ZFMr0I_yrfdEITNpb4zILJgUQ/edit?usp=share_link"",""ปทุมธานี!I340"")+IMPORTRANGE(""https://docs.googl"&amp;"e.com/spreadsheets/d/1W5Jj_S0gYw6wSO7QcMI02YgyOBDKYgmm0NSUk-AQEac/edit?usp=share_link"",""ประจวบคีรีขันธ์!I340"")+IMPORTRANGE(""https://docs.google.com/spreadsheets/d/1nYxRXgnCfTXtqUY1otYuTlnrzE0Tn-Y0YRsW5pkRVqo/edit?usp=share_link"",""ปราจีนบุรี!I340"")+"&amp;"IMPORTRANGE(""https://docs.google.com/spreadsheets/d/1nNHCLO8ZAXOMfQvxux7cf_hrzPAh8FAvaHq_ClKbZNo/edit?usp=share_link"",""พระนครศรีอยุธยา!I340"")+IMPORTRANGE(""https://docs.google.com/spreadsheets/d/1CdNicvf3i6yt4tJlCePe3V1Va76wYqW0QzMzTsaGRrA/edit?usp=sh"&amp;"are_link"",""เพชรบุรี!I340"")+IMPORTRANGE(""https://docs.google.com/spreadsheets/d/1XiF77UIVHV0Kjc6xbXuOuJ10WgJYxd4p_22ngKVV5oM/edit?usp=share_link"",""ระยอง!I340"")+IMPORTRANGE(""https://docs.google.com/spreadsheets/d/1qU-W_9MCQD1pgIVXGEOjCFo9QqlmJywueby"&amp;"GgaN92r8/edit?usp=share_link"",""ราชบุรี!I340"")+IMPORTRANGE(""https://docs.google.com/spreadsheets/d/1xYFIxIM_CspAP5Q-5Zx_V0T_Ut3cjryrjd2hss28vGk/edit?usp=share_link"",""ลพบุรี!I340"")+IMPORTRANGE(""https://docs.google.com/spreadsheets/d/11s9m3tKsCBdPWq6"&amp;"syhZm27eBGbKneDLZc75co106bio/edit?usp=share_link"",""สระแก้ว!I340"")+IMPORTRANGE(""https://docs.google.com/spreadsheets/d/1Nn1EvsFPtXldgpgVb3Rcng2K2cls68LFQsBh2FyW0Bg/edit?usp=share_link"",""สระบุรี!I340"")+IMPORTRANGE(""https://docs.google.com/spreadshee"&amp;"ts/d/149xufxukrnEciK3WPbNpHwUK8BKEJxp3UcBG3Al6dA4/edit?usp=share_link"",""สิงห์บุรี!I340"")+IMPORTRANGE(""https://docs.google.com/spreadsheets/d/132g-zJpz2uMKimp17uOIx8A7o3w1Z25zwJyXnwsB56c/edit?usp=share_link"",""สุพรรณบุรี!I340"")+IMPORTRANGE(""https://"&amp;"docs.google.com/spreadsheets/d/12Q_U0nVnFdxDFwa0pej9xvx8ZvLC9Dpi_vRro_aiG5g/edit?usp=share_link"",""อ่างทอง!I340"")
"),80)</f>
        <v>80</v>
      </c>
      <c r="J340" s="269">
        <f ca="1">IFERROR(__xludf.DUMMYFUNCTION("IMPORTRANGE(""https://docs.google.com/spreadsheets/d/1hKO5uv94SSRZWOvrh72HRcpyoEQF9TsE_Cvxl77XNU4/edit?usp=share_link"",""กาญจนบุรี!J340"")+IMPORTRANGE(""https://docs.google.com/spreadsheets/d/1njBaP_xXd-Uotvo2D9zb01TTCFkLJLDK97Tk1l9Qux0/edit?usp=share_li"&amp;"nk"",""จันทบุรี!J340"")+IMPORTRANGE(""https://docs.google.com/spreadsheets/d/14xp6qUzrGFnUk_qnc1eEmfiaNRd4_grkhpfQH_46fa8/edit?usp=share_link"",""ฉะเชิงเทรา!J340"")+IMPORTRANGE(""https://docs.google.com/spreadsheets/d/1_Zwps30dlVa-pZFsorjVf1Pil6WXwzCsJU0U"&amp;"2whO3NI/edit?usp=share_link"",""ชลบุรี!J340"")+IMPORTRANGE(""https://docs.google.com/spreadsheets/d/1xAsT4sUbBlom7l0acStESh_15nvjZcXjZM7fK5uZSq8/edit?usp=share_link"",""ชัยนาท!J340"")+IMPORTRANGE(""https://docs.google.com/spreadsheets/d/1vWPVBOAaZ6mHSI8yf"&amp;"95DNqHwTJ1cpeFsvqt6cxV34QA/edit?usp=share_link"",""ตราด!J340"")+IMPORTRANGE(""https://docs.google.com/spreadsheets/d/1phaeSb9lTGgzDpbvVqI9hfmOQQzUom07-HEvpbARzEg/edit?usp=share_link"",""นครนายก!J340"")+IMPORTRANGE(""https://docs.google.com/spreadsheets/d/"&amp;"1tpwhWwkqkBeiSWCcfB5f2fbwPRbM9hHOEDSDHpl2MIc/edit?usp=share_link"",""นครปฐม!J340"")+IMPORTRANGE(""https://docs.google.com/spreadsheets/d/1fJJCVBkBnhriyv0Cp5ZFMr0I_yrfdEITNpb4zILJgUQ/edit?usp=share_link"",""ปทุมธานี!J340"")+IMPORTRANGE(""https://docs.googl"&amp;"e.com/spreadsheets/d/1W5Jj_S0gYw6wSO7QcMI02YgyOBDKYgmm0NSUk-AQEac/edit?usp=share_link"",""ประจวบคีรีขันธ์!J340"")+IMPORTRANGE(""https://docs.google.com/spreadsheets/d/1nYxRXgnCfTXtqUY1otYuTlnrzE0Tn-Y0YRsW5pkRVqo/edit?usp=share_link"",""ปราจีนบุรี!J340"")+"&amp;"IMPORTRANGE(""https://docs.google.com/spreadsheets/d/1nNHCLO8ZAXOMfQvxux7cf_hrzPAh8FAvaHq_ClKbZNo/edit?usp=share_link"",""พระนครศรีอยุธยา!J340"")+IMPORTRANGE(""https://docs.google.com/spreadsheets/d/1CdNicvf3i6yt4tJlCePe3V1Va76wYqW0QzMzTsaGRrA/edit?usp=sh"&amp;"are_link"",""เพชรบุรี!J340"")+IMPORTRANGE(""https://docs.google.com/spreadsheets/d/1XiF77UIVHV0Kjc6xbXuOuJ10WgJYxd4p_22ngKVV5oM/edit?usp=share_link"",""ระยอง!J340"")+IMPORTRANGE(""https://docs.google.com/spreadsheets/d/1qU-W_9MCQD1pgIVXGEOjCFo9QqlmJywueby"&amp;"GgaN92r8/edit?usp=share_link"",""ราชบุรี!J340"")+IMPORTRANGE(""https://docs.google.com/spreadsheets/d/1xYFIxIM_CspAP5Q-5Zx_V0T_Ut3cjryrjd2hss28vGk/edit?usp=share_link"",""ลพบุรี!J340"")+IMPORTRANGE(""https://docs.google.com/spreadsheets/d/11s9m3tKsCBdPWq6"&amp;"syhZm27eBGbKneDLZc75co106bio/edit?usp=share_link"",""สระแก้ว!J340"")+IMPORTRANGE(""https://docs.google.com/spreadsheets/d/1Nn1EvsFPtXldgpgVb3Rcng2K2cls68LFQsBh2FyW0Bg/edit?usp=share_link"",""สระบุรี!J340"")+IMPORTRANGE(""https://docs.google.com/spreadshee"&amp;"ts/d/149xufxukrnEciK3WPbNpHwUK8BKEJxp3UcBG3Al6dA4/edit?usp=share_link"",""สิงห์บุรี!J340"")+IMPORTRANGE(""https://docs.google.com/spreadsheets/d/132g-zJpz2uMKimp17uOIx8A7o3w1Z25zwJyXnwsB56c/edit?usp=share_link"",""สุพรรณบุรี!J340"")+IMPORTRANGE(""https://"&amp;"docs.google.com/spreadsheets/d/12Q_U0nVnFdxDFwa0pej9xvx8ZvLC9Dpi_vRro_aiG5g/edit?usp=share_link"",""อ่างทอง!J340"")
"),16)</f>
        <v>16</v>
      </c>
      <c r="K340" s="38">
        <f ca="1">IF(I340&gt;0,J340*100/I340,0)</f>
        <v>20</v>
      </c>
      <c r="L340" s="38"/>
      <c r="M340" s="38"/>
      <c r="N340" s="38"/>
      <c r="O340" s="38"/>
      <c r="P340" s="38"/>
    </row>
    <row r="341" spans="1:26" ht="20.25" customHeight="1">
      <c r="A341" s="284"/>
      <c r="B341" s="33"/>
      <c r="C341" s="280"/>
      <c r="D341" s="178"/>
      <c r="E341" s="181" t="s">
        <v>154</v>
      </c>
      <c r="F341" s="33"/>
      <c r="G341" s="35"/>
      <c r="H341" s="276" t="s">
        <v>35</v>
      </c>
      <c r="I341" s="37"/>
      <c r="J341" s="269">
        <f ca="1">IFERROR(__xludf.DUMMYFUNCTION("IMPORTRANGE(""https://docs.google.com/spreadsheets/d/1hKO5uv94SSRZWOvrh72HRcpyoEQF9TsE_Cvxl77XNU4/edit?usp=share_link"",""กาญจนบุรี!J341"")+IMPORTRANGE(""https://docs.google.com/spreadsheets/d/1njBaP_xXd-Uotvo2D9zb01TTCFkLJLDK97Tk1l9Qux0/edit?usp=share_li"&amp;"nk"",""จันทบุรี!J341"")+IMPORTRANGE(""https://docs.google.com/spreadsheets/d/14xp6qUzrGFnUk_qnc1eEmfiaNRd4_grkhpfQH_46fa8/edit?usp=share_link"",""ฉะเชิงเทรา!J341"")+IMPORTRANGE(""https://docs.google.com/spreadsheets/d/1_Zwps30dlVa-pZFsorjVf1Pil6WXwzCsJU0U"&amp;"2whO3NI/edit?usp=share_link"",""ชลบุรี!J341"")+IMPORTRANGE(""https://docs.google.com/spreadsheets/d/1xAsT4sUbBlom7l0acStESh_15nvjZcXjZM7fK5uZSq8/edit?usp=share_link"",""ชัยนาท!J341"")+IMPORTRANGE(""https://docs.google.com/spreadsheets/d/1vWPVBOAaZ6mHSI8yf"&amp;"95DNqHwTJ1cpeFsvqt6cxV34QA/edit?usp=share_link"",""ตราด!J341"")+IMPORTRANGE(""https://docs.google.com/spreadsheets/d/1phaeSb9lTGgzDpbvVqI9hfmOQQzUom07-HEvpbARzEg/edit?usp=share_link"",""นครนายก!J341"")+IMPORTRANGE(""https://docs.google.com/spreadsheets/d/"&amp;"1tpwhWwkqkBeiSWCcfB5f2fbwPRbM9hHOEDSDHpl2MIc/edit?usp=share_link"",""นครปฐม!J341"")+IMPORTRANGE(""https://docs.google.com/spreadsheets/d/1fJJCVBkBnhriyv0Cp5ZFMr0I_yrfdEITNpb4zILJgUQ/edit?usp=share_link"",""ปทุมธานี!J341"")+IMPORTRANGE(""https://docs.googl"&amp;"e.com/spreadsheets/d/1W5Jj_S0gYw6wSO7QcMI02YgyOBDKYgmm0NSUk-AQEac/edit?usp=share_link"",""ประจวบคีรีขันธ์!J341"")+IMPORTRANGE(""https://docs.google.com/spreadsheets/d/1nYxRXgnCfTXtqUY1otYuTlnrzE0Tn-Y0YRsW5pkRVqo/edit?usp=share_link"",""ปราจีนบุรี!J341"")+"&amp;"IMPORTRANGE(""https://docs.google.com/spreadsheets/d/1nNHCLO8ZAXOMfQvxux7cf_hrzPAh8FAvaHq_ClKbZNo/edit?usp=share_link"",""พระนครศรีอยุธยา!J341"")+IMPORTRANGE(""https://docs.google.com/spreadsheets/d/1CdNicvf3i6yt4tJlCePe3V1Va76wYqW0QzMzTsaGRrA/edit?usp=sh"&amp;"are_link"",""เพชรบุรี!J341"")+IMPORTRANGE(""https://docs.google.com/spreadsheets/d/1XiF77UIVHV0Kjc6xbXuOuJ10WgJYxd4p_22ngKVV5oM/edit?usp=share_link"",""ระยอง!J341"")+IMPORTRANGE(""https://docs.google.com/spreadsheets/d/1qU-W_9MCQD1pgIVXGEOjCFo9QqlmJywueby"&amp;"GgaN92r8/edit?usp=share_link"",""ราชบุรี!J341"")+IMPORTRANGE(""https://docs.google.com/spreadsheets/d/1xYFIxIM_CspAP5Q-5Zx_V0T_Ut3cjryrjd2hss28vGk/edit?usp=share_link"",""ลพบุรี!J341"")+IMPORTRANGE(""https://docs.google.com/spreadsheets/d/11s9m3tKsCBdPWq6"&amp;"syhZm27eBGbKneDLZc75co106bio/edit?usp=share_link"",""สระแก้ว!J341"")+IMPORTRANGE(""https://docs.google.com/spreadsheets/d/1Nn1EvsFPtXldgpgVb3Rcng2K2cls68LFQsBh2FyW0Bg/edit?usp=share_link"",""สระบุรี!J341"")+IMPORTRANGE(""https://docs.google.com/spreadshee"&amp;"ts/d/149xufxukrnEciK3WPbNpHwUK8BKEJxp3UcBG3Al6dA4/edit?usp=share_link"",""สิงห์บุรี!J341"")+IMPORTRANGE(""https://docs.google.com/spreadsheets/d/132g-zJpz2uMKimp17uOIx8A7o3w1Z25zwJyXnwsB56c/edit?usp=share_link"",""สุพรรณบุรี!J341"")+IMPORTRANGE(""https://"&amp;"docs.google.com/spreadsheets/d/12Q_U0nVnFdxDFwa0pej9xvx8ZvLC9Dpi_vRro_aiG5g/edit?usp=share_link"",""อ่างทอง!J341"")
"),1036)</f>
        <v>1036</v>
      </c>
      <c r="K341" s="38"/>
      <c r="L341" s="38"/>
      <c r="M341" s="38"/>
      <c r="N341" s="38"/>
      <c r="O341" s="38"/>
      <c r="P341" s="38"/>
    </row>
    <row r="342" spans="1:26" ht="20.25" customHeight="1">
      <c r="A342" s="284"/>
      <c r="B342" s="33"/>
      <c r="C342" s="280"/>
      <c r="D342" s="181" t="s">
        <v>155</v>
      </c>
      <c r="E342" s="178"/>
      <c r="F342" s="178"/>
      <c r="G342" s="35"/>
      <c r="H342" s="276" t="s">
        <v>35</v>
      </c>
      <c r="I342" s="37"/>
      <c r="J342" s="269">
        <f ca="1">IFERROR(__xludf.DUMMYFUNCTION("IMPORTRANGE(""https://docs.google.com/spreadsheets/d/1hKO5uv94SSRZWOvrh72HRcpyoEQF9TsE_Cvxl77XNU4/edit?usp=share_link"",""กาญจนบุรี!J342"")+IMPORTRANGE(""https://docs.google.com/spreadsheets/d/1njBaP_xXd-Uotvo2D9zb01TTCFkLJLDK97Tk1l9Qux0/edit?usp=share_li"&amp;"nk"",""จันทบุรี!J342"")+IMPORTRANGE(""https://docs.google.com/spreadsheets/d/14xp6qUzrGFnUk_qnc1eEmfiaNRd4_grkhpfQH_46fa8/edit?usp=share_link"",""ฉะเชิงเทรา!J342"")+IMPORTRANGE(""https://docs.google.com/spreadsheets/d/1_Zwps30dlVa-pZFsorjVf1Pil6WXwzCsJU0U"&amp;"2whO3NI/edit?usp=share_link"",""ชลบุรี!J342"")+IMPORTRANGE(""https://docs.google.com/spreadsheets/d/1xAsT4sUbBlom7l0acStESh_15nvjZcXjZM7fK5uZSq8/edit?usp=share_link"",""ชัยนาท!J342"")+IMPORTRANGE(""https://docs.google.com/spreadsheets/d/1vWPVBOAaZ6mHSI8yf"&amp;"95DNqHwTJ1cpeFsvqt6cxV34QA/edit?usp=share_link"",""ตราด!J342"")+IMPORTRANGE(""https://docs.google.com/spreadsheets/d/1phaeSb9lTGgzDpbvVqI9hfmOQQzUom07-HEvpbARzEg/edit?usp=share_link"",""นครนายก!J342"")+IMPORTRANGE(""https://docs.google.com/spreadsheets/d/"&amp;"1tpwhWwkqkBeiSWCcfB5f2fbwPRbM9hHOEDSDHpl2MIc/edit?usp=share_link"",""นครปฐม!J342"")+IMPORTRANGE(""https://docs.google.com/spreadsheets/d/1fJJCVBkBnhriyv0Cp5ZFMr0I_yrfdEITNpb4zILJgUQ/edit?usp=share_link"",""ปทุมธานี!J342"")+IMPORTRANGE(""https://docs.googl"&amp;"e.com/spreadsheets/d/1W5Jj_S0gYw6wSO7QcMI02YgyOBDKYgmm0NSUk-AQEac/edit?usp=share_link"",""ประจวบคีรีขันธ์!J342"")+IMPORTRANGE(""https://docs.google.com/spreadsheets/d/1nYxRXgnCfTXtqUY1otYuTlnrzE0Tn-Y0YRsW5pkRVqo/edit?usp=share_link"",""ปราจีนบุรี!J342"")+"&amp;"IMPORTRANGE(""https://docs.google.com/spreadsheets/d/1nNHCLO8ZAXOMfQvxux7cf_hrzPAh8FAvaHq_ClKbZNo/edit?usp=share_link"",""พระนครศรีอยุธยา!J342"")+IMPORTRANGE(""https://docs.google.com/spreadsheets/d/1CdNicvf3i6yt4tJlCePe3V1Va76wYqW0QzMzTsaGRrA/edit?usp=sh"&amp;"are_link"",""เพชรบุรี!J342"")+IMPORTRANGE(""https://docs.google.com/spreadsheets/d/1XiF77UIVHV0Kjc6xbXuOuJ10WgJYxd4p_22ngKVV5oM/edit?usp=share_link"",""ระยอง!J342"")+IMPORTRANGE(""https://docs.google.com/spreadsheets/d/1qU-W_9MCQD1pgIVXGEOjCFo9QqlmJywueby"&amp;"GgaN92r8/edit?usp=share_link"",""ราชบุรี!J342"")+IMPORTRANGE(""https://docs.google.com/spreadsheets/d/1xYFIxIM_CspAP5Q-5Zx_V0T_Ut3cjryrjd2hss28vGk/edit?usp=share_link"",""ลพบุรี!J342"")+IMPORTRANGE(""https://docs.google.com/spreadsheets/d/11s9m3tKsCBdPWq6"&amp;"syhZm27eBGbKneDLZc75co106bio/edit?usp=share_link"",""สระแก้ว!J342"")+IMPORTRANGE(""https://docs.google.com/spreadsheets/d/1Nn1EvsFPtXldgpgVb3Rcng2K2cls68LFQsBh2FyW0Bg/edit?usp=share_link"",""สระบุรี!J342"")+IMPORTRANGE(""https://docs.google.com/spreadshee"&amp;"ts/d/149xufxukrnEciK3WPbNpHwUK8BKEJxp3UcBG3Al6dA4/edit?usp=share_link"",""สิงห์บุรี!J342"")+IMPORTRANGE(""https://docs.google.com/spreadsheets/d/132g-zJpz2uMKimp17uOIx8A7o3w1Z25zwJyXnwsB56c/edit?usp=share_link"",""สุพรรณบุรี!J342"")+IMPORTRANGE(""https://"&amp;"docs.google.com/spreadsheets/d/12Q_U0nVnFdxDFwa0pej9xvx8ZvLC9Dpi_vRro_aiG5g/edit?usp=share_link"",""อ่างทอง!J342"")
"),2)</f>
        <v>2</v>
      </c>
      <c r="K342" s="38"/>
      <c r="L342" s="38"/>
      <c r="M342" s="38"/>
      <c r="N342" s="38"/>
      <c r="O342" s="38"/>
      <c r="P342" s="38"/>
    </row>
    <row r="343" spans="1:26" ht="20.25" customHeight="1">
      <c r="A343" s="284"/>
      <c r="B343" s="33"/>
      <c r="C343" s="280"/>
      <c r="D343" s="181" t="s">
        <v>156</v>
      </c>
      <c r="E343" s="178"/>
      <c r="F343" s="178"/>
      <c r="G343" s="35"/>
      <c r="H343" s="276" t="s">
        <v>35</v>
      </c>
      <c r="I343" s="37"/>
      <c r="J343" s="269">
        <f ca="1">IFERROR(__xludf.DUMMYFUNCTION("IMPORTRANGE(""https://docs.google.com/spreadsheets/d/1hKO5uv94SSRZWOvrh72HRcpyoEQF9TsE_Cvxl77XNU4/edit?usp=share_link"",""กาญจนบุรี!J343"")+IMPORTRANGE(""https://docs.google.com/spreadsheets/d/1njBaP_xXd-Uotvo2D9zb01TTCFkLJLDK97Tk1l9Qux0/edit?usp=share_li"&amp;"nk"",""จันทบุรี!J343"")+IMPORTRANGE(""https://docs.google.com/spreadsheets/d/14xp6qUzrGFnUk_qnc1eEmfiaNRd4_grkhpfQH_46fa8/edit?usp=share_link"",""ฉะเชิงเทรา!J343"")+IMPORTRANGE(""https://docs.google.com/spreadsheets/d/1_Zwps30dlVa-pZFsorjVf1Pil6WXwzCsJU0U"&amp;"2whO3NI/edit?usp=share_link"",""ชลบุรี!J343"")+IMPORTRANGE(""https://docs.google.com/spreadsheets/d/1xAsT4sUbBlom7l0acStESh_15nvjZcXjZM7fK5uZSq8/edit?usp=share_link"",""ชัยนาท!J343"")+IMPORTRANGE(""https://docs.google.com/spreadsheets/d/1vWPVBOAaZ6mHSI8yf"&amp;"95DNqHwTJ1cpeFsvqt6cxV34QA/edit?usp=share_link"",""ตราด!J343"")+IMPORTRANGE(""https://docs.google.com/spreadsheets/d/1phaeSb9lTGgzDpbvVqI9hfmOQQzUom07-HEvpbARzEg/edit?usp=share_link"",""นครนายก!J343"")+IMPORTRANGE(""https://docs.google.com/spreadsheets/d/"&amp;"1tpwhWwkqkBeiSWCcfB5f2fbwPRbM9hHOEDSDHpl2MIc/edit?usp=share_link"",""นครปฐม!J343"")+IMPORTRANGE(""https://docs.google.com/spreadsheets/d/1fJJCVBkBnhriyv0Cp5ZFMr0I_yrfdEITNpb4zILJgUQ/edit?usp=share_link"",""ปทุมธานี!J343"")+IMPORTRANGE(""https://docs.googl"&amp;"e.com/spreadsheets/d/1W5Jj_S0gYw6wSO7QcMI02YgyOBDKYgmm0NSUk-AQEac/edit?usp=share_link"",""ประจวบคีรีขันธ์!J343"")+IMPORTRANGE(""https://docs.google.com/spreadsheets/d/1nYxRXgnCfTXtqUY1otYuTlnrzE0Tn-Y0YRsW5pkRVqo/edit?usp=share_link"",""ปราจีนบุรี!J343"")+"&amp;"IMPORTRANGE(""https://docs.google.com/spreadsheets/d/1nNHCLO8ZAXOMfQvxux7cf_hrzPAh8FAvaHq_ClKbZNo/edit?usp=share_link"",""พระนครศรีอยุธยา!J343"")+IMPORTRANGE(""https://docs.google.com/spreadsheets/d/1CdNicvf3i6yt4tJlCePe3V1Va76wYqW0QzMzTsaGRrA/edit?usp=sh"&amp;"are_link"",""เพชรบุรี!J343"")+IMPORTRANGE(""https://docs.google.com/spreadsheets/d/1XiF77UIVHV0Kjc6xbXuOuJ10WgJYxd4p_22ngKVV5oM/edit?usp=share_link"",""ระยอง!J343"")+IMPORTRANGE(""https://docs.google.com/spreadsheets/d/1qU-W_9MCQD1pgIVXGEOjCFo9QqlmJywueby"&amp;"GgaN92r8/edit?usp=share_link"",""ราชบุรี!J343"")+IMPORTRANGE(""https://docs.google.com/spreadsheets/d/1xYFIxIM_CspAP5Q-5Zx_V0T_Ut3cjryrjd2hss28vGk/edit?usp=share_link"",""ลพบุรี!J343"")+IMPORTRANGE(""https://docs.google.com/spreadsheets/d/11s9m3tKsCBdPWq6"&amp;"syhZm27eBGbKneDLZc75co106bio/edit?usp=share_link"",""สระแก้ว!J343"")+IMPORTRANGE(""https://docs.google.com/spreadsheets/d/1Nn1EvsFPtXldgpgVb3Rcng2K2cls68LFQsBh2FyW0Bg/edit?usp=share_link"",""สระบุรี!J343"")+IMPORTRANGE(""https://docs.google.com/spreadshee"&amp;"ts/d/149xufxukrnEciK3WPbNpHwUK8BKEJxp3UcBG3Al6dA4/edit?usp=share_link"",""สิงห์บุรี!J343"")+IMPORTRANGE(""https://docs.google.com/spreadsheets/d/132g-zJpz2uMKimp17uOIx8A7o3w1Z25zwJyXnwsB56c/edit?usp=share_link"",""สุพรรณบุรี!J343"")+IMPORTRANGE(""https://"&amp;"docs.google.com/spreadsheets/d/12Q_U0nVnFdxDFwa0pej9xvx8ZvLC9Dpi_vRro_aiG5g/edit?usp=share_link"",""อ่างทอง!J343"")
"),47)</f>
        <v>47</v>
      </c>
      <c r="K343" s="38"/>
      <c r="L343" s="38"/>
      <c r="M343" s="38"/>
      <c r="N343" s="38"/>
      <c r="O343" s="38"/>
      <c r="P343" s="38"/>
    </row>
    <row r="344" spans="1:26" ht="20.25" customHeight="1">
      <c r="A344" s="438"/>
      <c r="B344" s="439" t="s">
        <v>157</v>
      </c>
      <c r="C344" s="451"/>
      <c r="D344" s="440"/>
      <c r="E344" s="440"/>
      <c r="F344" s="440"/>
      <c r="G344" s="441"/>
      <c r="H344" s="442"/>
      <c r="I344" s="452"/>
      <c r="J344" s="452"/>
      <c r="K344" s="445"/>
      <c r="L344" s="445"/>
      <c r="M344" s="445"/>
      <c r="N344" s="445"/>
      <c r="O344" s="445"/>
      <c r="P344" s="445"/>
    </row>
    <row r="345" spans="1:26" ht="20.25" customHeight="1">
      <c r="A345" s="147"/>
      <c r="B345" s="148"/>
      <c r="C345" s="149" t="s">
        <v>16</v>
      </c>
      <c r="D345" s="150" t="s">
        <v>17</v>
      </c>
      <c r="E345" s="148"/>
      <c r="F345" s="148"/>
      <c r="G345" s="151"/>
      <c r="H345" s="152" t="s">
        <v>12</v>
      </c>
      <c r="I345" s="153"/>
      <c r="J345" s="153"/>
      <c r="K345" s="154"/>
      <c r="L345" s="155">
        <f t="shared" ref="L345:N345" ca="1" si="182">L346+L347</f>
        <v>13975670</v>
      </c>
      <c r="M345" s="155">
        <f t="shared" ca="1" si="182"/>
        <v>8175180</v>
      </c>
      <c r="N345" s="155">
        <f t="shared" ca="1" si="182"/>
        <v>4614945.3900000006</v>
      </c>
      <c r="O345" s="155">
        <f t="shared" ref="O345:O353" ca="1" si="183">IF(L345&gt;0,N345*100/L345,0)</f>
        <v>33.021281913496814</v>
      </c>
      <c r="P345" s="155">
        <f t="shared" ref="P345:P353" ca="1" si="184">IF(M345&gt;0,N345*100/M345,0)</f>
        <v>56.450688425208995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20.25" hidden="1" customHeight="1">
      <c r="A346" s="156"/>
      <c r="B346" s="40"/>
      <c r="C346" s="40"/>
      <c r="D346" s="40"/>
      <c r="E346" s="41" t="s">
        <v>18</v>
      </c>
      <c r="F346" s="40"/>
      <c r="G346" s="157"/>
      <c r="H346" s="158" t="s">
        <v>12</v>
      </c>
      <c r="I346" s="44"/>
      <c r="J346" s="44"/>
      <c r="K346" s="45"/>
      <c r="L346" s="45">
        <f t="shared" ref="L346:N346" si="185">L349+L352</f>
        <v>0</v>
      </c>
      <c r="M346" s="45">
        <f t="shared" si="185"/>
        <v>0</v>
      </c>
      <c r="N346" s="45">
        <f t="shared" si="185"/>
        <v>0</v>
      </c>
      <c r="O346" s="45">
        <f t="shared" si="183"/>
        <v>0</v>
      </c>
      <c r="P346" s="45">
        <f t="shared" si="184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20.25" hidden="1" customHeight="1">
      <c r="A347" s="156"/>
      <c r="B347" s="40"/>
      <c r="C347" s="40"/>
      <c r="D347" s="40"/>
      <c r="E347" s="41" t="s">
        <v>19</v>
      </c>
      <c r="F347" s="40"/>
      <c r="G347" s="157"/>
      <c r="H347" s="158" t="s">
        <v>12</v>
      </c>
      <c r="I347" s="44"/>
      <c r="J347" s="44"/>
      <c r="K347" s="45"/>
      <c r="L347" s="45">
        <f t="shared" ref="L347:N347" ca="1" si="186">L350+L353</f>
        <v>13975670</v>
      </c>
      <c r="M347" s="45">
        <f t="shared" ca="1" si="186"/>
        <v>8175180</v>
      </c>
      <c r="N347" s="45">
        <f t="shared" ca="1" si="186"/>
        <v>4614945.3900000006</v>
      </c>
      <c r="O347" s="45">
        <f t="shared" ca="1" si="183"/>
        <v>33.021281913496814</v>
      </c>
      <c r="P347" s="45">
        <f t="shared" ca="1" si="184"/>
        <v>56.450688425208995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20.25" customHeight="1">
      <c r="A348" s="159"/>
      <c r="B348" s="33"/>
      <c r="C348" s="160"/>
      <c r="D348" s="34" t="s">
        <v>20</v>
      </c>
      <c r="E348" s="33"/>
      <c r="F348" s="33"/>
      <c r="G348" s="35"/>
      <c r="H348" s="161" t="s">
        <v>12</v>
      </c>
      <c r="I348" s="162"/>
      <c r="J348" s="162"/>
      <c r="K348" s="163"/>
      <c r="L348" s="38">
        <f t="shared" ref="L348:N348" ca="1" si="187">L349+L350</f>
        <v>11809970</v>
      </c>
      <c r="M348" s="38">
        <f t="shared" ca="1" si="187"/>
        <v>6011740</v>
      </c>
      <c r="N348" s="38">
        <f t="shared" ca="1" si="187"/>
        <v>2451505.39</v>
      </c>
      <c r="O348" s="38">
        <f t="shared" ca="1" si="183"/>
        <v>20.757930714472604</v>
      </c>
      <c r="P348" s="38">
        <f t="shared" ca="1" si="184"/>
        <v>40.778632974812616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20.25" hidden="1" customHeight="1">
      <c r="A349" s="156"/>
      <c r="B349" s="40"/>
      <c r="C349" s="164"/>
      <c r="D349" s="40"/>
      <c r="E349" s="41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45">
        <f t="shared" si="183"/>
        <v>0</v>
      </c>
      <c r="P349" s="45">
        <f t="shared" si="184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20.25" hidden="1" customHeight="1">
      <c r="A350" s="156"/>
      <c r="B350" s="40"/>
      <c r="C350" s="164"/>
      <c r="D350" s="40"/>
      <c r="E350" s="41" t="s">
        <v>37</v>
      </c>
      <c r="F350" s="40"/>
      <c r="G350" s="157"/>
      <c r="H350" s="165" t="s">
        <v>12</v>
      </c>
      <c r="I350" s="166"/>
      <c r="J350" s="166"/>
      <c r="K350" s="167"/>
      <c r="L350" s="45">
        <f ca="1">IFERROR(__xludf.DUMMYFUNCTION("IMPORTRANGE(""https://docs.google.com/spreadsheets/d/1hKO5uv94SSRZWOvrh72HRcpyoEQF9TsE_Cvxl77XNU4/edit?usp=share_link"",""กาญจนบุรี!L350"")+IMPORTRANGE(""https://docs.google.com/spreadsheets/d/1njBaP_xXd-Uotvo2D9zb01TTCFkLJLDK97Tk1l9Qux0/edit?usp=share_li"&amp;"nk"",""จันทบุรี!L350"")+IMPORTRANGE(""https://docs.google.com/spreadsheets/d/14xp6qUzrGFnUk_qnc1eEmfiaNRd4_grkhpfQH_46fa8/edit?usp=share_link"",""ฉะเชิงเทรา!L350"")+IMPORTRANGE(""https://docs.google.com/spreadsheets/d/1_Zwps30dlVa-pZFsorjVf1Pil6WXwzCsJU0U"&amp;"2whO3NI/edit?usp=share_link"",""ชลบุรี!L350"")+IMPORTRANGE(""https://docs.google.com/spreadsheets/d/1xAsT4sUbBlom7l0acStESh_15nvjZcXjZM7fK5uZSq8/edit?usp=share_link"",""ชัยนาท!L350"")+IMPORTRANGE(""https://docs.google.com/spreadsheets/d/1vWPVBOAaZ6mHSI8yf"&amp;"95DNqHwTJ1cpeFsvqt6cxV34QA/edit?usp=share_link"",""ตราด!L350"")+IMPORTRANGE(""https://docs.google.com/spreadsheets/d/1phaeSb9lTGgzDpbvVqI9hfmOQQzUom07-HEvpbARzEg/edit?usp=share_link"",""นครนายก!L350"")+IMPORTRANGE(""https://docs.google.com/spreadsheets/d/"&amp;"1tpwhWwkqkBeiSWCcfB5f2fbwPRbM9hHOEDSDHpl2MIc/edit?usp=share_link"",""นครปฐม!L350"")+IMPORTRANGE(""https://docs.google.com/spreadsheets/d/1fJJCVBkBnhriyv0Cp5ZFMr0I_yrfdEITNpb4zILJgUQ/edit?usp=share_link"",""ปทุมธานี!L350"")+IMPORTRANGE(""https://docs.googl"&amp;"e.com/spreadsheets/d/1W5Jj_S0gYw6wSO7QcMI02YgyOBDKYgmm0NSUk-AQEac/edit?usp=share_link"",""ประจวบคีรีขันธ์!L350"")+IMPORTRANGE(""https://docs.google.com/spreadsheets/d/1nYxRXgnCfTXtqUY1otYuTlnrzE0Tn-Y0YRsW5pkRVqo/edit?usp=share_link"",""ปราจีนบุรี!L350"")+"&amp;"IMPORTRANGE(""https://docs.google.com/spreadsheets/d/1nNHCLO8ZAXOMfQvxux7cf_hrzPAh8FAvaHq_ClKbZNo/edit?usp=share_link"",""พระนครศรีอยุธยา!L350"")+IMPORTRANGE(""https://docs.google.com/spreadsheets/d/1CdNicvf3i6yt4tJlCePe3V1Va76wYqW0QzMzTsaGRrA/edit?usp=sh"&amp;"are_link"",""เพชรบุรี!L350"")+IMPORTRANGE(""https://docs.google.com/spreadsheets/d/1XiF77UIVHV0Kjc6xbXuOuJ10WgJYxd4p_22ngKVV5oM/edit?usp=share_link"",""ระยอง!L350"")+IMPORTRANGE(""https://docs.google.com/spreadsheets/d/1qU-W_9MCQD1pgIVXGEOjCFo9QqlmJywueby"&amp;"GgaN92r8/edit?usp=share_link"",""ราชบุรี!L350"")+IMPORTRANGE(""https://docs.google.com/spreadsheets/d/1xYFIxIM_CspAP5Q-5Zx_V0T_Ut3cjryrjd2hss28vGk/edit?usp=share_link"",""ลพบุรี!L350"")+IMPORTRANGE(""https://docs.google.com/spreadsheets/d/11s9m3tKsCBdPWq6"&amp;"syhZm27eBGbKneDLZc75co106bio/edit?usp=share_link"",""สระแก้ว!L350"")+IMPORTRANGE(""https://docs.google.com/spreadsheets/d/1Nn1EvsFPtXldgpgVb3Rcng2K2cls68LFQsBh2FyW0Bg/edit?usp=share_link"",""สระบุรี!L350"")+IMPORTRANGE(""https://docs.google.com/spreadshee"&amp;"ts/d/149xufxukrnEciK3WPbNpHwUK8BKEJxp3UcBG3Al6dA4/edit?usp=share_link"",""สิงห์บุรี!L350"")+IMPORTRANGE(""https://docs.google.com/spreadsheets/d/132g-zJpz2uMKimp17uOIx8A7o3w1Z25zwJyXnwsB56c/edit?usp=share_link"",""สุพรรณบุรี!L350"")+IMPORTRANGE(""https://"&amp;"docs.google.com/spreadsheets/d/12Q_U0nVnFdxDFwa0pej9xvx8ZvLC9Dpi_vRro_aiG5g/edit?usp=share_link"",""อ่างทอง!L350"")
"),11809970)</f>
        <v>11809970</v>
      </c>
      <c r="M350" s="45">
        <f ca="1">IFERROR(__xludf.DUMMYFUNCTION("IMPORTRANGE(""https://docs.google.com/spreadsheets/d/1hKO5uv94SSRZWOvrh72HRcpyoEQF9TsE_Cvxl77XNU4/edit?usp=share_link"",""กาญจนบุรี!M350"")+IMPORTRANGE(""https://docs.google.com/spreadsheets/d/1njBaP_xXd-Uotvo2D9zb01TTCFkLJLDK97Tk1l9Qux0/edit?usp=share_li"&amp;"nk"",""จันทบุรี!M350"")+IMPORTRANGE(""https://docs.google.com/spreadsheets/d/14xp6qUzrGFnUk_qnc1eEmfiaNRd4_grkhpfQH_46fa8/edit?usp=share_link"",""ฉะเชิงเทรา!M350"")+IMPORTRANGE(""https://docs.google.com/spreadsheets/d/1_Zwps30dlVa-pZFsorjVf1Pil6WXwzCsJU0U"&amp;"2whO3NI/edit?usp=share_link"",""ชลบุรี!M350"")+IMPORTRANGE(""https://docs.google.com/spreadsheets/d/1xAsT4sUbBlom7l0acStESh_15nvjZcXjZM7fK5uZSq8/edit?usp=share_link"",""ชัยนาท!M350"")+IMPORTRANGE(""https://docs.google.com/spreadsheets/d/1vWPVBOAaZ6mHSI8yf"&amp;"95DNqHwTJ1cpeFsvqt6cxV34QA/edit?usp=share_link"",""ตราด!M350"")+IMPORTRANGE(""https://docs.google.com/spreadsheets/d/1phaeSb9lTGgzDpbvVqI9hfmOQQzUom07-HEvpbARzEg/edit?usp=share_link"",""นครนายก!M350"")+IMPORTRANGE(""https://docs.google.com/spreadsheets/d/"&amp;"1tpwhWwkqkBeiSWCcfB5f2fbwPRbM9hHOEDSDHpl2MIc/edit?usp=share_link"",""นครปฐม!M350"")+IMPORTRANGE(""https://docs.google.com/spreadsheets/d/1fJJCVBkBnhriyv0Cp5ZFMr0I_yrfdEITNpb4zILJgUQ/edit?usp=share_link"",""ปทุมธานี!M350"")+IMPORTRANGE(""https://docs.googl"&amp;"e.com/spreadsheets/d/1W5Jj_S0gYw6wSO7QcMI02YgyOBDKYgmm0NSUk-AQEac/edit?usp=share_link"",""ประจวบคีรีขันธ์!M350"")+IMPORTRANGE(""https://docs.google.com/spreadsheets/d/1nYxRXgnCfTXtqUY1otYuTlnrzE0Tn-Y0YRsW5pkRVqo/edit?usp=share_link"",""ปราจีนบุรี!M350"")+"&amp;"IMPORTRANGE(""https://docs.google.com/spreadsheets/d/1nNHCLO8ZAXOMfQvxux7cf_hrzPAh8FAvaHq_ClKbZNo/edit?usp=share_link"",""พระนครศรีอยุธยา!M350"")+IMPORTRANGE(""https://docs.google.com/spreadsheets/d/1CdNicvf3i6yt4tJlCePe3V1Va76wYqW0QzMzTsaGRrA/edit?usp=sh"&amp;"are_link"",""เพชรบุรี!M350"")+IMPORTRANGE(""https://docs.google.com/spreadsheets/d/1XiF77UIVHV0Kjc6xbXuOuJ10WgJYxd4p_22ngKVV5oM/edit?usp=share_link"",""ระยอง!M350"")+IMPORTRANGE(""https://docs.google.com/spreadsheets/d/1qU-W_9MCQD1pgIVXGEOjCFo9QqlmJywueby"&amp;"GgaN92r8/edit?usp=share_link"",""ราชบุรี!M350"")+IMPORTRANGE(""https://docs.google.com/spreadsheets/d/1xYFIxIM_CspAP5Q-5Zx_V0T_Ut3cjryrjd2hss28vGk/edit?usp=share_link"",""ลพบุรี!M350"")+IMPORTRANGE(""https://docs.google.com/spreadsheets/d/11s9m3tKsCBdPWq6"&amp;"syhZm27eBGbKneDLZc75co106bio/edit?usp=share_link"",""สระแก้ว!M350"")+IMPORTRANGE(""https://docs.google.com/spreadsheets/d/1Nn1EvsFPtXldgpgVb3Rcng2K2cls68LFQsBh2FyW0Bg/edit?usp=share_link"",""สระบุรี!M350"")+IMPORTRANGE(""https://docs.google.com/spreadshee"&amp;"ts/d/149xufxukrnEciK3WPbNpHwUK8BKEJxp3UcBG3Al6dA4/edit?usp=share_link"",""สิงห์บุรี!M350"")+IMPORTRANGE(""https://docs.google.com/spreadsheets/d/132g-zJpz2uMKimp17uOIx8A7o3w1Z25zwJyXnwsB56c/edit?usp=share_link"",""สุพรรณบุรี!M350"")+IMPORTRANGE(""https://"&amp;"docs.google.com/spreadsheets/d/12Q_U0nVnFdxDFwa0pej9xvx8ZvLC9Dpi_vRro_aiG5g/edit?usp=share_link"",""อ่างทอง!M350"")
"),6011740)</f>
        <v>6011740</v>
      </c>
      <c r="N350" s="45">
        <f ca="1">IFERROR(__xludf.DUMMYFUNCTION("IMPORTRANGE(""https://docs.google.com/spreadsheets/d/1hKO5uv94SSRZWOvrh72HRcpyoEQF9TsE_Cvxl77XNU4/edit?usp=share_link"",""กาญจนบุรี!n350"")+IMPORTRANGE(""https://docs.google.com/spreadsheets/d/1njBaP_xXd-Uotvo2D9zb01TTCFkLJLDK97Tk1l9Qux0/edit?usp=share_li"&amp;"nk"",""จันทบุรี!n350"")+IMPORTRANGE(""https://docs.google.com/spreadsheets/d/14xp6qUzrGFnUk_qnc1eEmfiaNRd4_grkhpfQH_46fa8/edit?usp=share_link"",""ฉะเชิงเทรา!n350"")+IMPORTRANGE(""https://docs.google.com/spreadsheets/d/1_Zwps30dlVa-pZFsorjVf1Pil6WXwzCsJU0U"&amp;"2whO3NI/edit?usp=share_link"",""ชลบุรี!n350"")+IMPORTRANGE(""https://docs.google.com/spreadsheets/d/1xAsT4sUbBlom7l0acStESh_15nvjZcXjZM7fK5uZSq8/edit?usp=share_link"",""ชัยนาท!n350"")+IMPORTRANGE(""https://docs.google.com/spreadsheets/d/1vWPVBOAaZ6mHSI8yf"&amp;"95DNqHwTJ1cpeFsvqt6cxV34QA/edit?usp=share_link"",""ตราด!n350"")+IMPORTRANGE(""https://docs.google.com/spreadsheets/d/1phaeSb9lTGgzDpbvVqI9hfmOQQzUom07-HEvpbARzEg/edit?usp=share_link"",""นครนายก!n350"")+IMPORTRANGE(""https://docs.google.com/spreadsheets/d/"&amp;"1tpwhWwkqkBeiSWCcfB5f2fbwPRbM9hHOEDSDHpl2MIc/edit?usp=share_link"",""นครปฐม!n350"")+IMPORTRANGE(""https://docs.google.com/spreadsheets/d/1fJJCVBkBnhriyv0Cp5ZFMr0I_yrfdEITNpb4zILJgUQ/edit?usp=share_link"",""ปทุมธานี!n350"")+IMPORTRANGE(""https://docs.googl"&amp;"e.com/spreadsheets/d/1W5Jj_S0gYw6wSO7QcMI02YgyOBDKYgmm0NSUk-AQEac/edit?usp=share_link"",""ประจวบคีรีขันธ์!n350"")+IMPORTRANGE(""https://docs.google.com/spreadsheets/d/1nYxRXgnCfTXtqUY1otYuTlnrzE0Tn-Y0YRsW5pkRVqo/edit?usp=share_link"",""ปราจีนบุรี!n350"")+"&amp;"IMPORTRANGE(""https://docs.google.com/spreadsheets/d/1nNHCLO8ZAXOMfQvxux7cf_hrzPAh8FAvaHq_ClKbZNo/edit?usp=share_link"",""พระนครศรีอยุธยา!n350"")+IMPORTRANGE(""https://docs.google.com/spreadsheets/d/1CdNicvf3i6yt4tJlCePe3V1Va76wYqW0QzMzTsaGRrA/edit?usp=sh"&amp;"are_link"",""เพชรบุรี!n350"")+IMPORTRANGE(""https://docs.google.com/spreadsheets/d/1XiF77UIVHV0Kjc6xbXuOuJ10WgJYxd4p_22ngKVV5oM/edit?usp=share_link"",""ระยอง!n350"")+IMPORTRANGE(""https://docs.google.com/spreadsheets/d/1qU-W_9MCQD1pgIVXGEOjCFo9QqlmJywueby"&amp;"GgaN92r8/edit?usp=share_link"",""ราชบุรี!n350"")+IMPORTRANGE(""https://docs.google.com/spreadsheets/d/1xYFIxIM_CspAP5Q-5Zx_V0T_Ut3cjryrjd2hss28vGk/edit?usp=share_link"",""ลพบุรี!n350"")+IMPORTRANGE(""https://docs.google.com/spreadsheets/d/11s9m3tKsCBdPWq6"&amp;"syhZm27eBGbKneDLZc75co106bio/edit?usp=share_link"",""สระแก้ว!n350"")+IMPORTRANGE(""https://docs.google.com/spreadsheets/d/1Nn1EvsFPtXldgpgVb3Rcng2K2cls68LFQsBh2FyW0Bg/edit?usp=share_link"",""สระบุรี!n350"")+IMPORTRANGE(""https://docs.google.com/spreadshee"&amp;"ts/d/149xufxukrnEciK3WPbNpHwUK8BKEJxp3UcBG3Al6dA4/edit?usp=share_link"",""สิงห์บุรี!n350"")+IMPORTRANGE(""https://docs.google.com/spreadsheets/d/132g-zJpz2uMKimp17uOIx8A7o3w1Z25zwJyXnwsB56c/edit?usp=share_link"",""สุพรรณบุรี!n350"")+IMPORTRANGE(""https://"&amp;"docs.google.com/spreadsheets/d/12Q_U0nVnFdxDFwa0pej9xvx8ZvLC9Dpi_vRro_aiG5g/edit?usp=share_link"",""อ่างทอง!n350"")
"),2451505.39)</f>
        <v>2451505.39</v>
      </c>
      <c r="O350" s="45">
        <f t="shared" ca="1" si="183"/>
        <v>20.757930714472604</v>
      </c>
      <c r="P350" s="45">
        <f t="shared" ca="1" si="184"/>
        <v>40.778632974812616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20.25" customHeight="1">
      <c r="A351" s="159"/>
      <c r="B351" s="33"/>
      <c r="C351" s="160"/>
      <c r="D351" s="34" t="s">
        <v>21</v>
      </c>
      <c r="E351" s="33"/>
      <c r="F351" s="33"/>
      <c r="G351" s="35"/>
      <c r="H351" s="168" t="s">
        <v>12</v>
      </c>
      <c r="I351" s="162"/>
      <c r="J351" s="162"/>
      <c r="K351" s="163"/>
      <c r="L351" s="38">
        <f t="shared" ref="L351:N351" ca="1" si="188">L352+L353</f>
        <v>2165700</v>
      </c>
      <c r="M351" s="38">
        <f t="shared" ca="1" si="188"/>
        <v>2163440</v>
      </c>
      <c r="N351" s="38">
        <f t="shared" ca="1" si="188"/>
        <v>2163440</v>
      </c>
      <c r="O351" s="38">
        <f t="shared" ca="1" si="183"/>
        <v>99.895645749642142</v>
      </c>
      <c r="P351" s="38">
        <f t="shared" ca="1" si="184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20.25" hidden="1" customHeight="1">
      <c r="A352" s="156"/>
      <c r="B352" s="40"/>
      <c r="C352" s="164"/>
      <c r="D352" s="40"/>
      <c r="E352" s="41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45">
        <f t="shared" si="183"/>
        <v>0</v>
      </c>
      <c r="P352" s="45">
        <f t="shared" si="184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20.25" hidden="1" customHeight="1">
      <c r="A353" s="156"/>
      <c r="B353" s="40"/>
      <c r="C353" s="164"/>
      <c r="D353" s="40"/>
      <c r="E353" s="41" t="s">
        <v>19</v>
      </c>
      <c r="F353" s="40"/>
      <c r="G353" s="157"/>
      <c r="H353" s="169" t="s">
        <v>12</v>
      </c>
      <c r="I353" s="166"/>
      <c r="J353" s="166"/>
      <c r="K353" s="167"/>
      <c r="L353" s="45">
        <f ca="1">IFERROR(__xludf.DUMMYFUNCTION("IMPORTRANGE(""https://docs.google.com/spreadsheets/d/1hKO5uv94SSRZWOvrh72HRcpyoEQF9TsE_Cvxl77XNU4/edit?usp=share_link"",""กาญจนบุรี!L353"")+IMPORTRANGE(""https://docs.google.com/spreadsheets/d/1njBaP_xXd-Uotvo2D9zb01TTCFkLJLDK97Tk1l9Qux0/edit?usp=share_li"&amp;"nk"",""จันทบุรี!L353"")+IMPORTRANGE(""https://docs.google.com/spreadsheets/d/14xp6qUzrGFnUk_qnc1eEmfiaNRd4_grkhpfQH_46fa8/edit?usp=share_link"",""ฉะเชิงเทรา!L353"")+IMPORTRANGE(""https://docs.google.com/spreadsheets/d/1_Zwps30dlVa-pZFsorjVf1Pil6WXwzCsJU0U"&amp;"2whO3NI/edit?usp=share_link"",""ชลบุรี!L353"")+IMPORTRANGE(""https://docs.google.com/spreadsheets/d/1xAsT4sUbBlom7l0acStESh_15nvjZcXjZM7fK5uZSq8/edit?usp=share_link"",""ชัยนาท!L353"")+IMPORTRANGE(""https://docs.google.com/spreadsheets/d/1vWPVBOAaZ6mHSI8yf"&amp;"95DNqHwTJ1cpeFsvqt6cxV34QA/edit?usp=share_link"",""ตราด!L353"")+IMPORTRANGE(""https://docs.google.com/spreadsheets/d/1phaeSb9lTGgzDpbvVqI9hfmOQQzUom07-HEvpbARzEg/edit?usp=share_link"",""นครนายก!L353"")+IMPORTRANGE(""https://docs.google.com/spreadsheets/d/"&amp;"1tpwhWwkqkBeiSWCcfB5f2fbwPRbM9hHOEDSDHpl2MIc/edit?usp=share_link"",""นครปฐม!L353"")+IMPORTRANGE(""https://docs.google.com/spreadsheets/d/1fJJCVBkBnhriyv0Cp5ZFMr0I_yrfdEITNpb4zILJgUQ/edit?usp=share_link"",""ปทุมธานี!L353"")+IMPORTRANGE(""https://docs.googl"&amp;"e.com/spreadsheets/d/1W5Jj_S0gYw6wSO7QcMI02YgyOBDKYgmm0NSUk-AQEac/edit?usp=share_link"",""ประจวบคีรีขันธ์!L353"")+IMPORTRANGE(""https://docs.google.com/spreadsheets/d/1nYxRXgnCfTXtqUY1otYuTlnrzE0Tn-Y0YRsW5pkRVqo/edit?usp=share_link"",""ปราจีนบุรี!L353"")+"&amp;"IMPORTRANGE(""https://docs.google.com/spreadsheets/d/1nNHCLO8ZAXOMfQvxux7cf_hrzPAh8FAvaHq_ClKbZNo/edit?usp=share_link"",""พระนครศรีอยุธยา!L353"")+IMPORTRANGE(""https://docs.google.com/spreadsheets/d/1CdNicvf3i6yt4tJlCePe3V1Va76wYqW0QzMzTsaGRrA/edit?usp=sh"&amp;"are_link"",""เพชรบุรี!L353"")+IMPORTRANGE(""https://docs.google.com/spreadsheets/d/1XiF77UIVHV0Kjc6xbXuOuJ10WgJYxd4p_22ngKVV5oM/edit?usp=share_link"",""ระยอง!L353"")+IMPORTRANGE(""https://docs.google.com/spreadsheets/d/1qU-W_9MCQD1pgIVXGEOjCFo9QqlmJywueby"&amp;"GgaN92r8/edit?usp=share_link"",""ราชบุรี!L353"")+IMPORTRANGE(""https://docs.google.com/spreadsheets/d/1xYFIxIM_CspAP5Q-5Zx_V0T_Ut3cjryrjd2hss28vGk/edit?usp=share_link"",""ลพบุรี!L353"")+IMPORTRANGE(""https://docs.google.com/spreadsheets/d/11s9m3tKsCBdPWq6"&amp;"syhZm27eBGbKneDLZc75co106bio/edit?usp=share_link"",""สระแก้ว!L353"")+IMPORTRANGE(""https://docs.google.com/spreadsheets/d/1Nn1EvsFPtXldgpgVb3Rcng2K2cls68LFQsBh2FyW0Bg/edit?usp=share_link"",""สระบุรี!L353"")+IMPORTRANGE(""https://docs.google.com/spreadshee"&amp;"ts/d/149xufxukrnEciK3WPbNpHwUK8BKEJxp3UcBG3Al6dA4/edit?usp=share_link"",""สิงห์บุรี!L353"")+IMPORTRANGE(""https://docs.google.com/spreadsheets/d/132g-zJpz2uMKimp17uOIx8A7o3w1Z25zwJyXnwsB56c/edit?usp=share_link"",""สุพรรณบุรี!L353"")+IMPORTRANGE(""https://"&amp;"docs.google.com/spreadsheets/d/12Q_U0nVnFdxDFwa0pej9xvx8ZvLC9Dpi_vRro_aiG5g/edit?usp=share_link"",""อ่างทอง!L353"")
"),2165700)</f>
        <v>2165700</v>
      </c>
      <c r="M353" s="45">
        <f ca="1">IFERROR(__xludf.DUMMYFUNCTION("IMPORTRANGE(""https://docs.google.com/spreadsheets/d/1hKO5uv94SSRZWOvrh72HRcpyoEQF9TsE_Cvxl77XNU4/edit?usp=share_link"",""กาญจนบุรี!M353"")+IMPORTRANGE(""https://docs.google.com/spreadsheets/d/1njBaP_xXd-Uotvo2D9zb01TTCFkLJLDK97Tk1l9Qux0/edit?usp=share_li"&amp;"nk"",""จันทบุรี!M353"")+IMPORTRANGE(""https://docs.google.com/spreadsheets/d/14xp6qUzrGFnUk_qnc1eEmfiaNRd4_grkhpfQH_46fa8/edit?usp=share_link"",""ฉะเชิงเทรา!M353"")+IMPORTRANGE(""https://docs.google.com/spreadsheets/d/1_Zwps30dlVa-pZFsorjVf1Pil6WXwzCsJU0U"&amp;"2whO3NI/edit?usp=share_link"",""ชลบุรี!M353"")+IMPORTRANGE(""https://docs.google.com/spreadsheets/d/1xAsT4sUbBlom7l0acStESh_15nvjZcXjZM7fK5uZSq8/edit?usp=share_link"",""ชัยนาท!M353"")+IMPORTRANGE(""https://docs.google.com/spreadsheets/d/1vWPVBOAaZ6mHSI8yf"&amp;"95DNqHwTJ1cpeFsvqt6cxV34QA/edit?usp=share_link"",""ตราด!M353"")+IMPORTRANGE(""https://docs.google.com/spreadsheets/d/1phaeSb9lTGgzDpbvVqI9hfmOQQzUom07-HEvpbARzEg/edit?usp=share_link"",""นครนายก!M353"")+IMPORTRANGE(""https://docs.google.com/spreadsheets/d/"&amp;"1tpwhWwkqkBeiSWCcfB5f2fbwPRbM9hHOEDSDHpl2MIc/edit?usp=share_link"",""นครปฐม!M353"")+IMPORTRANGE(""https://docs.google.com/spreadsheets/d/1fJJCVBkBnhriyv0Cp5ZFMr0I_yrfdEITNpb4zILJgUQ/edit?usp=share_link"",""ปทุมธานี!M353"")+IMPORTRANGE(""https://docs.googl"&amp;"e.com/spreadsheets/d/1W5Jj_S0gYw6wSO7QcMI02YgyOBDKYgmm0NSUk-AQEac/edit?usp=share_link"",""ประจวบคีรีขันธ์!M353"")+IMPORTRANGE(""https://docs.google.com/spreadsheets/d/1nYxRXgnCfTXtqUY1otYuTlnrzE0Tn-Y0YRsW5pkRVqo/edit?usp=share_link"",""ปราจีนบุรี!M353"")+"&amp;"IMPORTRANGE(""https://docs.google.com/spreadsheets/d/1nNHCLO8ZAXOMfQvxux7cf_hrzPAh8FAvaHq_ClKbZNo/edit?usp=share_link"",""พระนครศรีอยุธยา!M353"")+IMPORTRANGE(""https://docs.google.com/spreadsheets/d/1CdNicvf3i6yt4tJlCePe3V1Va76wYqW0QzMzTsaGRrA/edit?usp=sh"&amp;"are_link"",""เพชรบุรี!M353"")+IMPORTRANGE(""https://docs.google.com/spreadsheets/d/1XiF77UIVHV0Kjc6xbXuOuJ10WgJYxd4p_22ngKVV5oM/edit?usp=share_link"",""ระยอง!M353"")+IMPORTRANGE(""https://docs.google.com/spreadsheets/d/1qU-W_9MCQD1pgIVXGEOjCFo9QqlmJywueby"&amp;"GgaN92r8/edit?usp=share_link"",""ราชบุรี!M353"")+IMPORTRANGE(""https://docs.google.com/spreadsheets/d/1xYFIxIM_CspAP5Q-5Zx_V0T_Ut3cjryrjd2hss28vGk/edit?usp=share_link"",""ลพบุรี!M353"")+IMPORTRANGE(""https://docs.google.com/spreadsheets/d/11s9m3tKsCBdPWq6"&amp;"syhZm27eBGbKneDLZc75co106bio/edit?usp=share_link"",""สระแก้ว!M353"")+IMPORTRANGE(""https://docs.google.com/spreadsheets/d/1Nn1EvsFPtXldgpgVb3Rcng2K2cls68LFQsBh2FyW0Bg/edit?usp=share_link"",""สระบุรี!M353"")+IMPORTRANGE(""https://docs.google.com/spreadshee"&amp;"ts/d/149xufxukrnEciK3WPbNpHwUK8BKEJxp3UcBG3Al6dA4/edit?usp=share_link"",""สิงห์บุรี!M353"")+IMPORTRANGE(""https://docs.google.com/spreadsheets/d/132g-zJpz2uMKimp17uOIx8A7o3w1Z25zwJyXnwsB56c/edit?usp=share_link"",""สุพรรณบุรี!M353"")+IMPORTRANGE(""https://"&amp;"docs.google.com/spreadsheets/d/12Q_U0nVnFdxDFwa0pej9xvx8ZvLC9Dpi_vRro_aiG5g/edit?usp=share_link"",""อ่างทอง!M353"")
"),2163440)</f>
        <v>2163440</v>
      </c>
      <c r="N353" s="45">
        <f ca="1">IFERROR(__xludf.DUMMYFUNCTION("IMPORTRANGE(""https://docs.google.com/spreadsheets/d/1hKO5uv94SSRZWOvrh72HRcpyoEQF9TsE_Cvxl77XNU4/edit?usp=share_link"",""กาญจนบุรี!n353"")+IMPORTRANGE(""https://docs.google.com/spreadsheets/d/1njBaP_xXd-Uotvo2D9zb01TTCFkLJLDK97Tk1l9Qux0/edit?usp=share_li"&amp;"nk"",""จันทบุรี!n353"")+IMPORTRANGE(""https://docs.google.com/spreadsheets/d/14xp6qUzrGFnUk_qnc1eEmfiaNRd4_grkhpfQH_46fa8/edit?usp=share_link"",""ฉะเชิงเทรา!n353"")+IMPORTRANGE(""https://docs.google.com/spreadsheets/d/1_Zwps30dlVa-pZFsorjVf1Pil6WXwzCsJU0U"&amp;"2whO3NI/edit?usp=share_link"",""ชลบุรี!n353"")+IMPORTRANGE(""https://docs.google.com/spreadsheets/d/1xAsT4sUbBlom7l0acStESh_15nvjZcXjZM7fK5uZSq8/edit?usp=share_link"",""ชัยนาท!n353"")+IMPORTRANGE(""https://docs.google.com/spreadsheets/d/1vWPVBOAaZ6mHSI8yf"&amp;"95DNqHwTJ1cpeFsvqt6cxV34QA/edit?usp=share_link"",""ตราด!n353"")+IMPORTRANGE(""https://docs.google.com/spreadsheets/d/1phaeSb9lTGgzDpbvVqI9hfmOQQzUom07-HEvpbARzEg/edit?usp=share_link"",""นครนายก!n353"")+IMPORTRANGE(""https://docs.google.com/spreadsheets/d/"&amp;"1tpwhWwkqkBeiSWCcfB5f2fbwPRbM9hHOEDSDHpl2MIc/edit?usp=share_link"",""นครปฐม!n353"")+IMPORTRANGE(""https://docs.google.com/spreadsheets/d/1fJJCVBkBnhriyv0Cp5ZFMr0I_yrfdEITNpb4zILJgUQ/edit?usp=share_link"",""ปทุมธานี!n353"")+IMPORTRANGE(""https://docs.googl"&amp;"e.com/spreadsheets/d/1W5Jj_S0gYw6wSO7QcMI02YgyOBDKYgmm0NSUk-AQEac/edit?usp=share_link"",""ประจวบคีรีขันธ์!n353"")+IMPORTRANGE(""https://docs.google.com/spreadsheets/d/1nYxRXgnCfTXtqUY1otYuTlnrzE0Tn-Y0YRsW5pkRVqo/edit?usp=share_link"",""ปราจีนบุรี!n353"")+"&amp;"IMPORTRANGE(""https://docs.google.com/spreadsheets/d/1nNHCLO8ZAXOMfQvxux7cf_hrzPAh8FAvaHq_ClKbZNo/edit?usp=share_link"",""พระนครศรีอยุธยา!n353"")+IMPORTRANGE(""https://docs.google.com/spreadsheets/d/1CdNicvf3i6yt4tJlCePe3V1Va76wYqW0QzMzTsaGRrA/edit?usp=sh"&amp;"are_link"",""เพชรบุรี!n353"")+IMPORTRANGE(""https://docs.google.com/spreadsheets/d/1XiF77UIVHV0Kjc6xbXuOuJ10WgJYxd4p_22ngKVV5oM/edit?usp=share_link"",""ระยอง!n353"")+IMPORTRANGE(""https://docs.google.com/spreadsheets/d/1qU-W_9MCQD1pgIVXGEOjCFo9QqlmJywueby"&amp;"GgaN92r8/edit?usp=share_link"",""ราชบุรี!n353"")+IMPORTRANGE(""https://docs.google.com/spreadsheets/d/1xYFIxIM_CspAP5Q-5Zx_V0T_Ut3cjryrjd2hss28vGk/edit?usp=share_link"",""ลพบุรี!n353"")+IMPORTRANGE(""https://docs.google.com/spreadsheets/d/11s9m3tKsCBdPWq6"&amp;"syhZm27eBGbKneDLZc75co106bio/edit?usp=share_link"",""สระแก้ว!n353"")+IMPORTRANGE(""https://docs.google.com/spreadsheets/d/1Nn1EvsFPtXldgpgVb3Rcng2K2cls68LFQsBh2FyW0Bg/edit?usp=share_link"",""สระบุรี!n353"")+IMPORTRANGE(""https://docs.google.com/spreadshee"&amp;"ts/d/149xufxukrnEciK3WPbNpHwUK8BKEJxp3UcBG3Al6dA4/edit?usp=share_link"",""สิงห์บุรี!n353"")+IMPORTRANGE(""https://docs.google.com/spreadsheets/d/132g-zJpz2uMKimp17uOIx8A7o3w1Z25zwJyXnwsB56c/edit?usp=share_link"",""สุพรรณบุรี!n353"")+IMPORTRANGE(""https://"&amp;"docs.google.com/spreadsheets/d/12Q_U0nVnFdxDFwa0pej9xvx8ZvLC9Dpi_vRro_aiG5g/edit?usp=share_link"",""อ่างทอง!n353"")
"),2163440)</f>
        <v>2163440</v>
      </c>
      <c r="O353" s="45">
        <f t="shared" ca="1" si="183"/>
        <v>99.895645749642142</v>
      </c>
      <c r="P353" s="45">
        <f t="shared" ca="1" si="184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20.25" customHeight="1">
      <c r="A354" s="255"/>
      <c r="B354" s="263"/>
      <c r="C354" s="256"/>
      <c r="D354" s="453" t="s">
        <v>158</v>
      </c>
      <c r="E354" s="256"/>
      <c r="F354" s="256"/>
      <c r="G354" s="258"/>
      <c r="H354" s="454"/>
      <c r="I354" s="260"/>
      <c r="J354" s="260"/>
      <c r="K354" s="261"/>
      <c r="L354" s="261"/>
      <c r="M354" s="261"/>
      <c r="N354" s="261"/>
      <c r="O354" s="261"/>
      <c r="P354" s="261"/>
    </row>
    <row r="355" spans="1:26" ht="20.25" customHeight="1">
      <c r="A355" s="455"/>
      <c r="B355" s="456"/>
      <c r="C355" s="457"/>
      <c r="D355" s="458" t="s">
        <v>159</v>
      </c>
      <c r="E355" s="459"/>
      <c r="F355" s="459"/>
      <c r="G355" s="460"/>
      <c r="H355" s="461" t="s">
        <v>35</v>
      </c>
      <c r="I355" s="462">
        <f ca="1">IFERROR(__xludf.DUMMYFUNCTION("IMPORTRANGE(""https://docs.google.com/spreadsheets/d/1hKO5uv94SSRZWOvrh72HRcpyoEQF9TsE_Cvxl77XNU4/edit?usp=share_link"",""กาญจนบุรี!I355"")+IMPORTRANGE(""https://docs.google.com/spreadsheets/d/1njBaP_xXd-Uotvo2D9zb01TTCFkLJLDK97Tk1l9Qux0/edit?usp=share_li"&amp;"nk"",""จันทบุรี!I355"")+IMPORTRANGE(""https://docs.google.com/spreadsheets/d/14xp6qUzrGFnUk_qnc1eEmfiaNRd4_grkhpfQH_46fa8/edit?usp=share_link"",""ฉะเชิงเทรา!I355"")+IMPORTRANGE(""https://docs.google.com/spreadsheets/d/1_Zwps30dlVa-pZFsorjVf1Pil6WXwzCsJU0U"&amp;"2whO3NI/edit?usp=share_link"",""ชลบุรี!I355"")+IMPORTRANGE(""https://docs.google.com/spreadsheets/d/1xAsT4sUbBlom7l0acStESh_15nvjZcXjZM7fK5uZSq8/edit?usp=share_link"",""ชัยนาท!I355"")+IMPORTRANGE(""https://docs.google.com/spreadsheets/d/1vWPVBOAaZ6mHSI8yf"&amp;"95DNqHwTJ1cpeFsvqt6cxV34QA/edit?usp=share_link"",""ตราด!I355"")+IMPORTRANGE(""https://docs.google.com/spreadsheets/d/1phaeSb9lTGgzDpbvVqI9hfmOQQzUom07-HEvpbARzEg/edit?usp=share_link"",""นครนายก!I355"")+IMPORTRANGE(""https://docs.google.com/spreadsheets/d/"&amp;"1tpwhWwkqkBeiSWCcfB5f2fbwPRbM9hHOEDSDHpl2MIc/edit?usp=share_link"",""นครปฐม!I355"")+IMPORTRANGE(""https://docs.google.com/spreadsheets/d/1fJJCVBkBnhriyv0Cp5ZFMr0I_yrfdEITNpb4zILJgUQ/edit?usp=share_link"",""ปทุมธานี!I355"")+IMPORTRANGE(""https://docs.googl"&amp;"e.com/spreadsheets/d/1W5Jj_S0gYw6wSO7QcMI02YgyOBDKYgmm0NSUk-AQEac/edit?usp=share_link"",""ประจวบคีรีขันธ์!I355"")+IMPORTRANGE(""https://docs.google.com/spreadsheets/d/1nYxRXgnCfTXtqUY1otYuTlnrzE0Tn-Y0YRsW5pkRVqo/edit?usp=share_link"",""ปราจีนบุรี!I355"")+"&amp;"IMPORTRANGE(""https://docs.google.com/spreadsheets/d/1nNHCLO8ZAXOMfQvxux7cf_hrzPAh8FAvaHq_ClKbZNo/edit?usp=share_link"",""พระนครศรีอยุธยา!I355"")+IMPORTRANGE(""https://docs.google.com/spreadsheets/d/1CdNicvf3i6yt4tJlCePe3V1Va76wYqW0QzMzTsaGRrA/edit?usp=sh"&amp;"are_link"",""เพชรบุรี!I355"")+IMPORTRANGE(""https://docs.google.com/spreadsheets/d/1XiF77UIVHV0Kjc6xbXuOuJ10WgJYxd4p_22ngKVV5oM/edit?usp=share_link"",""ระยอง!I355"")+IMPORTRANGE(""https://docs.google.com/spreadsheets/d/1qU-W_9MCQD1pgIVXGEOjCFo9QqlmJywueby"&amp;"GgaN92r8/edit?usp=share_link"",""ราชบุรี!I355"")+IMPORTRANGE(""https://docs.google.com/spreadsheets/d/1xYFIxIM_CspAP5Q-5Zx_V0T_Ut3cjryrjd2hss28vGk/edit?usp=share_link"",""ลพบุรี!I355"")+IMPORTRANGE(""https://docs.google.com/spreadsheets/d/11s9m3tKsCBdPWq6"&amp;"syhZm27eBGbKneDLZc75co106bio/edit?usp=share_link"",""สระแก้ว!I355"")+IMPORTRANGE(""https://docs.google.com/spreadsheets/d/1Nn1EvsFPtXldgpgVb3Rcng2K2cls68LFQsBh2FyW0Bg/edit?usp=share_link"",""สระบุรี!I355"")+IMPORTRANGE(""https://docs.google.com/spreadshee"&amp;"ts/d/149xufxukrnEciK3WPbNpHwUK8BKEJxp3UcBG3Al6dA4/edit?usp=share_link"",""สิงห์บุรี!I355"")+IMPORTRANGE(""https://docs.google.com/spreadsheets/d/132g-zJpz2uMKimp17uOIx8A7o3w1Z25zwJyXnwsB56c/edit?usp=share_link"",""สุพรรณบุรี!I355"")+IMPORTRANGE(""https://"&amp;"docs.google.com/spreadsheets/d/12Q_U0nVnFdxDFwa0pej9xvx8ZvLC9Dpi_vRro_aiG5g/edit?usp=share_link"",""อ่างทอง!I355"")
"),3064)</f>
        <v>3064</v>
      </c>
      <c r="J355" s="463">
        <f ca="1">J362</f>
        <v>113</v>
      </c>
      <c r="K355" s="464">
        <f ca="1">IF(I355&gt;0,J355*100/I355,0)</f>
        <v>3.6879895561357703</v>
      </c>
      <c r="L355" s="465"/>
      <c r="M355" s="465"/>
      <c r="N355" s="465"/>
      <c r="O355" s="465"/>
      <c r="P355" s="465"/>
    </row>
    <row r="356" spans="1:26" ht="20.25" customHeight="1">
      <c r="A356" s="455"/>
      <c r="B356" s="456"/>
      <c r="C356" s="457"/>
      <c r="D356" s="466" t="s">
        <v>160</v>
      </c>
      <c r="E356" s="459"/>
      <c r="F356" s="459"/>
      <c r="G356" s="460"/>
      <c r="H356" s="467"/>
      <c r="I356" s="468"/>
      <c r="J356" s="468"/>
      <c r="K356" s="465"/>
      <c r="L356" s="465"/>
      <c r="M356" s="465"/>
      <c r="N356" s="465"/>
      <c r="O356" s="465"/>
      <c r="P356" s="465"/>
    </row>
    <row r="357" spans="1:26" ht="20.25" customHeight="1">
      <c r="A357" s="170"/>
      <c r="B357" s="171"/>
      <c r="C357" s="164" t="s">
        <v>16</v>
      </c>
      <c r="D357" s="172" t="s">
        <v>38</v>
      </c>
      <c r="E357" s="173"/>
      <c r="F357" s="173"/>
      <c r="G357" s="174"/>
      <c r="H357" s="175"/>
      <c r="I357" s="37"/>
      <c r="J357" s="37"/>
      <c r="K357" s="38"/>
      <c r="L357" s="163"/>
      <c r="M357" s="163"/>
      <c r="N357" s="163"/>
      <c r="O357" s="163"/>
      <c r="P357" s="163"/>
    </row>
    <row r="358" spans="1:26" ht="20.25" customHeight="1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69">
        <v>0</v>
      </c>
      <c r="J358" s="269">
        <f ca="1">IFERROR(__xludf.DUMMYFUNCTION("IMPORTRANGE(""https://docs.google.com/spreadsheets/d/1hKO5uv94SSRZWOvrh72HRcpyoEQF9TsE_Cvxl77XNU4/edit?usp=share_link"",""กาญจนบุรี!J358"")+IMPORTRANGE(""https://docs.google.com/spreadsheets/d/1njBaP_xXd-Uotvo2D9zb01TTCFkLJLDK97Tk1l9Qux0/edit?usp=share_li"&amp;"nk"",""จันทบุรี!J358"")+IMPORTRANGE(""https://docs.google.com/spreadsheets/d/14xp6qUzrGFnUk_qnc1eEmfiaNRd4_grkhpfQH_46fa8/edit?usp=share_link"",""ฉะเชิงเทรา!J358"")+IMPORTRANGE(""https://docs.google.com/spreadsheets/d/1_Zwps30dlVa-pZFsorjVf1Pil6WXwzCsJU0U"&amp;"2whO3NI/edit?usp=share_link"",""ชลบุรี!J358"")+IMPORTRANGE(""https://docs.google.com/spreadsheets/d/1xAsT4sUbBlom7l0acStESh_15nvjZcXjZM7fK5uZSq8/edit?usp=share_link"",""ชัยนาท!J358"")+IMPORTRANGE(""https://docs.google.com/spreadsheets/d/1vWPVBOAaZ6mHSI8yf"&amp;"95DNqHwTJ1cpeFsvqt6cxV34QA/edit?usp=share_link"",""ตราด!J358"")+IMPORTRANGE(""https://docs.google.com/spreadsheets/d/1phaeSb9lTGgzDpbvVqI9hfmOQQzUom07-HEvpbARzEg/edit?usp=share_link"",""นครนายก!J358"")+IMPORTRANGE(""https://docs.google.com/spreadsheets/d/"&amp;"1tpwhWwkqkBeiSWCcfB5f2fbwPRbM9hHOEDSDHpl2MIc/edit?usp=share_link"",""นครปฐม!J358"")+IMPORTRANGE(""https://docs.google.com/spreadsheets/d/1fJJCVBkBnhriyv0Cp5ZFMr0I_yrfdEITNpb4zILJgUQ/edit?usp=share_link"",""ปทุมธานี!J358"")+IMPORTRANGE(""https://docs.googl"&amp;"e.com/spreadsheets/d/1W5Jj_S0gYw6wSO7QcMI02YgyOBDKYgmm0NSUk-AQEac/edit?usp=share_link"",""ประจวบคีรีขันธ์!J358"")+IMPORTRANGE(""https://docs.google.com/spreadsheets/d/1nYxRXgnCfTXtqUY1otYuTlnrzE0Tn-Y0YRsW5pkRVqo/edit?usp=share_link"",""ปราจีนบุรี!J358"")+"&amp;"IMPORTRANGE(""https://docs.google.com/spreadsheets/d/1nNHCLO8ZAXOMfQvxux7cf_hrzPAh8FAvaHq_ClKbZNo/edit?usp=share_link"",""พระนครศรีอยุธยา!J358"")+IMPORTRANGE(""https://docs.google.com/spreadsheets/d/1CdNicvf3i6yt4tJlCePe3V1Va76wYqW0QzMzTsaGRrA/edit?usp=sh"&amp;"are_link"",""เพชรบุรี!J358"")+IMPORTRANGE(""https://docs.google.com/spreadsheets/d/1XiF77UIVHV0Kjc6xbXuOuJ10WgJYxd4p_22ngKVV5oM/edit?usp=share_link"",""ระยอง!J358"")+IMPORTRANGE(""https://docs.google.com/spreadsheets/d/1qU-W_9MCQD1pgIVXGEOjCFo9QqlmJywueby"&amp;"GgaN92r8/edit?usp=share_link"",""ราชบุรี!J358"")+IMPORTRANGE(""https://docs.google.com/spreadsheets/d/1xYFIxIM_CspAP5Q-5Zx_V0T_Ut3cjryrjd2hss28vGk/edit?usp=share_link"",""ลพบุรี!J358"")+IMPORTRANGE(""https://docs.google.com/spreadsheets/d/11s9m3tKsCBdPWq6"&amp;"syhZm27eBGbKneDLZc75co106bio/edit?usp=share_link"",""สระแก้ว!J358"")+IMPORTRANGE(""https://docs.google.com/spreadsheets/d/1Nn1EvsFPtXldgpgVb3Rcng2K2cls68LFQsBh2FyW0Bg/edit?usp=share_link"",""สระบุรี!J358"")+IMPORTRANGE(""https://docs.google.com/spreadshee"&amp;"ts/d/149xufxukrnEciK3WPbNpHwUK8BKEJxp3UcBG3Al6dA4/edit?usp=share_link"",""สิงห์บุรี!J358"")+IMPORTRANGE(""https://docs.google.com/spreadsheets/d/132g-zJpz2uMKimp17uOIx8A7o3w1Z25zwJyXnwsB56c/edit?usp=share_link"",""สุพรรณบุรี!J358"")+IMPORTRANGE(""https://"&amp;"docs.google.com/spreadsheets/d/12Q_U0nVnFdxDFwa0pej9xvx8ZvLC9Dpi_vRro_aiG5g/edit?usp=share_link"",""อ่างทอง!J358"")
"),610)</f>
        <v>610</v>
      </c>
      <c r="K358" s="38">
        <f t="shared" ref="K358:K365" si="189">IF(I358&gt;0,J358*100/I358,0)</f>
        <v>0</v>
      </c>
      <c r="L358" s="163"/>
      <c r="M358" s="163"/>
      <c r="N358" s="163"/>
      <c r="O358" s="163"/>
      <c r="P358" s="163"/>
    </row>
    <row r="359" spans="1:26" ht="20.25" customHeight="1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37">
        <f ca="1">IFERROR(__xludf.DUMMYFUNCTION("IMPORTRANGE(""https://docs.google.com/spreadsheets/d/1hKO5uv94SSRZWOvrh72HRcpyoEQF9TsE_Cvxl77XNU4/edit?usp=share_link"",""กาญจนบุรี!I359"")+IMPORTRANGE(""https://docs.google.com/spreadsheets/d/1njBaP_xXd-Uotvo2D9zb01TTCFkLJLDK97Tk1l9Qux0/edit?usp=share_li"&amp;"nk"",""จันทบุรี!I359"")+IMPORTRANGE(""https://docs.google.com/spreadsheets/d/14xp6qUzrGFnUk_qnc1eEmfiaNRd4_grkhpfQH_46fa8/edit?usp=share_link"",""ฉะเชิงเทรา!I359"")+IMPORTRANGE(""https://docs.google.com/spreadsheets/d/1_Zwps30dlVa-pZFsorjVf1Pil6WXwzCsJU0U"&amp;"2whO3NI/edit?usp=share_link"",""ชลบุรี!I359"")+IMPORTRANGE(""https://docs.google.com/spreadsheets/d/1xAsT4sUbBlom7l0acStESh_15nvjZcXjZM7fK5uZSq8/edit?usp=share_link"",""ชัยนาท!I359"")+IMPORTRANGE(""https://docs.google.com/spreadsheets/d/1vWPVBOAaZ6mHSI8yf"&amp;"95DNqHwTJ1cpeFsvqt6cxV34QA/edit?usp=share_link"",""ตราด!I359"")+IMPORTRANGE(""https://docs.google.com/spreadsheets/d/1phaeSb9lTGgzDpbvVqI9hfmOQQzUom07-HEvpbARzEg/edit?usp=share_link"",""นครนายก!I359"")+IMPORTRANGE(""https://docs.google.com/spreadsheets/d/"&amp;"1tpwhWwkqkBeiSWCcfB5f2fbwPRbM9hHOEDSDHpl2MIc/edit?usp=share_link"",""นครปฐม!I359"")+IMPORTRANGE(""https://docs.google.com/spreadsheets/d/1fJJCVBkBnhriyv0Cp5ZFMr0I_yrfdEITNpb4zILJgUQ/edit?usp=share_link"",""ปทุมธานี!I359"")+IMPORTRANGE(""https://docs.googl"&amp;"e.com/spreadsheets/d/1W5Jj_S0gYw6wSO7QcMI02YgyOBDKYgmm0NSUk-AQEac/edit?usp=share_link"",""ประจวบคีรีขันธ์!I359"")+IMPORTRANGE(""https://docs.google.com/spreadsheets/d/1nYxRXgnCfTXtqUY1otYuTlnrzE0Tn-Y0YRsW5pkRVqo/edit?usp=share_link"",""ปราจีนบุรี!I359"")+"&amp;"IMPORTRANGE(""https://docs.google.com/spreadsheets/d/1nNHCLO8ZAXOMfQvxux7cf_hrzPAh8FAvaHq_ClKbZNo/edit?usp=share_link"",""พระนครศรีอยุธยา!I359"")+IMPORTRANGE(""https://docs.google.com/spreadsheets/d/1CdNicvf3i6yt4tJlCePe3V1Va76wYqW0QzMzTsaGRrA/edit?usp=sh"&amp;"are_link"",""เพชรบุรี!I359"")+IMPORTRANGE(""https://docs.google.com/spreadsheets/d/1XiF77UIVHV0Kjc6xbXuOuJ10WgJYxd4p_22ngKVV5oM/edit?usp=share_link"",""ระยอง!I359"")+IMPORTRANGE(""https://docs.google.com/spreadsheets/d/1qU-W_9MCQD1pgIVXGEOjCFo9QqlmJywueby"&amp;"GgaN92r8/edit?usp=share_link"",""ราชบุรี!I359"")+IMPORTRANGE(""https://docs.google.com/spreadsheets/d/1xYFIxIM_CspAP5Q-5Zx_V0T_Ut3cjryrjd2hss28vGk/edit?usp=share_link"",""ลพบุรี!I359"")+IMPORTRANGE(""https://docs.google.com/spreadsheets/d/11s9m3tKsCBdPWq6"&amp;"syhZm27eBGbKneDLZc75co106bio/edit?usp=share_link"",""สระแก้ว!I359"")+IMPORTRANGE(""https://docs.google.com/spreadsheets/d/1Nn1EvsFPtXldgpgVb3Rcng2K2cls68LFQsBh2FyW0Bg/edit?usp=share_link"",""สระบุรี!I359"")+IMPORTRANGE(""https://docs.google.com/spreadshee"&amp;"ts/d/149xufxukrnEciK3WPbNpHwUK8BKEJxp3UcBG3Al6dA4/edit?usp=share_link"",""สิงห์บุรี!I359"")+IMPORTRANGE(""https://docs.google.com/spreadsheets/d/132g-zJpz2uMKimp17uOIx8A7o3w1Z25zwJyXnwsB56c/edit?usp=share_link"",""สุพรรณบุรี!I359"")+IMPORTRANGE(""https://"&amp;"docs.google.com/spreadsheets/d/12Q_U0nVnFdxDFwa0pej9xvx8ZvLC9Dpi_vRro_aiG5g/edit?usp=share_link"",""อ่างทอง!I359"")
"),36018)</f>
        <v>36018</v>
      </c>
      <c r="J359" s="269">
        <f ca="1">IFERROR(__xludf.DUMMYFUNCTION("IMPORTRANGE(""https://docs.google.com/spreadsheets/d/1hKO5uv94SSRZWOvrh72HRcpyoEQF9TsE_Cvxl77XNU4/edit?usp=share_link"",""กาญจนบุรี!J359"")+IMPORTRANGE(""https://docs.google.com/spreadsheets/d/1njBaP_xXd-Uotvo2D9zb01TTCFkLJLDK97Tk1l9Qux0/edit?usp=share_li"&amp;"nk"",""จันทบุรี!J359"")+IMPORTRANGE(""https://docs.google.com/spreadsheets/d/14xp6qUzrGFnUk_qnc1eEmfiaNRd4_grkhpfQH_46fa8/edit?usp=share_link"",""ฉะเชิงเทรา!J359"")+IMPORTRANGE(""https://docs.google.com/spreadsheets/d/1_Zwps30dlVa-pZFsorjVf1Pil6WXwzCsJU0U"&amp;"2whO3NI/edit?usp=share_link"",""ชลบุรี!J359"")+IMPORTRANGE(""https://docs.google.com/spreadsheets/d/1xAsT4sUbBlom7l0acStESh_15nvjZcXjZM7fK5uZSq8/edit?usp=share_link"",""ชัยนาท!J359"")+IMPORTRANGE(""https://docs.google.com/spreadsheets/d/1vWPVBOAaZ6mHSI8yf"&amp;"95DNqHwTJ1cpeFsvqt6cxV34QA/edit?usp=share_link"",""ตราด!J359"")+IMPORTRANGE(""https://docs.google.com/spreadsheets/d/1phaeSb9lTGgzDpbvVqI9hfmOQQzUom07-HEvpbARzEg/edit?usp=share_link"",""นครนายก!J359"")+IMPORTRANGE(""https://docs.google.com/spreadsheets/d/"&amp;"1tpwhWwkqkBeiSWCcfB5f2fbwPRbM9hHOEDSDHpl2MIc/edit?usp=share_link"",""นครปฐม!J359"")+IMPORTRANGE(""https://docs.google.com/spreadsheets/d/1fJJCVBkBnhriyv0Cp5ZFMr0I_yrfdEITNpb4zILJgUQ/edit?usp=share_link"",""ปทุมธานี!J359"")+IMPORTRANGE(""https://docs.googl"&amp;"e.com/spreadsheets/d/1W5Jj_S0gYw6wSO7QcMI02YgyOBDKYgmm0NSUk-AQEac/edit?usp=share_link"",""ประจวบคีรีขันธ์!J359"")+IMPORTRANGE(""https://docs.google.com/spreadsheets/d/1nYxRXgnCfTXtqUY1otYuTlnrzE0Tn-Y0YRsW5pkRVqo/edit?usp=share_link"",""ปราจีนบุรี!J359"")+"&amp;"IMPORTRANGE(""https://docs.google.com/spreadsheets/d/1nNHCLO8ZAXOMfQvxux7cf_hrzPAh8FAvaHq_ClKbZNo/edit?usp=share_link"",""พระนครศรีอยุธยา!J359"")+IMPORTRANGE(""https://docs.google.com/spreadsheets/d/1CdNicvf3i6yt4tJlCePe3V1Va76wYqW0QzMzTsaGRrA/edit?usp=sh"&amp;"are_link"",""เพชรบุรี!J359"")+IMPORTRANGE(""https://docs.google.com/spreadsheets/d/1XiF77UIVHV0Kjc6xbXuOuJ10WgJYxd4p_22ngKVV5oM/edit?usp=share_link"",""ระยอง!J359"")+IMPORTRANGE(""https://docs.google.com/spreadsheets/d/1qU-W_9MCQD1pgIVXGEOjCFo9QqlmJywueby"&amp;"GgaN92r8/edit?usp=share_link"",""ราชบุรี!J359"")+IMPORTRANGE(""https://docs.google.com/spreadsheets/d/1xYFIxIM_CspAP5Q-5Zx_V0T_Ut3cjryrjd2hss28vGk/edit?usp=share_link"",""ลพบุรี!J359"")+IMPORTRANGE(""https://docs.google.com/spreadsheets/d/11s9m3tKsCBdPWq6"&amp;"syhZm27eBGbKneDLZc75co106bio/edit?usp=share_link"",""สระแก้ว!J359"")+IMPORTRANGE(""https://docs.google.com/spreadsheets/d/1Nn1EvsFPtXldgpgVb3Rcng2K2cls68LFQsBh2FyW0Bg/edit?usp=share_link"",""สระบุรี!J359"")+IMPORTRANGE(""https://docs.google.com/spreadshee"&amp;"ts/d/149xufxukrnEciK3WPbNpHwUK8BKEJxp3UcBG3Al6dA4/edit?usp=share_link"",""สิงห์บุรี!J359"")+IMPORTRANGE(""https://docs.google.com/spreadsheets/d/132g-zJpz2uMKimp17uOIx8A7o3w1Z25zwJyXnwsB56c/edit?usp=share_link"",""สุพรรณบุรี!J359"")+IMPORTRANGE(""https://"&amp;"docs.google.com/spreadsheets/d/12Q_U0nVnFdxDFwa0pej9xvx8ZvLC9Dpi_vRro_aiG5g/edit?usp=share_link"",""อ่างทอง!J359"")
"),6119.59999999999)</f>
        <v>6119.5999999999904</v>
      </c>
      <c r="K359" s="38">
        <f t="shared" ca="1" si="189"/>
        <v>16.99039369204284</v>
      </c>
      <c r="L359" s="163"/>
      <c r="M359" s="163"/>
      <c r="N359" s="163"/>
      <c r="O359" s="163"/>
      <c r="P359" s="163"/>
    </row>
    <row r="360" spans="1:26" ht="20.25" customHeight="1">
      <c r="A360" s="170"/>
      <c r="B360" s="178"/>
      <c r="C360" s="171"/>
      <c r="D360" s="178"/>
      <c r="E360" s="176" t="s">
        <v>162</v>
      </c>
      <c r="F360" s="178"/>
      <c r="G360" s="179"/>
      <c r="H360" s="182" t="s">
        <v>35</v>
      </c>
      <c r="I360" s="37">
        <f ca="1">IFERROR(__xludf.DUMMYFUNCTION("IMPORTRANGE(""https://docs.google.com/spreadsheets/d/1hKO5uv94SSRZWOvrh72HRcpyoEQF9TsE_Cvxl77XNU4/edit?usp=share_link"",""กาญจนบุรี!I360"")+IMPORTRANGE(""https://docs.google.com/spreadsheets/d/1njBaP_xXd-Uotvo2D9zb01TTCFkLJLDK97Tk1l9Qux0/edit?usp=share_li"&amp;"nk"",""จันทบุรี!I360"")+IMPORTRANGE(""https://docs.google.com/spreadsheets/d/14xp6qUzrGFnUk_qnc1eEmfiaNRd4_grkhpfQH_46fa8/edit?usp=share_link"",""ฉะเชิงเทรา!I360"")+IMPORTRANGE(""https://docs.google.com/spreadsheets/d/1_Zwps30dlVa-pZFsorjVf1Pil6WXwzCsJU0U"&amp;"2whO3NI/edit?usp=share_link"",""ชลบุรี!I360"")+IMPORTRANGE(""https://docs.google.com/spreadsheets/d/1xAsT4sUbBlom7l0acStESh_15nvjZcXjZM7fK5uZSq8/edit?usp=share_link"",""ชัยนาท!I360"")+IMPORTRANGE(""https://docs.google.com/spreadsheets/d/1vWPVBOAaZ6mHSI8yf"&amp;"95DNqHwTJ1cpeFsvqt6cxV34QA/edit?usp=share_link"",""ตราด!I360"")+IMPORTRANGE(""https://docs.google.com/spreadsheets/d/1phaeSb9lTGgzDpbvVqI9hfmOQQzUom07-HEvpbARzEg/edit?usp=share_link"",""นครนายก!I360"")+IMPORTRANGE(""https://docs.google.com/spreadsheets/d/"&amp;"1tpwhWwkqkBeiSWCcfB5f2fbwPRbM9hHOEDSDHpl2MIc/edit?usp=share_link"",""นครปฐม!I360"")+IMPORTRANGE(""https://docs.google.com/spreadsheets/d/1fJJCVBkBnhriyv0Cp5ZFMr0I_yrfdEITNpb4zILJgUQ/edit?usp=share_link"",""ปทุมธานี!I360"")+IMPORTRANGE(""https://docs.googl"&amp;"e.com/spreadsheets/d/1W5Jj_S0gYw6wSO7QcMI02YgyOBDKYgmm0NSUk-AQEac/edit?usp=share_link"",""ประจวบคีรีขันธ์!I360"")+IMPORTRANGE(""https://docs.google.com/spreadsheets/d/1nYxRXgnCfTXtqUY1otYuTlnrzE0Tn-Y0YRsW5pkRVqo/edit?usp=share_link"",""ปราจีนบุรี!I360"")+"&amp;"IMPORTRANGE(""https://docs.google.com/spreadsheets/d/1nNHCLO8ZAXOMfQvxux7cf_hrzPAh8FAvaHq_ClKbZNo/edit?usp=share_link"",""พระนครศรีอยุธยา!I360"")+IMPORTRANGE(""https://docs.google.com/spreadsheets/d/1CdNicvf3i6yt4tJlCePe3V1Va76wYqW0QzMzTsaGRrA/edit?usp=sh"&amp;"are_link"",""เพชรบุรี!I360"")+IMPORTRANGE(""https://docs.google.com/spreadsheets/d/1XiF77UIVHV0Kjc6xbXuOuJ10WgJYxd4p_22ngKVV5oM/edit?usp=share_link"",""ระยอง!I360"")+IMPORTRANGE(""https://docs.google.com/spreadsheets/d/1qU-W_9MCQD1pgIVXGEOjCFo9QqlmJywueby"&amp;"GgaN92r8/edit?usp=share_link"",""ราชบุรี!I360"")+IMPORTRANGE(""https://docs.google.com/spreadsheets/d/1xYFIxIM_CspAP5Q-5Zx_V0T_Ut3cjryrjd2hss28vGk/edit?usp=share_link"",""ลพบุรี!I360"")+IMPORTRANGE(""https://docs.google.com/spreadsheets/d/11s9m3tKsCBdPWq6"&amp;"syhZm27eBGbKneDLZc75co106bio/edit?usp=share_link"",""สระแก้ว!I360"")+IMPORTRANGE(""https://docs.google.com/spreadsheets/d/1Nn1EvsFPtXldgpgVb3Rcng2K2cls68LFQsBh2FyW0Bg/edit?usp=share_link"",""สระบุรี!I360"")+IMPORTRANGE(""https://docs.google.com/spreadshee"&amp;"ts/d/149xufxukrnEciK3WPbNpHwUK8BKEJxp3UcBG3Al6dA4/edit?usp=share_link"",""สิงห์บุรี!I360"")+IMPORTRANGE(""https://docs.google.com/spreadsheets/d/132g-zJpz2uMKimp17uOIx8A7o3w1Z25zwJyXnwsB56c/edit?usp=share_link"",""สุพรรณบุรี!I360"")+IMPORTRANGE(""https://"&amp;"docs.google.com/spreadsheets/d/12Q_U0nVnFdxDFwa0pej9xvx8ZvLC9Dpi_vRro_aiG5g/edit?usp=share_link"",""อ่างทอง!I360"")
"),3064)</f>
        <v>3064</v>
      </c>
      <c r="J360" s="269">
        <f ca="1">IFERROR(__xludf.DUMMYFUNCTION("IMPORTRANGE(""https://docs.google.com/spreadsheets/d/1hKO5uv94SSRZWOvrh72HRcpyoEQF9TsE_Cvxl77XNU4/edit?usp=share_link"",""กาญจนบุรี!J360"")+IMPORTRANGE(""https://docs.google.com/spreadsheets/d/1njBaP_xXd-Uotvo2D9zb01TTCFkLJLDK97Tk1l9Qux0/edit?usp=share_li"&amp;"nk"",""จันทบุรี!J360"")+IMPORTRANGE(""https://docs.google.com/spreadsheets/d/14xp6qUzrGFnUk_qnc1eEmfiaNRd4_grkhpfQH_46fa8/edit?usp=share_link"",""ฉะเชิงเทรา!J360"")+IMPORTRANGE(""https://docs.google.com/spreadsheets/d/1_Zwps30dlVa-pZFsorjVf1Pil6WXwzCsJU0U"&amp;"2whO3NI/edit?usp=share_link"",""ชลบุรี!J360"")+IMPORTRANGE(""https://docs.google.com/spreadsheets/d/1xAsT4sUbBlom7l0acStESh_15nvjZcXjZM7fK5uZSq8/edit?usp=share_link"",""ชัยนาท!J360"")+IMPORTRANGE(""https://docs.google.com/spreadsheets/d/1vWPVBOAaZ6mHSI8yf"&amp;"95DNqHwTJ1cpeFsvqt6cxV34QA/edit?usp=share_link"",""ตราด!J360"")+IMPORTRANGE(""https://docs.google.com/spreadsheets/d/1phaeSb9lTGgzDpbvVqI9hfmOQQzUom07-HEvpbARzEg/edit?usp=share_link"",""นครนายก!J360"")+IMPORTRANGE(""https://docs.google.com/spreadsheets/d/"&amp;"1tpwhWwkqkBeiSWCcfB5f2fbwPRbM9hHOEDSDHpl2MIc/edit?usp=share_link"",""นครปฐม!J360"")+IMPORTRANGE(""https://docs.google.com/spreadsheets/d/1fJJCVBkBnhriyv0Cp5ZFMr0I_yrfdEITNpb4zILJgUQ/edit?usp=share_link"",""ปทุมธานี!J360"")+IMPORTRANGE(""https://docs.googl"&amp;"e.com/spreadsheets/d/1W5Jj_S0gYw6wSO7QcMI02YgyOBDKYgmm0NSUk-AQEac/edit?usp=share_link"",""ประจวบคีรีขันธ์!J360"")+IMPORTRANGE(""https://docs.google.com/spreadsheets/d/1nYxRXgnCfTXtqUY1otYuTlnrzE0Tn-Y0YRsW5pkRVqo/edit?usp=share_link"",""ปราจีนบุรี!J360"")+"&amp;"IMPORTRANGE(""https://docs.google.com/spreadsheets/d/1nNHCLO8ZAXOMfQvxux7cf_hrzPAh8FAvaHq_ClKbZNo/edit?usp=share_link"",""พระนครศรีอยุธยา!J360"")+IMPORTRANGE(""https://docs.google.com/spreadsheets/d/1CdNicvf3i6yt4tJlCePe3V1Va76wYqW0QzMzTsaGRrA/edit?usp=sh"&amp;"are_link"",""เพชรบุรี!J360"")+IMPORTRANGE(""https://docs.google.com/spreadsheets/d/1XiF77UIVHV0Kjc6xbXuOuJ10WgJYxd4p_22ngKVV5oM/edit?usp=share_link"",""ระยอง!J360"")+IMPORTRANGE(""https://docs.google.com/spreadsheets/d/1qU-W_9MCQD1pgIVXGEOjCFo9QqlmJywueby"&amp;"GgaN92r8/edit?usp=share_link"",""ราชบุรี!J360"")+IMPORTRANGE(""https://docs.google.com/spreadsheets/d/1xYFIxIM_CspAP5Q-5Zx_V0T_Ut3cjryrjd2hss28vGk/edit?usp=share_link"",""ลพบุรี!J360"")+IMPORTRANGE(""https://docs.google.com/spreadsheets/d/11s9m3tKsCBdPWq6"&amp;"syhZm27eBGbKneDLZc75co106bio/edit?usp=share_link"",""สระแก้ว!J360"")+IMPORTRANGE(""https://docs.google.com/spreadsheets/d/1Nn1EvsFPtXldgpgVb3Rcng2K2cls68LFQsBh2FyW0Bg/edit?usp=share_link"",""สระบุรี!J360"")+IMPORTRANGE(""https://docs.google.com/spreadshee"&amp;"ts/d/149xufxukrnEciK3WPbNpHwUK8BKEJxp3UcBG3Al6dA4/edit?usp=share_link"",""สิงห์บุรี!J360"")+IMPORTRANGE(""https://docs.google.com/spreadsheets/d/132g-zJpz2uMKimp17uOIx8A7o3w1Z25zwJyXnwsB56c/edit?usp=share_link"",""สุพรรณบุรี!J360"")+IMPORTRANGE(""https://"&amp;"docs.google.com/spreadsheets/d/12Q_U0nVnFdxDFwa0pej9xvx8ZvLC9Dpi_vRro_aiG5g/edit?usp=share_link"",""อ่างทอง!J360"")
"),318)</f>
        <v>318</v>
      </c>
      <c r="K360" s="38">
        <f t="shared" ca="1" si="189"/>
        <v>10.378590078328982</v>
      </c>
      <c r="L360" s="163"/>
      <c r="M360" s="163"/>
      <c r="N360" s="163"/>
      <c r="O360" s="163"/>
      <c r="P360" s="163"/>
    </row>
    <row r="361" spans="1:26" ht="20.25" customHeight="1">
      <c r="A361" s="170"/>
      <c r="B361" s="178"/>
      <c r="C361" s="171"/>
      <c r="D361" s="178"/>
      <c r="E361" s="178"/>
      <c r="F361" s="178"/>
      <c r="G361" s="179"/>
      <c r="H361" s="182" t="s">
        <v>46</v>
      </c>
      <c r="I361" s="269">
        <v>0</v>
      </c>
      <c r="J361" s="269">
        <f ca="1">IFERROR(__xludf.DUMMYFUNCTION("IMPORTRANGE(""https://docs.google.com/spreadsheets/d/1hKO5uv94SSRZWOvrh72HRcpyoEQF9TsE_Cvxl77XNU4/edit?usp=share_link"",""กาญจนบุรี!J361"")+IMPORTRANGE(""https://docs.google.com/spreadsheets/d/1njBaP_xXd-Uotvo2D9zb01TTCFkLJLDK97Tk1l9Qux0/edit?usp=share_li"&amp;"nk"",""จันทบุรี!J361"")+IMPORTRANGE(""https://docs.google.com/spreadsheets/d/14xp6qUzrGFnUk_qnc1eEmfiaNRd4_grkhpfQH_46fa8/edit?usp=share_link"",""ฉะเชิงเทรา!J361"")+IMPORTRANGE(""https://docs.google.com/spreadsheets/d/1_Zwps30dlVa-pZFsorjVf1Pil6WXwzCsJU0U"&amp;"2whO3NI/edit?usp=share_link"",""ชลบุรี!J361"")+IMPORTRANGE(""https://docs.google.com/spreadsheets/d/1xAsT4sUbBlom7l0acStESh_15nvjZcXjZM7fK5uZSq8/edit?usp=share_link"",""ชัยนาท!J361"")+IMPORTRANGE(""https://docs.google.com/spreadsheets/d/1vWPVBOAaZ6mHSI8yf"&amp;"95DNqHwTJ1cpeFsvqt6cxV34QA/edit?usp=share_link"",""ตราด!J361"")+IMPORTRANGE(""https://docs.google.com/spreadsheets/d/1phaeSb9lTGgzDpbvVqI9hfmOQQzUom07-HEvpbARzEg/edit?usp=share_link"",""นครนายก!J361"")+IMPORTRANGE(""https://docs.google.com/spreadsheets/d/"&amp;"1tpwhWwkqkBeiSWCcfB5f2fbwPRbM9hHOEDSDHpl2MIc/edit?usp=share_link"",""นครปฐม!J361"")+IMPORTRANGE(""https://docs.google.com/spreadsheets/d/1fJJCVBkBnhriyv0Cp5ZFMr0I_yrfdEITNpb4zILJgUQ/edit?usp=share_link"",""ปทุมธานี!J361"")+IMPORTRANGE(""https://docs.googl"&amp;"e.com/spreadsheets/d/1W5Jj_S0gYw6wSO7QcMI02YgyOBDKYgmm0NSUk-AQEac/edit?usp=share_link"",""ประจวบคีรีขันธ์!J361"")+IMPORTRANGE(""https://docs.google.com/spreadsheets/d/1nYxRXgnCfTXtqUY1otYuTlnrzE0Tn-Y0YRsW5pkRVqo/edit?usp=share_link"",""ปราจีนบุรี!J361"")+"&amp;"IMPORTRANGE(""https://docs.google.com/spreadsheets/d/1nNHCLO8ZAXOMfQvxux7cf_hrzPAh8FAvaHq_ClKbZNo/edit?usp=share_link"",""พระนครศรีอยุธยา!J361"")+IMPORTRANGE(""https://docs.google.com/spreadsheets/d/1CdNicvf3i6yt4tJlCePe3V1Va76wYqW0QzMzTsaGRrA/edit?usp=sh"&amp;"are_link"",""เพชรบุรี!J361"")+IMPORTRANGE(""https://docs.google.com/spreadsheets/d/1XiF77UIVHV0Kjc6xbXuOuJ10WgJYxd4p_22ngKVV5oM/edit?usp=share_link"",""ระยอง!J361"")+IMPORTRANGE(""https://docs.google.com/spreadsheets/d/1qU-W_9MCQD1pgIVXGEOjCFo9QqlmJywueby"&amp;"GgaN92r8/edit?usp=share_link"",""ราชบุรี!J361"")+IMPORTRANGE(""https://docs.google.com/spreadsheets/d/1xYFIxIM_CspAP5Q-5Zx_V0T_Ut3cjryrjd2hss28vGk/edit?usp=share_link"",""ลพบุรี!J361"")+IMPORTRANGE(""https://docs.google.com/spreadsheets/d/11s9m3tKsCBdPWq6"&amp;"syhZm27eBGbKneDLZc75co106bio/edit?usp=share_link"",""สระแก้ว!J361"")+IMPORTRANGE(""https://docs.google.com/spreadsheets/d/1Nn1EvsFPtXldgpgVb3Rcng2K2cls68LFQsBh2FyW0Bg/edit?usp=share_link"",""สระบุรี!J361"")+IMPORTRANGE(""https://docs.google.com/spreadshee"&amp;"ts/d/149xufxukrnEciK3WPbNpHwUK8BKEJxp3UcBG3Al6dA4/edit?usp=share_link"",""สิงห์บุรี!J361"")+IMPORTRANGE(""https://docs.google.com/spreadsheets/d/132g-zJpz2uMKimp17uOIx8A7o3w1Z25zwJyXnwsB56c/edit?usp=share_link"",""สุพรรณบุรี!J361"")+IMPORTRANGE(""https://"&amp;"docs.google.com/spreadsheets/d/12Q_U0nVnFdxDFwa0pej9xvx8ZvLC9Dpi_vRro_aiG5g/edit?usp=share_link"",""อ่างทอง!J361"")
"),4236.11)</f>
        <v>4236.1099999999997</v>
      </c>
      <c r="K361" s="38">
        <f t="shared" si="189"/>
        <v>0</v>
      </c>
      <c r="L361" s="163"/>
      <c r="M361" s="163"/>
      <c r="N361" s="163"/>
      <c r="O361" s="163"/>
      <c r="P361" s="163"/>
    </row>
    <row r="362" spans="1:26" ht="20.25" customHeight="1">
      <c r="A362" s="170"/>
      <c r="B362" s="178"/>
      <c r="C362" s="171"/>
      <c r="D362" s="178"/>
      <c r="E362" s="176" t="s">
        <v>163</v>
      </c>
      <c r="F362" s="178"/>
      <c r="G362" s="179"/>
      <c r="H362" s="182" t="s">
        <v>35</v>
      </c>
      <c r="I362" s="37">
        <f ca="1">IFERROR(__xludf.DUMMYFUNCTION("IMPORTRANGE(""https://docs.google.com/spreadsheets/d/1hKO5uv94SSRZWOvrh72HRcpyoEQF9TsE_Cvxl77XNU4/edit?usp=share_link"",""กาญจนบุรี!I362"")+IMPORTRANGE(""https://docs.google.com/spreadsheets/d/1njBaP_xXd-Uotvo2D9zb01TTCFkLJLDK97Tk1l9Qux0/edit?usp=share_li"&amp;"nk"",""จันทบุรี!I362"")+IMPORTRANGE(""https://docs.google.com/spreadsheets/d/14xp6qUzrGFnUk_qnc1eEmfiaNRd4_grkhpfQH_46fa8/edit?usp=share_link"",""ฉะเชิงเทรา!I362"")+IMPORTRANGE(""https://docs.google.com/spreadsheets/d/1_Zwps30dlVa-pZFsorjVf1Pil6WXwzCsJU0U"&amp;"2whO3NI/edit?usp=share_link"",""ชลบุรี!I362"")+IMPORTRANGE(""https://docs.google.com/spreadsheets/d/1xAsT4sUbBlom7l0acStESh_15nvjZcXjZM7fK5uZSq8/edit?usp=share_link"",""ชัยนาท!I362"")+IMPORTRANGE(""https://docs.google.com/spreadsheets/d/1vWPVBOAaZ6mHSI8yf"&amp;"95DNqHwTJ1cpeFsvqt6cxV34QA/edit?usp=share_link"",""ตราด!I362"")+IMPORTRANGE(""https://docs.google.com/spreadsheets/d/1phaeSb9lTGgzDpbvVqI9hfmOQQzUom07-HEvpbARzEg/edit?usp=share_link"",""นครนายก!I362"")+IMPORTRANGE(""https://docs.google.com/spreadsheets/d/"&amp;"1tpwhWwkqkBeiSWCcfB5f2fbwPRbM9hHOEDSDHpl2MIc/edit?usp=share_link"",""นครปฐม!I362"")+IMPORTRANGE(""https://docs.google.com/spreadsheets/d/1fJJCVBkBnhriyv0Cp5ZFMr0I_yrfdEITNpb4zILJgUQ/edit?usp=share_link"",""ปทุมธานี!I362"")+IMPORTRANGE(""https://docs.googl"&amp;"e.com/spreadsheets/d/1W5Jj_S0gYw6wSO7QcMI02YgyOBDKYgmm0NSUk-AQEac/edit?usp=share_link"",""ประจวบคีรีขันธ์!I362"")+IMPORTRANGE(""https://docs.google.com/spreadsheets/d/1nYxRXgnCfTXtqUY1otYuTlnrzE0Tn-Y0YRsW5pkRVqo/edit?usp=share_link"",""ปราจีนบุรี!I362"")+"&amp;"IMPORTRANGE(""https://docs.google.com/spreadsheets/d/1nNHCLO8ZAXOMfQvxux7cf_hrzPAh8FAvaHq_ClKbZNo/edit?usp=share_link"",""พระนครศรีอยุธยา!I362"")+IMPORTRANGE(""https://docs.google.com/spreadsheets/d/1CdNicvf3i6yt4tJlCePe3V1Va76wYqW0QzMzTsaGRrA/edit?usp=sh"&amp;"are_link"",""เพชรบุรี!I362"")+IMPORTRANGE(""https://docs.google.com/spreadsheets/d/1XiF77UIVHV0Kjc6xbXuOuJ10WgJYxd4p_22ngKVV5oM/edit?usp=share_link"",""ระยอง!I362"")+IMPORTRANGE(""https://docs.google.com/spreadsheets/d/1qU-W_9MCQD1pgIVXGEOjCFo9QqlmJywueby"&amp;"GgaN92r8/edit?usp=share_link"",""ราชบุรี!I362"")+IMPORTRANGE(""https://docs.google.com/spreadsheets/d/1xYFIxIM_CspAP5Q-5Zx_V0T_Ut3cjryrjd2hss28vGk/edit?usp=share_link"",""ลพบุรี!I362"")+IMPORTRANGE(""https://docs.google.com/spreadsheets/d/11s9m3tKsCBdPWq6"&amp;"syhZm27eBGbKneDLZc75co106bio/edit?usp=share_link"",""สระแก้ว!I362"")+IMPORTRANGE(""https://docs.google.com/spreadsheets/d/1Nn1EvsFPtXldgpgVb3Rcng2K2cls68LFQsBh2FyW0Bg/edit?usp=share_link"",""สระบุรี!I362"")+IMPORTRANGE(""https://docs.google.com/spreadshee"&amp;"ts/d/149xufxukrnEciK3WPbNpHwUK8BKEJxp3UcBG3Al6dA4/edit?usp=share_link"",""สิงห์บุรี!I362"")+IMPORTRANGE(""https://docs.google.com/spreadsheets/d/132g-zJpz2uMKimp17uOIx8A7o3w1Z25zwJyXnwsB56c/edit?usp=share_link"",""สุพรรณบุรี!I362"")+IMPORTRANGE(""https://"&amp;"docs.google.com/spreadsheets/d/12Q_U0nVnFdxDFwa0pej9xvx8ZvLC9Dpi_vRro_aiG5g/edit?usp=share_link"",""อ่างทอง!I362"")
"),3064)</f>
        <v>3064</v>
      </c>
      <c r="J362" s="269">
        <f ca="1">IFERROR(__xludf.DUMMYFUNCTION("IMPORTRANGE(""https://docs.google.com/spreadsheets/d/1hKO5uv94SSRZWOvrh72HRcpyoEQF9TsE_Cvxl77XNU4/edit?usp=share_link"",""กาญจนบุรี!J362"")+IMPORTRANGE(""https://docs.google.com/spreadsheets/d/1njBaP_xXd-Uotvo2D9zb01TTCFkLJLDK97Tk1l9Qux0/edit?usp=share_li"&amp;"nk"",""จันทบุรี!J362"")+IMPORTRANGE(""https://docs.google.com/spreadsheets/d/14xp6qUzrGFnUk_qnc1eEmfiaNRd4_grkhpfQH_46fa8/edit?usp=share_link"",""ฉะเชิงเทรา!J362"")+IMPORTRANGE(""https://docs.google.com/spreadsheets/d/1_Zwps30dlVa-pZFsorjVf1Pil6WXwzCsJU0U"&amp;"2whO3NI/edit?usp=share_link"",""ชลบุรี!J362"")+IMPORTRANGE(""https://docs.google.com/spreadsheets/d/1xAsT4sUbBlom7l0acStESh_15nvjZcXjZM7fK5uZSq8/edit?usp=share_link"",""ชัยนาท!J362"")+IMPORTRANGE(""https://docs.google.com/spreadsheets/d/1vWPVBOAaZ6mHSI8yf"&amp;"95DNqHwTJ1cpeFsvqt6cxV34QA/edit?usp=share_link"",""ตราด!J362"")+IMPORTRANGE(""https://docs.google.com/spreadsheets/d/1phaeSb9lTGgzDpbvVqI9hfmOQQzUom07-HEvpbARzEg/edit?usp=share_link"",""นครนายก!J362"")+IMPORTRANGE(""https://docs.google.com/spreadsheets/d/"&amp;"1tpwhWwkqkBeiSWCcfB5f2fbwPRbM9hHOEDSDHpl2MIc/edit?usp=share_link"",""นครปฐม!J362"")+IMPORTRANGE(""https://docs.google.com/spreadsheets/d/1fJJCVBkBnhriyv0Cp5ZFMr0I_yrfdEITNpb4zILJgUQ/edit?usp=share_link"",""ปทุมธานี!J362"")+IMPORTRANGE(""https://docs.googl"&amp;"e.com/spreadsheets/d/1W5Jj_S0gYw6wSO7QcMI02YgyOBDKYgmm0NSUk-AQEac/edit?usp=share_link"",""ประจวบคีรีขันธ์!J362"")+IMPORTRANGE(""https://docs.google.com/spreadsheets/d/1nYxRXgnCfTXtqUY1otYuTlnrzE0Tn-Y0YRsW5pkRVqo/edit?usp=share_link"",""ปราจีนบุรี!J362"")+"&amp;"IMPORTRANGE(""https://docs.google.com/spreadsheets/d/1nNHCLO8ZAXOMfQvxux7cf_hrzPAh8FAvaHq_ClKbZNo/edit?usp=share_link"",""พระนครศรีอยุธยา!J362"")+IMPORTRANGE(""https://docs.google.com/spreadsheets/d/1CdNicvf3i6yt4tJlCePe3V1Va76wYqW0QzMzTsaGRrA/edit?usp=sh"&amp;"are_link"",""เพชรบุรี!J362"")+IMPORTRANGE(""https://docs.google.com/spreadsheets/d/1XiF77UIVHV0Kjc6xbXuOuJ10WgJYxd4p_22ngKVV5oM/edit?usp=share_link"",""ระยอง!J362"")+IMPORTRANGE(""https://docs.google.com/spreadsheets/d/1qU-W_9MCQD1pgIVXGEOjCFo9QqlmJywueby"&amp;"GgaN92r8/edit?usp=share_link"",""ราชบุรี!J362"")+IMPORTRANGE(""https://docs.google.com/spreadsheets/d/1xYFIxIM_CspAP5Q-5Zx_V0T_Ut3cjryrjd2hss28vGk/edit?usp=share_link"",""ลพบุรี!J362"")+IMPORTRANGE(""https://docs.google.com/spreadsheets/d/11s9m3tKsCBdPWq6"&amp;"syhZm27eBGbKneDLZc75co106bio/edit?usp=share_link"",""สระแก้ว!J362"")+IMPORTRANGE(""https://docs.google.com/spreadsheets/d/1Nn1EvsFPtXldgpgVb3Rcng2K2cls68LFQsBh2FyW0Bg/edit?usp=share_link"",""สระบุรี!J362"")+IMPORTRANGE(""https://docs.google.com/spreadshee"&amp;"ts/d/149xufxukrnEciK3WPbNpHwUK8BKEJxp3UcBG3Al6dA4/edit?usp=share_link"",""สิงห์บุรี!J362"")+IMPORTRANGE(""https://docs.google.com/spreadsheets/d/132g-zJpz2uMKimp17uOIx8A7o3w1Z25zwJyXnwsB56c/edit?usp=share_link"",""สุพรรณบุรี!J362"")+IMPORTRANGE(""https://"&amp;"docs.google.com/spreadsheets/d/12Q_U0nVnFdxDFwa0pej9xvx8ZvLC9Dpi_vRro_aiG5g/edit?usp=share_link"",""อ่างทอง!J362"")
"),113)</f>
        <v>113</v>
      </c>
      <c r="K362" s="38">
        <f t="shared" ca="1" si="189"/>
        <v>3.6879895561357703</v>
      </c>
      <c r="L362" s="163"/>
      <c r="M362" s="163"/>
      <c r="N362" s="163"/>
      <c r="O362" s="163"/>
      <c r="P362" s="163"/>
    </row>
    <row r="363" spans="1:26" ht="20.25" customHeight="1">
      <c r="A363" s="469" t="s">
        <v>164</v>
      </c>
      <c r="B363" s="178"/>
      <c r="C363" s="171"/>
      <c r="D363" s="178"/>
      <c r="E363" s="177"/>
      <c r="F363" s="178"/>
      <c r="G363" s="179"/>
      <c r="H363" s="182" t="s">
        <v>46</v>
      </c>
      <c r="I363" s="269">
        <v>0</v>
      </c>
      <c r="J363" s="269">
        <f ca="1">IFERROR(__xludf.DUMMYFUNCTION("IMPORTRANGE(""https://docs.google.com/spreadsheets/d/1hKO5uv94SSRZWOvrh72HRcpyoEQF9TsE_Cvxl77XNU4/edit?usp=share_link"",""กาญจนบุรี!J363"")+IMPORTRANGE(""https://docs.google.com/spreadsheets/d/1njBaP_xXd-Uotvo2D9zb01TTCFkLJLDK97Tk1l9Qux0/edit?usp=share_li"&amp;"nk"",""จันทบุรี!J363"")+IMPORTRANGE(""https://docs.google.com/spreadsheets/d/14xp6qUzrGFnUk_qnc1eEmfiaNRd4_grkhpfQH_46fa8/edit?usp=share_link"",""ฉะเชิงเทรา!J363"")+IMPORTRANGE(""https://docs.google.com/spreadsheets/d/1_Zwps30dlVa-pZFsorjVf1Pil6WXwzCsJU0U"&amp;"2whO3NI/edit?usp=share_link"",""ชลบุรี!J363"")+IMPORTRANGE(""https://docs.google.com/spreadsheets/d/1xAsT4sUbBlom7l0acStESh_15nvjZcXjZM7fK5uZSq8/edit?usp=share_link"",""ชัยนาท!J363"")+IMPORTRANGE(""https://docs.google.com/spreadsheets/d/1vWPVBOAaZ6mHSI8yf"&amp;"95DNqHwTJ1cpeFsvqt6cxV34QA/edit?usp=share_link"",""ตราด!J363"")+IMPORTRANGE(""https://docs.google.com/spreadsheets/d/1phaeSb9lTGgzDpbvVqI9hfmOQQzUom07-HEvpbARzEg/edit?usp=share_link"",""นครนายก!J363"")+IMPORTRANGE(""https://docs.google.com/spreadsheets/d/"&amp;"1tpwhWwkqkBeiSWCcfB5f2fbwPRbM9hHOEDSDHpl2MIc/edit?usp=share_link"",""นครปฐม!J363"")+IMPORTRANGE(""https://docs.google.com/spreadsheets/d/1fJJCVBkBnhriyv0Cp5ZFMr0I_yrfdEITNpb4zILJgUQ/edit?usp=share_link"",""ปทุมธานี!J363"")+IMPORTRANGE(""https://docs.googl"&amp;"e.com/spreadsheets/d/1W5Jj_S0gYw6wSO7QcMI02YgyOBDKYgmm0NSUk-AQEac/edit?usp=share_link"",""ประจวบคีรีขันธ์!J363"")+IMPORTRANGE(""https://docs.google.com/spreadsheets/d/1nYxRXgnCfTXtqUY1otYuTlnrzE0Tn-Y0YRsW5pkRVqo/edit?usp=share_link"",""ปราจีนบุรี!J363"")+"&amp;"IMPORTRANGE(""https://docs.google.com/spreadsheets/d/1nNHCLO8ZAXOMfQvxux7cf_hrzPAh8FAvaHq_ClKbZNo/edit?usp=share_link"",""พระนครศรีอยุธยา!J363"")+IMPORTRANGE(""https://docs.google.com/spreadsheets/d/1CdNicvf3i6yt4tJlCePe3V1Va76wYqW0QzMzTsaGRrA/edit?usp=sh"&amp;"are_link"",""เพชรบุรี!J363"")+IMPORTRANGE(""https://docs.google.com/spreadsheets/d/1XiF77UIVHV0Kjc6xbXuOuJ10WgJYxd4p_22ngKVV5oM/edit?usp=share_link"",""ระยอง!J363"")+IMPORTRANGE(""https://docs.google.com/spreadsheets/d/1qU-W_9MCQD1pgIVXGEOjCFo9QqlmJywueby"&amp;"GgaN92r8/edit?usp=share_link"",""ราชบุรี!J363"")+IMPORTRANGE(""https://docs.google.com/spreadsheets/d/1xYFIxIM_CspAP5Q-5Zx_V0T_Ut3cjryrjd2hss28vGk/edit?usp=share_link"",""ลพบุรี!J363"")+IMPORTRANGE(""https://docs.google.com/spreadsheets/d/11s9m3tKsCBdPWq6"&amp;"syhZm27eBGbKneDLZc75co106bio/edit?usp=share_link"",""สระแก้ว!J363"")+IMPORTRANGE(""https://docs.google.com/spreadsheets/d/1Nn1EvsFPtXldgpgVb3Rcng2K2cls68LFQsBh2FyW0Bg/edit?usp=share_link"",""สระบุรี!J363"")+IMPORTRANGE(""https://docs.google.com/spreadshee"&amp;"ts/d/149xufxukrnEciK3WPbNpHwUK8BKEJxp3UcBG3Al6dA4/edit?usp=share_link"",""สิงห์บุรี!J363"")+IMPORTRANGE(""https://docs.google.com/spreadsheets/d/132g-zJpz2uMKimp17uOIx8A7o3w1Z25zwJyXnwsB56c/edit?usp=share_link"",""สุพรรณบุรี!J363"")+IMPORTRANGE(""https://"&amp;"docs.google.com/spreadsheets/d/12Q_U0nVnFdxDFwa0pej9xvx8ZvLC9Dpi_vRro_aiG5g/edit?usp=share_link"",""อ่างทอง!J363"")
"),1414.32)</f>
        <v>1414.32</v>
      </c>
      <c r="K363" s="38">
        <f t="shared" si="189"/>
        <v>0</v>
      </c>
      <c r="L363" s="163"/>
      <c r="M363" s="163"/>
      <c r="N363" s="163"/>
      <c r="O363" s="163"/>
      <c r="P363" s="163"/>
    </row>
    <row r="364" spans="1:26" ht="20.25" customHeight="1">
      <c r="A364" s="470"/>
      <c r="B364" s="471"/>
      <c r="C364" s="472"/>
      <c r="D364" s="473" t="s">
        <v>165</v>
      </c>
      <c r="E364" s="474"/>
      <c r="F364" s="474"/>
      <c r="G364" s="475"/>
      <c r="H364" s="476" t="s">
        <v>35</v>
      </c>
      <c r="I364" s="477">
        <f t="shared" ref="I364:J364" ca="1" si="190">I365+I374</f>
        <v>4919</v>
      </c>
      <c r="J364" s="477">
        <f t="shared" ca="1" si="190"/>
        <v>510</v>
      </c>
      <c r="K364" s="478">
        <f t="shared" ca="1" si="189"/>
        <v>10.367960967676357</v>
      </c>
      <c r="L364" s="479"/>
      <c r="M364" s="479"/>
      <c r="N364" s="479"/>
      <c r="O364" s="479"/>
      <c r="P364" s="479"/>
      <c r="Q364" s="480"/>
      <c r="R364" s="480"/>
      <c r="S364" s="480"/>
      <c r="T364" s="480"/>
      <c r="U364" s="480"/>
      <c r="V364" s="480"/>
      <c r="W364" s="480"/>
      <c r="X364" s="480"/>
      <c r="Y364" s="480"/>
      <c r="Z364" s="480"/>
    </row>
    <row r="365" spans="1:26" ht="20.25" customHeight="1">
      <c r="A365" s="481"/>
      <c r="B365" s="482"/>
      <c r="C365" s="483"/>
      <c r="D365" s="484" t="s">
        <v>166</v>
      </c>
      <c r="E365" s="485"/>
      <c r="F365" s="485"/>
      <c r="G365" s="486"/>
      <c r="H365" s="487" t="s">
        <v>35</v>
      </c>
      <c r="I365" s="488">
        <f ca="1">IFERROR(__xludf.DUMMYFUNCTION("IMPORTRANGE(""https://docs.google.com/spreadsheets/d/1hKO5uv94SSRZWOvrh72HRcpyoEQF9TsE_Cvxl77XNU4/edit?usp=share_link"",""กาญจนบุรี!I365"")+IMPORTRANGE(""https://docs.google.com/spreadsheets/d/1njBaP_xXd-Uotvo2D9zb01TTCFkLJLDK97Tk1l9Qux0/edit?usp=share_li"&amp;"nk"",""จันทบุรี!I365"")+IMPORTRANGE(""https://docs.google.com/spreadsheets/d/14xp6qUzrGFnUk_qnc1eEmfiaNRd4_grkhpfQH_46fa8/edit?usp=share_link"",""ฉะเชิงเทรา!I365"")+IMPORTRANGE(""https://docs.google.com/spreadsheets/d/1_Zwps30dlVa-pZFsorjVf1Pil6WXwzCsJU0U"&amp;"2whO3NI/edit?usp=share_link"",""ชลบุรี!I365"")+IMPORTRANGE(""https://docs.google.com/spreadsheets/d/1xAsT4sUbBlom7l0acStESh_15nvjZcXjZM7fK5uZSq8/edit?usp=share_link"",""ชัยนาท!I365"")+IMPORTRANGE(""https://docs.google.com/spreadsheets/d/1vWPVBOAaZ6mHSI8yf"&amp;"95DNqHwTJ1cpeFsvqt6cxV34QA/edit?usp=share_link"",""ตราด!I365"")+IMPORTRANGE(""https://docs.google.com/spreadsheets/d/1phaeSb9lTGgzDpbvVqI9hfmOQQzUom07-HEvpbARzEg/edit?usp=share_link"",""นครนายก!I365"")+IMPORTRANGE(""https://docs.google.com/spreadsheets/d/"&amp;"1tpwhWwkqkBeiSWCcfB5f2fbwPRbM9hHOEDSDHpl2MIc/edit?usp=share_link"",""นครปฐม!I365"")+IMPORTRANGE(""https://docs.google.com/spreadsheets/d/1fJJCVBkBnhriyv0Cp5ZFMr0I_yrfdEITNpb4zILJgUQ/edit?usp=share_link"",""ปทุมธานี!I365"")+IMPORTRANGE(""https://docs.googl"&amp;"e.com/spreadsheets/d/1W5Jj_S0gYw6wSO7QcMI02YgyOBDKYgmm0NSUk-AQEac/edit?usp=share_link"",""ประจวบคีรีขันธ์!I365"")+IMPORTRANGE(""https://docs.google.com/spreadsheets/d/1nYxRXgnCfTXtqUY1otYuTlnrzE0Tn-Y0YRsW5pkRVqo/edit?usp=share_link"",""ปราจีนบุรี!I365"")+"&amp;"IMPORTRANGE(""https://docs.google.com/spreadsheets/d/1nNHCLO8ZAXOMfQvxux7cf_hrzPAh8FAvaHq_ClKbZNo/edit?usp=share_link"",""พระนครศรีอยุธยา!I365"")+IMPORTRANGE(""https://docs.google.com/spreadsheets/d/1CdNicvf3i6yt4tJlCePe3V1Va76wYqW0QzMzTsaGRrA/edit?usp=sh"&amp;"are_link"",""เพชรบุรี!I365"")+IMPORTRANGE(""https://docs.google.com/spreadsheets/d/1XiF77UIVHV0Kjc6xbXuOuJ10WgJYxd4p_22ngKVV5oM/edit?usp=share_link"",""ระยอง!I365"")+IMPORTRANGE(""https://docs.google.com/spreadsheets/d/1qU-W_9MCQD1pgIVXGEOjCFo9QqlmJywueby"&amp;"GgaN92r8/edit?usp=share_link"",""ราชบุรี!I365"")+IMPORTRANGE(""https://docs.google.com/spreadsheets/d/1xYFIxIM_CspAP5Q-5Zx_V0T_Ut3cjryrjd2hss28vGk/edit?usp=share_link"",""ลพบุรี!I365"")+IMPORTRANGE(""https://docs.google.com/spreadsheets/d/11s9m3tKsCBdPWq6"&amp;"syhZm27eBGbKneDLZc75co106bio/edit?usp=share_link"",""สระแก้ว!I365"")+IMPORTRANGE(""https://docs.google.com/spreadsheets/d/1Nn1EvsFPtXldgpgVb3Rcng2K2cls68LFQsBh2FyW0Bg/edit?usp=share_link"",""สระบุรี!I365"")+IMPORTRANGE(""https://docs.google.com/spreadshee"&amp;"ts/d/149xufxukrnEciK3WPbNpHwUK8BKEJxp3UcBG3Al6dA4/edit?usp=share_link"",""สิงห์บุรี!I365"")+IMPORTRANGE(""https://docs.google.com/spreadsheets/d/132g-zJpz2uMKimp17uOIx8A7o3w1Z25zwJyXnwsB56c/edit?usp=share_link"",""สุพรรณบุรี!I365"")+IMPORTRANGE(""https://"&amp;"docs.google.com/spreadsheets/d/12Q_U0nVnFdxDFwa0pej9xvx8ZvLC9Dpi_vRro_aiG5g/edit?usp=share_link"",""อ่างทอง!I365"")
"),1167)</f>
        <v>1167</v>
      </c>
      <c r="J365" s="489">
        <f ca="1">J372</f>
        <v>63</v>
      </c>
      <c r="K365" s="490">
        <f t="shared" ca="1" si="189"/>
        <v>5.3984575835475574</v>
      </c>
      <c r="L365" s="491"/>
      <c r="M365" s="491"/>
      <c r="N365" s="491"/>
      <c r="O365" s="491"/>
      <c r="P365" s="491"/>
      <c r="Q365" s="480"/>
      <c r="R365" s="480"/>
      <c r="S365" s="480"/>
      <c r="T365" s="480"/>
      <c r="U365" s="480"/>
      <c r="V365" s="480"/>
      <c r="W365" s="480"/>
      <c r="X365" s="480"/>
      <c r="Y365" s="480"/>
      <c r="Z365" s="480"/>
    </row>
    <row r="366" spans="1:26" ht="20.25" customHeight="1">
      <c r="A366" s="481"/>
      <c r="B366" s="482"/>
      <c r="C366" s="483"/>
      <c r="D366" s="492" t="s">
        <v>167</v>
      </c>
      <c r="E366" s="485"/>
      <c r="F366" s="485"/>
      <c r="G366" s="486"/>
      <c r="H366" s="493"/>
      <c r="I366" s="494"/>
      <c r="J366" s="494"/>
      <c r="K366" s="491"/>
      <c r="L366" s="491"/>
      <c r="M366" s="491"/>
      <c r="N366" s="491"/>
      <c r="O366" s="491"/>
      <c r="P366" s="491"/>
      <c r="Q366" s="480"/>
      <c r="R366" s="480"/>
      <c r="S366" s="480"/>
      <c r="T366" s="480"/>
      <c r="U366" s="480"/>
      <c r="V366" s="480"/>
      <c r="W366" s="480"/>
      <c r="X366" s="480"/>
      <c r="Y366" s="480"/>
      <c r="Z366" s="480"/>
    </row>
    <row r="367" spans="1:26" ht="20.25" customHeight="1">
      <c r="A367" s="170"/>
      <c r="B367" s="171"/>
      <c r="C367" s="164" t="s">
        <v>16</v>
      </c>
      <c r="D367" s="172" t="s">
        <v>38</v>
      </c>
      <c r="E367" s="173"/>
      <c r="F367" s="173"/>
      <c r="G367" s="174"/>
      <c r="H367" s="175"/>
      <c r="I367" s="37"/>
      <c r="J367" s="37"/>
      <c r="K367" s="38"/>
      <c r="L367" s="163"/>
      <c r="M367" s="163"/>
      <c r="N367" s="163"/>
      <c r="O367" s="163"/>
      <c r="P367" s="163"/>
    </row>
    <row r="368" spans="1:26" ht="20.25" customHeight="1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69">
        <v>0</v>
      </c>
      <c r="J368" s="269">
        <f ca="1">IFERROR(__xludf.DUMMYFUNCTION("IMPORTRANGE(""https://docs.google.com/spreadsheets/d/1hKO5uv94SSRZWOvrh72HRcpyoEQF9TsE_Cvxl77XNU4/edit?usp=share_link"",""กาญจนบุรี!J368"")+IMPORTRANGE(""https://docs.google.com/spreadsheets/d/1njBaP_xXd-Uotvo2D9zb01TTCFkLJLDK97Tk1l9Qux0/edit?usp=share_li"&amp;"nk"",""จันทบุรี!J368"")+IMPORTRANGE(""https://docs.google.com/spreadsheets/d/14xp6qUzrGFnUk_qnc1eEmfiaNRd4_grkhpfQH_46fa8/edit?usp=share_link"",""ฉะเชิงเทรา!J368"")+IMPORTRANGE(""https://docs.google.com/spreadsheets/d/1_Zwps30dlVa-pZFsorjVf1Pil6WXwzCsJU0U"&amp;"2whO3NI/edit?usp=share_link"",""ชลบุรี!J368"")+IMPORTRANGE(""https://docs.google.com/spreadsheets/d/1xAsT4sUbBlom7l0acStESh_15nvjZcXjZM7fK5uZSq8/edit?usp=share_link"",""ชัยนาท!J368"")+IMPORTRANGE(""https://docs.google.com/spreadsheets/d/1vWPVBOAaZ6mHSI8yf"&amp;"95DNqHwTJ1cpeFsvqt6cxV34QA/edit?usp=share_link"",""ตราด!J368"")+IMPORTRANGE(""https://docs.google.com/spreadsheets/d/1phaeSb9lTGgzDpbvVqI9hfmOQQzUom07-HEvpbARzEg/edit?usp=share_link"",""นครนายก!J368"")+IMPORTRANGE(""https://docs.google.com/spreadsheets/d/"&amp;"1tpwhWwkqkBeiSWCcfB5f2fbwPRbM9hHOEDSDHpl2MIc/edit?usp=share_link"",""นครปฐม!J368"")+IMPORTRANGE(""https://docs.google.com/spreadsheets/d/1fJJCVBkBnhriyv0Cp5ZFMr0I_yrfdEITNpb4zILJgUQ/edit?usp=share_link"",""ปทุมธานี!J368"")+IMPORTRANGE(""https://docs.googl"&amp;"e.com/spreadsheets/d/1W5Jj_S0gYw6wSO7QcMI02YgyOBDKYgmm0NSUk-AQEac/edit?usp=share_link"",""ประจวบคีรีขันธ์!J368"")+IMPORTRANGE(""https://docs.google.com/spreadsheets/d/1nYxRXgnCfTXtqUY1otYuTlnrzE0Tn-Y0YRsW5pkRVqo/edit?usp=share_link"",""ปราจีนบุรี!J368"")+"&amp;"IMPORTRANGE(""https://docs.google.com/spreadsheets/d/1nNHCLO8ZAXOMfQvxux7cf_hrzPAh8FAvaHq_ClKbZNo/edit?usp=share_link"",""พระนครศรีอยุธยา!J368"")+IMPORTRANGE(""https://docs.google.com/spreadsheets/d/1CdNicvf3i6yt4tJlCePe3V1Va76wYqW0QzMzTsaGRrA/edit?usp=sh"&amp;"are_link"",""เพชรบุรี!J368"")+IMPORTRANGE(""https://docs.google.com/spreadsheets/d/1XiF77UIVHV0Kjc6xbXuOuJ10WgJYxd4p_22ngKVV5oM/edit?usp=share_link"",""ระยอง!J368"")+IMPORTRANGE(""https://docs.google.com/spreadsheets/d/1qU-W_9MCQD1pgIVXGEOjCFo9QqlmJywueby"&amp;"GgaN92r8/edit?usp=share_link"",""ราชบุรี!J368"")+IMPORTRANGE(""https://docs.google.com/spreadsheets/d/1xYFIxIM_CspAP5Q-5Zx_V0T_Ut3cjryrjd2hss28vGk/edit?usp=share_link"",""ลพบุรี!J368"")+IMPORTRANGE(""https://docs.google.com/spreadsheets/d/11s9m3tKsCBdPWq6"&amp;"syhZm27eBGbKneDLZc75co106bio/edit?usp=share_link"",""สระแก้ว!J368"")+IMPORTRANGE(""https://docs.google.com/spreadsheets/d/1Nn1EvsFPtXldgpgVb3Rcng2K2cls68LFQsBh2FyW0Bg/edit?usp=share_link"",""สระบุรี!J368"")+IMPORTRANGE(""https://docs.google.com/spreadshee"&amp;"ts/d/149xufxukrnEciK3WPbNpHwUK8BKEJxp3UcBG3Al6dA4/edit?usp=share_link"",""สิงห์บุรี!J368"")+IMPORTRANGE(""https://docs.google.com/spreadsheets/d/132g-zJpz2uMKimp17uOIx8A7o3w1Z25zwJyXnwsB56c/edit?usp=share_link"",""สุพรรณบุรี!J368"")+IMPORTRANGE(""https://"&amp;"docs.google.com/spreadsheets/d/12Q_U0nVnFdxDFwa0pej9xvx8ZvLC9Dpi_vRro_aiG5g/edit?usp=share_link"",""อ่างทอง!J368"")
"),330)</f>
        <v>330</v>
      </c>
      <c r="K368" s="38">
        <f t="shared" ref="K368:K374" si="191">IF(I368&gt;0,J368*100/I368,0)</f>
        <v>0</v>
      </c>
      <c r="L368" s="163"/>
      <c r="M368" s="163"/>
      <c r="N368" s="163"/>
      <c r="O368" s="163"/>
      <c r="P368" s="163"/>
    </row>
    <row r="369" spans="1:26" ht="20.25" customHeight="1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37">
        <f ca="1">IFERROR(__xludf.DUMMYFUNCTION("IMPORTRANGE(""https://docs.google.com/spreadsheets/d/1hKO5uv94SSRZWOvrh72HRcpyoEQF9TsE_Cvxl77XNU4/edit?usp=share_link"",""กาญจนบุรี!I369"")+IMPORTRANGE(""https://docs.google.com/spreadsheets/d/1njBaP_xXd-Uotvo2D9zb01TTCFkLJLDK97Tk1l9Qux0/edit?usp=share_li"&amp;"nk"",""จันทบุรี!I369"")+IMPORTRANGE(""https://docs.google.com/spreadsheets/d/14xp6qUzrGFnUk_qnc1eEmfiaNRd4_grkhpfQH_46fa8/edit?usp=share_link"",""ฉะเชิงเทรา!I369"")+IMPORTRANGE(""https://docs.google.com/spreadsheets/d/1_Zwps30dlVa-pZFsorjVf1Pil6WXwzCsJU0U"&amp;"2whO3NI/edit?usp=share_link"",""ชลบุรี!I369"")+IMPORTRANGE(""https://docs.google.com/spreadsheets/d/1xAsT4sUbBlom7l0acStESh_15nvjZcXjZM7fK5uZSq8/edit?usp=share_link"",""ชัยนาท!I369"")+IMPORTRANGE(""https://docs.google.com/spreadsheets/d/1vWPVBOAaZ6mHSI8yf"&amp;"95DNqHwTJ1cpeFsvqt6cxV34QA/edit?usp=share_link"",""ตราด!I369"")+IMPORTRANGE(""https://docs.google.com/spreadsheets/d/1phaeSb9lTGgzDpbvVqI9hfmOQQzUom07-HEvpbARzEg/edit?usp=share_link"",""นครนายก!I369"")+IMPORTRANGE(""https://docs.google.com/spreadsheets/d/"&amp;"1tpwhWwkqkBeiSWCcfB5f2fbwPRbM9hHOEDSDHpl2MIc/edit?usp=share_link"",""นครปฐม!I369"")+IMPORTRANGE(""https://docs.google.com/spreadsheets/d/1fJJCVBkBnhriyv0Cp5ZFMr0I_yrfdEITNpb4zILJgUQ/edit?usp=share_link"",""ปทุมธานี!I369"")+IMPORTRANGE(""https://docs.googl"&amp;"e.com/spreadsheets/d/1W5Jj_S0gYw6wSO7QcMI02YgyOBDKYgmm0NSUk-AQEac/edit?usp=share_link"",""ประจวบคีรีขันธ์!I369"")+IMPORTRANGE(""https://docs.google.com/spreadsheets/d/1nYxRXgnCfTXtqUY1otYuTlnrzE0Tn-Y0YRsW5pkRVqo/edit?usp=share_link"",""ปราจีนบุรี!I369"")+"&amp;"IMPORTRANGE(""https://docs.google.com/spreadsheets/d/1nNHCLO8ZAXOMfQvxux7cf_hrzPAh8FAvaHq_ClKbZNo/edit?usp=share_link"",""พระนครศรีอยุธยา!I369"")+IMPORTRANGE(""https://docs.google.com/spreadsheets/d/1CdNicvf3i6yt4tJlCePe3V1Va76wYqW0QzMzTsaGRrA/edit?usp=sh"&amp;"are_link"",""เพชรบุรี!I369"")+IMPORTRANGE(""https://docs.google.com/spreadsheets/d/1XiF77UIVHV0Kjc6xbXuOuJ10WgJYxd4p_22ngKVV5oM/edit?usp=share_link"",""ระยอง!I369"")+IMPORTRANGE(""https://docs.google.com/spreadsheets/d/1qU-W_9MCQD1pgIVXGEOjCFo9QqlmJywueby"&amp;"GgaN92r8/edit?usp=share_link"",""ราชบุรี!I369"")+IMPORTRANGE(""https://docs.google.com/spreadsheets/d/1xYFIxIM_CspAP5Q-5Zx_V0T_Ut3cjryrjd2hss28vGk/edit?usp=share_link"",""ลพบุรี!I369"")+IMPORTRANGE(""https://docs.google.com/spreadsheets/d/11s9m3tKsCBdPWq6"&amp;"syhZm27eBGbKneDLZc75co106bio/edit?usp=share_link"",""สระแก้ว!I369"")+IMPORTRANGE(""https://docs.google.com/spreadsheets/d/1Nn1EvsFPtXldgpgVb3Rcng2K2cls68LFQsBh2FyW0Bg/edit?usp=share_link"",""สระบุรี!I369"")+IMPORTRANGE(""https://docs.google.com/spreadshee"&amp;"ts/d/149xufxukrnEciK3WPbNpHwUK8BKEJxp3UcBG3Al6dA4/edit?usp=share_link"",""สิงห์บุรี!I369"")+IMPORTRANGE(""https://docs.google.com/spreadsheets/d/132g-zJpz2uMKimp17uOIx8A7o3w1Z25zwJyXnwsB56c/edit?usp=share_link"",""สุพรรณบุรี!I369"")+IMPORTRANGE(""https://"&amp;"docs.google.com/spreadsheets/d/12Q_U0nVnFdxDFwa0pej9xvx8ZvLC9Dpi_vRro_aiG5g/edit?usp=share_link"",""อ่างทอง!I369"")
"),14670)</f>
        <v>14670</v>
      </c>
      <c r="J369" s="269">
        <f ca="1">IFERROR(__xludf.DUMMYFUNCTION("IMPORTRANGE(""https://docs.google.com/spreadsheets/d/1hKO5uv94SSRZWOvrh72HRcpyoEQF9TsE_Cvxl77XNU4/edit?usp=share_link"",""กาญจนบุรี!J369"")+IMPORTRANGE(""https://docs.google.com/spreadsheets/d/1njBaP_xXd-Uotvo2D9zb01TTCFkLJLDK97Tk1l9Qux0/edit?usp=share_li"&amp;"nk"",""จันทบุรี!J369"")+IMPORTRANGE(""https://docs.google.com/spreadsheets/d/14xp6qUzrGFnUk_qnc1eEmfiaNRd4_grkhpfQH_46fa8/edit?usp=share_link"",""ฉะเชิงเทรา!J369"")+IMPORTRANGE(""https://docs.google.com/spreadsheets/d/1_Zwps30dlVa-pZFsorjVf1Pil6WXwzCsJU0U"&amp;"2whO3NI/edit?usp=share_link"",""ชลบุรี!J369"")+IMPORTRANGE(""https://docs.google.com/spreadsheets/d/1xAsT4sUbBlom7l0acStESh_15nvjZcXjZM7fK5uZSq8/edit?usp=share_link"",""ชัยนาท!J369"")+IMPORTRANGE(""https://docs.google.com/spreadsheets/d/1vWPVBOAaZ6mHSI8yf"&amp;"95DNqHwTJ1cpeFsvqt6cxV34QA/edit?usp=share_link"",""ตราด!J369"")+IMPORTRANGE(""https://docs.google.com/spreadsheets/d/1phaeSb9lTGgzDpbvVqI9hfmOQQzUom07-HEvpbARzEg/edit?usp=share_link"",""นครนายก!J369"")+IMPORTRANGE(""https://docs.google.com/spreadsheets/d/"&amp;"1tpwhWwkqkBeiSWCcfB5f2fbwPRbM9hHOEDSDHpl2MIc/edit?usp=share_link"",""นครปฐม!J369"")+IMPORTRANGE(""https://docs.google.com/spreadsheets/d/1fJJCVBkBnhriyv0Cp5ZFMr0I_yrfdEITNpb4zILJgUQ/edit?usp=share_link"",""ปทุมธานี!J369"")+IMPORTRANGE(""https://docs.googl"&amp;"e.com/spreadsheets/d/1W5Jj_S0gYw6wSO7QcMI02YgyOBDKYgmm0NSUk-AQEac/edit?usp=share_link"",""ประจวบคีรีขันธ์!J369"")+IMPORTRANGE(""https://docs.google.com/spreadsheets/d/1nYxRXgnCfTXtqUY1otYuTlnrzE0Tn-Y0YRsW5pkRVqo/edit?usp=share_link"",""ปราจีนบุรี!J369"")+"&amp;"IMPORTRANGE(""https://docs.google.com/spreadsheets/d/1nNHCLO8ZAXOMfQvxux7cf_hrzPAh8FAvaHq_ClKbZNo/edit?usp=share_link"",""พระนครศรีอยุธยา!J369"")+IMPORTRANGE(""https://docs.google.com/spreadsheets/d/1CdNicvf3i6yt4tJlCePe3V1Va76wYqW0QzMzTsaGRrA/edit?usp=sh"&amp;"are_link"",""เพชรบุรี!J369"")+IMPORTRANGE(""https://docs.google.com/spreadsheets/d/1XiF77UIVHV0Kjc6xbXuOuJ10WgJYxd4p_22ngKVV5oM/edit?usp=share_link"",""ระยอง!J369"")+IMPORTRANGE(""https://docs.google.com/spreadsheets/d/1qU-W_9MCQD1pgIVXGEOjCFo9QqlmJywueby"&amp;"GgaN92r8/edit?usp=share_link"",""ราชบุรี!J369"")+IMPORTRANGE(""https://docs.google.com/spreadsheets/d/1xYFIxIM_CspAP5Q-5Zx_V0T_Ut3cjryrjd2hss28vGk/edit?usp=share_link"",""ลพบุรี!J369"")+IMPORTRANGE(""https://docs.google.com/spreadsheets/d/11s9m3tKsCBdPWq6"&amp;"syhZm27eBGbKneDLZc75co106bio/edit?usp=share_link"",""สระแก้ว!J369"")+IMPORTRANGE(""https://docs.google.com/spreadsheets/d/1Nn1EvsFPtXldgpgVb3Rcng2K2cls68LFQsBh2FyW0Bg/edit?usp=share_link"",""สระบุรี!J369"")+IMPORTRANGE(""https://docs.google.com/spreadshee"&amp;"ts/d/149xufxukrnEciK3WPbNpHwUK8BKEJxp3UcBG3Al6dA4/edit?usp=share_link"",""สิงห์บุรี!J369"")+IMPORTRANGE(""https://docs.google.com/spreadsheets/d/132g-zJpz2uMKimp17uOIx8A7o3w1Z25zwJyXnwsB56c/edit?usp=share_link"",""สุพรรณบุรี!J369"")+IMPORTRANGE(""https://"&amp;"docs.google.com/spreadsheets/d/12Q_U0nVnFdxDFwa0pej9xvx8ZvLC9Dpi_vRro_aiG5g/edit?usp=share_link"",""อ่างทอง!J369"")
"),3110.23)</f>
        <v>3110.23</v>
      </c>
      <c r="K369" s="38">
        <f t="shared" ca="1" si="191"/>
        <v>21.201295160190867</v>
      </c>
      <c r="L369" s="163"/>
      <c r="M369" s="163"/>
      <c r="N369" s="163"/>
      <c r="O369" s="163"/>
      <c r="P369" s="163"/>
    </row>
    <row r="370" spans="1:26" ht="20.25" customHeight="1">
      <c r="A370" s="170"/>
      <c r="B370" s="178"/>
      <c r="C370" s="171"/>
      <c r="D370" s="178"/>
      <c r="E370" s="176" t="s">
        <v>162</v>
      </c>
      <c r="F370" s="178"/>
      <c r="G370" s="179"/>
      <c r="H370" s="182" t="s">
        <v>35</v>
      </c>
      <c r="I370" s="37">
        <f ca="1">IFERROR(__xludf.DUMMYFUNCTION("IMPORTRANGE(""https://docs.google.com/spreadsheets/d/1hKO5uv94SSRZWOvrh72HRcpyoEQF9TsE_Cvxl77XNU4/edit?usp=share_link"",""กาญจนบุรี!I370"")+IMPORTRANGE(""https://docs.google.com/spreadsheets/d/1njBaP_xXd-Uotvo2D9zb01TTCFkLJLDK97Tk1l9Qux0/edit?usp=share_li"&amp;"nk"",""จันทบุรี!I370"")+IMPORTRANGE(""https://docs.google.com/spreadsheets/d/14xp6qUzrGFnUk_qnc1eEmfiaNRd4_grkhpfQH_46fa8/edit?usp=share_link"",""ฉะเชิงเทรา!I370"")+IMPORTRANGE(""https://docs.google.com/spreadsheets/d/1_Zwps30dlVa-pZFsorjVf1Pil6WXwzCsJU0U"&amp;"2whO3NI/edit?usp=share_link"",""ชลบุรี!I370"")+IMPORTRANGE(""https://docs.google.com/spreadsheets/d/1xAsT4sUbBlom7l0acStESh_15nvjZcXjZM7fK5uZSq8/edit?usp=share_link"",""ชัยนาท!I370"")+IMPORTRANGE(""https://docs.google.com/spreadsheets/d/1vWPVBOAaZ6mHSI8yf"&amp;"95DNqHwTJ1cpeFsvqt6cxV34QA/edit?usp=share_link"",""ตราด!I370"")+IMPORTRANGE(""https://docs.google.com/spreadsheets/d/1phaeSb9lTGgzDpbvVqI9hfmOQQzUom07-HEvpbARzEg/edit?usp=share_link"",""นครนายก!I370"")+IMPORTRANGE(""https://docs.google.com/spreadsheets/d/"&amp;"1tpwhWwkqkBeiSWCcfB5f2fbwPRbM9hHOEDSDHpl2MIc/edit?usp=share_link"",""นครปฐม!I370"")+IMPORTRANGE(""https://docs.google.com/spreadsheets/d/1fJJCVBkBnhriyv0Cp5ZFMr0I_yrfdEITNpb4zILJgUQ/edit?usp=share_link"",""ปทุมธานี!I370"")+IMPORTRANGE(""https://docs.googl"&amp;"e.com/spreadsheets/d/1W5Jj_S0gYw6wSO7QcMI02YgyOBDKYgmm0NSUk-AQEac/edit?usp=share_link"",""ประจวบคีรีขันธ์!I370"")+IMPORTRANGE(""https://docs.google.com/spreadsheets/d/1nYxRXgnCfTXtqUY1otYuTlnrzE0Tn-Y0YRsW5pkRVqo/edit?usp=share_link"",""ปราจีนบุรี!I370"")+"&amp;"IMPORTRANGE(""https://docs.google.com/spreadsheets/d/1nNHCLO8ZAXOMfQvxux7cf_hrzPAh8FAvaHq_ClKbZNo/edit?usp=share_link"",""พระนครศรีอยุธยา!I370"")+IMPORTRANGE(""https://docs.google.com/spreadsheets/d/1CdNicvf3i6yt4tJlCePe3V1Va76wYqW0QzMzTsaGRrA/edit?usp=sh"&amp;"are_link"",""เพชรบุรี!I370"")+IMPORTRANGE(""https://docs.google.com/spreadsheets/d/1XiF77UIVHV0Kjc6xbXuOuJ10WgJYxd4p_22ngKVV5oM/edit?usp=share_link"",""ระยอง!I370"")+IMPORTRANGE(""https://docs.google.com/spreadsheets/d/1qU-W_9MCQD1pgIVXGEOjCFo9QqlmJywueby"&amp;"GgaN92r8/edit?usp=share_link"",""ราชบุรี!I370"")+IMPORTRANGE(""https://docs.google.com/spreadsheets/d/1xYFIxIM_CspAP5Q-5Zx_V0T_Ut3cjryrjd2hss28vGk/edit?usp=share_link"",""ลพบุรี!I370"")+IMPORTRANGE(""https://docs.google.com/spreadsheets/d/11s9m3tKsCBdPWq6"&amp;"syhZm27eBGbKneDLZc75co106bio/edit?usp=share_link"",""สระแก้ว!I370"")+IMPORTRANGE(""https://docs.google.com/spreadsheets/d/1Nn1EvsFPtXldgpgVb3Rcng2K2cls68LFQsBh2FyW0Bg/edit?usp=share_link"",""สระบุรี!I370"")+IMPORTRANGE(""https://docs.google.com/spreadshee"&amp;"ts/d/149xufxukrnEciK3WPbNpHwUK8BKEJxp3UcBG3Al6dA4/edit?usp=share_link"",""สิงห์บุรี!I370"")+IMPORTRANGE(""https://docs.google.com/spreadsheets/d/132g-zJpz2uMKimp17uOIx8A7o3w1Z25zwJyXnwsB56c/edit?usp=share_link"",""สุพรรณบุรี!I370"")+IMPORTRANGE(""https://"&amp;"docs.google.com/spreadsheets/d/12Q_U0nVnFdxDFwa0pej9xvx8ZvLC9Dpi_vRro_aiG5g/edit?usp=share_link"",""อ่างทอง!I370"")
"),1167)</f>
        <v>1167</v>
      </c>
      <c r="J370" s="269">
        <f ca="1">IFERROR(__xludf.DUMMYFUNCTION("IMPORTRANGE(""https://docs.google.com/spreadsheets/d/1hKO5uv94SSRZWOvrh72HRcpyoEQF9TsE_Cvxl77XNU4/edit?usp=share_link"",""กาญจนบุรี!J370"")+IMPORTRANGE(""https://docs.google.com/spreadsheets/d/1njBaP_xXd-Uotvo2D9zb01TTCFkLJLDK97Tk1l9Qux0/edit?usp=share_li"&amp;"nk"",""จันทบุรี!J370"")+IMPORTRANGE(""https://docs.google.com/spreadsheets/d/14xp6qUzrGFnUk_qnc1eEmfiaNRd4_grkhpfQH_46fa8/edit?usp=share_link"",""ฉะเชิงเทรา!J370"")+IMPORTRANGE(""https://docs.google.com/spreadsheets/d/1_Zwps30dlVa-pZFsorjVf1Pil6WXwzCsJU0U"&amp;"2whO3NI/edit?usp=share_link"",""ชลบุรี!J370"")+IMPORTRANGE(""https://docs.google.com/spreadsheets/d/1xAsT4sUbBlom7l0acStESh_15nvjZcXjZM7fK5uZSq8/edit?usp=share_link"",""ชัยนาท!J370"")+IMPORTRANGE(""https://docs.google.com/spreadsheets/d/1vWPVBOAaZ6mHSI8yf"&amp;"95DNqHwTJ1cpeFsvqt6cxV34QA/edit?usp=share_link"",""ตราด!J370"")+IMPORTRANGE(""https://docs.google.com/spreadsheets/d/1phaeSb9lTGgzDpbvVqI9hfmOQQzUom07-HEvpbARzEg/edit?usp=share_link"",""นครนายก!J370"")+IMPORTRANGE(""https://docs.google.com/spreadsheets/d/"&amp;"1tpwhWwkqkBeiSWCcfB5f2fbwPRbM9hHOEDSDHpl2MIc/edit?usp=share_link"",""นครปฐม!J370"")+IMPORTRANGE(""https://docs.google.com/spreadsheets/d/1fJJCVBkBnhriyv0Cp5ZFMr0I_yrfdEITNpb4zILJgUQ/edit?usp=share_link"",""ปทุมธานี!J370"")+IMPORTRANGE(""https://docs.googl"&amp;"e.com/spreadsheets/d/1W5Jj_S0gYw6wSO7QcMI02YgyOBDKYgmm0NSUk-AQEac/edit?usp=share_link"",""ประจวบคีรีขันธ์!J370"")+IMPORTRANGE(""https://docs.google.com/spreadsheets/d/1nYxRXgnCfTXtqUY1otYuTlnrzE0Tn-Y0YRsW5pkRVqo/edit?usp=share_link"",""ปราจีนบุรี!J370"")+"&amp;"IMPORTRANGE(""https://docs.google.com/spreadsheets/d/1nNHCLO8ZAXOMfQvxux7cf_hrzPAh8FAvaHq_ClKbZNo/edit?usp=share_link"",""พระนครศรีอยุธยา!J370"")+IMPORTRANGE(""https://docs.google.com/spreadsheets/d/1CdNicvf3i6yt4tJlCePe3V1Va76wYqW0QzMzTsaGRrA/edit?usp=sh"&amp;"are_link"",""เพชรบุรี!J370"")+IMPORTRANGE(""https://docs.google.com/spreadsheets/d/1XiF77UIVHV0Kjc6xbXuOuJ10WgJYxd4p_22ngKVV5oM/edit?usp=share_link"",""ระยอง!J370"")+IMPORTRANGE(""https://docs.google.com/spreadsheets/d/1qU-W_9MCQD1pgIVXGEOjCFo9QqlmJywueby"&amp;"GgaN92r8/edit?usp=share_link"",""ราชบุรี!J370"")+IMPORTRANGE(""https://docs.google.com/spreadsheets/d/1xYFIxIM_CspAP5Q-5Zx_V0T_Ut3cjryrjd2hss28vGk/edit?usp=share_link"",""ลพบุรี!J370"")+IMPORTRANGE(""https://docs.google.com/spreadsheets/d/11s9m3tKsCBdPWq6"&amp;"syhZm27eBGbKneDLZc75co106bio/edit?usp=share_link"",""สระแก้ว!J370"")+IMPORTRANGE(""https://docs.google.com/spreadsheets/d/1Nn1EvsFPtXldgpgVb3Rcng2K2cls68LFQsBh2FyW0Bg/edit?usp=share_link"",""สระบุรี!J370"")+IMPORTRANGE(""https://docs.google.com/spreadshee"&amp;"ts/d/149xufxukrnEciK3WPbNpHwUK8BKEJxp3UcBG3Al6dA4/edit?usp=share_link"",""สิงห์บุรี!J370"")+IMPORTRANGE(""https://docs.google.com/spreadsheets/d/132g-zJpz2uMKimp17uOIx8A7o3w1Z25zwJyXnwsB56c/edit?usp=share_link"",""สุพรรณบุรี!J370"")+IMPORTRANGE(""https://"&amp;"docs.google.com/spreadsheets/d/12Q_U0nVnFdxDFwa0pej9xvx8ZvLC9Dpi_vRro_aiG5g/edit?usp=share_link"",""อ่างทอง!J370"")
"),121)</f>
        <v>121</v>
      </c>
      <c r="K370" s="38">
        <f t="shared" ca="1" si="191"/>
        <v>10.36846615252785</v>
      </c>
      <c r="L370" s="163"/>
      <c r="M370" s="163"/>
      <c r="N370" s="163"/>
      <c r="O370" s="163"/>
      <c r="P370" s="163"/>
    </row>
    <row r="371" spans="1:26" ht="20.25" customHeight="1">
      <c r="A371" s="170"/>
      <c r="B371" s="178"/>
      <c r="C371" s="171"/>
      <c r="D371" s="178"/>
      <c r="E371" s="178"/>
      <c r="F371" s="178"/>
      <c r="G371" s="179"/>
      <c r="H371" s="182" t="s">
        <v>46</v>
      </c>
      <c r="I371" s="269">
        <v>0</v>
      </c>
      <c r="J371" s="269">
        <f ca="1">IFERROR(__xludf.DUMMYFUNCTION("IMPORTRANGE(""https://docs.google.com/spreadsheets/d/1hKO5uv94SSRZWOvrh72HRcpyoEQF9TsE_Cvxl77XNU4/edit?usp=share_link"",""กาญจนบุรี!J371"")+IMPORTRANGE(""https://docs.google.com/spreadsheets/d/1njBaP_xXd-Uotvo2D9zb01TTCFkLJLDK97Tk1l9Qux0/edit?usp=share_li"&amp;"nk"",""จันทบุรี!J371"")+IMPORTRANGE(""https://docs.google.com/spreadsheets/d/14xp6qUzrGFnUk_qnc1eEmfiaNRd4_grkhpfQH_46fa8/edit?usp=share_link"",""ฉะเชิงเทรา!J371"")+IMPORTRANGE(""https://docs.google.com/spreadsheets/d/1_Zwps30dlVa-pZFsorjVf1Pil6WXwzCsJU0U"&amp;"2whO3NI/edit?usp=share_link"",""ชลบุรี!J371"")+IMPORTRANGE(""https://docs.google.com/spreadsheets/d/1xAsT4sUbBlom7l0acStESh_15nvjZcXjZM7fK5uZSq8/edit?usp=share_link"",""ชัยนาท!J371"")+IMPORTRANGE(""https://docs.google.com/spreadsheets/d/1vWPVBOAaZ6mHSI8yf"&amp;"95DNqHwTJ1cpeFsvqt6cxV34QA/edit?usp=share_link"",""ตราด!J371"")+IMPORTRANGE(""https://docs.google.com/spreadsheets/d/1phaeSb9lTGgzDpbvVqI9hfmOQQzUom07-HEvpbARzEg/edit?usp=share_link"",""นครนายก!J371"")+IMPORTRANGE(""https://docs.google.com/spreadsheets/d/"&amp;"1tpwhWwkqkBeiSWCcfB5f2fbwPRbM9hHOEDSDHpl2MIc/edit?usp=share_link"",""นครปฐม!J371"")+IMPORTRANGE(""https://docs.google.com/spreadsheets/d/1fJJCVBkBnhriyv0Cp5ZFMr0I_yrfdEITNpb4zILJgUQ/edit?usp=share_link"",""ปทุมธานี!J371"")+IMPORTRANGE(""https://docs.googl"&amp;"e.com/spreadsheets/d/1W5Jj_S0gYw6wSO7QcMI02YgyOBDKYgmm0NSUk-AQEac/edit?usp=share_link"",""ประจวบคีรีขันธ์!J371"")+IMPORTRANGE(""https://docs.google.com/spreadsheets/d/1nYxRXgnCfTXtqUY1otYuTlnrzE0Tn-Y0YRsW5pkRVqo/edit?usp=share_link"",""ปราจีนบุรี!J371"")+"&amp;"IMPORTRANGE(""https://docs.google.com/spreadsheets/d/1nNHCLO8ZAXOMfQvxux7cf_hrzPAh8FAvaHq_ClKbZNo/edit?usp=share_link"",""พระนครศรีอยุธยา!J371"")+IMPORTRANGE(""https://docs.google.com/spreadsheets/d/1CdNicvf3i6yt4tJlCePe3V1Va76wYqW0QzMzTsaGRrA/edit?usp=sh"&amp;"are_link"",""เพชรบุรี!J371"")+IMPORTRANGE(""https://docs.google.com/spreadsheets/d/1XiF77UIVHV0Kjc6xbXuOuJ10WgJYxd4p_22ngKVV5oM/edit?usp=share_link"",""ระยอง!J371"")+IMPORTRANGE(""https://docs.google.com/spreadsheets/d/1qU-W_9MCQD1pgIVXGEOjCFo9QqlmJywueby"&amp;"GgaN92r8/edit?usp=share_link"",""ราชบุรี!J371"")+IMPORTRANGE(""https://docs.google.com/spreadsheets/d/1xYFIxIM_CspAP5Q-5Zx_V0T_Ut3cjryrjd2hss28vGk/edit?usp=share_link"",""ลพบุรี!J371"")+IMPORTRANGE(""https://docs.google.com/spreadsheets/d/11s9m3tKsCBdPWq6"&amp;"syhZm27eBGbKneDLZc75co106bio/edit?usp=share_link"",""สระแก้ว!J371"")+IMPORTRANGE(""https://docs.google.com/spreadsheets/d/1Nn1EvsFPtXldgpgVb3Rcng2K2cls68LFQsBh2FyW0Bg/edit?usp=share_link"",""สระบุรี!J371"")+IMPORTRANGE(""https://docs.google.com/spreadshee"&amp;"ts/d/149xufxukrnEciK3WPbNpHwUK8BKEJxp3UcBG3Al6dA4/edit?usp=share_link"",""สิงห์บุรี!J371"")+IMPORTRANGE(""https://docs.google.com/spreadsheets/d/132g-zJpz2uMKimp17uOIx8A7o3w1Z25zwJyXnwsB56c/edit?usp=share_link"",""สุพรรณบุรี!J371"")+IMPORTRANGE(""https://"&amp;"docs.google.com/spreadsheets/d/12Q_U0nVnFdxDFwa0pej9xvx8ZvLC9Dpi_vRro_aiG5g/edit?usp=share_link"",""อ่างทอง!J371"")
"),1982.35)</f>
        <v>1982.35</v>
      </c>
      <c r="K371" s="38">
        <f t="shared" si="191"/>
        <v>0</v>
      </c>
      <c r="L371" s="163"/>
      <c r="M371" s="163"/>
      <c r="N371" s="163"/>
      <c r="O371" s="163"/>
      <c r="P371" s="163"/>
    </row>
    <row r="372" spans="1:26" ht="20.25" customHeight="1">
      <c r="A372" s="170"/>
      <c r="B372" s="178"/>
      <c r="C372" s="171"/>
      <c r="D372" s="178"/>
      <c r="E372" s="176" t="s">
        <v>163</v>
      </c>
      <c r="F372" s="178"/>
      <c r="G372" s="179"/>
      <c r="H372" s="182" t="s">
        <v>35</v>
      </c>
      <c r="I372" s="37">
        <f ca="1">IFERROR(__xludf.DUMMYFUNCTION("IMPORTRANGE(""https://docs.google.com/spreadsheets/d/1hKO5uv94SSRZWOvrh72HRcpyoEQF9TsE_Cvxl77XNU4/edit?usp=share_link"",""กาญจนบุรี!I372"")+IMPORTRANGE(""https://docs.google.com/spreadsheets/d/1njBaP_xXd-Uotvo2D9zb01TTCFkLJLDK97Tk1l9Qux0/edit?usp=share_li"&amp;"nk"",""จันทบุรี!I372"")+IMPORTRANGE(""https://docs.google.com/spreadsheets/d/14xp6qUzrGFnUk_qnc1eEmfiaNRd4_grkhpfQH_46fa8/edit?usp=share_link"",""ฉะเชิงเทรา!I372"")+IMPORTRANGE(""https://docs.google.com/spreadsheets/d/1_Zwps30dlVa-pZFsorjVf1Pil6WXwzCsJU0U"&amp;"2whO3NI/edit?usp=share_link"",""ชลบุรี!I372"")+IMPORTRANGE(""https://docs.google.com/spreadsheets/d/1xAsT4sUbBlom7l0acStESh_15nvjZcXjZM7fK5uZSq8/edit?usp=share_link"",""ชัยนาท!I372"")+IMPORTRANGE(""https://docs.google.com/spreadsheets/d/1vWPVBOAaZ6mHSI8yf"&amp;"95DNqHwTJ1cpeFsvqt6cxV34QA/edit?usp=share_link"",""ตราด!I372"")+IMPORTRANGE(""https://docs.google.com/spreadsheets/d/1phaeSb9lTGgzDpbvVqI9hfmOQQzUom07-HEvpbARzEg/edit?usp=share_link"",""นครนายก!I372"")+IMPORTRANGE(""https://docs.google.com/spreadsheets/d/"&amp;"1tpwhWwkqkBeiSWCcfB5f2fbwPRbM9hHOEDSDHpl2MIc/edit?usp=share_link"",""นครปฐม!I372"")+IMPORTRANGE(""https://docs.google.com/spreadsheets/d/1fJJCVBkBnhriyv0Cp5ZFMr0I_yrfdEITNpb4zILJgUQ/edit?usp=share_link"",""ปทุมธานี!I372"")+IMPORTRANGE(""https://docs.googl"&amp;"e.com/spreadsheets/d/1W5Jj_S0gYw6wSO7QcMI02YgyOBDKYgmm0NSUk-AQEac/edit?usp=share_link"",""ประจวบคีรีขันธ์!I372"")+IMPORTRANGE(""https://docs.google.com/spreadsheets/d/1nYxRXgnCfTXtqUY1otYuTlnrzE0Tn-Y0YRsW5pkRVqo/edit?usp=share_link"",""ปราจีนบุรี!I372"")+"&amp;"IMPORTRANGE(""https://docs.google.com/spreadsheets/d/1nNHCLO8ZAXOMfQvxux7cf_hrzPAh8FAvaHq_ClKbZNo/edit?usp=share_link"",""พระนครศรีอยุธยา!I372"")+IMPORTRANGE(""https://docs.google.com/spreadsheets/d/1CdNicvf3i6yt4tJlCePe3V1Va76wYqW0QzMzTsaGRrA/edit?usp=sh"&amp;"are_link"",""เพชรบุรี!I372"")+IMPORTRANGE(""https://docs.google.com/spreadsheets/d/1XiF77UIVHV0Kjc6xbXuOuJ10WgJYxd4p_22ngKVV5oM/edit?usp=share_link"",""ระยอง!I372"")+IMPORTRANGE(""https://docs.google.com/spreadsheets/d/1qU-W_9MCQD1pgIVXGEOjCFo9QqlmJywueby"&amp;"GgaN92r8/edit?usp=share_link"",""ราชบุรี!I372"")+IMPORTRANGE(""https://docs.google.com/spreadsheets/d/1xYFIxIM_CspAP5Q-5Zx_V0T_Ut3cjryrjd2hss28vGk/edit?usp=share_link"",""ลพบุรี!I372"")+IMPORTRANGE(""https://docs.google.com/spreadsheets/d/11s9m3tKsCBdPWq6"&amp;"syhZm27eBGbKneDLZc75co106bio/edit?usp=share_link"",""สระแก้ว!I372"")+IMPORTRANGE(""https://docs.google.com/spreadsheets/d/1Nn1EvsFPtXldgpgVb3Rcng2K2cls68LFQsBh2FyW0Bg/edit?usp=share_link"",""สระบุรี!I372"")+IMPORTRANGE(""https://docs.google.com/spreadshee"&amp;"ts/d/149xufxukrnEciK3WPbNpHwUK8BKEJxp3UcBG3Al6dA4/edit?usp=share_link"",""สิงห์บุรี!I372"")+IMPORTRANGE(""https://docs.google.com/spreadsheets/d/132g-zJpz2uMKimp17uOIx8A7o3w1Z25zwJyXnwsB56c/edit?usp=share_link"",""สุพรรณบุรี!I372"")+IMPORTRANGE(""https://"&amp;"docs.google.com/spreadsheets/d/12Q_U0nVnFdxDFwa0pej9xvx8ZvLC9Dpi_vRro_aiG5g/edit?usp=share_link"",""อ่างทอง!I372"")
"),1167)</f>
        <v>1167</v>
      </c>
      <c r="J372" s="269">
        <f ca="1">IFERROR(__xludf.DUMMYFUNCTION("IMPORTRANGE(""https://docs.google.com/spreadsheets/d/1hKO5uv94SSRZWOvrh72HRcpyoEQF9TsE_Cvxl77XNU4/edit?usp=share_link"",""กาญจนบุรี!J372"")+IMPORTRANGE(""https://docs.google.com/spreadsheets/d/1njBaP_xXd-Uotvo2D9zb01TTCFkLJLDK97Tk1l9Qux0/edit?usp=share_li"&amp;"nk"",""จันทบุรี!J372"")+IMPORTRANGE(""https://docs.google.com/spreadsheets/d/14xp6qUzrGFnUk_qnc1eEmfiaNRd4_grkhpfQH_46fa8/edit?usp=share_link"",""ฉะเชิงเทรา!J372"")+IMPORTRANGE(""https://docs.google.com/spreadsheets/d/1_Zwps30dlVa-pZFsorjVf1Pil6WXwzCsJU0U"&amp;"2whO3NI/edit?usp=share_link"",""ชลบุรี!J372"")+IMPORTRANGE(""https://docs.google.com/spreadsheets/d/1xAsT4sUbBlom7l0acStESh_15nvjZcXjZM7fK5uZSq8/edit?usp=share_link"",""ชัยนาท!J372"")+IMPORTRANGE(""https://docs.google.com/spreadsheets/d/1vWPVBOAaZ6mHSI8yf"&amp;"95DNqHwTJ1cpeFsvqt6cxV34QA/edit?usp=share_link"",""ตราด!J372"")+IMPORTRANGE(""https://docs.google.com/spreadsheets/d/1phaeSb9lTGgzDpbvVqI9hfmOQQzUom07-HEvpbARzEg/edit?usp=share_link"",""นครนายก!J372"")+IMPORTRANGE(""https://docs.google.com/spreadsheets/d/"&amp;"1tpwhWwkqkBeiSWCcfB5f2fbwPRbM9hHOEDSDHpl2MIc/edit?usp=share_link"",""นครปฐม!J372"")+IMPORTRANGE(""https://docs.google.com/spreadsheets/d/1fJJCVBkBnhriyv0Cp5ZFMr0I_yrfdEITNpb4zILJgUQ/edit?usp=share_link"",""ปทุมธานี!J372"")+IMPORTRANGE(""https://docs.googl"&amp;"e.com/spreadsheets/d/1W5Jj_S0gYw6wSO7QcMI02YgyOBDKYgmm0NSUk-AQEac/edit?usp=share_link"",""ประจวบคีรีขันธ์!J372"")+IMPORTRANGE(""https://docs.google.com/spreadsheets/d/1nYxRXgnCfTXtqUY1otYuTlnrzE0Tn-Y0YRsW5pkRVqo/edit?usp=share_link"",""ปราจีนบุรี!J372"")+"&amp;"IMPORTRANGE(""https://docs.google.com/spreadsheets/d/1nNHCLO8ZAXOMfQvxux7cf_hrzPAh8FAvaHq_ClKbZNo/edit?usp=share_link"",""พระนครศรีอยุธยา!J372"")+IMPORTRANGE(""https://docs.google.com/spreadsheets/d/1CdNicvf3i6yt4tJlCePe3V1Va76wYqW0QzMzTsaGRrA/edit?usp=sh"&amp;"are_link"",""เพชรบุรี!J372"")+IMPORTRANGE(""https://docs.google.com/spreadsheets/d/1XiF77UIVHV0Kjc6xbXuOuJ10WgJYxd4p_22ngKVV5oM/edit?usp=share_link"",""ระยอง!J372"")+IMPORTRANGE(""https://docs.google.com/spreadsheets/d/1qU-W_9MCQD1pgIVXGEOjCFo9QqlmJywueby"&amp;"GgaN92r8/edit?usp=share_link"",""ราชบุรี!J372"")+IMPORTRANGE(""https://docs.google.com/spreadsheets/d/1xYFIxIM_CspAP5Q-5Zx_V0T_Ut3cjryrjd2hss28vGk/edit?usp=share_link"",""ลพบุรี!J372"")+IMPORTRANGE(""https://docs.google.com/spreadsheets/d/11s9m3tKsCBdPWq6"&amp;"syhZm27eBGbKneDLZc75co106bio/edit?usp=share_link"",""สระแก้ว!J372"")+IMPORTRANGE(""https://docs.google.com/spreadsheets/d/1Nn1EvsFPtXldgpgVb3Rcng2K2cls68LFQsBh2FyW0Bg/edit?usp=share_link"",""สระบุรี!J372"")+IMPORTRANGE(""https://docs.google.com/spreadshee"&amp;"ts/d/149xufxukrnEciK3WPbNpHwUK8BKEJxp3UcBG3Al6dA4/edit?usp=share_link"",""สิงห์บุรี!J372"")+IMPORTRANGE(""https://docs.google.com/spreadsheets/d/132g-zJpz2uMKimp17uOIx8A7o3w1Z25zwJyXnwsB56c/edit?usp=share_link"",""สุพรรณบุรี!J372"")+IMPORTRANGE(""https://"&amp;"docs.google.com/spreadsheets/d/12Q_U0nVnFdxDFwa0pej9xvx8ZvLC9Dpi_vRro_aiG5g/edit?usp=share_link"",""อ่างทอง!J372"")
"),63)</f>
        <v>63</v>
      </c>
      <c r="K372" s="38">
        <f t="shared" ca="1" si="191"/>
        <v>5.3984575835475574</v>
      </c>
      <c r="L372" s="163"/>
      <c r="M372" s="163"/>
      <c r="N372" s="163"/>
      <c r="O372" s="163"/>
      <c r="P372" s="163"/>
    </row>
    <row r="373" spans="1:26" ht="20.25" customHeight="1">
      <c r="A373" s="469" t="s">
        <v>164</v>
      </c>
      <c r="B373" s="178"/>
      <c r="C373" s="171"/>
      <c r="D373" s="178"/>
      <c r="E373" s="177"/>
      <c r="F373" s="178"/>
      <c r="G373" s="179"/>
      <c r="H373" s="182" t="s">
        <v>46</v>
      </c>
      <c r="I373" s="269">
        <v>0</v>
      </c>
      <c r="J373" s="269">
        <f ca="1">IFERROR(__xludf.DUMMYFUNCTION("IMPORTRANGE(""https://docs.google.com/spreadsheets/d/1hKO5uv94SSRZWOvrh72HRcpyoEQF9TsE_Cvxl77XNU4/edit?usp=share_link"",""กาญจนบุรี!J373"")+IMPORTRANGE(""https://docs.google.com/spreadsheets/d/1njBaP_xXd-Uotvo2D9zb01TTCFkLJLDK97Tk1l9Qux0/edit?usp=share_li"&amp;"nk"",""จันทบุรี!J373"")+IMPORTRANGE(""https://docs.google.com/spreadsheets/d/14xp6qUzrGFnUk_qnc1eEmfiaNRd4_grkhpfQH_46fa8/edit?usp=share_link"",""ฉะเชิงเทรา!J373"")+IMPORTRANGE(""https://docs.google.com/spreadsheets/d/1_Zwps30dlVa-pZFsorjVf1Pil6WXwzCsJU0U"&amp;"2whO3NI/edit?usp=share_link"",""ชลบุรี!J373"")+IMPORTRANGE(""https://docs.google.com/spreadsheets/d/1xAsT4sUbBlom7l0acStESh_15nvjZcXjZM7fK5uZSq8/edit?usp=share_link"",""ชัยนาท!J373"")+IMPORTRANGE(""https://docs.google.com/spreadsheets/d/1vWPVBOAaZ6mHSI8yf"&amp;"95DNqHwTJ1cpeFsvqt6cxV34QA/edit?usp=share_link"",""ตราด!J373"")+IMPORTRANGE(""https://docs.google.com/spreadsheets/d/1phaeSb9lTGgzDpbvVqI9hfmOQQzUom07-HEvpbARzEg/edit?usp=share_link"",""นครนายก!J373"")+IMPORTRANGE(""https://docs.google.com/spreadsheets/d/"&amp;"1tpwhWwkqkBeiSWCcfB5f2fbwPRbM9hHOEDSDHpl2MIc/edit?usp=share_link"",""นครปฐม!J373"")+IMPORTRANGE(""https://docs.google.com/spreadsheets/d/1fJJCVBkBnhriyv0Cp5ZFMr0I_yrfdEITNpb4zILJgUQ/edit?usp=share_link"",""ปทุมธานี!J373"")+IMPORTRANGE(""https://docs.googl"&amp;"e.com/spreadsheets/d/1W5Jj_S0gYw6wSO7QcMI02YgyOBDKYgmm0NSUk-AQEac/edit?usp=share_link"",""ประจวบคีรีขันธ์!J373"")+IMPORTRANGE(""https://docs.google.com/spreadsheets/d/1nYxRXgnCfTXtqUY1otYuTlnrzE0Tn-Y0YRsW5pkRVqo/edit?usp=share_link"",""ปราจีนบุรี!J373"")+"&amp;"IMPORTRANGE(""https://docs.google.com/spreadsheets/d/1nNHCLO8ZAXOMfQvxux7cf_hrzPAh8FAvaHq_ClKbZNo/edit?usp=share_link"",""พระนครศรีอยุธยา!J373"")+IMPORTRANGE(""https://docs.google.com/spreadsheets/d/1CdNicvf3i6yt4tJlCePe3V1Va76wYqW0QzMzTsaGRrA/edit?usp=sh"&amp;"are_link"",""เพชรบุรี!J373"")+IMPORTRANGE(""https://docs.google.com/spreadsheets/d/1XiF77UIVHV0Kjc6xbXuOuJ10WgJYxd4p_22ngKVV5oM/edit?usp=share_link"",""ระยอง!J373"")+IMPORTRANGE(""https://docs.google.com/spreadsheets/d/1qU-W_9MCQD1pgIVXGEOjCFo9QqlmJywueby"&amp;"GgaN92r8/edit?usp=share_link"",""ราชบุรี!J373"")+IMPORTRANGE(""https://docs.google.com/spreadsheets/d/1xYFIxIM_CspAP5Q-5Zx_V0T_Ut3cjryrjd2hss28vGk/edit?usp=share_link"",""ลพบุรี!J373"")+IMPORTRANGE(""https://docs.google.com/spreadsheets/d/11s9m3tKsCBdPWq6"&amp;"syhZm27eBGbKneDLZc75co106bio/edit?usp=share_link"",""สระแก้ว!J373"")+IMPORTRANGE(""https://docs.google.com/spreadsheets/d/1Nn1EvsFPtXldgpgVb3Rcng2K2cls68LFQsBh2FyW0Bg/edit?usp=share_link"",""สระบุรี!J373"")+IMPORTRANGE(""https://docs.google.com/spreadshee"&amp;"ts/d/149xufxukrnEciK3WPbNpHwUK8BKEJxp3UcBG3Al6dA4/edit?usp=share_link"",""สิงห์บุรี!J373"")+IMPORTRANGE(""https://docs.google.com/spreadsheets/d/132g-zJpz2uMKimp17uOIx8A7o3w1Z25zwJyXnwsB56c/edit?usp=share_link"",""สุพรรณบุรี!J373"")+IMPORTRANGE(""https://"&amp;"docs.google.com/spreadsheets/d/12Q_U0nVnFdxDFwa0pej9xvx8ZvLC9Dpi_vRro_aiG5g/edit?usp=share_link"",""อ่างทอง!J373"")
"),935.06)</f>
        <v>935.06</v>
      </c>
      <c r="K373" s="38">
        <f t="shared" si="191"/>
        <v>0</v>
      </c>
      <c r="L373" s="163"/>
      <c r="M373" s="163"/>
      <c r="N373" s="163"/>
      <c r="O373" s="163"/>
      <c r="P373" s="163"/>
    </row>
    <row r="374" spans="1:26" ht="20.25" customHeight="1">
      <c r="A374" s="481"/>
      <c r="B374" s="482"/>
      <c r="C374" s="483"/>
      <c r="D374" s="484" t="s">
        <v>168</v>
      </c>
      <c r="E374" s="485"/>
      <c r="F374" s="485"/>
      <c r="G374" s="486"/>
      <c r="H374" s="487" t="s">
        <v>35</v>
      </c>
      <c r="I374" s="495">
        <f ca="1">IFERROR(__xludf.DUMMYFUNCTION("IMPORTRANGE(""https://docs.google.com/spreadsheets/d/1hKO5uv94SSRZWOvrh72HRcpyoEQF9TsE_Cvxl77XNU4/edit?usp=share_link"",""กาญจนบุรี!I374"")+IMPORTRANGE(""https://docs.google.com/spreadsheets/d/1njBaP_xXd-Uotvo2D9zb01TTCFkLJLDK97Tk1l9Qux0/edit?usp=share_li"&amp;"nk"",""จันทบุรี!I374"")+IMPORTRANGE(""https://docs.google.com/spreadsheets/d/14xp6qUzrGFnUk_qnc1eEmfiaNRd4_grkhpfQH_46fa8/edit?usp=share_link"",""ฉะเชิงเทรา!I374"")+IMPORTRANGE(""https://docs.google.com/spreadsheets/d/1_Zwps30dlVa-pZFsorjVf1Pil6WXwzCsJU0U"&amp;"2whO3NI/edit?usp=share_link"",""ชลบุรี!I374"")+IMPORTRANGE(""https://docs.google.com/spreadsheets/d/1xAsT4sUbBlom7l0acStESh_15nvjZcXjZM7fK5uZSq8/edit?usp=share_link"",""ชัยนาท!I374"")+IMPORTRANGE(""https://docs.google.com/spreadsheets/d/1vWPVBOAaZ6mHSI8yf"&amp;"95DNqHwTJ1cpeFsvqt6cxV34QA/edit?usp=share_link"",""ตราด!I374"")+IMPORTRANGE(""https://docs.google.com/spreadsheets/d/1phaeSb9lTGgzDpbvVqI9hfmOQQzUom07-HEvpbARzEg/edit?usp=share_link"",""นครนายก!I374"")+IMPORTRANGE(""https://docs.google.com/spreadsheets/d/"&amp;"1tpwhWwkqkBeiSWCcfB5f2fbwPRbM9hHOEDSDHpl2MIc/edit?usp=share_link"",""นครปฐม!I374"")+IMPORTRANGE(""https://docs.google.com/spreadsheets/d/1fJJCVBkBnhriyv0Cp5ZFMr0I_yrfdEITNpb4zILJgUQ/edit?usp=share_link"",""ปทุมธานี!I374"")+IMPORTRANGE(""https://docs.googl"&amp;"e.com/spreadsheets/d/1W5Jj_S0gYw6wSO7QcMI02YgyOBDKYgmm0NSUk-AQEac/edit?usp=share_link"",""ประจวบคีรีขันธ์!I374"")+IMPORTRANGE(""https://docs.google.com/spreadsheets/d/1nYxRXgnCfTXtqUY1otYuTlnrzE0Tn-Y0YRsW5pkRVqo/edit?usp=share_link"",""ปราจีนบุรี!I374"")+"&amp;"IMPORTRANGE(""https://docs.google.com/spreadsheets/d/1nNHCLO8ZAXOMfQvxux7cf_hrzPAh8FAvaHq_ClKbZNo/edit?usp=share_link"",""พระนครศรีอยุธยา!I374"")+IMPORTRANGE(""https://docs.google.com/spreadsheets/d/1CdNicvf3i6yt4tJlCePe3V1Va76wYqW0QzMzTsaGRrA/edit?usp=sh"&amp;"are_link"",""เพชรบุรี!I374"")+IMPORTRANGE(""https://docs.google.com/spreadsheets/d/1XiF77UIVHV0Kjc6xbXuOuJ10WgJYxd4p_22ngKVV5oM/edit?usp=share_link"",""ระยอง!I374"")+IMPORTRANGE(""https://docs.google.com/spreadsheets/d/1qU-W_9MCQD1pgIVXGEOjCFo9QqlmJywueby"&amp;"GgaN92r8/edit?usp=share_link"",""ราชบุรี!I374"")+IMPORTRANGE(""https://docs.google.com/spreadsheets/d/1xYFIxIM_CspAP5Q-5Zx_V0T_Ut3cjryrjd2hss28vGk/edit?usp=share_link"",""ลพบุรี!I374"")+IMPORTRANGE(""https://docs.google.com/spreadsheets/d/11s9m3tKsCBdPWq6"&amp;"syhZm27eBGbKneDLZc75co106bio/edit?usp=share_link"",""สระแก้ว!I374"")+IMPORTRANGE(""https://docs.google.com/spreadsheets/d/1Nn1EvsFPtXldgpgVb3Rcng2K2cls68LFQsBh2FyW0Bg/edit?usp=share_link"",""สระบุรี!I374"")+IMPORTRANGE(""https://docs.google.com/spreadshee"&amp;"ts/d/149xufxukrnEciK3WPbNpHwUK8BKEJxp3UcBG3Al6dA4/edit?usp=share_link"",""สิงห์บุรี!I374"")+IMPORTRANGE(""https://docs.google.com/spreadsheets/d/132g-zJpz2uMKimp17uOIx8A7o3w1Z25zwJyXnwsB56c/edit?usp=share_link"",""สุพรรณบุรี!I374"")+IMPORTRANGE(""https://"&amp;"docs.google.com/spreadsheets/d/12Q_U0nVnFdxDFwa0pej9xvx8ZvLC9Dpi_vRro_aiG5g/edit?usp=share_link"",""อ่างทอง!I374"")
"),3752)</f>
        <v>3752</v>
      </c>
      <c r="J374" s="489">
        <f ca="1">J381</f>
        <v>447</v>
      </c>
      <c r="K374" s="490">
        <f t="shared" ca="1" si="191"/>
        <v>11.9136460554371</v>
      </c>
      <c r="L374" s="491"/>
      <c r="M374" s="491"/>
      <c r="N374" s="491"/>
      <c r="O374" s="491"/>
      <c r="P374" s="491"/>
      <c r="Q374" s="480"/>
      <c r="R374" s="480"/>
      <c r="S374" s="480"/>
      <c r="T374" s="480"/>
      <c r="U374" s="480"/>
      <c r="V374" s="480"/>
      <c r="W374" s="480"/>
      <c r="X374" s="480"/>
      <c r="Y374" s="480"/>
      <c r="Z374" s="480"/>
    </row>
    <row r="375" spans="1:26" ht="20.25" customHeight="1">
      <c r="A375" s="481"/>
      <c r="B375" s="482"/>
      <c r="C375" s="483"/>
      <c r="D375" s="492" t="s">
        <v>169</v>
      </c>
      <c r="E375" s="485"/>
      <c r="F375" s="485"/>
      <c r="G375" s="486"/>
      <c r="H375" s="493"/>
      <c r="I375" s="494"/>
      <c r="J375" s="494"/>
      <c r="K375" s="491"/>
      <c r="L375" s="491"/>
      <c r="M375" s="491"/>
      <c r="N375" s="491"/>
      <c r="O375" s="491"/>
      <c r="P375" s="491"/>
      <c r="Q375" s="480"/>
      <c r="R375" s="480"/>
      <c r="S375" s="480"/>
      <c r="T375" s="480"/>
      <c r="U375" s="480"/>
      <c r="V375" s="480"/>
      <c r="W375" s="480"/>
      <c r="X375" s="480"/>
      <c r="Y375" s="480"/>
      <c r="Z375" s="480"/>
    </row>
    <row r="376" spans="1:26" ht="20.25" customHeight="1">
      <c r="A376" s="170"/>
      <c r="B376" s="171"/>
      <c r="C376" s="164" t="s">
        <v>16</v>
      </c>
      <c r="D376" s="172" t="s">
        <v>38</v>
      </c>
      <c r="E376" s="173"/>
      <c r="F376" s="173"/>
      <c r="G376" s="174"/>
      <c r="H376" s="175"/>
      <c r="I376" s="37"/>
      <c r="J376" s="37"/>
      <c r="K376" s="38"/>
      <c r="L376" s="163"/>
      <c r="M376" s="163"/>
      <c r="N376" s="163"/>
      <c r="O376" s="163"/>
      <c r="P376" s="163"/>
    </row>
    <row r="377" spans="1:26" ht="20.25" customHeight="1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69">
        <v>0</v>
      </c>
      <c r="J377" s="269">
        <f ca="1">IFERROR(__xludf.DUMMYFUNCTION("IMPORTRANGE(""https://docs.google.com/spreadsheets/d/1hKO5uv94SSRZWOvrh72HRcpyoEQF9TsE_Cvxl77XNU4/edit?usp=share_link"",""กาญจนบุรี!J377"")+IMPORTRANGE(""https://docs.google.com/spreadsheets/d/1njBaP_xXd-Uotvo2D9zb01TTCFkLJLDK97Tk1l9Qux0/edit?usp=share_li"&amp;"nk"",""จันทบุรี!J377"")+IMPORTRANGE(""https://docs.google.com/spreadsheets/d/14xp6qUzrGFnUk_qnc1eEmfiaNRd4_grkhpfQH_46fa8/edit?usp=share_link"",""ฉะเชิงเทรา!J377"")+IMPORTRANGE(""https://docs.google.com/spreadsheets/d/1_Zwps30dlVa-pZFsorjVf1Pil6WXwzCsJU0U"&amp;"2whO3NI/edit?usp=share_link"",""ชลบุรี!J377"")+IMPORTRANGE(""https://docs.google.com/spreadsheets/d/1xAsT4sUbBlom7l0acStESh_15nvjZcXjZM7fK5uZSq8/edit?usp=share_link"",""ชัยนาท!J377"")+IMPORTRANGE(""https://docs.google.com/spreadsheets/d/1vWPVBOAaZ6mHSI8yf"&amp;"95DNqHwTJ1cpeFsvqt6cxV34QA/edit?usp=share_link"",""ตราด!J377"")+IMPORTRANGE(""https://docs.google.com/spreadsheets/d/1phaeSb9lTGgzDpbvVqI9hfmOQQzUom07-HEvpbARzEg/edit?usp=share_link"",""นครนายก!J377"")+IMPORTRANGE(""https://docs.google.com/spreadsheets/d/"&amp;"1tpwhWwkqkBeiSWCcfB5f2fbwPRbM9hHOEDSDHpl2MIc/edit?usp=share_link"",""นครปฐม!J377"")+IMPORTRANGE(""https://docs.google.com/spreadsheets/d/1fJJCVBkBnhriyv0Cp5ZFMr0I_yrfdEITNpb4zILJgUQ/edit?usp=share_link"",""ปทุมธานี!J377"")+IMPORTRANGE(""https://docs.googl"&amp;"e.com/spreadsheets/d/1W5Jj_S0gYw6wSO7QcMI02YgyOBDKYgmm0NSUk-AQEac/edit?usp=share_link"",""ประจวบคีรีขันธ์!J377"")+IMPORTRANGE(""https://docs.google.com/spreadsheets/d/1nYxRXgnCfTXtqUY1otYuTlnrzE0Tn-Y0YRsW5pkRVqo/edit?usp=share_link"",""ปราจีนบุรี!J377"")+"&amp;"IMPORTRANGE(""https://docs.google.com/spreadsheets/d/1nNHCLO8ZAXOMfQvxux7cf_hrzPAh8FAvaHq_ClKbZNo/edit?usp=share_link"",""พระนครศรีอยุธยา!J377"")+IMPORTRANGE(""https://docs.google.com/spreadsheets/d/1CdNicvf3i6yt4tJlCePe3V1Va76wYqW0QzMzTsaGRrA/edit?usp=sh"&amp;"are_link"",""เพชรบุรี!J377"")+IMPORTRANGE(""https://docs.google.com/spreadsheets/d/1XiF77UIVHV0Kjc6xbXuOuJ10WgJYxd4p_22ngKVV5oM/edit?usp=share_link"",""ระยอง!J377"")+IMPORTRANGE(""https://docs.google.com/spreadsheets/d/1qU-W_9MCQD1pgIVXGEOjCFo9QqlmJywueby"&amp;"GgaN92r8/edit?usp=share_link"",""ราชบุรี!J377"")+IMPORTRANGE(""https://docs.google.com/spreadsheets/d/1xYFIxIM_CspAP5Q-5Zx_V0T_Ut3cjryrjd2hss28vGk/edit?usp=share_link"",""ลพบุรี!J377"")+IMPORTRANGE(""https://docs.google.com/spreadsheets/d/11s9m3tKsCBdPWq6"&amp;"syhZm27eBGbKneDLZc75co106bio/edit?usp=share_link"",""สระแก้ว!J377"")+IMPORTRANGE(""https://docs.google.com/spreadsheets/d/1Nn1EvsFPtXldgpgVb3Rcng2K2cls68LFQsBh2FyW0Bg/edit?usp=share_link"",""สระบุรี!J377"")+IMPORTRANGE(""https://docs.google.com/spreadshee"&amp;"ts/d/149xufxukrnEciK3WPbNpHwUK8BKEJxp3UcBG3Al6dA4/edit?usp=share_link"",""สิงห์บุรี!J377"")+IMPORTRANGE(""https://docs.google.com/spreadsheets/d/132g-zJpz2uMKimp17uOIx8A7o3w1Z25zwJyXnwsB56c/edit?usp=share_link"",""สุพรรณบุรี!J377"")+IMPORTRANGE(""https://"&amp;"docs.google.com/spreadsheets/d/12Q_U0nVnFdxDFwa0pej9xvx8ZvLC9Dpi_vRro_aiG5g/edit?usp=share_link"",""อ่างทอง!J377"")
"),281)</f>
        <v>281</v>
      </c>
      <c r="K377" s="496">
        <f t="shared" ref="K377:K382" si="192">IF(I377&gt;0,J377*100/I377,0)</f>
        <v>0</v>
      </c>
      <c r="L377" s="163"/>
      <c r="M377" s="163"/>
      <c r="N377" s="163"/>
      <c r="O377" s="163"/>
      <c r="P377" s="163"/>
    </row>
    <row r="378" spans="1:26" ht="20.25" customHeight="1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37">
        <f ca="1">IFERROR(__xludf.DUMMYFUNCTION("IMPORTRANGE(""https://docs.google.com/spreadsheets/d/1hKO5uv94SSRZWOvrh72HRcpyoEQF9TsE_Cvxl77XNU4/edit?usp=share_link"",""กาญจนบุรี!I378"")+IMPORTRANGE(""https://docs.google.com/spreadsheets/d/1njBaP_xXd-Uotvo2D9zb01TTCFkLJLDK97Tk1l9Qux0/edit?usp=share_li"&amp;"nk"",""จันทบุรี!I378"")+IMPORTRANGE(""https://docs.google.com/spreadsheets/d/14xp6qUzrGFnUk_qnc1eEmfiaNRd4_grkhpfQH_46fa8/edit?usp=share_link"",""ฉะเชิงเทรา!I378"")+IMPORTRANGE(""https://docs.google.com/spreadsheets/d/1_Zwps30dlVa-pZFsorjVf1Pil6WXwzCsJU0U"&amp;"2whO3NI/edit?usp=share_link"",""ชลบุรี!I378"")+IMPORTRANGE(""https://docs.google.com/spreadsheets/d/1xAsT4sUbBlom7l0acStESh_15nvjZcXjZM7fK5uZSq8/edit?usp=share_link"",""ชัยนาท!I378"")+IMPORTRANGE(""https://docs.google.com/spreadsheets/d/1vWPVBOAaZ6mHSI8yf"&amp;"95DNqHwTJ1cpeFsvqt6cxV34QA/edit?usp=share_link"",""ตราด!I378"")+IMPORTRANGE(""https://docs.google.com/spreadsheets/d/1phaeSb9lTGgzDpbvVqI9hfmOQQzUom07-HEvpbARzEg/edit?usp=share_link"",""นครนายก!I378"")+IMPORTRANGE(""https://docs.google.com/spreadsheets/d/"&amp;"1tpwhWwkqkBeiSWCcfB5f2fbwPRbM9hHOEDSDHpl2MIc/edit?usp=share_link"",""นครปฐม!I378"")+IMPORTRANGE(""https://docs.google.com/spreadsheets/d/1fJJCVBkBnhriyv0Cp5ZFMr0I_yrfdEITNpb4zILJgUQ/edit?usp=share_link"",""ปทุมธานี!I378"")+IMPORTRANGE(""https://docs.googl"&amp;"e.com/spreadsheets/d/1W5Jj_S0gYw6wSO7QcMI02YgyOBDKYgmm0NSUk-AQEac/edit?usp=share_link"",""ประจวบคีรีขันธ์!I378"")+IMPORTRANGE(""https://docs.google.com/spreadsheets/d/1nYxRXgnCfTXtqUY1otYuTlnrzE0Tn-Y0YRsW5pkRVqo/edit?usp=share_link"",""ปราจีนบุรี!I378"")+"&amp;"IMPORTRANGE(""https://docs.google.com/spreadsheets/d/1nNHCLO8ZAXOMfQvxux7cf_hrzPAh8FAvaHq_ClKbZNo/edit?usp=share_link"",""พระนครศรีอยุธยา!I378"")+IMPORTRANGE(""https://docs.google.com/spreadsheets/d/1CdNicvf3i6yt4tJlCePe3V1Va76wYqW0QzMzTsaGRrA/edit?usp=sh"&amp;"are_link"",""เพชรบุรี!I378"")+IMPORTRANGE(""https://docs.google.com/spreadsheets/d/1XiF77UIVHV0Kjc6xbXuOuJ10WgJYxd4p_22ngKVV5oM/edit?usp=share_link"",""ระยอง!I378"")+IMPORTRANGE(""https://docs.google.com/spreadsheets/d/1qU-W_9MCQD1pgIVXGEOjCFo9QqlmJywueby"&amp;"GgaN92r8/edit?usp=share_link"",""ราชบุรี!I378"")+IMPORTRANGE(""https://docs.google.com/spreadsheets/d/1xYFIxIM_CspAP5Q-5Zx_V0T_Ut3cjryrjd2hss28vGk/edit?usp=share_link"",""ลพบุรี!I378"")+IMPORTRANGE(""https://docs.google.com/spreadsheets/d/11s9m3tKsCBdPWq6"&amp;"syhZm27eBGbKneDLZc75co106bio/edit?usp=share_link"",""สระแก้ว!I378"")+IMPORTRANGE(""https://docs.google.com/spreadsheets/d/1Nn1EvsFPtXldgpgVb3Rcng2K2cls68LFQsBh2FyW0Bg/edit?usp=share_link"",""สระบุรี!I378"")+IMPORTRANGE(""https://docs.google.com/spreadshee"&amp;"ts/d/149xufxukrnEciK3WPbNpHwUK8BKEJxp3UcBG3Al6dA4/edit?usp=share_link"",""สิงห์บุรี!I378"")+IMPORTRANGE(""https://docs.google.com/spreadsheets/d/132g-zJpz2uMKimp17uOIx8A7o3w1Z25zwJyXnwsB56c/edit?usp=share_link"",""สุพรรณบุรี!I378"")+IMPORTRANGE(""https://"&amp;"docs.google.com/spreadsheets/d/12Q_U0nVnFdxDFwa0pej9xvx8ZvLC9Dpi_vRro_aiG5g/edit?usp=share_link"",""อ่างทอง!I378"")
"),21348)</f>
        <v>21348</v>
      </c>
      <c r="J378" s="269">
        <f ca="1">IFERROR(__xludf.DUMMYFUNCTION("IMPORTRANGE(""https://docs.google.com/spreadsheets/d/1hKO5uv94SSRZWOvrh72HRcpyoEQF9TsE_Cvxl77XNU4/edit?usp=share_link"",""กาญจนบุรี!J378"")+IMPORTRANGE(""https://docs.google.com/spreadsheets/d/1njBaP_xXd-Uotvo2D9zb01TTCFkLJLDK97Tk1l9Qux0/edit?usp=share_li"&amp;"nk"",""จันทบุรี!J378"")+IMPORTRANGE(""https://docs.google.com/spreadsheets/d/14xp6qUzrGFnUk_qnc1eEmfiaNRd4_grkhpfQH_46fa8/edit?usp=share_link"",""ฉะเชิงเทรา!J378"")+IMPORTRANGE(""https://docs.google.com/spreadsheets/d/1_Zwps30dlVa-pZFsorjVf1Pil6WXwzCsJU0U"&amp;"2whO3NI/edit?usp=share_link"",""ชลบุรี!J378"")+IMPORTRANGE(""https://docs.google.com/spreadsheets/d/1xAsT4sUbBlom7l0acStESh_15nvjZcXjZM7fK5uZSq8/edit?usp=share_link"",""ชัยนาท!J378"")+IMPORTRANGE(""https://docs.google.com/spreadsheets/d/1vWPVBOAaZ6mHSI8yf"&amp;"95DNqHwTJ1cpeFsvqt6cxV34QA/edit?usp=share_link"",""ตราด!J378"")+IMPORTRANGE(""https://docs.google.com/spreadsheets/d/1phaeSb9lTGgzDpbvVqI9hfmOQQzUom07-HEvpbARzEg/edit?usp=share_link"",""นครนายก!J378"")+IMPORTRANGE(""https://docs.google.com/spreadsheets/d/"&amp;"1tpwhWwkqkBeiSWCcfB5f2fbwPRbM9hHOEDSDHpl2MIc/edit?usp=share_link"",""นครปฐม!J378"")+IMPORTRANGE(""https://docs.google.com/spreadsheets/d/1fJJCVBkBnhriyv0Cp5ZFMr0I_yrfdEITNpb4zILJgUQ/edit?usp=share_link"",""ปทุมธานี!J378"")+IMPORTRANGE(""https://docs.googl"&amp;"e.com/spreadsheets/d/1W5Jj_S0gYw6wSO7QcMI02YgyOBDKYgmm0NSUk-AQEac/edit?usp=share_link"",""ประจวบคีรีขันธ์!J378"")+IMPORTRANGE(""https://docs.google.com/spreadsheets/d/1nYxRXgnCfTXtqUY1otYuTlnrzE0Tn-Y0YRsW5pkRVqo/edit?usp=share_link"",""ปราจีนบุรี!J378"")+"&amp;"IMPORTRANGE(""https://docs.google.com/spreadsheets/d/1nNHCLO8ZAXOMfQvxux7cf_hrzPAh8FAvaHq_ClKbZNo/edit?usp=share_link"",""พระนครศรีอยุธยา!J378"")+IMPORTRANGE(""https://docs.google.com/spreadsheets/d/1CdNicvf3i6yt4tJlCePe3V1Va76wYqW0QzMzTsaGRrA/edit?usp=sh"&amp;"are_link"",""เพชรบุรี!J378"")+IMPORTRANGE(""https://docs.google.com/spreadsheets/d/1XiF77UIVHV0Kjc6xbXuOuJ10WgJYxd4p_22ngKVV5oM/edit?usp=share_link"",""ระยอง!J378"")+IMPORTRANGE(""https://docs.google.com/spreadsheets/d/1qU-W_9MCQD1pgIVXGEOjCFo9QqlmJywueby"&amp;"GgaN92r8/edit?usp=share_link"",""ราชบุรี!J378"")+IMPORTRANGE(""https://docs.google.com/spreadsheets/d/1xYFIxIM_CspAP5Q-5Zx_V0T_Ut3cjryrjd2hss28vGk/edit?usp=share_link"",""ลพบุรี!J378"")+IMPORTRANGE(""https://docs.google.com/spreadsheets/d/11s9m3tKsCBdPWq6"&amp;"syhZm27eBGbKneDLZc75co106bio/edit?usp=share_link"",""สระแก้ว!J378"")+IMPORTRANGE(""https://docs.google.com/spreadsheets/d/1Nn1EvsFPtXldgpgVb3Rcng2K2cls68LFQsBh2FyW0Bg/edit?usp=share_link"",""สระบุรี!J378"")+IMPORTRANGE(""https://docs.google.com/spreadshee"&amp;"ts/d/149xufxukrnEciK3WPbNpHwUK8BKEJxp3UcBG3Al6dA4/edit?usp=share_link"",""สิงห์บุรี!J378"")+IMPORTRANGE(""https://docs.google.com/spreadsheets/d/132g-zJpz2uMKimp17uOIx8A7o3w1Z25zwJyXnwsB56c/edit?usp=share_link"",""สุพรรณบุรี!J378"")+IMPORTRANGE(""https://"&amp;"docs.google.com/spreadsheets/d/12Q_U0nVnFdxDFwa0pej9xvx8ZvLC9Dpi_vRro_aiG5g/edit?usp=share_link"",""อ่างทอง!J378"")
"),3014.22)</f>
        <v>3014.22</v>
      </c>
      <c r="K378" s="496">
        <f t="shared" ca="1" si="192"/>
        <v>14.119449128724002</v>
      </c>
      <c r="L378" s="163"/>
      <c r="M378" s="163"/>
      <c r="N378" s="163"/>
      <c r="O378" s="163"/>
      <c r="P378" s="163"/>
    </row>
    <row r="379" spans="1:26" ht="20.25" customHeight="1">
      <c r="A379" s="170"/>
      <c r="B379" s="178"/>
      <c r="C379" s="171"/>
      <c r="D379" s="178"/>
      <c r="E379" s="176" t="s">
        <v>162</v>
      </c>
      <c r="F379" s="178"/>
      <c r="G379" s="179"/>
      <c r="H379" s="182" t="s">
        <v>35</v>
      </c>
      <c r="I379" s="37">
        <f ca="1">IFERROR(__xludf.DUMMYFUNCTION("IMPORTRANGE(""https://docs.google.com/spreadsheets/d/1hKO5uv94SSRZWOvrh72HRcpyoEQF9TsE_Cvxl77XNU4/edit?usp=share_link"",""กาญจนบุรี!I379"")+IMPORTRANGE(""https://docs.google.com/spreadsheets/d/1njBaP_xXd-Uotvo2D9zb01TTCFkLJLDK97Tk1l9Qux0/edit?usp=share_li"&amp;"nk"",""จันทบุรี!I379"")+IMPORTRANGE(""https://docs.google.com/spreadsheets/d/14xp6qUzrGFnUk_qnc1eEmfiaNRd4_grkhpfQH_46fa8/edit?usp=share_link"",""ฉะเชิงเทรา!I379"")+IMPORTRANGE(""https://docs.google.com/spreadsheets/d/1_Zwps30dlVa-pZFsorjVf1Pil6WXwzCsJU0U"&amp;"2whO3NI/edit?usp=share_link"",""ชลบุรี!I379"")+IMPORTRANGE(""https://docs.google.com/spreadsheets/d/1xAsT4sUbBlom7l0acStESh_15nvjZcXjZM7fK5uZSq8/edit?usp=share_link"",""ชัยนาท!I379"")+IMPORTRANGE(""https://docs.google.com/spreadsheets/d/1vWPVBOAaZ6mHSI8yf"&amp;"95DNqHwTJ1cpeFsvqt6cxV34QA/edit?usp=share_link"",""ตราด!I379"")+IMPORTRANGE(""https://docs.google.com/spreadsheets/d/1phaeSb9lTGgzDpbvVqI9hfmOQQzUom07-HEvpbARzEg/edit?usp=share_link"",""นครนายก!I379"")+IMPORTRANGE(""https://docs.google.com/spreadsheets/d/"&amp;"1tpwhWwkqkBeiSWCcfB5f2fbwPRbM9hHOEDSDHpl2MIc/edit?usp=share_link"",""นครปฐม!I379"")+IMPORTRANGE(""https://docs.google.com/spreadsheets/d/1fJJCVBkBnhriyv0Cp5ZFMr0I_yrfdEITNpb4zILJgUQ/edit?usp=share_link"",""ปทุมธานี!I379"")+IMPORTRANGE(""https://docs.googl"&amp;"e.com/spreadsheets/d/1W5Jj_S0gYw6wSO7QcMI02YgyOBDKYgmm0NSUk-AQEac/edit?usp=share_link"",""ประจวบคีรีขันธ์!I379"")+IMPORTRANGE(""https://docs.google.com/spreadsheets/d/1nYxRXgnCfTXtqUY1otYuTlnrzE0Tn-Y0YRsW5pkRVqo/edit?usp=share_link"",""ปราจีนบุรี!I379"")+"&amp;"IMPORTRANGE(""https://docs.google.com/spreadsheets/d/1nNHCLO8ZAXOMfQvxux7cf_hrzPAh8FAvaHq_ClKbZNo/edit?usp=share_link"",""พระนครศรีอยุธยา!I379"")+IMPORTRANGE(""https://docs.google.com/spreadsheets/d/1CdNicvf3i6yt4tJlCePe3V1Va76wYqW0QzMzTsaGRrA/edit?usp=sh"&amp;"are_link"",""เพชรบุรี!I379"")+IMPORTRANGE(""https://docs.google.com/spreadsheets/d/1XiF77UIVHV0Kjc6xbXuOuJ10WgJYxd4p_22ngKVV5oM/edit?usp=share_link"",""ระยอง!I379"")+IMPORTRANGE(""https://docs.google.com/spreadsheets/d/1qU-W_9MCQD1pgIVXGEOjCFo9QqlmJywueby"&amp;"GgaN92r8/edit?usp=share_link"",""ราชบุรี!I379"")+IMPORTRANGE(""https://docs.google.com/spreadsheets/d/1xYFIxIM_CspAP5Q-5Zx_V0T_Ut3cjryrjd2hss28vGk/edit?usp=share_link"",""ลพบุรี!I379"")+IMPORTRANGE(""https://docs.google.com/spreadsheets/d/11s9m3tKsCBdPWq6"&amp;"syhZm27eBGbKneDLZc75co106bio/edit?usp=share_link"",""สระแก้ว!I379"")+IMPORTRANGE(""https://docs.google.com/spreadsheets/d/1Nn1EvsFPtXldgpgVb3Rcng2K2cls68LFQsBh2FyW0Bg/edit?usp=share_link"",""สระบุรี!I379"")+IMPORTRANGE(""https://docs.google.com/spreadshee"&amp;"ts/d/149xufxukrnEciK3WPbNpHwUK8BKEJxp3UcBG3Al6dA4/edit?usp=share_link"",""สิงห์บุรี!I379"")+IMPORTRANGE(""https://docs.google.com/spreadsheets/d/132g-zJpz2uMKimp17uOIx8A7o3w1Z25zwJyXnwsB56c/edit?usp=share_link"",""สุพรรณบุรี!I379"")+IMPORTRANGE(""https://"&amp;"docs.google.com/spreadsheets/d/12Q_U0nVnFdxDFwa0pej9xvx8ZvLC9Dpi_vRro_aiG5g/edit?usp=share_link"",""อ่างทอง!I379"")
"),3752)</f>
        <v>3752</v>
      </c>
      <c r="J379" s="269">
        <f ca="1">IFERROR(__xludf.DUMMYFUNCTION("IMPORTRANGE(""https://docs.google.com/spreadsheets/d/1hKO5uv94SSRZWOvrh72HRcpyoEQF9TsE_Cvxl77XNU4/edit?usp=share_link"",""กาญจนบุรี!J379"")+IMPORTRANGE(""https://docs.google.com/spreadsheets/d/1njBaP_xXd-Uotvo2D9zb01TTCFkLJLDK97Tk1l9Qux0/edit?usp=share_li"&amp;"nk"",""จันทบุรี!J379"")+IMPORTRANGE(""https://docs.google.com/spreadsheets/d/14xp6qUzrGFnUk_qnc1eEmfiaNRd4_grkhpfQH_46fa8/edit?usp=share_link"",""ฉะเชิงเทรา!J379"")+IMPORTRANGE(""https://docs.google.com/spreadsheets/d/1_Zwps30dlVa-pZFsorjVf1Pil6WXwzCsJU0U"&amp;"2whO3NI/edit?usp=share_link"",""ชลบุรี!J379"")+IMPORTRANGE(""https://docs.google.com/spreadsheets/d/1xAsT4sUbBlom7l0acStESh_15nvjZcXjZM7fK5uZSq8/edit?usp=share_link"",""ชัยนาท!J379"")+IMPORTRANGE(""https://docs.google.com/spreadsheets/d/1vWPVBOAaZ6mHSI8yf"&amp;"95DNqHwTJ1cpeFsvqt6cxV34QA/edit?usp=share_link"",""ตราด!J379"")+IMPORTRANGE(""https://docs.google.com/spreadsheets/d/1phaeSb9lTGgzDpbvVqI9hfmOQQzUom07-HEvpbARzEg/edit?usp=share_link"",""นครนายก!J379"")+IMPORTRANGE(""https://docs.google.com/spreadsheets/d/"&amp;"1tpwhWwkqkBeiSWCcfB5f2fbwPRbM9hHOEDSDHpl2MIc/edit?usp=share_link"",""นครปฐม!J379"")+IMPORTRANGE(""https://docs.google.com/spreadsheets/d/1fJJCVBkBnhriyv0Cp5ZFMr0I_yrfdEITNpb4zILJgUQ/edit?usp=share_link"",""ปทุมธานี!J379"")+IMPORTRANGE(""https://docs.googl"&amp;"e.com/spreadsheets/d/1W5Jj_S0gYw6wSO7QcMI02YgyOBDKYgmm0NSUk-AQEac/edit?usp=share_link"",""ประจวบคีรีขันธ์!J379"")+IMPORTRANGE(""https://docs.google.com/spreadsheets/d/1nYxRXgnCfTXtqUY1otYuTlnrzE0Tn-Y0YRsW5pkRVqo/edit?usp=share_link"",""ปราจีนบุรี!J379"")+"&amp;"IMPORTRANGE(""https://docs.google.com/spreadsheets/d/1nNHCLO8ZAXOMfQvxux7cf_hrzPAh8FAvaHq_ClKbZNo/edit?usp=share_link"",""พระนครศรีอยุธยา!J379"")+IMPORTRANGE(""https://docs.google.com/spreadsheets/d/1CdNicvf3i6yt4tJlCePe3V1Va76wYqW0QzMzTsaGRrA/edit?usp=sh"&amp;"are_link"",""เพชรบุรี!J379"")+IMPORTRANGE(""https://docs.google.com/spreadsheets/d/1XiF77UIVHV0Kjc6xbXuOuJ10WgJYxd4p_22ngKVV5oM/edit?usp=share_link"",""ระยอง!J379"")+IMPORTRANGE(""https://docs.google.com/spreadsheets/d/1qU-W_9MCQD1pgIVXGEOjCFo9QqlmJywueby"&amp;"GgaN92r8/edit?usp=share_link"",""ราชบุรี!J379"")+IMPORTRANGE(""https://docs.google.com/spreadsheets/d/1xYFIxIM_CspAP5Q-5Zx_V0T_Ut3cjryrjd2hss28vGk/edit?usp=share_link"",""ลพบุรี!J379"")+IMPORTRANGE(""https://docs.google.com/spreadsheets/d/11s9m3tKsCBdPWq6"&amp;"syhZm27eBGbKneDLZc75co106bio/edit?usp=share_link"",""สระแก้ว!J379"")+IMPORTRANGE(""https://docs.google.com/spreadsheets/d/1Nn1EvsFPtXldgpgVb3Rcng2K2cls68LFQsBh2FyW0Bg/edit?usp=share_link"",""สระบุรี!J379"")+IMPORTRANGE(""https://docs.google.com/spreadshee"&amp;"ts/d/149xufxukrnEciK3WPbNpHwUK8BKEJxp3UcBG3Al6dA4/edit?usp=share_link"",""สิงห์บุรี!J379"")+IMPORTRANGE(""https://docs.google.com/spreadsheets/d/132g-zJpz2uMKimp17uOIx8A7o3w1Z25zwJyXnwsB56c/edit?usp=share_link"",""สุพรรณบุรี!J379"")+IMPORTRANGE(""https://"&amp;"docs.google.com/spreadsheets/d/12Q_U0nVnFdxDFwa0pej9xvx8ZvLC9Dpi_vRro_aiG5g/edit?usp=share_link"",""อ่างทอง!J379"")
"),632)</f>
        <v>632</v>
      </c>
      <c r="K379" s="496">
        <f t="shared" ca="1" si="192"/>
        <v>16.844349680170577</v>
      </c>
      <c r="L379" s="163"/>
      <c r="M379" s="163"/>
      <c r="N379" s="163"/>
      <c r="O379" s="163"/>
      <c r="P379" s="163"/>
    </row>
    <row r="380" spans="1:26" ht="20.25" customHeight="1">
      <c r="A380" s="170"/>
      <c r="B380" s="178"/>
      <c r="C380" s="171"/>
      <c r="D380" s="178"/>
      <c r="E380" s="178"/>
      <c r="F380" s="178"/>
      <c r="G380" s="179"/>
      <c r="H380" s="182" t="s">
        <v>46</v>
      </c>
      <c r="I380" s="269">
        <v>0</v>
      </c>
      <c r="J380" s="269">
        <f ca="1">IFERROR(__xludf.DUMMYFUNCTION("IMPORTRANGE(""https://docs.google.com/spreadsheets/d/1hKO5uv94SSRZWOvrh72HRcpyoEQF9TsE_Cvxl77XNU4/edit?usp=share_link"",""กาญจนบุรี!J380"")+IMPORTRANGE(""https://docs.google.com/spreadsheets/d/1njBaP_xXd-Uotvo2D9zb01TTCFkLJLDK97Tk1l9Qux0/edit?usp=share_li"&amp;"nk"",""จันทบุรี!J380"")+IMPORTRANGE(""https://docs.google.com/spreadsheets/d/14xp6qUzrGFnUk_qnc1eEmfiaNRd4_grkhpfQH_46fa8/edit?usp=share_link"",""ฉะเชิงเทรา!J380"")+IMPORTRANGE(""https://docs.google.com/spreadsheets/d/1_Zwps30dlVa-pZFsorjVf1Pil6WXwzCsJU0U"&amp;"2whO3NI/edit?usp=share_link"",""ชลบุรี!J380"")+IMPORTRANGE(""https://docs.google.com/spreadsheets/d/1xAsT4sUbBlom7l0acStESh_15nvjZcXjZM7fK5uZSq8/edit?usp=share_link"",""ชัยนาท!J380"")+IMPORTRANGE(""https://docs.google.com/spreadsheets/d/1vWPVBOAaZ6mHSI8yf"&amp;"95DNqHwTJ1cpeFsvqt6cxV34QA/edit?usp=share_link"",""ตราด!J380"")+IMPORTRANGE(""https://docs.google.com/spreadsheets/d/1phaeSb9lTGgzDpbvVqI9hfmOQQzUom07-HEvpbARzEg/edit?usp=share_link"",""นครนายก!J380"")+IMPORTRANGE(""https://docs.google.com/spreadsheets/d/"&amp;"1tpwhWwkqkBeiSWCcfB5f2fbwPRbM9hHOEDSDHpl2MIc/edit?usp=share_link"",""นครปฐม!J380"")+IMPORTRANGE(""https://docs.google.com/spreadsheets/d/1fJJCVBkBnhriyv0Cp5ZFMr0I_yrfdEITNpb4zILJgUQ/edit?usp=share_link"",""ปทุมธานี!J380"")+IMPORTRANGE(""https://docs.googl"&amp;"e.com/spreadsheets/d/1W5Jj_S0gYw6wSO7QcMI02YgyOBDKYgmm0NSUk-AQEac/edit?usp=share_link"",""ประจวบคีรีขันธ์!J380"")+IMPORTRANGE(""https://docs.google.com/spreadsheets/d/1nYxRXgnCfTXtqUY1otYuTlnrzE0Tn-Y0YRsW5pkRVqo/edit?usp=share_link"",""ปราจีนบุรี!J380"")+"&amp;"IMPORTRANGE(""https://docs.google.com/spreadsheets/d/1nNHCLO8ZAXOMfQvxux7cf_hrzPAh8FAvaHq_ClKbZNo/edit?usp=share_link"",""พระนครศรีอยุธยา!J380"")+IMPORTRANGE(""https://docs.google.com/spreadsheets/d/1CdNicvf3i6yt4tJlCePe3V1Va76wYqW0QzMzTsaGRrA/edit?usp=sh"&amp;"are_link"",""เพชรบุรี!J380"")+IMPORTRANGE(""https://docs.google.com/spreadsheets/d/1XiF77UIVHV0Kjc6xbXuOuJ10WgJYxd4p_22ngKVV5oM/edit?usp=share_link"",""ระยอง!J380"")+IMPORTRANGE(""https://docs.google.com/spreadsheets/d/1qU-W_9MCQD1pgIVXGEOjCFo9QqlmJywueby"&amp;"GgaN92r8/edit?usp=share_link"",""ราชบุรี!J380"")+IMPORTRANGE(""https://docs.google.com/spreadsheets/d/1xYFIxIM_CspAP5Q-5Zx_V0T_Ut3cjryrjd2hss28vGk/edit?usp=share_link"",""ลพบุรี!J380"")+IMPORTRANGE(""https://docs.google.com/spreadsheets/d/11s9m3tKsCBdPWq6"&amp;"syhZm27eBGbKneDLZc75co106bio/edit?usp=share_link"",""สระแก้ว!J380"")+IMPORTRANGE(""https://docs.google.com/spreadsheets/d/1Nn1EvsFPtXldgpgVb3Rcng2K2cls68LFQsBh2FyW0Bg/edit?usp=share_link"",""สระบุรี!J380"")+IMPORTRANGE(""https://docs.google.com/spreadshee"&amp;"ts/d/149xufxukrnEciK3WPbNpHwUK8BKEJxp3UcBG3Al6dA4/edit?usp=share_link"",""สิงห์บุรี!J380"")+IMPORTRANGE(""https://docs.google.com/spreadsheets/d/132g-zJpz2uMKimp17uOIx8A7o3w1Z25zwJyXnwsB56c/edit?usp=share_link"",""สุพรรณบุรี!J380"")+IMPORTRANGE(""https://"&amp;"docs.google.com/spreadsheets/d/12Q_U0nVnFdxDFwa0pej9xvx8ZvLC9Dpi_vRro_aiG5g/edit?usp=share_link"",""อ่างทอง!J380"")
"),8471.04)</f>
        <v>8471.0400000000009</v>
      </c>
      <c r="K380" s="496">
        <f t="shared" si="192"/>
        <v>0</v>
      </c>
      <c r="L380" s="163"/>
      <c r="M380" s="163"/>
      <c r="N380" s="163"/>
      <c r="O380" s="163"/>
      <c r="P380" s="163"/>
    </row>
    <row r="381" spans="1:26" ht="20.25" customHeight="1">
      <c r="A381" s="170"/>
      <c r="B381" s="178"/>
      <c r="C381" s="171"/>
      <c r="D381" s="178"/>
      <c r="E381" s="176" t="s">
        <v>163</v>
      </c>
      <c r="F381" s="178"/>
      <c r="G381" s="179"/>
      <c r="H381" s="182" t="s">
        <v>35</v>
      </c>
      <c r="I381" s="37">
        <f ca="1">IFERROR(__xludf.DUMMYFUNCTION("IMPORTRANGE(""https://docs.google.com/spreadsheets/d/1hKO5uv94SSRZWOvrh72HRcpyoEQF9TsE_Cvxl77XNU4/edit?usp=share_link"",""กาญจนบุรี!I381"")+IMPORTRANGE(""https://docs.google.com/spreadsheets/d/1njBaP_xXd-Uotvo2D9zb01TTCFkLJLDK97Tk1l9Qux0/edit?usp=share_li"&amp;"nk"",""จันทบุรี!I381"")+IMPORTRANGE(""https://docs.google.com/spreadsheets/d/14xp6qUzrGFnUk_qnc1eEmfiaNRd4_grkhpfQH_46fa8/edit?usp=share_link"",""ฉะเชิงเทรา!I381"")+IMPORTRANGE(""https://docs.google.com/spreadsheets/d/1_Zwps30dlVa-pZFsorjVf1Pil6WXwzCsJU0U"&amp;"2whO3NI/edit?usp=share_link"",""ชลบุรี!I381"")+IMPORTRANGE(""https://docs.google.com/spreadsheets/d/1xAsT4sUbBlom7l0acStESh_15nvjZcXjZM7fK5uZSq8/edit?usp=share_link"",""ชัยนาท!I381"")+IMPORTRANGE(""https://docs.google.com/spreadsheets/d/1vWPVBOAaZ6mHSI8yf"&amp;"95DNqHwTJ1cpeFsvqt6cxV34QA/edit?usp=share_link"",""ตราด!I381"")+IMPORTRANGE(""https://docs.google.com/spreadsheets/d/1phaeSb9lTGgzDpbvVqI9hfmOQQzUom07-HEvpbARzEg/edit?usp=share_link"",""นครนายก!I381"")+IMPORTRANGE(""https://docs.google.com/spreadsheets/d/"&amp;"1tpwhWwkqkBeiSWCcfB5f2fbwPRbM9hHOEDSDHpl2MIc/edit?usp=share_link"",""นครปฐม!I381"")+IMPORTRANGE(""https://docs.google.com/spreadsheets/d/1fJJCVBkBnhriyv0Cp5ZFMr0I_yrfdEITNpb4zILJgUQ/edit?usp=share_link"",""ปทุมธานี!I381"")+IMPORTRANGE(""https://docs.googl"&amp;"e.com/spreadsheets/d/1W5Jj_S0gYw6wSO7QcMI02YgyOBDKYgmm0NSUk-AQEac/edit?usp=share_link"",""ประจวบคีรีขันธ์!I381"")+IMPORTRANGE(""https://docs.google.com/spreadsheets/d/1nYxRXgnCfTXtqUY1otYuTlnrzE0Tn-Y0YRsW5pkRVqo/edit?usp=share_link"",""ปราจีนบุรี!I381"")+"&amp;"IMPORTRANGE(""https://docs.google.com/spreadsheets/d/1nNHCLO8ZAXOMfQvxux7cf_hrzPAh8FAvaHq_ClKbZNo/edit?usp=share_link"",""พระนครศรีอยุธยา!I381"")+IMPORTRANGE(""https://docs.google.com/spreadsheets/d/1CdNicvf3i6yt4tJlCePe3V1Va76wYqW0QzMzTsaGRrA/edit?usp=sh"&amp;"are_link"",""เพชรบุรี!I381"")+IMPORTRANGE(""https://docs.google.com/spreadsheets/d/1XiF77UIVHV0Kjc6xbXuOuJ10WgJYxd4p_22ngKVV5oM/edit?usp=share_link"",""ระยอง!I381"")+IMPORTRANGE(""https://docs.google.com/spreadsheets/d/1qU-W_9MCQD1pgIVXGEOjCFo9QqlmJywueby"&amp;"GgaN92r8/edit?usp=share_link"",""ราชบุรี!I381"")+IMPORTRANGE(""https://docs.google.com/spreadsheets/d/1xYFIxIM_CspAP5Q-5Zx_V0T_Ut3cjryrjd2hss28vGk/edit?usp=share_link"",""ลพบุรี!I381"")+IMPORTRANGE(""https://docs.google.com/spreadsheets/d/11s9m3tKsCBdPWq6"&amp;"syhZm27eBGbKneDLZc75co106bio/edit?usp=share_link"",""สระแก้ว!I381"")+IMPORTRANGE(""https://docs.google.com/spreadsheets/d/1Nn1EvsFPtXldgpgVb3Rcng2K2cls68LFQsBh2FyW0Bg/edit?usp=share_link"",""สระบุรี!I381"")+IMPORTRANGE(""https://docs.google.com/spreadshee"&amp;"ts/d/149xufxukrnEciK3WPbNpHwUK8BKEJxp3UcBG3Al6dA4/edit?usp=share_link"",""สิงห์บุรี!I381"")+IMPORTRANGE(""https://docs.google.com/spreadsheets/d/132g-zJpz2uMKimp17uOIx8A7o3w1Z25zwJyXnwsB56c/edit?usp=share_link"",""สุพรรณบุรี!I381"")+IMPORTRANGE(""https://"&amp;"docs.google.com/spreadsheets/d/12Q_U0nVnFdxDFwa0pej9xvx8ZvLC9Dpi_vRro_aiG5g/edit?usp=share_link"",""อ่างทอง!I381"")
"),3752)</f>
        <v>3752</v>
      </c>
      <c r="J381" s="269">
        <f ca="1">IFERROR(__xludf.DUMMYFUNCTION("IMPORTRANGE(""https://docs.google.com/spreadsheets/d/1hKO5uv94SSRZWOvrh72HRcpyoEQF9TsE_Cvxl77XNU4/edit?usp=share_link"",""กาญจนบุรี!J381"")+IMPORTRANGE(""https://docs.google.com/spreadsheets/d/1njBaP_xXd-Uotvo2D9zb01TTCFkLJLDK97Tk1l9Qux0/edit?usp=share_li"&amp;"nk"",""จันทบุรี!J381"")+IMPORTRANGE(""https://docs.google.com/spreadsheets/d/14xp6qUzrGFnUk_qnc1eEmfiaNRd4_grkhpfQH_46fa8/edit?usp=share_link"",""ฉะเชิงเทรา!J381"")+IMPORTRANGE(""https://docs.google.com/spreadsheets/d/1_Zwps30dlVa-pZFsorjVf1Pil6WXwzCsJU0U"&amp;"2whO3NI/edit?usp=share_link"",""ชลบุรี!J381"")+IMPORTRANGE(""https://docs.google.com/spreadsheets/d/1xAsT4sUbBlom7l0acStESh_15nvjZcXjZM7fK5uZSq8/edit?usp=share_link"",""ชัยนาท!J381"")+IMPORTRANGE(""https://docs.google.com/spreadsheets/d/1vWPVBOAaZ6mHSI8yf"&amp;"95DNqHwTJ1cpeFsvqt6cxV34QA/edit?usp=share_link"",""ตราด!J381"")+IMPORTRANGE(""https://docs.google.com/spreadsheets/d/1phaeSb9lTGgzDpbvVqI9hfmOQQzUom07-HEvpbARzEg/edit?usp=share_link"",""นครนายก!J381"")+IMPORTRANGE(""https://docs.google.com/spreadsheets/d/"&amp;"1tpwhWwkqkBeiSWCcfB5f2fbwPRbM9hHOEDSDHpl2MIc/edit?usp=share_link"",""นครปฐม!J381"")+IMPORTRANGE(""https://docs.google.com/spreadsheets/d/1fJJCVBkBnhriyv0Cp5ZFMr0I_yrfdEITNpb4zILJgUQ/edit?usp=share_link"",""ปทุมธานี!J381"")+IMPORTRANGE(""https://docs.googl"&amp;"e.com/spreadsheets/d/1W5Jj_S0gYw6wSO7QcMI02YgyOBDKYgmm0NSUk-AQEac/edit?usp=share_link"",""ประจวบคีรีขันธ์!J381"")+IMPORTRANGE(""https://docs.google.com/spreadsheets/d/1nYxRXgnCfTXtqUY1otYuTlnrzE0Tn-Y0YRsW5pkRVqo/edit?usp=share_link"",""ปราจีนบุรี!J381"")+"&amp;"IMPORTRANGE(""https://docs.google.com/spreadsheets/d/1nNHCLO8ZAXOMfQvxux7cf_hrzPAh8FAvaHq_ClKbZNo/edit?usp=share_link"",""พระนครศรีอยุธยา!J381"")+IMPORTRANGE(""https://docs.google.com/spreadsheets/d/1CdNicvf3i6yt4tJlCePe3V1Va76wYqW0QzMzTsaGRrA/edit?usp=sh"&amp;"are_link"",""เพชรบุรี!J381"")+IMPORTRANGE(""https://docs.google.com/spreadsheets/d/1XiF77UIVHV0Kjc6xbXuOuJ10WgJYxd4p_22ngKVV5oM/edit?usp=share_link"",""ระยอง!J381"")+IMPORTRANGE(""https://docs.google.com/spreadsheets/d/1qU-W_9MCQD1pgIVXGEOjCFo9QqlmJywueby"&amp;"GgaN92r8/edit?usp=share_link"",""ราชบุรี!J381"")+IMPORTRANGE(""https://docs.google.com/spreadsheets/d/1xYFIxIM_CspAP5Q-5Zx_V0T_Ut3cjryrjd2hss28vGk/edit?usp=share_link"",""ลพบุรี!J381"")+IMPORTRANGE(""https://docs.google.com/spreadsheets/d/11s9m3tKsCBdPWq6"&amp;"syhZm27eBGbKneDLZc75co106bio/edit?usp=share_link"",""สระแก้ว!J381"")+IMPORTRANGE(""https://docs.google.com/spreadsheets/d/1Nn1EvsFPtXldgpgVb3Rcng2K2cls68LFQsBh2FyW0Bg/edit?usp=share_link"",""สระบุรี!J381"")+IMPORTRANGE(""https://docs.google.com/spreadshee"&amp;"ts/d/149xufxukrnEciK3WPbNpHwUK8BKEJxp3UcBG3Al6dA4/edit?usp=share_link"",""สิงห์บุรี!J381"")+IMPORTRANGE(""https://docs.google.com/spreadsheets/d/132g-zJpz2uMKimp17uOIx8A7o3w1Z25zwJyXnwsB56c/edit?usp=share_link"",""สุพรรณบุรี!J381"")+IMPORTRANGE(""https://"&amp;"docs.google.com/spreadsheets/d/12Q_U0nVnFdxDFwa0pej9xvx8ZvLC9Dpi_vRro_aiG5g/edit?usp=share_link"",""อ่างทอง!J381"")
"),447)</f>
        <v>447</v>
      </c>
      <c r="K381" s="496">
        <f t="shared" ca="1" si="192"/>
        <v>11.9136460554371</v>
      </c>
      <c r="L381" s="163"/>
      <c r="M381" s="163"/>
      <c r="N381" s="163"/>
      <c r="O381" s="163"/>
      <c r="P381" s="163"/>
    </row>
    <row r="382" spans="1:26" ht="20.25" customHeight="1">
      <c r="A382" s="469" t="s">
        <v>164</v>
      </c>
      <c r="B382" s="178"/>
      <c r="C382" s="171"/>
      <c r="D382" s="178"/>
      <c r="E382" s="177"/>
      <c r="F382" s="178"/>
      <c r="G382" s="179"/>
      <c r="H382" s="182" t="s">
        <v>46</v>
      </c>
      <c r="I382" s="269">
        <v>0</v>
      </c>
      <c r="J382" s="269">
        <f ca="1">IFERROR(__xludf.DUMMYFUNCTION("IMPORTRANGE(""https://docs.google.com/spreadsheets/d/1hKO5uv94SSRZWOvrh72HRcpyoEQF9TsE_Cvxl77XNU4/edit?usp=share_link"",""กาญจนบุรี!J382"")+IMPORTRANGE(""https://docs.google.com/spreadsheets/d/1njBaP_xXd-Uotvo2D9zb01TTCFkLJLDK97Tk1l9Qux0/edit?usp=share_li"&amp;"nk"",""จันทบุรี!J382"")+IMPORTRANGE(""https://docs.google.com/spreadsheets/d/14xp6qUzrGFnUk_qnc1eEmfiaNRd4_grkhpfQH_46fa8/edit?usp=share_link"",""ฉะเชิงเทรา!J382"")+IMPORTRANGE(""https://docs.google.com/spreadsheets/d/1_Zwps30dlVa-pZFsorjVf1Pil6WXwzCsJU0U"&amp;"2whO3NI/edit?usp=share_link"",""ชลบุรี!J382"")+IMPORTRANGE(""https://docs.google.com/spreadsheets/d/1xAsT4sUbBlom7l0acStESh_15nvjZcXjZM7fK5uZSq8/edit?usp=share_link"",""ชัยนาท!J382"")+IMPORTRANGE(""https://docs.google.com/spreadsheets/d/1vWPVBOAaZ6mHSI8yf"&amp;"95DNqHwTJ1cpeFsvqt6cxV34QA/edit?usp=share_link"",""ตราด!J382"")+IMPORTRANGE(""https://docs.google.com/spreadsheets/d/1phaeSb9lTGgzDpbvVqI9hfmOQQzUom07-HEvpbARzEg/edit?usp=share_link"",""นครนายก!J382"")+IMPORTRANGE(""https://docs.google.com/spreadsheets/d/"&amp;"1tpwhWwkqkBeiSWCcfB5f2fbwPRbM9hHOEDSDHpl2MIc/edit?usp=share_link"",""นครปฐม!J382"")+IMPORTRANGE(""https://docs.google.com/spreadsheets/d/1fJJCVBkBnhriyv0Cp5ZFMr0I_yrfdEITNpb4zILJgUQ/edit?usp=share_link"",""ปทุมธานี!J382"")+IMPORTRANGE(""https://docs.googl"&amp;"e.com/spreadsheets/d/1W5Jj_S0gYw6wSO7QcMI02YgyOBDKYgmm0NSUk-AQEac/edit?usp=share_link"",""ประจวบคีรีขันธ์!J382"")+IMPORTRANGE(""https://docs.google.com/spreadsheets/d/1nYxRXgnCfTXtqUY1otYuTlnrzE0Tn-Y0YRsW5pkRVqo/edit?usp=share_link"",""ปราจีนบุรี!J382"")+"&amp;"IMPORTRANGE(""https://docs.google.com/spreadsheets/d/1nNHCLO8ZAXOMfQvxux7cf_hrzPAh8FAvaHq_ClKbZNo/edit?usp=share_link"",""พระนครศรีอยุธยา!J382"")+IMPORTRANGE(""https://docs.google.com/spreadsheets/d/1CdNicvf3i6yt4tJlCePe3V1Va76wYqW0QzMzTsaGRrA/edit?usp=sh"&amp;"are_link"",""เพชรบุรี!J382"")+IMPORTRANGE(""https://docs.google.com/spreadsheets/d/1XiF77UIVHV0Kjc6xbXuOuJ10WgJYxd4p_22ngKVV5oM/edit?usp=share_link"",""ระยอง!J382"")+IMPORTRANGE(""https://docs.google.com/spreadsheets/d/1qU-W_9MCQD1pgIVXGEOjCFo9QqlmJywueby"&amp;"GgaN92r8/edit?usp=share_link"",""ราชบุรี!J382"")+IMPORTRANGE(""https://docs.google.com/spreadsheets/d/1xYFIxIM_CspAP5Q-5Zx_V0T_Ut3cjryrjd2hss28vGk/edit?usp=share_link"",""ลพบุรี!J382"")+IMPORTRANGE(""https://docs.google.com/spreadsheets/d/11s9m3tKsCBdPWq6"&amp;"syhZm27eBGbKneDLZc75co106bio/edit?usp=share_link"",""สระแก้ว!J382"")+IMPORTRANGE(""https://docs.google.com/spreadsheets/d/1Nn1EvsFPtXldgpgVb3Rcng2K2cls68LFQsBh2FyW0Bg/edit?usp=share_link"",""สระบุรี!J382"")+IMPORTRANGE(""https://docs.google.com/spreadshee"&amp;"ts/d/149xufxukrnEciK3WPbNpHwUK8BKEJxp3UcBG3Al6dA4/edit?usp=share_link"",""สิงห์บุรี!J382"")+IMPORTRANGE(""https://docs.google.com/spreadsheets/d/132g-zJpz2uMKimp17uOIx8A7o3w1Z25zwJyXnwsB56c/edit?usp=share_link"",""สุพรรณบุรี!J382"")+IMPORTRANGE(""https://"&amp;"docs.google.com/spreadsheets/d/12Q_U0nVnFdxDFwa0pej9xvx8ZvLC9Dpi_vRro_aiG5g/edit?usp=share_link"",""อ่างทอง!J382"")
"),6151.03)</f>
        <v>6151.03</v>
      </c>
      <c r="K382" s="496">
        <f t="shared" si="192"/>
        <v>0</v>
      </c>
      <c r="L382" s="163"/>
      <c r="M382" s="163"/>
      <c r="N382" s="163"/>
      <c r="O382" s="163"/>
      <c r="P382" s="163"/>
    </row>
    <row r="383" spans="1:26" ht="20.25" customHeight="1">
      <c r="A383" s="255"/>
      <c r="B383" s="263"/>
      <c r="C383" s="256"/>
      <c r="D383" s="453" t="s">
        <v>170</v>
      </c>
      <c r="E383" s="256"/>
      <c r="F383" s="256"/>
      <c r="G383" s="258"/>
      <c r="H383" s="454"/>
      <c r="I383" s="260"/>
      <c r="J383" s="260"/>
      <c r="K383" s="261"/>
      <c r="L383" s="261"/>
      <c r="M383" s="261"/>
      <c r="N383" s="261"/>
      <c r="O383" s="261"/>
      <c r="P383" s="261"/>
    </row>
    <row r="384" spans="1:26" ht="20.25" customHeight="1">
      <c r="A384" s="170"/>
      <c r="B384" s="171"/>
      <c r="C384" s="33" t="s">
        <v>16</v>
      </c>
      <c r="D384" s="172" t="s">
        <v>38</v>
      </c>
      <c r="E384" s="173"/>
      <c r="F384" s="173"/>
      <c r="G384" s="174"/>
      <c r="H384" s="175"/>
      <c r="I384" s="37"/>
      <c r="J384" s="37"/>
      <c r="K384" s="38"/>
      <c r="L384" s="163"/>
      <c r="M384" s="163"/>
      <c r="N384" s="163"/>
      <c r="O384" s="163"/>
      <c r="P384" s="163"/>
    </row>
    <row r="385" spans="1:26" ht="20.25" customHeight="1">
      <c r="A385" s="377"/>
      <c r="B385" s="380"/>
      <c r="C385" s="378"/>
      <c r="D385" s="380"/>
      <c r="E385" s="497" t="s">
        <v>163</v>
      </c>
      <c r="F385" s="380"/>
      <c r="G385" s="381"/>
      <c r="H385" s="498" t="s">
        <v>35</v>
      </c>
      <c r="I385" s="499">
        <f ca="1">IFERROR(__xludf.DUMMYFUNCTION("IMPORTRANGE(""https://docs.google.com/spreadsheets/d/1hKO5uv94SSRZWOvrh72HRcpyoEQF9TsE_Cvxl77XNU4/edit?usp=share_link"",""กาญจนบุรี!I385"")+IMPORTRANGE(""https://docs.google.com/spreadsheets/d/1njBaP_xXd-Uotvo2D9zb01TTCFkLJLDK97Tk1l9Qux0/edit?usp=share_li"&amp;"nk"",""จันทบุรี!I385"")+IMPORTRANGE(""https://docs.google.com/spreadsheets/d/14xp6qUzrGFnUk_qnc1eEmfiaNRd4_grkhpfQH_46fa8/edit?usp=share_link"",""ฉะเชิงเทรา!I385"")+IMPORTRANGE(""https://docs.google.com/spreadsheets/d/1_Zwps30dlVa-pZFsorjVf1Pil6WXwzCsJU0U"&amp;"2whO3NI/edit?usp=share_link"",""ชลบุรี!I385"")+IMPORTRANGE(""https://docs.google.com/spreadsheets/d/1xAsT4sUbBlom7l0acStESh_15nvjZcXjZM7fK5uZSq8/edit?usp=share_link"",""ชัยนาท!I385"")+IMPORTRANGE(""https://docs.google.com/spreadsheets/d/1vWPVBOAaZ6mHSI8yf"&amp;"95DNqHwTJ1cpeFsvqt6cxV34QA/edit?usp=share_link"",""ตราด!I385"")+IMPORTRANGE(""https://docs.google.com/spreadsheets/d/1phaeSb9lTGgzDpbvVqI9hfmOQQzUom07-HEvpbARzEg/edit?usp=share_link"",""นครนายก!I385"")+IMPORTRANGE(""https://docs.google.com/spreadsheets/d/"&amp;"1tpwhWwkqkBeiSWCcfB5f2fbwPRbM9hHOEDSDHpl2MIc/edit?usp=share_link"",""นครปฐม!I385"")+IMPORTRANGE(""https://docs.google.com/spreadsheets/d/1fJJCVBkBnhriyv0Cp5ZFMr0I_yrfdEITNpb4zILJgUQ/edit?usp=share_link"",""ปทุมธานี!I385"")+IMPORTRANGE(""https://docs.googl"&amp;"e.com/spreadsheets/d/1W5Jj_S0gYw6wSO7QcMI02YgyOBDKYgmm0NSUk-AQEac/edit?usp=share_link"",""ประจวบคีรีขันธ์!I385"")+IMPORTRANGE(""https://docs.google.com/spreadsheets/d/1nYxRXgnCfTXtqUY1otYuTlnrzE0Tn-Y0YRsW5pkRVqo/edit?usp=share_link"",""ปราจีนบุรี!I385"")+"&amp;"IMPORTRANGE(""https://docs.google.com/spreadsheets/d/1nNHCLO8ZAXOMfQvxux7cf_hrzPAh8FAvaHq_ClKbZNo/edit?usp=share_link"",""พระนครศรีอยุธยา!I385"")+IMPORTRANGE(""https://docs.google.com/spreadsheets/d/1CdNicvf3i6yt4tJlCePe3V1Va76wYqW0QzMzTsaGRrA/edit?usp=sh"&amp;"are_link"",""เพชรบุรี!I385"")+IMPORTRANGE(""https://docs.google.com/spreadsheets/d/1XiF77UIVHV0Kjc6xbXuOuJ10WgJYxd4p_22ngKVV5oM/edit?usp=share_link"",""ระยอง!I385"")+IMPORTRANGE(""https://docs.google.com/spreadsheets/d/1qU-W_9MCQD1pgIVXGEOjCFo9QqlmJywueby"&amp;"GgaN92r8/edit?usp=share_link"",""ราชบุรี!I385"")+IMPORTRANGE(""https://docs.google.com/spreadsheets/d/1xYFIxIM_CspAP5Q-5Zx_V0T_Ut3cjryrjd2hss28vGk/edit?usp=share_link"",""ลพบุรี!I385"")+IMPORTRANGE(""https://docs.google.com/spreadsheets/d/11s9m3tKsCBdPWq6"&amp;"syhZm27eBGbKneDLZc75co106bio/edit?usp=share_link"",""สระแก้ว!I385"")+IMPORTRANGE(""https://docs.google.com/spreadsheets/d/1Nn1EvsFPtXldgpgVb3Rcng2K2cls68LFQsBh2FyW0Bg/edit?usp=share_link"",""สระบุรี!I385"")+IMPORTRANGE(""https://docs.google.com/spreadshee"&amp;"ts/d/149xufxukrnEciK3WPbNpHwUK8BKEJxp3UcBG3Al6dA4/edit?usp=share_link"",""สิงห์บุรี!I385"")+IMPORTRANGE(""https://docs.google.com/spreadsheets/d/132g-zJpz2uMKimp17uOIx8A7o3w1Z25zwJyXnwsB56c/edit?usp=share_link"",""สุพรรณบุรี!I385"")+IMPORTRANGE(""https://"&amp;"docs.google.com/spreadsheets/d/12Q_U0nVnFdxDFwa0pej9xvx8ZvLC9Dpi_vRro_aiG5g/edit?usp=share_link"",""อ่างทอง!I385"")
"),302)</f>
        <v>302</v>
      </c>
      <c r="J385" s="499">
        <f ca="1">IFERROR(__xludf.DUMMYFUNCTION("IMPORTRANGE(""https://docs.google.com/spreadsheets/d/1hKO5uv94SSRZWOvrh72HRcpyoEQF9TsE_Cvxl77XNU4/edit?usp=share_link"",""กาญจนบุรี!J385"")+IMPORTRANGE(""https://docs.google.com/spreadsheets/d/1njBaP_xXd-Uotvo2D9zb01TTCFkLJLDK97Tk1l9Qux0/edit?usp=share_li"&amp;"nk"",""จันทบุรี!J385"")+IMPORTRANGE(""https://docs.google.com/spreadsheets/d/14xp6qUzrGFnUk_qnc1eEmfiaNRd4_grkhpfQH_46fa8/edit?usp=share_link"",""ฉะเชิงเทรา!J385"")+IMPORTRANGE(""https://docs.google.com/spreadsheets/d/1_Zwps30dlVa-pZFsorjVf1Pil6WXwzCsJU0U"&amp;"2whO3NI/edit?usp=share_link"",""ชลบุรี!J385"")+IMPORTRANGE(""https://docs.google.com/spreadsheets/d/1xAsT4sUbBlom7l0acStESh_15nvjZcXjZM7fK5uZSq8/edit?usp=share_link"",""ชัยนาท!J385"")+IMPORTRANGE(""https://docs.google.com/spreadsheets/d/1vWPVBOAaZ6mHSI8yf"&amp;"95DNqHwTJ1cpeFsvqt6cxV34QA/edit?usp=share_link"",""ตราด!J385"")+IMPORTRANGE(""https://docs.google.com/spreadsheets/d/1phaeSb9lTGgzDpbvVqI9hfmOQQzUom07-HEvpbARzEg/edit?usp=share_link"",""นครนายก!J385"")+IMPORTRANGE(""https://docs.google.com/spreadsheets/d/"&amp;"1tpwhWwkqkBeiSWCcfB5f2fbwPRbM9hHOEDSDHpl2MIc/edit?usp=share_link"",""นครปฐม!J385"")+IMPORTRANGE(""https://docs.google.com/spreadsheets/d/1fJJCVBkBnhriyv0Cp5ZFMr0I_yrfdEITNpb4zILJgUQ/edit?usp=share_link"",""ปทุมธานี!J385"")+IMPORTRANGE(""https://docs.googl"&amp;"e.com/spreadsheets/d/1W5Jj_S0gYw6wSO7QcMI02YgyOBDKYgmm0NSUk-AQEac/edit?usp=share_link"",""ประจวบคีรีขันธ์!J385"")+IMPORTRANGE(""https://docs.google.com/spreadsheets/d/1nYxRXgnCfTXtqUY1otYuTlnrzE0Tn-Y0YRsW5pkRVqo/edit?usp=share_link"",""ปราจีนบุรี!J385"")+"&amp;"IMPORTRANGE(""https://docs.google.com/spreadsheets/d/1nNHCLO8ZAXOMfQvxux7cf_hrzPAh8FAvaHq_ClKbZNo/edit?usp=share_link"",""พระนครศรีอยุธยา!J385"")+IMPORTRANGE(""https://docs.google.com/spreadsheets/d/1CdNicvf3i6yt4tJlCePe3V1Va76wYqW0QzMzTsaGRrA/edit?usp=sh"&amp;"are_link"",""เพชรบุรี!J385"")+IMPORTRANGE(""https://docs.google.com/spreadsheets/d/1XiF77UIVHV0Kjc6xbXuOuJ10WgJYxd4p_22ngKVV5oM/edit?usp=share_link"",""ระยอง!J385"")+IMPORTRANGE(""https://docs.google.com/spreadsheets/d/1qU-W_9MCQD1pgIVXGEOjCFo9QqlmJywueby"&amp;"GgaN92r8/edit?usp=share_link"",""ราชบุรี!J385"")+IMPORTRANGE(""https://docs.google.com/spreadsheets/d/1xYFIxIM_CspAP5Q-5Zx_V0T_Ut3cjryrjd2hss28vGk/edit?usp=share_link"",""ลพบุรี!J385"")+IMPORTRANGE(""https://docs.google.com/spreadsheets/d/11s9m3tKsCBdPWq6"&amp;"syhZm27eBGbKneDLZc75co106bio/edit?usp=share_link"",""สระแก้ว!J385"")+IMPORTRANGE(""https://docs.google.com/spreadsheets/d/1Nn1EvsFPtXldgpgVb3Rcng2K2cls68LFQsBh2FyW0Bg/edit?usp=share_link"",""สระบุรี!J385"")+IMPORTRANGE(""https://docs.google.com/spreadshee"&amp;"ts/d/149xufxukrnEciK3WPbNpHwUK8BKEJxp3UcBG3Al6dA4/edit?usp=share_link"",""สิงห์บุรี!J385"")+IMPORTRANGE(""https://docs.google.com/spreadsheets/d/132g-zJpz2uMKimp17uOIx8A7o3w1Z25zwJyXnwsB56c/edit?usp=share_link"",""สุพรรณบุรี!J385"")+IMPORTRANGE(""https://"&amp;"docs.google.com/spreadsheets/d/12Q_U0nVnFdxDFwa0pej9xvx8ZvLC9Dpi_vRro_aiG5g/edit?usp=share_link"",""อ่างทอง!J385"")
"),3)</f>
        <v>3</v>
      </c>
      <c r="K385" s="500">
        <f ca="1">IF(I385&gt;0,J385*100/I385,0)</f>
        <v>0.99337748344370858</v>
      </c>
      <c r="L385" s="384"/>
      <c r="M385" s="384"/>
      <c r="N385" s="384"/>
      <c r="O385" s="384"/>
      <c r="P385" s="384"/>
    </row>
    <row r="386" spans="1:26" ht="20.25" hidden="1" customHeight="1">
      <c r="A386" s="501" t="s">
        <v>171</v>
      </c>
      <c r="B386" s="502"/>
      <c r="C386" s="502"/>
      <c r="D386" s="502"/>
      <c r="E386" s="503"/>
      <c r="F386" s="503"/>
      <c r="G386" s="504"/>
      <c r="H386" s="505"/>
      <c r="I386" s="506"/>
      <c r="J386" s="506"/>
      <c r="K386" s="507"/>
      <c r="L386" s="507"/>
      <c r="M386" s="507"/>
      <c r="N386" s="507"/>
      <c r="O386" s="507"/>
      <c r="P386" s="507"/>
    </row>
    <row r="387" spans="1:26" ht="20.25" hidden="1" customHeight="1">
      <c r="A387" s="508" t="s">
        <v>172</v>
      </c>
      <c r="B387" s="509"/>
      <c r="C387" s="509"/>
      <c r="D387" s="510"/>
      <c r="E387" s="509"/>
      <c r="F387" s="509"/>
      <c r="G387" s="509"/>
      <c r="H387" s="511"/>
      <c r="I387" s="512"/>
      <c r="J387" s="512"/>
      <c r="K387" s="513"/>
      <c r="L387" s="513"/>
      <c r="M387" s="513"/>
      <c r="N387" s="513"/>
      <c r="O387" s="513"/>
      <c r="P387" s="513"/>
    </row>
    <row r="388" spans="1:26" ht="20.25" hidden="1" customHeight="1">
      <c r="A388" s="514"/>
      <c r="B388" s="515" t="s">
        <v>173</v>
      </c>
      <c r="C388" s="516"/>
      <c r="D388" s="517"/>
      <c r="E388" s="517"/>
      <c r="F388" s="517"/>
      <c r="G388" s="518"/>
      <c r="H388" s="519" t="s">
        <v>69</v>
      </c>
      <c r="I388" s="520">
        <f t="shared" ref="I388:J388" ca="1" si="193">I400</f>
        <v>0</v>
      </c>
      <c r="J388" s="520">
        <f t="shared" ca="1" si="193"/>
        <v>0</v>
      </c>
      <c r="K388" s="521">
        <f ca="1">IF(I388&gt;0,J388*100/I388,0)</f>
        <v>0</v>
      </c>
      <c r="L388" s="522"/>
      <c r="M388" s="522"/>
      <c r="N388" s="522"/>
      <c r="O388" s="522"/>
      <c r="P388" s="522"/>
    </row>
    <row r="389" spans="1:26" ht="20.25" hidden="1" customHeight="1">
      <c r="A389" s="147"/>
      <c r="B389" s="148"/>
      <c r="C389" s="149" t="s">
        <v>16</v>
      </c>
      <c r="D389" s="150" t="s">
        <v>17</v>
      </c>
      <c r="E389" s="148"/>
      <c r="F389" s="148"/>
      <c r="G389" s="151"/>
      <c r="H389" s="152" t="s">
        <v>12</v>
      </c>
      <c r="I389" s="153"/>
      <c r="J389" s="153"/>
      <c r="K389" s="154"/>
      <c r="L389" s="155">
        <f t="shared" ref="L389:N389" ca="1" si="194">L390+L391</f>
        <v>0</v>
      </c>
      <c r="M389" s="155">
        <f t="shared" ca="1" si="194"/>
        <v>0</v>
      </c>
      <c r="N389" s="155">
        <f t="shared" ca="1" si="194"/>
        <v>0</v>
      </c>
      <c r="O389" s="155">
        <f t="shared" ref="O389:O397" ca="1" si="195">IF(L389&gt;0,N389*100/L389,0)</f>
        <v>0</v>
      </c>
      <c r="P389" s="155">
        <f t="shared" ref="P389:P397" ca="1" si="196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20.25" hidden="1" customHeight="1">
      <c r="A390" s="156"/>
      <c r="B390" s="40"/>
      <c r="C390" s="40"/>
      <c r="D390" s="40"/>
      <c r="E390" s="41" t="s">
        <v>18</v>
      </c>
      <c r="F390" s="40"/>
      <c r="G390" s="157"/>
      <c r="H390" s="158" t="s">
        <v>12</v>
      </c>
      <c r="I390" s="44"/>
      <c r="J390" s="44"/>
      <c r="K390" s="45"/>
      <c r="L390" s="45">
        <f t="shared" ref="L390:N390" si="197">L393+L396</f>
        <v>0</v>
      </c>
      <c r="M390" s="45">
        <f t="shared" si="197"/>
        <v>0</v>
      </c>
      <c r="N390" s="45">
        <f t="shared" si="197"/>
        <v>0</v>
      </c>
      <c r="O390" s="45">
        <f t="shared" si="195"/>
        <v>0</v>
      </c>
      <c r="P390" s="45">
        <f t="shared" si="196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20.25" hidden="1" customHeight="1">
      <c r="A391" s="156"/>
      <c r="B391" s="40"/>
      <c r="C391" s="40"/>
      <c r="D391" s="40"/>
      <c r="E391" s="41" t="s">
        <v>19</v>
      </c>
      <c r="F391" s="40"/>
      <c r="G391" s="157"/>
      <c r="H391" s="158" t="s">
        <v>12</v>
      </c>
      <c r="I391" s="44"/>
      <c r="J391" s="44"/>
      <c r="K391" s="45"/>
      <c r="L391" s="45">
        <f t="shared" ref="L391:N391" ca="1" si="198">L394+L397</f>
        <v>0</v>
      </c>
      <c r="M391" s="45">
        <f t="shared" ca="1" si="198"/>
        <v>0</v>
      </c>
      <c r="N391" s="45">
        <f t="shared" ca="1" si="198"/>
        <v>0</v>
      </c>
      <c r="O391" s="45">
        <f t="shared" ca="1" si="195"/>
        <v>0</v>
      </c>
      <c r="P391" s="45">
        <f t="shared" ca="1" si="196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20.25" hidden="1" customHeight="1">
      <c r="A392" s="159"/>
      <c r="B392" s="33"/>
      <c r="C392" s="160"/>
      <c r="D392" s="34" t="s">
        <v>20</v>
      </c>
      <c r="E392" s="33"/>
      <c r="F392" s="33"/>
      <c r="G392" s="35"/>
      <c r="H392" s="161" t="s">
        <v>12</v>
      </c>
      <c r="I392" s="162"/>
      <c r="J392" s="162"/>
      <c r="K392" s="163"/>
      <c r="L392" s="38">
        <f t="shared" ref="L392:N392" ca="1" si="199">L393+L394</f>
        <v>0</v>
      </c>
      <c r="M392" s="38">
        <f t="shared" ca="1" si="199"/>
        <v>0</v>
      </c>
      <c r="N392" s="38">
        <f t="shared" ca="1" si="199"/>
        <v>0</v>
      </c>
      <c r="O392" s="38">
        <f t="shared" ca="1" si="195"/>
        <v>0</v>
      </c>
      <c r="P392" s="38">
        <f t="shared" ca="1" si="196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20.25" hidden="1" customHeight="1">
      <c r="A393" s="156"/>
      <c r="B393" s="40"/>
      <c r="C393" s="164"/>
      <c r="D393" s="40"/>
      <c r="E393" s="41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45">
        <f t="shared" si="195"/>
        <v>0</v>
      </c>
      <c r="P393" s="45">
        <f t="shared" si="196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20.25" hidden="1" customHeight="1">
      <c r="A394" s="156"/>
      <c r="B394" s="40"/>
      <c r="C394" s="164"/>
      <c r="D394" s="40"/>
      <c r="E394" s="41" t="s">
        <v>37</v>
      </c>
      <c r="F394" s="40"/>
      <c r="G394" s="157"/>
      <c r="H394" s="165" t="s">
        <v>12</v>
      </c>
      <c r="I394" s="166"/>
      <c r="J394" s="166"/>
      <c r="K394" s="167"/>
      <c r="L394" s="45">
        <f ca="1">IFERROR(__xludf.DUMMYFUNCTION("IMPORTRANGE(""https://docs.google.com/spreadsheets/d/1hKO5uv94SSRZWOvrh72HRcpyoEQF9TsE_Cvxl77XNU4/edit?usp=share_link"",""กาญจนบุรี!L394"")+IMPORTRANGE(""https://docs.google.com/spreadsheets/d/1njBaP_xXd-Uotvo2D9zb01TTCFkLJLDK97Tk1l9Qux0/edit?usp=share_li"&amp;"nk"",""จันทบุรี!L394"")+IMPORTRANGE(""https://docs.google.com/spreadsheets/d/14xp6qUzrGFnUk_qnc1eEmfiaNRd4_grkhpfQH_46fa8/edit?usp=share_link"",""ฉะเชิงเทรา!L394"")+IMPORTRANGE(""https://docs.google.com/spreadsheets/d/1_Zwps30dlVa-pZFsorjVf1Pil6WXwzCsJU0U"&amp;"2whO3NI/edit?usp=share_link"",""ชลบุรี!L394"")+IMPORTRANGE(""https://docs.google.com/spreadsheets/d/1xAsT4sUbBlom7l0acStESh_15nvjZcXjZM7fK5uZSq8/edit?usp=share_link"",""ชัยนาท!L394"")+IMPORTRANGE(""https://docs.google.com/spreadsheets/d/1vWPVBOAaZ6mHSI8yf"&amp;"95DNqHwTJ1cpeFsvqt6cxV34QA/edit?usp=share_link"",""ตราด!L394"")+IMPORTRANGE(""https://docs.google.com/spreadsheets/d/1phaeSb9lTGgzDpbvVqI9hfmOQQzUom07-HEvpbARzEg/edit?usp=share_link"",""นครนายก!L394"")+IMPORTRANGE(""https://docs.google.com/spreadsheets/d/"&amp;"1tpwhWwkqkBeiSWCcfB5f2fbwPRbM9hHOEDSDHpl2MIc/edit?usp=share_link"",""นครปฐม!L394"")+IMPORTRANGE(""https://docs.google.com/spreadsheets/d/1fJJCVBkBnhriyv0Cp5ZFMr0I_yrfdEITNpb4zILJgUQ/edit?usp=share_link"",""ปทุมธานี!L394"")+IMPORTRANGE(""https://docs.googl"&amp;"e.com/spreadsheets/d/1W5Jj_S0gYw6wSO7QcMI02YgyOBDKYgmm0NSUk-AQEac/edit?usp=share_link"",""ประจวบคีรีขันธ์!L394"")+IMPORTRANGE(""https://docs.google.com/spreadsheets/d/1nYxRXgnCfTXtqUY1otYuTlnrzE0Tn-Y0YRsW5pkRVqo/edit?usp=share_link"",""ปราจีนบุรี!L394"")+"&amp;"IMPORTRANGE(""https://docs.google.com/spreadsheets/d/1nNHCLO8ZAXOMfQvxux7cf_hrzPAh8FAvaHq_ClKbZNo/edit?usp=share_link"",""พระนครศรีอยุธยา!L394"")+IMPORTRANGE(""https://docs.google.com/spreadsheets/d/1CdNicvf3i6yt4tJlCePe3V1Va76wYqW0QzMzTsaGRrA/edit?usp=sh"&amp;"are_link"",""เพชรบุรี!L394"")+IMPORTRANGE(""https://docs.google.com/spreadsheets/d/1XiF77UIVHV0Kjc6xbXuOuJ10WgJYxd4p_22ngKVV5oM/edit?usp=share_link"",""ระยอง!L394"")+IMPORTRANGE(""https://docs.google.com/spreadsheets/d/1qU-W_9MCQD1pgIVXGEOjCFo9QqlmJywueby"&amp;"GgaN92r8/edit?usp=share_link"",""ราชบุรี!L394"")+IMPORTRANGE(""https://docs.google.com/spreadsheets/d/1xYFIxIM_CspAP5Q-5Zx_V0T_Ut3cjryrjd2hss28vGk/edit?usp=share_link"",""ลพบุรี!L394"")+IMPORTRANGE(""https://docs.google.com/spreadsheets/d/11s9m3tKsCBdPWq6"&amp;"syhZm27eBGbKneDLZc75co106bio/edit?usp=share_link"",""สระแก้ว!L394"")+IMPORTRANGE(""https://docs.google.com/spreadsheets/d/1Nn1EvsFPtXldgpgVb3Rcng2K2cls68LFQsBh2FyW0Bg/edit?usp=share_link"",""สระบุรี!L394"")+IMPORTRANGE(""https://docs.google.com/spreadshee"&amp;"ts/d/149xufxukrnEciK3WPbNpHwUK8BKEJxp3UcBG3Al6dA4/edit?usp=share_link"",""สิงห์บุรี!L394"")+IMPORTRANGE(""https://docs.google.com/spreadsheets/d/132g-zJpz2uMKimp17uOIx8A7o3w1Z25zwJyXnwsB56c/edit?usp=share_link"",""สุพรรณบุรี!L394"")+IMPORTRANGE(""https://"&amp;"docs.google.com/spreadsheets/d/12Q_U0nVnFdxDFwa0pej9xvx8ZvLC9Dpi_vRro_aiG5g/edit?usp=share_link"",""อ่างทอง!L394"")
"),0)</f>
        <v>0</v>
      </c>
      <c r="M394" s="45">
        <f ca="1">IFERROR(__xludf.DUMMYFUNCTION("IMPORTRANGE(""https://docs.google.com/spreadsheets/d/1hKO5uv94SSRZWOvrh72HRcpyoEQF9TsE_Cvxl77XNU4/edit?usp=share_link"",""กาญจนบุรี!M394"")+IMPORTRANGE(""https://docs.google.com/spreadsheets/d/1njBaP_xXd-Uotvo2D9zb01TTCFkLJLDK97Tk1l9Qux0/edit?usp=share_li"&amp;"nk"",""จันทบุรี!M394"")+IMPORTRANGE(""https://docs.google.com/spreadsheets/d/14xp6qUzrGFnUk_qnc1eEmfiaNRd4_grkhpfQH_46fa8/edit?usp=share_link"",""ฉะเชิงเทรา!M394"")+IMPORTRANGE(""https://docs.google.com/spreadsheets/d/1_Zwps30dlVa-pZFsorjVf1Pil6WXwzCsJU0U"&amp;"2whO3NI/edit?usp=share_link"",""ชลบุรี!M394"")+IMPORTRANGE(""https://docs.google.com/spreadsheets/d/1xAsT4sUbBlom7l0acStESh_15nvjZcXjZM7fK5uZSq8/edit?usp=share_link"",""ชัยนาท!M394"")+IMPORTRANGE(""https://docs.google.com/spreadsheets/d/1vWPVBOAaZ6mHSI8yf"&amp;"95DNqHwTJ1cpeFsvqt6cxV34QA/edit?usp=share_link"",""ตราด!M394"")+IMPORTRANGE(""https://docs.google.com/spreadsheets/d/1phaeSb9lTGgzDpbvVqI9hfmOQQzUom07-HEvpbARzEg/edit?usp=share_link"",""นครนายก!M394"")+IMPORTRANGE(""https://docs.google.com/spreadsheets/d/"&amp;"1tpwhWwkqkBeiSWCcfB5f2fbwPRbM9hHOEDSDHpl2MIc/edit?usp=share_link"",""นครปฐม!M394"")+IMPORTRANGE(""https://docs.google.com/spreadsheets/d/1fJJCVBkBnhriyv0Cp5ZFMr0I_yrfdEITNpb4zILJgUQ/edit?usp=share_link"",""ปทุมธานี!M394"")+IMPORTRANGE(""https://docs.googl"&amp;"e.com/spreadsheets/d/1W5Jj_S0gYw6wSO7QcMI02YgyOBDKYgmm0NSUk-AQEac/edit?usp=share_link"",""ประจวบคีรีขันธ์!M394"")+IMPORTRANGE(""https://docs.google.com/spreadsheets/d/1nYxRXgnCfTXtqUY1otYuTlnrzE0Tn-Y0YRsW5pkRVqo/edit?usp=share_link"",""ปราจีนบุรี!M394"")+"&amp;"IMPORTRANGE(""https://docs.google.com/spreadsheets/d/1nNHCLO8ZAXOMfQvxux7cf_hrzPAh8FAvaHq_ClKbZNo/edit?usp=share_link"",""พระนครศรีอยุธยา!M394"")+IMPORTRANGE(""https://docs.google.com/spreadsheets/d/1CdNicvf3i6yt4tJlCePe3V1Va76wYqW0QzMzTsaGRrA/edit?usp=sh"&amp;"are_link"",""เพชรบุรี!M394"")+IMPORTRANGE(""https://docs.google.com/spreadsheets/d/1XiF77UIVHV0Kjc6xbXuOuJ10WgJYxd4p_22ngKVV5oM/edit?usp=share_link"",""ระยอง!M394"")+IMPORTRANGE(""https://docs.google.com/spreadsheets/d/1qU-W_9MCQD1pgIVXGEOjCFo9QqlmJywueby"&amp;"GgaN92r8/edit?usp=share_link"",""ราชบุรี!M394"")+IMPORTRANGE(""https://docs.google.com/spreadsheets/d/1xYFIxIM_CspAP5Q-5Zx_V0T_Ut3cjryrjd2hss28vGk/edit?usp=share_link"",""ลพบุรี!M394"")+IMPORTRANGE(""https://docs.google.com/spreadsheets/d/11s9m3tKsCBdPWq6"&amp;"syhZm27eBGbKneDLZc75co106bio/edit?usp=share_link"",""สระแก้ว!M394"")+IMPORTRANGE(""https://docs.google.com/spreadsheets/d/1Nn1EvsFPtXldgpgVb3Rcng2K2cls68LFQsBh2FyW0Bg/edit?usp=share_link"",""สระบุรี!M394"")+IMPORTRANGE(""https://docs.google.com/spreadshee"&amp;"ts/d/149xufxukrnEciK3WPbNpHwUK8BKEJxp3UcBG3Al6dA4/edit?usp=share_link"",""สิงห์บุรี!M394"")+IMPORTRANGE(""https://docs.google.com/spreadsheets/d/132g-zJpz2uMKimp17uOIx8A7o3w1Z25zwJyXnwsB56c/edit?usp=share_link"",""สุพรรณบุรี!M394"")+IMPORTRANGE(""https://"&amp;"docs.google.com/spreadsheets/d/12Q_U0nVnFdxDFwa0pej9xvx8ZvLC9Dpi_vRro_aiG5g/edit?usp=share_link"",""อ่างทอง!M394"")
"),0)</f>
        <v>0</v>
      </c>
      <c r="N394" s="45">
        <f ca="1">IFERROR(__xludf.DUMMYFUNCTION("IMPORTRANGE(""https://docs.google.com/spreadsheets/d/1hKO5uv94SSRZWOvrh72HRcpyoEQF9TsE_Cvxl77XNU4/edit?usp=share_link"",""กาญจนบุรี!n394"")+IMPORTRANGE(""https://docs.google.com/spreadsheets/d/1njBaP_xXd-Uotvo2D9zb01TTCFkLJLDK97Tk1l9Qux0/edit?usp=share_li"&amp;"nk"",""จันทบุรี!n394"")+IMPORTRANGE(""https://docs.google.com/spreadsheets/d/14xp6qUzrGFnUk_qnc1eEmfiaNRd4_grkhpfQH_46fa8/edit?usp=share_link"",""ฉะเชิงเทรา!n394"")+IMPORTRANGE(""https://docs.google.com/spreadsheets/d/1_Zwps30dlVa-pZFsorjVf1Pil6WXwzCsJU0U"&amp;"2whO3NI/edit?usp=share_link"",""ชลบุรี!n394"")+IMPORTRANGE(""https://docs.google.com/spreadsheets/d/1xAsT4sUbBlom7l0acStESh_15nvjZcXjZM7fK5uZSq8/edit?usp=share_link"",""ชัยนาท!n394"")+IMPORTRANGE(""https://docs.google.com/spreadsheets/d/1vWPVBOAaZ6mHSI8yf"&amp;"95DNqHwTJ1cpeFsvqt6cxV34QA/edit?usp=share_link"",""ตราด!n394"")+IMPORTRANGE(""https://docs.google.com/spreadsheets/d/1phaeSb9lTGgzDpbvVqI9hfmOQQzUom07-HEvpbARzEg/edit?usp=share_link"",""นครนายก!n394"")+IMPORTRANGE(""https://docs.google.com/spreadsheets/d/"&amp;"1tpwhWwkqkBeiSWCcfB5f2fbwPRbM9hHOEDSDHpl2MIc/edit?usp=share_link"",""นครปฐม!n394"")+IMPORTRANGE(""https://docs.google.com/spreadsheets/d/1fJJCVBkBnhriyv0Cp5ZFMr0I_yrfdEITNpb4zILJgUQ/edit?usp=share_link"",""ปทุมธานี!n394"")+IMPORTRANGE(""https://docs.googl"&amp;"e.com/spreadsheets/d/1W5Jj_S0gYw6wSO7QcMI02YgyOBDKYgmm0NSUk-AQEac/edit?usp=share_link"",""ประจวบคีรีขันธ์!n394"")+IMPORTRANGE(""https://docs.google.com/spreadsheets/d/1nYxRXgnCfTXtqUY1otYuTlnrzE0Tn-Y0YRsW5pkRVqo/edit?usp=share_link"",""ปราจีนบุรี!n394"")+"&amp;"IMPORTRANGE(""https://docs.google.com/spreadsheets/d/1nNHCLO8ZAXOMfQvxux7cf_hrzPAh8FAvaHq_ClKbZNo/edit?usp=share_link"",""พระนครศรีอยุธยา!n394"")+IMPORTRANGE(""https://docs.google.com/spreadsheets/d/1CdNicvf3i6yt4tJlCePe3V1Va76wYqW0QzMzTsaGRrA/edit?usp=sh"&amp;"are_link"",""เพชรบุรี!n394"")+IMPORTRANGE(""https://docs.google.com/spreadsheets/d/1XiF77UIVHV0Kjc6xbXuOuJ10WgJYxd4p_22ngKVV5oM/edit?usp=share_link"",""ระยอง!n394"")+IMPORTRANGE(""https://docs.google.com/spreadsheets/d/1qU-W_9MCQD1pgIVXGEOjCFo9QqlmJywueby"&amp;"GgaN92r8/edit?usp=share_link"",""ราชบุรี!n394"")+IMPORTRANGE(""https://docs.google.com/spreadsheets/d/1xYFIxIM_CspAP5Q-5Zx_V0T_Ut3cjryrjd2hss28vGk/edit?usp=share_link"",""ลพบุรี!n394"")+IMPORTRANGE(""https://docs.google.com/spreadsheets/d/11s9m3tKsCBdPWq6"&amp;"syhZm27eBGbKneDLZc75co106bio/edit?usp=share_link"",""สระแก้ว!n394"")+IMPORTRANGE(""https://docs.google.com/spreadsheets/d/1Nn1EvsFPtXldgpgVb3Rcng2K2cls68LFQsBh2FyW0Bg/edit?usp=share_link"",""สระบุรี!n394"")+IMPORTRANGE(""https://docs.google.com/spreadshee"&amp;"ts/d/149xufxukrnEciK3WPbNpHwUK8BKEJxp3UcBG3Al6dA4/edit?usp=share_link"",""สิงห์บุรี!n394"")+IMPORTRANGE(""https://docs.google.com/spreadsheets/d/132g-zJpz2uMKimp17uOIx8A7o3w1Z25zwJyXnwsB56c/edit?usp=share_link"",""สุพรรณบุรี!n394"")+IMPORTRANGE(""https://"&amp;"docs.google.com/spreadsheets/d/12Q_U0nVnFdxDFwa0pej9xvx8ZvLC9Dpi_vRro_aiG5g/edit?usp=share_link"",""อ่างทอง!n394"")
"),0)</f>
        <v>0</v>
      </c>
      <c r="O394" s="45">
        <f t="shared" ca="1" si="195"/>
        <v>0</v>
      </c>
      <c r="P394" s="45">
        <f t="shared" ca="1" si="196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20.25" hidden="1" customHeight="1">
      <c r="A395" s="159"/>
      <c r="B395" s="33"/>
      <c r="C395" s="160"/>
      <c r="D395" s="34" t="s">
        <v>21</v>
      </c>
      <c r="E395" s="33"/>
      <c r="F395" s="33"/>
      <c r="G395" s="35"/>
      <c r="H395" s="168" t="s">
        <v>12</v>
      </c>
      <c r="I395" s="162"/>
      <c r="J395" s="162"/>
      <c r="K395" s="163"/>
      <c r="L395" s="38">
        <f t="shared" ref="L395:N395" ca="1" si="200">L396+L397</f>
        <v>0</v>
      </c>
      <c r="M395" s="38">
        <f t="shared" ca="1" si="200"/>
        <v>0</v>
      </c>
      <c r="N395" s="38">
        <f t="shared" ca="1" si="200"/>
        <v>0</v>
      </c>
      <c r="O395" s="38">
        <f t="shared" ca="1" si="195"/>
        <v>0</v>
      </c>
      <c r="P395" s="38">
        <f t="shared" ca="1" si="196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20.25" hidden="1" customHeight="1">
      <c r="A396" s="156"/>
      <c r="B396" s="40"/>
      <c r="C396" s="164"/>
      <c r="D396" s="40"/>
      <c r="E396" s="41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45">
        <f t="shared" si="195"/>
        <v>0</v>
      </c>
      <c r="P396" s="45">
        <f t="shared" si="196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20.25" hidden="1" customHeight="1">
      <c r="A397" s="156"/>
      <c r="B397" s="40"/>
      <c r="C397" s="164"/>
      <c r="D397" s="40"/>
      <c r="E397" s="41" t="s">
        <v>19</v>
      </c>
      <c r="F397" s="40"/>
      <c r="G397" s="157"/>
      <c r="H397" s="169" t="s">
        <v>12</v>
      </c>
      <c r="I397" s="166"/>
      <c r="J397" s="166"/>
      <c r="K397" s="167"/>
      <c r="L397" s="45">
        <f ca="1">IFERROR(__xludf.DUMMYFUNCTION("IMPORTRANGE(""https://docs.google.com/spreadsheets/d/1hKO5uv94SSRZWOvrh72HRcpyoEQF9TsE_Cvxl77XNU4/edit?usp=share_link"",""กาญจนบุรี!L397"")+IMPORTRANGE(""https://docs.google.com/spreadsheets/d/1njBaP_xXd-Uotvo2D9zb01TTCFkLJLDK97Tk1l9Qux0/edit?usp=share_li"&amp;"nk"",""จันทบุรี!L397"")+IMPORTRANGE(""https://docs.google.com/spreadsheets/d/14xp6qUzrGFnUk_qnc1eEmfiaNRd4_grkhpfQH_46fa8/edit?usp=share_link"",""ฉะเชิงเทรา!L397"")+IMPORTRANGE(""https://docs.google.com/spreadsheets/d/1_Zwps30dlVa-pZFsorjVf1Pil6WXwzCsJU0U"&amp;"2whO3NI/edit?usp=share_link"",""ชลบุรี!L397"")+IMPORTRANGE(""https://docs.google.com/spreadsheets/d/1xAsT4sUbBlom7l0acStESh_15nvjZcXjZM7fK5uZSq8/edit?usp=share_link"",""ชัยนาท!L397"")+IMPORTRANGE(""https://docs.google.com/spreadsheets/d/1vWPVBOAaZ6mHSI8yf"&amp;"95DNqHwTJ1cpeFsvqt6cxV34QA/edit?usp=share_link"",""ตราด!L397"")+IMPORTRANGE(""https://docs.google.com/spreadsheets/d/1phaeSb9lTGgzDpbvVqI9hfmOQQzUom07-HEvpbARzEg/edit?usp=share_link"",""นครนายก!L397"")+IMPORTRANGE(""https://docs.google.com/spreadsheets/d/"&amp;"1tpwhWwkqkBeiSWCcfB5f2fbwPRbM9hHOEDSDHpl2MIc/edit?usp=share_link"",""นครปฐม!L397"")+IMPORTRANGE(""https://docs.google.com/spreadsheets/d/1fJJCVBkBnhriyv0Cp5ZFMr0I_yrfdEITNpb4zILJgUQ/edit?usp=share_link"",""ปทุมธานี!L397"")+IMPORTRANGE(""https://docs.googl"&amp;"e.com/spreadsheets/d/1W5Jj_S0gYw6wSO7QcMI02YgyOBDKYgmm0NSUk-AQEac/edit?usp=share_link"",""ประจวบคีรีขันธ์!L397"")+IMPORTRANGE(""https://docs.google.com/spreadsheets/d/1nYxRXgnCfTXtqUY1otYuTlnrzE0Tn-Y0YRsW5pkRVqo/edit?usp=share_link"",""ปราจีนบุรี!L397"")+"&amp;"IMPORTRANGE(""https://docs.google.com/spreadsheets/d/1nNHCLO8ZAXOMfQvxux7cf_hrzPAh8FAvaHq_ClKbZNo/edit?usp=share_link"",""พระนครศรีอยุธยา!L397"")+IMPORTRANGE(""https://docs.google.com/spreadsheets/d/1CdNicvf3i6yt4tJlCePe3V1Va76wYqW0QzMzTsaGRrA/edit?usp=sh"&amp;"are_link"",""เพชรบุรี!L397"")+IMPORTRANGE(""https://docs.google.com/spreadsheets/d/1XiF77UIVHV0Kjc6xbXuOuJ10WgJYxd4p_22ngKVV5oM/edit?usp=share_link"",""ระยอง!L397"")+IMPORTRANGE(""https://docs.google.com/spreadsheets/d/1qU-W_9MCQD1pgIVXGEOjCFo9QqlmJywueby"&amp;"GgaN92r8/edit?usp=share_link"",""ราชบุรี!L397"")+IMPORTRANGE(""https://docs.google.com/spreadsheets/d/1xYFIxIM_CspAP5Q-5Zx_V0T_Ut3cjryrjd2hss28vGk/edit?usp=share_link"",""ลพบุรี!L397"")+IMPORTRANGE(""https://docs.google.com/spreadsheets/d/11s9m3tKsCBdPWq6"&amp;"syhZm27eBGbKneDLZc75co106bio/edit?usp=share_link"",""สระแก้ว!L397"")+IMPORTRANGE(""https://docs.google.com/spreadsheets/d/1Nn1EvsFPtXldgpgVb3Rcng2K2cls68LFQsBh2FyW0Bg/edit?usp=share_link"",""สระบุรี!L397"")+IMPORTRANGE(""https://docs.google.com/spreadshee"&amp;"ts/d/149xufxukrnEciK3WPbNpHwUK8BKEJxp3UcBG3Al6dA4/edit?usp=share_link"",""สิงห์บุรี!L397"")+IMPORTRANGE(""https://docs.google.com/spreadsheets/d/132g-zJpz2uMKimp17uOIx8A7o3w1Z25zwJyXnwsB56c/edit?usp=share_link"",""สุพรรณบุรี!L397"")+IMPORTRANGE(""https://"&amp;"docs.google.com/spreadsheets/d/12Q_U0nVnFdxDFwa0pej9xvx8ZvLC9Dpi_vRro_aiG5g/edit?usp=share_link"",""อ่างทอง!L397"")
"),0)</f>
        <v>0</v>
      </c>
      <c r="M397" s="45">
        <f ca="1">IFERROR(__xludf.DUMMYFUNCTION("IMPORTRANGE(""https://docs.google.com/spreadsheets/d/1hKO5uv94SSRZWOvrh72HRcpyoEQF9TsE_Cvxl77XNU4/edit?usp=share_link"",""กาญจนบุรี!M397"")+IMPORTRANGE(""https://docs.google.com/spreadsheets/d/1njBaP_xXd-Uotvo2D9zb01TTCFkLJLDK97Tk1l9Qux0/edit?usp=share_li"&amp;"nk"",""จันทบุรี!M397"")+IMPORTRANGE(""https://docs.google.com/spreadsheets/d/14xp6qUzrGFnUk_qnc1eEmfiaNRd4_grkhpfQH_46fa8/edit?usp=share_link"",""ฉะเชิงเทรา!M397"")+IMPORTRANGE(""https://docs.google.com/spreadsheets/d/1_Zwps30dlVa-pZFsorjVf1Pil6WXwzCsJU0U"&amp;"2whO3NI/edit?usp=share_link"",""ชลบุรี!M397"")+IMPORTRANGE(""https://docs.google.com/spreadsheets/d/1xAsT4sUbBlom7l0acStESh_15nvjZcXjZM7fK5uZSq8/edit?usp=share_link"",""ชัยนาท!M397"")+IMPORTRANGE(""https://docs.google.com/spreadsheets/d/1vWPVBOAaZ6mHSI8yf"&amp;"95DNqHwTJ1cpeFsvqt6cxV34QA/edit?usp=share_link"",""ตราด!M397"")+IMPORTRANGE(""https://docs.google.com/spreadsheets/d/1phaeSb9lTGgzDpbvVqI9hfmOQQzUom07-HEvpbARzEg/edit?usp=share_link"",""นครนายก!M397"")+IMPORTRANGE(""https://docs.google.com/spreadsheets/d/"&amp;"1tpwhWwkqkBeiSWCcfB5f2fbwPRbM9hHOEDSDHpl2MIc/edit?usp=share_link"",""นครปฐม!M397"")+IMPORTRANGE(""https://docs.google.com/spreadsheets/d/1fJJCVBkBnhriyv0Cp5ZFMr0I_yrfdEITNpb4zILJgUQ/edit?usp=share_link"",""ปทุมธานี!M397"")+IMPORTRANGE(""https://docs.googl"&amp;"e.com/spreadsheets/d/1W5Jj_S0gYw6wSO7QcMI02YgyOBDKYgmm0NSUk-AQEac/edit?usp=share_link"",""ประจวบคีรีขันธ์!M397"")+IMPORTRANGE(""https://docs.google.com/spreadsheets/d/1nYxRXgnCfTXtqUY1otYuTlnrzE0Tn-Y0YRsW5pkRVqo/edit?usp=share_link"",""ปราจีนบุรี!M397"")+"&amp;"IMPORTRANGE(""https://docs.google.com/spreadsheets/d/1nNHCLO8ZAXOMfQvxux7cf_hrzPAh8FAvaHq_ClKbZNo/edit?usp=share_link"",""พระนครศรีอยุธยา!M397"")+IMPORTRANGE(""https://docs.google.com/spreadsheets/d/1CdNicvf3i6yt4tJlCePe3V1Va76wYqW0QzMzTsaGRrA/edit?usp=sh"&amp;"are_link"",""เพชรบุรี!M397"")+IMPORTRANGE(""https://docs.google.com/spreadsheets/d/1XiF77UIVHV0Kjc6xbXuOuJ10WgJYxd4p_22ngKVV5oM/edit?usp=share_link"",""ระยอง!M397"")+IMPORTRANGE(""https://docs.google.com/spreadsheets/d/1qU-W_9MCQD1pgIVXGEOjCFo9QqlmJywueby"&amp;"GgaN92r8/edit?usp=share_link"",""ราชบุรี!M397"")+IMPORTRANGE(""https://docs.google.com/spreadsheets/d/1xYFIxIM_CspAP5Q-5Zx_V0T_Ut3cjryrjd2hss28vGk/edit?usp=share_link"",""ลพบุรี!M397"")+IMPORTRANGE(""https://docs.google.com/spreadsheets/d/11s9m3tKsCBdPWq6"&amp;"syhZm27eBGbKneDLZc75co106bio/edit?usp=share_link"",""สระแก้ว!M397"")+IMPORTRANGE(""https://docs.google.com/spreadsheets/d/1Nn1EvsFPtXldgpgVb3Rcng2K2cls68LFQsBh2FyW0Bg/edit?usp=share_link"",""สระบุรี!M397"")+IMPORTRANGE(""https://docs.google.com/spreadshee"&amp;"ts/d/149xufxukrnEciK3WPbNpHwUK8BKEJxp3UcBG3Al6dA4/edit?usp=share_link"",""สิงห์บุรี!M397"")+IMPORTRANGE(""https://docs.google.com/spreadsheets/d/132g-zJpz2uMKimp17uOIx8A7o3w1Z25zwJyXnwsB56c/edit?usp=share_link"",""สุพรรณบุรี!M397"")+IMPORTRANGE(""https://"&amp;"docs.google.com/spreadsheets/d/12Q_U0nVnFdxDFwa0pej9xvx8ZvLC9Dpi_vRro_aiG5g/edit?usp=share_link"",""อ่างทอง!M397"")
"),0)</f>
        <v>0</v>
      </c>
      <c r="N397" s="45">
        <f ca="1">IFERROR(__xludf.DUMMYFUNCTION("IMPORTRANGE(""https://docs.google.com/spreadsheets/d/1hKO5uv94SSRZWOvrh72HRcpyoEQF9TsE_Cvxl77XNU4/edit?usp=share_link"",""กาญจนบุรี!n397"")+IMPORTRANGE(""https://docs.google.com/spreadsheets/d/1njBaP_xXd-Uotvo2D9zb01TTCFkLJLDK97Tk1l9Qux0/edit?usp=share_li"&amp;"nk"",""จันทบุรี!n397"")+IMPORTRANGE(""https://docs.google.com/spreadsheets/d/14xp6qUzrGFnUk_qnc1eEmfiaNRd4_grkhpfQH_46fa8/edit?usp=share_link"",""ฉะเชิงเทรา!n397"")+IMPORTRANGE(""https://docs.google.com/spreadsheets/d/1_Zwps30dlVa-pZFsorjVf1Pil6WXwzCsJU0U"&amp;"2whO3NI/edit?usp=share_link"",""ชลบุรี!n397"")+IMPORTRANGE(""https://docs.google.com/spreadsheets/d/1xAsT4sUbBlom7l0acStESh_15nvjZcXjZM7fK5uZSq8/edit?usp=share_link"",""ชัยนาท!n397"")+IMPORTRANGE(""https://docs.google.com/spreadsheets/d/1vWPVBOAaZ6mHSI8yf"&amp;"95DNqHwTJ1cpeFsvqt6cxV34QA/edit?usp=share_link"",""ตราด!n397"")+IMPORTRANGE(""https://docs.google.com/spreadsheets/d/1phaeSb9lTGgzDpbvVqI9hfmOQQzUom07-HEvpbARzEg/edit?usp=share_link"",""นครนายก!n397"")+IMPORTRANGE(""https://docs.google.com/spreadsheets/d/"&amp;"1tpwhWwkqkBeiSWCcfB5f2fbwPRbM9hHOEDSDHpl2MIc/edit?usp=share_link"",""นครปฐม!n397"")+IMPORTRANGE(""https://docs.google.com/spreadsheets/d/1fJJCVBkBnhriyv0Cp5ZFMr0I_yrfdEITNpb4zILJgUQ/edit?usp=share_link"",""ปทุมธานี!n397"")+IMPORTRANGE(""https://docs.googl"&amp;"e.com/spreadsheets/d/1W5Jj_S0gYw6wSO7QcMI02YgyOBDKYgmm0NSUk-AQEac/edit?usp=share_link"",""ประจวบคีรีขันธ์!n397"")+IMPORTRANGE(""https://docs.google.com/spreadsheets/d/1nYxRXgnCfTXtqUY1otYuTlnrzE0Tn-Y0YRsW5pkRVqo/edit?usp=share_link"",""ปราจีนบุรี!n397"")+"&amp;"IMPORTRANGE(""https://docs.google.com/spreadsheets/d/1nNHCLO8ZAXOMfQvxux7cf_hrzPAh8FAvaHq_ClKbZNo/edit?usp=share_link"",""พระนครศรีอยุธยา!n397"")+IMPORTRANGE(""https://docs.google.com/spreadsheets/d/1CdNicvf3i6yt4tJlCePe3V1Va76wYqW0QzMzTsaGRrA/edit?usp=sh"&amp;"are_link"",""เพชรบุรี!n397"")+IMPORTRANGE(""https://docs.google.com/spreadsheets/d/1XiF77UIVHV0Kjc6xbXuOuJ10WgJYxd4p_22ngKVV5oM/edit?usp=share_link"",""ระยอง!n397"")+IMPORTRANGE(""https://docs.google.com/spreadsheets/d/1qU-W_9MCQD1pgIVXGEOjCFo9QqlmJywueby"&amp;"GgaN92r8/edit?usp=share_link"",""ราชบุรี!n397"")+IMPORTRANGE(""https://docs.google.com/spreadsheets/d/1xYFIxIM_CspAP5Q-5Zx_V0T_Ut3cjryrjd2hss28vGk/edit?usp=share_link"",""ลพบุรี!n397"")+IMPORTRANGE(""https://docs.google.com/spreadsheets/d/11s9m3tKsCBdPWq6"&amp;"syhZm27eBGbKneDLZc75co106bio/edit?usp=share_link"",""สระแก้ว!n397"")+IMPORTRANGE(""https://docs.google.com/spreadsheets/d/1Nn1EvsFPtXldgpgVb3Rcng2K2cls68LFQsBh2FyW0Bg/edit?usp=share_link"",""สระบุรี!n397"")+IMPORTRANGE(""https://docs.google.com/spreadshee"&amp;"ts/d/149xufxukrnEciK3WPbNpHwUK8BKEJxp3UcBG3Al6dA4/edit?usp=share_link"",""สิงห์บุรี!n397"")+IMPORTRANGE(""https://docs.google.com/spreadsheets/d/132g-zJpz2uMKimp17uOIx8A7o3w1Z25zwJyXnwsB56c/edit?usp=share_link"",""สุพรรณบุรี!n397"")+IMPORTRANGE(""https://"&amp;"docs.google.com/spreadsheets/d/12Q_U0nVnFdxDFwa0pej9xvx8ZvLC9Dpi_vRro_aiG5g/edit?usp=share_link"",""อ่างทอง!n397"")
"),0)</f>
        <v>0</v>
      </c>
      <c r="O397" s="45">
        <f t="shared" ca="1" si="195"/>
        <v>0</v>
      </c>
      <c r="P397" s="45">
        <f t="shared" ca="1" si="196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20.25" hidden="1" customHeight="1">
      <c r="A398" s="170"/>
      <c r="B398" s="171"/>
      <c r="C398" s="164" t="s">
        <v>16</v>
      </c>
      <c r="D398" s="172" t="s">
        <v>38</v>
      </c>
      <c r="E398" s="173"/>
      <c r="F398" s="173"/>
      <c r="G398" s="174"/>
      <c r="H398" s="175"/>
      <c r="I398" s="162"/>
      <c r="J398" s="37"/>
      <c r="K398" s="38"/>
      <c r="L398" s="38"/>
      <c r="M398" s="38"/>
      <c r="N398" s="38"/>
      <c r="O398" s="163"/>
      <c r="P398" s="163"/>
    </row>
    <row r="399" spans="1:26" ht="20.25" hidden="1" customHeight="1">
      <c r="A399" s="523"/>
      <c r="B399" s="148"/>
      <c r="C399" s="524"/>
      <c r="D399" s="525" t="s">
        <v>174</v>
      </c>
      <c r="E399" s="414"/>
      <c r="F399" s="148"/>
      <c r="G399" s="151"/>
      <c r="H399" s="526" t="s">
        <v>9</v>
      </c>
      <c r="I399" s="269">
        <f ca="1">IFERROR(__xludf.DUMMYFUNCTION("IMPORTRANGE(""https://docs.google.com/spreadsheets/d/1hKO5uv94SSRZWOvrh72HRcpyoEQF9TsE_Cvxl77XNU4/edit?usp=share_link"",""กาญจนบุรี!I399"")+IMPORTRANGE(""https://docs.google.com/spreadsheets/d/1njBaP_xXd-Uotvo2D9zb01TTCFkLJLDK97Tk1l9Qux0/edit?usp=share_li"&amp;"nk"",""จันทบุรี!I399"")+IMPORTRANGE(""https://docs.google.com/spreadsheets/d/14xp6qUzrGFnUk_qnc1eEmfiaNRd4_grkhpfQH_46fa8/edit?usp=share_link"",""ฉะเชิงเทรา!I399"")+IMPORTRANGE(""https://docs.google.com/spreadsheets/d/1_Zwps30dlVa-pZFsorjVf1Pil6WXwzCsJU0U"&amp;"2whO3NI/edit?usp=share_link"",""ชลบุรี!I399"")+IMPORTRANGE(""https://docs.google.com/spreadsheets/d/1xAsT4sUbBlom7l0acStESh_15nvjZcXjZM7fK5uZSq8/edit?usp=share_link"",""ชัยนาท!I399"")+IMPORTRANGE(""https://docs.google.com/spreadsheets/d/1vWPVBOAaZ6mHSI8yf"&amp;"95DNqHwTJ1cpeFsvqt6cxV34QA/edit?usp=share_link"",""ตราด!I399"")+IMPORTRANGE(""https://docs.google.com/spreadsheets/d/1phaeSb9lTGgzDpbvVqI9hfmOQQzUom07-HEvpbARzEg/edit?usp=share_link"",""นครนายก!I399"")+IMPORTRANGE(""https://docs.google.com/spreadsheets/d/"&amp;"1tpwhWwkqkBeiSWCcfB5f2fbwPRbM9hHOEDSDHpl2MIc/edit?usp=share_link"",""นครปฐม!I399"")+IMPORTRANGE(""https://docs.google.com/spreadsheets/d/1fJJCVBkBnhriyv0Cp5ZFMr0I_yrfdEITNpb4zILJgUQ/edit?usp=share_link"",""ปทุมธานี!I399"")+IMPORTRANGE(""https://docs.googl"&amp;"e.com/spreadsheets/d/1W5Jj_S0gYw6wSO7QcMI02YgyOBDKYgmm0NSUk-AQEac/edit?usp=share_link"",""ประจวบคีรีขันธ์!I399"")+IMPORTRANGE(""https://docs.google.com/spreadsheets/d/1nYxRXgnCfTXtqUY1otYuTlnrzE0Tn-Y0YRsW5pkRVqo/edit?usp=share_link"",""ปราจีนบุรี!I399"")+"&amp;"IMPORTRANGE(""https://docs.google.com/spreadsheets/d/1nNHCLO8ZAXOMfQvxux7cf_hrzPAh8FAvaHq_ClKbZNo/edit?usp=share_link"",""พระนครศรีอยุธยา!I399"")+IMPORTRANGE(""https://docs.google.com/spreadsheets/d/1CdNicvf3i6yt4tJlCePe3V1Va76wYqW0QzMzTsaGRrA/edit?usp=sh"&amp;"are_link"",""เพชรบุรี!I399"")+IMPORTRANGE(""https://docs.google.com/spreadsheets/d/1XiF77UIVHV0Kjc6xbXuOuJ10WgJYxd4p_22ngKVV5oM/edit?usp=share_link"",""ระยอง!I399"")+IMPORTRANGE(""https://docs.google.com/spreadsheets/d/1qU-W_9MCQD1pgIVXGEOjCFo9QqlmJywueby"&amp;"GgaN92r8/edit?usp=share_link"",""ราชบุรี!I399"")+IMPORTRANGE(""https://docs.google.com/spreadsheets/d/1xYFIxIM_CspAP5Q-5Zx_V0T_Ut3cjryrjd2hss28vGk/edit?usp=share_link"",""ลพบุรี!I399"")+IMPORTRANGE(""https://docs.google.com/spreadsheets/d/11s9m3tKsCBdPWq6"&amp;"syhZm27eBGbKneDLZc75co106bio/edit?usp=share_link"",""สระแก้ว!I399"")+IMPORTRANGE(""https://docs.google.com/spreadsheets/d/1Nn1EvsFPtXldgpgVb3Rcng2K2cls68LFQsBh2FyW0Bg/edit?usp=share_link"",""สระบุรี!I399"")+IMPORTRANGE(""https://docs.google.com/spreadshee"&amp;"ts/d/149xufxukrnEciK3WPbNpHwUK8BKEJxp3UcBG3Al6dA4/edit?usp=share_link"",""สิงห์บุรี!I399"")+IMPORTRANGE(""https://docs.google.com/spreadsheets/d/132g-zJpz2uMKimp17uOIx8A7o3w1Z25zwJyXnwsB56c/edit?usp=share_link"",""สุพรรณบุรี!I399"")+IMPORTRANGE(""https://"&amp;"docs.google.com/spreadsheets/d/12Q_U0nVnFdxDFwa0pej9xvx8ZvLC9Dpi_vRro_aiG5g/edit?usp=share_link"",""อ่างทอง!I399"")
"),0)</f>
        <v>0</v>
      </c>
      <c r="J399" s="183">
        <f ca="1">IFERROR(__xludf.DUMMYFUNCTION("IMPORTRANGE(""https://docs.google.com/spreadsheets/d/1hKO5uv94SSRZWOvrh72HRcpyoEQF9TsE_Cvxl77XNU4/edit?usp=share_link"",""กาญจนบุรี!J399"")+IMPORTRANGE(""https://docs.google.com/spreadsheets/d/1njBaP_xXd-Uotvo2D9zb01TTCFkLJLDK97Tk1l9Qux0/edit?usp=share_li"&amp;"nk"",""จันทบุรี!J399"")+IMPORTRANGE(""https://docs.google.com/spreadsheets/d/14xp6qUzrGFnUk_qnc1eEmfiaNRd4_grkhpfQH_46fa8/edit?usp=share_link"",""ฉะเชิงเทรา!J399"")+IMPORTRANGE(""https://docs.google.com/spreadsheets/d/1_Zwps30dlVa-pZFsorjVf1Pil6WXwzCsJU0U"&amp;"2whO3NI/edit?usp=share_link"",""ชลบุรี!J399"")+IMPORTRANGE(""https://docs.google.com/spreadsheets/d/1xAsT4sUbBlom7l0acStESh_15nvjZcXjZM7fK5uZSq8/edit?usp=share_link"",""ชัยนาท!J399"")+IMPORTRANGE(""https://docs.google.com/spreadsheets/d/1vWPVBOAaZ6mHSI8yf"&amp;"95DNqHwTJ1cpeFsvqt6cxV34QA/edit?usp=share_link"",""ตราด!J399"")+IMPORTRANGE(""https://docs.google.com/spreadsheets/d/1phaeSb9lTGgzDpbvVqI9hfmOQQzUom07-HEvpbARzEg/edit?usp=share_link"",""นครนายก!J399"")+IMPORTRANGE(""https://docs.google.com/spreadsheets/d/"&amp;"1tpwhWwkqkBeiSWCcfB5f2fbwPRbM9hHOEDSDHpl2MIc/edit?usp=share_link"",""นครปฐม!J399"")+IMPORTRANGE(""https://docs.google.com/spreadsheets/d/1fJJCVBkBnhriyv0Cp5ZFMr0I_yrfdEITNpb4zILJgUQ/edit?usp=share_link"",""ปทุมธานี!J399"")+IMPORTRANGE(""https://docs.googl"&amp;"e.com/spreadsheets/d/1W5Jj_S0gYw6wSO7QcMI02YgyOBDKYgmm0NSUk-AQEac/edit?usp=share_link"",""ประจวบคีรีขันธ์!J399"")+IMPORTRANGE(""https://docs.google.com/spreadsheets/d/1nYxRXgnCfTXtqUY1otYuTlnrzE0Tn-Y0YRsW5pkRVqo/edit?usp=share_link"",""ปราจีนบุรี!J399"")+"&amp;"IMPORTRANGE(""https://docs.google.com/spreadsheets/d/1nNHCLO8ZAXOMfQvxux7cf_hrzPAh8FAvaHq_ClKbZNo/edit?usp=share_link"",""พระนครศรีอยุธยา!J399"")+IMPORTRANGE(""https://docs.google.com/spreadsheets/d/1CdNicvf3i6yt4tJlCePe3V1Va76wYqW0QzMzTsaGRrA/edit?usp=sh"&amp;"are_link"",""เพชรบุรี!J399"")+IMPORTRANGE(""https://docs.google.com/spreadsheets/d/1XiF77UIVHV0Kjc6xbXuOuJ10WgJYxd4p_22ngKVV5oM/edit?usp=share_link"",""ระยอง!J399"")+IMPORTRANGE(""https://docs.google.com/spreadsheets/d/1qU-W_9MCQD1pgIVXGEOjCFo9QqlmJywueby"&amp;"GgaN92r8/edit?usp=share_link"",""ราชบุรี!J399"")+IMPORTRANGE(""https://docs.google.com/spreadsheets/d/1xYFIxIM_CspAP5Q-5Zx_V0T_Ut3cjryrjd2hss28vGk/edit?usp=share_link"",""ลพบุรี!J399"")+IMPORTRANGE(""https://docs.google.com/spreadsheets/d/11s9m3tKsCBdPWq6"&amp;"syhZm27eBGbKneDLZc75co106bio/edit?usp=share_link"",""สระแก้ว!J399"")+IMPORTRANGE(""https://docs.google.com/spreadsheets/d/1Nn1EvsFPtXldgpgVb3Rcng2K2cls68LFQsBh2FyW0Bg/edit?usp=share_link"",""สระบุรี!J399"")+IMPORTRANGE(""https://docs.google.com/spreadshee"&amp;"ts/d/149xufxukrnEciK3WPbNpHwUK8BKEJxp3UcBG3Al6dA4/edit?usp=share_link"",""สิงห์บุรี!J399"")+IMPORTRANGE(""https://docs.google.com/spreadsheets/d/132g-zJpz2uMKimp17uOIx8A7o3w1Z25zwJyXnwsB56c/edit?usp=share_link"",""สุพรรณบุรี!J399"")+IMPORTRANGE(""https://"&amp;"docs.google.com/spreadsheets/d/12Q_U0nVnFdxDFwa0pej9xvx8ZvLC9Dpi_vRro_aiG5g/edit?usp=share_link"",""อ่างทอง!J399"")
"),0)</f>
        <v>0</v>
      </c>
      <c r="K399" s="38">
        <f t="shared" ref="K399:K401" ca="1" si="201">IF(I399&gt;0,J399*100/I399,0)</f>
        <v>0</v>
      </c>
      <c r="L399" s="527"/>
      <c r="M399" s="527"/>
      <c r="N399" s="527"/>
      <c r="O399" s="527"/>
      <c r="P399" s="527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20.25" hidden="1" customHeight="1">
      <c r="A400" s="284"/>
      <c r="B400" s="33"/>
      <c r="C400" s="280"/>
      <c r="D400" s="446" t="s">
        <v>175</v>
      </c>
      <c r="E400" s="171"/>
      <c r="F400" s="33"/>
      <c r="G400" s="35"/>
      <c r="H400" s="276" t="s">
        <v>69</v>
      </c>
      <c r="I400" s="269">
        <f ca="1">IFERROR(__xludf.DUMMYFUNCTION("IMPORTRANGE(""https://docs.google.com/spreadsheets/d/1hKO5uv94SSRZWOvrh72HRcpyoEQF9TsE_Cvxl77XNU4/edit?usp=share_link"",""กาญจนบุรี!I400"")+IMPORTRANGE(""https://docs.google.com/spreadsheets/d/1njBaP_xXd-Uotvo2D9zb01TTCFkLJLDK97Tk1l9Qux0/edit?usp=share_li"&amp;"nk"",""จันทบุรี!I400"")+IMPORTRANGE(""https://docs.google.com/spreadsheets/d/14xp6qUzrGFnUk_qnc1eEmfiaNRd4_grkhpfQH_46fa8/edit?usp=share_link"",""ฉะเชิงเทรา!I400"")+IMPORTRANGE(""https://docs.google.com/spreadsheets/d/1_Zwps30dlVa-pZFsorjVf1Pil6WXwzCsJU0U"&amp;"2whO3NI/edit?usp=share_link"",""ชลบุรี!I400"")+IMPORTRANGE(""https://docs.google.com/spreadsheets/d/1xAsT4sUbBlom7l0acStESh_15nvjZcXjZM7fK5uZSq8/edit?usp=share_link"",""ชัยนาท!I400"")+IMPORTRANGE(""https://docs.google.com/spreadsheets/d/1vWPVBOAaZ6mHSI8yf"&amp;"95DNqHwTJ1cpeFsvqt6cxV34QA/edit?usp=share_link"",""ตราด!I400"")+IMPORTRANGE(""https://docs.google.com/spreadsheets/d/1phaeSb9lTGgzDpbvVqI9hfmOQQzUom07-HEvpbARzEg/edit?usp=share_link"",""นครนายก!I400"")+IMPORTRANGE(""https://docs.google.com/spreadsheets/d/"&amp;"1tpwhWwkqkBeiSWCcfB5f2fbwPRbM9hHOEDSDHpl2MIc/edit?usp=share_link"",""นครปฐม!I400"")+IMPORTRANGE(""https://docs.google.com/spreadsheets/d/1fJJCVBkBnhriyv0Cp5ZFMr0I_yrfdEITNpb4zILJgUQ/edit?usp=share_link"",""ปทุมธานี!I400"")+IMPORTRANGE(""https://docs.googl"&amp;"e.com/spreadsheets/d/1W5Jj_S0gYw6wSO7QcMI02YgyOBDKYgmm0NSUk-AQEac/edit?usp=share_link"",""ประจวบคีรีขันธ์!I400"")+IMPORTRANGE(""https://docs.google.com/spreadsheets/d/1nYxRXgnCfTXtqUY1otYuTlnrzE0Tn-Y0YRsW5pkRVqo/edit?usp=share_link"",""ปราจีนบุรี!I400"")+"&amp;"IMPORTRANGE(""https://docs.google.com/spreadsheets/d/1nNHCLO8ZAXOMfQvxux7cf_hrzPAh8FAvaHq_ClKbZNo/edit?usp=share_link"",""พระนครศรีอยุธยา!I400"")+IMPORTRANGE(""https://docs.google.com/spreadsheets/d/1CdNicvf3i6yt4tJlCePe3V1Va76wYqW0QzMzTsaGRrA/edit?usp=sh"&amp;"are_link"",""เพชรบุรี!I400"")+IMPORTRANGE(""https://docs.google.com/spreadsheets/d/1XiF77UIVHV0Kjc6xbXuOuJ10WgJYxd4p_22ngKVV5oM/edit?usp=share_link"",""ระยอง!I400"")+IMPORTRANGE(""https://docs.google.com/spreadsheets/d/1qU-W_9MCQD1pgIVXGEOjCFo9QqlmJywueby"&amp;"GgaN92r8/edit?usp=share_link"",""ราชบุรี!I400"")+IMPORTRANGE(""https://docs.google.com/spreadsheets/d/1xYFIxIM_CspAP5Q-5Zx_V0T_Ut3cjryrjd2hss28vGk/edit?usp=share_link"",""ลพบุรี!I400"")+IMPORTRANGE(""https://docs.google.com/spreadsheets/d/11s9m3tKsCBdPWq6"&amp;"syhZm27eBGbKneDLZc75co106bio/edit?usp=share_link"",""สระแก้ว!I400"")+IMPORTRANGE(""https://docs.google.com/spreadsheets/d/1Nn1EvsFPtXldgpgVb3Rcng2K2cls68LFQsBh2FyW0Bg/edit?usp=share_link"",""สระบุรี!I400"")+IMPORTRANGE(""https://docs.google.com/spreadshee"&amp;"ts/d/149xufxukrnEciK3WPbNpHwUK8BKEJxp3UcBG3Al6dA4/edit?usp=share_link"",""สิงห์บุรี!I400"")+IMPORTRANGE(""https://docs.google.com/spreadsheets/d/132g-zJpz2uMKimp17uOIx8A7o3w1Z25zwJyXnwsB56c/edit?usp=share_link"",""สุพรรณบุรี!I400"")+IMPORTRANGE(""https://"&amp;"docs.google.com/spreadsheets/d/12Q_U0nVnFdxDFwa0pej9xvx8ZvLC9Dpi_vRro_aiG5g/edit?usp=share_link"",""อ่างทอง!I400"")
"),0)</f>
        <v>0</v>
      </c>
      <c r="J400" s="183">
        <f ca="1">IFERROR(__xludf.DUMMYFUNCTION("IMPORTRANGE(""https://docs.google.com/spreadsheets/d/1hKO5uv94SSRZWOvrh72HRcpyoEQF9TsE_Cvxl77XNU4/edit?usp=share_link"",""กาญจนบุรี!J400"")+IMPORTRANGE(""https://docs.google.com/spreadsheets/d/1njBaP_xXd-Uotvo2D9zb01TTCFkLJLDK97Tk1l9Qux0/edit?usp=share_li"&amp;"nk"",""จันทบุรี!J400"")+IMPORTRANGE(""https://docs.google.com/spreadsheets/d/14xp6qUzrGFnUk_qnc1eEmfiaNRd4_grkhpfQH_46fa8/edit?usp=share_link"",""ฉะเชิงเทรา!J400"")+IMPORTRANGE(""https://docs.google.com/spreadsheets/d/1_Zwps30dlVa-pZFsorjVf1Pil6WXwzCsJU0U"&amp;"2whO3NI/edit?usp=share_link"",""ชลบุรี!J400"")+IMPORTRANGE(""https://docs.google.com/spreadsheets/d/1xAsT4sUbBlom7l0acStESh_15nvjZcXjZM7fK5uZSq8/edit?usp=share_link"",""ชัยนาท!J400"")+IMPORTRANGE(""https://docs.google.com/spreadsheets/d/1vWPVBOAaZ6mHSI8yf"&amp;"95DNqHwTJ1cpeFsvqt6cxV34QA/edit?usp=share_link"",""ตราด!J400"")+IMPORTRANGE(""https://docs.google.com/spreadsheets/d/1phaeSb9lTGgzDpbvVqI9hfmOQQzUom07-HEvpbARzEg/edit?usp=share_link"",""นครนายก!J400"")+IMPORTRANGE(""https://docs.google.com/spreadsheets/d/"&amp;"1tpwhWwkqkBeiSWCcfB5f2fbwPRbM9hHOEDSDHpl2MIc/edit?usp=share_link"",""นครปฐม!J400"")+IMPORTRANGE(""https://docs.google.com/spreadsheets/d/1fJJCVBkBnhriyv0Cp5ZFMr0I_yrfdEITNpb4zILJgUQ/edit?usp=share_link"",""ปทุมธานี!J400"")+IMPORTRANGE(""https://docs.googl"&amp;"e.com/spreadsheets/d/1W5Jj_S0gYw6wSO7QcMI02YgyOBDKYgmm0NSUk-AQEac/edit?usp=share_link"",""ประจวบคีรีขันธ์!J400"")+IMPORTRANGE(""https://docs.google.com/spreadsheets/d/1nYxRXgnCfTXtqUY1otYuTlnrzE0Tn-Y0YRsW5pkRVqo/edit?usp=share_link"",""ปราจีนบุรี!J400"")+"&amp;"IMPORTRANGE(""https://docs.google.com/spreadsheets/d/1nNHCLO8ZAXOMfQvxux7cf_hrzPAh8FAvaHq_ClKbZNo/edit?usp=share_link"",""พระนครศรีอยุธยา!J400"")+IMPORTRANGE(""https://docs.google.com/spreadsheets/d/1CdNicvf3i6yt4tJlCePe3V1Va76wYqW0QzMzTsaGRrA/edit?usp=sh"&amp;"are_link"",""เพชรบุรี!J400"")+IMPORTRANGE(""https://docs.google.com/spreadsheets/d/1XiF77UIVHV0Kjc6xbXuOuJ10WgJYxd4p_22ngKVV5oM/edit?usp=share_link"",""ระยอง!J400"")+IMPORTRANGE(""https://docs.google.com/spreadsheets/d/1qU-W_9MCQD1pgIVXGEOjCFo9QqlmJywueby"&amp;"GgaN92r8/edit?usp=share_link"",""ราชบุรี!J400"")+IMPORTRANGE(""https://docs.google.com/spreadsheets/d/1xYFIxIM_CspAP5Q-5Zx_V0T_Ut3cjryrjd2hss28vGk/edit?usp=share_link"",""ลพบุรี!J400"")+IMPORTRANGE(""https://docs.google.com/spreadsheets/d/11s9m3tKsCBdPWq6"&amp;"syhZm27eBGbKneDLZc75co106bio/edit?usp=share_link"",""สระแก้ว!J400"")+IMPORTRANGE(""https://docs.google.com/spreadsheets/d/1Nn1EvsFPtXldgpgVb3Rcng2K2cls68LFQsBh2FyW0Bg/edit?usp=share_link"",""สระบุรี!J400"")+IMPORTRANGE(""https://docs.google.com/spreadshee"&amp;"ts/d/149xufxukrnEciK3WPbNpHwUK8BKEJxp3UcBG3Al6dA4/edit?usp=share_link"",""สิงห์บุรี!J400"")+IMPORTRANGE(""https://docs.google.com/spreadsheets/d/132g-zJpz2uMKimp17uOIx8A7o3w1Z25zwJyXnwsB56c/edit?usp=share_link"",""สุพรรณบุรี!J400"")+IMPORTRANGE(""https://"&amp;"docs.google.com/spreadsheets/d/12Q_U0nVnFdxDFwa0pej9xvx8ZvLC9Dpi_vRro_aiG5g/edit?usp=share_link"",""อ่างทอง!J400"")
"),0)</f>
        <v>0</v>
      </c>
      <c r="K400" s="38">
        <f t="shared" ca="1" si="201"/>
        <v>0</v>
      </c>
      <c r="L400" s="38"/>
      <c r="M400" s="38"/>
      <c r="N400" s="38"/>
      <c r="O400" s="38"/>
      <c r="P400" s="38"/>
    </row>
    <row r="401" spans="1:26" ht="20.25" hidden="1" customHeight="1">
      <c r="A401" s="514"/>
      <c r="B401" s="515" t="s">
        <v>176</v>
      </c>
      <c r="C401" s="516"/>
      <c r="D401" s="517"/>
      <c r="E401" s="517"/>
      <c r="F401" s="517"/>
      <c r="G401" s="518"/>
      <c r="H401" s="519" t="s">
        <v>69</v>
      </c>
      <c r="I401" s="520">
        <f t="shared" ref="I401:J401" ca="1" si="202">I412</f>
        <v>0</v>
      </c>
      <c r="J401" s="520">
        <f t="shared" ca="1" si="202"/>
        <v>0</v>
      </c>
      <c r="K401" s="521">
        <f t="shared" ca="1" si="201"/>
        <v>0</v>
      </c>
      <c r="L401" s="522"/>
      <c r="M401" s="522"/>
      <c r="N401" s="522"/>
      <c r="O401" s="522"/>
      <c r="P401" s="522"/>
    </row>
    <row r="402" spans="1:26" ht="20.25" hidden="1" customHeight="1">
      <c r="A402" s="147"/>
      <c r="B402" s="148"/>
      <c r="C402" s="149" t="s">
        <v>16</v>
      </c>
      <c r="D402" s="150" t="s">
        <v>17</v>
      </c>
      <c r="E402" s="148"/>
      <c r="F402" s="148"/>
      <c r="G402" s="151"/>
      <c r="H402" s="152" t="s">
        <v>12</v>
      </c>
      <c r="I402" s="153"/>
      <c r="J402" s="153"/>
      <c r="K402" s="154"/>
      <c r="L402" s="155">
        <f t="shared" ref="L402:N402" ca="1" si="203">L403+L404</f>
        <v>0</v>
      </c>
      <c r="M402" s="155">
        <f t="shared" ca="1" si="203"/>
        <v>0</v>
      </c>
      <c r="N402" s="155">
        <f t="shared" ca="1" si="203"/>
        <v>0</v>
      </c>
      <c r="O402" s="155">
        <f t="shared" ref="O402:O410" ca="1" si="204">IF(L402&gt;0,N402*100/L402,0)</f>
        <v>0</v>
      </c>
      <c r="P402" s="155">
        <f t="shared" ref="P402:P410" ca="1" si="205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20.25" hidden="1" customHeight="1">
      <c r="A403" s="156"/>
      <c r="B403" s="40"/>
      <c r="C403" s="40"/>
      <c r="D403" s="40"/>
      <c r="E403" s="41" t="s">
        <v>18</v>
      </c>
      <c r="F403" s="40"/>
      <c r="G403" s="157"/>
      <c r="H403" s="158" t="s">
        <v>12</v>
      </c>
      <c r="I403" s="44"/>
      <c r="J403" s="44"/>
      <c r="K403" s="45"/>
      <c r="L403" s="45">
        <f t="shared" ref="L403:N403" si="206">L406+L409</f>
        <v>0</v>
      </c>
      <c r="M403" s="45">
        <f t="shared" si="206"/>
        <v>0</v>
      </c>
      <c r="N403" s="45">
        <f t="shared" si="206"/>
        <v>0</v>
      </c>
      <c r="O403" s="45">
        <f t="shared" si="204"/>
        <v>0</v>
      </c>
      <c r="P403" s="45">
        <f t="shared" si="205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20.25" hidden="1" customHeight="1">
      <c r="A404" s="156"/>
      <c r="B404" s="40"/>
      <c r="C404" s="40"/>
      <c r="D404" s="40"/>
      <c r="E404" s="41" t="s">
        <v>19</v>
      </c>
      <c r="F404" s="40"/>
      <c r="G404" s="157"/>
      <c r="H404" s="158" t="s">
        <v>12</v>
      </c>
      <c r="I404" s="44"/>
      <c r="J404" s="44"/>
      <c r="K404" s="45"/>
      <c r="L404" s="45">
        <f t="shared" ref="L404:N404" ca="1" si="207">L407+L410</f>
        <v>0</v>
      </c>
      <c r="M404" s="45">
        <f t="shared" ca="1" si="207"/>
        <v>0</v>
      </c>
      <c r="N404" s="45">
        <f t="shared" ca="1" si="207"/>
        <v>0</v>
      </c>
      <c r="O404" s="45">
        <f t="shared" ca="1" si="204"/>
        <v>0</v>
      </c>
      <c r="P404" s="45">
        <f t="shared" ca="1" si="205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20.25" hidden="1" customHeight="1">
      <c r="A405" s="159"/>
      <c r="B405" s="33"/>
      <c r="C405" s="160"/>
      <c r="D405" s="34" t="s">
        <v>20</v>
      </c>
      <c r="E405" s="33"/>
      <c r="F405" s="33"/>
      <c r="G405" s="35"/>
      <c r="H405" s="161" t="s">
        <v>12</v>
      </c>
      <c r="I405" s="162"/>
      <c r="J405" s="162"/>
      <c r="K405" s="163"/>
      <c r="L405" s="38">
        <f t="shared" ref="L405:N405" ca="1" si="208">L406+L407</f>
        <v>0</v>
      </c>
      <c r="M405" s="38">
        <f t="shared" ca="1" si="208"/>
        <v>0</v>
      </c>
      <c r="N405" s="38">
        <f t="shared" ca="1" si="208"/>
        <v>0</v>
      </c>
      <c r="O405" s="38">
        <f t="shared" ca="1" si="204"/>
        <v>0</v>
      </c>
      <c r="P405" s="38">
        <f t="shared" ca="1" si="205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20.25" hidden="1" customHeight="1">
      <c r="A406" s="156"/>
      <c r="B406" s="40"/>
      <c r="C406" s="164"/>
      <c r="D406" s="40"/>
      <c r="E406" s="41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45">
        <f t="shared" si="204"/>
        <v>0</v>
      </c>
      <c r="P406" s="45">
        <f t="shared" si="205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20.25" hidden="1" customHeight="1">
      <c r="A407" s="156"/>
      <c r="B407" s="40"/>
      <c r="C407" s="164"/>
      <c r="D407" s="40"/>
      <c r="E407" s="41" t="s">
        <v>37</v>
      </c>
      <c r="F407" s="40"/>
      <c r="G407" s="157"/>
      <c r="H407" s="165" t="s">
        <v>12</v>
      </c>
      <c r="I407" s="166"/>
      <c r="J407" s="166"/>
      <c r="K407" s="167"/>
      <c r="L407" s="45">
        <f ca="1">IFERROR(__xludf.DUMMYFUNCTION("IMPORTRANGE(""https://docs.google.com/spreadsheets/d/1hKO5uv94SSRZWOvrh72HRcpyoEQF9TsE_Cvxl77XNU4/edit?usp=share_link"",""กาญจนบุรี!L407"")+IMPORTRANGE(""https://docs.google.com/spreadsheets/d/1njBaP_xXd-Uotvo2D9zb01TTCFkLJLDK97Tk1l9Qux0/edit?usp=share_li"&amp;"nk"",""จันทบุรี!L407"")+IMPORTRANGE(""https://docs.google.com/spreadsheets/d/14xp6qUzrGFnUk_qnc1eEmfiaNRd4_grkhpfQH_46fa8/edit?usp=share_link"",""ฉะเชิงเทรา!L407"")+IMPORTRANGE(""https://docs.google.com/spreadsheets/d/1_Zwps30dlVa-pZFsorjVf1Pil6WXwzCsJU0U"&amp;"2whO3NI/edit?usp=share_link"",""ชลบุรี!L407"")+IMPORTRANGE(""https://docs.google.com/spreadsheets/d/1xAsT4sUbBlom7l0acStESh_15nvjZcXjZM7fK5uZSq8/edit?usp=share_link"",""ชัยนาท!L407"")+IMPORTRANGE(""https://docs.google.com/spreadsheets/d/1vWPVBOAaZ6mHSI8yf"&amp;"95DNqHwTJ1cpeFsvqt6cxV34QA/edit?usp=share_link"",""ตราด!L407"")+IMPORTRANGE(""https://docs.google.com/spreadsheets/d/1phaeSb9lTGgzDpbvVqI9hfmOQQzUom07-HEvpbARzEg/edit?usp=share_link"",""นครนายก!L407"")+IMPORTRANGE(""https://docs.google.com/spreadsheets/d/"&amp;"1tpwhWwkqkBeiSWCcfB5f2fbwPRbM9hHOEDSDHpl2MIc/edit?usp=share_link"",""นครปฐม!L407"")+IMPORTRANGE(""https://docs.google.com/spreadsheets/d/1fJJCVBkBnhriyv0Cp5ZFMr0I_yrfdEITNpb4zILJgUQ/edit?usp=share_link"",""ปทุมธานี!L407"")+IMPORTRANGE(""https://docs.googl"&amp;"e.com/spreadsheets/d/1W5Jj_S0gYw6wSO7QcMI02YgyOBDKYgmm0NSUk-AQEac/edit?usp=share_link"",""ประจวบคีรีขันธ์!L407"")+IMPORTRANGE(""https://docs.google.com/spreadsheets/d/1nYxRXgnCfTXtqUY1otYuTlnrzE0Tn-Y0YRsW5pkRVqo/edit?usp=share_link"",""ปราจีนบุรี!L407"")+"&amp;"IMPORTRANGE(""https://docs.google.com/spreadsheets/d/1nNHCLO8ZAXOMfQvxux7cf_hrzPAh8FAvaHq_ClKbZNo/edit?usp=share_link"",""พระนครศรีอยุธยา!L407"")+IMPORTRANGE(""https://docs.google.com/spreadsheets/d/1CdNicvf3i6yt4tJlCePe3V1Va76wYqW0QzMzTsaGRrA/edit?usp=sh"&amp;"are_link"",""เพชรบุรี!L407"")+IMPORTRANGE(""https://docs.google.com/spreadsheets/d/1XiF77UIVHV0Kjc6xbXuOuJ10WgJYxd4p_22ngKVV5oM/edit?usp=share_link"",""ระยอง!L407"")+IMPORTRANGE(""https://docs.google.com/spreadsheets/d/1qU-W_9MCQD1pgIVXGEOjCFo9QqlmJywueby"&amp;"GgaN92r8/edit?usp=share_link"",""ราชบุรี!L407"")+IMPORTRANGE(""https://docs.google.com/spreadsheets/d/1xYFIxIM_CspAP5Q-5Zx_V0T_Ut3cjryrjd2hss28vGk/edit?usp=share_link"",""ลพบุรี!L407"")+IMPORTRANGE(""https://docs.google.com/spreadsheets/d/11s9m3tKsCBdPWq6"&amp;"syhZm27eBGbKneDLZc75co106bio/edit?usp=share_link"",""สระแก้ว!L407"")+IMPORTRANGE(""https://docs.google.com/spreadsheets/d/1Nn1EvsFPtXldgpgVb3Rcng2K2cls68LFQsBh2FyW0Bg/edit?usp=share_link"",""สระบุรี!L407"")+IMPORTRANGE(""https://docs.google.com/spreadshee"&amp;"ts/d/149xufxukrnEciK3WPbNpHwUK8BKEJxp3UcBG3Al6dA4/edit?usp=share_link"",""สิงห์บุรี!L407"")+IMPORTRANGE(""https://docs.google.com/spreadsheets/d/132g-zJpz2uMKimp17uOIx8A7o3w1Z25zwJyXnwsB56c/edit?usp=share_link"",""สุพรรณบุรี!L407"")+IMPORTRANGE(""https://"&amp;"docs.google.com/spreadsheets/d/12Q_U0nVnFdxDFwa0pej9xvx8ZvLC9Dpi_vRro_aiG5g/edit?usp=share_link"",""อ่างทอง!L407"")
"),0)</f>
        <v>0</v>
      </c>
      <c r="M407" s="45">
        <f ca="1">IFERROR(__xludf.DUMMYFUNCTION("IMPORTRANGE(""https://docs.google.com/spreadsheets/d/1hKO5uv94SSRZWOvrh72HRcpyoEQF9TsE_Cvxl77XNU4/edit?usp=share_link"",""กาญจนบุรี!M407"")+IMPORTRANGE(""https://docs.google.com/spreadsheets/d/1njBaP_xXd-Uotvo2D9zb01TTCFkLJLDK97Tk1l9Qux0/edit?usp=share_li"&amp;"nk"",""จันทบุรี!M407"")+IMPORTRANGE(""https://docs.google.com/spreadsheets/d/14xp6qUzrGFnUk_qnc1eEmfiaNRd4_grkhpfQH_46fa8/edit?usp=share_link"",""ฉะเชิงเทรา!M407"")+IMPORTRANGE(""https://docs.google.com/spreadsheets/d/1_Zwps30dlVa-pZFsorjVf1Pil6WXwzCsJU0U"&amp;"2whO3NI/edit?usp=share_link"",""ชลบุรี!M407"")+IMPORTRANGE(""https://docs.google.com/spreadsheets/d/1xAsT4sUbBlom7l0acStESh_15nvjZcXjZM7fK5uZSq8/edit?usp=share_link"",""ชัยนาท!M407"")+IMPORTRANGE(""https://docs.google.com/spreadsheets/d/1vWPVBOAaZ6mHSI8yf"&amp;"95DNqHwTJ1cpeFsvqt6cxV34QA/edit?usp=share_link"",""ตราด!M407"")+IMPORTRANGE(""https://docs.google.com/spreadsheets/d/1phaeSb9lTGgzDpbvVqI9hfmOQQzUom07-HEvpbARzEg/edit?usp=share_link"",""นครนายก!M407"")+IMPORTRANGE(""https://docs.google.com/spreadsheets/d/"&amp;"1tpwhWwkqkBeiSWCcfB5f2fbwPRbM9hHOEDSDHpl2MIc/edit?usp=share_link"",""นครปฐม!M407"")+IMPORTRANGE(""https://docs.google.com/spreadsheets/d/1fJJCVBkBnhriyv0Cp5ZFMr0I_yrfdEITNpb4zILJgUQ/edit?usp=share_link"",""ปทุมธานี!M407"")+IMPORTRANGE(""https://docs.googl"&amp;"e.com/spreadsheets/d/1W5Jj_S0gYw6wSO7QcMI02YgyOBDKYgmm0NSUk-AQEac/edit?usp=share_link"",""ประจวบคีรีขันธ์!M407"")+IMPORTRANGE(""https://docs.google.com/spreadsheets/d/1nYxRXgnCfTXtqUY1otYuTlnrzE0Tn-Y0YRsW5pkRVqo/edit?usp=share_link"",""ปราจีนบุรี!M407"")+"&amp;"IMPORTRANGE(""https://docs.google.com/spreadsheets/d/1nNHCLO8ZAXOMfQvxux7cf_hrzPAh8FAvaHq_ClKbZNo/edit?usp=share_link"",""พระนครศรีอยุธยา!M407"")+IMPORTRANGE(""https://docs.google.com/spreadsheets/d/1CdNicvf3i6yt4tJlCePe3V1Va76wYqW0QzMzTsaGRrA/edit?usp=sh"&amp;"are_link"",""เพชรบุรี!M407"")+IMPORTRANGE(""https://docs.google.com/spreadsheets/d/1XiF77UIVHV0Kjc6xbXuOuJ10WgJYxd4p_22ngKVV5oM/edit?usp=share_link"",""ระยอง!M407"")+IMPORTRANGE(""https://docs.google.com/spreadsheets/d/1qU-W_9MCQD1pgIVXGEOjCFo9QqlmJywueby"&amp;"GgaN92r8/edit?usp=share_link"",""ราชบุรี!M407"")+IMPORTRANGE(""https://docs.google.com/spreadsheets/d/1xYFIxIM_CspAP5Q-5Zx_V0T_Ut3cjryrjd2hss28vGk/edit?usp=share_link"",""ลพบุรี!M407"")+IMPORTRANGE(""https://docs.google.com/spreadsheets/d/11s9m3tKsCBdPWq6"&amp;"syhZm27eBGbKneDLZc75co106bio/edit?usp=share_link"",""สระแก้ว!M407"")+IMPORTRANGE(""https://docs.google.com/spreadsheets/d/1Nn1EvsFPtXldgpgVb3Rcng2K2cls68LFQsBh2FyW0Bg/edit?usp=share_link"",""สระบุรี!M407"")+IMPORTRANGE(""https://docs.google.com/spreadshee"&amp;"ts/d/149xufxukrnEciK3WPbNpHwUK8BKEJxp3UcBG3Al6dA4/edit?usp=share_link"",""สิงห์บุรี!M407"")+IMPORTRANGE(""https://docs.google.com/spreadsheets/d/132g-zJpz2uMKimp17uOIx8A7o3w1Z25zwJyXnwsB56c/edit?usp=share_link"",""สุพรรณบุรี!M407"")+IMPORTRANGE(""https://"&amp;"docs.google.com/spreadsheets/d/12Q_U0nVnFdxDFwa0pej9xvx8ZvLC9Dpi_vRro_aiG5g/edit?usp=share_link"",""อ่างทอง!M407"")
"),0)</f>
        <v>0</v>
      </c>
      <c r="N407" s="45">
        <f ca="1">IFERROR(__xludf.DUMMYFUNCTION("IMPORTRANGE(""https://docs.google.com/spreadsheets/d/1hKO5uv94SSRZWOvrh72HRcpyoEQF9TsE_Cvxl77XNU4/edit?usp=share_link"",""กาญจนบุรี!n407"")+IMPORTRANGE(""https://docs.google.com/spreadsheets/d/1njBaP_xXd-Uotvo2D9zb01TTCFkLJLDK97Tk1l9Qux0/edit?usp=share_li"&amp;"nk"",""จันทบุรี!n407"")+IMPORTRANGE(""https://docs.google.com/spreadsheets/d/14xp6qUzrGFnUk_qnc1eEmfiaNRd4_grkhpfQH_46fa8/edit?usp=share_link"",""ฉะเชิงเทรา!n407"")+IMPORTRANGE(""https://docs.google.com/spreadsheets/d/1_Zwps30dlVa-pZFsorjVf1Pil6WXwzCsJU0U"&amp;"2whO3NI/edit?usp=share_link"",""ชลบุรี!n407"")+IMPORTRANGE(""https://docs.google.com/spreadsheets/d/1xAsT4sUbBlom7l0acStESh_15nvjZcXjZM7fK5uZSq8/edit?usp=share_link"",""ชัยนาท!n407"")+IMPORTRANGE(""https://docs.google.com/spreadsheets/d/1vWPVBOAaZ6mHSI8yf"&amp;"95DNqHwTJ1cpeFsvqt6cxV34QA/edit?usp=share_link"",""ตราด!n407"")+IMPORTRANGE(""https://docs.google.com/spreadsheets/d/1phaeSb9lTGgzDpbvVqI9hfmOQQzUom07-HEvpbARzEg/edit?usp=share_link"",""นครนายก!n407"")+IMPORTRANGE(""https://docs.google.com/spreadsheets/d/"&amp;"1tpwhWwkqkBeiSWCcfB5f2fbwPRbM9hHOEDSDHpl2MIc/edit?usp=share_link"",""นครปฐม!n407"")+IMPORTRANGE(""https://docs.google.com/spreadsheets/d/1fJJCVBkBnhriyv0Cp5ZFMr0I_yrfdEITNpb4zILJgUQ/edit?usp=share_link"",""ปทุมธานี!n407"")+IMPORTRANGE(""https://docs.googl"&amp;"e.com/spreadsheets/d/1W5Jj_S0gYw6wSO7QcMI02YgyOBDKYgmm0NSUk-AQEac/edit?usp=share_link"",""ประจวบคีรีขันธ์!n407"")+IMPORTRANGE(""https://docs.google.com/spreadsheets/d/1nYxRXgnCfTXtqUY1otYuTlnrzE0Tn-Y0YRsW5pkRVqo/edit?usp=share_link"",""ปราจีนบุรี!n407"")+"&amp;"IMPORTRANGE(""https://docs.google.com/spreadsheets/d/1nNHCLO8ZAXOMfQvxux7cf_hrzPAh8FAvaHq_ClKbZNo/edit?usp=share_link"",""พระนครศรีอยุธยา!n407"")+IMPORTRANGE(""https://docs.google.com/spreadsheets/d/1CdNicvf3i6yt4tJlCePe3V1Va76wYqW0QzMzTsaGRrA/edit?usp=sh"&amp;"are_link"",""เพชรบุรี!n407"")+IMPORTRANGE(""https://docs.google.com/spreadsheets/d/1XiF77UIVHV0Kjc6xbXuOuJ10WgJYxd4p_22ngKVV5oM/edit?usp=share_link"",""ระยอง!n407"")+IMPORTRANGE(""https://docs.google.com/spreadsheets/d/1qU-W_9MCQD1pgIVXGEOjCFo9QqlmJywueby"&amp;"GgaN92r8/edit?usp=share_link"",""ราชบุรี!n407"")+IMPORTRANGE(""https://docs.google.com/spreadsheets/d/1xYFIxIM_CspAP5Q-5Zx_V0T_Ut3cjryrjd2hss28vGk/edit?usp=share_link"",""ลพบุรี!n407"")+IMPORTRANGE(""https://docs.google.com/spreadsheets/d/11s9m3tKsCBdPWq6"&amp;"syhZm27eBGbKneDLZc75co106bio/edit?usp=share_link"",""สระแก้ว!n407"")+IMPORTRANGE(""https://docs.google.com/spreadsheets/d/1Nn1EvsFPtXldgpgVb3Rcng2K2cls68LFQsBh2FyW0Bg/edit?usp=share_link"",""สระบุรี!n407"")+IMPORTRANGE(""https://docs.google.com/spreadshee"&amp;"ts/d/149xufxukrnEciK3WPbNpHwUK8BKEJxp3UcBG3Al6dA4/edit?usp=share_link"",""สิงห์บุรี!n407"")+IMPORTRANGE(""https://docs.google.com/spreadsheets/d/132g-zJpz2uMKimp17uOIx8A7o3w1Z25zwJyXnwsB56c/edit?usp=share_link"",""สุพรรณบุรี!n407"")+IMPORTRANGE(""https://"&amp;"docs.google.com/spreadsheets/d/12Q_U0nVnFdxDFwa0pej9xvx8ZvLC9Dpi_vRro_aiG5g/edit?usp=share_link"",""อ่างทอง!n407"")
"),0)</f>
        <v>0</v>
      </c>
      <c r="O407" s="45">
        <f t="shared" ca="1" si="204"/>
        <v>0</v>
      </c>
      <c r="P407" s="45">
        <f t="shared" ca="1" si="205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20.25" hidden="1" customHeight="1">
      <c r="A408" s="159"/>
      <c r="B408" s="33"/>
      <c r="C408" s="160"/>
      <c r="D408" s="34" t="s">
        <v>21</v>
      </c>
      <c r="E408" s="33"/>
      <c r="F408" s="33"/>
      <c r="G408" s="35"/>
      <c r="H408" s="168" t="s">
        <v>12</v>
      </c>
      <c r="I408" s="162"/>
      <c r="J408" s="162"/>
      <c r="K408" s="163"/>
      <c r="L408" s="38">
        <f t="shared" ref="L408:N408" ca="1" si="209">L409+L410</f>
        <v>0</v>
      </c>
      <c r="M408" s="38">
        <f t="shared" ca="1" si="209"/>
        <v>0</v>
      </c>
      <c r="N408" s="38">
        <f t="shared" ca="1" si="209"/>
        <v>0</v>
      </c>
      <c r="O408" s="38">
        <f t="shared" ca="1" si="204"/>
        <v>0</v>
      </c>
      <c r="P408" s="38">
        <f t="shared" ca="1" si="205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20.25" hidden="1" customHeight="1">
      <c r="A409" s="156"/>
      <c r="B409" s="40"/>
      <c r="C409" s="164"/>
      <c r="D409" s="40"/>
      <c r="E409" s="41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45">
        <f t="shared" si="204"/>
        <v>0</v>
      </c>
      <c r="P409" s="45">
        <f t="shared" si="205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20.25" hidden="1" customHeight="1">
      <c r="A410" s="156"/>
      <c r="B410" s="40"/>
      <c r="C410" s="164"/>
      <c r="D410" s="40"/>
      <c r="E410" s="41" t="s">
        <v>19</v>
      </c>
      <c r="F410" s="40"/>
      <c r="G410" s="157"/>
      <c r="H410" s="169" t="s">
        <v>12</v>
      </c>
      <c r="I410" s="166"/>
      <c r="J410" s="166"/>
      <c r="K410" s="167"/>
      <c r="L410" s="45">
        <f ca="1">IFERROR(__xludf.DUMMYFUNCTION("IMPORTRANGE(""https://docs.google.com/spreadsheets/d/1hKO5uv94SSRZWOvrh72HRcpyoEQF9TsE_Cvxl77XNU4/edit?usp=share_link"",""กาญจนบุรี!L410"")+IMPORTRANGE(""https://docs.google.com/spreadsheets/d/1njBaP_xXd-Uotvo2D9zb01TTCFkLJLDK97Tk1l9Qux0/edit?usp=share_li"&amp;"nk"",""จันทบุรี!L410"")+IMPORTRANGE(""https://docs.google.com/spreadsheets/d/14xp6qUzrGFnUk_qnc1eEmfiaNRd4_grkhpfQH_46fa8/edit?usp=share_link"",""ฉะเชิงเทรา!L410"")+IMPORTRANGE(""https://docs.google.com/spreadsheets/d/1_Zwps30dlVa-pZFsorjVf1Pil6WXwzCsJU0U"&amp;"2whO3NI/edit?usp=share_link"",""ชลบุรี!L410"")+IMPORTRANGE(""https://docs.google.com/spreadsheets/d/1xAsT4sUbBlom7l0acStESh_15nvjZcXjZM7fK5uZSq8/edit?usp=share_link"",""ชัยนาท!L410"")+IMPORTRANGE(""https://docs.google.com/spreadsheets/d/1vWPVBOAaZ6mHSI8yf"&amp;"95DNqHwTJ1cpeFsvqt6cxV34QA/edit?usp=share_link"",""ตราด!L410"")+IMPORTRANGE(""https://docs.google.com/spreadsheets/d/1phaeSb9lTGgzDpbvVqI9hfmOQQzUom07-HEvpbARzEg/edit?usp=share_link"",""นครนายก!L410"")+IMPORTRANGE(""https://docs.google.com/spreadsheets/d/"&amp;"1tpwhWwkqkBeiSWCcfB5f2fbwPRbM9hHOEDSDHpl2MIc/edit?usp=share_link"",""นครปฐม!L410"")+IMPORTRANGE(""https://docs.google.com/spreadsheets/d/1fJJCVBkBnhriyv0Cp5ZFMr0I_yrfdEITNpb4zILJgUQ/edit?usp=share_link"",""ปทุมธานี!L410"")+IMPORTRANGE(""https://docs.googl"&amp;"e.com/spreadsheets/d/1W5Jj_S0gYw6wSO7QcMI02YgyOBDKYgmm0NSUk-AQEac/edit?usp=share_link"",""ประจวบคีรีขันธ์!L410"")+IMPORTRANGE(""https://docs.google.com/spreadsheets/d/1nYxRXgnCfTXtqUY1otYuTlnrzE0Tn-Y0YRsW5pkRVqo/edit?usp=share_link"",""ปราจีนบุรี!L410"")+"&amp;"IMPORTRANGE(""https://docs.google.com/spreadsheets/d/1nNHCLO8ZAXOMfQvxux7cf_hrzPAh8FAvaHq_ClKbZNo/edit?usp=share_link"",""พระนครศรีอยุธยา!L410"")+IMPORTRANGE(""https://docs.google.com/spreadsheets/d/1CdNicvf3i6yt4tJlCePe3V1Va76wYqW0QzMzTsaGRrA/edit?usp=sh"&amp;"are_link"",""เพชรบุรี!L410"")+IMPORTRANGE(""https://docs.google.com/spreadsheets/d/1XiF77UIVHV0Kjc6xbXuOuJ10WgJYxd4p_22ngKVV5oM/edit?usp=share_link"",""ระยอง!L410"")+IMPORTRANGE(""https://docs.google.com/spreadsheets/d/1qU-W_9MCQD1pgIVXGEOjCFo9QqlmJywueby"&amp;"GgaN92r8/edit?usp=share_link"",""ราชบุรี!L410"")+IMPORTRANGE(""https://docs.google.com/spreadsheets/d/1xYFIxIM_CspAP5Q-5Zx_V0T_Ut3cjryrjd2hss28vGk/edit?usp=share_link"",""ลพบุรี!L410"")+IMPORTRANGE(""https://docs.google.com/spreadsheets/d/11s9m3tKsCBdPWq6"&amp;"syhZm27eBGbKneDLZc75co106bio/edit?usp=share_link"",""สระแก้ว!L410"")+IMPORTRANGE(""https://docs.google.com/spreadsheets/d/1Nn1EvsFPtXldgpgVb3Rcng2K2cls68LFQsBh2FyW0Bg/edit?usp=share_link"",""สระบุรี!L410"")+IMPORTRANGE(""https://docs.google.com/spreadshee"&amp;"ts/d/149xufxukrnEciK3WPbNpHwUK8BKEJxp3UcBG3Al6dA4/edit?usp=share_link"",""สิงห์บุรี!L410"")+IMPORTRANGE(""https://docs.google.com/spreadsheets/d/132g-zJpz2uMKimp17uOIx8A7o3w1Z25zwJyXnwsB56c/edit?usp=share_link"",""สุพรรณบุรี!L410"")+IMPORTRANGE(""https://"&amp;"docs.google.com/spreadsheets/d/12Q_U0nVnFdxDFwa0pej9xvx8ZvLC9Dpi_vRro_aiG5g/edit?usp=share_link"",""อ่างทอง!L410"")
"),0)</f>
        <v>0</v>
      </c>
      <c r="M410" s="45">
        <f ca="1">IFERROR(__xludf.DUMMYFUNCTION("IMPORTRANGE(""https://docs.google.com/spreadsheets/d/1hKO5uv94SSRZWOvrh72HRcpyoEQF9TsE_Cvxl77XNU4/edit?usp=share_link"",""กาญจนบุรี!M410"")+IMPORTRANGE(""https://docs.google.com/spreadsheets/d/1njBaP_xXd-Uotvo2D9zb01TTCFkLJLDK97Tk1l9Qux0/edit?usp=share_li"&amp;"nk"",""จันทบุรี!M410"")+IMPORTRANGE(""https://docs.google.com/spreadsheets/d/14xp6qUzrGFnUk_qnc1eEmfiaNRd4_grkhpfQH_46fa8/edit?usp=share_link"",""ฉะเชิงเทรา!M410"")+IMPORTRANGE(""https://docs.google.com/spreadsheets/d/1_Zwps30dlVa-pZFsorjVf1Pil6WXwzCsJU0U"&amp;"2whO3NI/edit?usp=share_link"",""ชลบุรี!M410"")+IMPORTRANGE(""https://docs.google.com/spreadsheets/d/1xAsT4sUbBlom7l0acStESh_15nvjZcXjZM7fK5uZSq8/edit?usp=share_link"",""ชัยนาท!M410"")+IMPORTRANGE(""https://docs.google.com/spreadsheets/d/1vWPVBOAaZ6mHSI8yf"&amp;"95DNqHwTJ1cpeFsvqt6cxV34QA/edit?usp=share_link"",""ตราด!M410"")+IMPORTRANGE(""https://docs.google.com/spreadsheets/d/1phaeSb9lTGgzDpbvVqI9hfmOQQzUom07-HEvpbARzEg/edit?usp=share_link"",""นครนายก!M410"")+IMPORTRANGE(""https://docs.google.com/spreadsheets/d/"&amp;"1tpwhWwkqkBeiSWCcfB5f2fbwPRbM9hHOEDSDHpl2MIc/edit?usp=share_link"",""นครปฐม!M410"")+IMPORTRANGE(""https://docs.google.com/spreadsheets/d/1fJJCVBkBnhriyv0Cp5ZFMr0I_yrfdEITNpb4zILJgUQ/edit?usp=share_link"",""ปทุมธานี!M410"")+IMPORTRANGE(""https://docs.googl"&amp;"e.com/spreadsheets/d/1W5Jj_S0gYw6wSO7QcMI02YgyOBDKYgmm0NSUk-AQEac/edit?usp=share_link"",""ประจวบคีรีขันธ์!M410"")+IMPORTRANGE(""https://docs.google.com/spreadsheets/d/1nYxRXgnCfTXtqUY1otYuTlnrzE0Tn-Y0YRsW5pkRVqo/edit?usp=share_link"",""ปราจีนบุรี!M410"")+"&amp;"IMPORTRANGE(""https://docs.google.com/spreadsheets/d/1nNHCLO8ZAXOMfQvxux7cf_hrzPAh8FAvaHq_ClKbZNo/edit?usp=share_link"",""พระนครศรีอยุธยา!M410"")+IMPORTRANGE(""https://docs.google.com/spreadsheets/d/1CdNicvf3i6yt4tJlCePe3V1Va76wYqW0QzMzTsaGRrA/edit?usp=sh"&amp;"are_link"",""เพชรบุรี!M410"")+IMPORTRANGE(""https://docs.google.com/spreadsheets/d/1XiF77UIVHV0Kjc6xbXuOuJ10WgJYxd4p_22ngKVV5oM/edit?usp=share_link"",""ระยอง!M410"")+IMPORTRANGE(""https://docs.google.com/spreadsheets/d/1qU-W_9MCQD1pgIVXGEOjCFo9QqlmJywueby"&amp;"GgaN92r8/edit?usp=share_link"",""ราชบุรี!M410"")+IMPORTRANGE(""https://docs.google.com/spreadsheets/d/1xYFIxIM_CspAP5Q-5Zx_V0T_Ut3cjryrjd2hss28vGk/edit?usp=share_link"",""ลพบุรี!M410"")+IMPORTRANGE(""https://docs.google.com/spreadsheets/d/11s9m3tKsCBdPWq6"&amp;"syhZm27eBGbKneDLZc75co106bio/edit?usp=share_link"",""สระแก้ว!M410"")+IMPORTRANGE(""https://docs.google.com/spreadsheets/d/1Nn1EvsFPtXldgpgVb3Rcng2K2cls68LFQsBh2FyW0Bg/edit?usp=share_link"",""สระบุรี!M410"")+IMPORTRANGE(""https://docs.google.com/spreadshee"&amp;"ts/d/149xufxukrnEciK3WPbNpHwUK8BKEJxp3UcBG3Al6dA4/edit?usp=share_link"",""สิงห์บุรี!M410"")+IMPORTRANGE(""https://docs.google.com/spreadsheets/d/132g-zJpz2uMKimp17uOIx8A7o3w1Z25zwJyXnwsB56c/edit?usp=share_link"",""สุพรรณบุรี!M410"")+IMPORTRANGE(""https://"&amp;"docs.google.com/spreadsheets/d/12Q_U0nVnFdxDFwa0pej9xvx8ZvLC9Dpi_vRro_aiG5g/edit?usp=share_link"",""อ่างทอง!M410"")
"),0)</f>
        <v>0</v>
      </c>
      <c r="N410" s="45">
        <f ca="1">IFERROR(__xludf.DUMMYFUNCTION("IMPORTRANGE(""https://docs.google.com/spreadsheets/d/1hKO5uv94SSRZWOvrh72HRcpyoEQF9TsE_Cvxl77XNU4/edit?usp=share_link"",""กาญจนบุรี!n410"")+IMPORTRANGE(""https://docs.google.com/spreadsheets/d/1njBaP_xXd-Uotvo2D9zb01TTCFkLJLDK97Tk1l9Qux0/edit?usp=share_li"&amp;"nk"",""จันทบุรี!n410"")+IMPORTRANGE(""https://docs.google.com/spreadsheets/d/14xp6qUzrGFnUk_qnc1eEmfiaNRd4_grkhpfQH_46fa8/edit?usp=share_link"",""ฉะเชิงเทรา!n410"")+IMPORTRANGE(""https://docs.google.com/spreadsheets/d/1_Zwps30dlVa-pZFsorjVf1Pil6WXwzCsJU0U"&amp;"2whO3NI/edit?usp=share_link"",""ชลบุรี!n410"")+IMPORTRANGE(""https://docs.google.com/spreadsheets/d/1xAsT4sUbBlom7l0acStESh_15nvjZcXjZM7fK5uZSq8/edit?usp=share_link"",""ชัยนาท!n410"")+IMPORTRANGE(""https://docs.google.com/spreadsheets/d/1vWPVBOAaZ6mHSI8yf"&amp;"95DNqHwTJ1cpeFsvqt6cxV34QA/edit?usp=share_link"",""ตราด!n410"")+IMPORTRANGE(""https://docs.google.com/spreadsheets/d/1phaeSb9lTGgzDpbvVqI9hfmOQQzUom07-HEvpbARzEg/edit?usp=share_link"",""นครนายก!n410"")+IMPORTRANGE(""https://docs.google.com/spreadsheets/d/"&amp;"1tpwhWwkqkBeiSWCcfB5f2fbwPRbM9hHOEDSDHpl2MIc/edit?usp=share_link"",""นครปฐม!n410"")+IMPORTRANGE(""https://docs.google.com/spreadsheets/d/1fJJCVBkBnhriyv0Cp5ZFMr0I_yrfdEITNpb4zILJgUQ/edit?usp=share_link"",""ปทุมธานี!n410"")+IMPORTRANGE(""https://docs.googl"&amp;"e.com/spreadsheets/d/1W5Jj_S0gYw6wSO7QcMI02YgyOBDKYgmm0NSUk-AQEac/edit?usp=share_link"",""ประจวบคีรีขันธ์!n410"")+IMPORTRANGE(""https://docs.google.com/spreadsheets/d/1nYxRXgnCfTXtqUY1otYuTlnrzE0Tn-Y0YRsW5pkRVqo/edit?usp=share_link"",""ปราจีนบุรี!n410"")+"&amp;"IMPORTRANGE(""https://docs.google.com/spreadsheets/d/1nNHCLO8ZAXOMfQvxux7cf_hrzPAh8FAvaHq_ClKbZNo/edit?usp=share_link"",""พระนครศรีอยุธยา!n410"")+IMPORTRANGE(""https://docs.google.com/spreadsheets/d/1CdNicvf3i6yt4tJlCePe3V1Va76wYqW0QzMzTsaGRrA/edit?usp=sh"&amp;"are_link"",""เพชรบุรี!n410"")+IMPORTRANGE(""https://docs.google.com/spreadsheets/d/1XiF77UIVHV0Kjc6xbXuOuJ10WgJYxd4p_22ngKVV5oM/edit?usp=share_link"",""ระยอง!n410"")+IMPORTRANGE(""https://docs.google.com/spreadsheets/d/1qU-W_9MCQD1pgIVXGEOjCFo9QqlmJywueby"&amp;"GgaN92r8/edit?usp=share_link"",""ราชบุรี!n410"")+IMPORTRANGE(""https://docs.google.com/spreadsheets/d/1xYFIxIM_CspAP5Q-5Zx_V0T_Ut3cjryrjd2hss28vGk/edit?usp=share_link"",""ลพบุรี!n410"")+IMPORTRANGE(""https://docs.google.com/spreadsheets/d/11s9m3tKsCBdPWq6"&amp;"syhZm27eBGbKneDLZc75co106bio/edit?usp=share_link"",""สระแก้ว!n410"")+IMPORTRANGE(""https://docs.google.com/spreadsheets/d/1Nn1EvsFPtXldgpgVb3Rcng2K2cls68LFQsBh2FyW0Bg/edit?usp=share_link"",""สระบุรี!n410"")+IMPORTRANGE(""https://docs.google.com/spreadshee"&amp;"ts/d/149xufxukrnEciK3WPbNpHwUK8BKEJxp3UcBG3Al6dA4/edit?usp=share_link"",""สิงห์บุรี!n410"")+IMPORTRANGE(""https://docs.google.com/spreadsheets/d/132g-zJpz2uMKimp17uOIx8A7o3w1Z25zwJyXnwsB56c/edit?usp=share_link"",""สุพรรณบุรี!n410"")+IMPORTRANGE(""https://"&amp;"docs.google.com/spreadsheets/d/12Q_U0nVnFdxDFwa0pej9xvx8ZvLC9Dpi_vRro_aiG5g/edit?usp=share_link"",""อ่างทอง!n410"")
"),0)</f>
        <v>0</v>
      </c>
      <c r="O410" s="45">
        <f t="shared" ca="1" si="204"/>
        <v>0</v>
      </c>
      <c r="P410" s="45">
        <f t="shared" ca="1" si="205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20.25" hidden="1" customHeight="1">
      <c r="A411" s="170"/>
      <c r="B411" s="171"/>
      <c r="C411" s="164" t="s">
        <v>16</v>
      </c>
      <c r="D411" s="528" t="s">
        <v>38</v>
      </c>
      <c r="E411" s="529"/>
      <c r="F411" s="529"/>
      <c r="G411" s="530"/>
      <c r="H411" s="175"/>
      <c r="I411" s="37"/>
      <c r="J411" s="37"/>
      <c r="K411" s="38"/>
      <c r="L411" s="163"/>
      <c r="M411" s="163"/>
      <c r="N411" s="163"/>
      <c r="O411" s="163"/>
      <c r="P411" s="163"/>
    </row>
    <row r="412" spans="1:26" ht="20.25" hidden="1" customHeight="1">
      <c r="A412" s="170"/>
      <c r="B412" s="178"/>
      <c r="C412" s="178"/>
      <c r="D412" s="181" t="s">
        <v>177</v>
      </c>
      <c r="E412" s="178"/>
      <c r="F412" s="178"/>
      <c r="G412" s="179"/>
      <c r="H412" s="531" t="s">
        <v>69</v>
      </c>
      <c r="I412" s="269">
        <f ca="1">IFERROR(__xludf.DUMMYFUNCTION("IMPORTRANGE(""https://docs.google.com/spreadsheets/d/1hKO5uv94SSRZWOvrh72HRcpyoEQF9TsE_Cvxl77XNU4/edit?usp=share_link"",""กาญจนบุรี!I412"")+IMPORTRANGE(""https://docs.google.com/spreadsheets/d/1njBaP_xXd-Uotvo2D9zb01TTCFkLJLDK97Tk1l9Qux0/edit?usp=share_li"&amp;"nk"",""จันทบุรี!I412"")+IMPORTRANGE(""https://docs.google.com/spreadsheets/d/14xp6qUzrGFnUk_qnc1eEmfiaNRd4_grkhpfQH_46fa8/edit?usp=share_link"",""ฉะเชิงเทรา!I412"")+IMPORTRANGE(""https://docs.google.com/spreadsheets/d/1_Zwps30dlVa-pZFsorjVf1Pil6WXwzCsJU0U"&amp;"2whO3NI/edit?usp=share_link"",""ชลบุรี!I412"")+IMPORTRANGE(""https://docs.google.com/spreadsheets/d/1xAsT4sUbBlom7l0acStESh_15nvjZcXjZM7fK5uZSq8/edit?usp=share_link"",""ชัยนาท!I412"")+IMPORTRANGE(""https://docs.google.com/spreadsheets/d/1vWPVBOAaZ6mHSI8yf"&amp;"95DNqHwTJ1cpeFsvqt6cxV34QA/edit?usp=share_link"",""ตราด!I412"")+IMPORTRANGE(""https://docs.google.com/spreadsheets/d/1phaeSb9lTGgzDpbvVqI9hfmOQQzUom07-HEvpbARzEg/edit?usp=share_link"",""นครนายก!I412"")+IMPORTRANGE(""https://docs.google.com/spreadsheets/d/"&amp;"1tpwhWwkqkBeiSWCcfB5f2fbwPRbM9hHOEDSDHpl2MIc/edit?usp=share_link"",""นครปฐม!I412"")+IMPORTRANGE(""https://docs.google.com/spreadsheets/d/1fJJCVBkBnhriyv0Cp5ZFMr0I_yrfdEITNpb4zILJgUQ/edit?usp=share_link"",""ปทุมธานี!I412"")+IMPORTRANGE(""https://docs.googl"&amp;"e.com/spreadsheets/d/1W5Jj_S0gYw6wSO7QcMI02YgyOBDKYgmm0NSUk-AQEac/edit?usp=share_link"",""ประจวบคีรีขันธ์!I412"")+IMPORTRANGE(""https://docs.google.com/spreadsheets/d/1nYxRXgnCfTXtqUY1otYuTlnrzE0Tn-Y0YRsW5pkRVqo/edit?usp=share_link"",""ปราจีนบุรี!I412"")+"&amp;"IMPORTRANGE(""https://docs.google.com/spreadsheets/d/1nNHCLO8ZAXOMfQvxux7cf_hrzPAh8FAvaHq_ClKbZNo/edit?usp=share_link"",""พระนครศรีอยุธยา!I412"")+IMPORTRANGE(""https://docs.google.com/spreadsheets/d/1CdNicvf3i6yt4tJlCePe3V1Va76wYqW0QzMzTsaGRrA/edit?usp=sh"&amp;"are_link"",""เพชรบุรี!I412"")+IMPORTRANGE(""https://docs.google.com/spreadsheets/d/1XiF77UIVHV0Kjc6xbXuOuJ10WgJYxd4p_22ngKVV5oM/edit?usp=share_link"",""ระยอง!I412"")+IMPORTRANGE(""https://docs.google.com/spreadsheets/d/1qU-W_9MCQD1pgIVXGEOjCFo9QqlmJywueby"&amp;"GgaN92r8/edit?usp=share_link"",""ราชบุรี!I412"")+IMPORTRANGE(""https://docs.google.com/spreadsheets/d/1xYFIxIM_CspAP5Q-5Zx_V0T_Ut3cjryrjd2hss28vGk/edit?usp=share_link"",""ลพบุรี!I412"")+IMPORTRANGE(""https://docs.google.com/spreadsheets/d/11s9m3tKsCBdPWq6"&amp;"syhZm27eBGbKneDLZc75co106bio/edit?usp=share_link"",""สระแก้ว!I412"")+IMPORTRANGE(""https://docs.google.com/spreadsheets/d/1Nn1EvsFPtXldgpgVb3Rcng2K2cls68LFQsBh2FyW0Bg/edit?usp=share_link"",""สระบุรี!I412"")+IMPORTRANGE(""https://docs.google.com/spreadshee"&amp;"ts/d/149xufxukrnEciK3WPbNpHwUK8BKEJxp3UcBG3Al6dA4/edit?usp=share_link"",""สิงห์บุรี!I412"")+IMPORTRANGE(""https://docs.google.com/spreadsheets/d/132g-zJpz2uMKimp17uOIx8A7o3w1Z25zwJyXnwsB56c/edit?usp=share_link"",""สุพรรณบุรี!I412"")+IMPORTRANGE(""https://"&amp;"docs.google.com/spreadsheets/d/12Q_U0nVnFdxDFwa0pej9xvx8ZvLC9Dpi_vRro_aiG5g/edit?usp=share_link"",""อ่างทอง!I412"")
"),0)</f>
        <v>0</v>
      </c>
      <c r="J412" s="183">
        <f ca="1">IFERROR(__xludf.DUMMYFUNCTION("IMPORTRANGE(""https://docs.google.com/spreadsheets/d/1hKO5uv94SSRZWOvrh72HRcpyoEQF9TsE_Cvxl77XNU4/edit?usp=share_link"",""กาญจนบุรี!J412"")+IMPORTRANGE(""https://docs.google.com/spreadsheets/d/1njBaP_xXd-Uotvo2D9zb01TTCFkLJLDK97Tk1l9Qux0/edit?usp=share_li"&amp;"nk"",""จันทบุรี!J412"")+IMPORTRANGE(""https://docs.google.com/spreadsheets/d/14xp6qUzrGFnUk_qnc1eEmfiaNRd4_grkhpfQH_46fa8/edit?usp=share_link"",""ฉะเชิงเทรา!J412"")+IMPORTRANGE(""https://docs.google.com/spreadsheets/d/1_Zwps30dlVa-pZFsorjVf1Pil6WXwzCsJU0U"&amp;"2whO3NI/edit?usp=share_link"",""ชลบุรี!J412"")+IMPORTRANGE(""https://docs.google.com/spreadsheets/d/1xAsT4sUbBlom7l0acStESh_15nvjZcXjZM7fK5uZSq8/edit?usp=share_link"",""ชัยนาท!J412"")+IMPORTRANGE(""https://docs.google.com/spreadsheets/d/1vWPVBOAaZ6mHSI8yf"&amp;"95DNqHwTJ1cpeFsvqt6cxV34QA/edit?usp=share_link"",""ตราด!J412"")+IMPORTRANGE(""https://docs.google.com/spreadsheets/d/1phaeSb9lTGgzDpbvVqI9hfmOQQzUom07-HEvpbARzEg/edit?usp=share_link"",""นครนายก!J412"")+IMPORTRANGE(""https://docs.google.com/spreadsheets/d/"&amp;"1tpwhWwkqkBeiSWCcfB5f2fbwPRbM9hHOEDSDHpl2MIc/edit?usp=share_link"",""นครปฐม!J412"")+IMPORTRANGE(""https://docs.google.com/spreadsheets/d/1fJJCVBkBnhriyv0Cp5ZFMr0I_yrfdEITNpb4zILJgUQ/edit?usp=share_link"",""ปทุมธานี!J412"")+IMPORTRANGE(""https://docs.googl"&amp;"e.com/spreadsheets/d/1W5Jj_S0gYw6wSO7QcMI02YgyOBDKYgmm0NSUk-AQEac/edit?usp=share_link"",""ประจวบคีรีขันธ์!J412"")+IMPORTRANGE(""https://docs.google.com/spreadsheets/d/1nYxRXgnCfTXtqUY1otYuTlnrzE0Tn-Y0YRsW5pkRVqo/edit?usp=share_link"",""ปราจีนบุรี!J412"")+"&amp;"IMPORTRANGE(""https://docs.google.com/spreadsheets/d/1nNHCLO8ZAXOMfQvxux7cf_hrzPAh8FAvaHq_ClKbZNo/edit?usp=share_link"",""พระนครศรีอยุธยา!J412"")+IMPORTRANGE(""https://docs.google.com/spreadsheets/d/1CdNicvf3i6yt4tJlCePe3V1Va76wYqW0QzMzTsaGRrA/edit?usp=sh"&amp;"are_link"",""เพชรบุรี!J412"")+IMPORTRANGE(""https://docs.google.com/spreadsheets/d/1XiF77UIVHV0Kjc6xbXuOuJ10WgJYxd4p_22ngKVV5oM/edit?usp=share_link"",""ระยอง!J412"")+IMPORTRANGE(""https://docs.google.com/spreadsheets/d/1qU-W_9MCQD1pgIVXGEOjCFo9QqlmJywueby"&amp;"GgaN92r8/edit?usp=share_link"",""ราชบุรี!J412"")+IMPORTRANGE(""https://docs.google.com/spreadsheets/d/1xYFIxIM_CspAP5Q-5Zx_V0T_Ut3cjryrjd2hss28vGk/edit?usp=share_link"",""ลพบุรี!J412"")+IMPORTRANGE(""https://docs.google.com/spreadsheets/d/11s9m3tKsCBdPWq6"&amp;"syhZm27eBGbKneDLZc75co106bio/edit?usp=share_link"",""สระแก้ว!J412"")+IMPORTRANGE(""https://docs.google.com/spreadsheets/d/1Nn1EvsFPtXldgpgVb3Rcng2K2cls68LFQsBh2FyW0Bg/edit?usp=share_link"",""สระบุรี!J412"")+IMPORTRANGE(""https://docs.google.com/spreadshee"&amp;"ts/d/149xufxukrnEciK3WPbNpHwUK8BKEJxp3UcBG3Al6dA4/edit?usp=share_link"",""สิงห์บุรี!J412"")+IMPORTRANGE(""https://docs.google.com/spreadsheets/d/132g-zJpz2uMKimp17uOIx8A7o3w1Z25zwJyXnwsB56c/edit?usp=share_link"",""สุพรรณบุรี!J412"")+IMPORTRANGE(""https://"&amp;"docs.google.com/spreadsheets/d/12Q_U0nVnFdxDFwa0pej9xvx8ZvLC9Dpi_vRro_aiG5g/edit?usp=share_link"",""อ่างทอง!J412"")
"),0)</f>
        <v>0</v>
      </c>
      <c r="K412" s="38">
        <f t="shared" ref="K412:K413" ca="1" si="210">IF(I412&gt;0,J412*100/I412,0)</f>
        <v>0</v>
      </c>
      <c r="L412" s="163"/>
      <c r="M412" s="163"/>
      <c r="N412" s="163"/>
      <c r="O412" s="163"/>
      <c r="P412" s="163"/>
    </row>
    <row r="413" spans="1:26" ht="20.25" hidden="1" customHeight="1">
      <c r="A413" s="532"/>
      <c r="B413" s="533"/>
      <c r="C413" s="533"/>
      <c r="D413" s="534" t="s">
        <v>178</v>
      </c>
      <c r="E413" s="533"/>
      <c r="F413" s="533"/>
      <c r="G413" s="535"/>
      <c r="H413" s="536" t="s">
        <v>179</v>
      </c>
      <c r="I413" s="537">
        <f ca="1">IFERROR(__xludf.DUMMYFUNCTION("IMPORTRANGE(""https://docs.google.com/spreadsheets/d/1hKO5uv94SSRZWOvrh72HRcpyoEQF9TsE_Cvxl77XNU4/edit?usp=share_link"",""กาญจนบุรี!I413"")+IMPORTRANGE(""https://docs.google.com/spreadsheets/d/1njBaP_xXd-Uotvo2D9zb01TTCFkLJLDK97Tk1l9Qux0/edit?usp=share_li"&amp;"nk"",""จันทบุรี!I413"")+IMPORTRANGE(""https://docs.google.com/spreadsheets/d/14xp6qUzrGFnUk_qnc1eEmfiaNRd4_grkhpfQH_46fa8/edit?usp=share_link"",""ฉะเชิงเทรา!I413"")+IMPORTRANGE(""https://docs.google.com/spreadsheets/d/1_Zwps30dlVa-pZFsorjVf1Pil6WXwzCsJU0U"&amp;"2whO3NI/edit?usp=share_link"",""ชลบุรี!I413"")+IMPORTRANGE(""https://docs.google.com/spreadsheets/d/1xAsT4sUbBlom7l0acStESh_15nvjZcXjZM7fK5uZSq8/edit?usp=share_link"",""ชัยนาท!I413"")+IMPORTRANGE(""https://docs.google.com/spreadsheets/d/1vWPVBOAaZ6mHSI8yf"&amp;"95DNqHwTJ1cpeFsvqt6cxV34QA/edit?usp=share_link"",""ตราด!I413"")+IMPORTRANGE(""https://docs.google.com/spreadsheets/d/1phaeSb9lTGgzDpbvVqI9hfmOQQzUom07-HEvpbARzEg/edit?usp=share_link"",""นครนายก!I413"")+IMPORTRANGE(""https://docs.google.com/spreadsheets/d/"&amp;"1tpwhWwkqkBeiSWCcfB5f2fbwPRbM9hHOEDSDHpl2MIc/edit?usp=share_link"",""นครปฐม!I413"")+IMPORTRANGE(""https://docs.google.com/spreadsheets/d/1fJJCVBkBnhriyv0Cp5ZFMr0I_yrfdEITNpb4zILJgUQ/edit?usp=share_link"",""ปทุมธานี!I413"")+IMPORTRANGE(""https://docs.googl"&amp;"e.com/spreadsheets/d/1W5Jj_S0gYw6wSO7QcMI02YgyOBDKYgmm0NSUk-AQEac/edit?usp=share_link"",""ประจวบคีรีขันธ์!I413"")+IMPORTRANGE(""https://docs.google.com/spreadsheets/d/1nYxRXgnCfTXtqUY1otYuTlnrzE0Tn-Y0YRsW5pkRVqo/edit?usp=share_link"",""ปราจีนบุรี!I413"")+"&amp;"IMPORTRANGE(""https://docs.google.com/spreadsheets/d/1nNHCLO8ZAXOMfQvxux7cf_hrzPAh8FAvaHq_ClKbZNo/edit?usp=share_link"",""พระนครศรีอยุธยา!I413"")+IMPORTRANGE(""https://docs.google.com/spreadsheets/d/1CdNicvf3i6yt4tJlCePe3V1Va76wYqW0QzMzTsaGRrA/edit?usp=sh"&amp;"are_link"",""เพชรบุรี!I413"")+IMPORTRANGE(""https://docs.google.com/spreadsheets/d/1XiF77UIVHV0Kjc6xbXuOuJ10WgJYxd4p_22ngKVV5oM/edit?usp=share_link"",""ระยอง!I413"")+IMPORTRANGE(""https://docs.google.com/spreadsheets/d/1qU-W_9MCQD1pgIVXGEOjCFo9QqlmJywueby"&amp;"GgaN92r8/edit?usp=share_link"",""ราชบุรี!I413"")+IMPORTRANGE(""https://docs.google.com/spreadsheets/d/1xYFIxIM_CspAP5Q-5Zx_V0T_Ut3cjryrjd2hss28vGk/edit?usp=share_link"",""ลพบุรี!I413"")+IMPORTRANGE(""https://docs.google.com/spreadsheets/d/11s9m3tKsCBdPWq6"&amp;"syhZm27eBGbKneDLZc75co106bio/edit?usp=share_link"",""สระแก้ว!I413"")+IMPORTRANGE(""https://docs.google.com/spreadsheets/d/1Nn1EvsFPtXldgpgVb3Rcng2K2cls68LFQsBh2FyW0Bg/edit?usp=share_link"",""สระบุรี!I413"")+IMPORTRANGE(""https://docs.google.com/spreadshee"&amp;"ts/d/149xufxukrnEciK3WPbNpHwUK8BKEJxp3UcBG3Al6dA4/edit?usp=share_link"",""สิงห์บุรี!I413"")+IMPORTRANGE(""https://docs.google.com/spreadsheets/d/132g-zJpz2uMKimp17uOIx8A7o3w1Z25zwJyXnwsB56c/edit?usp=share_link"",""สุพรรณบุรี!I413"")+IMPORTRANGE(""https://"&amp;"docs.google.com/spreadsheets/d/12Q_U0nVnFdxDFwa0pej9xvx8ZvLC9Dpi_vRro_aiG5g/edit?usp=share_link"",""อ่างทอง!I413"")
"),0)</f>
        <v>0</v>
      </c>
      <c r="J413" s="538">
        <f ca="1">IFERROR(__xludf.DUMMYFUNCTION("IMPORTRANGE(""https://docs.google.com/spreadsheets/d/1hKO5uv94SSRZWOvrh72HRcpyoEQF9TsE_Cvxl77XNU4/edit?usp=share_link"",""กาญจนบุรี!J413"")+IMPORTRANGE(""https://docs.google.com/spreadsheets/d/1njBaP_xXd-Uotvo2D9zb01TTCFkLJLDK97Tk1l9Qux0/edit?usp=share_li"&amp;"nk"",""จันทบุรี!J413"")+IMPORTRANGE(""https://docs.google.com/spreadsheets/d/14xp6qUzrGFnUk_qnc1eEmfiaNRd4_grkhpfQH_46fa8/edit?usp=share_link"",""ฉะเชิงเทรา!J413"")+IMPORTRANGE(""https://docs.google.com/spreadsheets/d/1_Zwps30dlVa-pZFsorjVf1Pil6WXwzCsJU0U"&amp;"2whO3NI/edit?usp=share_link"",""ชลบุรี!J413"")+IMPORTRANGE(""https://docs.google.com/spreadsheets/d/1xAsT4sUbBlom7l0acStESh_15nvjZcXjZM7fK5uZSq8/edit?usp=share_link"",""ชัยนาท!J413"")+IMPORTRANGE(""https://docs.google.com/spreadsheets/d/1vWPVBOAaZ6mHSI8yf"&amp;"95DNqHwTJ1cpeFsvqt6cxV34QA/edit?usp=share_link"",""ตราด!J413"")+IMPORTRANGE(""https://docs.google.com/spreadsheets/d/1phaeSb9lTGgzDpbvVqI9hfmOQQzUom07-HEvpbARzEg/edit?usp=share_link"",""นครนายก!J413"")+IMPORTRANGE(""https://docs.google.com/spreadsheets/d/"&amp;"1tpwhWwkqkBeiSWCcfB5f2fbwPRbM9hHOEDSDHpl2MIc/edit?usp=share_link"",""นครปฐม!J413"")+IMPORTRANGE(""https://docs.google.com/spreadsheets/d/1fJJCVBkBnhriyv0Cp5ZFMr0I_yrfdEITNpb4zILJgUQ/edit?usp=share_link"",""ปทุมธานี!J413"")+IMPORTRANGE(""https://docs.googl"&amp;"e.com/spreadsheets/d/1W5Jj_S0gYw6wSO7QcMI02YgyOBDKYgmm0NSUk-AQEac/edit?usp=share_link"",""ประจวบคีรีขันธ์!J413"")+IMPORTRANGE(""https://docs.google.com/spreadsheets/d/1nYxRXgnCfTXtqUY1otYuTlnrzE0Tn-Y0YRsW5pkRVqo/edit?usp=share_link"",""ปราจีนบุรี!J413"")+"&amp;"IMPORTRANGE(""https://docs.google.com/spreadsheets/d/1nNHCLO8ZAXOMfQvxux7cf_hrzPAh8FAvaHq_ClKbZNo/edit?usp=share_link"",""พระนครศรีอยุธยา!J413"")+IMPORTRANGE(""https://docs.google.com/spreadsheets/d/1CdNicvf3i6yt4tJlCePe3V1Va76wYqW0QzMzTsaGRrA/edit?usp=sh"&amp;"are_link"",""เพชรบุรี!J413"")+IMPORTRANGE(""https://docs.google.com/spreadsheets/d/1XiF77UIVHV0Kjc6xbXuOuJ10WgJYxd4p_22ngKVV5oM/edit?usp=share_link"",""ระยอง!J413"")+IMPORTRANGE(""https://docs.google.com/spreadsheets/d/1qU-W_9MCQD1pgIVXGEOjCFo9QqlmJywueby"&amp;"GgaN92r8/edit?usp=share_link"",""ราชบุรี!J413"")+IMPORTRANGE(""https://docs.google.com/spreadsheets/d/1xYFIxIM_CspAP5Q-5Zx_V0T_Ut3cjryrjd2hss28vGk/edit?usp=share_link"",""ลพบุรี!J413"")+IMPORTRANGE(""https://docs.google.com/spreadsheets/d/11s9m3tKsCBdPWq6"&amp;"syhZm27eBGbKneDLZc75co106bio/edit?usp=share_link"",""สระแก้ว!J413"")+IMPORTRANGE(""https://docs.google.com/spreadsheets/d/1Nn1EvsFPtXldgpgVb3Rcng2K2cls68LFQsBh2FyW0Bg/edit?usp=share_link"",""สระบุรี!J413"")+IMPORTRANGE(""https://docs.google.com/spreadshee"&amp;"ts/d/149xufxukrnEciK3WPbNpHwUK8BKEJxp3UcBG3Al6dA4/edit?usp=share_link"",""สิงห์บุรี!J413"")+IMPORTRANGE(""https://docs.google.com/spreadsheets/d/132g-zJpz2uMKimp17uOIx8A7o3w1Z25zwJyXnwsB56c/edit?usp=share_link"",""สุพรรณบุรี!J413"")+IMPORTRANGE(""https://"&amp;"docs.google.com/spreadsheets/d/12Q_U0nVnFdxDFwa0pej9xvx8ZvLC9Dpi_vRro_aiG5g/edit?usp=share_link"",""อ่างทอง!J413"")
"),0)</f>
        <v>0</v>
      </c>
      <c r="K413" s="539">
        <f t="shared" ca="1" si="210"/>
        <v>0</v>
      </c>
      <c r="L413" s="540"/>
      <c r="M413" s="540"/>
      <c r="N413" s="540"/>
      <c r="O413" s="540"/>
      <c r="P413" s="540"/>
    </row>
    <row r="414" spans="1:26" ht="20.25" customHeight="1">
      <c r="A414" s="541" t="s">
        <v>180</v>
      </c>
      <c r="B414" s="542"/>
      <c r="C414" s="542"/>
      <c r="D414" s="542"/>
      <c r="E414" s="542"/>
      <c r="F414" s="542"/>
      <c r="G414" s="543"/>
      <c r="H414" s="544"/>
      <c r="I414" s="545"/>
      <c r="J414" s="545"/>
      <c r="K414" s="546"/>
      <c r="L414" s="547">
        <f t="shared" ref="L414:N414" ca="1" si="211">L419+L444+L467+L502+L523+L544+L629+L655+L685+L737+L754+L770+L786+L805</f>
        <v>22043401</v>
      </c>
      <c r="M414" s="547">
        <f t="shared" si="211"/>
        <v>0</v>
      </c>
      <c r="N414" s="547">
        <f t="shared" ca="1" si="211"/>
        <v>1679848.6199999989</v>
      </c>
      <c r="O414" s="547">
        <f ca="1">IF(L414&gt;0,N414*100/L414,0)</f>
        <v>7.6206417512433715</v>
      </c>
      <c r="P414" s="547">
        <f>IF(M414&gt;0,N414*100/M414,0)</f>
        <v>0</v>
      </c>
    </row>
    <row r="415" spans="1:26" ht="20.25" customHeight="1">
      <c r="A415" s="548" t="s">
        <v>181</v>
      </c>
      <c r="B415" s="549"/>
      <c r="C415" s="549"/>
      <c r="D415" s="549"/>
      <c r="E415" s="549"/>
      <c r="F415" s="549"/>
      <c r="G415" s="549"/>
      <c r="H415" s="550"/>
      <c r="I415" s="551"/>
      <c r="J415" s="551"/>
      <c r="K415" s="552"/>
      <c r="L415" s="553"/>
      <c r="M415" s="553"/>
      <c r="N415" s="553"/>
      <c r="O415" s="553"/>
      <c r="P415" s="553"/>
    </row>
    <row r="416" spans="1:26" ht="20.25" customHeight="1">
      <c r="A416" s="548" t="s">
        <v>182</v>
      </c>
      <c r="B416" s="549"/>
      <c r="C416" s="549"/>
      <c r="D416" s="549"/>
      <c r="E416" s="549"/>
      <c r="F416" s="549"/>
      <c r="G416" s="554"/>
      <c r="H416" s="555"/>
      <c r="I416" s="556"/>
      <c r="J416" s="556"/>
      <c r="K416" s="553"/>
      <c r="L416" s="553"/>
      <c r="M416" s="553"/>
      <c r="N416" s="553"/>
      <c r="O416" s="553"/>
      <c r="P416" s="553"/>
    </row>
    <row r="417" spans="1:26" ht="20.25" customHeight="1">
      <c r="A417" s="557">
        <v>1</v>
      </c>
      <c r="B417" s="558" t="s">
        <v>183</v>
      </c>
      <c r="C417" s="559"/>
      <c r="D417" s="560"/>
      <c r="E417" s="560"/>
      <c r="F417" s="560"/>
      <c r="G417" s="561"/>
      <c r="H417" s="562" t="s">
        <v>35</v>
      </c>
      <c r="I417" s="563">
        <f t="shared" ref="I417:J417" ca="1" si="212">I433</f>
        <v>585</v>
      </c>
      <c r="J417" s="563">
        <f t="shared" ca="1" si="212"/>
        <v>25</v>
      </c>
      <c r="K417" s="564">
        <f t="shared" ref="K417:K418" ca="1" si="213">IF(I417&gt;0,J417*100/I417,0)</f>
        <v>4.2735042735042734</v>
      </c>
      <c r="L417" s="565"/>
      <c r="M417" s="565"/>
      <c r="N417" s="565"/>
      <c r="O417" s="565"/>
      <c r="P417" s="565"/>
    </row>
    <row r="418" spans="1:26" ht="20.25" customHeight="1">
      <c r="A418" s="566"/>
      <c r="B418" s="557"/>
      <c r="C418" s="559"/>
      <c r="D418" s="560"/>
      <c r="E418" s="560"/>
      <c r="F418" s="560"/>
      <c r="G418" s="561"/>
      <c r="H418" s="562" t="s">
        <v>49</v>
      </c>
      <c r="I418" s="563">
        <f t="shared" ref="I418:J418" ca="1" si="214">I434</f>
        <v>27</v>
      </c>
      <c r="J418" s="563">
        <f t="shared" ca="1" si="214"/>
        <v>4</v>
      </c>
      <c r="K418" s="564">
        <f t="shared" ca="1" si="213"/>
        <v>14.814814814814815</v>
      </c>
      <c r="L418" s="565"/>
      <c r="M418" s="565"/>
      <c r="N418" s="565"/>
      <c r="O418" s="565"/>
      <c r="P418" s="565"/>
    </row>
    <row r="419" spans="1:26" ht="20.25" customHeight="1">
      <c r="A419" s="147"/>
      <c r="B419" s="148"/>
      <c r="C419" s="148" t="s">
        <v>16</v>
      </c>
      <c r="D419" s="861" t="s">
        <v>17</v>
      </c>
      <c r="E419" s="862"/>
      <c r="F419" s="862"/>
      <c r="G419" s="151"/>
      <c r="H419" s="274" t="s">
        <v>12</v>
      </c>
      <c r="I419" s="153"/>
      <c r="J419" s="153"/>
      <c r="K419" s="154"/>
      <c r="L419" s="155">
        <f t="shared" ref="L419:N419" ca="1" si="215">L420+L421</f>
        <v>2120670</v>
      </c>
      <c r="M419" s="155">
        <f t="shared" si="215"/>
        <v>0</v>
      </c>
      <c r="N419" s="155">
        <f t="shared" ca="1" si="215"/>
        <v>260263</v>
      </c>
      <c r="O419" s="155">
        <f t="shared" ref="O419:O424" ca="1" si="216">IF(L419&gt;0,N419*100/L419,0)</f>
        <v>12.272677974413746</v>
      </c>
      <c r="P419" s="155">
        <f t="shared" ref="P419:P424" si="217">IF(M419&gt;0,N419*100/M419,0)</f>
        <v>0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20.25" hidden="1" customHeight="1">
      <c r="A420" s="156"/>
      <c r="B420" s="40"/>
      <c r="C420" s="40"/>
      <c r="D420" s="367"/>
      <c r="E420" s="41" t="s">
        <v>184</v>
      </c>
      <c r="F420" s="40"/>
      <c r="G420" s="157"/>
      <c r="H420" s="165" t="s">
        <v>12</v>
      </c>
      <c r="I420" s="44"/>
      <c r="J420" s="44"/>
      <c r="K420" s="45"/>
      <c r="L420" s="45">
        <f t="shared" ref="L420:N420" si="218">L423+L430</f>
        <v>0</v>
      </c>
      <c r="M420" s="45">
        <f t="shared" si="218"/>
        <v>0</v>
      </c>
      <c r="N420" s="45">
        <f t="shared" si="218"/>
        <v>0</v>
      </c>
      <c r="O420" s="45">
        <f t="shared" si="216"/>
        <v>0</v>
      </c>
      <c r="P420" s="45">
        <f t="shared" si="217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20.25" hidden="1" customHeight="1">
      <c r="A421" s="156"/>
      <c r="B421" s="40"/>
      <c r="C421" s="40"/>
      <c r="D421" s="367"/>
      <c r="E421" s="41" t="s">
        <v>185</v>
      </c>
      <c r="F421" s="40"/>
      <c r="G421" s="157"/>
      <c r="H421" s="165" t="s">
        <v>12</v>
      </c>
      <c r="I421" s="44"/>
      <c r="J421" s="44"/>
      <c r="K421" s="45"/>
      <c r="L421" s="45">
        <f t="shared" ref="L421:N421" ca="1" si="219">L424+L431</f>
        <v>2120670</v>
      </c>
      <c r="M421" s="45">
        <f t="shared" si="219"/>
        <v>0</v>
      </c>
      <c r="N421" s="45">
        <f t="shared" ca="1" si="219"/>
        <v>260263</v>
      </c>
      <c r="O421" s="45">
        <f t="shared" ca="1" si="216"/>
        <v>12.272677974413746</v>
      </c>
      <c r="P421" s="45">
        <f t="shared" si="217"/>
        <v>0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20.25" customHeight="1">
      <c r="A422" s="159"/>
      <c r="B422" s="280"/>
      <c r="C422" s="33"/>
      <c r="D422" s="34" t="s">
        <v>20</v>
      </c>
      <c r="E422" s="33"/>
      <c r="F422" s="33"/>
      <c r="G422" s="35"/>
      <c r="H422" s="161" t="s">
        <v>12</v>
      </c>
      <c r="I422" s="162"/>
      <c r="J422" s="162"/>
      <c r="K422" s="163"/>
      <c r="L422" s="38">
        <f t="shared" ref="L422:N422" ca="1" si="220">L423+L424</f>
        <v>2120670</v>
      </c>
      <c r="M422" s="38">
        <f t="shared" si="220"/>
        <v>0</v>
      </c>
      <c r="N422" s="38">
        <f t="shared" ca="1" si="220"/>
        <v>260263</v>
      </c>
      <c r="O422" s="38">
        <f t="shared" ca="1" si="216"/>
        <v>12.272677974413746</v>
      </c>
      <c r="P422" s="38">
        <f t="shared" si="217"/>
        <v>0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20.25" hidden="1" customHeight="1">
      <c r="A423" s="156"/>
      <c r="B423" s="40"/>
      <c r="C423" s="40"/>
      <c r="D423" s="367"/>
      <c r="E423" s="41" t="s">
        <v>184</v>
      </c>
      <c r="F423" s="40"/>
      <c r="G423" s="157"/>
      <c r="H423" s="165" t="s">
        <v>12</v>
      </c>
      <c r="I423" s="44"/>
      <c r="J423" s="44"/>
      <c r="K423" s="45"/>
      <c r="L423" s="93">
        <v>0</v>
      </c>
      <c r="M423" s="93">
        <v>0</v>
      </c>
      <c r="N423" s="93">
        <v>0</v>
      </c>
      <c r="O423" s="45">
        <f t="shared" si="216"/>
        <v>0</v>
      </c>
      <c r="P423" s="45">
        <f t="shared" si="217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20.25" hidden="1" customHeight="1">
      <c r="A424" s="156"/>
      <c r="B424" s="40"/>
      <c r="C424" s="40"/>
      <c r="D424" s="367"/>
      <c r="E424" s="41" t="s">
        <v>185</v>
      </c>
      <c r="F424" s="40"/>
      <c r="G424" s="157"/>
      <c r="H424" s="165" t="s">
        <v>12</v>
      </c>
      <c r="I424" s="44"/>
      <c r="J424" s="44"/>
      <c r="K424" s="45"/>
      <c r="L424" s="45">
        <f ca="1">IFERROR(__xludf.DUMMYFUNCTION("IMPORTRANGE(""https://docs.google.com/spreadsheets/d/1hKO5uv94SSRZWOvrh72HRcpyoEQF9TsE_Cvxl77XNU4/edit?usp=share_link"",""กาญจนบุรี!L424"")+IMPORTRANGE(""https://docs.google.com/spreadsheets/d/1njBaP_xXd-Uotvo2D9zb01TTCFkLJLDK97Tk1l9Qux0/edit?usp=share_li"&amp;"nk"",""จันทบุรี!L424"")+IMPORTRANGE(""https://docs.google.com/spreadsheets/d/14xp6qUzrGFnUk_qnc1eEmfiaNRd4_grkhpfQH_46fa8/edit?usp=share_link"",""ฉะเชิงเทรา!L424"")+IMPORTRANGE(""https://docs.google.com/spreadsheets/d/1_Zwps30dlVa-pZFsorjVf1Pil6WXwzCsJU0U"&amp;"2whO3NI/edit?usp=share_link"",""ชลบุรี!L424"")+IMPORTRANGE(""https://docs.google.com/spreadsheets/d/1xAsT4sUbBlom7l0acStESh_15nvjZcXjZM7fK5uZSq8/edit?usp=share_link"",""ชัยนาท!L424"")+IMPORTRANGE(""https://docs.google.com/spreadsheets/d/1vWPVBOAaZ6mHSI8yf"&amp;"95DNqHwTJ1cpeFsvqt6cxV34QA/edit?usp=share_link"",""ตราด!L424"")+IMPORTRANGE(""https://docs.google.com/spreadsheets/d/1phaeSb9lTGgzDpbvVqI9hfmOQQzUom07-HEvpbARzEg/edit?usp=share_link"",""นครนายก!L424"")+IMPORTRANGE(""https://docs.google.com/spreadsheets/d/"&amp;"1tpwhWwkqkBeiSWCcfB5f2fbwPRbM9hHOEDSDHpl2MIc/edit?usp=share_link"",""นครปฐม!L424"")+IMPORTRANGE(""https://docs.google.com/spreadsheets/d/1fJJCVBkBnhriyv0Cp5ZFMr0I_yrfdEITNpb4zILJgUQ/edit?usp=share_link"",""ปทุมธานี!L424"")+IMPORTRANGE(""https://docs.googl"&amp;"e.com/spreadsheets/d/1W5Jj_S0gYw6wSO7QcMI02YgyOBDKYgmm0NSUk-AQEac/edit?usp=share_link"",""ประจวบคีรีขันธ์!L424"")+IMPORTRANGE(""https://docs.google.com/spreadsheets/d/1nYxRXgnCfTXtqUY1otYuTlnrzE0Tn-Y0YRsW5pkRVqo/edit?usp=share_link"",""ปราจีนบุรี!L424"")+"&amp;"IMPORTRANGE(""https://docs.google.com/spreadsheets/d/1nNHCLO8ZAXOMfQvxux7cf_hrzPAh8FAvaHq_ClKbZNo/edit?usp=share_link"",""พระนครศรีอยุธยา!L424"")+IMPORTRANGE(""https://docs.google.com/spreadsheets/d/1CdNicvf3i6yt4tJlCePe3V1Va76wYqW0QzMzTsaGRrA/edit?usp=sh"&amp;"are_link"",""เพชรบุรี!L424"")+IMPORTRANGE(""https://docs.google.com/spreadsheets/d/1XiF77UIVHV0Kjc6xbXuOuJ10WgJYxd4p_22ngKVV5oM/edit?usp=share_link"",""ระยอง!L424"")+IMPORTRANGE(""https://docs.google.com/spreadsheets/d/1qU-W_9MCQD1pgIVXGEOjCFo9QqlmJywueby"&amp;"GgaN92r8/edit?usp=share_link"",""ราชบุรี!L424"")+IMPORTRANGE(""https://docs.google.com/spreadsheets/d/1xYFIxIM_CspAP5Q-5Zx_V0T_Ut3cjryrjd2hss28vGk/edit?usp=share_link"",""ลพบุรี!L424"")+IMPORTRANGE(""https://docs.google.com/spreadsheets/d/11s9m3tKsCBdPWq6"&amp;"syhZm27eBGbKneDLZc75co106bio/edit?usp=share_link"",""สระแก้ว!L424"")+IMPORTRANGE(""https://docs.google.com/spreadsheets/d/1Nn1EvsFPtXldgpgVb3Rcng2K2cls68LFQsBh2FyW0Bg/edit?usp=share_link"",""สระบุรี!L424"")+IMPORTRANGE(""https://docs.google.com/spreadshee"&amp;"ts/d/149xufxukrnEciK3WPbNpHwUK8BKEJxp3UcBG3Al6dA4/edit?usp=share_link"",""สิงห์บุรี!L424"")+IMPORTRANGE(""https://docs.google.com/spreadsheets/d/132g-zJpz2uMKimp17uOIx8A7o3w1Z25zwJyXnwsB56c/edit?usp=share_link"",""สุพรรณบุรี!L424"")+IMPORTRANGE(""https://"&amp;"docs.google.com/spreadsheets/d/12Q_U0nVnFdxDFwa0pej9xvx8ZvLC9Dpi_vRro_aiG5g/edit?usp=share_link"",""อ่างทอง!L424"")
"),2120670)</f>
        <v>2120670</v>
      </c>
      <c r="M424" s="93">
        <v>0</v>
      </c>
      <c r="N424" s="45">
        <f ca="1">N425+N426+N427+N428</f>
        <v>260263</v>
      </c>
      <c r="O424" s="45">
        <f t="shared" ca="1" si="216"/>
        <v>12.272677974413746</v>
      </c>
      <c r="P424" s="45">
        <f t="shared" si="217"/>
        <v>0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20.25" customHeight="1">
      <c r="A425" s="567"/>
      <c r="B425" s="568"/>
      <c r="C425" s="569"/>
      <c r="D425" s="569"/>
      <c r="E425" s="569"/>
      <c r="F425" s="570" t="s">
        <v>186</v>
      </c>
      <c r="G425" s="189"/>
      <c r="H425" s="161" t="s">
        <v>12</v>
      </c>
      <c r="I425" s="37"/>
      <c r="J425" s="37"/>
      <c r="K425" s="38"/>
      <c r="L425" s="38"/>
      <c r="M425" s="38"/>
      <c r="N425" s="283">
        <f ca="1">IFERROR(__xludf.DUMMYFUNCTION("IMPORTRANGE(""https://docs.google.com/spreadsheets/d/1hKO5uv94SSRZWOvrh72HRcpyoEQF9TsE_Cvxl77XNU4/edit?usp=share_link"",""กาญจนบุรี!n425"")+IMPORTRANGE(""https://docs.google.com/spreadsheets/d/1njBaP_xXd-Uotvo2D9zb01TTCFkLJLDK97Tk1l9Qux0/edit?usp=share_li"&amp;"nk"",""จันทบุรี!n425"")+IMPORTRANGE(""https://docs.google.com/spreadsheets/d/14xp6qUzrGFnUk_qnc1eEmfiaNRd4_grkhpfQH_46fa8/edit?usp=share_link"",""ฉะเชิงเทรา!n425"")+IMPORTRANGE(""https://docs.google.com/spreadsheets/d/1_Zwps30dlVa-pZFsorjVf1Pil6WXwzCsJU0U"&amp;"2whO3NI/edit?usp=share_link"",""ชลบุรี!n425"")+IMPORTRANGE(""https://docs.google.com/spreadsheets/d/1xAsT4sUbBlom7l0acStESh_15nvjZcXjZM7fK5uZSq8/edit?usp=share_link"",""ชัยนาท!n425"")+IMPORTRANGE(""https://docs.google.com/spreadsheets/d/1vWPVBOAaZ6mHSI8yf"&amp;"95DNqHwTJ1cpeFsvqt6cxV34QA/edit?usp=share_link"",""ตราด!n425"")+IMPORTRANGE(""https://docs.google.com/spreadsheets/d/1phaeSb9lTGgzDpbvVqI9hfmOQQzUom07-HEvpbARzEg/edit?usp=share_link"",""นครนายก!n425"")+IMPORTRANGE(""https://docs.google.com/spreadsheets/d/"&amp;"1tpwhWwkqkBeiSWCcfB5f2fbwPRbM9hHOEDSDHpl2MIc/edit?usp=share_link"",""นครปฐม!n425"")+IMPORTRANGE(""https://docs.google.com/spreadsheets/d/1fJJCVBkBnhriyv0Cp5ZFMr0I_yrfdEITNpb4zILJgUQ/edit?usp=share_link"",""ปทุมธานี!n425"")+IMPORTRANGE(""https://docs.googl"&amp;"e.com/spreadsheets/d/1W5Jj_S0gYw6wSO7QcMI02YgyOBDKYgmm0NSUk-AQEac/edit?usp=share_link"",""ประจวบคีรีขันธ์!n425"")+IMPORTRANGE(""https://docs.google.com/spreadsheets/d/1nYxRXgnCfTXtqUY1otYuTlnrzE0Tn-Y0YRsW5pkRVqo/edit?usp=share_link"",""ปราจีนบุรี!n425"")+"&amp;"IMPORTRANGE(""https://docs.google.com/spreadsheets/d/1nNHCLO8ZAXOMfQvxux7cf_hrzPAh8FAvaHq_ClKbZNo/edit?usp=share_link"",""พระนครศรีอยุธยา!n425"")+IMPORTRANGE(""https://docs.google.com/spreadsheets/d/1CdNicvf3i6yt4tJlCePe3V1Va76wYqW0QzMzTsaGRrA/edit?usp=sh"&amp;"are_link"",""เพชรบุรี!n425"")+IMPORTRANGE(""https://docs.google.com/spreadsheets/d/1XiF77UIVHV0Kjc6xbXuOuJ10WgJYxd4p_22ngKVV5oM/edit?usp=share_link"",""ระยอง!n425"")+IMPORTRANGE(""https://docs.google.com/spreadsheets/d/1qU-W_9MCQD1pgIVXGEOjCFo9QqlmJywueby"&amp;"GgaN92r8/edit?usp=share_link"",""ราชบุรี!n425"")+IMPORTRANGE(""https://docs.google.com/spreadsheets/d/1xYFIxIM_CspAP5Q-5Zx_V0T_Ut3cjryrjd2hss28vGk/edit?usp=share_link"",""ลพบุรี!n425"")+IMPORTRANGE(""https://docs.google.com/spreadsheets/d/11s9m3tKsCBdPWq6"&amp;"syhZm27eBGbKneDLZc75co106bio/edit?usp=share_link"",""สระแก้ว!n425"")+IMPORTRANGE(""https://docs.google.com/spreadsheets/d/1Nn1EvsFPtXldgpgVb3Rcng2K2cls68LFQsBh2FyW0Bg/edit?usp=share_link"",""สระบุรี!n425"")+IMPORTRANGE(""https://docs.google.com/spreadshee"&amp;"ts/d/149xufxukrnEciK3WPbNpHwUK8BKEJxp3UcBG3Al6dA4/edit?usp=share_link"",""สิงห์บุรี!n425"")+IMPORTRANGE(""https://docs.google.com/spreadsheets/d/132g-zJpz2uMKimp17uOIx8A7o3w1Z25zwJyXnwsB56c/edit?usp=share_link"",""สุพรรณบุรี!n425"")+IMPORTRANGE(""https://"&amp;"docs.google.com/spreadsheets/d/12Q_U0nVnFdxDFwa0pej9xvx8ZvLC9Dpi_vRro_aiG5g/edit?usp=share_link"",""อ่างทอง!n425"")
"),173410)</f>
        <v>173410</v>
      </c>
      <c r="O425" s="38"/>
      <c r="P425" s="38"/>
      <c r="Q425" s="571"/>
      <c r="R425" s="571"/>
      <c r="S425" s="571"/>
      <c r="T425" s="571"/>
      <c r="U425" s="571"/>
      <c r="V425" s="571"/>
      <c r="W425" s="571"/>
      <c r="X425" s="571"/>
      <c r="Y425" s="571"/>
      <c r="Z425" s="571"/>
    </row>
    <row r="426" spans="1:26" ht="20.25" customHeight="1">
      <c r="A426" s="567"/>
      <c r="B426" s="568"/>
      <c r="C426" s="569"/>
      <c r="D426" s="569"/>
      <c r="E426" s="569"/>
      <c r="F426" s="570" t="s">
        <v>187</v>
      </c>
      <c r="G426" s="189"/>
      <c r="H426" s="161" t="s">
        <v>12</v>
      </c>
      <c r="I426" s="37"/>
      <c r="J426" s="37"/>
      <c r="K426" s="38"/>
      <c r="L426" s="38"/>
      <c r="M426" s="38"/>
      <c r="N426" s="283">
        <f ca="1">IFERROR(__xludf.DUMMYFUNCTION("IMPORTRANGE(""https://docs.google.com/spreadsheets/d/1hKO5uv94SSRZWOvrh72HRcpyoEQF9TsE_Cvxl77XNU4/edit?usp=share_link"",""กาญจนบุรี!n426"")+IMPORTRANGE(""https://docs.google.com/spreadsheets/d/1njBaP_xXd-Uotvo2D9zb01TTCFkLJLDK97Tk1l9Qux0/edit?usp=share_li"&amp;"nk"",""จันทบุรี!n426"")+IMPORTRANGE(""https://docs.google.com/spreadsheets/d/14xp6qUzrGFnUk_qnc1eEmfiaNRd4_grkhpfQH_46fa8/edit?usp=share_link"",""ฉะเชิงเทรา!n426"")+IMPORTRANGE(""https://docs.google.com/spreadsheets/d/1_Zwps30dlVa-pZFsorjVf1Pil6WXwzCsJU0U"&amp;"2whO3NI/edit?usp=share_link"",""ชลบุรี!n426"")+IMPORTRANGE(""https://docs.google.com/spreadsheets/d/1xAsT4sUbBlom7l0acStESh_15nvjZcXjZM7fK5uZSq8/edit?usp=share_link"",""ชัยนาท!n426"")+IMPORTRANGE(""https://docs.google.com/spreadsheets/d/1vWPVBOAaZ6mHSI8yf"&amp;"95DNqHwTJ1cpeFsvqt6cxV34QA/edit?usp=share_link"",""ตราด!n426"")+IMPORTRANGE(""https://docs.google.com/spreadsheets/d/1phaeSb9lTGgzDpbvVqI9hfmOQQzUom07-HEvpbARzEg/edit?usp=share_link"",""นครนายก!n426"")+IMPORTRANGE(""https://docs.google.com/spreadsheets/d/"&amp;"1tpwhWwkqkBeiSWCcfB5f2fbwPRbM9hHOEDSDHpl2MIc/edit?usp=share_link"",""นครปฐม!n426"")+IMPORTRANGE(""https://docs.google.com/spreadsheets/d/1fJJCVBkBnhriyv0Cp5ZFMr0I_yrfdEITNpb4zILJgUQ/edit?usp=share_link"",""ปทุมธานี!n426"")+IMPORTRANGE(""https://docs.googl"&amp;"e.com/spreadsheets/d/1W5Jj_S0gYw6wSO7QcMI02YgyOBDKYgmm0NSUk-AQEac/edit?usp=share_link"",""ประจวบคีรีขันธ์!n426"")+IMPORTRANGE(""https://docs.google.com/spreadsheets/d/1nYxRXgnCfTXtqUY1otYuTlnrzE0Tn-Y0YRsW5pkRVqo/edit?usp=share_link"",""ปราจีนบุรี!n426"")+"&amp;"IMPORTRANGE(""https://docs.google.com/spreadsheets/d/1nNHCLO8ZAXOMfQvxux7cf_hrzPAh8FAvaHq_ClKbZNo/edit?usp=share_link"",""พระนครศรีอยุธยา!n426"")+IMPORTRANGE(""https://docs.google.com/spreadsheets/d/1CdNicvf3i6yt4tJlCePe3V1Va76wYqW0QzMzTsaGRrA/edit?usp=sh"&amp;"are_link"",""เพชรบุรี!n426"")+IMPORTRANGE(""https://docs.google.com/spreadsheets/d/1XiF77UIVHV0Kjc6xbXuOuJ10WgJYxd4p_22ngKVV5oM/edit?usp=share_link"",""ระยอง!n426"")+IMPORTRANGE(""https://docs.google.com/spreadsheets/d/1qU-W_9MCQD1pgIVXGEOjCFo9QqlmJywueby"&amp;"GgaN92r8/edit?usp=share_link"",""ราชบุรี!n426"")+IMPORTRANGE(""https://docs.google.com/spreadsheets/d/1xYFIxIM_CspAP5Q-5Zx_V0T_Ut3cjryrjd2hss28vGk/edit?usp=share_link"",""ลพบุรี!n426"")+IMPORTRANGE(""https://docs.google.com/spreadsheets/d/11s9m3tKsCBdPWq6"&amp;"syhZm27eBGbKneDLZc75co106bio/edit?usp=share_link"",""สระแก้ว!n426"")+IMPORTRANGE(""https://docs.google.com/spreadsheets/d/1Nn1EvsFPtXldgpgVb3Rcng2K2cls68LFQsBh2FyW0Bg/edit?usp=share_link"",""สระบุรี!n426"")+IMPORTRANGE(""https://docs.google.com/spreadshee"&amp;"ts/d/149xufxukrnEciK3WPbNpHwUK8BKEJxp3UcBG3Al6dA4/edit?usp=share_link"",""สิงห์บุรี!n426"")+IMPORTRANGE(""https://docs.google.com/spreadsheets/d/132g-zJpz2uMKimp17uOIx8A7o3w1Z25zwJyXnwsB56c/edit?usp=share_link"",""สุพรรณบุรี!n426"")+IMPORTRANGE(""https://"&amp;"docs.google.com/spreadsheets/d/12Q_U0nVnFdxDFwa0pej9xvx8ZvLC9Dpi_vRro_aiG5g/edit?usp=share_link"",""อ่างทอง!n426"")
"),500)</f>
        <v>500</v>
      </c>
      <c r="O426" s="38"/>
      <c r="P426" s="38"/>
      <c r="Q426" s="571"/>
      <c r="R426" s="571"/>
      <c r="S426" s="571"/>
      <c r="T426" s="571"/>
      <c r="U426" s="571"/>
      <c r="V426" s="571"/>
      <c r="W426" s="571"/>
      <c r="X426" s="571"/>
      <c r="Y426" s="571"/>
      <c r="Z426" s="571"/>
    </row>
    <row r="427" spans="1:26" ht="20.25" customHeight="1">
      <c r="A427" s="567"/>
      <c r="B427" s="568"/>
      <c r="C427" s="569"/>
      <c r="D427" s="569"/>
      <c r="E427" s="569"/>
      <c r="F427" s="570" t="s">
        <v>188</v>
      </c>
      <c r="G427" s="189"/>
      <c r="H427" s="161" t="s">
        <v>12</v>
      </c>
      <c r="I427" s="37"/>
      <c r="J427" s="37"/>
      <c r="K427" s="38"/>
      <c r="L427" s="38"/>
      <c r="M427" s="38"/>
      <c r="N427" s="283">
        <f ca="1">IFERROR(__xludf.DUMMYFUNCTION("IMPORTRANGE(""https://docs.google.com/spreadsheets/d/1hKO5uv94SSRZWOvrh72HRcpyoEQF9TsE_Cvxl77XNU4/edit?usp=share_link"",""กาญจนบุรี!n427"")+IMPORTRANGE(""https://docs.google.com/spreadsheets/d/1njBaP_xXd-Uotvo2D9zb01TTCFkLJLDK97Tk1l9Qux0/edit?usp=share_li"&amp;"nk"",""จันทบุรี!n427"")+IMPORTRANGE(""https://docs.google.com/spreadsheets/d/14xp6qUzrGFnUk_qnc1eEmfiaNRd4_grkhpfQH_46fa8/edit?usp=share_link"",""ฉะเชิงเทรา!n427"")+IMPORTRANGE(""https://docs.google.com/spreadsheets/d/1_Zwps30dlVa-pZFsorjVf1Pil6WXwzCsJU0U"&amp;"2whO3NI/edit?usp=share_link"",""ชลบุรี!n427"")+IMPORTRANGE(""https://docs.google.com/spreadsheets/d/1xAsT4sUbBlom7l0acStESh_15nvjZcXjZM7fK5uZSq8/edit?usp=share_link"",""ชัยนาท!n427"")+IMPORTRANGE(""https://docs.google.com/spreadsheets/d/1vWPVBOAaZ6mHSI8yf"&amp;"95DNqHwTJ1cpeFsvqt6cxV34QA/edit?usp=share_link"",""ตราด!n427"")+IMPORTRANGE(""https://docs.google.com/spreadsheets/d/1phaeSb9lTGgzDpbvVqI9hfmOQQzUom07-HEvpbARzEg/edit?usp=share_link"",""นครนายก!n427"")+IMPORTRANGE(""https://docs.google.com/spreadsheets/d/"&amp;"1tpwhWwkqkBeiSWCcfB5f2fbwPRbM9hHOEDSDHpl2MIc/edit?usp=share_link"",""นครปฐม!n427"")+IMPORTRANGE(""https://docs.google.com/spreadsheets/d/1fJJCVBkBnhriyv0Cp5ZFMr0I_yrfdEITNpb4zILJgUQ/edit?usp=share_link"",""ปทุมธานี!n427"")+IMPORTRANGE(""https://docs.googl"&amp;"e.com/spreadsheets/d/1W5Jj_S0gYw6wSO7QcMI02YgyOBDKYgmm0NSUk-AQEac/edit?usp=share_link"",""ประจวบคีรีขันธ์!n427"")+IMPORTRANGE(""https://docs.google.com/spreadsheets/d/1nYxRXgnCfTXtqUY1otYuTlnrzE0Tn-Y0YRsW5pkRVqo/edit?usp=share_link"",""ปราจีนบุรี!n427"")+"&amp;"IMPORTRANGE(""https://docs.google.com/spreadsheets/d/1nNHCLO8ZAXOMfQvxux7cf_hrzPAh8FAvaHq_ClKbZNo/edit?usp=share_link"",""พระนครศรีอยุธยา!n427"")+IMPORTRANGE(""https://docs.google.com/spreadsheets/d/1CdNicvf3i6yt4tJlCePe3V1Va76wYqW0QzMzTsaGRrA/edit?usp=sh"&amp;"are_link"",""เพชรบุรี!n427"")+IMPORTRANGE(""https://docs.google.com/spreadsheets/d/1XiF77UIVHV0Kjc6xbXuOuJ10WgJYxd4p_22ngKVV5oM/edit?usp=share_link"",""ระยอง!n427"")+IMPORTRANGE(""https://docs.google.com/spreadsheets/d/1qU-W_9MCQD1pgIVXGEOjCFo9QqlmJywueby"&amp;"GgaN92r8/edit?usp=share_link"",""ราชบุรี!n427"")+IMPORTRANGE(""https://docs.google.com/spreadsheets/d/1xYFIxIM_CspAP5Q-5Zx_V0T_Ut3cjryrjd2hss28vGk/edit?usp=share_link"",""ลพบุรี!n427"")+IMPORTRANGE(""https://docs.google.com/spreadsheets/d/11s9m3tKsCBdPWq6"&amp;"syhZm27eBGbKneDLZc75co106bio/edit?usp=share_link"",""สระแก้ว!n427"")+IMPORTRANGE(""https://docs.google.com/spreadsheets/d/1Nn1EvsFPtXldgpgVb3Rcng2K2cls68LFQsBh2FyW0Bg/edit?usp=share_link"",""สระบุรี!n427"")+IMPORTRANGE(""https://docs.google.com/spreadshee"&amp;"ts/d/149xufxukrnEciK3WPbNpHwUK8BKEJxp3UcBG3Al6dA4/edit?usp=share_link"",""สิงห์บุรี!n427"")+IMPORTRANGE(""https://docs.google.com/spreadsheets/d/132g-zJpz2uMKimp17uOIx8A7o3w1Z25zwJyXnwsB56c/edit?usp=share_link"",""สุพรรณบุรี!n427"")+IMPORTRANGE(""https://"&amp;"docs.google.com/spreadsheets/d/12Q_U0nVnFdxDFwa0pej9xvx8ZvLC9Dpi_vRro_aiG5g/edit?usp=share_link"",""อ่างทอง!n427"")
"),0)</f>
        <v>0</v>
      </c>
      <c r="O427" s="38"/>
      <c r="P427" s="38"/>
      <c r="Q427" s="571"/>
      <c r="R427" s="571"/>
      <c r="S427" s="571"/>
      <c r="T427" s="571"/>
      <c r="U427" s="571"/>
      <c r="V427" s="571"/>
      <c r="W427" s="571"/>
      <c r="X427" s="571"/>
      <c r="Y427" s="571"/>
      <c r="Z427" s="571"/>
    </row>
    <row r="428" spans="1:26" ht="20.25" customHeight="1">
      <c r="A428" s="284"/>
      <c r="B428" s="280"/>
      <c r="C428" s="33"/>
      <c r="D428" s="33"/>
      <c r="E428" s="33"/>
      <c r="F428" s="211" t="s">
        <v>189</v>
      </c>
      <c r="G428" s="213"/>
      <c r="H428" s="161" t="s">
        <v>12</v>
      </c>
      <c r="I428" s="37"/>
      <c r="J428" s="37"/>
      <c r="K428" s="38"/>
      <c r="L428" s="38"/>
      <c r="M428" s="38"/>
      <c r="N428" s="283">
        <f ca="1">IFERROR(__xludf.DUMMYFUNCTION("IMPORTRANGE(""https://docs.google.com/spreadsheets/d/1hKO5uv94SSRZWOvrh72HRcpyoEQF9TsE_Cvxl77XNU4/edit?usp=share_link"",""กาญจนบุรี!n428"")+IMPORTRANGE(""https://docs.google.com/spreadsheets/d/1njBaP_xXd-Uotvo2D9zb01TTCFkLJLDK97Tk1l9Qux0/edit?usp=share_li"&amp;"nk"",""จันทบุรี!n428"")+IMPORTRANGE(""https://docs.google.com/spreadsheets/d/14xp6qUzrGFnUk_qnc1eEmfiaNRd4_grkhpfQH_46fa8/edit?usp=share_link"",""ฉะเชิงเทรา!n428"")+IMPORTRANGE(""https://docs.google.com/spreadsheets/d/1_Zwps30dlVa-pZFsorjVf1Pil6WXwzCsJU0U"&amp;"2whO3NI/edit?usp=share_link"",""ชลบุรี!n428"")+IMPORTRANGE(""https://docs.google.com/spreadsheets/d/1xAsT4sUbBlom7l0acStESh_15nvjZcXjZM7fK5uZSq8/edit?usp=share_link"",""ชัยนาท!n428"")+IMPORTRANGE(""https://docs.google.com/spreadsheets/d/1vWPVBOAaZ6mHSI8yf"&amp;"95DNqHwTJ1cpeFsvqt6cxV34QA/edit?usp=share_link"",""ตราด!n428"")+IMPORTRANGE(""https://docs.google.com/spreadsheets/d/1phaeSb9lTGgzDpbvVqI9hfmOQQzUom07-HEvpbARzEg/edit?usp=share_link"",""นครนายก!n428"")+IMPORTRANGE(""https://docs.google.com/spreadsheets/d/"&amp;"1tpwhWwkqkBeiSWCcfB5f2fbwPRbM9hHOEDSDHpl2MIc/edit?usp=share_link"",""นครปฐม!n428"")+IMPORTRANGE(""https://docs.google.com/spreadsheets/d/1fJJCVBkBnhriyv0Cp5ZFMr0I_yrfdEITNpb4zILJgUQ/edit?usp=share_link"",""ปทุมธานี!n428"")+IMPORTRANGE(""https://docs.googl"&amp;"e.com/spreadsheets/d/1W5Jj_S0gYw6wSO7QcMI02YgyOBDKYgmm0NSUk-AQEac/edit?usp=share_link"",""ประจวบคีรีขันธ์!n428"")+IMPORTRANGE(""https://docs.google.com/spreadsheets/d/1nYxRXgnCfTXtqUY1otYuTlnrzE0Tn-Y0YRsW5pkRVqo/edit?usp=share_link"",""ปราจีนบุรี!n428"")+"&amp;"IMPORTRANGE(""https://docs.google.com/spreadsheets/d/1nNHCLO8ZAXOMfQvxux7cf_hrzPAh8FAvaHq_ClKbZNo/edit?usp=share_link"",""พระนครศรีอยุธยา!n428"")+IMPORTRANGE(""https://docs.google.com/spreadsheets/d/1CdNicvf3i6yt4tJlCePe3V1Va76wYqW0QzMzTsaGRrA/edit?usp=sh"&amp;"are_link"",""เพชรบุรี!n428"")+IMPORTRANGE(""https://docs.google.com/spreadsheets/d/1XiF77UIVHV0Kjc6xbXuOuJ10WgJYxd4p_22ngKVV5oM/edit?usp=share_link"",""ระยอง!n428"")+IMPORTRANGE(""https://docs.google.com/spreadsheets/d/1qU-W_9MCQD1pgIVXGEOjCFo9QqlmJywueby"&amp;"GgaN92r8/edit?usp=share_link"",""ราชบุรี!n428"")+IMPORTRANGE(""https://docs.google.com/spreadsheets/d/1xYFIxIM_CspAP5Q-5Zx_V0T_Ut3cjryrjd2hss28vGk/edit?usp=share_link"",""ลพบุรี!n428"")+IMPORTRANGE(""https://docs.google.com/spreadsheets/d/11s9m3tKsCBdPWq6"&amp;"syhZm27eBGbKneDLZc75co106bio/edit?usp=share_link"",""สระแก้ว!n428"")+IMPORTRANGE(""https://docs.google.com/spreadsheets/d/1Nn1EvsFPtXldgpgVb3Rcng2K2cls68LFQsBh2FyW0Bg/edit?usp=share_link"",""สระบุรี!n428"")+IMPORTRANGE(""https://docs.google.com/spreadshee"&amp;"ts/d/149xufxukrnEciK3WPbNpHwUK8BKEJxp3UcBG3Al6dA4/edit?usp=share_link"",""สิงห์บุรี!n428"")+IMPORTRANGE(""https://docs.google.com/spreadsheets/d/132g-zJpz2uMKimp17uOIx8A7o3w1Z25zwJyXnwsB56c/edit?usp=share_link"",""สุพรรณบุรี!n428"")+IMPORTRANGE(""https://"&amp;"docs.google.com/spreadsheets/d/12Q_U0nVnFdxDFwa0pej9xvx8ZvLC9Dpi_vRro_aiG5g/edit?usp=share_link"",""อ่างทอง!n428"")
"),86353)</f>
        <v>86353</v>
      </c>
      <c r="O428" s="38"/>
      <c r="P428" s="38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20.25" customHeight="1">
      <c r="A429" s="159"/>
      <c r="B429" s="280"/>
      <c r="C429" s="33"/>
      <c r="D429" s="34" t="s">
        <v>21</v>
      </c>
      <c r="E429" s="33"/>
      <c r="F429" s="33"/>
      <c r="G429" s="35"/>
      <c r="H429" s="168" t="s">
        <v>12</v>
      </c>
      <c r="I429" s="162"/>
      <c r="J429" s="162"/>
      <c r="K429" s="163"/>
      <c r="L429" s="38">
        <f t="shared" ref="L429:N429" ca="1" si="221">L430+L431</f>
        <v>0</v>
      </c>
      <c r="M429" s="38">
        <f t="shared" si="221"/>
        <v>0</v>
      </c>
      <c r="N429" s="38">
        <f t="shared" si="221"/>
        <v>0</v>
      </c>
      <c r="O429" s="38">
        <f t="shared" ref="O429:O431" ca="1" si="222">IF(L429&gt;0,N429*100/L429,0)</f>
        <v>0</v>
      </c>
      <c r="P429" s="38">
        <f t="shared" ref="P429:P431" si="223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20.25" hidden="1" customHeight="1">
      <c r="A430" s="156"/>
      <c r="B430" s="356"/>
      <c r="C430" s="40"/>
      <c r="D430" s="40"/>
      <c r="E430" s="41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45">
        <f t="shared" si="222"/>
        <v>0</v>
      </c>
      <c r="P430" s="45">
        <f t="shared" si="223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20.25" hidden="1" customHeight="1">
      <c r="A431" s="156"/>
      <c r="B431" s="356"/>
      <c r="C431" s="40"/>
      <c r="D431" s="40"/>
      <c r="E431" s="41" t="s">
        <v>19</v>
      </c>
      <c r="F431" s="40"/>
      <c r="G431" s="42"/>
      <c r="H431" s="169" t="s">
        <v>12</v>
      </c>
      <c r="I431" s="166"/>
      <c r="J431" s="166"/>
      <c r="K431" s="167"/>
      <c r="L431" s="45">
        <f ca="1">IFERROR(__xludf.DUMMYFUNCTION("IMPORTRANGE(""https://docs.google.com/spreadsheets/d/1hKO5uv94SSRZWOvrh72HRcpyoEQF9TsE_Cvxl77XNU4/edit?usp=share_link"",""กาญจนบุรี!L431"")+IMPORTRANGE(""https://docs.google.com/spreadsheets/d/1njBaP_xXd-Uotvo2D9zb01TTCFkLJLDK97Tk1l9Qux0/edit?usp=share_li"&amp;"nk"",""จันทบุรี!L431"")+IMPORTRANGE(""https://docs.google.com/spreadsheets/d/14xp6qUzrGFnUk_qnc1eEmfiaNRd4_grkhpfQH_46fa8/edit?usp=share_link"",""ฉะเชิงเทรา!L431"")+IMPORTRANGE(""https://docs.google.com/spreadsheets/d/1_Zwps30dlVa-pZFsorjVf1Pil6WXwzCsJU0U"&amp;"2whO3NI/edit?usp=share_link"",""ชลบุรี!L431"")+IMPORTRANGE(""https://docs.google.com/spreadsheets/d/1xAsT4sUbBlom7l0acStESh_15nvjZcXjZM7fK5uZSq8/edit?usp=share_link"",""ชัยนาท!L431"")+IMPORTRANGE(""https://docs.google.com/spreadsheets/d/1vWPVBOAaZ6mHSI8yf"&amp;"95DNqHwTJ1cpeFsvqt6cxV34QA/edit?usp=share_link"",""ตราด!L431"")+IMPORTRANGE(""https://docs.google.com/spreadsheets/d/1phaeSb9lTGgzDpbvVqI9hfmOQQzUom07-HEvpbARzEg/edit?usp=share_link"",""นครนายก!L431"")+IMPORTRANGE(""https://docs.google.com/spreadsheets/d/"&amp;"1tpwhWwkqkBeiSWCcfB5f2fbwPRbM9hHOEDSDHpl2MIc/edit?usp=share_link"",""นครปฐม!L431"")+IMPORTRANGE(""https://docs.google.com/spreadsheets/d/1fJJCVBkBnhriyv0Cp5ZFMr0I_yrfdEITNpb4zILJgUQ/edit?usp=share_link"",""ปทุมธานี!L431"")+IMPORTRANGE(""https://docs.googl"&amp;"e.com/spreadsheets/d/1W5Jj_S0gYw6wSO7QcMI02YgyOBDKYgmm0NSUk-AQEac/edit?usp=share_link"",""ประจวบคีรีขันธ์!L431"")+IMPORTRANGE(""https://docs.google.com/spreadsheets/d/1nYxRXgnCfTXtqUY1otYuTlnrzE0Tn-Y0YRsW5pkRVqo/edit?usp=share_link"",""ปราจีนบุรี!L431"")+"&amp;"IMPORTRANGE(""https://docs.google.com/spreadsheets/d/1nNHCLO8ZAXOMfQvxux7cf_hrzPAh8FAvaHq_ClKbZNo/edit?usp=share_link"",""พระนครศรีอยุธยา!L431"")+IMPORTRANGE(""https://docs.google.com/spreadsheets/d/1CdNicvf3i6yt4tJlCePe3V1Va76wYqW0QzMzTsaGRrA/edit?usp=sh"&amp;"are_link"",""เพชรบุรี!L431"")+IMPORTRANGE(""https://docs.google.com/spreadsheets/d/1XiF77UIVHV0Kjc6xbXuOuJ10WgJYxd4p_22ngKVV5oM/edit?usp=share_link"",""ระยอง!L431"")+IMPORTRANGE(""https://docs.google.com/spreadsheets/d/1qU-W_9MCQD1pgIVXGEOjCFo9QqlmJywueby"&amp;"GgaN92r8/edit?usp=share_link"",""ราชบุรี!L431"")+IMPORTRANGE(""https://docs.google.com/spreadsheets/d/1xYFIxIM_CspAP5Q-5Zx_V0T_Ut3cjryrjd2hss28vGk/edit?usp=share_link"",""ลพบุรี!L431"")+IMPORTRANGE(""https://docs.google.com/spreadsheets/d/11s9m3tKsCBdPWq6"&amp;"syhZm27eBGbKneDLZc75co106bio/edit?usp=share_link"",""สระแก้ว!L431"")+IMPORTRANGE(""https://docs.google.com/spreadsheets/d/1Nn1EvsFPtXldgpgVb3Rcng2K2cls68LFQsBh2FyW0Bg/edit?usp=share_link"",""สระบุรี!L431"")+IMPORTRANGE(""https://docs.google.com/spreadshee"&amp;"ts/d/149xufxukrnEciK3WPbNpHwUK8BKEJxp3UcBG3Al6dA4/edit?usp=share_link"",""สิงห์บุรี!L431"")+IMPORTRANGE(""https://docs.google.com/spreadsheets/d/132g-zJpz2uMKimp17uOIx8A7o3w1Z25zwJyXnwsB56c/edit?usp=share_link"",""สุพรรณบุรี!L431"")+IMPORTRANGE(""https://"&amp;"docs.google.com/spreadsheets/d/12Q_U0nVnFdxDFwa0pej9xvx8ZvLC9Dpi_vRro_aiG5g/edit?usp=share_link"",""อ่างทอง!L431"")
"),0)</f>
        <v>0</v>
      </c>
      <c r="M431" s="93">
        <v>0</v>
      </c>
      <c r="N431" s="93">
        <v>0</v>
      </c>
      <c r="O431" s="45">
        <f t="shared" ca="1" si="222"/>
        <v>0</v>
      </c>
      <c r="P431" s="45">
        <f t="shared" si="223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20.25" customHeight="1">
      <c r="A432" s="413"/>
      <c r="B432" s="414"/>
      <c r="C432" s="148" t="s">
        <v>16</v>
      </c>
      <c r="D432" s="572" t="s">
        <v>38</v>
      </c>
      <c r="E432" s="573"/>
      <c r="F432" s="573"/>
      <c r="G432" s="574"/>
      <c r="H432" s="575"/>
      <c r="I432" s="153"/>
      <c r="J432" s="153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20.25" customHeight="1">
      <c r="A433" s="170"/>
      <c r="B433" s="171"/>
      <c r="C433" s="171"/>
      <c r="D433" s="186" t="s">
        <v>190</v>
      </c>
      <c r="E433" s="178"/>
      <c r="F433" s="178"/>
      <c r="G433" s="179"/>
      <c r="H433" s="196" t="s">
        <v>35</v>
      </c>
      <c r="I433" s="194">
        <f ca="1">I435</f>
        <v>585</v>
      </c>
      <c r="J433" s="194">
        <f ca="1">IFERROR(__xludf.DUMMYFUNCTION("IMPORTRANGE(""https://docs.google.com/spreadsheets/d/1hKO5uv94SSRZWOvrh72HRcpyoEQF9TsE_Cvxl77XNU4/edit?usp=share_link"",""กาญจนบุรี!J433"")+IMPORTRANGE(""https://docs.google.com/spreadsheets/d/1njBaP_xXd-Uotvo2D9zb01TTCFkLJLDK97Tk1l9Qux0/edit?usp=share_li"&amp;"nk"",""จันทบุรี!J433"")+IMPORTRANGE(""https://docs.google.com/spreadsheets/d/14xp6qUzrGFnUk_qnc1eEmfiaNRd4_grkhpfQH_46fa8/edit?usp=share_link"",""ฉะเชิงเทรา!J433"")+IMPORTRANGE(""https://docs.google.com/spreadsheets/d/1_Zwps30dlVa-pZFsorjVf1Pil6WXwzCsJU0U"&amp;"2whO3NI/edit?usp=share_link"",""ชลบุรี!J433"")+IMPORTRANGE(""https://docs.google.com/spreadsheets/d/1xAsT4sUbBlom7l0acStESh_15nvjZcXjZM7fK5uZSq8/edit?usp=share_link"",""ชัยนาท!J433"")+IMPORTRANGE(""https://docs.google.com/spreadsheets/d/1vWPVBOAaZ6mHSI8yf"&amp;"95DNqHwTJ1cpeFsvqt6cxV34QA/edit?usp=share_link"",""ตราด!J433"")+IMPORTRANGE(""https://docs.google.com/spreadsheets/d/1phaeSb9lTGgzDpbvVqI9hfmOQQzUom07-HEvpbARzEg/edit?usp=share_link"",""นครนายก!J433"")+IMPORTRANGE(""https://docs.google.com/spreadsheets/d/"&amp;"1tpwhWwkqkBeiSWCcfB5f2fbwPRbM9hHOEDSDHpl2MIc/edit?usp=share_link"",""นครปฐม!J433"")+IMPORTRANGE(""https://docs.google.com/spreadsheets/d/1fJJCVBkBnhriyv0Cp5ZFMr0I_yrfdEITNpb4zILJgUQ/edit?usp=share_link"",""ปทุมธานี!J433"")+IMPORTRANGE(""https://docs.googl"&amp;"e.com/spreadsheets/d/1W5Jj_S0gYw6wSO7QcMI02YgyOBDKYgmm0NSUk-AQEac/edit?usp=share_link"",""ประจวบคีรีขันธ์!J433"")+IMPORTRANGE(""https://docs.google.com/spreadsheets/d/1nYxRXgnCfTXtqUY1otYuTlnrzE0Tn-Y0YRsW5pkRVqo/edit?usp=share_link"",""ปราจีนบุรี!J433"")+"&amp;"IMPORTRANGE(""https://docs.google.com/spreadsheets/d/1nNHCLO8ZAXOMfQvxux7cf_hrzPAh8FAvaHq_ClKbZNo/edit?usp=share_link"",""พระนครศรีอยุธยา!J433"")+IMPORTRANGE(""https://docs.google.com/spreadsheets/d/1CdNicvf3i6yt4tJlCePe3V1Va76wYqW0QzMzTsaGRrA/edit?usp=sh"&amp;"are_link"",""เพชรบุรี!J433"")+IMPORTRANGE(""https://docs.google.com/spreadsheets/d/1XiF77UIVHV0Kjc6xbXuOuJ10WgJYxd4p_22ngKVV5oM/edit?usp=share_link"",""ระยอง!J433"")+IMPORTRANGE(""https://docs.google.com/spreadsheets/d/1qU-W_9MCQD1pgIVXGEOjCFo9QqlmJywueby"&amp;"GgaN92r8/edit?usp=share_link"",""ราชบุรี!J433"")+IMPORTRANGE(""https://docs.google.com/spreadsheets/d/1xYFIxIM_CspAP5Q-5Zx_V0T_Ut3cjryrjd2hss28vGk/edit?usp=share_link"",""ลพบุรี!J433"")+IMPORTRANGE(""https://docs.google.com/spreadsheets/d/11s9m3tKsCBdPWq6"&amp;"syhZm27eBGbKneDLZc75co106bio/edit?usp=share_link"",""สระแก้ว!J433"")+IMPORTRANGE(""https://docs.google.com/spreadsheets/d/1Nn1EvsFPtXldgpgVb3Rcng2K2cls68LFQsBh2FyW0Bg/edit?usp=share_link"",""สระบุรี!J433"")+IMPORTRANGE(""https://docs.google.com/spreadshee"&amp;"ts/d/149xufxukrnEciK3WPbNpHwUK8BKEJxp3UcBG3Al6dA4/edit?usp=share_link"",""สิงห์บุรี!J433"")+IMPORTRANGE(""https://docs.google.com/spreadsheets/d/132g-zJpz2uMKimp17uOIx8A7o3w1Z25zwJyXnwsB56c/edit?usp=share_link"",""สุพรรณบุรี!J433"")+IMPORTRANGE(""https://"&amp;"docs.google.com/spreadsheets/d/12Q_U0nVnFdxDFwa0pej9xvx8ZvLC9Dpi_vRro_aiG5g/edit?usp=share_link"",""อ่างทอง!J433"")
"),25)</f>
        <v>25</v>
      </c>
      <c r="K433" s="195">
        <f t="shared" ref="K433:K435" ca="1" si="224">IF(I433&gt;0,J433*100/I433,0)</f>
        <v>4.2735042735042734</v>
      </c>
      <c r="L433" s="38"/>
      <c r="M433" s="38"/>
      <c r="N433" s="38"/>
      <c r="O433" s="38"/>
      <c r="P433" s="38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20.25" customHeight="1">
      <c r="A434" s="170"/>
      <c r="B434" s="171"/>
      <c r="C434" s="171"/>
      <c r="D434" s="186" t="s">
        <v>191</v>
      </c>
      <c r="E434" s="178"/>
      <c r="F434" s="178"/>
      <c r="G434" s="179"/>
      <c r="H434" s="196" t="s">
        <v>49</v>
      </c>
      <c r="I434" s="194">
        <f t="shared" ref="I434:J434" ca="1" si="225">I438+I440</f>
        <v>27</v>
      </c>
      <c r="J434" s="194">
        <f t="shared" ca="1" si="225"/>
        <v>4</v>
      </c>
      <c r="K434" s="195">
        <f t="shared" ca="1" si="224"/>
        <v>14.814814814814815</v>
      </c>
      <c r="L434" s="38"/>
      <c r="M434" s="38"/>
      <c r="N434" s="38"/>
      <c r="O434" s="38"/>
      <c r="P434" s="38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20.25" customHeight="1">
      <c r="A435" s="170"/>
      <c r="B435" s="171"/>
      <c r="C435" s="171"/>
      <c r="D435" s="181" t="s">
        <v>192</v>
      </c>
      <c r="E435" s="178"/>
      <c r="F435" s="178"/>
      <c r="G435" s="179"/>
      <c r="H435" s="36" t="s">
        <v>35</v>
      </c>
      <c r="I435" s="576">
        <f ca="1">IFERROR(__xludf.DUMMYFUNCTION("IMPORTRANGE(""https://docs.google.com/spreadsheets/d/1hKO5uv94SSRZWOvrh72HRcpyoEQF9TsE_Cvxl77XNU4/edit?usp=share_link"",""กาญจนบุรี!I435"")+IMPORTRANGE(""https://docs.google.com/spreadsheets/d/1njBaP_xXd-Uotvo2D9zb01TTCFkLJLDK97Tk1l9Qux0/edit?usp=share_li"&amp;"nk"",""จันทบุรี!I435"")+IMPORTRANGE(""https://docs.google.com/spreadsheets/d/14xp6qUzrGFnUk_qnc1eEmfiaNRd4_grkhpfQH_46fa8/edit?usp=share_link"",""ฉะเชิงเทรา!I435"")+IMPORTRANGE(""https://docs.google.com/spreadsheets/d/1_Zwps30dlVa-pZFsorjVf1Pil6WXwzCsJU0U"&amp;"2whO3NI/edit?usp=share_link"",""ชลบุรี!I435"")+IMPORTRANGE(""https://docs.google.com/spreadsheets/d/1xAsT4sUbBlom7l0acStESh_15nvjZcXjZM7fK5uZSq8/edit?usp=share_link"",""ชัยนาท!I435"")+IMPORTRANGE(""https://docs.google.com/spreadsheets/d/1vWPVBOAaZ6mHSI8yf"&amp;"95DNqHwTJ1cpeFsvqt6cxV34QA/edit?usp=share_link"",""ตราด!I435"")+IMPORTRANGE(""https://docs.google.com/spreadsheets/d/1phaeSb9lTGgzDpbvVqI9hfmOQQzUom07-HEvpbARzEg/edit?usp=share_link"",""นครนายก!I435"")+IMPORTRANGE(""https://docs.google.com/spreadsheets/d/"&amp;"1tpwhWwkqkBeiSWCcfB5f2fbwPRbM9hHOEDSDHpl2MIc/edit?usp=share_link"",""นครปฐม!I435"")+IMPORTRANGE(""https://docs.google.com/spreadsheets/d/1fJJCVBkBnhriyv0Cp5ZFMr0I_yrfdEITNpb4zILJgUQ/edit?usp=share_link"",""ปทุมธานี!I435"")+IMPORTRANGE(""https://docs.googl"&amp;"e.com/spreadsheets/d/1W5Jj_S0gYw6wSO7QcMI02YgyOBDKYgmm0NSUk-AQEac/edit?usp=share_link"",""ประจวบคีรีขันธ์!I435"")+IMPORTRANGE(""https://docs.google.com/spreadsheets/d/1nYxRXgnCfTXtqUY1otYuTlnrzE0Tn-Y0YRsW5pkRVqo/edit?usp=share_link"",""ปราจีนบุรี!I435"")+"&amp;"IMPORTRANGE(""https://docs.google.com/spreadsheets/d/1nNHCLO8ZAXOMfQvxux7cf_hrzPAh8FAvaHq_ClKbZNo/edit?usp=share_link"",""พระนครศรีอยุธยา!I435"")+IMPORTRANGE(""https://docs.google.com/spreadsheets/d/1CdNicvf3i6yt4tJlCePe3V1Va76wYqW0QzMzTsaGRrA/edit?usp=sh"&amp;"are_link"",""เพชรบุรี!I435"")+IMPORTRANGE(""https://docs.google.com/spreadsheets/d/1XiF77UIVHV0Kjc6xbXuOuJ10WgJYxd4p_22ngKVV5oM/edit?usp=share_link"",""ระยอง!I435"")+IMPORTRANGE(""https://docs.google.com/spreadsheets/d/1qU-W_9MCQD1pgIVXGEOjCFo9QqlmJywueby"&amp;"GgaN92r8/edit?usp=share_link"",""ราชบุรี!I435"")+IMPORTRANGE(""https://docs.google.com/spreadsheets/d/1xYFIxIM_CspAP5Q-5Zx_V0T_Ut3cjryrjd2hss28vGk/edit?usp=share_link"",""ลพบุรี!I435"")+IMPORTRANGE(""https://docs.google.com/spreadsheets/d/11s9m3tKsCBdPWq6"&amp;"syhZm27eBGbKneDLZc75co106bio/edit?usp=share_link"",""สระแก้ว!I435"")+IMPORTRANGE(""https://docs.google.com/spreadsheets/d/1Nn1EvsFPtXldgpgVb3Rcng2K2cls68LFQsBh2FyW0Bg/edit?usp=share_link"",""สระบุรี!I435"")+IMPORTRANGE(""https://docs.google.com/spreadshee"&amp;"ts/d/149xufxukrnEciK3WPbNpHwUK8BKEJxp3UcBG3Al6dA4/edit?usp=share_link"",""สิงห์บุรี!I435"")+IMPORTRANGE(""https://docs.google.com/spreadsheets/d/132g-zJpz2uMKimp17uOIx8A7o3w1Z25zwJyXnwsB56c/edit?usp=share_link"",""สุพรรณบุรี!I435"")+IMPORTRANGE(""https://"&amp;"docs.google.com/spreadsheets/d/12Q_U0nVnFdxDFwa0pej9xvx8ZvLC9Dpi_vRro_aiG5g/edit?usp=share_link"",""อ่างทอง!I435"")
"),585)</f>
        <v>585</v>
      </c>
      <c r="J435" s="577">
        <f ca="1">IFERROR(__xludf.DUMMYFUNCTION("IMPORTRANGE(""https://docs.google.com/spreadsheets/d/1hKO5uv94SSRZWOvrh72HRcpyoEQF9TsE_Cvxl77XNU4/edit?usp=share_link"",""กาญจนบุรี!J435"")+IMPORTRANGE(""https://docs.google.com/spreadsheets/d/1njBaP_xXd-Uotvo2D9zb01TTCFkLJLDK97Tk1l9Qux0/edit?usp=share_li"&amp;"nk"",""จันทบุรี!J435"")+IMPORTRANGE(""https://docs.google.com/spreadsheets/d/14xp6qUzrGFnUk_qnc1eEmfiaNRd4_grkhpfQH_46fa8/edit?usp=share_link"",""ฉะเชิงเทรา!J435"")+IMPORTRANGE(""https://docs.google.com/spreadsheets/d/1_Zwps30dlVa-pZFsorjVf1Pil6WXwzCsJU0U"&amp;"2whO3NI/edit?usp=share_link"",""ชลบุรี!J435"")+IMPORTRANGE(""https://docs.google.com/spreadsheets/d/1xAsT4sUbBlom7l0acStESh_15nvjZcXjZM7fK5uZSq8/edit?usp=share_link"",""ชัยนาท!J435"")+IMPORTRANGE(""https://docs.google.com/spreadsheets/d/1vWPVBOAaZ6mHSI8yf"&amp;"95DNqHwTJ1cpeFsvqt6cxV34QA/edit?usp=share_link"",""ตราด!J435"")+IMPORTRANGE(""https://docs.google.com/spreadsheets/d/1phaeSb9lTGgzDpbvVqI9hfmOQQzUom07-HEvpbARzEg/edit?usp=share_link"",""นครนายก!J435"")+IMPORTRANGE(""https://docs.google.com/spreadsheets/d/"&amp;"1tpwhWwkqkBeiSWCcfB5f2fbwPRbM9hHOEDSDHpl2MIc/edit?usp=share_link"",""นครปฐม!J435"")+IMPORTRANGE(""https://docs.google.com/spreadsheets/d/1fJJCVBkBnhriyv0Cp5ZFMr0I_yrfdEITNpb4zILJgUQ/edit?usp=share_link"",""ปทุมธานี!J435"")+IMPORTRANGE(""https://docs.googl"&amp;"e.com/spreadsheets/d/1W5Jj_S0gYw6wSO7QcMI02YgyOBDKYgmm0NSUk-AQEac/edit?usp=share_link"",""ประจวบคีรีขันธ์!J435"")+IMPORTRANGE(""https://docs.google.com/spreadsheets/d/1nYxRXgnCfTXtqUY1otYuTlnrzE0Tn-Y0YRsW5pkRVqo/edit?usp=share_link"",""ปราจีนบุรี!J435"")+"&amp;"IMPORTRANGE(""https://docs.google.com/spreadsheets/d/1nNHCLO8ZAXOMfQvxux7cf_hrzPAh8FAvaHq_ClKbZNo/edit?usp=share_link"",""พระนครศรีอยุธยา!J435"")+IMPORTRANGE(""https://docs.google.com/spreadsheets/d/1CdNicvf3i6yt4tJlCePe3V1Va76wYqW0QzMzTsaGRrA/edit?usp=sh"&amp;"are_link"",""เพชรบุรี!J435"")+IMPORTRANGE(""https://docs.google.com/spreadsheets/d/1XiF77UIVHV0Kjc6xbXuOuJ10WgJYxd4p_22ngKVV5oM/edit?usp=share_link"",""ระยอง!J435"")+IMPORTRANGE(""https://docs.google.com/spreadsheets/d/1qU-W_9MCQD1pgIVXGEOjCFo9QqlmJywueby"&amp;"GgaN92r8/edit?usp=share_link"",""ราชบุรี!J435"")+IMPORTRANGE(""https://docs.google.com/spreadsheets/d/1xYFIxIM_CspAP5Q-5Zx_V0T_Ut3cjryrjd2hss28vGk/edit?usp=share_link"",""ลพบุรี!J435"")+IMPORTRANGE(""https://docs.google.com/spreadsheets/d/11s9m3tKsCBdPWq6"&amp;"syhZm27eBGbKneDLZc75co106bio/edit?usp=share_link"",""สระแก้ว!J435"")+IMPORTRANGE(""https://docs.google.com/spreadsheets/d/1Nn1EvsFPtXldgpgVb3Rcng2K2cls68LFQsBh2FyW0Bg/edit?usp=share_link"",""สระบุรี!J435"")+IMPORTRANGE(""https://docs.google.com/spreadshee"&amp;"ts/d/149xufxukrnEciK3WPbNpHwUK8BKEJxp3UcBG3Al6dA4/edit?usp=share_link"",""สิงห์บุรี!J435"")+IMPORTRANGE(""https://docs.google.com/spreadsheets/d/132g-zJpz2uMKimp17uOIx8A7o3w1Z25zwJyXnwsB56c/edit?usp=share_link"",""สุพรรณบุรี!J435"")+IMPORTRANGE(""https://"&amp;"docs.google.com/spreadsheets/d/12Q_U0nVnFdxDFwa0pej9xvx8ZvLC9Dpi_vRro_aiG5g/edit?usp=share_link"",""อ่างทอง!J435"")
"),85)</f>
        <v>85</v>
      </c>
      <c r="K435" s="496">
        <f t="shared" ca="1" si="224"/>
        <v>14.52991452991453</v>
      </c>
      <c r="L435" s="38"/>
      <c r="M435" s="38"/>
      <c r="N435" s="38"/>
      <c r="O435" s="38"/>
      <c r="P435" s="38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20.25" customHeight="1">
      <c r="A436" s="170"/>
      <c r="B436" s="171"/>
      <c r="C436" s="171"/>
      <c r="D436" s="181" t="s">
        <v>193</v>
      </c>
      <c r="E436" s="178"/>
      <c r="F436" s="178"/>
      <c r="G436" s="179"/>
      <c r="H436" s="36"/>
      <c r="I436" s="37"/>
      <c r="J436" s="37"/>
      <c r="K436" s="38"/>
      <c r="L436" s="38"/>
      <c r="M436" s="38"/>
      <c r="N436" s="38"/>
      <c r="O436" s="38"/>
      <c r="P436" s="38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20.25" customHeight="1">
      <c r="A437" s="170"/>
      <c r="B437" s="171"/>
      <c r="C437" s="171"/>
      <c r="D437" s="181" t="s">
        <v>194</v>
      </c>
      <c r="E437" s="178"/>
      <c r="F437" s="178"/>
      <c r="G437" s="179"/>
      <c r="H437" s="36" t="s">
        <v>35</v>
      </c>
      <c r="I437" s="576">
        <f ca="1">IFERROR(__xludf.DUMMYFUNCTION("IMPORTRANGE(""https://docs.google.com/spreadsheets/d/1hKO5uv94SSRZWOvrh72HRcpyoEQF9TsE_Cvxl77XNU4/edit?usp=share_link"",""กาญจนบุรี!I437"")+IMPORTRANGE(""https://docs.google.com/spreadsheets/d/1njBaP_xXd-Uotvo2D9zb01TTCFkLJLDK97Tk1l9Qux0/edit?usp=share_li"&amp;"nk"",""จันทบุรี!I437"")+IMPORTRANGE(""https://docs.google.com/spreadsheets/d/14xp6qUzrGFnUk_qnc1eEmfiaNRd4_grkhpfQH_46fa8/edit?usp=share_link"",""ฉะเชิงเทรา!I437"")+IMPORTRANGE(""https://docs.google.com/spreadsheets/d/1_Zwps30dlVa-pZFsorjVf1Pil6WXwzCsJU0U"&amp;"2whO3NI/edit?usp=share_link"",""ชลบุรี!I437"")+IMPORTRANGE(""https://docs.google.com/spreadsheets/d/1xAsT4sUbBlom7l0acStESh_15nvjZcXjZM7fK5uZSq8/edit?usp=share_link"",""ชัยนาท!I437"")+IMPORTRANGE(""https://docs.google.com/spreadsheets/d/1vWPVBOAaZ6mHSI8yf"&amp;"95DNqHwTJ1cpeFsvqt6cxV34QA/edit?usp=share_link"",""ตราด!I437"")+IMPORTRANGE(""https://docs.google.com/spreadsheets/d/1phaeSb9lTGgzDpbvVqI9hfmOQQzUom07-HEvpbARzEg/edit?usp=share_link"",""นครนายก!I437"")+IMPORTRANGE(""https://docs.google.com/spreadsheets/d/"&amp;"1tpwhWwkqkBeiSWCcfB5f2fbwPRbM9hHOEDSDHpl2MIc/edit?usp=share_link"",""นครปฐม!I437"")+IMPORTRANGE(""https://docs.google.com/spreadsheets/d/1fJJCVBkBnhriyv0Cp5ZFMr0I_yrfdEITNpb4zILJgUQ/edit?usp=share_link"",""ปทุมธานี!I437"")+IMPORTRANGE(""https://docs.googl"&amp;"e.com/spreadsheets/d/1W5Jj_S0gYw6wSO7QcMI02YgyOBDKYgmm0NSUk-AQEac/edit?usp=share_link"",""ประจวบคีรีขันธ์!I437"")+IMPORTRANGE(""https://docs.google.com/spreadsheets/d/1nYxRXgnCfTXtqUY1otYuTlnrzE0Tn-Y0YRsW5pkRVqo/edit?usp=share_link"",""ปราจีนบุรี!I437"")+"&amp;"IMPORTRANGE(""https://docs.google.com/spreadsheets/d/1nNHCLO8ZAXOMfQvxux7cf_hrzPAh8FAvaHq_ClKbZNo/edit?usp=share_link"",""พระนครศรีอยุธยา!I437"")+IMPORTRANGE(""https://docs.google.com/spreadsheets/d/1CdNicvf3i6yt4tJlCePe3V1Va76wYqW0QzMzTsaGRrA/edit?usp=sh"&amp;"are_link"",""เพชรบุรี!I437"")+IMPORTRANGE(""https://docs.google.com/spreadsheets/d/1XiF77UIVHV0Kjc6xbXuOuJ10WgJYxd4p_22ngKVV5oM/edit?usp=share_link"",""ระยอง!I437"")+IMPORTRANGE(""https://docs.google.com/spreadsheets/d/1qU-W_9MCQD1pgIVXGEOjCFo9QqlmJywueby"&amp;"GgaN92r8/edit?usp=share_link"",""ราชบุรี!I437"")+IMPORTRANGE(""https://docs.google.com/spreadsheets/d/1xYFIxIM_CspAP5Q-5Zx_V0T_Ut3cjryrjd2hss28vGk/edit?usp=share_link"",""ลพบุรี!I437"")+IMPORTRANGE(""https://docs.google.com/spreadsheets/d/11s9m3tKsCBdPWq6"&amp;"syhZm27eBGbKneDLZc75co106bio/edit?usp=share_link"",""สระแก้ว!I437"")+IMPORTRANGE(""https://docs.google.com/spreadsheets/d/1Nn1EvsFPtXldgpgVb3Rcng2K2cls68LFQsBh2FyW0Bg/edit?usp=share_link"",""สระบุรี!I437"")+IMPORTRANGE(""https://docs.google.com/spreadshee"&amp;"ts/d/149xufxukrnEciK3WPbNpHwUK8BKEJxp3UcBG3Al6dA4/edit?usp=share_link"",""สิงห์บุรี!I437"")+IMPORTRANGE(""https://docs.google.com/spreadsheets/d/132g-zJpz2uMKimp17uOIx8A7o3w1Z25zwJyXnwsB56c/edit?usp=share_link"",""สุพรรณบุรี!I437"")+IMPORTRANGE(""https://"&amp;"docs.google.com/spreadsheets/d/12Q_U0nVnFdxDFwa0pej9xvx8ZvLC9Dpi_vRro_aiG5g/edit?usp=share_link"",""อ่างทอง!I437"")
"),210)</f>
        <v>210</v>
      </c>
      <c r="J437" s="577">
        <f ca="1">IFERROR(__xludf.DUMMYFUNCTION("IMPORTRANGE(""https://docs.google.com/spreadsheets/d/1hKO5uv94SSRZWOvrh72HRcpyoEQF9TsE_Cvxl77XNU4/edit?usp=share_link"",""กาญจนบุรี!J437"")+IMPORTRANGE(""https://docs.google.com/spreadsheets/d/1njBaP_xXd-Uotvo2D9zb01TTCFkLJLDK97Tk1l9Qux0/edit?usp=share_li"&amp;"nk"",""จันทบุรี!J437"")+IMPORTRANGE(""https://docs.google.com/spreadsheets/d/14xp6qUzrGFnUk_qnc1eEmfiaNRd4_grkhpfQH_46fa8/edit?usp=share_link"",""ฉะเชิงเทรา!J437"")+IMPORTRANGE(""https://docs.google.com/spreadsheets/d/1_Zwps30dlVa-pZFsorjVf1Pil6WXwzCsJU0U"&amp;"2whO3NI/edit?usp=share_link"",""ชลบุรี!J437"")+IMPORTRANGE(""https://docs.google.com/spreadsheets/d/1xAsT4sUbBlom7l0acStESh_15nvjZcXjZM7fK5uZSq8/edit?usp=share_link"",""ชัยนาท!J437"")+IMPORTRANGE(""https://docs.google.com/spreadsheets/d/1vWPVBOAaZ6mHSI8yf"&amp;"95DNqHwTJ1cpeFsvqt6cxV34QA/edit?usp=share_link"",""ตราด!J437"")+IMPORTRANGE(""https://docs.google.com/spreadsheets/d/1phaeSb9lTGgzDpbvVqI9hfmOQQzUom07-HEvpbARzEg/edit?usp=share_link"",""นครนายก!J437"")+IMPORTRANGE(""https://docs.google.com/spreadsheets/d/"&amp;"1tpwhWwkqkBeiSWCcfB5f2fbwPRbM9hHOEDSDHpl2MIc/edit?usp=share_link"",""นครปฐม!J437"")+IMPORTRANGE(""https://docs.google.com/spreadsheets/d/1fJJCVBkBnhriyv0Cp5ZFMr0I_yrfdEITNpb4zILJgUQ/edit?usp=share_link"",""ปทุมธานี!J437"")+IMPORTRANGE(""https://docs.googl"&amp;"e.com/spreadsheets/d/1W5Jj_S0gYw6wSO7QcMI02YgyOBDKYgmm0NSUk-AQEac/edit?usp=share_link"",""ประจวบคีรีขันธ์!J437"")+IMPORTRANGE(""https://docs.google.com/spreadsheets/d/1nYxRXgnCfTXtqUY1otYuTlnrzE0Tn-Y0YRsW5pkRVqo/edit?usp=share_link"",""ปราจีนบุรี!J437"")+"&amp;"IMPORTRANGE(""https://docs.google.com/spreadsheets/d/1nNHCLO8ZAXOMfQvxux7cf_hrzPAh8FAvaHq_ClKbZNo/edit?usp=share_link"",""พระนครศรีอยุธยา!J437"")+IMPORTRANGE(""https://docs.google.com/spreadsheets/d/1CdNicvf3i6yt4tJlCePe3V1Va76wYqW0QzMzTsaGRrA/edit?usp=sh"&amp;"are_link"",""เพชรบุรี!J437"")+IMPORTRANGE(""https://docs.google.com/spreadsheets/d/1XiF77UIVHV0Kjc6xbXuOuJ10WgJYxd4p_22ngKVV5oM/edit?usp=share_link"",""ระยอง!J437"")+IMPORTRANGE(""https://docs.google.com/spreadsheets/d/1qU-W_9MCQD1pgIVXGEOjCFo9QqlmJywueby"&amp;"GgaN92r8/edit?usp=share_link"",""ราชบุรี!J437"")+IMPORTRANGE(""https://docs.google.com/spreadsheets/d/1xYFIxIM_CspAP5Q-5Zx_V0T_Ut3cjryrjd2hss28vGk/edit?usp=share_link"",""ลพบุรี!J437"")+IMPORTRANGE(""https://docs.google.com/spreadsheets/d/11s9m3tKsCBdPWq6"&amp;"syhZm27eBGbKneDLZc75co106bio/edit?usp=share_link"",""สระแก้ว!J437"")+IMPORTRANGE(""https://docs.google.com/spreadsheets/d/1Nn1EvsFPtXldgpgVb3Rcng2K2cls68LFQsBh2FyW0Bg/edit?usp=share_link"",""สระบุรี!J437"")+IMPORTRANGE(""https://docs.google.com/spreadshee"&amp;"ts/d/149xufxukrnEciK3WPbNpHwUK8BKEJxp3UcBG3Al6dA4/edit?usp=share_link"",""สิงห์บุรี!J437"")+IMPORTRANGE(""https://docs.google.com/spreadsheets/d/132g-zJpz2uMKimp17uOIx8A7o3w1Z25zwJyXnwsB56c/edit?usp=share_link"",""สุพรรณบุรี!J437"")+IMPORTRANGE(""https://"&amp;"docs.google.com/spreadsheets/d/12Q_U0nVnFdxDFwa0pej9xvx8ZvLC9Dpi_vRro_aiG5g/edit?usp=share_link"",""อ่างทอง!J437"")
"),40)</f>
        <v>40</v>
      </c>
      <c r="K437" s="496">
        <f t="shared" ref="K437:K443" ca="1" si="226">IF(I437&gt;0,J437*100/I437,0)</f>
        <v>19.047619047619047</v>
      </c>
      <c r="L437" s="38"/>
      <c r="M437" s="38"/>
      <c r="N437" s="38"/>
      <c r="O437" s="38"/>
      <c r="P437" s="38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20.25" customHeight="1">
      <c r="A438" s="170"/>
      <c r="B438" s="171"/>
      <c r="C438" s="171"/>
      <c r="D438" s="181" t="s">
        <v>195</v>
      </c>
      <c r="E438" s="178"/>
      <c r="F438" s="178"/>
      <c r="G438" s="179"/>
      <c r="H438" s="36" t="s">
        <v>49</v>
      </c>
      <c r="I438" s="37">
        <f ca="1">IFERROR(__xludf.DUMMYFUNCTION("IMPORTRANGE(""https://docs.google.com/spreadsheets/d/1hKO5uv94SSRZWOvrh72HRcpyoEQF9TsE_Cvxl77XNU4/edit?usp=share_link"",""กาญจนบุรี!I438"")+IMPORTRANGE(""https://docs.google.com/spreadsheets/d/1njBaP_xXd-Uotvo2D9zb01TTCFkLJLDK97Tk1l9Qux0/edit?usp=share_li"&amp;"nk"",""จันทบุรี!I438"")+IMPORTRANGE(""https://docs.google.com/spreadsheets/d/14xp6qUzrGFnUk_qnc1eEmfiaNRd4_grkhpfQH_46fa8/edit?usp=share_link"",""ฉะเชิงเทรา!I438"")+IMPORTRANGE(""https://docs.google.com/spreadsheets/d/1_Zwps30dlVa-pZFsorjVf1Pil6WXwzCsJU0U"&amp;"2whO3NI/edit?usp=share_link"",""ชลบุรี!I438"")+IMPORTRANGE(""https://docs.google.com/spreadsheets/d/1xAsT4sUbBlom7l0acStESh_15nvjZcXjZM7fK5uZSq8/edit?usp=share_link"",""ชัยนาท!I438"")+IMPORTRANGE(""https://docs.google.com/spreadsheets/d/1vWPVBOAaZ6mHSI8yf"&amp;"95DNqHwTJ1cpeFsvqt6cxV34QA/edit?usp=share_link"",""ตราด!I438"")+IMPORTRANGE(""https://docs.google.com/spreadsheets/d/1phaeSb9lTGgzDpbvVqI9hfmOQQzUom07-HEvpbARzEg/edit?usp=share_link"",""นครนายก!I438"")+IMPORTRANGE(""https://docs.google.com/spreadsheets/d/"&amp;"1tpwhWwkqkBeiSWCcfB5f2fbwPRbM9hHOEDSDHpl2MIc/edit?usp=share_link"",""นครปฐม!I438"")+IMPORTRANGE(""https://docs.google.com/spreadsheets/d/1fJJCVBkBnhriyv0Cp5ZFMr0I_yrfdEITNpb4zILJgUQ/edit?usp=share_link"",""ปทุมธานี!I438"")+IMPORTRANGE(""https://docs.googl"&amp;"e.com/spreadsheets/d/1W5Jj_S0gYw6wSO7QcMI02YgyOBDKYgmm0NSUk-AQEac/edit?usp=share_link"",""ประจวบคีรีขันธ์!I438"")+IMPORTRANGE(""https://docs.google.com/spreadsheets/d/1nYxRXgnCfTXtqUY1otYuTlnrzE0Tn-Y0YRsW5pkRVqo/edit?usp=share_link"",""ปราจีนบุรี!I438"")+"&amp;"IMPORTRANGE(""https://docs.google.com/spreadsheets/d/1nNHCLO8ZAXOMfQvxux7cf_hrzPAh8FAvaHq_ClKbZNo/edit?usp=share_link"",""พระนครศรีอยุธยา!I438"")+IMPORTRANGE(""https://docs.google.com/spreadsheets/d/1CdNicvf3i6yt4tJlCePe3V1Va76wYqW0QzMzTsaGRrA/edit?usp=sh"&amp;"are_link"",""เพชรบุรี!I438"")+IMPORTRANGE(""https://docs.google.com/spreadsheets/d/1XiF77UIVHV0Kjc6xbXuOuJ10WgJYxd4p_22ngKVV5oM/edit?usp=share_link"",""ระยอง!I438"")+IMPORTRANGE(""https://docs.google.com/spreadsheets/d/1qU-W_9MCQD1pgIVXGEOjCFo9QqlmJywueby"&amp;"GgaN92r8/edit?usp=share_link"",""ราชบุรี!I438"")+IMPORTRANGE(""https://docs.google.com/spreadsheets/d/1xYFIxIM_CspAP5Q-5Zx_V0T_Ut3cjryrjd2hss28vGk/edit?usp=share_link"",""ลพบุรี!I438"")+IMPORTRANGE(""https://docs.google.com/spreadsheets/d/11s9m3tKsCBdPWq6"&amp;"syhZm27eBGbKneDLZc75co106bio/edit?usp=share_link"",""สระแก้ว!I438"")+IMPORTRANGE(""https://docs.google.com/spreadsheets/d/1Nn1EvsFPtXldgpgVb3Rcng2K2cls68LFQsBh2FyW0Bg/edit?usp=share_link"",""สระบุรี!I438"")+IMPORTRANGE(""https://docs.google.com/spreadshee"&amp;"ts/d/149xufxukrnEciK3WPbNpHwUK8BKEJxp3UcBG3Al6dA4/edit?usp=share_link"",""สิงห์บุรี!I438"")+IMPORTRANGE(""https://docs.google.com/spreadsheets/d/132g-zJpz2uMKimp17uOIx8A7o3w1Z25zwJyXnwsB56c/edit?usp=share_link"",""สุพรรณบุรี!I438"")+IMPORTRANGE(""https://"&amp;"docs.google.com/spreadsheets/d/12Q_U0nVnFdxDFwa0pej9xvx8ZvLC9Dpi_vRro_aiG5g/edit?usp=share_link"",""อ่างทอง!I438"")
"),5)</f>
        <v>5</v>
      </c>
      <c r="J438" s="183">
        <f ca="1">IFERROR(__xludf.DUMMYFUNCTION("IMPORTRANGE(""https://docs.google.com/spreadsheets/d/1hKO5uv94SSRZWOvrh72HRcpyoEQF9TsE_Cvxl77XNU4/edit?usp=share_link"",""กาญจนบุรี!J438"")+IMPORTRANGE(""https://docs.google.com/spreadsheets/d/1njBaP_xXd-Uotvo2D9zb01TTCFkLJLDK97Tk1l9Qux0/edit?usp=share_li"&amp;"nk"",""จันทบุรี!J438"")+IMPORTRANGE(""https://docs.google.com/spreadsheets/d/14xp6qUzrGFnUk_qnc1eEmfiaNRd4_grkhpfQH_46fa8/edit?usp=share_link"",""ฉะเชิงเทรา!J438"")+IMPORTRANGE(""https://docs.google.com/spreadsheets/d/1_Zwps30dlVa-pZFsorjVf1Pil6WXwzCsJU0U"&amp;"2whO3NI/edit?usp=share_link"",""ชลบุรี!J438"")+IMPORTRANGE(""https://docs.google.com/spreadsheets/d/1xAsT4sUbBlom7l0acStESh_15nvjZcXjZM7fK5uZSq8/edit?usp=share_link"",""ชัยนาท!J438"")+IMPORTRANGE(""https://docs.google.com/spreadsheets/d/1vWPVBOAaZ6mHSI8yf"&amp;"95DNqHwTJ1cpeFsvqt6cxV34QA/edit?usp=share_link"",""ตราด!J438"")+IMPORTRANGE(""https://docs.google.com/spreadsheets/d/1phaeSb9lTGgzDpbvVqI9hfmOQQzUom07-HEvpbARzEg/edit?usp=share_link"",""นครนายก!J438"")+IMPORTRANGE(""https://docs.google.com/spreadsheets/d/"&amp;"1tpwhWwkqkBeiSWCcfB5f2fbwPRbM9hHOEDSDHpl2MIc/edit?usp=share_link"",""นครปฐม!J438"")+IMPORTRANGE(""https://docs.google.com/spreadsheets/d/1fJJCVBkBnhriyv0Cp5ZFMr0I_yrfdEITNpb4zILJgUQ/edit?usp=share_link"",""ปทุมธานี!J438"")+IMPORTRANGE(""https://docs.googl"&amp;"e.com/spreadsheets/d/1W5Jj_S0gYw6wSO7QcMI02YgyOBDKYgmm0NSUk-AQEac/edit?usp=share_link"",""ประจวบคีรีขันธ์!J438"")+IMPORTRANGE(""https://docs.google.com/spreadsheets/d/1nYxRXgnCfTXtqUY1otYuTlnrzE0Tn-Y0YRsW5pkRVqo/edit?usp=share_link"",""ปราจีนบุรี!J438"")+"&amp;"IMPORTRANGE(""https://docs.google.com/spreadsheets/d/1nNHCLO8ZAXOMfQvxux7cf_hrzPAh8FAvaHq_ClKbZNo/edit?usp=share_link"",""พระนครศรีอยุธยา!J438"")+IMPORTRANGE(""https://docs.google.com/spreadsheets/d/1CdNicvf3i6yt4tJlCePe3V1Va76wYqW0QzMzTsaGRrA/edit?usp=sh"&amp;"are_link"",""เพชรบุรี!J438"")+IMPORTRANGE(""https://docs.google.com/spreadsheets/d/1XiF77UIVHV0Kjc6xbXuOuJ10WgJYxd4p_22ngKVV5oM/edit?usp=share_link"",""ระยอง!J438"")+IMPORTRANGE(""https://docs.google.com/spreadsheets/d/1qU-W_9MCQD1pgIVXGEOjCFo9QqlmJywueby"&amp;"GgaN92r8/edit?usp=share_link"",""ราชบุรี!J438"")+IMPORTRANGE(""https://docs.google.com/spreadsheets/d/1xYFIxIM_CspAP5Q-5Zx_V0T_Ut3cjryrjd2hss28vGk/edit?usp=share_link"",""ลพบุรี!J438"")+IMPORTRANGE(""https://docs.google.com/spreadsheets/d/11s9m3tKsCBdPWq6"&amp;"syhZm27eBGbKneDLZc75co106bio/edit?usp=share_link"",""สระแก้ว!J438"")+IMPORTRANGE(""https://docs.google.com/spreadsheets/d/1Nn1EvsFPtXldgpgVb3Rcng2K2cls68LFQsBh2FyW0Bg/edit?usp=share_link"",""สระบุรี!J438"")+IMPORTRANGE(""https://docs.google.com/spreadshee"&amp;"ts/d/149xufxukrnEciK3WPbNpHwUK8BKEJxp3UcBG3Al6dA4/edit?usp=share_link"",""สิงห์บุรี!J438"")+IMPORTRANGE(""https://docs.google.com/spreadsheets/d/132g-zJpz2uMKimp17uOIx8A7o3w1Z25zwJyXnwsB56c/edit?usp=share_link"",""สุพรรณบุรี!J438"")+IMPORTRANGE(""https://"&amp;"docs.google.com/spreadsheets/d/12Q_U0nVnFdxDFwa0pej9xvx8ZvLC9Dpi_vRro_aiG5g/edit?usp=share_link"",""อ่างทอง!J438"")
"),1)</f>
        <v>1</v>
      </c>
      <c r="K438" s="38">
        <f t="shared" ca="1" si="226"/>
        <v>20</v>
      </c>
      <c r="L438" s="38"/>
      <c r="M438" s="38"/>
      <c r="N438" s="38"/>
      <c r="O438" s="38"/>
      <c r="P438" s="38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20.25" customHeight="1">
      <c r="A439" s="170"/>
      <c r="B439" s="171"/>
      <c r="C439" s="171"/>
      <c r="D439" s="181" t="s">
        <v>196</v>
      </c>
      <c r="E439" s="178"/>
      <c r="F439" s="178"/>
      <c r="G439" s="179"/>
      <c r="H439" s="36" t="s">
        <v>35</v>
      </c>
      <c r="I439" s="576">
        <f ca="1">IFERROR(__xludf.DUMMYFUNCTION("IMPORTRANGE(""https://docs.google.com/spreadsheets/d/1hKO5uv94SSRZWOvrh72HRcpyoEQF9TsE_Cvxl77XNU4/edit?usp=share_link"",""กาญจนบุรี!I439"")+IMPORTRANGE(""https://docs.google.com/spreadsheets/d/1njBaP_xXd-Uotvo2D9zb01TTCFkLJLDK97Tk1l9Qux0/edit?usp=share_li"&amp;"nk"",""จันทบุรี!I439"")+IMPORTRANGE(""https://docs.google.com/spreadsheets/d/14xp6qUzrGFnUk_qnc1eEmfiaNRd4_grkhpfQH_46fa8/edit?usp=share_link"",""ฉะเชิงเทรา!I439"")+IMPORTRANGE(""https://docs.google.com/spreadsheets/d/1_Zwps30dlVa-pZFsorjVf1Pil6WXwzCsJU0U"&amp;"2whO3NI/edit?usp=share_link"",""ชลบุรี!I439"")+IMPORTRANGE(""https://docs.google.com/spreadsheets/d/1xAsT4sUbBlom7l0acStESh_15nvjZcXjZM7fK5uZSq8/edit?usp=share_link"",""ชัยนาท!I439"")+IMPORTRANGE(""https://docs.google.com/spreadsheets/d/1vWPVBOAaZ6mHSI8yf"&amp;"95DNqHwTJ1cpeFsvqt6cxV34QA/edit?usp=share_link"",""ตราด!I439"")+IMPORTRANGE(""https://docs.google.com/spreadsheets/d/1phaeSb9lTGgzDpbvVqI9hfmOQQzUom07-HEvpbARzEg/edit?usp=share_link"",""นครนายก!I439"")+IMPORTRANGE(""https://docs.google.com/spreadsheets/d/"&amp;"1tpwhWwkqkBeiSWCcfB5f2fbwPRbM9hHOEDSDHpl2MIc/edit?usp=share_link"",""นครปฐม!I439"")+IMPORTRANGE(""https://docs.google.com/spreadsheets/d/1fJJCVBkBnhriyv0Cp5ZFMr0I_yrfdEITNpb4zILJgUQ/edit?usp=share_link"",""ปทุมธานี!I439"")+IMPORTRANGE(""https://docs.googl"&amp;"e.com/spreadsheets/d/1W5Jj_S0gYw6wSO7QcMI02YgyOBDKYgmm0NSUk-AQEac/edit?usp=share_link"",""ประจวบคีรีขันธ์!I439"")+IMPORTRANGE(""https://docs.google.com/spreadsheets/d/1nYxRXgnCfTXtqUY1otYuTlnrzE0Tn-Y0YRsW5pkRVqo/edit?usp=share_link"",""ปราจีนบุรี!I439"")+"&amp;"IMPORTRANGE(""https://docs.google.com/spreadsheets/d/1nNHCLO8ZAXOMfQvxux7cf_hrzPAh8FAvaHq_ClKbZNo/edit?usp=share_link"",""พระนครศรีอยุธยา!I439"")+IMPORTRANGE(""https://docs.google.com/spreadsheets/d/1CdNicvf3i6yt4tJlCePe3V1Va76wYqW0QzMzTsaGRrA/edit?usp=sh"&amp;"are_link"",""เพชรบุรี!I439"")+IMPORTRANGE(""https://docs.google.com/spreadsheets/d/1XiF77UIVHV0Kjc6xbXuOuJ10WgJYxd4p_22ngKVV5oM/edit?usp=share_link"",""ระยอง!I439"")+IMPORTRANGE(""https://docs.google.com/spreadsheets/d/1qU-W_9MCQD1pgIVXGEOjCFo9QqlmJywueby"&amp;"GgaN92r8/edit?usp=share_link"",""ราชบุรี!I439"")+IMPORTRANGE(""https://docs.google.com/spreadsheets/d/1xYFIxIM_CspAP5Q-5Zx_V0T_Ut3cjryrjd2hss28vGk/edit?usp=share_link"",""ลพบุรี!I439"")+IMPORTRANGE(""https://docs.google.com/spreadsheets/d/11s9m3tKsCBdPWq6"&amp;"syhZm27eBGbKneDLZc75co106bio/edit?usp=share_link"",""สระแก้ว!I439"")+IMPORTRANGE(""https://docs.google.com/spreadsheets/d/1Nn1EvsFPtXldgpgVb3Rcng2K2cls68LFQsBh2FyW0Bg/edit?usp=share_link"",""สระบุรี!I439"")+IMPORTRANGE(""https://docs.google.com/spreadshee"&amp;"ts/d/149xufxukrnEciK3WPbNpHwUK8BKEJxp3UcBG3Al6dA4/edit?usp=share_link"",""สิงห์บุรี!I439"")+IMPORTRANGE(""https://docs.google.com/spreadsheets/d/132g-zJpz2uMKimp17uOIx8A7o3w1Z25zwJyXnwsB56c/edit?usp=share_link"",""สุพรรณบุรี!I439"")+IMPORTRANGE(""https://"&amp;"docs.google.com/spreadsheets/d/12Q_U0nVnFdxDFwa0pej9xvx8ZvLC9Dpi_vRro_aiG5g/edit?usp=share_link"",""อ่างทอง!I439"")
"),375)</f>
        <v>375</v>
      </c>
      <c r="J439" s="577">
        <f ca="1">IFERROR(__xludf.DUMMYFUNCTION("IMPORTRANGE(""https://docs.google.com/spreadsheets/d/1hKO5uv94SSRZWOvrh72HRcpyoEQF9TsE_Cvxl77XNU4/edit?usp=share_link"",""กาญจนบุรี!J439"")+IMPORTRANGE(""https://docs.google.com/spreadsheets/d/1njBaP_xXd-Uotvo2D9zb01TTCFkLJLDK97Tk1l9Qux0/edit?usp=share_li"&amp;"nk"",""จันทบุรี!J439"")+IMPORTRANGE(""https://docs.google.com/spreadsheets/d/14xp6qUzrGFnUk_qnc1eEmfiaNRd4_grkhpfQH_46fa8/edit?usp=share_link"",""ฉะเชิงเทรา!J439"")+IMPORTRANGE(""https://docs.google.com/spreadsheets/d/1_Zwps30dlVa-pZFsorjVf1Pil6WXwzCsJU0U"&amp;"2whO3NI/edit?usp=share_link"",""ชลบุรี!J439"")+IMPORTRANGE(""https://docs.google.com/spreadsheets/d/1xAsT4sUbBlom7l0acStESh_15nvjZcXjZM7fK5uZSq8/edit?usp=share_link"",""ชัยนาท!J439"")+IMPORTRANGE(""https://docs.google.com/spreadsheets/d/1vWPVBOAaZ6mHSI8yf"&amp;"95DNqHwTJ1cpeFsvqt6cxV34QA/edit?usp=share_link"",""ตราด!J439"")+IMPORTRANGE(""https://docs.google.com/spreadsheets/d/1phaeSb9lTGgzDpbvVqI9hfmOQQzUom07-HEvpbARzEg/edit?usp=share_link"",""นครนายก!J439"")+IMPORTRANGE(""https://docs.google.com/spreadsheets/d/"&amp;"1tpwhWwkqkBeiSWCcfB5f2fbwPRbM9hHOEDSDHpl2MIc/edit?usp=share_link"",""นครปฐม!J439"")+IMPORTRANGE(""https://docs.google.com/spreadsheets/d/1fJJCVBkBnhriyv0Cp5ZFMr0I_yrfdEITNpb4zILJgUQ/edit?usp=share_link"",""ปทุมธานี!J439"")+IMPORTRANGE(""https://docs.googl"&amp;"e.com/spreadsheets/d/1W5Jj_S0gYw6wSO7QcMI02YgyOBDKYgmm0NSUk-AQEac/edit?usp=share_link"",""ประจวบคีรีขันธ์!J439"")+IMPORTRANGE(""https://docs.google.com/spreadsheets/d/1nYxRXgnCfTXtqUY1otYuTlnrzE0Tn-Y0YRsW5pkRVqo/edit?usp=share_link"",""ปราจีนบุรี!J439"")+"&amp;"IMPORTRANGE(""https://docs.google.com/spreadsheets/d/1nNHCLO8ZAXOMfQvxux7cf_hrzPAh8FAvaHq_ClKbZNo/edit?usp=share_link"",""พระนครศรีอยุธยา!J439"")+IMPORTRANGE(""https://docs.google.com/spreadsheets/d/1CdNicvf3i6yt4tJlCePe3V1Va76wYqW0QzMzTsaGRrA/edit?usp=sh"&amp;"are_link"",""เพชรบุรี!J439"")+IMPORTRANGE(""https://docs.google.com/spreadsheets/d/1XiF77UIVHV0Kjc6xbXuOuJ10WgJYxd4p_22ngKVV5oM/edit?usp=share_link"",""ระยอง!J439"")+IMPORTRANGE(""https://docs.google.com/spreadsheets/d/1qU-W_9MCQD1pgIVXGEOjCFo9QqlmJywueby"&amp;"GgaN92r8/edit?usp=share_link"",""ราชบุรี!J439"")+IMPORTRANGE(""https://docs.google.com/spreadsheets/d/1xYFIxIM_CspAP5Q-5Zx_V0T_Ut3cjryrjd2hss28vGk/edit?usp=share_link"",""ลพบุรี!J439"")+IMPORTRANGE(""https://docs.google.com/spreadsheets/d/11s9m3tKsCBdPWq6"&amp;"syhZm27eBGbKneDLZc75co106bio/edit?usp=share_link"",""สระแก้ว!J439"")+IMPORTRANGE(""https://docs.google.com/spreadsheets/d/1Nn1EvsFPtXldgpgVb3Rcng2K2cls68LFQsBh2FyW0Bg/edit?usp=share_link"",""สระบุรี!J439"")+IMPORTRANGE(""https://docs.google.com/spreadshee"&amp;"ts/d/149xufxukrnEciK3WPbNpHwUK8BKEJxp3UcBG3Al6dA4/edit?usp=share_link"",""สิงห์บุรี!J439"")+IMPORTRANGE(""https://docs.google.com/spreadsheets/d/132g-zJpz2uMKimp17uOIx8A7o3w1Z25zwJyXnwsB56c/edit?usp=share_link"",""สุพรรณบุรี!J439"")+IMPORTRANGE(""https://"&amp;"docs.google.com/spreadsheets/d/12Q_U0nVnFdxDFwa0pej9xvx8ZvLC9Dpi_vRro_aiG5g/edit?usp=share_link"",""อ่างทอง!J439"")
"),55)</f>
        <v>55</v>
      </c>
      <c r="K439" s="496">
        <f t="shared" ca="1" si="226"/>
        <v>14.666666666666666</v>
      </c>
      <c r="L439" s="38"/>
      <c r="M439" s="38"/>
      <c r="N439" s="38"/>
      <c r="O439" s="38"/>
      <c r="P439" s="38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20.25" customHeight="1">
      <c r="A440" s="170"/>
      <c r="B440" s="171"/>
      <c r="C440" s="171"/>
      <c r="D440" s="181" t="s">
        <v>197</v>
      </c>
      <c r="E440" s="178"/>
      <c r="F440" s="178"/>
      <c r="G440" s="179"/>
      <c r="H440" s="36" t="s">
        <v>49</v>
      </c>
      <c r="I440" s="37">
        <f ca="1">IFERROR(__xludf.DUMMYFUNCTION("IMPORTRANGE(""https://docs.google.com/spreadsheets/d/1hKO5uv94SSRZWOvrh72HRcpyoEQF9TsE_Cvxl77XNU4/edit?usp=share_link"",""กาญจนบุรี!I440"")+IMPORTRANGE(""https://docs.google.com/spreadsheets/d/1njBaP_xXd-Uotvo2D9zb01TTCFkLJLDK97Tk1l9Qux0/edit?usp=share_li"&amp;"nk"",""จันทบุรี!I440"")+IMPORTRANGE(""https://docs.google.com/spreadsheets/d/14xp6qUzrGFnUk_qnc1eEmfiaNRd4_grkhpfQH_46fa8/edit?usp=share_link"",""ฉะเชิงเทรา!I440"")+IMPORTRANGE(""https://docs.google.com/spreadsheets/d/1_Zwps30dlVa-pZFsorjVf1Pil6WXwzCsJU0U"&amp;"2whO3NI/edit?usp=share_link"",""ชลบุรี!I440"")+IMPORTRANGE(""https://docs.google.com/spreadsheets/d/1xAsT4sUbBlom7l0acStESh_15nvjZcXjZM7fK5uZSq8/edit?usp=share_link"",""ชัยนาท!I440"")+IMPORTRANGE(""https://docs.google.com/spreadsheets/d/1vWPVBOAaZ6mHSI8yf"&amp;"95DNqHwTJ1cpeFsvqt6cxV34QA/edit?usp=share_link"",""ตราด!I440"")+IMPORTRANGE(""https://docs.google.com/spreadsheets/d/1phaeSb9lTGgzDpbvVqI9hfmOQQzUom07-HEvpbARzEg/edit?usp=share_link"",""นครนายก!I440"")+IMPORTRANGE(""https://docs.google.com/spreadsheets/d/"&amp;"1tpwhWwkqkBeiSWCcfB5f2fbwPRbM9hHOEDSDHpl2MIc/edit?usp=share_link"",""นครปฐม!I440"")+IMPORTRANGE(""https://docs.google.com/spreadsheets/d/1fJJCVBkBnhriyv0Cp5ZFMr0I_yrfdEITNpb4zILJgUQ/edit?usp=share_link"",""ปทุมธานี!I440"")+IMPORTRANGE(""https://docs.googl"&amp;"e.com/spreadsheets/d/1W5Jj_S0gYw6wSO7QcMI02YgyOBDKYgmm0NSUk-AQEac/edit?usp=share_link"",""ประจวบคีรีขันธ์!I440"")+IMPORTRANGE(""https://docs.google.com/spreadsheets/d/1nYxRXgnCfTXtqUY1otYuTlnrzE0Tn-Y0YRsW5pkRVqo/edit?usp=share_link"",""ปราจีนบุรี!I440"")+"&amp;"IMPORTRANGE(""https://docs.google.com/spreadsheets/d/1nNHCLO8ZAXOMfQvxux7cf_hrzPAh8FAvaHq_ClKbZNo/edit?usp=share_link"",""พระนครศรีอยุธยา!I440"")+IMPORTRANGE(""https://docs.google.com/spreadsheets/d/1CdNicvf3i6yt4tJlCePe3V1Va76wYqW0QzMzTsaGRrA/edit?usp=sh"&amp;"are_link"",""เพชรบุรี!I440"")+IMPORTRANGE(""https://docs.google.com/spreadsheets/d/1XiF77UIVHV0Kjc6xbXuOuJ10WgJYxd4p_22ngKVV5oM/edit?usp=share_link"",""ระยอง!I440"")+IMPORTRANGE(""https://docs.google.com/spreadsheets/d/1qU-W_9MCQD1pgIVXGEOjCFo9QqlmJywueby"&amp;"GgaN92r8/edit?usp=share_link"",""ราชบุรี!I440"")+IMPORTRANGE(""https://docs.google.com/spreadsheets/d/1xYFIxIM_CspAP5Q-5Zx_V0T_Ut3cjryrjd2hss28vGk/edit?usp=share_link"",""ลพบุรี!I440"")+IMPORTRANGE(""https://docs.google.com/spreadsheets/d/11s9m3tKsCBdPWq6"&amp;"syhZm27eBGbKneDLZc75co106bio/edit?usp=share_link"",""สระแก้ว!I440"")+IMPORTRANGE(""https://docs.google.com/spreadsheets/d/1Nn1EvsFPtXldgpgVb3Rcng2K2cls68LFQsBh2FyW0Bg/edit?usp=share_link"",""สระบุรี!I440"")+IMPORTRANGE(""https://docs.google.com/spreadshee"&amp;"ts/d/149xufxukrnEciK3WPbNpHwUK8BKEJxp3UcBG3Al6dA4/edit?usp=share_link"",""สิงห์บุรี!I440"")+IMPORTRANGE(""https://docs.google.com/spreadsheets/d/132g-zJpz2uMKimp17uOIx8A7o3w1Z25zwJyXnwsB56c/edit?usp=share_link"",""สุพรรณบุรี!I440"")+IMPORTRANGE(""https://"&amp;"docs.google.com/spreadsheets/d/12Q_U0nVnFdxDFwa0pej9xvx8ZvLC9Dpi_vRro_aiG5g/edit?usp=share_link"",""อ่างทอง!I440"")
"),22)</f>
        <v>22</v>
      </c>
      <c r="J440" s="183">
        <f ca="1">IFERROR(__xludf.DUMMYFUNCTION("IMPORTRANGE(""https://docs.google.com/spreadsheets/d/1hKO5uv94SSRZWOvrh72HRcpyoEQF9TsE_Cvxl77XNU4/edit?usp=share_link"",""กาญจนบุรี!J440"")+IMPORTRANGE(""https://docs.google.com/spreadsheets/d/1njBaP_xXd-Uotvo2D9zb01TTCFkLJLDK97Tk1l9Qux0/edit?usp=share_li"&amp;"nk"",""จันทบุรี!J440"")+IMPORTRANGE(""https://docs.google.com/spreadsheets/d/14xp6qUzrGFnUk_qnc1eEmfiaNRd4_grkhpfQH_46fa8/edit?usp=share_link"",""ฉะเชิงเทรา!J440"")+IMPORTRANGE(""https://docs.google.com/spreadsheets/d/1_Zwps30dlVa-pZFsorjVf1Pil6WXwzCsJU0U"&amp;"2whO3NI/edit?usp=share_link"",""ชลบุรี!J440"")+IMPORTRANGE(""https://docs.google.com/spreadsheets/d/1xAsT4sUbBlom7l0acStESh_15nvjZcXjZM7fK5uZSq8/edit?usp=share_link"",""ชัยนาท!J440"")+IMPORTRANGE(""https://docs.google.com/spreadsheets/d/1vWPVBOAaZ6mHSI8yf"&amp;"95DNqHwTJ1cpeFsvqt6cxV34QA/edit?usp=share_link"",""ตราด!J440"")+IMPORTRANGE(""https://docs.google.com/spreadsheets/d/1phaeSb9lTGgzDpbvVqI9hfmOQQzUom07-HEvpbARzEg/edit?usp=share_link"",""นครนายก!J440"")+IMPORTRANGE(""https://docs.google.com/spreadsheets/d/"&amp;"1tpwhWwkqkBeiSWCcfB5f2fbwPRbM9hHOEDSDHpl2MIc/edit?usp=share_link"",""นครปฐม!J440"")+IMPORTRANGE(""https://docs.google.com/spreadsheets/d/1fJJCVBkBnhriyv0Cp5ZFMr0I_yrfdEITNpb4zILJgUQ/edit?usp=share_link"",""ปทุมธานี!J440"")+IMPORTRANGE(""https://docs.googl"&amp;"e.com/spreadsheets/d/1W5Jj_S0gYw6wSO7QcMI02YgyOBDKYgmm0NSUk-AQEac/edit?usp=share_link"",""ประจวบคีรีขันธ์!J440"")+IMPORTRANGE(""https://docs.google.com/spreadsheets/d/1nYxRXgnCfTXtqUY1otYuTlnrzE0Tn-Y0YRsW5pkRVqo/edit?usp=share_link"",""ปราจีนบุรี!J440"")+"&amp;"IMPORTRANGE(""https://docs.google.com/spreadsheets/d/1nNHCLO8ZAXOMfQvxux7cf_hrzPAh8FAvaHq_ClKbZNo/edit?usp=share_link"",""พระนครศรีอยุธยา!J440"")+IMPORTRANGE(""https://docs.google.com/spreadsheets/d/1CdNicvf3i6yt4tJlCePe3V1Va76wYqW0QzMzTsaGRrA/edit?usp=sh"&amp;"are_link"",""เพชรบุรี!J440"")+IMPORTRANGE(""https://docs.google.com/spreadsheets/d/1XiF77UIVHV0Kjc6xbXuOuJ10WgJYxd4p_22ngKVV5oM/edit?usp=share_link"",""ระยอง!J440"")+IMPORTRANGE(""https://docs.google.com/spreadsheets/d/1qU-W_9MCQD1pgIVXGEOjCFo9QqlmJywueby"&amp;"GgaN92r8/edit?usp=share_link"",""ราชบุรี!J440"")+IMPORTRANGE(""https://docs.google.com/spreadsheets/d/1xYFIxIM_CspAP5Q-5Zx_V0T_Ut3cjryrjd2hss28vGk/edit?usp=share_link"",""ลพบุรี!J440"")+IMPORTRANGE(""https://docs.google.com/spreadsheets/d/11s9m3tKsCBdPWq6"&amp;"syhZm27eBGbKneDLZc75co106bio/edit?usp=share_link"",""สระแก้ว!J440"")+IMPORTRANGE(""https://docs.google.com/spreadsheets/d/1Nn1EvsFPtXldgpgVb3Rcng2K2cls68LFQsBh2FyW0Bg/edit?usp=share_link"",""สระบุรี!J440"")+IMPORTRANGE(""https://docs.google.com/spreadshee"&amp;"ts/d/149xufxukrnEciK3WPbNpHwUK8BKEJxp3UcBG3Al6dA4/edit?usp=share_link"",""สิงห์บุรี!J440"")+IMPORTRANGE(""https://docs.google.com/spreadsheets/d/132g-zJpz2uMKimp17uOIx8A7o3w1Z25zwJyXnwsB56c/edit?usp=share_link"",""สุพรรณบุรี!J440"")+IMPORTRANGE(""https://"&amp;"docs.google.com/spreadsheets/d/12Q_U0nVnFdxDFwa0pej9xvx8ZvLC9Dpi_vRro_aiG5g/edit?usp=share_link"",""อ่างทอง!J440"")
"),3)</f>
        <v>3</v>
      </c>
      <c r="K440" s="38">
        <f t="shared" ca="1" si="226"/>
        <v>13.636363636363637</v>
      </c>
      <c r="L440" s="38"/>
      <c r="M440" s="38"/>
      <c r="N440" s="38"/>
      <c r="O440" s="38"/>
      <c r="P440" s="38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20.25" customHeight="1">
      <c r="A441" s="170"/>
      <c r="B441" s="171"/>
      <c r="C441" s="171"/>
      <c r="D441" s="181" t="s">
        <v>198</v>
      </c>
      <c r="E441" s="178"/>
      <c r="F441" s="178"/>
      <c r="G441" s="179"/>
      <c r="H441" s="36" t="s">
        <v>35</v>
      </c>
      <c r="I441" s="37">
        <f ca="1">IFERROR(__xludf.DUMMYFUNCTION("IMPORTRANGE(""https://docs.google.com/spreadsheets/d/1hKO5uv94SSRZWOvrh72HRcpyoEQF9TsE_Cvxl77XNU4/edit?usp=share_link"",""กาญจนบุรี!I441"")+IMPORTRANGE(""https://docs.google.com/spreadsheets/d/1njBaP_xXd-Uotvo2D9zb01TTCFkLJLDK97Tk1l9Qux0/edit?usp=share_li"&amp;"nk"",""จันทบุรี!I441"")+IMPORTRANGE(""https://docs.google.com/spreadsheets/d/14xp6qUzrGFnUk_qnc1eEmfiaNRd4_grkhpfQH_46fa8/edit?usp=share_link"",""ฉะเชิงเทรา!I441"")+IMPORTRANGE(""https://docs.google.com/spreadsheets/d/1_Zwps30dlVa-pZFsorjVf1Pil6WXwzCsJU0U"&amp;"2whO3NI/edit?usp=share_link"",""ชลบุรี!I441"")+IMPORTRANGE(""https://docs.google.com/spreadsheets/d/1xAsT4sUbBlom7l0acStESh_15nvjZcXjZM7fK5uZSq8/edit?usp=share_link"",""ชัยนาท!I441"")+IMPORTRANGE(""https://docs.google.com/spreadsheets/d/1vWPVBOAaZ6mHSI8yf"&amp;"95DNqHwTJ1cpeFsvqt6cxV34QA/edit?usp=share_link"",""ตราด!I441"")+IMPORTRANGE(""https://docs.google.com/spreadsheets/d/1phaeSb9lTGgzDpbvVqI9hfmOQQzUom07-HEvpbARzEg/edit?usp=share_link"",""นครนายก!I441"")+IMPORTRANGE(""https://docs.google.com/spreadsheets/d/"&amp;"1tpwhWwkqkBeiSWCcfB5f2fbwPRbM9hHOEDSDHpl2MIc/edit?usp=share_link"",""นครปฐม!I441"")+IMPORTRANGE(""https://docs.google.com/spreadsheets/d/1fJJCVBkBnhriyv0Cp5ZFMr0I_yrfdEITNpb4zILJgUQ/edit?usp=share_link"",""ปทุมธานี!I441"")+IMPORTRANGE(""https://docs.googl"&amp;"e.com/spreadsheets/d/1W5Jj_S0gYw6wSO7QcMI02YgyOBDKYgmm0NSUk-AQEac/edit?usp=share_link"",""ประจวบคีรีขันธ์!I441"")+IMPORTRANGE(""https://docs.google.com/spreadsheets/d/1nYxRXgnCfTXtqUY1otYuTlnrzE0Tn-Y0YRsW5pkRVqo/edit?usp=share_link"",""ปราจีนบุรี!I441"")+"&amp;"IMPORTRANGE(""https://docs.google.com/spreadsheets/d/1nNHCLO8ZAXOMfQvxux7cf_hrzPAh8FAvaHq_ClKbZNo/edit?usp=share_link"",""พระนครศรีอยุธยา!I441"")+IMPORTRANGE(""https://docs.google.com/spreadsheets/d/1CdNicvf3i6yt4tJlCePe3V1Va76wYqW0QzMzTsaGRrA/edit?usp=sh"&amp;"are_link"",""เพชรบุรี!I441"")+IMPORTRANGE(""https://docs.google.com/spreadsheets/d/1XiF77UIVHV0Kjc6xbXuOuJ10WgJYxd4p_22ngKVV5oM/edit?usp=share_link"",""ระยอง!I441"")+IMPORTRANGE(""https://docs.google.com/spreadsheets/d/1qU-W_9MCQD1pgIVXGEOjCFo9QqlmJywueby"&amp;"GgaN92r8/edit?usp=share_link"",""ราชบุรี!I441"")+IMPORTRANGE(""https://docs.google.com/spreadsheets/d/1xYFIxIM_CspAP5Q-5Zx_V0T_Ut3cjryrjd2hss28vGk/edit?usp=share_link"",""ลพบุรี!I441"")+IMPORTRANGE(""https://docs.google.com/spreadsheets/d/11s9m3tKsCBdPWq6"&amp;"syhZm27eBGbKneDLZc75co106bio/edit?usp=share_link"",""สระแก้ว!I441"")+IMPORTRANGE(""https://docs.google.com/spreadsheets/d/1Nn1EvsFPtXldgpgVb3Rcng2K2cls68LFQsBh2FyW0Bg/edit?usp=share_link"",""สระบุรี!I441"")+IMPORTRANGE(""https://docs.google.com/spreadshee"&amp;"ts/d/149xufxukrnEciK3WPbNpHwUK8BKEJxp3UcBG3Al6dA4/edit?usp=share_link"",""สิงห์บุรี!I441"")+IMPORTRANGE(""https://docs.google.com/spreadsheets/d/132g-zJpz2uMKimp17uOIx8A7o3w1Z25zwJyXnwsB56c/edit?usp=share_link"",""สุพรรณบุรี!I441"")+IMPORTRANGE(""https://"&amp;"docs.google.com/spreadsheets/d/12Q_U0nVnFdxDFwa0pej9xvx8ZvLC9Dpi_vRro_aiG5g/edit?usp=share_link"",""อ่างทอง!I441"")
"),0)</f>
        <v>0</v>
      </c>
      <c r="J441" s="269">
        <v>0</v>
      </c>
      <c r="K441" s="38">
        <f t="shared" ca="1" si="226"/>
        <v>0</v>
      </c>
      <c r="L441" s="38"/>
      <c r="M441" s="38"/>
      <c r="N441" s="38"/>
      <c r="O441" s="38"/>
      <c r="P441" s="38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20.25" customHeight="1">
      <c r="A442" s="578">
        <v>2</v>
      </c>
      <c r="B442" s="579" t="s">
        <v>199</v>
      </c>
      <c r="C442" s="580"/>
      <c r="D442" s="580"/>
      <c r="E442" s="580"/>
      <c r="F442" s="580"/>
      <c r="G442" s="581"/>
      <c r="H442" s="582" t="s">
        <v>35</v>
      </c>
      <c r="I442" s="583">
        <f t="shared" ref="I442:J442" ca="1" si="227">I460</f>
        <v>330</v>
      </c>
      <c r="J442" s="583">
        <f t="shared" ca="1" si="227"/>
        <v>125</v>
      </c>
      <c r="K442" s="584">
        <f t="shared" ca="1" si="226"/>
        <v>37.878787878787875</v>
      </c>
      <c r="L442" s="585"/>
      <c r="M442" s="585"/>
      <c r="N442" s="585"/>
      <c r="O442" s="585"/>
      <c r="P442" s="585"/>
      <c r="Q442" s="571"/>
      <c r="R442" s="571"/>
      <c r="S442" s="571"/>
      <c r="T442" s="571"/>
      <c r="U442" s="571"/>
      <c r="V442" s="571"/>
      <c r="W442" s="571"/>
      <c r="X442" s="571"/>
      <c r="Y442" s="571"/>
      <c r="Z442" s="571"/>
    </row>
    <row r="443" spans="1:26" ht="20.25" customHeight="1">
      <c r="A443" s="586"/>
      <c r="B443" s="587"/>
      <c r="C443" s="588"/>
      <c r="D443" s="588"/>
      <c r="E443" s="588"/>
      <c r="F443" s="588"/>
      <c r="G443" s="589"/>
      <c r="H443" s="562" t="s">
        <v>46</v>
      </c>
      <c r="I443" s="563">
        <f t="shared" ref="I443:J443" ca="1" si="228">I462</f>
        <v>675</v>
      </c>
      <c r="J443" s="563">
        <f t="shared" ca="1" si="228"/>
        <v>265</v>
      </c>
      <c r="K443" s="564">
        <f t="shared" ca="1" si="226"/>
        <v>39.25925925925926</v>
      </c>
      <c r="L443" s="565"/>
      <c r="M443" s="565"/>
      <c r="N443" s="565"/>
      <c r="O443" s="565"/>
      <c r="P443" s="565"/>
      <c r="Q443" s="571"/>
      <c r="R443" s="571"/>
      <c r="S443" s="571"/>
      <c r="T443" s="571"/>
      <c r="U443" s="571"/>
      <c r="V443" s="571"/>
      <c r="W443" s="571"/>
      <c r="X443" s="571"/>
      <c r="Y443" s="571"/>
      <c r="Z443" s="571"/>
    </row>
    <row r="444" spans="1:26" ht="20.25" customHeight="1">
      <c r="A444" s="590"/>
      <c r="B444" s="569"/>
      <c r="C444" s="569" t="s">
        <v>16</v>
      </c>
      <c r="D444" s="863" t="s">
        <v>17</v>
      </c>
      <c r="E444" s="857"/>
      <c r="F444" s="857"/>
      <c r="G444" s="189"/>
      <c r="H444" s="591" t="s">
        <v>12</v>
      </c>
      <c r="I444" s="37"/>
      <c r="J444" s="37"/>
      <c r="K444" s="38"/>
      <c r="L444" s="195">
        <f t="shared" ref="L444:N444" ca="1" si="229">L445+L446</f>
        <v>2157420</v>
      </c>
      <c r="M444" s="195">
        <f t="shared" si="229"/>
        <v>0</v>
      </c>
      <c r="N444" s="195">
        <f t="shared" ca="1" si="229"/>
        <v>266306.67</v>
      </c>
      <c r="O444" s="195">
        <f t="shared" ref="O444:O449" ca="1" si="230">IF(L444&gt;0,N444*100/L444,0)</f>
        <v>12.343756431292933</v>
      </c>
      <c r="P444" s="195">
        <f t="shared" ref="P444:P449" si="231">IF(M444&gt;0,N444*100/M444,0)</f>
        <v>0</v>
      </c>
      <c r="Q444" s="571"/>
      <c r="R444" s="571"/>
      <c r="S444" s="571"/>
      <c r="T444" s="571"/>
      <c r="U444" s="571"/>
      <c r="V444" s="571"/>
      <c r="W444" s="571"/>
      <c r="X444" s="571"/>
      <c r="Y444" s="571"/>
      <c r="Z444" s="571"/>
    </row>
    <row r="445" spans="1:26" ht="20.25" hidden="1" customHeight="1">
      <c r="A445" s="592"/>
      <c r="B445" s="593"/>
      <c r="C445" s="593"/>
      <c r="D445" s="594"/>
      <c r="E445" s="595" t="s">
        <v>184</v>
      </c>
      <c r="F445" s="593"/>
      <c r="G445" s="596"/>
      <c r="H445" s="165" t="s">
        <v>12</v>
      </c>
      <c r="I445" s="44"/>
      <c r="J445" s="44"/>
      <c r="K445" s="45"/>
      <c r="L445" s="45">
        <f t="shared" ref="L445:N445" si="232">L448+L455</f>
        <v>0</v>
      </c>
      <c r="M445" s="45">
        <f t="shared" si="232"/>
        <v>0</v>
      </c>
      <c r="N445" s="45">
        <f t="shared" si="232"/>
        <v>0</v>
      </c>
      <c r="O445" s="45">
        <f t="shared" si="230"/>
        <v>0</v>
      </c>
      <c r="P445" s="45">
        <f t="shared" si="231"/>
        <v>0</v>
      </c>
      <c r="Q445" s="597"/>
      <c r="R445" s="597"/>
      <c r="S445" s="597"/>
      <c r="T445" s="597"/>
      <c r="U445" s="597"/>
      <c r="V445" s="597"/>
      <c r="W445" s="597"/>
      <c r="X445" s="597"/>
      <c r="Y445" s="597"/>
      <c r="Z445" s="597"/>
    </row>
    <row r="446" spans="1:26" ht="20.25" hidden="1" customHeight="1">
      <c r="A446" s="592"/>
      <c r="B446" s="598"/>
      <c r="C446" s="593"/>
      <c r="D446" s="594"/>
      <c r="E446" s="595" t="s">
        <v>185</v>
      </c>
      <c r="F446" s="593"/>
      <c r="G446" s="596"/>
      <c r="H446" s="165" t="s">
        <v>12</v>
      </c>
      <c r="I446" s="44"/>
      <c r="J446" s="44"/>
      <c r="K446" s="45"/>
      <c r="L446" s="45">
        <f t="shared" ref="L446:N446" ca="1" si="233">L449+L456</f>
        <v>2157420</v>
      </c>
      <c r="M446" s="45">
        <f t="shared" si="233"/>
        <v>0</v>
      </c>
      <c r="N446" s="45">
        <f t="shared" ca="1" si="233"/>
        <v>266306.67</v>
      </c>
      <c r="O446" s="45">
        <f t="shared" ca="1" si="230"/>
        <v>12.343756431292933</v>
      </c>
      <c r="P446" s="45">
        <f t="shared" si="231"/>
        <v>0</v>
      </c>
      <c r="Q446" s="597"/>
      <c r="R446" s="597"/>
      <c r="S446" s="597"/>
      <c r="T446" s="597"/>
      <c r="U446" s="597"/>
      <c r="V446" s="597"/>
      <c r="W446" s="597"/>
      <c r="X446" s="597"/>
      <c r="Y446" s="597"/>
      <c r="Z446" s="597"/>
    </row>
    <row r="447" spans="1:26" ht="20.25" customHeight="1">
      <c r="A447" s="590"/>
      <c r="B447" s="568"/>
      <c r="C447" s="569"/>
      <c r="D447" s="599" t="s">
        <v>20</v>
      </c>
      <c r="E447" s="569"/>
      <c r="F447" s="569"/>
      <c r="G447" s="189"/>
      <c r="H447" s="161" t="s">
        <v>12</v>
      </c>
      <c r="I447" s="162"/>
      <c r="J447" s="162"/>
      <c r="K447" s="163"/>
      <c r="L447" s="38">
        <f t="shared" ref="L447:N447" ca="1" si="234">L448+L449</f>
        <v>2157420</v>
      </c>
      <c r="M447" s="38">
        <f t="shared" si="234"/>
        <v>0</v>
      </c>
      <c r="N447" s="38">
        <f t="shared" ca="1" si="234"/>
        <v>266306.67</v>
      </c>
      <c r="O447" s="38">
        <f t="shared" ca="1" si="230"/>
        <v>12.343756431292933</v>
      </c>
      <c r="P447" s="38">
        <f t="shared" si="231"/>
        <v>0</v>
      </c>
      <c r="Q447" s="571"/>
      <c r="R447" s="571"/>
      <c r="S447" s="571"/>
      <c r="T447" s="571"/>
      <c r="U447" s="571"/>
      <c r="V447" s="571"/>
      <c r="W447" s="571"/>
      <c r="X447" s="571"/>
      <c r="Y447" s="571"/>
      <c r="Z447" s="571"/>
    </row>
    <row r="448" spans="1:26" ht="20.25" hidden="1" customHeight="1">
      <c r="A448" s="592"/>
      <c r="B448" s="598"/>
      <c r="C448" s="593"/>
      <c r="D448" s="594"/>
      <c r="E448" s="595" t="s">
        <v>184</v>
      </c>
      <c r="F448" s="593"/>
      <c r="G448" s="596"/>
      <c r="H448" s="165" t="s">
        <v>12</v>
      </c>
      <c r="I448" s="44"/>
      <c r="J448" s="44"/>
      <c r="K448" s="45"/>
      <c r="L448" s="93">
        <v>0</v>
      </c>
      <c r="M448" s="93">
        <v>0</v>
      </c>
      <c r="N448" s="93">
        <v>0</v>
      </c>
      <c r="O448" s="45">
        <f t="shared" si="230"/>
        <v>0</v>
      </c>
      <c r="P448" s="45">
        <f t="shared" si="231"/>
        <v>0</v>
      </c>
      <c r="Q448" s="597"/>
      <c r="R448" s="597"/>
      <c r="S448" s="597"/>
      <c r="T448" s="597"/>
      <c r="U448" s="597"/>
      <c r="V448" s="597"/>
      <c r="W448" s="597"/>
      <c r="X448" s="597"/>
      <c r="Y448" s="597"/>
      <c r="Z448" s="597"/>
    </row>
    <row r="449" spans="1:26" ht="20.25" hidden="1" customHeight="1">
      <c r="A449" s="592"/>
      <c r="B449" s="598"/>
      <c r="C449" s="593"/>
      <c r="D449" s="594"/>
      <c r="E449" s="595" t="s">
        <v>185</v>
      </c>
      <c r="F449" s="593"/>
      <c r="G449" s="596"/>
      <c r="H449" s="165" t="s">
        <v>12</v>
      </c>
      <c r="I449" s="44"/>
      <c r="J449" s="44"/>
      <c r="K449" s="45"/>
      <c r="L449" s="45">
        <f ca="1">IFERROR(__xludf.DUMMYFUNCTION("IMPORTRANGE(""https://docs.google.com/spreadsheets/d/1hKO5uv94SSRZWOvrh72HRcpyoEQF9TsE_Cvxl77XNU4/edit?usp=share_link"",""กาญจนบุรี!L449"")+IMPORTRANGE(""https://docs.google.com/spreadsheets/d/1njBaP_xXd-Uotvo2D9zb01TTCFkLJLDK97Tk1l9Qux0/edit?usp=share_li"&amp;"nk"",""จันทบุรี!L449"")+IMPORTRANGE(""https://docs.google.com/spreadsheets/d/14xp6qUzrGFnUk_qnc1eEmfiaNRd4_grkhpfQH_46fa8/edit?usp=share_link"",""ฉะเชิงเทรา!L449"")+IMPORTRANGE(""https://docs.google.com/spreadsheets/d/1_Zwps30dlVa-pZFsorjVf1Pil6WXwzCsJU0U"&amp;"2whO3NI/edit?usp=share_link"",""ชลบุรี!L449"")+IMPORTRANGE(""https://docs.google.com/spreadsheets/d/1xAsT4sUbBlom7l0acStESh_15nvjZcXjZM7fK5uZSq8/edit?usp=share_link"",""ชัยนาท!L449"")+IMPORTRANGE(""https://docs.google.com/spreadsheets/d/1vWPVBOAaZ6mHSI8yf"&amp;"95DNqHwTJ1cpeFsvqt6cxV34QA/edit?usp=share_link"",""ตราด!L449"")+IMPORTRANGE(""https://docs.google.com/spreadsheets/d/1phaeSb9lTGgzDpbvVqI9hfmOQQzUom07-HEvpbARzEg/edit?usp=share_link"",""นครนายก!L449"")+IMPORTRANGE(""https://docs.google.com/spreadsheets/d/"&amp;"1tpwhWwkqkBeiSWCcfB5f2fbwPRbM9hHOEDSDHpl2MIc/edit?usp=share_link"",""นครปฐม!L449"")+IMPORTRANGE(""https://docs.google.com/spreadsheets/d/1fJJCVBkBnhriyv0Cp5ZFMr0I_yrfdEITNpb4zILJgUQ/edit?usp=share_link"",""ปทุมธานี!L449"")+IMPORTRANGE(""https://docs.googl"&amp;"e.com/spreadsheets/d/1W5Jj_S0gYw6wSO7QcMI02YgyOBDKYgmm0NSUk-AQEac/edit?usp=share_link"",""ประจวบคีรีขันธ์!L449"")+IMPORTRANGE(""https://docs.google.com/spreadsheets/d/1nYxRXgnCfTXtqUY1otYuTlnrzE0Tn-Y0YRsW5pkRVqo/edit?usp=share_link"",""ปราจีนบุรี!L449"")+"&amp;"IMPORTRANGE(""https://docs.google.com/spreadsheets/d/1nNHCLO8ZAXOMfQvxux7cf_hrzPAh8FAvaHq_ClKbZNo/edit?usp=share_link"",""พระนครศรีอยุธยา!L449"")+IMPORTRANGE(""https://docs.google.com/spreadsheets/d/1CdNicvf3i6yt4tJlCePe3V1Va76wYqW0QzMzTsaGRrA/edit?usp=sh"&amp;"are_link"",""เพชรบุรี!L449"")+IMPORTRANGE(""https://docs.google.com/spreadsheets/d/1XiF77UIVHV0Kjc6xbXuOuJ10WgJYxd4p_22ngKVV5oM/edit?usp=share_link"",""ระยอง!L449"")+IMPORTRANGE(""https://docs.google.com/spreadsheets/d/1qU-W_9MCQD1pgIVXGEOjCFo9QqlmJywueby"&amp;"GgaN92r8/edit?usp=share_link"",""ราชบุรี!L449"")+IMPORTRANGE(""https://docs.google.com/spreadsheets/d/1xYFIxIM_CspAP5Q-5Zx_V0T_Ut3cjryrjd2hss28vGk/edit?usp=share_link"",""ลพบุรี!L449"")+IMPORTRANGE(""https://docs.google.com/spreadsheets/d/11s9m3tKsCBdPWq6"&amp;"syhZm27eBGbKneDLZc75co106bio/edit?usp=share_link"",""สระแก้ว!L449"")+IMPORTRANGE(""https://docs.google.com/spreadsheets/d/1Nn1EvsFPtXldgpgVb3Rcng2K2cls68LFQsBh2FyW0Bg/edit?usp=share_link"",""สระบุรี!L449"")+IMPORTRANGE(""https://docs.google.com/spreadshee"&amp;"ts/d/149xufxukrnEciK3WPbNpHwUK8BKEJxp3UcBG3Al6dA4/edit?usp=share_link"",""สิงห์บุรี!L449"")+IMPORTRANGE(""https://docs.google.com/spreadsheets/d/132g-zJpz2uMKimp17uOIx8A7o3w1Z25zwJyXnwsB56c/edit?usp=share_link"",""สุพรรณบุรี!L449"")+IMPORTRANGE(""https://"&amp;"docs.google.com/spreadsheets/d/12Q_U0nVnFdxDFwa0pej9xvx8ZvLC9Dpi_vRro_aiG5g/edit?usp=share_link"",""อ่างทอง!L449"")
"),2157420)</f>
        <v>2157420</v>
      </c>
      <c r="M449" s="93">
        <v>0</v>
      </c>
      <c r="N449" s="45">
        <f ca="1">N450+N451+N452+N453</f>
        <v>266306.67</v>
      </c>
      <c r="O449" s="45">
        <f t="shared" ca="1" si="230"/>
        <v>12.343756431292933</v>
      </c>
      <c r="P449" s="45">
        <f t="shared" si="231"/>
        <v>0</v>
      </c>
      <c r="Q449" s="597"/>
      <c r="R449" s="597"/>
      <c r="S449" s="597"/>
      <c r="T449" s="597"/>
      <c r="U449" s="597"/>
      <c r="V449" s="597"/>
      <c r="W449" s="597"/>
      <c r="X449" s="597"/>
      <c r="Y449" s="597"/>
      <c r="Z449" s="597"/>
    </row>
    <row r="450" spans="1:26" ht="20.25" customHeight="1">
      <c r="A450" s="567"/>
      <c r="B450" s="568"/>
      <c r="C450" s="569"/>
      <c r="D450" s="569"/>
      <c r="E450" s="569"/>
      <c r="F450" s="570" t="s">
        <v>186</v>
      </c>
      <c r="G450" s="189"/>
      <c r="H450" s="161" t="s">
        <v>12</v>
      </c>
      <c r="I450" s="37"/>
      <c r="J450" s="37"/>
      <c r="K450" s="38"/>
      <c r="L450" s="38"/>
      <c r="M450" s="38"/>
      <c r="N450" s="283">
        <f ca="1">IFERROR(__xludf.DUMMYFUNCTION("IMPORTRANGE(""https://docs.google.com/spreadsheets/d/1hKO5uv94SSRZWOvrh72HRcpyoEQF9TsE_Cvxl77XNU4/edit?usp=share_link"",""กาญจนบุรี!n450"")+IMPORTRANGE(""https://docs.google.com/spreadsheets/d/1njBaP_xXd-Uotvo2D9zb01TTCFkLJLDK97Tk1l9Qux0/edit?usp=share_li"&amp;"nk"",""จันทบุรี!n450"")+IMPORTRANGE(""https://docs.google.com/spreadsheets/d/14xp6qUzrGFnUk_qnc1eEmfiaNRd4_grkhpfQH_46fa8/edit?usp=share_link"",""ฉะเชิงเทรา!n450"")+IMPORTRANGE(""https://docs.google.com/spreadsheets/d/1_Zwps30dlVa-pZFsorjVf1Pil6WXwzCsJU0U"&amp;"2whO3NI/edit?usp=share_link"",""ชลบุรี!n450"")+IMPORTRANGE(""https://docs.google.com/spreadsheets/d/1xAsT4sUbBlom7l0acStESh_15nvjZcXjZM7fK5uZSq8/edit?usp=share_link"",""ชัยนาท!n450"")+IMPORTRANGE(""https://docs.google.com/spreadsheets/d/1vWPVBOAaZ6mHSI8yf"&amp;"95DNqHwTJ1cpeFsvqt6cxV34QA/edit?usp=share_link"",""ตราด!n450"")+IMPORTRANGE(""https://docs.google.com/spreadsheets/d/1phaeSb9lTGgzDpbvVqI9hfmOQQzUom07-HEvpbARzEg/edit?usp=share_link"",""นครนายก!n450"")+IMPORTRANGE(""https://docs.google.com/spreadsheets/d/"&amp;"1tpwhWwkqkBeiSWCcfB5f2fbwPRbM9hHOEDSDHpl2MIc/edit?usp=share_link"",""นครปฐม!n450"")+IMPORTRANGE(""https://docs.google.com/spreadsheets/d/1fJJCVBkBnhriyv0Cp5ZFMr0I_yrfdEITNpb4zILJgUQ/edit?usp=share_link"",""ปทุมธานี!n450"")+IMPORTRANGE(""https://docs.googl"&amp;"e.com/spreadsheets/d/1W5Jj_S0gYw6wSO7QcMI02YgyOBDKYgmm0NSUk-AQEac/edit?usp=share_link"",""ประจวบคีรีขันธ์!n450"")+IMPORTRANGE(""https://docs.google.com/spreadsheets/d/1nYxRXgnCfTXtqUY1otYuTlnrzE0Tn-Y0YRsW5pkRVqo/edit?usp=share_link"",""ปราจีนบุรี!n450"")+"&amp;"IMPORTRANGE(""https://docs.google.com/spreadsheets/d/1nNHCLO8ZAXOMfQvxux7cf_hrzPAh8FAvaHq_ClKbZNo/edit?usp=share_link"",""พระนครศรีอยุธยา!n450"")+IMPORTRANGE(""https://docs.google.com/spreadsheets/d/1CdNicvf3i6yt4tJlCePe3V1Va76wYqW0QzMzTsaGRrA/edit?usp=sh"&amp;"are_link"",""เพชรบุรี!n450"")+IMPORTRANGE(""https://docs.google.com/spreadsheets/d/1XiF77UIVHV0Kjc6xbXuOuJ10WgJYxd4p_22ngKVV5oM/edit?usp=share_link"",""ระยอง!n450"")+IMPORTRANGE(""https://docs.google.com/spreadsheets/d/1qU-W_9MCQD1pgIVXGEOjCFo9QqlmJywueby"&amp;"GgaN92r8/edit?usp=share_link"",""ราชบุรี!n450"")+IMPORTRANGE(""https://docs.google.com/spreadsheets/d/1xYFIxIM_CspAP5Q-5Zx_V0T_Ut3cjryrjd2hss28vGk/edit?usp=share_link"",""ลพบุรี!n450"")+IMPORTRANGE(""https://docs.google.com/spreadsheets/d/11s9m3tKsCBdPWq6"&amp;"syhZm27eBGbKneDLZc75co106bio/edit?usp=share_link"",""สระแก้ว!n450"")+IMPORTRANGE(""https://docs.google.com/spreadsheets/d/1Nn1EvsFPtXldgpgVb3Rcng2K2cls68LFQsBh2FyW0Bg/edit?usp=share_link"",""สระบุรี!n450"")+IMPORTRANGE(""https://docs.google.com/spreadshee"&amp;"ts/d/149xufxukrnEciK3WPbNpHwUK8BKEJxp3UcBG3Al6dA4/edit?usp=share_link"",""สิงห์บุรี!n450"")+IMPORTRANGE(""https://docs.google.com/spreadsheets/d/132g-zJpz2uMKimp17uOIx8A7o3w1Z25zwJyXnwsB56c/edit?usp=share_link"",""สุพรรณบุรี!n450"")+IMPORTRANGE(""https://"&amp;"docs.google.com/spreadsheets/d/12Q_U0nVnFdxDFwa0pej9xvx8ZvLC9Dpi_vRro_aiG5g/edit?usp=share_link"",""อ่างทอง!n450"")
"),138308)</f>
        <v>138308</v>
      </c>
      <c r="O450" s="38"/>
      <c r="P450" s="38"/>
      <c r="Q450" s="571"/>
      <c r="R450" s="571"/>
      <c r="S450" s="571"/>
      <c r="T450" s="571"/>
      <c r="U450" s="571"/>
      <c r="V450" s="571"/>
      <c r="W450" s="571"/>
      <c r="X450" s="571"/>
      <c r="Y450" s="571"/>
      <c r="Z450" s="571"/>
    </row>
    <row r="451" spans="1:26" ht="20.25" customHeight="1">
      <c r="A451" s="567"/>
      <c r="B451" s="568"/>
      <c r="C451" s="569"/>
      <c r="D451" s="569"/>
      <c r="E451" s="569"/>
      <c r="F451" s="570" t="s">
        <v>187</v>
      </c>
      <c r="G451" s="189"/>
      <c r="H451" s="161" t="s">
        <v>12</v>
      </c>
      <c r="I451" s="37"/>
      <c r="J451" s="37"/>
      <c r="K451" s="38"/>
      <c r="L451" s="38"/>
      <c r="M451" s="38"/>
      <c r="N451" s="283">
        <f ca="1">IFERROR(__xludf.DUMMYFUNCTION("IMPORTRANGE(""https://docs.google.com/spreadsheets/d/1hKO5uv94SSRZWOvrh72HRcpyoEQF9TsE_Cvxl77XNU4/edit?usp=share_link"",""กาญจนบุรี!n451"")+IMPORTRANGE(""https://docs.google.com/spreadsheets/d/1njBaP_xXd-Uotvo2D9zb01TTCFkLJLDK97Tk1l9Qux0/edit?usp=share_li"&amp;"nk"",""จันทบุรี!n451"")+IMPORTRANGE(""https://docs.google.com/spreadsheets/d/14xp6qUzrGFnUk_qnc1eEmfiaNRd4_grkhpfQH_46fa8/edit?usp=share_link"",""ฉะเชิงเทรา!n451"")+IMPORTRANGE(""https://docs.google.com/spreadsheets/d/1_Zwps30dlVa-pZFsorjVf1Pil6WXwzCsJU0U"&amp;"2whO3NI/edit?usp=share_link"",""ชลบุรี!n451"")+IMPORTRANGE(""https://docs.google.com/spreadsheets/d/1xAsT4sUbBlom7l0acStESh_15nvjZcXjZM7fK5uZSq8/edit?usp=share_link"",""ชัยนาท!n451"")+IMPORTRANGE(""https://docs.google.com/spreadsheets/d/1vWPVBOAaZ6mHSI8yf"&amp;"95DNqHwTJ1cpeFsvqt6cxV34QA/edit?usp=share_link"",""ตราด!n451"")+IMPORTRANGE(""https://docs.google.com/spreadsheets/d/1phaeSb9lTGgzDpbvVqI9hfmOQQzUom07-HEvpbARzEg/edit?usp=share_link"",""นครนายก!n451"")+IMPORTRANGE(""https://docs.google.com/spreadsheets/d/"&amp;"1tpwhWwkqkBeiSWCcfB5f2fbwPRbM9hHOEDSDHpl2MIc/edit?usp=share_link"",""นครปฐม!n451"")+IMPORTRANGE(""https://docs.google.com/spreadsheets/d/1fJJCVBkBnhriyv0Cp5ZFMr0I_yrfdEITNpb4zILJgUQ/edit?usp=share_link"",""ปทุมธานี!n451"")+IMPORTRANGE(""https://docs.googl"&amp;"e.com/spreadsheets/d/1W5Jj_S0gYw6wSO7QcMI02YgyOBDKYgmm0NSUk-AQEac/edit?usp=share_link"",""ประจวบคีรีขันธ์!n451"")+IMPORTRANGE(""https://docs.google.com/spreadsheets/d/1nYxRXgnCfTXtqUY1otYuTlnrzE0Tn-Y0YRsW5pkRVqo/edit?usp=share_link"",""ปราจีนบุรี!n451"")+"&amp;"IMPORTRANGE(""https://docs.google.com/spreadsheets/d/1nNHCLO8ZAXOMfQvxux7cf_hrzPAh8FAvaHq_ClKbZNo/edit?usp=share_link"",""พระนครศรีอยุธยา!n451"")+IMPORTRANGE(""https://docs.google.com/spreadsheets/d/1CdNicvf3i6yt4tJlCePe3V1Va76wYqW0QzMzTsaGRrA/edit?usp=sh"&amp;"are_link"",""เพชรบุรี!n451"")+IMPORTRANGE(""https://docs.google.com/spreadsheets/d/1XiF77UIVHV0Kjc6xbXuOuJ10WgJYxd4p_22ngKVV5oM/edit?usp=share_link"",""ระยอง!n451"")+IMPORTRANGE(""https://docs.google.com/spreadsheets/d/1qU-W_9MCQD1pgIVXGEOjCFo9QqlmJywueby"&amp;"GgaN92r8/edit?usp=share_link"",""ราชบุรี!n451"")+IMPORTRANGE(""https://docs.google.com/spreadsheets/d/1xYFIxIM_CspAP5Q-5Zx_V0T_Ut3cjryrjd2hss28vGk/edit?usp=share_link"",""ลพบุรี!n451"")+IMPORTRANGE(""https://docs.google.com/spreadsheets/d/11s9m3tKsCBdPWq6"&amp;"syhZm27eBGbKneDLZc75co106bio/edit?usp=share_link"",""สระแก้ว!n451"")+IMPORTRANGE(""https://docs.google.com/spreadsheets/d/1Nn1EvsFPtXldgpgVb3Rcng2K2cls68LFQsBh2FyW0Bg/edit?usp=share_link"",""สระบุรี!n451"")+IMPORTRANGE(""https://docs.google.com/spreadshee"&amp;"ts/d/149xufxukrnEciK3WPbNpHwUK8BKEJxp3UcBG3Al6dA4/edit?usp=share_link"",""สิงห์บุรี!n451"")+IMPORTRANGE(""https://docs.google.com/spreadsheets/d/132g-zJpz2uMKimp17uOIx8A7o3w1Z25zwJyXnwsB56c/edit?usp=share_link"",""สุพรรณบุรี!n451"")+IMPORTRANGE(""https://"&amp;"docs.google.com/spreadsheets/d/12Q_U0nVnFdxDFwa0pej9xvx8ZvLC9Dpi_vRro_aiG5g/edit?usp=share_link"",""อ่างทอง!n451"")
"),0)</f>
        <v>0</v>
      </c>
      <c r="O451" s="38"/>
      <c r="P451" s="38"/>
      <c r="Q451" s="571"/>
      <c r="R451" s="571"/>
      <c r="S451" s="571"/>
      <c r="T451" s="571"/>
      <c r="U451" s="571"/>
      <c r="V451" s="571"/>
      <c r="W451" s="571"/>
      <c r="X451" s="571"/>
      <c r="Y451" s="571"/>
      <c r="Z451" s="571"/>
    </row>
    <row r="452" spans="1:26" ht="20.25" customHeight="1">
      <c r="A452" s="567"/>
      <c r="B452" s="568"/>
      <c r="C452" s="568"/>
      <c r="D452" s="568"/>
      <c r="E452" s="568"/>
      <c r="F452" s="570" t="s">
        <v>188</v>
      </c>
      <c r="G452" s="189"/>
      <c r="H452" s="161" t="s">
        <v>12</v>
      </c>
      <c r="I452" s="37"/>
      <c r="J452" s="37"/>
      <c r="K452" s="38"/>
      <c r="L452" s="38"/>
      <c r="M452" s="38"/>
      <c r="N452" s="283">
        <f ca="1">IFERROR(__xludf.DUMMYFUNCTION("IMPORTRANGE(""https://docs.google.com/spreadsheets/d/1hKO5uv94SSRZWOvrh72HRcpyoEQF9TsE_Cvxl77XNU4/edit?usp=share_link"",""กาญจนบุรี!n452"")+IMPORTRANGE(""https://docs.google.com/spreadsheets/d/1njBaP_xXd-Uotvo2D9zb01TTCFkLJLDK97Tk1l9Qux0/edit?usp=share_li"&amp;"nk"",""จันทบุรี!n452"")+IMPORTRANGE(""https://docs.google.com/spreadsheets/d/14xp6qUzrGFnUk_qnc1eEmfiaNRd4_grkhpfQH_46fa8/edit?usp=share_link"",""ฉะเชิงเทรา!n452"")+IMPORTRANGE(""https://docs.google.com/spreadsheets/d/1_Zwps30dlVa-pZFsorjVf1Pil6WXwzCsJU0U"&amp;"2whO3NI/edit?usp=share_link"",""ชลบุรี!n452"")+IMPORTRANGE(""https://docs.google.com/spreadsheets/d/1xAsT4sUbBlom7l0acStESh_15nvjZcXjZM7fK5uZSq8/edit?usp=share_link"",""ชัยนาท!n452"")+IMPORTRANGE(""https://docs.google.com/spreadsheets/d/1vWPVBOAaZ6mHSI8yf"&amp;"95DNqHwTJ1cpeFsvqt6cxV34QA/edit?usp=share_link"",""ตราด!n452"")+IMPORTRANGE(""https://docs.google.com/spreadsheets/d/1phaeSb9lTGgzDpbvVqI9hfmOQQzUom07-HEvpbARzEg/edit?usp=share_link"",""นครนายก!n452"")+IMPORTRANGE(""https://docs.google.com/spreadsheets/d/"&amp;"1tpwhWwkqkBeiSWCcfB5f2fbwPRbM9hHOEDSDHpl2MIc/edit?usp=share_link"",""นครปฐม!n452"")+IMPORTRANGE(""https://docs.google.com/spreadsheets/d/1fJJCVBkBnhriyv0Cp5ZFMr0I_yrfdEITNpb4zILJgUQ/edit?usp=share_link"",""ปทุมธานี!n452"")+IMPORTRANGE(""https://docs.googl"&amp;"e.com/spreadsheets/d/1W5Jj_S0gYw6wSO7QcMI02YgyOBDKYgmm0NSUk-AQEac/edit?usp=share_link"",""ประจวบคีรีขันธ์!n452"")+IMPORTRANGE(""https://docs.google.com/spreadsheets/d/1nYxRXgnCfTXtqUY1otYuTlnrzE0Tn-Y0YRsW5pkRVqo/edit?usp=share_link"",""ปราจีนบุรี!n452"")+"&amp;"IMPORTRANGE(""https://docs.google.com/spreadsheets/d/1nNHCLO8ZAXOMfQvxux7cf_hrzPAh8FAvaHq_ClKbZNo/edit?usp=share_link"",""พระนครศรีอยุธยา!n452"")+IMPORTRANGE(""https://docs.google.com/spreadsheets/d/1CdNicvf3i6yt4tJlCePe3V1Va76wYqW0QzMzTsaGRrA/edit?usp=sh"&amp;"are_link"",""เพชรบุรี!n452"")+IMPORTRANGE(""https://docs.google.com/spreadsheets/d/1XiF77UIVHV0Kjc6xbXuOuJ10WgJYxd4p_22ngKVV5oM/edit?usp=share_link"",""ระยอง!n452"")+IMPORTRANGE(""https://docs.google.com/spreadsheets/d/1qU-W_9MCQD1pgIVXGEOjCFo9QqlmJywueby"&amp;"GgaN92r8/edit?usp=share_link"",""ราชบุรี!n452"")+IMPORTRANGE(""https://docs.google.com/spreadsheets/d/1xYFIxIM_CspAP5Q-5Zx_V0T_Ut3cjryrjd2hss28vGk/edit?usp=share_link"",""ลพบุรี!n452"")+IMPORTRANGE(""https://docs.google.com/spreadsheets/d/11s9m3tKsCBdPWq6"&amp;"syhZm27eBGbKneDLZc75co106bio/edit?usp=share_link"",""สระแก้ว!n452"")+IMPORTRANGE(""https://docs.google.com/spreadsheets/d/1Nn1EvsFPtXldgpgVb3Rcng2K2cls68LFQsBh2FyW0Bg/edit?usp=share_link"",""สระบุรี!n452"")+IMPORTRANGE(""https://docs.google.com/spreadshee"&amp;"ts/d/149xufxukrnEciK3WPbNpHwUK8BKEJxp3UcBG3Al6dA4/edit?usp=share_link"",""สิงห์บุรี!n452"")+IMPORTRANGE(""https://docs.google.com/spreadsheets/d/132g-zJpz2uMKimp17uOIx8A7o3w1Z25zwJyXnwsB56c/edit?usp=share_link"",""สุพรรณบุรี!n452"")+IMPORTRANGE(""https://"&amp;"docs.google.com/spreadsheets/d/12Q_U0nVnFdxDFwa0pej9xvx8ZvLC9Dpi_vRro_aiG5g/edit?usp=share_link"",""อ่างทอง!n452"")
"),90566.67)</f>
        <v>90566.67</v>
      </c>
      <c r="O452" s="38"/>
      <c r="P452" s="38"/>
      <c r="Q452" s="571"/>
      <c r="R452" s="571"/>
      <c r="S452" s="571"/>
      <c r="T452" s="571"/>
      <c r="U452" s="571"/>
      <c r="V452" s="571"/>
      <c r="W452" s="571"/>
      <c r="X452" s="571"/>
      <c r="Y452" s="571"/>
      <c r="Z452" s="571"/>
    </row>
    <row r="453" spans="1:26" ht="20.25" customHeight="1">
      <c r="A453" s="567"/>
      <c r="B453" s="568"/>
      <c r="C453" s="568"/>
      <c r="D453" s="568"/>
      <c r="E453" s="568"/>
      <c r="F453" s="570" t="s">
        <v>189</v>
      </c>
      <c r="G453" s="189"/>
      <c r="H453" s="161" t="s">
        <v>12</v>
      </c>
      <c r="I453" s="37"/>
      <c r="J453" s="37"/>
      <c r="K453" s="38"/>
      <c r="L453" s="38"/>
      <c r="M453" s="38"/>
      <c r="N453" s="283">
        <f ca="1">IFERROR(__xludf.DUMMYFUNCTION("IMPORTRANGE(""https://docs.google.com/spreadsheets/d/1hKO5uv94SSRZWOvrh72HRcpyoEQF9TsE_Cvxl77XNU4/edit?usp=share_link"",""กาญจนบุรี!n453"")+IMPORTRANGE(""https://docs.google.com/spreadsheets/d/1njBaP_xXd-Uotvo2D9zb01TTCFkLJLDK97Tk1l9Qux0/edit?usp=share_li"&amp;"nk"",""จันทบุรี!n453"")+IMPORTRANGE(""https://docs.google.com/spreadsheets/d/14xp6qUzrGFnUk_qnc1eEmfiaNRd4_grkhpfQH_46fa8/edit?usp=share_link"",""ฉะเชิงเทรา!n453"")+IMPORTRANGE(""https://docs.google.com/spreadsheets/d/1_Zwps30dlVa-pZFsorjVf1Pil6WXwzCsJU0U"&amp;"2whO3NI/edit?usp=share_link"",""ชลบุรี!n453"")+IMPORTRANGE(""https://docs.google.com/spreadsheets/d/1xAsT4sUbBlom7l0acStESh_15nvjZcXjZM7fK5uZSq8/edit?usp=share_link"",""ชัยนาท!n453"")+IMPORTRANGE(""https://docs.google.com/spreadsheets/d/1vWPVBOAaZ6mHSI8yf"&amp;"95DNqHwTJ1cpeFsvqt6cxV34QA/edit?usp=share_link"",""ตราด!n453"")+IMPORTRANGE(""https://docs.google.com/spreadsheets/d/1phaeSb9lTGgzDpbvVqI9hfmOQQzUom07-HEvpbARzEg/edit?usp=share_link"",""นครนายก!n453"")+IMPORTRANGE(""https://docs.google.com/spreadsheets/d/"&amp;"1tpwhWwkqkBeiSWCcfB5f2fbwPRbM9hHOEDSDHpl2MIc/edit?usp=share_link"",""นครปฐม!n453"")+IMPORTRANGE(""https://docs.google.com/spreadsheets/d/1fJJCVBkBnhriyv0Cp5ZFMr0I_yrfdEITNpb4zILJgUQ/edit?usp=share_link"",""ปทุมธานี!n453"")+IMPORTRANGE(""https://docs.googl"&amp;"e.com/spreadsheets/d/1W5Jj_S0gYw6wSO7QcMI02YgyOBDKYgmm0NSUk-AQEac/edit?usp=share_link"",""ประจวบคีรีขันธ์!n453"")+IMPORTRANGE(""https://docs.google.com/spreadsheets/d/1nYxRXgnCfTXtqUY1otYuTlnrzE0Tn-Y0YRsW5pkRVqo/edit?usp=share_link"",""ปราจีนบุรี!n453"")+"&amp;"IMPORTRANGE(""https://docs.google.com/spreadsheets/d/1nNHCLO8ZAXOMfQvxux7cf_hrzPAh8FAvaHq_ClKbZNo/edit?usp=share_link"",""พระนครศรีอยุธยา!n453"")+IMPORTRANGE(""https://docs.google.com/spreadsheets/d/1CdNicvf3i6yt4tJlCePe3V1Va76wYqW0QzMzTsaGRrA/edit?usp=sh"&amp;"are_link"",""เพชรบุรี!n453"")+IMPORTRANGE(""https://docs.google.com/spreadsheets/d/1XiF77UIVHV0Kjc6xbXuOuJ10WgJYxd4p_22ngKVV5oM/edit?usp=share_link"",""ระยอง!n453"")+IMPORTRANGE(""https://docs.google.com/spreadsheets/d/1qU-W_9MCQD1pgIVXGEOjCFo9QqlmJywueby"&amp;"GgaN92r8/edit?usp=share_link"",""ราชบุรี!n453"")+IMPORTRANGE(""https://docs.google.com/spreadsheets/d/1xYFIxIM_CspAP5Q-5Zx_V0T_Ut3cjryrjd2hss28vGk/edit?usp=share_link"",""ลพบุรี!n453"")+IMPORTRANGE(""https://docs.google.com/spreadsheets/d/11s9m3tKsCBdPWq6"&amp;"syhZm27eBGbKneDLZc75co106bio/edit?usp=share_link"",""สระแก้ว!n453"")+IMPORTRANGE(""https://docs.google.com/spreadsheets/d/1Nn1EvsFPtXldgpgVb3Rcng2K2cls68LFQsBh2FyW0Bg/edit?usp=share_link"",""สระบุรี!n453"")+IMPORTRANGE(""https://docs.google.com/spreadshee"&amp;"ts/d/149xufxukrnEciK3WPbNpHwUK8BKEJxp3UcBG3Al6dA4/edit?usp=share_link"",""สิงห์บุรี!n453"")+IMPORTRANGE(""https://docs.google.com/spreadsheets/d/132g-zJpz2uMKimp17uOIx8A7o3w1Z25zwJyXnwsB56c/edit?usp=share_link"",""สุพรรณบุรี!n453"")+IMPORTRANGE(""https://"&amp;"docs.google.com/spreadsheets/d/12Q_U0nVnFdxDFwa0pej9xvx8ZvLC9Dpi_vRro_aiG5g/edit?usp=share_link"",""อ่างทอง!n453"")
"),37432)</f>
        <v>37432</v>
      </c>
      <c r="O453" s="38"/>
      <c r="P453" s="38"/>
      <c r="Q453" s="571"/>
      <c r="R453" s="571"/>
      <c r="S453" s="571"/>
      <c r="T453" s="571"/>
      <c r="U453" s="571"/>
      <c r="V453" s="571"/>
      <c r="W453" s="571"/>
      <c r="X453" s="571"/>
      <c r="Y453" s="571"/>
      <c r="Z453" s="571"/>
    </row>
    <row r="454" spans="1:26" ht="20.25" customHeight="1">
      <c r="A454" s="590"/>
      <c r="B454" s="568"/>
      <c r="C454" s="568"/>
      <c r="D454" s="599" t="s">
        <v>21</v>
      </c>
      <c r="E454" s="568"/>
      <c r="F454" s="569"/>
      <c r="G454" s="189"/>
      <c r="H454" s="168" t="s">
        <v>12</v>
      </c>
      <c r="I454" s="162"/>
      <c r="J454" s="162"/>
      <c r="K454" s="163"/>
      <c r="L454" s="38">
        <f t="shared" ref="L454:N454" ca="1" si="235">L455+L456</f>
        <v>0</v>
      </c>
      <c r="M454" s="38">
        <f t="shared" si="235"/>
        <v>0</v>
      </c>
      <c r="N454" s="38">
        <f t="shared" si="235"/>
        <v>0</v>
      </c>
      <c r="O454" s="38">
        <f t="shared" ref="O454:O456" ca="1" si="236">IF(L454&gt;0,N454*100/L454,0)</f>
        <v>0</v>
      </c>
      <c r="P454" s="38">
        <f t="shared" ref="P454:P456" si="237">IF(M454&gt;0,N454*100/M454,0)</f>
        <v>0</v>
      </c>
      <c r="Q454" s="571"/>
      <c r="R454" s="571"/>
      <c r="S454" s="571"/>
      <c r="T454" s="571"/>
      <c r="U454" s="571"/>
      <c r="V454" s="571"/>
      <c r="W454" s="571"/>
      <c r="X454" s="571"/>
      <c r="Y454" s="571"/>
      <c r="Z454" s="571"/>
    </row>
    <row r="455" spans="1:26" ht="20.25" hidden="1" customHeight="1">
      <c r="A455" s="592"/>
      <c r="B455" s="598"/>
      <c r="C455" s="598"/>
      <c r="D455" s="598"/>
      <c r="E455" s="600" t="s">
        <v>18</v>
      </c>
      <c r="F455" s="593"/>
      <c r="G455" s="596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45">
        <f t="shared" si="236"/>
        <v>0</v>
      </c>
      <c r="P455" s="45">
        <f t="shared" si="237"/>
        <v>0</v>
      </c>
      <c r="Q455" s="597"/>
      <c r="R455" s="597"/>
      <c r="S455" s="597"/>
      <c r="T455" s="597"/>
      <c r="U455" s="597"/>
      <c r="V455" s="597"/>
      <c r="W455" s="597"/>
      <c r="X455" s="597"/>
      <c r="Y455" s="597"/>
      <c r="Z455" s="597"/>
    </row>
    <row r="456" spans="1:26" ht="20.25" hidden="1" customHeight="1">
      <c r="A456" s="592"/>
      <c r="B456" s="598"/>
      <c r="C456" s="598"/>
      <c r="D456" s="598"/>
      <c r="E456" s="600" t="s">
        <v>19</v>
      </c>
      <c r="F456" s="593"/>
      <c r="G456" s="596"/>
      <c r="H456" s="169" t="s">
        <v>12</v>
      </c>
      <c r="I456" s="166"/>
      <c r="J456" s="166"/>
      <c r="K456" s="167"/>
      <c r="L456" s="45">
        <f ca="1">IFERROR(__xludf.DUMMYFUNCTION("IMPORTRANGE(""https://docs.google.com/spreadsheets/d/1hKO5uv94SSRZWOvrh72HRcpyoEQF9TsE_Cvxl77XNU4/edit?usp=share_link"",""กาญจนบุรี!L456"")+IMPORTRANGE(""https://docs.google.com/spreadsheets/d/1njBaP_xXd-Uotvo2D9zb01TTCFkLJLDK97Tk1l9Qux0/edit?usp=share_li"&amp;"nk"",""จันทบุรี!L456"")+IMPORTRANGE(""https://docs.google.com/spreadsheets/d/14xp6qUzrGFnUk_qnc1eEmfiaNRd4_grkhpfQH_46fa8/edit?usp=share_link"",""ฉะเชิงเทรา!L456"")+IMPORTRANGE(""https://docs.google.com/spreadsheets/d/1_Zwps30dlVa-pZFsorjVf1Pil6WXwzCsJU0U"&amp;"2whO3NI/edit?usp=share_link"",""ชลบุรี!L456"")+IMPORTRANGE(""https://docs.google.com/spreadsheets/d/1xAsT4sUbBlom7l0acStESh_15nvjZcXjZM7fK5uZSq8/edit?usp=share_link"",""ชัยนาท!L456"")+IMPORTRANGE(""https://docs.google.com/spreadsheets/d/1vWPVBOAaZ6mHSI8yf"&amp;"95DNqHwTJ1cpeFsvqt6cxV34QA/edit?usp=share_link"",""ตราด!L456"")+IMPORTRANGE(""https://docs.google.com/spreadsheets/d/1phaeSb9lTGgzDpbvVqI9hfmOQQzUom07-HEvpbARzEg/edit?usp=share_link"",""นครนายก!L456"")+IMPORTRANGE(""https://docs.google.com/spreadsheets/d/"&amp;"1tpwhWwkqkBeiSWCcfB5f2fbwPRbM9hHOEDSDHpl2MIc/edit?usp=share_link"",""นครปฐม!L456"")+IMPORTRANGE(""https://docs.google.com/spreadsheets/d/1fJJCVBkBnhriyv0Cp5ZFMr0I_yrfdEITNpb4zILJgUQ/edit?usp=share_link"",""ปทุมธานี!L456"")+IMPORTRANGE(""https://docs.googl"&amp;"e.com/spreadsheets/d/1W5Jj_S0gYw6wSO7QcMI02YgyOBDKYgmm0NSUk-AQEac/edit?usp=share_link"",""ประจวบคีรีขันธ์!L456"")+IMPORTRANGE(""https://docs.google.com/spreadsheets/d/1nYxRXgnCfTXtqUY1otYuTlnrzE0Tn-Y0YRsW5pkRVqo/edit?usp=share_link"",""ปราจีนบุรี!L456"")+"&amp;"IMPORTRANGE(""https://docs.google.com/spreadsheets/d/1nNHCLO8ZAXOMfQvxux7cf_hrzPAh8FAvaHq_ClKbZNo/edit?usp=share_link"",""พระนครศรีอยุธยา!L456"")+IMPORTRANGE(""https://docs.google.com/spreadsheets/d/1CdNicvf3i6yt4tJlCePe3V1Va76wYqW0QzMzTsaGRrA/edit?usp=sh"&amp;"are_link"",""เพชรบุรี!L456"")+IMPORTRANGE(""https://docs.google.com/spreadsheets/d/1XiF77UIVHV0Kjc6xbXuOuJ10WgJYxd4p_22ngKVV5oM/edit?usp=share_link"",""ระยอง!L456"")+IMPORTRANGE(""https://docs.google.com/spreadsheets/d/1qU-W_9MCQD1pgIVXGEOjCFo9QqlmJywueby"&amp;"GgaN92r8/edit?usp=share_link"",""ราชบุรี!L456"")+IMPORTRANGE(""https://docs.google.com/spreadsheets/d/1xYFIxIM_CspAP5Q-5Zx_V0T_Ut3cjryrjd2hss28vGk/edit?usp=share_link"",""ลพบุรี!L456"")+IMPORTRANGE(""https://docs.google.com/spreadsheets/d/11s9m3tKsCBdPWq6"&amp;"syhZm27eBGbKneDLZc75co106bio/edit?usp=share_link"",""สระแก้ว!L456"")+IMPORTRANGE(""https://docs.google.com/spreadsheets/d/1Nn1EvsFPtXldgpgVb3Rcng2K2cls68LFQsBh2FyW0Bg/edit?usp=share_link"",""สระบุรี!L456"")+IMPORTRANGE(""https://docs.google.com/spreadshee"&amp;"ts/d/149xufxukrnEciK3WPbNpHwUK8BKEJxp3UcBG3Al6dA4/edit?usp=share_link"",""สิงห์บุรี!L456"")+IMPORTRANGE(""https://docs.google.com/spreadsheets/d/132g-zJpz2uMKimp17uOIx8A7o3w1Z25zwJyXnwsB56c/edit?usp=share_link"",""สุพรรณบุรี!L456"")+IMPORTRANGE(""https://"&amp;"docs.google.com/spreadsheets/d/12Q_U0nVnFdxDFwa0pej9xvx8ZvLC9Dpi_vRro_aiG5g/edit?usp=share_link"",""อ่างทอง!L456"")
"),0)</f>
        <v>0</v>
      </c>
      <c r="M456" s="93">
        <v>0</v>
      </c>
      <c r="N456" s="93">
        <v>0</v>
      </c>
      <c r="O456" s="45">
        <f t="shared" ca="1" si="236"/>
        <v>0</v>
      </c>
      <c r="P456" s="45">
        <f t="shared" si="237"/>
        <v>0</v>
      </c>
      <c r="Q456" s="597"/>
      <c r="R456" s="597"/>
      <c r="S456" s="597"/>
      <c r="T456" s="597"/>
      <c r="U456" s="597"/>
      <c r="V456" s="597"/>
      <c r="W456" s="597"/>
      <c r="X456" s="597"/>
      <c r="Y456" s="597"/>
      <c r="Z456" s="597"/>
    </row>
    <row r="457" spans="1:26" ht="20.25" customHeight="1">
      <c r="A457" s="601"/>
      <c r="B457" s="602"/>
      <c r="C457" s="568" t="s">
        <v>16</v>
      </c>
      <c r="D457" s="603" t="s">
        <v>38</v>
      </c>
      <c r="E457" s="604"/>
      <c r="F457" s="605"/>
      <c r="G457" s="606"/>
      <c r="H457" s="175"/>
      <c r="I457" s="37"/>
      <c r="J457" s="37"/>
      <c r="K457" s="38"/>
      <c r="L457" s="38"/>
      <c r="M457" s="38"/>
      <c r="N457" s="38"/>
      <c r="O457" s="38"/>
      <c r="P457" s="38"/>
      <c r="Q457" s="571"/>
      <c r="R457" s="571"/>
      <c r="S457" s="571"/>
      <c r="T457" s="571"/>
      <c r="U457" s="571"/>
      <c r="V457" s="571"/>
      <c r="W457" s="571"/>
      <c r="X457" s="571"/>
      <c r="Y457" s="571"/>
      <c r="Z457" s="571"/>
    </row>
    <row r="458" spans="1:26" ht="20.25" hidden="1" customHeight="1">
      <c r="A458" s="607"/>
      <c r="B458" s="608"/>
      <c r="C458" s="608"/>
      <c r="D458" s="609" t="s">
        <v>200</v>
      </c>
      <c r="E458" s="608"/>
      <c r="F458" s="594"/>
      <c r="G458" s="365"/>
      <c r="H458" s="369" t="s">
        <v>35</v>
      </c>
      <c r="I458" s="610">
        <v>0</v>
      </c>
      <c r="J458" s="610">
        <v>0</v>
      </c>
      <c r="K458" s="45">
        <f>IF(I458&gt;0,J458*100/I458,0)</f>
        <v>0</v>
      </c>
      <c r="L458" s="45"/>
      <c r="M458" s="45"/>
      <c r="N458" s="45"/>
      <c r="O458" s="45"/>
      <c r="P458" s="45"/>
      <c r="Q458" s="597"/>
      <c r="R458" s="597"/>
      <c r="S458" s="597"/>
      <c r="T458" s="597"/>
      <c r="U458" s="597"/>
      <c r="V458" s="597"/>
      <c r="W458" s="597"/>
      <c r="X458" s="597"/>
      <c r="Y458" s="597"/>
      <c r="Z458" s="597"/>
    </row>
    <row r="459" spans="1:26" ht="20.25" hidden="1" customHeight="1">
      <c r="A459" s="607"/>
      <c r="B459" s="608"/>
      <c r="C459" s="608"/>
      <c r="D459" s="609" t="s">
        <v>201</v>
      </c>
      <c r="E459" s="608"/>
      <c r="F459" s="594"/>
      <c r="G459" s="365"/>
      <c r="H459" s="369"/>
      <c r="I459" s="44"/>
      <c r="J459" s="44"/>
      <c r="K459" s="45"/>
      <c r="L459" s="45"/>
      <c r="M459" s="45"/>
      <c r="N459" s="45"/>
      <c r="O459" s="45"/>
      <c r="P459" s="45"/>
      <c r="Q459" s="597"/>
      <c r="R459" s="597"/>
      <c r="S459" s="597"/>
      <c r="T459" s="597"/>
      <c r="U459" s="597"/>
      <c r="V459" s="597"/>
      <c r="W459" s="597"/>
      <c r="X459" s="597"/>
      <c r="Y459" s="597"/>
      <c r="Z459" s="597"/>
    </row>
    <row r="460" spans="1:26" ht="20.25" customHeight="1">
      <c r="A460" s="601"/>
      <c r="B460" s="602"/>
      <c r="C460" s="602"/>
      <c r="D460" s="611" t="s">
        <v>202</v>
      </c>
      <c r="E460" s="602"/>
      <c r="F460" s="612"/>
      <c r="G460" s="175"/>
      <c r="H460" s="182" t="s">
        <v>35</v>
      </c>
      <c r="I460" s="37">
        <f ca="1">IFERROR(__xludf.DUMMYFUNCTION("IMPORTRANGE(""https://docs.google.com/spreadsheets/d/1hKO5uv94SSRZWOvrh72HRcpyoEQF9TsE_Cvxl77XNU4/edit?usp=share_link"",""กาญจนบุรี!I460"")+IMPORTRANGE(""https://docs.google.com/spreadsheets/d/1njBaP_xXd-Uotvo2D9zb01TTCFkLJLDK97Tk1l9Qux0/edit?usp=share_li"&amp;"nk"",""จันทบุรี!I460"")+IMPORTRANGE(""https://docs.google.com/spreadsheets/d/14xp6qUzrGFnUk_qnc1eEmfiaNRd4_grkhpfQH_46fa8/edit?usp=share_link"",""ฉะเชิงเทรา!I460"")+IMPORTRANGE(""https://docs.google.com/spreadsheets/d/1_Zwps30dlVa-pZFsorjVf1Pil6WXwzCsJU0U"&amp;"2whO3NI/edit?usp=share_link"",""ชลบุรี!I460"")+IMPORTRANGE(""https://docs.google.com/spreadsheets/d/1xAsT4sUbBlom7l0acStESh_15nvjZcXjZM7fK5uZSq8/edit?usp=share_link"",""ชัยนาท!I460"")+IMPORTRANGE(""https://docs.google.com/spreadsheets/d/1vWPVBOAaZ6mHSI8yf"&amp;"95DNqHwTJ1cpeFsvqt6cxV34QA/edit?usp=share_link"",""ตราด!I460"")+IMPORTRANGE(""https://docs.google.com/spreadsheets/d/1phaeSb9lTGgzDpbvVqI9hfmOQQzUom07-HEvpbARzEg/edit?usp=share_link"",""นครนายก!I460"")+IMPORTRANGE(""https://docs.google.com/spreadsheets/d/"&amp;"1tpwhWwkqkBeiSWCcfB5f2fbwPRbM9hHOEDSDHpl2MIc/edit?usp=share_link"",""นครปฐม!I460"")+IMPORTRANGE(""https://docs.google.com/spreadsheets/d/1fJJCVBkBnhriyv0Cp5ZFMr0I_yrfdEITNpb4zILJgUQ/edit?usp=share_link"",""ปทุมธานี!I460"")+IMPORTRANGE(""https://docs.googl"&amp;"e.com/spreadsheets/d/1W5Jj_S0gYw6wSO7QcMI02YgyOBDKYgmm0NSUk-AQEac/edit?usp=share_link"",""ประจวบคีรีขันธ์!I460"")+IMPORTRANGE(""https://docs.google.com/spreadsheets/d/1nYxRXgnCfTXtqUY1otYuTlnrzE0Tn-Y0YRsW5pkRVqo/edit?usp=share_link"",""ปราจีนบุรี!I460"")+"&amp;"IMPORTRANGE(""https://docs.google.com/spreadsheets/d/1nNHCLO8ZAXOMfQvxux7cf_hrzPAh8FAvaHq_ClKbZNo/edit?usp=share_link"",""พระนครศรีอยุธยา!I460"")+IMPORTRANGE(""https://docs.google.com/spreadsheets/d/1CdNicvf3i6yt4tJlCePe3V1Va76wYqW0QzMzTsaGRrA/edit?usp=sh"&amp;"are_link"",""เพชรบุรี!I460"")+IMPORTRANGE(""https://docs.google.com/spreadsheets/d/1XiF77UIVHV0Kjc6xbXuOuJ10WgJYxd4p_22ngKVV5oM/edit?usp=share_link"",""ระยอง!I460"")+IMPORTRANGE(""https://docs.google.com/spreadsheets/d/1qU-W_9MCQD1pgIVXGEOjCFo9QqlmJywueby"&amp;"GgaN92r8/edit?usp=share_link"",""ราชบุรี!I460"")+IMPORTRANGE(""https://docs.google.com/spreadsheets/d/1xYFIxIM_CspAP5Q-5Zx_V0T_Ut3cjryrjd2hss28vGk/edit?usp=share_link"",""ลพบุรี!I460"")+IMPORTRANGE(""https://docs.google.com/spreadsheets/d/11s9m3tKsCBdPWq6"&amp;"syhZm27eBGbKneDLZc75co106bio/edit?usp=share_link"",""สระแก้ว!I460"")+IMPORTRANGE(""https://docs.google.com/spreadsheets/d/1Nn1EvsFPtXldgpgVb3Rcng2K2cls68LFQsBh2FyW0Bg/edit?usp=share_link"",""สระบุรี!I460"")+IMPORTRANGE(""https://docs.google.com/spreadshee"&amp;"ts/d/149xufxukrnEciK3WPbNpHwUK8BKEJxp3UcBG3Al6dA4/edit?usp=share_link"",""สิงห์บุรี!I460"")+IMPORTRANGE(""https://docs.google.com/spreadsheets/d/132g-zJpz2uMKimp17uOIx8A7o3w1Z25zwJyXnwsB56c/edit?usp=share_link"",""สุพรรณบุรี!I460"")+IMPORTRANGE(""https://"&amp;"docs.google.com/spreadsheets/d/12Q_U0nVnFdxDFwa0pej9xvx8ZvLC9Dpi_vRro_aiG5g/edit?usp=share_link"",""อ่างทอง!I460"")
"),330)</f>
        <v>330</v>
      </c>
      <c r="J460" s="183">
        <f ca="1">IFERROR(__xludf.DUMMYFUNCTION("IMPORTRANGE(""https://docs.google.com/spreadsheets/d/1hKO5uv94SSRZWOvrh72HRcpyoEQF9TsE_Cvxl77XNU4/edit?usp=share_link"",""กาญจนบุรี!J460"")+IMPORTRANGE(""https://docs.google.com/spreadsheets/d/1njBaP_xXd-Uotvo2D9zb01TTCFkLJLDK97Tk1l9Qux0/edit?usp=share_li"&amp;"nk"",""จันทบุรี!J460"")+IMPORTRANGE(""https://docs.google.com/spreadsheets/d/14xp6qUzrGFnUk_qnc1eEmfiaNRd4_grkhpfQH_46fa8/edit?usp=share_link"",""ฉะเชิงเทรา!J460"")+IMPORTRANGE(""https://docs.google.com/spreadsheets/d/1_Zwps30dlVa-pZFsorjVf1Pil6WXwzCsJU0U"&amp;"2whO3NI/edit?usp=share_link"",""ชลบุรี!J460"")+IMPORTRANGE(""https://docs.google.com/spreadsheets/d/1xAsT4sUbBlom7l0acStESh_15nvjZcXjZM7fK5uZSq8/edit?usp=share_link"",""ชัยนาท!J460"")+IMPORTRANGE(""https://docs.google.com/spreadsheets/d/1vWPVBOAaZ6mHSI8yf"&amp;"95DNqHwTJ1cpeFsvqt6cxV34QA/edit?usp=share_link"",""ตราด!J460"")+IMPORTRANGE(""https://docs.google.com/spreadsheets/d/1phaeSb9lTGgzDpbvVqI9hfmOQQzUom07-HEvpbARzEg/edit?usp=share_link"",""นครนายก!J460"")+IMPORTRANGE(""https://docs.google.com/spreadsheets/d/"&amp;"1tpwhWwkqkBeiSWCcfB5f2fbwPRbM9hHOEDSDHpl2MIc/edit?usp=share_link"",""นครปฐม!J460"")+IMPORTRANGE(""https://docs.google.com/spreadsheets/d/1fJJCVBkBnhriyv0Cp5ZFMr0I_yrfdEITNpb4zILJgUQ/edit?usp=share_link"",""ปทุมธานี!J460"")+IMPORTRANGE(""https://docs.googl"&amp;"e.com/spreadsheets/d/1W5Jj_S0gYw6wSO7QcMI02YgyOBDKYgmm0NSUk-AQEac/edit?usp=share_link"",""ประจวบคีรีขันธ์!J460"")+IMPORTRANGE(""https://docs.google.com/spreadsheets/d/1nYxRXgnCfTXtqUY1otYuTlnrzE0Tn-Y0YRsW5pkRVqo/edit?usp=share_link"",""ปราจีนบุรี!J460"")+"&amp;"IMPORTRANGE(""https://docs.google.com/spreadsheets/d/1nNHCLO8ZAXOMfQvxux7cf_hrzPAh8FAvaHq_ClKbZNo/edit?usp=share_link"",""พระนครศรีอยุธยา!J460"")+IMPORTRANGE(""https://docs.google.com/spreadsheets/d/1CdNicvf3i6yt4tJlCePe3V1Va76wYqW0QzMzTsaGRrA/edit?usp=sh"&amp;"are_link"",""เพชรบุรี!J460"")+IMPORTRANGE(""https://docs.google.com/spreadsheets/d/1XiF77UIVHV0Kjc6xbXuOuJ10WgJYxd4p_22ngKVV5oM/edit?usp=share_link"",""ระยอง!J460"")+IMPORTRANGE(""https://docs.google.com/spreadsheets/d/1qU-W_9MCQD1pgIVXGEOjCFo9QqlmJywueby"&amp;"GgaN92r8/edit?usp=share_link"",""ราชบุรี!J460"")+IMPORTRANGE(""https://docs.google.com/spreadsheets/d/1xYFIxIM_CspAP5Q-5Zx_V0T_Ut3cjryrjd2hss28vGk/edit?usp=share_link"",""ลพบุรี!J460"")+IMPORTRANGE(""https://docs.google.com/spreadsheets/d/11s9m3tKsCBdPWq6"&amp;"syhZm27eBGbKneDLZc75co106bio/edit?usp=share_link"",""สระแก้ว!J460"")+IMPORTRANGE(""https://docs.google.com/spreadsheets/d/1Nn1EvsFPtXldgpgVb3Rcng2K2cls68LFQsBh2FyW0Bg/edit?usp=share_link"",""สระบุรี!J460"")+IMPORTRANGE(""https://docs.google.com/spreadshee"&amp;"ts/d/149xufxukrnEciK3WPbNpHwUK8BKEJxp3UcBG3Al6dA4/edit?usp=share_link"",""สิงห์บุรี!J460"")+IMPORTRANGE(""https://docs.google.com/spreadsheets/d/132g-zJpz2uMKimp17uOIx8A7o3w1Z25zwJyXnwsB56c/edit?usp=share_link"",""สุพรรณบุรี!J460"")+IMPORTRANGE(""https://"&amp;"docs.google.com/spreadsheets/d/12Q_U0nVnFdxDFwa0pej9xvx8ZvLC9Dpi_vRro_aiG5g/edit?usp=share_link"",""อ่างทอง!J460"")
"),125)</f>
        <v>125</v>
      </c>
      <c r="K460" s="38">
        <f ca="1">IF(I460&gt;0,J460*100/I460,0)</f>
        <v>37.878787878787875</v>
      </c>
      <c r="L460" s="38"/>
      <c r="M460" s="38"/>
      <c r="N460" s="38"/>
      <c r="O460" s="38"/>
      <c r="P460" s="38"/>
      <c r="Q460" s="571"/>
      <c r="R460" s="571"/>
      <c r="S460" s="571"/>
      <c r="T460" s="571"/>
      <c r="U460" s="571"/>
      <c r="V460" s="571"/>
      <c r="W460" s="571"/>
      <c r="X460" s="571"/>
      <c r="Y460" s="571"/>
      <c r="Z460" s="571"/>
    </row>
    <row r="461" spans="1:26" ht="20.25" customHeight="1">
      <c r="A461" s="601"/>
      <c r="B461" s="602"/>
      <c r="C461" s="602"/>
      <c r="D461" s="611" t="s">
        <v>203</v>
      </c>
      <c r="E461" s="612"/>
      <c r="F461" s="612"/>
      <c r="G461" s="175"/>
      <c r="H461" s="182"/>
      <c r="I461" s="37"/>
      <c r="J461" s="37"/>
      <c r="K461" s="38"/>
      <c r="L461" s="38"/>
      <c r="M461" s="38"/>
      <c r="N461" s="38"/>
      <c r="O461" s="38"/>
      <c r="P461" s="38"/>
      <c r="Q461" s="571"/>
      <c r="R461" s="571"/>
      <c r="S461" s="571"/>
      <c r="T461" s="571"/>
      <c r="U461" s="571"/>
      <c r="V461" s="571"/>
      <c r="W461" s="571"/>
      <c r="X461" s="571"/>
      <c r="Y461" s="571"/>
      <c r="Z461" s="571"/>
    </row>
    <row r="462" spans="1:26" ht="20.25" customHeight="1">
      <c r="A462" s="601"/>
      <c r="B462" s="602"/>
      <c r="C462" s="602"/>
      <c r="D462" s="611" t="s">
        <v>204</v>
      </c>
      <c r="E462" s="612"/>
      <c r="F462" s="612"/>
      <c r="G462" s="175"/>
      <c r="H462" s="182" t="s">
        <v>46</v>
      </c>
      <c r="I462" s="37">
        <f ca="1">IFERROR(__xludf.DUMMYFUNCTION("IMPORTRANGE(""https://docs.google.com/spreadsheets/d/1hKO5uv94SSRZWOvrh72HRcpyoEQF9TsE_Cvxl77XNU4/edit?usp=share_link"",""กาญจนบุรี!I462"")+IMPORTRANGE(""https://docs.google.com/spreadsheets/d/1njBaP_xXd-Uotvo2D9zb01TTCFkLJLDK97Tk1l9Qux0/edit?usp=share_li"&amp;"nk"",""จันทบุรี!I462"")+IMPORTRANGE(""https://docs.google.com/spreadsheets/d/14xp6qUzrGFnUk_qnc1eEmfiaNRd4_grkhpfQH_46fa8/edit?usp=share_link"",""ฉะเชิงเทรา!I462"")+IMPORTRANGE(""https://docs.google.com/spreadsheets/d/1_Zwps30dlVa-pZFsorjVf1Pil6WXwzCsJU0U"&amp;"2whO3NI/edit?usp=share_link"",""ชลบุรี!I462"")+IMPORTRANGE(""https://docs.google.com/spreadsheets/d/1xAsT4sUbBlom7l0acStESh_15nvjZcXjZM7fK5uZSq8/edit?usp=share_link"",""ชัยนาท!I462"")+IMPORTRANGE(""https://docs.google.com/spreadsheets/d/1vWPVBOAaZ6mHSI8yf"&amp;"95DNqHwTJ1cpeFsvqt6cxV34QA/edit?usp=share_link"",""ตราด!I462"")+IMPORTRANGE(""https://docs.google.com/spreadsheets/d/1phaeSb9lTGgzDpbvVqI9hfmOQQzUom07-HEvpbARzEg/edit?usp=share_link"",""นครนายก!I462"")+IMPORTRANGE(""https://docs.google.com/spreadsheets/d/"&amp;"1tpwhWwkqkBeiSWCcfB5f2fbwPRbM9hHOEDSDHpl2MIc/edit?usp=share_link"",""นครปฐม!I462"")+IMPORTRANGE(""https://docs.google.com/spreadsheets/d/1fJJCVBkBnhriyv0Cp5ZFMr0I_yrfdEITNpb4zILJgUQ/edit?usp=share_link"",""ปทุมธานี!I462"")+IMPORTRANGE(""https://docs.googl"&amp;"e.com/spreadsheets/d/1W5Jj_S0gYw6wSO7QcMI02YgyOBDKYgmm0NSUk-AQEac/edit?usp=share_link"",""ประจวบคีรีขันธ์!I462"")+IMPORTRANGE(""https://docs.google.com/spreadsheets/d/1nYxRXgnCfTXtqUY1otYuTlnrzE0Tn-Y0YRsW5pkRVqo/edit?usp=share_link"",""ปราจีนบุรี!I462"")+"&amp;"IMPORTRANGE(""https://docs.google.com/spreadsheets/d/1nNHCLO8ZAXOMfQvxux7cf_hrzPAh8FAvaHq_ClKbZNo/edit?usp=share_link"",""พระนครศรีอยุธยา!I462"")+IMPORTRANGE(""https://docs.google.com/spreadsheets/d/1CdNicvf3i6yt4tJlCePe3V1Va76wYqW0QzMzTsaGRrA/edit?usp=sh"&amp;"are_link"",""เพชรบุรี!I462"")+IMPORTRANGE(""https://docs.google.com/spreadsheets/d/1XiF77UIVHV0Kjc6xbXuOuJ10WgJYxd4p_22ngKVV5oM/edit?usp=share_link"",""ระยอง!I462"")+IMPORTRANGE(""https://docs.google.com/spreadsheets/d/1qU-W_9MCQD1pgIVXGEOjCFo9QqlmJywueby"&amp;"GgaN92r8/edit?usp=share_link"",""ราชบุรี!I462"")+IMPORTRANGE(""https://docs.google.com/spreadsheets/d/1xYFIxIM_CspAP5Q-5Zx_V0T_Ut3cjryrjd2hss28vGk/edit?usp=share_link"",""ลพบุรี!I462"")+IMPORTRANGE(""https://docs.google.com/spreadsheets/d/11s9m3tKsCBdPWq6"&amp;"syhZm27eBGbKneDLZc75co106bio/edit?usp=share_link"",""สระแก้ว!I462"")+IMPORTRANGE(""https://docs.google.com/spreadsheets/d/1Nn1EvsFPtXldgpgVb3Rcng2K2cls68LFQsBh2FyW0Bg/edit?usp=share_link"",""สระบุรี!I462"")+IMPORTRANGE(""https://docs.google.com/spreadshee"&amp;"ts/d/149xufxukrnEciK3WPbNpHwUK8BKEJxp3UcBG3Al6dA4/edit?usp=share_link"",""สิงห์บุรี!I462"")+IMPORTRANGE(""https://docs.google.com/spreadsheets/d/132g-zJpz2uMKimp17uOIx8A7o3w1Z25zwJyXnwsB56c/edit?usp=share_link"",""สุพรรณบุรี!I462"")+IMPORTRANGE(""https://"&amp;"docs.google.com/spreadsheets/d/12Q_U0nVnFdxDFwa0pej9xvx8ZvLC9Dpi_vRro_aiG5g/edit?usp=share_link"",""อ่างทอง!I462"")
"),675)</f>
        <v>675</v>
      </c>
      <c r="J462" s="183">
        <f ca="1">IFERROR(__xludf.DUMMYFUNCTION("IMPORTRANGE(""https://docs.google.com/spreadsheets/d/1hKO5uv94SSRZWOvrh72HRcpyoEQF9TsE_Cvxl77XNU4/edit?usp=share_link"",""กาญจนบุรี!J462"")+IMPORTRANGE(""https://docs.google.com/spreadsheets/d/1njBaP_xXd-Uotvo2D9zb01TTCFkLJLDK97Tk1l9Qux0/edit?usp=share_li"&amp;"nk"",""จันทบุรี!J462"")+IMPORTRANGE(""https://docs.google.com/spreadsheets/d/14xp6qUzrGFnUk_qnc1eEmfiaNRd4_grkhpfQH_46fa8/edit?usp=share_link"",""ฉะเชิงเทรา!J462"")+IMPORTRANGE(""https://docs.google.com/spreadsheets/d/1_Zwps30dlVa-pZFsorjVf1Pil6WXwzCsJU0U"&amp;"2whO3NI/edit?usp=share_link"",""ชลบุรี!J462"")+IMPORTRANGE(""https://docs.google.com/spreadsheets/d/1xAsT4sUbBlom7l0acStESh_15nvjZcXjZM7fK5uZSq8/edit?usp=share_link"",""ชัยนาท!J462"")+IMPORTRANGE(""https://docs.google.com/spreadsheets/d/1vWPVBOAaZ6mHSI8yf"&amp;"95DNqHwTJ1cpeFsvqt6cxV34QA/edit?usp=share_link"",""ตราด!J462"")+IMPORTRANGE(""https://docs.google.com/spreadsheets/d/1phaeSb9lTGgzDpbvVqI9hfmOQQzUom07-HEvpbARzEg/edit?usp=share_link"",""นครนายก!J462"")+IMPORTRANGE(""https://docs.google.com/spreadsheets/d/"&amp;"1tpwhWwkqkBeiSWCcfB5f2fbwPRbM9hHOEDSDHpl2MIc/edit?usp=share_link"",""นครปฐม!J462"")+IMPORTRANGE(""https://docs.google.com/spreadsheets/d/1fJJCVBkBnhriyv0Cp5ZFMr0I_yrfdEITNpb4zILJgUQ/edit?usp=share_link"",""ปทุมธานี!J462"")+IMPORTRANGE(""https://docs.googl"&amp;"e.com/spreadsheets/d/1W5Jj_S0gYw6wSO7QcMI02YgyOBDKYgmm0NSUk-AQEac/edit?usp=share_link"",""ประจวบคีรีขันธ์!J462"")+IMPORTRANGE(""https://docs.google.com/spreadsheets/d/1nYxRXgnCfTXtqUY1otYuTlnrzE0Tn-Y0YRsW5pkRVqo/edit?usp=share_link"",""ปราจีนบุรี!J462"")+"&amp;"IMPORTRANGE(""https://docs.google.com/spreadsheets/d/1nNHCLO8ZAXOMfQvxux7cf_hrzPAh8FAvaHq_ClKbZNo/edit?usp=share_link"",""พระนครศรีอยุธยา!J462"")+IMPORTRANGE(""https://docs.google.com/spreadsheets/d/1CdNicvf3i6yt4tJlCePe3V1Va76wYqW0QzMzTsaGRrA/edit?usp=sh"&amp;"are_link"",""เพชรบุรี!J462"")+IMPORTRANGE(""https://docs.google.com/spreadsheets/d/1XiF77UIVHV0Kjc6xbXuOuJ10WgJYxd4p_22ngKVV5oM/edit?usp=share_link"",""ระยอง!J462"")+IMPORTRANGE(""https://docs.google.com/spreadsheets/d/1qU-W_9MCQD1pgIVXGEOjCFo9QqlmJywueby"&amp;"GgaN92r8/edit?usp=share_link"",""ราชบุรี!J462"")+IMPORTRANGE(""https://docs.google.com/spreadsheets/d/1xYFIxIM_CspAP5Q-5Zx_V0T_Ut3cjryrjd2hss28vGk/edit?usp=share_link"",""ลพบุรี!J462"")+IMPORTRANGE(""https://docs.google.com/spreadsheets/d/11s9m3tKsCBdPWq6"&amp;"syhZm27eBGbKneDLZc75co106bio/edit?usp=share_link"",""สระแก้ว!J462"")+IMPORTRANGE(""https://docs.google.com/spreadsheets/d/1Nn1EvsFPtXldgpgVb3Rcng2K2cls68LFQsBh2FyW0Bg/edit?usp=share_link"",""สระบุรี!J462"")+IMPORTRANGE(""https://docs.google.com/spreadshee"&amp;"ts/d/149xufxukrnEciK3WPbNpHwUK8BKEJxp3UcBG3Al6dA4/edit?usp=share_link"",""สิงห์บุรี!J462"")+IMPORTRANGE(""https://docs.google.com/spreadsheets/d/132g-zJpz2uMKimp17uOIx8A7o3w1Z25zwJyXnwsB56c/edit?usp=share_link"",""สุพรรณบุรี!J462"")+IMPORTRANGE(""https://"&amp;"docs.google.com/spreadsheets/d/12Q_U0nVnFdxDFwa0pej9xvx8ZvLC9Dpi_vRro_aiG5g/edit?usp=share_link"",""อ่างทอง!J462"")
"),265)</f>
        <v>265</v>
      </c>
      <c r="K462" s="38">
        <f ca="1">IF(I462&gt;0,J462*100/I462,0)</f>
        <v>39.25925925925926</v>
      </c>
      <c r="L462" s="38"/>
      <c r="M462" s="38"/>
      <c r="N462" s="38"/>
      <c r="O462" s="38"/>
      <c r="P462" s="38"/>
      <c r="Q462" s="571"/>
      <c r="R462" s="571"/>
      <c r="S462" s="571"/>
      <c r="T462" s="571"/>
      <c r="U462" s="571"/>
      <c r="V462" s="571"/>
      <c r="W462" s="571"/>
      <c r="X462" s="571"/>
      <c r="Y462" s="571"/>
      <c r="Z462" s="571"/>
    </row>
    <row r="463" spans="1:26" ht="20.25" customHeight="1">
      <c r="A463" s="601"/>
      <c r="B463" s="602"/>
      <c r="C463" s="602"/>
      <c r="D463" s="611" t="s">
        <v>59</v>
      </c>
      <c r="E463" s="612"/>
      <c r="F463" s="569"/>
      <c r="G463" s="189"/>
      <c r="H463" s="182" t="s">
        <v>46</v>
      </c>
      <c r="I463" s="269">
        <f ca="1">IFERROR(__xludf.DUMMYFUNCTION("IMPORTRANGE(""https://docs.google.com/spreadsheets/d/1hKO5uv94SSRZWOvrh72HRcpyoEQF9TsE_Cvxl77XNU4/edit?usp=share_link"",""กาญจนบุรี!I463"")+IMPORTRANGE(""https://docs.google.com/spreadsheets/d/1njBaP_xXd-Uotvo2D9zb01TTCFkLJLDK97Tk1l9Qux0/edit?usp=share_li"&amp;"nk"",""จันทบุรี!I463"")+IMPORTRANGE(""https://docs.google.com/spreadsheets/d/14xp6qUzrGFnUk_qnc1eEmfiaNRd4_grkhpfQH_46fa8/edit?usp=share_link"",""ฉะเชิงเทรา!I463"")+IMPORTRANGE(""https://docs.google.com/spreadsheets/d/1_Zwps30dlVa-pZFsorjVf1Pil6WXwzCsJU0U"&amp;"2whO3NI/edit?usp=share_link"",""ชลบุรี!I463"")+IMPORTRANGE(""https://docs.google.com/spreadsheets/d/1xAsT4sUbBlom7l0acStESh_15nvjZcXjZM7fK5uZSq8/edit?usp=share_link"",""ชัยนาท!I463"")+IMPORTRANGE(""https://docs.google.com/spreadsheets/d/1vWPVBOAaZ6mHSI8yf"&amp;"95DNqHwTJ1cpeFsvqt6cxV34QA/edit?usp=share_link"",""ตราด!I463"")+IMPORTRANGE(""https://docs.google.com/spreadsheets/d/1phaeSb9lTGgzDpbvVqI9hfmOQQzUom07-HEvpbARzEg/edit?usp=share_link"",""นครนายก!I463"")+IMPORTRANGE(""https://docs.google.com/spreadsheets/d/"&amp;"1tpwhWwkqkBeiSWCcfB5f2fbwPRbM9hHOEDSDHpl2MIc/edit?usp=share_link"",""นครปฐม!I463"")+IMPORTRANGE(""https://docs.google.com/spreadsheets/d/1fJJCVBkBnhriyv0Cp5ZFMr0I_yrfdEITNpb4zILJgUQ/edit?usp=share_link"",""ปทุมธานี!I463"")+IMPORTRANGE(""https://docs.googl"&amp;"e.com/spreadsheets/d/1W5Jj_S0gYw6wSO7QcMI02YgyOBDKYgmm0NSUk-AQEac/edit?usp=share_link"",""ประจวบคีรีขันธ์!I463"")+IMPORTRANGE(""https://docs.google.com/spreadsheets/d/1nYxRXgnCfTXtqUY1otYuTlnrzE0Tn-Y0YRsW5pkRVqo/edit?usp=share_link"",""ปราจีนบุรี!I463"")+"&amp;"IMPORTRANGE(""https://docs.google.com/spreadsheets/d/1nNHCLO8ZAXOMfQvxux7cf_hrzPAh8FAvaHq_ClKbZNo/edit?usp=share_link"",""พระนครศรีอยุธยา!I463"")+IMPORTRANGE(""https://docs.google.com/spreadsheets/d/1CdNicvf3i6yt4tJlCePe3V1Va76wYqW0QzMzTsaGRrA/edit?usp=sh"&amp;"are_link"",""เพชรบุรี!I463"")+IMPORTRANGE(""https://docs.google.com/spreadsheets/d/1XiF77UIVHV0Kjc6xbXuOuJ10WgJYxd4p_22ngKVV5oM/edit?usp=share_link"",""ระยอง!I463"")+IMPORTRANGE(""https://docs.google.com/spreadsheets/d/1qU-W_9MCQD1pgIVXGEOjCFo9QqlmJywueby"&amp;"GgaN92r8/edit?usp=share_link"",""ราชบุรี!I463"")+IMPORTRANGE(""https://docs.google.com/spreadsheets/d/1xYFIxIM_CspAP5Q-5Zx_V0T_Ut3cjryrjd2hss28vGk/edit?usp=share_link"",""ลพบุรี!I463"")+IMPORTRANGE(""https://docs.google.com/spreadsheets/d/11s9m3tKsCBdPWq6"&amp;"syhZm27eBGbKneDLZc75co106bio/edit?usp=share_link"",""สระแก้ว!I463"")+IMPORTRANGE(""https://docs.google.com/spreadsheets/d/1Nn1EvsFPtXldgpgVb3Rcng2K2cls68LFQsBh2FyW0Bg/edit?usp=share_link"",""สระบุรี!I463"")+IMPORTRANGE(""https://docs.google.com/spreadshee"&amp;"ts/d/149xufxukrnEciK3WPbNpHwUK8BKEJxp3UcBG3Al6dA4/edit?usp=share_link"",""สิงห์บุรี!I463"")+IMPORTRANGE(""https://docs.google.com/spreadsheets/d/132g-zJpz2uMKimp17uOIx8A7o3w1Z25zwJyXnwsB56c/edit?usp=share_link"",""สุพรรณบุรี!I463"")+IMPORTRANGE(""https://"&amp;"docs.google.com/spreadsheets/d/12Q_U0nVnFdxDFwa0pej9xvx8ZvLC9Dpi_vRro_aiG5g/edit?usp=share_link"",""อ่างทอง!I463"")
"),675)</f>
        <v>675</v>
      </c>
      <c r="J463" s="183">
        <f ca="1">IFERROR(__xludf.DUMMYFUNCTION("IMPORTRANGE(""https://docs.google.com/spreadsheets/d/1hKO5uv94SSRZWOvrh72HRcpyoEQF9TsE_Cvxl77XNU4/edit?usp=share_link"",""กาญจนบุรี!J463"")+IMPORTRANGE(""https://docs.google.com/spreadsheets/d/1njBaP_xXd-Uotvo2D9zb01TTCFkLJLDK97Tk1l9Qux0/edit?usp=share_li"&amp;"nk"",""จันทบุรี!J463"")+IMPORTRANGE(""https://docs.google.com/spreadsheets/d/14xp6qUzrGFnUk_qnc1eEmfiaNRd4_grkhpfQH_46fa8/edit?usp=share_link"",""ฉะเชิงเทรา!J463"")+IMPORTRANGE(""https://docs.google.com/spreadsheets/d/1_Zwps30dlVa-pZFsorjVf1Pil6WXwzCsJU0U"&amp;"2whO3NI/edit?usp=share_link"",""ชลบุรี!J463"")+IMPORTRANGE(""https://docs.google.com/spreadsheets/d/1xAsT4sUbBlom7l0acStESh_15nvjZcXjZM7fK5uZSq8/edit?usp=share_link"",""ชัยนาท!J463"")+IMPORTRANGE(""https://docs.google.com/spreadsheets/d/1vWPVBOAaZ6mHSI8yf"&amp;"95DNqHwTJ1cpeFsvqt6cxV34QA/edit?usp=share_link"",""ตราด!J463"")+IMPORTRANGE(""https://docs.google.com/spreadsheets/d/1phaeSb9lTGgzDpbvVqI9hfmOQQzUom07-HEvpbARzEg/edit?usp=share_link"",""นครนายก!J463"")+IMPORTRANGE(""https://docs.google.com/spreadsheets/d/"&amp;"1tpwhWwkqkBeiSWCcfB5f2fbwPRbM9hHOEDSDHpl2MIc/edit?usp=share_link"",""นครปฐม!J463"")+IMPORTRANGE(""https://docs.google.com/spreadsheets/d/1fJJCVBkBnhriyv0Cp5ZFMr0I_yrfdEITNpb4zILJgUQ/edit?usp=share_link"",""ปทุมธานี!J463"")+IMPORTRANGE(""https://docs.googl"&amp;"e.com/spreadsheets/d/1W5Jj_S0gYw6wSO7QcMI02YgyOBDKYgmm0NSUk-AQEac/edit?usp=share_link"",""ประจวบคีรีขันธ์!J463"")+IMPORTRANGE(""https://docs.google.com/spreadsheets/d/1nYxRXgnCfTXtqUY1otYuTlnrzE0Tn-Y0YRsW5pkRVqo/edit?usp=share_link"",""ปราจีนบุรี!J463"")+"&amp;"IMPORTRANGE(""https://docs.google.com/spreadsheets/d/1nNHCLO8ZAXOMfQvxux7cf_hrzPAh8FAvaHq_ClKbZNo/edit?usp=share_link"",""พระนครศรีอยุธยา!J463"")+IMPORTRANGE(""https://docs.google.com/spreadsheets/d/1CdNicvf3i6yt4tJlCePe3V1Va76wYqW0QzMzTsaGRrA/edit?usp=sh"&amp;"are_link"",""เพชรบุรี!J463"")+IMPORTRANGE(""https://docs.google.com/spreadsheets/d/1XiF77UIVHV0Kjc6xbXuOuJ10WgJYxd4p_22ngKVV5oM/edit?usp=share_link"",""ระยอง!J463"")+IMPORTRANGE(""https://docs.google.com/spreadsheets/d/1qU-W_9MCQD1pgIVXGEOjCFo9QqlmJywueby"&amp;"GgaN92r8/edit?usp=share_link"",""ราชบุรี!J463"")+IMPORTRANGE(""https://docs.google.com/spreadsheets/d/1xYFIxIM_CspAP5Q-5Zx_V0T_Ut3cjryrjd2hss28vGk/edit?usp=share_link"",""ลพบุรี!J463"")+IMPORTRANGE(""https://docs.google.com/spreadsheets/d/11s9m3tKsCBdPWq6"&amp;"syhZm27eBGbKneDLZc75co106bio/edit?usp=share_link"",""สระแก้ว!J463"")+IMPORTRANGE(""https://docs.google.com/spreadsheets/d/1Nn1EvsFPtXldgpgVb3Rcng2K2cls68LFQsBh2FyW0Bg/edit?usp=share_link"",""สระบุรี!J463"")+IMPORTRANGE(""https://docs.google.com/spreadshee"&amp;"ts/d/149xufxukrnEciK3WPbNpHwUK8BKEJxp3UcBG3Al6dA4/edit?usp=share_link"",""สิงห์บุรี!J463"")+IMPORTRANGE(""https://docs.google.com/spreadsheets/d/132g-zJpz2uMKimp17uOIx8A7o3w1Z25zwJyXnwsB56c/edit?usp=share_link"",""สุพรรณบุรี!J463"")+IMPORTRANGE(""https://"&amp;"docs.google.com/spreadsheets/d/12Q_U0nVnFdxDFwa0pej9xvx8ZvLC9Dpi_vRro_aiG5g/edit?usp=share_link"",""อ่างทอง!J463"")
"),0)</f>
        <v>0</v>
      </c>
      <c r="K463" s="38"/>
      <c r="L463" s="38"/>
      <c r="M463" s="38"/>
      <c r="N463" s="38"/>
      <c r="O463" s="38"/>
      <c r="P463" s="38"/>
      <c r="Q463" s="571"/>
      <c r="R463" s="571"/>
      <c r="S463" s="571"/>
      <c r="T463" s="571"/>
      <c r="U463" s="571"/>
      <c r="V463" s="571"/>
      <c r="W463" s="571"/>
      <c r="X463" s="571"/>
      <c r="Y463" s="571"/>
      <c r="Z463" s="571"/>
    </row>
    <row r="464" spans="1:26" ht="20.25" customHeight="1">
      <c r="A464" s="601"/>
      <c r="B464" s="602"/>
      <c r="C464" s="602"/>
      <c r="D464" s="602"/>
      <c r="E464" s="612"/>
      <c r="F464" s="612"/>
      <c r="G464" s="613"/>
      <c r="H464" s="182" t="s">
        <v>35</v>
      </c>
      <c r="I464" s="269">
        <f ca="1">IFERROR(__xludf.DUMMYFUNCTION("IMPORTRANGE(""https://docs.google.com/spreadsheets/d/1hKO5uv94SSRZWOvrh72HRcpyoEQF9TsE_Cvxl77XNU4/edit?usp=share_link"",""กาญจนบุรี!I464"")+IMPORTRANGE(""https://docs.google.com/spreadsheets/d/1njBaP_xXd-Uotvo2D9zb01TTCFkLJLDK97Tk1l9Qux0/edit?usp=share_li"&amp;"nk"",""จันทบุรี!I464"")+IMPORTRANGE(""https://docs.google.com/spreadsheets/d/14xp6qUzrGFnUk_qnc1eEmfiaNRd4_grkhpfQH_46fa8/edit?usp=share_link"",""ฉะเชิงเทรา!I464"")+IMPORTRANGE(""https://docs.google.com/spreadsheets/d/1_Zwps30dlVa-pZFsorjVf1Pil6WXwzCsJU0U"&amp;"2whO3NI/edit?usp=share_link"",""ชลบุรี!I464"")+IMPORTRANGE(""https://docs.google.com/spreadsheets/d/1xAsT4sUbBlom7l0acStESh_15nvjZcXjZM7fK5uZSq8/edit?usp=share_link"",""ชัยนาท!I464"")+IMPORTRANGE(""https://docs.google.com/spreadsheets/d/1vWPVBOAaZ6mHSI8yf"&amp;"95DNqHwTJ1cpeFsvqt6cxV34QA/edit?usp=share_link"",""ตราด!I464"")+IMPORTRANGE(""https://docs.google.com/spreadsheets/d/1phaeSb9lTGgzDpbvVqI9hfmOQQzUom07-HEvpbARzEg/edit?usp=share_link"",""นครนายก!I464"")+IMPORTRANGE(""https://docs.google.com/spreadsheets/d/"&amp;"1tpwhWwkqkBeiSWCcfB5f2fbwPRbM9hHOEDSDHpl2MIc/edit?usp=share_link"",""นครปฐม!I464"")+IMPORTRANGE(""https://docs.google.com/spreadsheets/d/1fJJCVBkBnhriyv0Cp5ZFMr0I_yrfdEITNpb4zILJgUQ/edit?usp=share_link"",""ปทุมธานี!I464"")+IMPORTRANGE(""https://docs.googl"&amp;"e.com/spreadsheets/d/1W5Jj_S0gYw6wSO7QcMI02YgyOBDKYgmm0NSUk-AQEac/edit?usp=share_link"",""ประจวบคีรีขันธ์!I464"")+IMPORTRANGE(""https://docs.google.com/spreadsheets/d/1nYxRXgnCfTXtqUY1otYuTlnrzE0Tn-Y0YRsW5pkRVqo/edit?usp=share_link"",""ปราจีนบุรี!I464"")+"&amp;"IMPORTRANGE(""https://docs.google.com/spreadsheets/d/1nNHCLO8ZAXOMfQvxux7cf_hrzPAh8FAvaHq_ClKbZNo/edit?usp=share_link"",""พระนครศรีอยุธยา!I464"")+IMPORTRANGE(""https://docs.google.com/spreadsheets/d/1CdNicvf3i6yt4tJlCePe3V1Va76wYqW0QzMzTsaGRrA/edit?usp=sh"&amp;"are_link"",""เพชรบุรี!I464"")+IMPORTRANGE(""https://docs.google.com/spreadsheets/d/1XiF77UIVHV0Kjc6xbXuOuJ10WgJYxd4p_22ngKVV5oM/edit?usp=share_link"",""ระยอง!I464"")+IMPORTRANGE(""https://docs.google.com/spreadsheets/d/1qU-W_9MCQD1pgIVXGEOjCFo9QqlmJywueby"&amp;"GgaN92r8/edit?usp=share_link"",""ราชบุรี!I464"")+IMPORTRANGE(""https://docs.google.com/spreadsheets/d/1xYFIxIM_CspAP5Q-5Zx_V0T_Ut3cjryrjd2hss28vGk/edit?usp=share_link"",""ลพบุรี!I464"")+IMPORTRANGE(""https://docs.google.com/spreadsheets/d/11s9m3tKsCBdPWq6"&amp;"syhZm27eBGbKneDLZc75co106bio/edit?usp=share_link"",""สระแก้ว!I464"")+IMPORTRANGE(""https://docs.google.com/spreadsheets/d/1Nn1EvsFPtXldgpgVb3Rcng2K2cls68LFQsBh2FyW0Bg/edit?usp=share_link"",""สระบุรี!I464"")+IMPORTRANGE(""https://docs.google.com/spreadshee"&amp;"ts/d/149xufxukrnEciK3WPbNpHwUK8BKEJxp3UcBG3Al6dA4/edit?usp=share_link"",""สิงห์บุรี!I464"")+IMPORTRANGE(""https://docs.google.com/spreadsheets/d/132g-zJpz2uMKimp17uOIx8A7o3w1Z25zwJyXnwsB56c/edit?usp=share_link"",""สุพรรณบุรี!I464"")+IMPORTRANGE(""https://"&amp;"docs.google.com/spreadsheets/d/12Q_U0nVnFdxDFwa0pej9xvx8ZvLC9Dpi_vRro_aiG5g/edit?usp=share_link"",""อ่างทอง!I464"")
"),330)</f>
        <v>330</v>
      </c>
      <c r="J464" s="183">
        <f ca="1">IFERROR(__xludf.DUMMYFUNCTION("IMPORTRANGE(""https://docs.google.com/spreadsheets/d/1hKO5uv94SSRZWOvrh72HRcpyoEQF9TsE_Cvxl77XNU4/edit?usp=share_link"",""กาญจนบุรี!J464"")+IMPORTRANGE(""https://docs.google.com/spreadsheets/d/1njBaP_xXd-Uotvo2D9zb01TTCFkLJLDK97Tk1l9Qux0/edit?usp=share_li"&amp;"nk"",""จันทบุรี!J464"")+IMPORTRANGE(""https://docs.google.com/spreadsheets/d/14xp6qUzrGFnUk_qnc1eEmfiaNRd4_grkhpfQH_46fa8/edit?usp=share_link"",""ฉะเชิงเทรา!J464"")+IMPORTRANGE(""https://docs.google.com/spreadsheets/d/1_Zwps30dlVa-pZFsorjVf1Pil6WXwzCsJU0U"&amp;"2whO3NI/edit?usp=share_link"",""ชลบุรี!J464"")+IMPORTRANGE(""https://docs.google.com/spreadsheets/d/1xAsT4sUbBlom7l0acStESh_15nvjZcXjZM7fK5uZSq8/edit?usp=share_link"",""ชัยนาท!J464"")+IMPORTRANGE(""https://docs.google.com/spreadsheets/d/1vWPVBOAaZ6mHSI8yf"&amp;"95DNqHwTJ1cpeFsvqt6cxV34QA/edit?usp=share_link"",""ตราด!J464"")+IMPORTRANGE(""https://docs.google.com/spreadsheets/d/1phaeSb9lTGgzDpbvVqI9hfmOQQzUom07-HEvpbARzEg/edit?usp=share_link"",""นครนายก!J464"")+IMPORTRANGE(""https://docs.google.com/spreadsheets/d/"&amp;"1tpwhWwkqkBeiSWCcfB5f2fbwPRbM9hHOEDSDHpl2MIc/edit?usp=share_link"",""นครปฐม!J464"")+IMPORTRANGE(""https://docs.google.com/spreadsheets/d/1fJJCVBkBnhriyv0Cp5ZFMr0I_yrfdEITNpb4zILJgUQ/edit?usp=share_link"",""ปทุมธานี!J464"")+IMPORTRANGE(""https://docs.googl"&amp;"e.com/spreadsheets/d/1W5Jj_S0gYw6wSO7QcMI02YgyOBDKYgmm0NSUk-AQEac/edit?usp=share_link"",""ประจวบคีรีขันธ์!J464"")+IMPORTRANGE(""https://docs.google.com/spreadsheets/d/1nYxRXgnCfTXtqUY1otYuTlnrzE0Tn-Y0YRsW5pkRVqo/edit?usp=share_link"",""ปราจีนบุรี!J464"")+"&amp;"IMPORTRANGE(""https://docs.google.com/spreadsheets/d/1nNHCLO8ZAXOMfQvxux7cf_hrzPAh8FAvaHq_ClKbZNo/edit?usp=share_link"",""พระนครศรีอยุธยา!J464"")+IMPORTRANGE(""https://docs.google.com/spreadsheets/d/1CdNicvf3i6yt4tJlCePe3V1Va76wYqW0QzMzTsaGRrA/edit?usp=sh"&amp;"are_link"",""เพชรบุรี!J464"")+IMPORTRANGE(""https://docs.google.com/spreadsheets/d/1XiF77UIVHV0Kjc6xbXuOuJ10WgJYxd4p_22ngKVV5oM/edit?usp=share_link"",""ระยอง!J464"")+IMPORTRANGE(""https://docs.google.com/spreadsheets/d/1qU-W_9MCQD1pgIVXGEOjCFo9QqlmJywueby"&amp;"GgaN92r8/edit?usp=share_link"",""ราชบุรี!J464"")+IMPORTRANGE(""https://docs.google.com/spreadsheets/d/1xYFIxIM_CspAP5Q-5Zx_V0T_Ut3cjryrjd2hss28vGk/edit?usp=share_link"",""ลพบุรี!J464"")+IMPORTRANGE(""https://docs.google.com/spreadsheets/d/11s9m3tKsCBdPWq6"&amp;"syhZm27eBGbKneDLZc75co106bio/edit?usp=share_link"",""สระแก้ว!J464"")+IMPORTRANGE(""https://docs.google.com/spreadsheets/d/1Nn1EvsFPtXldgpgVb3Rcng2K2cls68LFQsBh2FyW0Bg/edit?usp=share_link"",""สระบุรี!J464"")+IMPORTRANGE(""https://docs.google.com/spreadshee"&amp;"ts/d/149xufxukrnEciK3WPbNpHwUK8BKEJxp3UcBG3Al6dA4/edit?usp=share_link"",""สิงห์บุรี!J464"")+IMPORTRANGE(""https://docs.google.com/spreadsheets/d/132g-zJpz2uMKimp17uOIx8A7o3w1Z25zwJyXnwsB56c/edit?usp=share_link"",""สุพรรณบุรี!J464"")+IMPORTRANGE(""https://"&amp;"docs.google.com/spreadsheets/d/12Q_U0nVnFdxDFwa0pej9xvx8ZvLC9Dpi_vRro_aiG5g/edit?usp=share_link"",""อ่างทอง!J464"")
"),0)</f>
        <v>0</v>
      </c>
      <c r="K464" s="38"/>
      <c r="L464" s="38"/>
      <c r="M464" s="38"/>
      <c r="N464" s="38"/>
      <c r="O464" s="38"/>
      <c r="P464" s="38"/>
      <c r="Q464" s="571"/>
      <c r="R464" s="571"/>
      <c r="S464" s="571"/>
      <c r="T464" s="571"/>
      <c r="U464" s="571"/>
      <c r="V464" s="571"/>
      <c r="W464" s="571"/>
      <c r="X464" s="571"/>
      <c r="Y464" s="571"/>
      <c r="Z464" s="571"/>
    </row>
    <row r="465" spans="1:26" ht="20.25" customHeight="1">
      <c r="A465" s="578">
        <v>3</v>
      </c>
      <c r="B465" s="579" t="s">
        <v>205</v>
      </c>
      <c r="C465" s="580"/>
      <c r="D465" s="580"/>
      <c r="E465" s="580"/>
      <c r="F465" s="580"/>
      <c r="G465" s="581"/>
      <c r="H465" s="582" t="s">
        <v>35</v>
      </c>
      <c r="I465" s="583">
        <f ca="1">IFERROR(__xludf.DUMMYFUNCTION("IMPORTRANGE(""https://docs.google.com/spreadsheets/d/1hKO5uv94SSRZWOvrh72HRcpyoEQF9TsE_Cvxl77XNU4/edit?usp=share_link"",""กาญจนบุรี!I465"")+IMPORTRANGE(""https://docs.google.com/spreadsheets/d/1njBaP_xXd-Uotvo2D9zb01TTCFkLJLDK97Tk1l9Qux0/edit?usp=share_li"&amp;"nk"",""จันทบุรี!I465"")+IMPORTRANGE(""https://docs.google.com/spreadsheets/d/14xp6qUzrGFnUk_qnc1eEmfiaNRd4_grkhpfQH_46fa8/edit?usp=share_link"",""ฉะเชิงเทรา!I465"")+IMPORTRANGE(""https://docs.google.com/spreadsheets/d/1_Zwps30dlVa-pZFsorjVf1Pil6WXwzCsJU0U"&amp;"2whO3NI/edit?usp=share_link"",""ชลบุรี!I465"")+IMPORTRANGE(""https://docs.google.com/spreadsheets/d/1xAsT4sUbBlom7l0acStESh_15nvjZcXjZM7fK5uZSq8/edit?usp=share_link"",""ชัยนาท!I465"")+IMPORTRANGE(""https://docs.google.com/spreadsheets/d/1vWPVBOAaZ6mHSI8yf"&amp;"95DNqHwTJ1cpeFsvqt6cxV34QA/edit?usp=share_link"",""ตราด!I465"")+IMPORTRANGE(""https://docs.google.com/spreadsheets/d/1phaeSb9lTGgzDpbvVqI9hfmOQQzUom07-HEvpbARzEg/edit?usp=share_link"",""นครนายก!I465"")+IMPORTRANGE(""https://docs.google.com/spreadsheets/d/"&amp;"1tpwhWwkqkBeiSWCcfB5f2fbwPRbM9hHOEDSDHpl2MIc/edit?usp=share_link"",""นครปฐม!I465"")+IMPORTRANGE(""https://docs.google.com/spreadsheets/d/1fJJCVBkBnhriyv0Cp5ZFMr0I_yrfdEITNpb4zILJgUQ/edit?usp=share_link"",""ปทุมธานี!I465"")+IMPORTRANGE(""https://docs.googl"&amp;"e.com/spreadsheets/d/1W5Jj_S0gYw6wSO7QcMI02YgyOBDKYgmm0NSUk-AQEac/edit?usp=share_link"",""ประจวบคีรีขันธ์!I465"")+IMPORTRANGE(""https://docs.google.com/spreadsheets/d/1nYxRXgnCfTXtqUY1otYuTlnrzE0Tn-Y0YRsW5pkRVqo/edit?usp=share_link"",""ปราจีนบุรี!I465"")+"&amp;"IMPORTRANGE(""https://docs.google.com/spreadsheets/d/1nNHCLO8ZAXOMfQvxux7cf_hrzPAh8FAvaHq_ClKbZNo/edit?usp=share_link"",""พระนครศรีอยุธยา!I465"")+IMPORTRANGE(""https://docs.google.com/spreadsheets/d/1CdNicvf3i6yt4tJlCePe3V1Va76wYqW0QzMzTsaGRrA/edit?usp=sh"&amp;"are_link"",""เพชรบุรี!I465"")+IMPORTRANGE(""https://docs.google.com/spreadsheets/d/1XiF77UIVHV0Kjc6xbXuOuJ10WgJYxd4p_22ngKVV5oM/edit?usp=share_link"",""ระยอง!I465"")+IMPORTRANGE(""https://docs.google.com/spreadsheets/d/1qU-W_9MCQD1pgIVXGEOjCFo9QqlmJywueby"&amp;"GgaN92r8/edit?usp=share_link"",""ราชบุรี!I465"")+IMPORTRANGE(""https://docs.google.com/spreadsheets/d/1xYFIxIM_CspAP5Q-5Zx_V0T_Ut3cjryrjd2hss28vGk/edit?usp=share_link"",""ลพบุรี!I465"")+IMPORTRANGE(""https://docs.google.com/spreadsheets/d/11s9m3tKsCBdPWq6"&amp;"syhZm27eBGbKneDLZc75co106bio/edit?usp=share_link"",""สระแก้ว!I465"")+IMPORTRANGE(""https://docs.google.com/spreadsheets/d/1Nn1EvsFPtXldgpgVb3Rcng2K2cls68LFQsBh2FyW0Bg/edit?usp=share_link"",""สระบุรี!I465"")+IMPORTRANGE(""https://docs.google.com/spreadshee"&amp;"ts/d/149xufxukrnEciK3WPbNpHwUK8BKEJxp3UcBG3Al6dA4/edit?usp=share_link"",""สิงห์บุรี!I465"")+IMPORTRANGE(""https://docs.google.com/spreadsheets/d/132g-zJpz2uMKimp17uOIx8A7o3w1Z25zwJyXnwsB56c/edit?usp=share_link"",""สุพรรณบุรี!I465"")+IMPORTRANGE(""https://"&amp;"docs.google.com/spreadsheets/d/12Q_U0nVnFdxDFwa0pej9xvx8ZvLC9Dpi_vRro_aiG5g/edit?usp=share_link"",""อ่างทอง!I465"")
"),825)</f>
        <v>825</v>
      </c>
      <c r="J465" s="583">
        <f ca="1">J485+J489+J492</f>
        <v>153</v>
      </c>
      <c r="K465" s="584">
        <f t="shared" ref="K465:K466" ca="1" si="238">IF(I465&gt;0,J465*100/I465,0)</f>
        <v>18.545454545454547</v>
      </c>
      <c r="L465" s="585"/>
      <c r="M465" s="585"/>
      <c r="N465" s="585"/>
      <c r="O465" s="585"/>
      <c r="P465" s="585"/>
      <c r="Q465" s="571"/>
      <c r="R465" s="571"/>
      <c r="S465" s="571"/>
      <c r="T465" s="571"/>
      <c r="U465" s="571"/>
      <c r="V465" s="571"/>
      <c r="W465" s="571"/>
      <c r="X465" s="571"/>
      <c r="Y465" s="571"/>
      <c r="Z465" s="571"/>
    </row>
    <row r="466" spans="1:26" ht="20.25" customHeight="1">
      <c r="A466" s="586"/>
      <c r="B466" s="587"/>
      <c r="C466" s="588"/>
      <c r="D466" s="588"/>
      <c r="E466" s="588"/>
      <c r="F466" s="588"/>
      <c r="G466" s="589"/>
      <c r="H466" s="562" t="s">
        <v>46</v>
      </c>
      <c r="I466" s="563">
        <f ca="1">IFERROR(__xludf.DUMMYFUNCTION("IMPORTRANGE(""https://docs.google.com/spreadsheets/d/1hKO5uv94SSRZWOvrh72HRcpyoEQF9TsE_Cvxl77XNU4/edit?usp=share_link"",""กาญจนบุรี!I466"")+IMPORTRANGE(""https://docs.google.com/spreadsheets/d/1njBaP_xXd-Uotvo2D9zb01TTCFkLJLDK97Tk1l9Qux0/edit?usp=share_li"&amp;"nk"",""จันทบุรี!I466"")+IMPORTRANGE(""https://docs.google.com/spreadsheets/d/14xp6qUzrGFnUk_qnc1eEmfiaNRd4_grkhpfQH_46fa8/edit?usp=share_link"",""ฉะเชิงเทรา!I466"")+IMPORTRANGE(""https://docs.google.com/spreadsheets/d/1_Zwps30dlVa-pZFsorjVf1Pil6WXwzCsJU0U"&amp;"2whO3NI/edit?usp=share_link"",""ชลบุรี!I466"")+IMPORTRANGE(""https://docs.google.com/spreadsheets/d/1xAsT4sUbBlom7l0acStESh_15nvjZcXjZM7fK5uZSq8/edit?usp=share_link"",""ชัยนาท!I466"")+IMPORTRANGE(""https://docs.google.com/spreadsheets/d/1vWPVBOAaZ6mHSI8yf"&amp;"95DNqHwTJ1cpeFsvqt6cxV34QA/edit?usp=share_link"",""ตราด!I466"")+IMPORTRANGE(""https://docs.google.com/spreadsheets/d/1phaeSb9lTGgzDpbvVqI9hfmOQQzUom07-HEvpbARzEg/edit?usp=share_link"",""นครนายก!I466"")+IMPORTRANGE(""https://docs.google.com/spreadsheets/d/"&amp;"1tpwhWwkqkBeiSWCcfB5f2fbwPRbM9hHOEDSDHpl2MIc/edit?usp=share_link"",""นครปฐม!I466"")+IMPORTRANGE(""https://docs.google.com/spreadsheets/d/1fJJCVBkBnhriyv0Cp5ZFMr0I_yrfdEITNpb4zILJgUQ/edit?usp=share_link"",""ปทุมธานี!I466"")+IMPORTRANGE(""https://docs.googl"&amp;"e.com/spreadsheets/d/1W5Jj_S0gYw6wSO7QcMI02YgyOBDKYgmm0NSUk-AQEac/edit?usp=share_link"",""ประจวบคีรีขันธ์!I466"")+IMPORTRANGE(""https://docs.google.com/spreadsheets/d/1nYxRXgnCfTXtqUY1otYuTlnrzE0Tn-Y0YRsW5pkRVqo/edit?usp=share_link"",""ปราจีนบุรี!I466"")+"&amp;"IMPORTRANGE(""https://docs.google.com/spreadsheets/d/1nNHCLO8ZAXOMfQvxux7cf_hrzPAh8FAvaHq_ClKbZNo/edit?usp=share_link"",""พระนครศรีอยุธยา!I466"")+IMPORTRANGE(""https://docs.google.com/spreadsheets/d/1CdNicvf3i6yt4tJlCePe3V1Va76wYqW0QzMzTsaGRrA/edit?usp=sh"&amp;"are_link"",""เพชรบุรี!I466"")+IMPORTRANGE(""https://docs.google.com/spreadsheets/d/1XiF77UIVHV0Kjc6xbXuOuJ10WgJYxd4p_22ngKVV5oM/edit?usp=share_link"",""ระยอง!I466"")+IMPORTRANGE(""https://docs.google.com/spreadsheets/d/1qU-W_9MCQD1pgIVXGEOjCFo9QqlmJywueby"&amp;"GgaN92r8/edit?usp=share_link"",""ราชบุรี!I466"")+IMPORTRANGE(""https://docs.google.com/spreadsheets/d/1xYFIxIM_CspAP5Q-5Zx_V0T_Ut3cjryrjd2hss28vGk/edit?usp=share_link"",""ลพบุรี!I466"")+IMPORTRANGE(""https://docs.google.com/spreadsheets/d/11s9m3tKsCBdPWq6"&amp;"syhZm27eBGbKneDLZc75co106bio/edit?usp=share_link"",""สระแก้ว!I466"")+IMPORTRANGE(""https://docs.google.com/spreadsheets/d/1Nn1EvsFPtXldgpgVb3Rcng2K2cls68LFQsBh2FyW0Bg/edit?usp=share_link"",""สระบุรี!I466"")+IMPORTRANGE(""https://docs.google.com/spreadshee"&amp;"ts/d/149xufxukrnEciK3WPbNpHwUK8BKEJxp3UcBG3Al6dA4/edit?usp=share_link"",""สิงห์บุรี!I466"")+IMPORTRANGE(""https://docs.google.com/spreadsheets/d/132g-zJpz2uMKimp17uOIx8A7o3w1Z25zwJyXnwsB56c/edit?usp=share_link"",""สุพรรณบุรี!I466"")+IMPORTRANGE(""https://"&amp;"docs.google.com/spreadsheets/d/12Q_U0nVnFdxDFwa0pej9xvx8ZvLC9Dpi_vRro_aiG5g/edit?usp=share_link"",""อ่างทอง!I466"")
"),8100)</f>
        <v>8100</v>
      </c>
      <c r="J466" s="563">
        <f ca="1">J483+J487</f>
        <v>13000</v>
      </c>
      <c r="K466" s="564">
        <f t="shared" ca="1" si="238"/>
        <v>160.49382716049382</v>
      </c>
      <c r="L466" s="565"/>
      <c r="M466" s="565"/>
      <c r="N466" s="565"/>
      <c r="O466" s="565"/>
      <c r="P466" s="565"/>
      <c r="Q466" s="571"/>
      <c r="R466" s="571"/>
      <c r="S466" s="571"/>
      <c r="T466" s="571"/>
      <c r="U466" s="571"/>
      <c r="V466" s="571"/>
      <c r="W466" s="571"/>
      <c r="X466" s="571"/>
      <c r="Y466" s="571"/>
      <c r="Z466" s="571"/>
    </row>
    <row r="467" spans="1:26" ht="20.25" customHeight="1">
      <c r="A467" s="590"/>
      <c r="B467" s="569"/>
      <c r="C467" s="569" t="s">
        <v>16</v>
      </c>
      <c r="D467" s="863" t="s">
        <v>17</v>
      </c>
      <c r="E467" s="857"/>
      <c r="F467" s="857"/>
      <c r="G467" s="189"/>
      <c r="H467" s="591" t="s">
        <v>12</v>
      </c>
      <c r="I467" s="37"/>
      <c r="J467" s="37"/>
      <c r="K467" s="38"/>
      <c r="L467" s="195">
        <f t="shared" ref="L467:N467" ca="1" si="239">L468+L469</f>
        <v>6956180</v>
      </c>
      <c r="M467" s="195">
        <f t="shared" si="239"/>
        <v>0</v>
      </c>
      <c r="N467" s="195">
        <f t="shared" ca="1" si="239"/>
        <v>298353</v>
      </c>
      <c r="O467" s="195">
        <f t="shared" ref="O467:O472" ca="1" si="240">IF(L467&gt;0,N467*100/L467,0)</f>
        <v>4.2890350738480025</v>
      </c>
      <c r="P467" s="195">
        <f t="shared" ref="P467:P472" si="241">IF(M467&gt;0,N467*100/M467,0)</f>
        <v>0</v>
      </c>
      <c r="Q467" s="571"/>
      <c r="R467" s="571"/>
      <c r="S467" s="571"/>
      <c r="T467" s="571"/>
      <c r="U467" s="571"/>
      <c r="V467" s="571"/>
      <c r="W467" s="571"/>
      <c r="X467" s="571"/>
      <c r="Y467" s="571"/>
      <c r="Z467" s="571"/>
    </row>
    <row r="468" spans="1:26" ht="20.25" hidden="1" customHeight="1">
      <c r="A468" s="592"/>
      <c r="B468" s="593"/>
      <c r="C468" s="593"/>
      <c r="D468" s="594"/>
      <c r="E468" s="595" t="s">
        <v>184</v>
      </c>
      <c r="F468" s="593"/>
      <c r="G468" s="596"/>
      <c r="H468" s="165" t="s">
        <v>12</v>
      </c>
      <c r="I468" s="44"/>
      <c r="J468" s="44"/>
      <c r="K468" s="45"/>
      <c r="L468" s="45">
        <f t="shared" ref="L468:N468" si="242">L471+L478</f>
        <v>0</v>
      </c>
      <c r="M468" s="45">
        <f t="shared" si="242"/>
        <v>0</v>
      </c>
      <c r="N468" s="45">
        <f t="shared" si="242"/>
        <v>0</v>
      </c>
      <c r="O468" s="45">
        <f t="shared" si="240"/>
        <v>0</v>
      </c>
      <c r="P468" s="45">
        <f t="shared" si="241"/>
        <v>0</v>
      </c>
      <c r="Q468" s="597"/>
      <c r="R468" s="597"/>
      <c r="S468" s="597"/>
      <c r="T468" s="597"/>
      <c r="U468" s="597"/>
      <c r="V468" s="597"/>
      <c r="W468" s="597"/>
      <c r="X468" s="597"/>
      <c r="Y468" s="597"/>
      <c r="Z468" s="597"/>
    </row>
    <row r="469" spans="1:26" ht="20.25" hidden="1" customHeight="1">
      <c r="A469" s="592"/>
      <c r="B469" s="598"/>
      <c r="C469" s="593"/>
      <c r="D469" s="594"/>
      <c r="E469" s="595" t="s">
        <v>185</v>
      </c>
      <c r="F469" s="593"/>
      <c r="G469" s="596"/>
      <c r="H469" s="165" t="s">
        <v>12</v>
      </c>
      <c r="I469" s="44"/>
      <c r="J469" s="44"/>
      <c r="K469" s="45"/>
      <c r="L469" s="45">
        <f t="shared" ref="L469:N469" ca="1" si="243">L472+L479</f>
        <v>6956180</v>
      </c>
      <c r="M469" s="45">
        <f t="shared" si="243"/>
        <v>0</v>
      </c>
      <c r="N469" s="45">
        <f t="shared" ca="1" si="243"/>
        <v>298353</v>
      </c>
      <c r="O469" s="45">
        <f t="shared" ca="1" si="240"/>
        <v>4.2890350738480025</v>
      </c>
      <c r="P469" s="45">
        <f t="shared" si="241"/>
        <v>0</v>
      </c>
      <c r="Q469" s="597"/>
      <c r="R469" s="597"/>
      <c r="S469" s="597"/>
      <c r="T469" s="597"/>
      <c r="U469" s="597"/>
      <c r="V469" s="597"/>
      <c r="W469" s="597"/>
      <c r="X469" s="597"/>
      <c r="Y469" s="597"/>
      <c r="Z469" s="597"/>
    </row>
    <row r="470" spans="1:26" ht="20.25" customHeight="1">
      <c r="A470" s="590"/>
      <c r="B470" s="568"/>
      <c r="C470" s="569"/>
      <c r="D470" s="599" t="s">
        <v>20</v>
      </c>
      <c r="E470" s="569"/>
      <c r="F470" s="569"/>
      <c r="G470" s="189"/>
      <c r="H470" s="161" t="s">
        <v>12</v>
      </c>
      <c r="I470" s="162"/>
      <c r="J470" s="162"/>
      <c r="K470" s="163"/>
      <c r="L470" s="38">
        <f t="shared" ref="L470:N470" ca="1" si="244">L471+L472</f>
        <v>6956180</v>
      </c>
      <c r="M470" s="38">
        <f t="shared" si="244"/>
        <v>0</v>
      </c>
      <c r="N470" s="38">
        <f t="shared" ca="1" si="244"/>
        <v>298353</v>
      </c>
      <c r="O470" s="38">
        <f t="shared" ca="1" si="240"/>
        <v>4.2890350738480025</v>
      </c>
      <c r="P470" s="38">
        <f t="shared" si="241"/>
        <v>0</v>
      </c>
      <c r="Q470" s="571"/>
      <c r="R470" s="571"/>
      <c r="S470" s="571"/>
      <c r="T470" s="571"/>
      <c r="U470" s="571"/>
      <c r="V470" s="571"/>
      <c r="W470" s="571"/>
      <c r="X470" s="571"/>
      <c r="Y470" s="571"/>
      <c r="Z470" s="571"/>
    </row>
    <row r="471" spans="1:26" ht="20.25" hidden="1" customHeight="1">
      <c r="A471" s="592"/>
      <c r="B471" s="598"/>
      <c r="C471" s="593"/>
      <c r="D471" s="594"/>
      <c r="E471" s="595" t="s">
        <v>184</v>
      </c>
      <c r="F471" s="593"/>
      <c r="G471" s="596"/>
      <c r="H471" s="165" t="s">
        <v>12</v>
      </c>
      <c r="I471" s="44"/>
      <c r="J471" s="44"/>
      <c r="K471" s="45"/>
      <c r="L471" s="93">
        <v>0</v>
      </c>
      <c r="M471" s="93">
        <v>0</v>
      </c>
      <c r="N471" s="93">
        <v>0</v>
      </c>
      <c r="O471" s="45">
        <f t="shared" si="240"/>
        <v>0</v>
      </c>
      <c r="P471" s="45">
        <f t="shared" si="241"/>
        <v>0</v>
      </c>
      <c r="Q471" s="597"/>
      <c r="R471" s="597"/>
      <c r="S471" s="597"/>
      <c r="T471" s="597"/>
      <c r="U471" s="597"/>
      <c r="V471" s="597"/>
      <c r="W471" s="597"/>
      <c r="X471" s="597"/>
      <c r="Y471" s="597"/>
      <c r="Z471" s="597"/>
    </row>
    <row r="472" spans="1:26" ht="20.25" hidden="1" customHeight="1">
      <c r="A472" s="592"/>
      <c r="B472" s="598"/>
      <c r="C472" s="593"/>
      <c r="D472" s="594"/>
      <c r="E472" s="595" t="s">
        <v>185</v>
      </c>
      <c r="F472" s="593"/>
      <c r="G472" s="596"/>
      <c r="H472" s="165" t="s">
        <v>12</v>
      </c>
      <c r="I472" s="44"/>
      <c r="J472" s="44"/>
      <c r="K472" s="45"/>
      <c r="L472" s="45">
        <f ca="1">IFERROR(__xludf.DUMMYFUNCTION("IMPORTRANGE(""https://docs.google.com/spreadsheets/d/1hKO5uv94SSRZWOvrh72HRcpyoEQF9TsE_Cvxl77XNU4/edit?usp=share_link"",""กาญจนบุรี!L472"")+IMPORTRANGE(""https://docs.google.com/spreadsheets/d/1njBaP_xXd-Uotvo2D9zb01TTCFkLJLDK97Tk1l9Qux0/edit?usp=share_li"&amp;"nk"",""จันทบุรี!L472"")+IMPORTRANGE(""https://docs.google.com/spreadsheets/d/14xp6qUzrGFnUk_qnc1eEmfiaNRd4_grkhpfQH_46fa8/edit?usp=share_link"",""ฉะเชิงเทรา!L472"")+IMPORTRANGE(""https://docs.google.com/spreadsheets/d/1_Zwps30dlVa-pZFsorjVf1Pil6WXwzCsJU0U"&amp;"2whO3NI/edit?usp=share_link"",""ชลบุรี!L472"")+IMPORTRANGE(""https://docs.google.com/spreadsheets/d/1xAsT4sUbBlom7l0acStESh_15nvjZcXjZM7fK5uZSq8/edit?usp=share_link"",""ชัยนาท!L472"")+IMPORTRANGE(""https://docs.google.com/spreadsheets/d/1vWPVBOAaZ6mHSI8yf"&amp;"95DNqHwTJ1cpeFsvqt6cxV34QA/edit?usp=share_link"",""ตราด!L472"")+IMPORTRANGE(""https://docs.google.com/spreadsheets/d/1phaeSb9lTGgzDpbvVqI9hfmOQQzUom07-HEvpbARzEg/edit?usp=share_link"",""นครนายก!L472"")+IMPORTRANGE(""https://docs.google.com/spreadsheets/d/"&amp;"1tpwhWwkqkBeiSWCcfB5f2fbwPRbM9hHOEDSDHpl2MIc/edit?usp=share_link"",""นครปฐม!L472"")+IMPORTRANGE(""https://docs.google.com/spreadsheets/d/1fJJCVBkBnhriyv0Cp5ZFMr0I_yrfdEITNpb4zILJgUQ/edit?usp=share_link"",""ปทุมธานี!L472"")+IMPORTRANGE(""https://docs.googl"&amp;"e.com/spreadsheets/d/1W5Jj_S0gYw6wSO7QcMI02YgyOBDKYgmm0NSUk-AQEac/edit?usp=share_link"",""ประจวบคีรีขันธ์!L472"")+IMPORTRANGE(""https://docs.google.com/spreadsheets/d/1nYxRXgnCfTXtqUY1otYuTlnrzE0Tn-Y0YRsW5pkRVqo/edit?usp=share_link"",""ปราจีนบุรี!L472"")+"&amp;"IMPORTRANGE(""https://docs.google.com/spreadsheets/d/1nNHCLO8ZAXOMfQvxux7cf_hrzPAh8FAvaHq_ClKbZNo/edit?usp=share_link"",""พระนครศรีอยุธยา!L472"")+IMPORTRANGE(""https://docs.google.com/spreadsheets/d/1CdNicvf3i6yt4tJlCePe3V1Va76wYqW0QzMzTsaGRrA/edit?usp=sh"&amp;"are_link"",""เพชรบุรี!L472"")+IMPORTRANGE(""https://docs.google.com/spreadsheets/d/1XiF77UIVHV0Kjc6xbXuOuJ10WgJYxd4p_22ngKVV5oM/edit?usp=share_link"",""ระยอง!L472"")+IMPORTRANGE(""https://docs.google.com/spreadsheets/d/1qU-W_9MCQD1pgIVXGEOjCFo9QqlmJywueby"&amp;"GgaN92r8/edit?usp=share_link"",""ราชบุรี!L472"")+IMPORTRANGE(""https://docs.google.com/spreadsheets/d/1xYFIxIM_CspAP5Q-5Zx_V0T_Ut3cjryrjd2hss28vGk/edit?usp=share_link"",""ลพบุรี!L472"")+IMPORTRANGE(""https://docs.google.com/spreadsheets/d/11s9m3tKsCBdPWq6"&amp;"syhZm27eBGbKneDLZc75co106bio/edit?usp=share_link"",""สระแก้ว!L472"")+IMPORTRANGE(""https://docs.google.com/spreadsheets/d/1Nn1EvsFPtXldgpgVb3Rcng2K2cls68LFQsBh2FyW0Bg/edit?usp=share_link"",""สระบุรี!L472"")+IMPORTRANGE(""https://docs.google.com/spreadshee"&amp;"ts/d/149xufxukrnEciK3WPbNpHwUK8BKEJxp3UcBG3Al6dA4/edit?usp=share_link"",""สิงห์บุรี!L472"")+IMPORTRANGE(""https://docs.google.com/spreadsheets/d/132g-zJpz2uMKimp17uOIx8A7o3w1Z25zwJyXnwsB56c/edit?usp=share_link"",""สุพรรณบุรี!L472"")+IMPORTRANGE(""https://"&amp;"docs.google.com/spreadsheets/d/12Q_U0nVnFdxDFwa0pej9xvx8ZvLC9Dpi_vRro_aiG5g/edit?usp=share_link"",""อ่างทอง!L472"")
"),6956180)</f>
        <v>6956180</v>
      </c>
      <c r="M472" s="93">
        <v>0</v>
      </c>
      <c r="N472" s="45">
        <f ca="1">N473+N474+N475+N476</f>
        <v>298353</v>
      </c>
      <c r="O472" s="45">
        <f t="shared" ca="1" si="240"/>
        <v>4.2890350738480025</v>
      </c>
      <c r="P472" s="45">
        <f t="shared" si="241"/>
        <v>0</v>
      </c>
      <c r="Q472" s="597"/>
      <c r="R472" s="597"/>
      <c r="S472" s="597"/>
      <c r="T472" s="597"/>
      <c r="U472" s="597"/>
      <c r="V472" s="597"/>
      <c r="W472" s="597"/>
      <c r="X472" s="597"/>
      <c r="Y472" s="597"/>
      <c r="Z472" s="597"/>
    </row>
    <row r="473" spans="1:26" ht="20.25" customHeight="1">
      <c r="A473" s="567"/>
      <c r="B473" s="568"/>
      <c r="C473" s="569"/>
      <c r="D473" s="569"/>
      <c r="E473" s="569"/>
      <c r="F473" s="570" t="s">
        <v>186</v>
      </c>
      <c r="G473" s="189"/>
      <c r="H473" s="161" t="s">
        <v>12</v>
      </c>
      <c r="I473" s="37"/>
      <c r="J473" s="37"/>
      <c r="K473" s="38"/>
      <c r="L473" s="38"/>
      <c r="M473" s="38"/>
      <c r="N473" s="283">
        <f ca="1">IFERROR(__xludf.DUMMYFUNCTION("IMPORTRANGE(""https://docs.google.com/spreadsheets/d/1hKO5uv94SSRZWOvrh72HRcpyoEQF9TsE_Cvxl77XNU4/edit?usp=share_link"",""กาญจนบุรี!n473"")+IMPORTRANGE(""https://docs.google.com/spreadsheets/d/1njBaP_xXd-Uotvo2D9zb01TTCFkLJLDK97Tk1l9Qux0/edit?usp=share_li"&amp;"nk"",""จันทบุรี!n473"")+IMPORTRANGE(""https://docs.google.com/spreadsheets/d/14xp6qUzrGFnUk_qnc1eEmfiaNRd4_grkhpfQH_46fa8/edit?usp=share_link"",""ฉะเชิงเทรา!n473"")+IMPORTRANGE(""https://docs.google.com/spreadsheets/d/1_Zwps30dlVa-pZFsorjVf1Pil6WXwzCsJU0U"&amp;"2whO3NI/edit?usp=share_link"",""ชลบุรี!n473"")+IMPORTRANGE(""https://docs.google.com/spreadsheets/d/1xAsT4sUbBlom7l0acStESh_15nvjZcXjZM7fK5uZSq8/edit?usp=share_link"",""ชัยนาท!n473"")+IMPORTRANGE(""https://docs.google.com/spreadsheets/d/1vWPVBOAaZ6mHSI8yf"&amp;"95DNqHwTJ1cpeFsvqt6cxV34QA/edit?usp=share_link"",""ตราด!n473"")+IMPORTRANGE(""https://docs.google.com/spreadsheets/d/1phaeSb9lTGgzDpbvVqI9hfmOQQzUom07-HEvpbARzEg/edit?usp=share_link"",""นครนายก!n473"")+IMPORTRANGE(""https://docs.google.com/spreadsheets/d/"&amp;"1tpwhWwkqkBeiSWCcfB5f2fbwPRbM9hHOEDSDHpl2MIc/edit?usp=share_link"",""นครปฐม!n473"")+IMPORTRANGE(""https://docs.google.com/spreadsheets/d/1fJJCVBkBnhriyv0Cp5ZFMr0I_yrfdEITNpb4zILJgUQ/edit?usp=share_link"",""ปทุมธานี!n473"")+IMPORTRANGE(""https://docs.googl"&amp;"e.com/spreadsheets/d/1W5Jj_S0gYw6wSO7QcMI02YgyOBDKYgmm0NSUk-AQEac/edit?usp=share_link"",""ประจวบคีรีขันธ์!n473"")+IMPORTRANGE(""https://docs.google.com/spreadsheets/d/1nYxRXgnCfTXtqUY1otYuTlnrzE0Tn-Y0YRsW5pkRVqo/edit?usp=share_link"",""ปราจีนบุรี!n473"")+"&amp;"IMPORTRANGE(""https://docs.google.com/spreadsheets/d/1nNHCLO8ZAXOMfQvxux7cf_hrzPAh8FAvaHq_ClKbZNo/edit?usp=share_link"",""พระนครศรีอยุธยา!n473"")+IMPORTRANGE(""https://docs.google.com/spreadsheets/d/1CdNicvf3i6yt4tJlCePe3V1Va76wYqW0QzMzTsaGRrA/edit?usp=sh"&amp;"are_link"",""เพชรบุรี!n473"")+IMPORTRANGE(""https://docs.google.com/spreadsheets/d/1XiF77UIVHV0Kjc6xbXuOuJ10WgJYxd4p_22ngKVV5oM/edit?usp=share_link"",""ระยอง!n473"")+IMPORTRANGE(""https://docs.google.com/spreadsheets/d/1qU-W_9MCQD1pgIVXGEOjCFo9QqlmJywueby"&amp;"GgaN92r8/edit?usp=share_link"",""ราชบุรี!n473"")+IMPORTRANGE(""https://docs.google.com/spreadsheets/d/1xYFIxIM_CspAP5Q-5Zx_V0T_Ut3cjryrjd2hss28vGk/edit?usp=share_link"",""ลพบุรี!n473"")+IMPORTRANGE(""https://docs.google.com/spreadsheets/d/11s9m3tKsCBdPWq6"&amp;"syhZm27eBGbKneDLZc75co106bio/edit?usp=share_link"",""สระแก้ว!n473"")+IMPORTRANGE(""https://docs.google.com/spreadsheets/d/1Nn1EvsFPtXldgpgVb3Rcng2K2cls68LFQsBh2FyW0Bg/edit?usp=share_link"",""สระบุรี!n473"")+IMPORTRANGE(""https://docs.google.com/spreadshee"&amp;"ts/d/149xufxukrnEciK3WPbNpHwUK8BKEJxp3UcBG3Al6dA4/edit?usp=share_link"",""สิงห์บุรี!n473"")+IMPORTRANGE(""https://docs.google.com/spreadsheets/d/132g-zJpz2uMKimp17uOIx8A7o3w1Z25zwJyXnwsB56c/edit?usp=share_link"",""สุพรรณบุรี!n473"")+IMPORTRANGE(""https://"&amp;"docs.google.com/spreadsheets/d/12Q_U0nVnFdxDFwa0pej9xvx8ZvLC9Dpi_vRro_aiG5g/edit?usp=share_link"",""อ่างทอง!n473"")
"),197776)</f>
        <v>197776</v>
      </c>
      <c r="O473" s="38"/>
      <c r="P473" s="38"/>
      <c r="Q473" s="571"/>
      <c r="R473" s="571"/>
      <c r="S473" s="571"/>
      <c r="T473" s="571"/>
      <c r="U473" s="571"/>
      <c r="V473" s="571"/>
      <c r="W473" s="571"/>
      <c r="X473" s="571"/>
      <c r="Y473" s="571"/>
      <c r="Z473" s="571"/>
    </row>
    <row r="474" spans="1:26" ht="20.25" customHeight="1">
      <c r="A474" s="567"/>
      <c r="B474" s="568"/>
      <c r="C474" s="569"/>
      <c r="D474" s="569"/>
      <c r="E474" s="569"/>
      <c r="F474" s="570" t="s">
        <v>187</v>
      </c>
      <c r="G474" s="189"/>
      <c r="H474" s="161" t="s">
        <v>12</v>
      </c>
      <c r="I474" s="37"/>
      <c r="J474" s="37"/>
      <c r="K474" s="38"/>
      <c r="L474" s="38"/>
      <c r="M474" s="38"/>
      <c r="N474" s="283">
        <f ca="1">IFERROR(__xludf.DUMMYFUNCTION("IMPORTRANGE(""https://docs.google.com/spreadsheets/d/1hKO5uv94SSRZWOvrh72HRcpyoEQF9TsE_Cvxl77XNU4/edit?usp=share_link"",""กาญจนบุรี!n474"")+IMPORTRANGE(""https://docs.google.com/spreadsheets/d/1njBaP_xXd-Uotvo2D9zb01TTCFkLJLDK97Tk1l9Qux0/edit?usp=share_li"&amp;"nk"",""จันทบุรี!n474"")+IMPORTRANGE(""https://docs.google.com/spreadsheets/d/14xp6qUzrGFnUk_qnc1eEmfiaNRd4_grkhpfQH_46fa8/edit?usp=share_link"",""ฉะเชิงเทรา!n474"")+IMPORTRANGE(""https://docs.google.com/spreadsheets/d/1_Zwps30dlVa-pZFsorjVf1Pil6WXwzCsJU0U"&amp;"2whO3NI/edit?usp=share_link"",""ชลบุรี!n474"")+IMPORTRANGE(""https://docs.google.com/spreadsheets/d/1xAsT4sUbBlom7l0acStESh_15nvjZcXjZM7fK5uZSq8/edit?usp=share_link"",""ชัยนาท!n474"")+IMPORTRANGE(""https://docs.google.com/spreadsheets/d/1vWPVBOAaZ6mHSI8yf"&amp;"95DNqHwTJ1cpeFsvqt6cxV34QA/edit?usp=share_link"",""ตราด!n474"")+IMPORTRANGE(""https://docs.google.com/spreadsheets/d/1phaeSb9lTGgzDpbvVqI9hfmOQQzUom07-HEvpbARzEg/edit?usp=share_link"",""นครนายก!n474"")+IMPORTRANGE(""https://docs.google.com/spreadsheets/d/"&amp;"1tpwhWwkqkBeiSWCcfB5f2fbwPRbM9hHOEDSDHpl2MIc/edit?usp=share_link"",""นครปฐม!n474"")+IMPORTRANGE(""https://docs.google.com/spreadsheets/d/1fJJCVBkBnhriyv0Cp5ZFMr0I_yrfdEITNpb4zILJgUQ/edit?usp=share_link"",""ปทุมธานี!n474"")+IMPORTRANGE(""https://docs.googl"&amp;"e.com/spreadsheets/d/1W5Jj_S0gYw6wSO7QcMI02YgyOBDKYgmm0NSUk-AQEac/edit?usp=share_link"",""ประจวบคีรีขันธ์!n474"")+IMPORTRANGE(""https://docs.google.com/spreadsheets/d/1nYxRXgnCfTXtqUY1otYuTlnrzE0Tn-Y0YRsW5pkRVqo/edit?usp=share_link"",""ปราจีนบุรี!n474"")+"&amp;"IMPORTRANGE(""https://docs.google.com/spreadsheets/d/1nNHCLO8ZAXOMfQvxux7cf_hrzPAh8FAvaHq_ClKbZNo/edit?usp=share_link"",""พระนครศรีอยุธยา!n474"")+IMPORTRANGE(""https://docs.google.com/spreadsheets/d/1CdNicvf3i6yt4tJlCePe3V1Va76wYqW0QzMzTsaGRrA/edit?usp=sh"&amp;"are_link"",""เพชรบุรี!n474"")+IMPORTRANGE(""https://docs.google.com/spreadsheets/d/1XiF77UIVHV0Kjc6xbXuOuJ10WgJYxd4p_22ngKVV5oM/edit?usp=share_link"",""ระยอง!n474"")+IMPORTRANGE(""https://docs.google.com/spreadsheets/d/1qU-W_9MCQD1pgIVXGEOjCFo9QqlmJywueby"&amp;"GgaN92r8/edit?usp=share_link"",""ราชบุรี!n474"")+IMPORTRANGE(""https://docs.google.com/spreadsheets/d/1xYFIxIM_CspAP5Q-5Zx_V0T_Ut3cjryrjd2hss28vGk/edit?usp=share_link"",""ลพบุรี!n474"")+IMPORTRANGE(""https://docs.google.com/spreadsheets/d/11s9m3tKsCBdPWq6"&amp;"syhZm27eBGbKneDLZc75co106bio/edit?usp=share_link"",""สระแก้ว!n474"")+IMPORTRANGE(""https://docs.google.com/spreadsheets/d/1Nn1EvsFPtXldgpgVb3Rcng2K2cls68LFQsBh2FyW0Bg/edit?usp=share_link"",""สระบุรี!n474"")+IMPORTRANGE(""https://docs.google.com/spreadshee"&amp;"ts/d/149xufxukrnEciK3WPbNpHwUK8BKEJxp3UcBG3Al6dA4/edit?usp=share_link"",""สิงห์บุรี!n474"")+IMPORTRANGE(""https://docs.google.com/spreadsheets/d/132g-zJpz2uMKimp17uOIx8A7o3w1Z25zwJyXnwsB56c/edit?usp=share_link"",""สุพรรณบุรี!n474"")+IMPORTRANGE(""https://"&amp;"docs.google.com/spreadsheets/d/12Q_U0nVnFdxDFwa0pej9xvx8ZvLC9Dpi_vRro_aiG5g/edit?usp=share_link"",""อ่างทอง!n474"")
"),4000)</f>
        <v>4000</v>
      </c>
      <c r="O474" s="38"/>
      <c r="P474" s="38"/>
      <c r="Q474" s="571"/>
      <c r="R474" s="571"/>
      <c r="S474" s="571"/>
      <c r="T474" s="571"/>
      <c r="U474" s="571"/>
      <c r="V474" s="571"/>
      <c r="W474" s="571"/>
      <c r="X474" s="571"/>
      <c r="Y474" s="571"/>
      <c r="Z474" s="571"/>
    </row>
    <row r="475" spans="1:26" ht="20.25" customHeight="1">
      <c r="A475" s="567"/>
      <c r="B475" s="568"/>
      <c r="C475" s="568"/>
      <c r="D475" s="568"/>
      <c r="E475" s="568"/>
      <c r="F475" s="570" t="s">
        <v>188</v>
      </c>
      <c r="G475" s="189"/>
      <c r="H475" s="161" t="s">
        <v>12</v>
      </c>
      <c r="I475" s="37"/>
      <c r="J475" s="37"/>
      <c r="K475" s="38"/>
      <c r="L475" s="38"/>
      <c r="M475" s="38"/>
      <c r="N475" s="283">
        <f ca="1">IFERROR(__xludf.DUMMYFUNCTION("IMPORTRANGE(""https://docs.google.com/spreadsheets/d/1hKO5uv94SSRZWOvrh72HRcpyoEQF9TsE_Cvxl77XNU4/edit?usp=share_link"",""กาญจนบุรี!n475"")+IMPORTRANGE(""https://docs.google.com/spreadsheets/d/1njBaP_xXd-Uotvo2D9zb01TTCFkLJLDK97Tk1l9Qux0/edit?usp=share_li"&amp;"nk"",""จันทบุรี!n475"")+IMPORTRANGE(""https://docs.google.com/spreadsheets/d/14xp6qUzrGFnUk_qnc1eEmfiaNRd4_grkhpfQH_46fa8/edit?usp=share_link"",""ฉะเชิงเทรา!n475"")+IMPORTRANGE(""https://docs.google.com/spreadsheets/d/1_Zwps30dlVa-pZFsorjVf1Pil6WXwzCsJU0U"&amp;"2whO3NI/edit?usp=share_link"",""ชลบุรี!n475"")+IMPORTRANGE(""https://docs.google.com/spreadsheets/d/1xAsT4sUbBlom7l0acStESh_15nvjZcXjZM7fK5uZSq8/edit?usp=share_link"",""ชัยนาท!n475"")+IMPORTRANGE(""https://docs.google.com/spreadsheets/d/1vWPVBOAaZ6mHSI8yf"&amp;"95DNqHwTJ1cpeFsvqt6cxV34QA/edit?usp=share_link"",""ตราด!n475"")+IMPORTRANGE(""https://docs.google.com/spreadsheets/d/1phaeSb9lTGgzDpbvVqI9hfmOQQzUom07-HEvpbARzEg/edit?usp=share_link"",""นครนายก!n475"")+IMPORTRANGE(""https://docs.google.com/spreadsheets/d/"&amp;"1tpwhWwkqkBeiSWCcfB5f2fbwPRbM9hHOEDSDHpl2MIc/edit?usp=share_link"",""นครปฐม!n475"")+IMPORTRANGE(""https://docs.google.com/spreadsheets/d/1fJJCVBkBnhriyv0Cp5ZFMr0I_yrfdEITNpb4zILJgUQ/edit?usp=share_link"",""ปทุมธานี!n475"")+IMPORTRANGE(""https://docs.googl"&amp;"e.com/spreadsheets/d/1W5Jj_S0gYw6wSO7QcMI02YgyOBDKYgmm0NSUk-AQEac/edit?usp=share_link"",""ประจวบคีรีขันธ์!n475"")+IMPORTRANGE(""https://docs.google.com/spreadsheets/d/1nYxRXgnCfTXtqUY1otYuTlnrzE0Tn-Y0YRsW5pkRVqo/edit?usp=share_link"",""ปราจีนบุรี!n475"")+"&amp;"IMPORTRANGE(""https://docs.google.com/spreadsheets/d/1nNHCLO8ZAXOMfQvxux7cf_hrzPAh8FAvaHq_ClKbZNo/edit?usp=share_link"",""พระนครศรีอยุธยา!n475"")+IMPORTRANGE(""https://docs.google.com/spreadsheets/d/1CdNicvf3i6yt4tJlCePe3V1Va76wYqW0QzMzTsaGRrA/edit?usp=sh"&amp;"are_link"",""เพชรบุรี!n475"")+IMPORTRANGE(""https://docs.google.com/spreadsheets/d/1XiF77UIVHV0Kjc6xbXuOuJ10WgJYxd4p_22ngKVV5oM/edit?usp=share_link"",""ระยอง!n475"")+IMPORTRANGE(""https://docs.google.com/spreadsheets/d/1qU-W_9MCQD1pgIVXGEOjCFo9QqlmJywueby"&amp;"GgaN92r8/edit?usp=share_link"",""ราชบุรี!n475"")+IMPORTRANGE(""https://docs.google.com/spreadsheets/d/1xYFIxIM_CspAP5Q-5Zx_V0T_Ut3cjryrjd2hss28vGk/edit?usp=share_link"",""ลพบุรี!n475"")+IMPORTRANGE(""https://docs.google.com/spreadsheets/d/11s9m3tKsCBdPWq6"&amp;"syhZm27eBGbKneDLZc75co106bio/edit?usp=share_link"",""สระแก้ว!n475"")+IMPORTRANGE(""https://docs.google.com/spreadsheets/d/1Nn1EvsFPtXldgpgVb3Rcng2K2cls68LFQsBh2FyW0Bg/edit?usp=share_link"",""สระบุรี!n475"")+IMPORTRANGE(""https://docs.google.com/spreadshee"&amp;"ts/d/149xufxukrnEciK3WPbNpHwUK8BKEJxp3UcBG3Al6dA4/edit?usp=share_link"",""สิงห์บุรี!n475"")+IMPORTRANGE(""https://docs.google.com/spreadsheets/d/132g-zJpz2uMKimp17uOIx8A7o3w1Z25zwJyXnwsB56c/edit?usp=share_link"",""สุพรรณบุรี!n475"")+IMPORTRANGE(""https://"&amp;"docs.google.com/spreadsheets/d/12Q_U0nVnFdxDFwa0pej9xvx8ZvLC9Dpi_vRro_aiG5g/edit?usp=share_link"",""อ่างทอง!n475"")
"),52000)</f>
        <v>52000</v>
      </c>
      <c r="O475" s="38"/>
      <c r="P475" s="38"/>
      <c r="Q475" s="571"/>
      <c r="R475" s="571"/>
      <c r="S475" s="571"/>
      <c r="T475" s="571"/>
      <c r="U475" s="571"/>
      <c r="V475" s="571"/>
      <c r="W475" s="571"/>
      <c r="X475" s="571"/>
      <c r="Y475" s="571"/>
      <c r="Z475" s="571"/>
    </row>
    <row r="476" spans="1:26" ht="20.25" customHeight="1">
      <c r="A476" s="567"/>
      <c r="B476" s="568"/>
      <c r="C476" s="568"/>
      <c r="D476" s="568"/>
      <c r="E476" s="568"/>
      <c r="F476" s="570" t="s">
        <v>189</v>
      </c>
      <c r="G476" s="189"/>
      <c r="H476" s="161" t="s">
        <v>12</v>
      </c>
      <c r="I476" s="37"/>
      <c r="J476" s="37"/>
      <c r="K476" s="38"/>
      <c r="L476" s="38"/>
      <c r="M476" s="38"/>
      <c r="N476" s="283">
        <f ca="1">IFERROR(__xludf.DUMMYFUNCTION("IMPORTRANGE(""https://docs.google.com/spreadsheets/d/1hKO5uv94SSRZWOvrh72HRcpyoEQF9TsE_Cvxl77XNU4/edit?usp=share_link"",""กาญจนบุรี!n476"")+IMPORTRANGE(""https://docs.google.com/spreadsheets/d/1njBaP_xXd-Uotvo2D9zb01TTCFkLJLDK97Tk1l9Qux0/edit?usp=share_li"&amp;"nk"",""จันทบุรี!n476"")+IMPORTRANGE(""https://docs.google.com/spreadsheets/d/14xp6qUzrGFnUk_qnc1eEmfiaNRd4_grkhpfQH_46fa8/edit?usp=share_link"",""ฉะเชิงเทรา!n476"")+IMPORTRANGE(""https://docs.google.com/spreadsheets/d/1_Zwps30dlVa-pZFsorjVf1Pil6WXwzCsJU0U"&amp;"2whO3NI/edit?usp=share_link"",""ชลบุรี!n476"")+IMPORTRANGE(""https://docs.google.com/spreadsheets/d/1xAsT4sUbBlom7l0acStESh_15nvjZcXjZM7fK5uZSq8/edit?usp=share_link"",""ชัยนาท!n476"")+IMPORTRANGE(""https://docs.google.com/spreadsheets/d/1vWPVBOAaZ6mHSI8yf"&amp;"95DNqHwTJ1cpeFsvqt6cxV34QA/edit?usp=share_link"",""ตราด!n476"")+IMPORTRANGE(""https://docs.google.com/spreadsheets/d/1phaeSb9lTGgzDpbvVqI9hfmOQQzUom07-HEvpbARzEg/edit?usp=share_link"",""นครนายก!n476"")+IMPORTRANGE(""https://docs.google.com/spreadsheets/d/"&amp;"1tpwhWwkqkBeiSWCcfB5f2fbwPRbM9hHOEDSDHpl2MIc/edit?usp=share_link"",""นครปฐม!n476"")+IMPORTRANGE(""https://docs.google.com/spreadsheets/d/1fJJCVBkBnhriyv0Cp5ZFMr0I_yrfdEITNpb4zILJgUQ/edit?usp=share_link"",""ปทุมธานี!n476"")+IMPORTRANGE(""https://docs.googl"&amp;"e.com/spreadsheets/d/1W5Jj_S0gYw6wSO7QcMI02YgyOBDKYgmm0NSUk-AQEac/edit?usp=share_link"",""ประจวบคีรีขันธ์!n476"")+IMPORTRANGE(""https://docs.google.com/spreadsheets/d/1nYxRXgnCfTXtqUY1otYuTlnrzE0Tn-Y0YRsW5pkRVqo/edit?usp=share_link"",""ปราจีนบุรี!n476"")+"&amp;"IMPORTRANGE(""https://docs.google.com/spreadsheets/d/1nNHCLO8ZAXOMfQvxux7cf_hrzPAh8FAvaHq_ClKbZNo/edit?usp=share_link"",""พระนครศรีอยุธยา!n476"")+IMPORTRANGE(""https://docs.google.com/spreadsheets/d/1CdNicvf3i6yt4tJlCePe3V1Va76wYqW0QzMzTsaGRrA/edit?usp=sh"&amp;"are_link"",""เพชรบุรี!n476"")+IMPORTRANGE(""https://docs.google.com/spreadsheets/d/1XiF77UIVHV0Kjc6xbXuOuJ10WgJYxd4p_22ngKVV5oM/edit?usp=share_link"",""ระยอง!n476"")+IMPORTRANGE(""https://docs.google.com/spreadsheets/d/1qU-W_9MCQD1pgIVXGEOjCFo9QqlmJywueby"&amp;"GgaN92r8/edit?usp=share_link"",""ราชบุรี!n476"")+IMPORTRANGE(""https://docs.google.com/spreadsheets/d/1xYFIxIM_CspAP5Q-5Zx_V0T_Ut3cjryrjd2hss28vGk/edit?usp=share_link"",""ลพบุรี!n476"")+IMPORTRANGE(""https://docs.google.com/spreadsheets/d/11s9m3tKsCBdPWq6"&amp;"syhZm27eBGbKneDLZc75co106bio/edit?usp=share_link"",""สระแก้ว!n476"")+IMPORTRANGE(""https://docs.google.com/spreadsheets/d/1Nn1EvsFPtXldgpgVb3Rcng2K2cls68LFQsBh2FyW0Bg/edit?usp=share_link"",""สระบุรี!n476"")+IMPORTRANGE(""https://docs.google.com/spreadshee"&amp;"ts/d/149xufxukrnEciK3WPbNpHwUK8BKEJxp3UcBG3Al6dA4/edit?usp=share_link"",""สิงห์บุรี!n476"")+IMPORTRANGE(""https://docs.google.com/spreadsheets/d/132g-zJpz2uMKimp17uOIx8A7o3w1Z25zwJyXnwsB56c/edit?usp=share_link"",""สุพรรณบุรี!n476"")+IMPORTRANGE(""https://"&amp;"docs.google.com/spreadsheets/d/12Q_U0nVnFdxDFwa0pej9xvx8ZvLC9Dpi_vRro_aiG5g/edit?usp=share_link"",""อ่างทอง!n476"")
"),44577)</f>
        <v>44577</v>
      </c>
      <c r="O476" s="38"/>
      <c r="P476" s="38"/>
      <c r="Q476" s="571"/>
      <c r="R476" s="571"/>
      <c r="S476" s="571"/>
      <c r="T476" s="571"/>
      <c r="U476" s="571"/>
      <c r="V476" s="571"/>
      <c r="W476" s="571"/>
      <c r="X476" s="571"/>
      <c r="Y476" s="571"/>
      <c r="Z476" s="571"/>
    </row>
    <row r="477" spans="1:26" ht="20.25" customHeight="1">
      <c r="A477" s="590"/>
      <c r="B477" s="568"/>
      <c r="C477" s="568"/>
      <c r="D477" s="599" t="s">
        <v>21</v>
      </c>
      <c r="E477" s="568"/>
      <c r="F477" s="568"/>
      <c r="G477" s="189"/>
      <c r="H477" s="168" t="s">
        <v>12</v>
      </c>
      <c r="I477" s="162"/>
      <c r="J477" s="162"/>
      <c r="K477" s="163"/>
      <c r="L477" s="38">
        <f t="shared" ref="L477:N477" ca="1" si="245">L478+L479</f>
        <v>0</v>
      </c>
      <c r="M477" s="38">
        <f t="shared" si="245"/>
        <v>0</v>
      </c>
      <c r="N477" s="38">
        <f t="shared" si="245"/>
        <v>0</v>
      </c>
      <c r="O477" s="38">
        <f t="shared" ref="O477:O479" ca="1" si="246">IF(L477&gt;0,N477*100/L477,0)</f>
        <v>0</v>
      </c>
      <c r="P477" s="38">
        <f t="shared" ref="P477:P479" si="247">IF(M477&gt;0,N477*100/M477,0)</f>
        <v>0</v>
      </c>
      <c r="Q477" s="571"/>
      <c r="R477" s="571"/>
      <c r="S477" s="571"/>
      <c r="T477" s="571"/>
      <c r="U477" s="571"/>
      <c r="V477" s="571"/>
      <c r="W477" s="571"/>
      <c r="X477" s="571"/>
      <c r="Y477" s="571"/>
      <c r="Z477" s="571"/>
    </row>
    <row r="478" spans="1:26" ht="20.25" hidden="1" customHeight="1">
      <c r="A478" s="592"/>
      <c r="B478" s="598"/>
      <c r="C478" s="598"/>
      <c r="D478" s="598"/>
      <c r="E478" s="600" t="s">
        <v>18</v>
      </c>
      <c r="F478" s="598"/>
      <c r="G478" s="596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45">
        <f t="shared" si="246"/>
        <v>0</v>
      </c>
      <c r="P478" s="45">
        <f t="shared" si="247"/>
        <v>0</v>
      </c>
      <c r="Q478" s="597"/>
      <c r="R478" s="597"/>
      <c r="S478" s="597"/>
      <c r="T478" s="597"/>
      <c r="U478" s="597"/>
      <c r="V478" s="597"/>
      <c r="W478" s="597"/>
      <c r="X478" s="597"/>
      <c r="Y478" s="597"/>
      <c r="Z478" s="597"/>
    </row>
    <row r="479" spans="1:26" ht="20.25" hidden="1" customHeight="1">
      <c r="A479" s="592"/>
      <c r="B479" s="598"/>
      <c r="C479" s="598"/>
      <c r="D479" s="598"/>
      <c r="E479" s="600" t="s">
        <v>19</v>
      </c>
      <c r="F479" s="598"/>
      <c r="G479" s="596"/>
      <c r="H479" s="169" t="s">
        <v>12</v>
      </c>
      <c r="I479" s="166"/>
      <c r="J479" s="166"/>
      <c r="K479" s="167"/>
      <c r="L479" s="45">
        <f ca="1">IFERROR(__xludf.DUMMYFUNCTION("IMPORTRANGE(""https://docs.google.com/spreadsheets/d/1hKO5uv94SSRZWOvrh72HRcpyoEQF9TsE_Cvxl77XNU4/edit?usp=share_link"",""กาญจนบุรี!L479"")+IMPORTRANGE(""https://docs.google.com/spreadsheets/d/1njBaP_xXd-Uotvo2D9zb01TTCFkLJLDK97Tk1l9Qux0/edit?usp=share_li"&amp;"nk"",""จันทบุรี!L479"")+IMPORTRANGE(""https://docs.google.com/spreadsheets/d/14xp6qUzrGFnUk_qnc1eEmfiaNRd4_grkhpfQH_46fa8/edit?usp=share_link"",""ฉะเชิงเทรา!L479"")+IMPORTRANGE(""https://docs.google.com/spreadsheets/d/1_Zwps30dlVa-pZFsorjVf1Pil6WXwzCsJU0U"&amp;"2whO3NI/edit?usp=share_link"",""ชลบุรี!L479"")+IMPORTRANGE(""https://docs.google.com/spreadsheets/d/1xAsT4sUbBlom7l0acStESh_15nvjZcXjZM7fK5uZSq8/edit?usp=share_link"",""ชัยนาท!L479"")+IMPORTRANGE(""https://docs.google.com/spreadsheets/d/1vWPVBOAaZ6mHSI8yf"&amp;"95DNqHwTJ1cpeFsvqt6cxV34QA/edit?usp=share_link"",""ตราด!L479"")+IMPORTRANGE(""https://docs.google.com/spreadsheets/d/1phaeSb9lTGgzDpbvVqI9hfmOQQzUom07-HEvpbARzEg/edit?usp=share_link"",""นครนายก!L479"")+IMPORTRANGE(""https://docs.google.com/spreadsheets/d/"&amp;"1tpwhWwkqkBeiSWCcfB5f2fbwPRbM9hHOEDSDHpl2MIc/edit?usp=share_link"",""นครปฐม!L479"")+IMPORTRANGE(""https://docs.google.com/spreadsheets/d/1fJJCVBkBnhriyv0Cp5ZFMr0I_yrfdEITNpb4zILJgUQ/edit?usp=share_link"",""ปทุมธานี!L479"")+IMPORTRANGE(""https://docs.googl"&amp;"e.com/spreadsheets/d/1W5Jj_S0gYw6wSO7QcMI02YgyOBDKYgmm0NSUk-AQEac/edit?usp=share_link"",""ประจวบคีรีขันธ์!L479"")+IMPORTRANGE(""https://docs.google.com/spreadsheets/d/1nYxRXgnCfTXtqUY1otYuTlnrzE0Tn-Y0YRsW5pkRVqo/edit?usp=share_link"",""ปราจีนบุรี!L479"")+"&amp;"IMPORTRANGE(""https://docs.google.com/spreadsheets/d/1nNHCLO8ZAXOMfQvxux7cf_hrzPAh8FAvaHq_ClKbZNo/edit?usp=share_link"",""พระนครศรีอยุธยา!L479"")+IMPORTRANGE(""https://docs.google.com/spreadsheets/d/1CdNicvf3i6yt4tJlCePe3V1Va76wYqW0QzMzTsaGRrA/edit?usp=sh"&amp;"are_link"",""เพชรบุรี!L479"")+IMPORTRANGE(""https://docs.google.com/spreadsheets/d/1XiF77UIVHV0Kjc6xbXuOuJ10WgJYxd4p_22ngKVV5oM/edit?usp=share_link"",""ระยอง!L479"")+IMPORTRANGE(""https://docs.google.com/spreadsheets/d/1qU-W_9MCQD1pgIVXGEOjCFo9QqlmJywueby"&amp;"GgaN92r8/edit?usp=share_link"",""ราชบุรี!L479"")+IMPORTRANGE(""https://docs.google.com/spreadsheets/d/1xYFIxIM_CspAP5Q-5Zx_V0T_Ut3cjryrjd2hss28vGk/edit?usp=share_link"",""ลพบุรี!L479"")+IMPORTRANGE(""https://docs.google.com/spreadsheets/d/11s9m3tKsCBdPWq6"&amp;"syhZm27eBGbKneDLZc75co106bio/edit?usp=share_link"",""สระแก้ว!L479"")+IMPORTRANGE(""https://docs.google.com/spreadsheets/d/1Nn1EvsFPtXldgpgVb3Rcng2K2cls68LFQsBh2FyW0Bg/edit?usp=share_link"",""สระบุรี!L479"")+IMPORTRANGE(""https://docs.google.com/spreadshee"&amp;"ts/d/149xufxukrnEciK3WPbNpHwUK8BKEJxp3UcBG3Al6dA4/edit?usp=share_link"",""สิงห์บุรี!L479"")+IMPORTRANGE(""https://docs.google.com/spreadsheets/d/132g-zJpz2uMKimp17uOIx8A7o3w1Z25zwJyXnwsB56c/edit?usp=share_link"",""สุพรรณบุรี!L479"")+IMPORTRANGE(""https://"&amp;"docs.google.com/spreadsheets/d/12Q_U0nVnFdxDFwa0pej9xvx8ZvLC9Dpi_vRro_aiG5g/edit?usp=share_link"",""อ่างทอง!L479"")
"),0)</f>
        <v>0</v>
      </c>
      <c r="M479" s="93">
        <v>0</v>
      </c>
      <c r="N479" s="93">
        <v>0</v>
      </c>
      <c r="O479" s="45">
        <f t="shared" ca="1" si="246"/>
        <v>0</v>
      </c>
      <c r="P479" s="45">
        <f t="shared" si="247"/>
        <v>0</v>
      </c>
      <c r="Q479" s="597"/>
      <c r="R479" s="597"/>
      <c r="S479" s="597"/>
      <c r="T479" s="597"/>
      <c r="U479" s="597"/>
      <c r="V479" s="597"/>
      <c r="W479" s="597"/>
      <c r="X479" s="597"/>
      <c r="Y479" s="597"/>
      <c r="Z479" s="597"/>
    </row>
    <row r="480" spans="1:26" ht="20.25" customHeight="1">
      <c r="A480" s="601"/>
      <c r="B480" s="602"/>
      <c r="C480" s="568" t="s">
        <v>16</v>
      </c>
      <c r="D480" s="614" t="s">
        <v>38</v>
      </c>
      <c r="E480" s="604"/>
      <c r="F480" s="605"/>
      <c r="G480" s="606"/>
      <c r="H480" s="175"/>
      <c r="I480" s="37"/>
      <c r="J480" s="37"/>
      <c r="K480" s="38"/>
      <c r="L480" s="38"/>
      <c r="M480" s="38"/>
      <c r="N480" s="38"/>
      <c r="O480" s="38"/>
      <c r="P480" s="38"/>
      <c r="Q480" s="571"/>
      <c r="R480" s="571"/>
      <c r="S480" s="571"/>
      <c r="T480" s="571"/>
      <c r="U480" s="571"/>
      <c r="V480" s="571"/>
      <c r="W480" s="571"/>
      <c r="X480" s="571"/>
      <c r="Y480" s="571"/>
      <c r="Z480" s="571"/>
    </row>
    <row r="481" spans="1:26" ht="20.25" customHeight="1">
      <c r="A481" s="601"/>
      <c r="B481" s="602"/>
      <c r="C481" s="602"/>
      <c r="D481" s="615" t="s">
        <v>206</v>
      </c>
      <c r="E481" s="602"/>
      <c r="F481" s="602"/>
      <c r="G481" s="175"/>
      <c r="H481" s="189"/>
      <c r="I481" s="37"/>
      <c r="J481" s="37"/>
      <c r="K481" s="38"/>
      <c r="L481" s="38"/>
      <c r="M481" s="38"/>
      <c r="N481" s="38"/>
      <c r="O481" s="38"/>
      <c r="P481" s="38"/>
      <c r="Q481" s="571"/>
      <c r="R481" s="571"/>
      <c r="S481" s="571"/>
      <c r="T481" s="571"/>
      <c r="U481" s="571"/>
      <c r="V481" s="571"/>
      <c r="W481" s="571"/>
      <c r="X481" s="571"/>
      <c r="Y481" s="571"/>
      <c r="Z481" s="571"/>
    </row>
    <row r="482" spans="1:26" ht="20.25" customHeight="1">
      <c r="A482" s="601"/>
      <c r="B482" s="602"/>
      <c r="C482" s="602"/>
      <c r="D482" s="602"/>
      <c r="E482" s="611" t="s">
        <v>207</v>
      </c>
      <c r="F482" s="602"/>
      <c r="G482" s="175"/>
      <c r="H482" s="189"/>
      <c r="I482" s="37"/>
      <c r="J482" s="37"/>
      <c r="K482" s="38"/>
      <c r="L482" s="38"/>
      <c r="M482" s="38"/>
      <c r="N482" s="38"/>
      <c r="O482" s="38"/>
      <c r="P482" s="38"/>
      <c r="Q482" s="571"/>
      <c r="R482" s="571"/>
      <c r="S482" s="571"/>
      <c r="T482" s="571"/>
      <c r="U482" s="571"/>
      <c r="V482" s="571"/>
      <c r="W482" s="571"/>
      <c r="X482" s="571"/>
      <c r="Y482" s="571"/>
      <c r="Z482" s="571"/>
    </row>
    <row r="483" spans="1:26" ht="20.25" customHeight="1">
      <c r="A483" s="601"/>
      <c r="B483" s="602"/>
      <c r="C483" s="602"/>
      <c r="D483" s="602"/>
      <c r="E483" s="602"/>
      <c r="F483" s="611" t="s">
        <v>208</v>
      </c>
      <c r="G483" s="175"/>
      <c r="H483" s="36" t="s">
        <v>46</v>
      </c>
      <c r="I483" s="37">
        <f ca="1">IFERROR(__xludf.DUMMYFUNCTION("IMPORTRANGE(""https://docs.google.com/spreadsheets/d/1hKO5uv94SSRZWOvrh72HRcpyoEQF9TsE_Cvxl77XNU4/edit?usp=share_link"",""กาญจนบุรี!I483"")+IMPORTRANGE(""https://docs.google.com/spreadsheets/d/1njBaP_xXd-Uotvo2D9zb01TTCFkLJLDK97Tk1l9Qux0/edit?usp=share_li"&amp;"nk"",""จันทบุรี!I483"")+IMPORTRANGE(""https://docs.google.com/spreadsheets/d/14xp6qUzrGFnUk_qnc1eEmfiaNRd4_grkhpfQH_46fa8/edit?usp=share_link"",""ฉะเชิงเทรา!I483"")+IMPORTRANGE(""https://docs.google.com/spreadsheets/d/1_Zwps30dlVa-pZFsorjVf1Pil6WXwzCsJU0U"&amp;"2whO3NI/edit?usp=share_link"",""ชลบุรี!I483"")+IMPORTRANGE(""https://docs.google.com/spreadsheets/d/1xAsT4sUbBlom7l0acStESh_15nvjZcXjZM7fK5uZSq8/edit?usp=share_link"",""ชัยนาท!I483"")+IMPORTRANGE(""https://docs.google.com/spreadsheets/d/1vWPVBOAaZ6mHSI8yf"&amp;"95DNqHwTJ1cpeFsvqt6cxV34QA/edit?usp=share_link"",""ตราด!I483"")+IMPORTRANGE(""https://docs.google.com/spreadsheets/d/1phaeSb9lTGgzDpbvVqI9hfmOQQzUom07-HEvpbARzEg/edit?usp=share_link"",""นครนายก!I483"")+IMPORTRANGE(""https://docs.google.com/spreadsheets/d/"&amp;"1tpwhWwkqkBeiSWCcfB5f2fbwPRbM9hHOEDSDHpl2MIc/edit?usp=share_link"",""นครปฐม!I483"")+IMPORTRANGE(""https://docs.google.com/spreadsheets/d/1fJJCVBkBnhriyv0Cp5ZFMr0I_yrfdEITNpb4zILJgUQ/edit?usp=share_link"",""ปทุมธานี!I483"")+IMPORTRANGE(""https://docs.googl"&amp;"e.com/spreadsheets/d/1W5Jj_S0gYw6wSO7QcMI02YgyOBDKYgmm0NSUk-AQEac/edit?usp=share_link"",""ประจวบคีรีขันธ์!I483"")+IMPORTRANGE(""https://docs.google.com/spreadsheets/d/1nYxRXgnCfTXtqUY1otYuTlnrzE0Tn-Y0YRsW5pkRVqo/edit?usp=share_link"",""ปราจีนบุรี!I483"")+"&amp;"IMPORTRANGE(""https://docs.google.com/spreadsheets/d/1nNHCLO8ZAXOMfQvxux7cf_hrzPAh8FAvaHq_ClKbZNo/edit?usp=share_link"",""พระนครศรีอยุธยา!I483"")+IMPORTRANGE(""https://docs.google.com/spreadsheets/d/1CdNicvf3i6yt4tJlCePe3V1Va76wYqW0QzMzTsaGRrA/edit?usp=sh"&amp;"are_link"",""เพชรบุรี!I483"")+IMPORTRANGE(""https://docs.google.com/spreadsheets/d/1XiF77UIVHV0Kjc6xbXuOuJ10WgJYxd4p_22ngKVV5oM/edit?usp=share_link"",""ระยอง!I483"")+IMPORTRANGE(""https://docs.google.com/spreadsheets/d/1qU-W_9MCQD1pgIVXGEOjCFo9QqlmJywueby"&amp;"GgaN92r8/edit?usp=share_link"",""ราชบุรี!I483"")+IMPORTRANGE(""https://docs.google.com/spreadsheets/d/1xYFIxIM_CspAP5Q-5Zx_V0T_Ut3cjryrjd2hss28vGk/edit?usp=share_link"",""ลพบุรี!I483"")+IMPORTRANGE(""https://docs.google.com/spreadsheets/d/11s9m3tKsCBdPWq6"&amp;"syhZm27eBGbKneDLZc75co106bio/edit?usp=share_link"",""สระแก้ว!I483"")+IMPORTRANGE(""https://docs.google.com/spreadsheets/d/1Nn1EvsFPtXldgpgVb3Rcng2K2cls68LFQsBh2FyW0Bg/edit?usp=share_link"",""สระบุรี!I483"")+IMPORTRANGE(""https://docs.google.com/spreadshee"&amp;"ts/d/149xufxukrnEciK3WPbNpHwUK8BKEJxp3UcBG3Al6dA4/edit?usp=share_link"",""สิงห์บุรี!I483"")+IMPORTRANGE(""https://docs.google.com/spreadsheets/d/132g-zJpz2uMKimp17uOIx8A7o3w1Z25zwJyXnwsB56c/edit?usp=share_link"",""สุพรรณบุรี!I483"")+IMPORTRANGE(""https://"&amp;"docs.google.com/spreadsheets/d/12Q_U0nVnFdxDFwa0pej9xvx8ZvLC9Dpi_vRro_aiG5g/edit?usp=share_link"",""อ่างทอง!I483"")
"),7290)</f>
        <v>7290</v>
      </c>
      <c r="J483" s="183">
        <f ca="1">IFERROR(__xludf.DUMMYFUNCTION("IMPORTRANGE(""https://docs.google.com/spreadsheets/d/1hKO5uv94SSRZWOvrh72HRcpyoEQF9TsE_Cvxl77XNU4/edit?usp=share_link"",""กาญจนบุรี!J483"")+IMPORTRANGE(""https://docs.google.com/spreadsheets/d/1njBaP_xXd-Uotvo2D9zb01TTCFkLJLDK97Tk1l9Qux0/edit?usp=share_li"&amp;"nk"",""จันทบุรี!J483"")+IMPORTRANGE(""https://docs.google.com/spreadsheets/d/14xp6qUzrGFnUk_qnc1eEmfiaNRd4_grkhpfQH_46fa8/edit?usp=share_link"",""ฉะเชิงเทรา!J483"")+IMPORTRANGE(""https://docs.google.com/spreadsheets/d/1_Zwps30dlVa-pZFsorjVf1Pil6WXwzCsJU0U"&amp;"2whO3NI/edit?usp=share_link"",""ชลบุรี!J483"")+IMPORTRANGE(""https://docs.google.com/spreadsheets/d/1xAsT4sUbBlom7l0acStESh_15nvjZcXjZM7fK5uZSq8/edit?usp=share_link"",""ชัยนาท!J483"")+IMPORTRANGE(""https://docs.google.com/spreadsheets/d/1vWPVBOAaZ6mHSI8yf"&amp;"95DNqHwTJ1cpeFsvqt6cxV34QA/edit?usp=share_link"",""ตราด!J483"")+IMPORTRANGE(""https://docs.google.com/spreadsheets/d/1phaeSb9lTGgzDpbvVqI9hfmOQQzUom07-HEvpbARzEg/edit?usp=share_link"",""นครนายก!J483"")+IMPORTRANGE(""https://docs.google.com/spreadsheets/d/"&amp;"1tpwhWwkqkBeiSWCcfB5f2fbwPRbM9hHOEDSDHpl2MIc/edit?usp=share_link"",""นครปฐม!J483"")+IMPORTRANGE(""https://docs.google.com/spreadsheets/d/1fJJCVBkBnhriyv0Cp5ZFMr0I_yrfdEITNpb4zILJgUQ/edit?usp=share_link"",""ปทุมธานี!J483"")+IMPORTRANGE(""https://docs.googl"&amp;"e.com/spreadsheets/d/1W5Jj_S0gYw6wSO7QcMI02YgyOBDKYgmm0NSUk-AQEac/edit?usp=share_link"",""ประจวบคีรีขันธ์!J483"")+IMPORTRANGE(""https://docs.google.com/spreadsheets/d/1nYxRXgnCfTXtqUY1otYuTlnrzE0Tn-Y0YRsW5pkRVqo/edit?usp=share_link"",""ปราจีนบุรี!J483"")+"&amp;"IMPORTRANGE(""https://docs.google.com/spreadsheets/d/1nNHCLO8ZAXOMfQvxux7cf_hrzPAh8FAvaHq_ClKbZNo/edit?usp=share_link"",""พระนครศรีอยุธยา!J483"")+IMPORTRANGE(""https://docs.google.com/spreadsheets/d/1CdNicvf3i6yt4tJlCePe3V1Va76wYqW0QzMzTsaGRrA/edit?usp=sh"&amp;"are_link"",""เพชรบุรี!J483"")+IMPORTRANGE(""https://docs.google.com/spreadsheets/d/1XiF77UIVHV0Kjc6xbXuOuJ10WgJYxd4p_22ngKVV5oM/edit?usp=share_link"",""ระยอง!J483"")+IMPORTRANGE(""https://docs.google.com/spreadsheets/d/1qU-W_9MCQD1pgIVXGEOjCFo9QqlmJywueby"&amp;"GgaN92r8/edit?usp=share_link"",""ราชบุรี!J483"")+IMPORTRANGE(""https://docs.google.com/spreadsheets/d/1xYFIxIM_CspAP5Q-5Zx_V0T_Ut3cjryrjd2hss28vGk/edit?usp=share_link"",""ลพบุรี!J483"")+IMPORTRANGE(""https://docs.google.com/spreadsheets/d/11s9m3tKsCBdPWq6"&amp;"syhZm27eBGbKneDLZc75co106bio/edit?usp=share_link"",""สระแก้ว!J483"")+IMPORTRANGE(""https://docs.google.com/spreadsheets/d/1Nn1EvsFPtXldgpgVb3Rcng2K2cls68LFQsBh2FyW0Bg/edit?usp=share_link"",""สระบุรี!J483"")+IMPORTRANGE(""https://docs.google.com/spreadshee"&amp;"ts/d/149xufxukrnEciK3WPbNpHwUK8BKEJxp3UcBG3Al6dA4/edit?usp=share_link"",""สิงห์บุรี!J483"")+IMPORTRANGE(""https://docs.google.com/spreadsheets/d/132g-zJpz2uMKimp17uOIx8A7o3w1Z25zwJyXnwsB56c/edit?usp=share_link"",""สุพรรณบุรี!J483"")+IMPORTRANGE(""https://"&amp;"docs.google.com/spreadsheets/d/12Q_U0nVnFdxDFwa0pej9xvx8ZvLC9Dpi_vRro_aiG5g/edit?usp=share_link"",""อ่างทอง!J483"")
"),13000)</f>
        <v>13000</v>
      </c>
      <c r="K483" s="38">
        <f ca="1">IF(I483&gt;0,J483*100/I483,0)</f>
        <v>178.32647462277092</v>
      </c>
      <c r="L483" s="38"/>
      <c r="M483" s="38"/>
      <c r="N483" s="38"/>
      <c r="O483" s="38"/>
      <c r="P483" s="38"/>
      <c r="Q483" s="571"/>
      <c r="R483" s="571"/>
      <c r="S483" s="571"/>
      <c r="T483" s="571"/>
      <c r="U483" s="571"/>
      <c r="V483" s="571"/>
      <c r="W483" s="571"/>
      <c r="X483" s="571"/>
      <c r="Y483" s="571"/>
      <c r="Z483" s="571"/>
    </row>
    <row r="484" spans="1:26" ht="20.25" customHeight="1">
      <c r="A484" s="601"/>
      <c r="B484" s="602"/>
      <c r="C484" s="602"/>
      <c r="D484" s="602"/>
      <c r="E484" s="602"/>
      <c r="F484" s="611" t="s">
        <v>209</v>
      </c>
      <c r="G484" s="175"/>
      <c r="H484" s="36" t="s">
        <v>35</v>
      </c>
      <c r="I484" s="37"/>
      <c r="J484" s="183">
        <f ca="1">IFERROR(__xludf.DUMMYFUNCTION("IMPORTRANGE(""https://docs.google.com/spreadsheets/d/1hKO5uv94SSRZWOvrh72HRcpyoEQF9TsE_Cvxl77XNU4/edit?usp=share_link"",""กาญจนบุรี!J484"")+IMPORTRANGE(""https://docs.google.com/spreadsheets/d/1njBaP_xXd-Uotvo2D9zb01TTCFkLJLDK97Tk1l9Qux0/edit?usp=share_li"&amp;"nk"",""จันทบุรี!J484"")+IMPORTRANGE(""https://docs.google.com/spreadsheets/d/14xp6qUzrGFnUk_qnc1eEmfiaNRd4_grkhpfQH_46fa8/edit?usp=share_link"",""ฉะเชิงเทรา!J484"")+IMPORTRANGE(""https://docs.google.com/spreadsheets/d/1_Zwps30dlVa-pZFsorjVf1Pil6WXwzCsJU0U"&amp;"2whO3NI/edit?usp=share_link"",""ชลบุรี!J484"")+IMPORTRANGE(""https://docs.google.com/spreadsheets/d/1xAsT4sUbBlom7l0acStESh_15nvjZcXjZM7fK5uZSq8/edit?usp=share_link"",""ชัยนาท!J484"")+IMPORTRANGE(""https://docs.google.com/spreadsheets/d/1vWPVBOAaZ6mHSI8yf"&amp;"95DNqHwTJ1cpeFsvqt6cxV34QA/edit?usp=share_link"",""ตราด!J484"")+IMPORTRANGE(""https://docs.google.com/spreadsheets/d/1phaeSb9lTGgzDpbvVqI9hfmOQQzUom07-HEvpbARzEg/edit?usp=share_link"",""นครนายก!J484"")+IMPORTRANGE(""https://docs.google.com/spreadsheets/d/"&amp;"1tpwhWwkqkBeiSWCcfB5f2fbwPRbM9hHOEDSDHpl2MIc/edit?usp=share_link"",""นครปฐม!J484"")+IMPORTRANGE(""https://docs.google.com/spreadsheets/d/1fJJCVBkBnhriyv0Cp5ZFMr0I_yrfdEITNpb4zILJgUQ/edit?usp=share_link"",""ปทุมธานี!J484"")+IMPORTRANGE(""https://docs.googl"&amp;"e.com/spreadsheets/d/1W5Jj_S0gYw6wSO7QcMI02YgyOBDKYgmm0NSUk-AQEac/edit?usp=share_link"",""ประจวบคีรีขันธ์!J484"")+IMPORTRANGE(""https://docs.google.com/spreadsheets/d/1nYxRXgnCfTXtqUY1otYuTlnrzE0Tn-Y0YRsW5pkRVqo/edit?usp=share_link"",""ปราจีนบุรี!J484"")+"&amp;"IMPORTRANGE(""https://docs.google.com/spreadsheets/d/1nNHCLO8ZAXOMfQvxux7cf_hrzPAh8FAvaHq_ClKbZNo/edit?usp=share_link"",""พระนครศรีอยุธยา!J484"")+IMPORTRANGE(""https://docs.google.com/spreadsheets/d/1CdNicvf3i6yt4tJlCePe3V1Va76wYqW0QzMzTsaGRrA/edit?usp=sh"&amp;"are_link"",""เพชรบุรี!J484"")+IMPORTRANGE(""https://docs.google.com/spreadsheets/d/1XiF77UIVHV0Kjc6xbXuOuJ10WgJYxd4p_22ngKVV5oM/edit?usp=share_link"",""ระยอง!J484"")+IMPORTRANGE(""https://docs.google.com/spreadsheets/d/1qU-W_9MCQD1pgIVXGEOjCFo9QqlmJywueby"&amp;"GgaN92r8/edit?usp=share_link"",""ราชบุรี!J484"")+IMPORTRANGE(""https://docs.google.com/spreadsheets/d/1xYFIxIM_CspAP5Q-5Zx_V0T_Ut3cjryrjd2hss28vGk/edit?usp=share_link"",""ลพบุรี!J484"")+IMPORTRANGE(""https://docs.google.com/spreadsheets/d/11s9m3tKsCBdPWq6"&amp;"syhZm27eBGbKneDLZc75co106bio/edit?usp=share_link"",""สระแก้ว!J484"")+IMPORTRANGE(""https://docs.google.com/spreadsheets/d/1Nn1EvsFPtXldgpgVb3Rcng2K2cls68LFQsBh2FyW0Bg/edit?usp=share_link"",""สระบุรี!J484"")+IMPORTRANGE(""https://docs.google.com/spreadshee"&amp;"ts/d/149xufxukrnEciK3WPbNpHwUK8BKEJxp3UcBG3Al6dA4/edit?usp=share_link"",""สิงห์บุรี!J484"")+IMPORTRANGE(""https://docs.google.com/spreadsheets/d/132g-zJpz2uMKimp17uOIx8A7o3w1Z25zwJyXnwsB56c/edit?usp=share_link"",""สุพรรณบุรี!J484"")+IMPORTRANGE(""https://"&amp;"docs.google.com/spreadsheets/d/12Q_U0nVnFdxDFwa0pej9xvx8ZvLC9Dpi_vRro_aiG5g/edit?usp=share_link"",""อ่างทอง!J484"")
"),0)</f>
        <v>0</v>
      </c>
      <c r="K484" s="38"/>
      <c r="L484" s="38"/>
      <c r="M484" s="38"/>
      <c r="N484" s="38"/>
      <c r="O484" s="38"/>
      <c r="P484" s="38"/>
      <c r="Q484" s="571"/>
      <c r="R484" s="571"/>
      <c r="S484" s="571"/>
      <c r="T484" s="571"/>
      <c r="U484" s="571"/>
      <c r="V484" s="571"/>
      <c r="W484" s="571"/>
      <c r="X484" s="571"/>
      <c r="Y484" s="571"/>
      <c r="Z484" s="571"/>
    </row>
    <row r="485" spans="1:26" ht="20.25" customHeight="1">
      <c r="A485" s="601"/>
      <c r="B485" s="602"/>
      <c r="C485" s="602"/>
      <c r="D485" s="602"/>
      <c r="E485" s="602"/>
      <c r="F485" s="611" t="s">
        <v>210</v>
      </c>
      <c r="G485" s="175"/>
      <c r="H485" s="36" t="s">
        <v>35</v>
      </c>
      <c r="I485" s="37">
        <f ca="1">IFERROR(__xludf.DUMMYFUNCTION("IMPORTRANGE(""https://docs.google.com/spreadsheets/d/1hKO5uv94SSRZWOvrh72HRcpyoEQF9TsE_Cvxl77XNU4/edit?usp=share_link"",""กาญจนบุรี!I485"")+IMPORTRANGE(""https://docs.google.com/spreadsheets/d/1njBaP_xXd-Uotvo2D9zb01TTCFkLJLDK97Tk1l9Qux0/edit?usp=share_li"&amp;"nk"",""จันทบุรี!I485"")+IMPORTRANGE(""https://docs.google.com/spreadsheets/d/14xp6qUzrGFnUk_qnc1eEmfiaNRd4_grkhpfQH_46fa8/edit?usp=share_link"",""ฉะเชิงเทรา!I485"")+IMPORTRANGE(""https://docs.google.com/spreadsheets/d/1_Zwps30dlVa-pZFsorjVf1Pil6WXwzCsJU0U"&amp;"2whO3NI/edit?usp=share_link"",""ชลบุรี!I485"")+IMPORTRANGE(""https://docs.google.com/spreadsheets/d/1xAsT4sUbBlom7l0acStESh_15nvjZcXjZM7fK5uZSq8/edit?usp=share_link"",""ชัยนาท!I485"")+IMPORTRANGE(""https://docs.google.com/spreadsheets/d/1vWPVBOAaZ6mHSI8yf"&amp;"95DNqHwTJ1cpeFsvqt6cxV34QA/edit?usp=share_link"",""ตราด!I485"")+IMPORTRANGE(""https://docs.google.com/spreadsheets/d/1phaeSb9lTGgzDpbvVqI9hfmOQQzUom07-HEvpbARzEg/edit?usp=share_link"",""นครนายก!I485"")+IMPORTRANGE(""https://docs.google.com/spreadsheets/d/"&amp;"1tpwhWwkqkBeiSWCcfB5f2fbwPRbM9hHOEDSDHpl2MIc/edit?usp=share_link"",""นครปฐม!I485"")+IMPORTRANGE(""https://docs.google.com/spreadsheets/d/1fJJCVBkBnhriyv0Cp5ZFMr0I_yrfdEITNpb4zILJgUQ/edit?usp=share_link"",""ปทุมธานี!I485"")+IMPORTRANGE(""https://docs.googl"&amp;"e.com/spreadsheets/d/1W5Jj_S0gYw6wSO7QcMI02YgyOBDKYgmm0NSUk-AQEac/edit?usp=share_link"",""ประจวบคีรีขันธ์!I485"")+IMPORTRANGE(""https://docs.google.com/spreadsheets/d/1nYxRXgnCfTXtqUY1otYuTlnrzE0Tn-Y0YRsW5pkRVqo/edit?usp=share_link"",""ปราจีนบุรี!I485"")+"&amp;"IMPORTRANGE(""https://docs.google.com/spreadsheets/d/1nNHCLO8ZAXOMfQvxux7cf_hrzPAh8FAvaHq_ClKbZNo/edit?usp=share_link"",""พระนครศรีอยุธยา!I485"")+IMPORTRANGE(""https://docs.google.com/spreadsheets/d/1CdNicvf3i6yt4tJlCePe3V1Va76wYqW0QzMzTsaGRrA/edit?usp=sh"&amp;"are_link"",""เพชรบุรี!I485"")+IMPORTRANGE(""https://docs.google.com/spreadsheets/d/1XiF77UIVHV0Kjc6xbXuOuJ10WgJYxd4p_22ngKVV5oM/edit?usp=share_link"",""ระยอง!I485"")+IMPORTRANGE(""https://docs.google.com/spreadsheets/d/1qU-W_9MCQD1pgIVXGEOjCFo9QqlmJywueby"&amp;"GgaN92r8/edit?usp=share_link"",""ราชบุรี!I485"")+IMPORTRANGE(""https://docs.google.com/spreadsheets/d/1xYFIxIM_CspAP5Q-5Zx_V0T_Ut3cjryrjd2hss28vGk/edit?usp=share_link"",""ลพบุรี!I485"")+IMPORTRANGE(""https://docs.google.com/spreadsheets/d/11s9m3tKsCBdPWq6"&amp;"syhZm27eBGbKneDLZc75co106bio/edit?usp=share_link"",""สระแก้ว!I485"")+IMPORTRANGE(""https://docs.google.com/spreadsheets/d/1Nn1EvsFPtXldgpgVb3Rcng2K2cls68LFQsBh2FyW0Bg/edit?usp=share_link"",""สระบุรี!I485"")+IMPORTRANGE(""https://docs.google.com/spreadshee"&amp;"ts/d/149xufxukrnEciK3WPbNpHwUK8BKEJxp3UcBG3Al6dA4/edit?usp=share_link"",""สิงห์บุรี!I485"")+IMPORTRANGE(""https://docs.google.com/spreadsheets/d/132g-zJpz2uMKimp17uOIx8A7o3w1Z25zwJyXnwsB56c/edit?usp=share_link"",""สุพรรณบุรี!I485"")+IMPORTRANGE(""https://"&amp;"docs.google.com/spreadsheets/d/12Q_U0nVnFdxDFwa0pej9xvx8ZvLC9Dpi_vRro_aiG5g/edit?usp=share_link"",""อ่างทอง!I485"")
"),729)</f>
        <v>729</v>
      </c>
      <c r="J485" s="183">
        <f ca="1">IFERROR(__xludf.DUMMYFUNCTION("IMPORTRANGE(""https://docs.google.com/spreadsheets/d/1hKO5uv94SSRZWOvrh72HRcpyoEQF9TsE_Cvxl77XNU4/edit?usp=share_link"",""กาญจนบุรี!J485"")+IMPORTRANGE(""https://docs.google.com/spreadsheets/d/1njBaP_xXd-Uotvo2D9zb01TTCFkLJLDK97Tk1l9Qux0/edit?usp=share_li"&amp;"nk"",""จันทบุรี!J485"")+IMPORTRANGE(""https://docs.google.com/spreadsheets/d/14xp6qUzrGFnUk_qnc1eEmfiaNRd4_grkhpfQH_46fa8/edit?usp=share_link"",""ฉะเชิงเทรา!J485"")+IMPORTRANGE(""https://docs.google.com/spreadsheets/d/1_Zwps30dlVa-pZFsorjVf1Pil6WXwzCsJU0U"&amp;"2whO3NI/edit?usp=share_link"",""ชลบุรี!J485"")+IMPORTRANGE(""https://docs.google.com/spreadsheets/d/1xAsT4sUbBlom7l0acStESh_15nvjZcXjZM7fK5uZSq8/edit?usp=share_link"",""ชัยนาท!J485"")+IMPORTRANGE(""https://docs.google.com/spreadsheets/d/1vWPVBOAaZ6mHSI8yf"&amp;"95DNqHwTJ1cpeFsvqt6cxV34QA/edit?usp=share_link"",""ตราด!J485"")+IMPORTRANGE(""https://docs.google.com/spreadsheets/d/1phaeSb9lTGgzDpbvVqI9hfmOQQzUom07-HEvpbARzEg/edit?usp=share_link"",""นครนายก!J485"")+IMPORTRANGE(""https://docs.google.com/spreadsheets/d/"&amp;"1tpwhWwkqkBeiSWCcfB5f2fbwPRbM9hHOEDSDHpl2MIc/edit?usp=share_link"",""นครปฐม!J485"")+IMPORTRANGE(""https://docs.google.com/spreadsheets/d/1fJJCVBkBnhriyv0Cp5ZFMr0I_yrfdEITNpb4zILJgUQ/edit?usp=share_link"",""ปทุมธานี!J485"")+IMPORTRANGE(""https://docs.googl"&amp;"e.com/spreadsheets/d/1W5Jj_S0gYw6wSO7QcMI02YgyOBDKYgmm0NSUk-AQEac/edit?usp=share_link"",""ประจวบคีรีขันธ์!J485"")+IMPORTRANGE(""https://docs.google.com/spreadsheets/d/1nYxRXgnCfTXtqUY1otYuTlnrzE0Tn-Y0YRsW5pkRVqo/edit?usp=share_link"",""ปราจีนบุรี!J485"")+"&amp;"IMPORTRANGE(""https://docs.google.com/spreadsheets/d/1nNHCLO8ZAXOMfQvxux7cf_hrzPAh8FAvaHq_ClKbZNo/edit?usp=share_link"",""พระนครศรีอยุธยา!J485"")+IMPORTRANGE(""https://docs.google.com/spreadsheets/d/1CdNicvf3i6yt4tJlCePe3V1Va76wYqW0QzMzTsaGRrA/edit?usp=sh"&amp;"are_link"",""เพชรบุรี!J485"")+IMPORTRANGE(""https://docs.google.com/spreadsheets/d/1XiF77UIVHV0Kjc6xbXuOuJ10WgJYxd4p_22ngKVV5oM/edit?usp=share_link"",""ระยอง!J485"")+IMPORTRANGE(""https://docs.google.com/spreadsheets/d/1qU-W_9MCQD1pgIVXGEOjCFo9QqlmJywueby"&amp;"GgaN92r8/edit?usp=share_link"",""ราชบุรี!J485"")+IMPORTRANGE(""https://docs.google.com/spreadsheets/d/1xYFIxIM_CspAP5Q-5Zx_V0T_Ut3cjryrjd2hss28vGk/edit?usp=share_link"",""ลพบุรี!J485"")+IMPORTRANGE(""https://docs.google.com/spreadsheets/d/11s9m3tKsCBdPWq6"&amp;"syhZm27eBGbKneDLZc75co106bio/edit?usp=share_link"",""สระแก้ว!J485"")+IMPORTRANGE(""https://docs.google.com/spreadsheets/d/1Nn1EvsFPtXldgpgVb3Rcng2K2cls68LFQsBh2FyW0Bg/edit?usp=share_link"",""สระบุรี!J485"")+IMPORTRANGE(""https://docs.google.com/spreadshee"&amp;"ts/d/149xufxukrnEciK3WPbNpHwUK8BKEJxp3UcBG3Al6dA4/edit?usp=share_link"",""สิงห์บุรี!J485"")+IMPORTRANGE(""https://docs.google.com/spreadsheets/d/132g-zJpz2uMKimp17uOIx8A7o3w1Z25zwJyXnwsB56c/edit?usp=share_link"",""สุพรรณบุรี!J485"")+IMPORTRANGE(""https://"&amp;"docs.google.com/spreadsheets/d/12Q_U0nVnFdxDFwa0pej9xvx8ZvLC9Dpi_vRro_aiG5g/edit?usp=share_link"",""อ่างทอง!J485"")
"),148)</f>
        <v>148</v>
      </c>
      <c r="K485" s="38">
        <f ca="1">IF(I485&gt;0,J485*100/I485,0)</f>
        <v>20.301783264746227</v>
      </c>
      <c r="L485" s="38"/>
      <c r="M485" s="38"/>
      <c r="N485" s="38"/>
      <c r="O485" s="38"/>
      <c r="P485" s="38"/>
      <c r="Q485" s="571"/>
      <c r="R485" s="571"/>
      <c r="S485" s="571"/>
      <c r="T485" s="571"/>
      <c r="U485" s="571"/>
      <c r="V485" s="571"/>
      <c r="W485" s="571"/>
      <c r="X485" s="571"/>
      <c r="Y485" s="571"/>
      <c r="Z485" s="571"/>
    </row>
    <row r="486" spans="1:26" ht="20.25" customHeight="1">
      <c r="A486" s="601"/>
      <c r="B486" s="602"/>
      <c r="C486" s="602"/>
      <c r="D486" s="602"/>
      <c r="E486" s="611" t="s">
        <v>62</v>
      </c>
      <c r="F486" s="602"/>
      <c r="G486" s="175"/>
      <c r="H486" s="36"/>
      <c r="I486" s="37"/>
      <c r="J486" s="37"/>
      <c r="K486" s="38"/>
      <c r="L486" s="38"/>
      <c r="M486" s="38"/>
      <c r="N486" s="38"/>
      <c r="O486" s="38"/>
      <c r="P486" s="38"/>
      <c r="Q486" s="571"/>
      <c r="R486" s="571"/>
      <c r="S486" s="571"/>
      <c r="T486" s="571"/>
      <c r="U486" s="571"/>
      <c r="V486" s="571"/>
      <c r="W486" s="571"/>
      <c r="X486" s="571"/>
      <c r="Y486" s="571"/>
      <c r="Z486" s="571"/>
    </row>
    <row r="487" spans="1:26" ht="20.25" customHeight="1">
      <c r="A487" s="601"/>
      <c r="B487" s="602"/>
      <c r="C487" s="602"/>
      <c r="D487" s="602"/>
      <c r="E487" s="602"/>
      <c r="F487" s="611" t="s">
        <v>208</v>
      </c>
      <c r="G487" s="175"/>
      <c r="H487" s="36" t="s">
        <v>46</v>
      </c>
      <c r="I487" s="37">
        <f ca="1">IFERROR(__xludf.DUMMYFUNCTION("IMPORTRANGE(""https://docs.google.com/spreadsheets/d/1hKO5uv94SSRZWOvrh72HRcpyoEQF9TsE_Cvxl77XNU4/edit?usp=share_link"",""กาญจนบุรี!I487"")+IMPORTRANGE(""https://docs.google.com/spreadsheets/d/1njBaP_xXd-Uotvo2D9zb01TTCFkLJLDK97Tk1l9Qux0/edit?usp=share_li"&amp;"nk"",""จันทบุรี!I487"")+IMPORTRANGE(""https://docs.google.com/spreadsheets/d/14xp6qUzrGFnUk_qnc1eEmfiaNRd4_grkhpfQH_46fa8/edit?usp=share_link"",""ฉะเชิงเทรา!I487"")+IMPORTRANGE(""https://docs.google.com/spreadsheets/d/1_Zwps30dlVa-pZFsorjVf1Pil6WXwzCsJU0U"&amp;"2whO3NI/edit?usp=share_link"",""ชลบุรี!I487"")+IMPORTRANGE(""https://docs.google.com/spreadsheets/d/1xAsT4sUbBlom7l0acStESh_15nvjZcXjZM7fK5uZSq8/edit?usp=share_link"",""ชัยนาท!I487"")+IMPORTRANGE(""https://docs.google.com/spreadsheets/d/1vWPVBOAaZ6mHSI8yf"&amp;"95DNqHwTJ1cpeFsvqt6cxV34QA/edit?usp=share_link"",""ตราด!I487"")+IMPORTRANGE(""https://docs.google.com/spreadsheets/d/1phaeSb9lTGgzDpbvVqI9hfmOQQzUom07-HEvpbARzEg/edit?usp=share_link"",""นครนายก!I487"")+IMPORTRANGE(""https://docs.google.com/spreadsheets/d/"&amp;"1tpwhWwkqkBeiSWCcfB5f2fbwPRbM9hHOEDSDHpl2MIc/edit?usp=share_link"",""นครปฐม!I487"")+IMPORTRANGE(""https://docs.google.com/spreadsheets/d/1fJJCVBkBnhriyv0Cp5ZFMr0I_yrfdEITNpb4zILJgUQ/edit?usp=share_link"",""ปทุมธานี!I487"")+IMPORTRANGE(""https://docs.googl"&amp;"e.com/spreadsheets/d/1W5Jj_S0gYw6wSO7QcMI02YgyOBDKYgmm0NSUk-AQEac/edit?usp=share_link"",""ประจวบคีรีขันธ์!I487"")+IMPORTRANGE(""https://docs.google.com/spreadsheets/d/1nYxRXgnCfTXtqUY1otYuTlnrzE0Tn-Y0YRsW5pkRVqo/edit?usp=share_link"",""ปราจีนบุรี!I487"")+"&amp;"IMPORTRANGE(""https://docs.google.com/spreadsheets/d/1nNHCLO8ZAXOMfQvxux7cf_hrzPAh8FAvaHq_ClKbZNo/edit?usp=share_link"",""พระนครศรีอยุธยา!I487"")+IMPORTRANGE(""https://docs.google.com/spreadsheets/d/1CdNicvf3i6yt4tJlCePe3V1Va76wYqW0QzMzTsaGRrA/edit?usp=sh"&amp;"are_link"",""เพชรบุรี!I487"")+IMPORTRANGE(""https://docs.google.com/spreadsheets/d/1XiF77UIVHV0Kjc6xbXuOuJ10WgJYxd4p_22ngKVV5oM/edit?usp=share_link"",""ระยอง!I487"")+IMPORTRANGE(""https://docs.google.com/spreadsheets/d/1qU-W_9MCQD1pgIVXGEOjCFo9QqlmJywueby"&amp;"GgaN92r8/edit?usp=share_link"",""ราชบุรี!I487"")+IMPORTRANGE(""https://docs.google.com/spreadsheets/d/1xYFIxIM_CspAP5Q-5Zx_V0T_Ut3cjryrjd2hss28vGk/edit?usp=share_link"",""ลพบุรี!I487"")+IMPORTRANGE(""https://docs.google.com/spreadsheets/d/11s9m3tKsCBdPWq6"&amp;"syhZm27eBGbKneDLZc75co106bio/edit?usp=share_link"",""สระแก้ว!I487"")+IMPORTRANGE(""https://docs.google.com/spreadsheets/d/1Nn1EvsFPtXldgpgVb3Rcng2K2cls68LFQsBh2FyW0Bg/edit?usp=share_link"",""สระบุรี!I487"")+IMPORTRANGE(""https://docs.google.com/spreadshee"&amp;"ts/d/149xufxukrnEciK3WPbNpHwUK8BKEJxp3UcBG3Al6dA4/edit?usp=share_link"",""สิงห์บุรี!I487"")+IMPORTRANGE(""https://docs.google.com/spreadsheets/d/132g-zJpz2uMKimp17uOIx8A7o3w1Z25zwJyXnwsB56c/edit?usp=share_link"",""สุพรรณบุรี!I487"")+IMPORTRANGE(""https://"&amp;"docs.google.com/spreadsheets/d/12Q_U0nVnFdxDFwa0pej9xvx8ZvLC9Dpi_vRro_aiG5g/edit?usp=share_link"",""อ่างทอง!I487"")
"),810)</f>
        <v>810</v>
      </c>
      <c r="J487" s="183">
        <f ca="1">IFERROR(__xludf.DUMMYFUNCTION("IMPORTRANGE(""https://docs.google.com/spreadsheets/d/1hKO5uv94SSRZWOvrh72HRcpyoEQF9TsE_Cvxl77XNU4/edit?usp=share_link"",""กาญจนบุรี!J487"")+IMPORTRANGE(""https://docs.google.com/spreadsheets/d/1njBaP_xXd-Uotvo2D9zb01TTCFkLJLDK97Tk1l9Qux0/edit?usp=share_li"&amp;"nk"",""จันทบุรี!J487"")+IMPORTRANGE(""https://docs.google.com/spreadsheets/d/14xp6qUzrGFnUk_qnc1eEmfiaNRd4_grkhpfQH_46fa8/edit?usp=share_link"",""ฉะเชิงเทรา!J487"")+IMPORTRANGE(""https://docs.google.com/spreadsheets/d/1_Zwps30dlVa-pZFsorjVf1Pil6WXwzCsJU0U"&amp;"2whO3NI/edit?usp=share_link"",""ชลบุรี!J487"")+IMPORTRANGE(""https://docs.google.com/spreadsheets/d/1xAsT4sUbBlom7l0acStESh_15nvjZcXjZM7fK5uZSq8/edit?usp=share_link"",""ชัยนาท!J487"")+IMPORTRANGE(""https://docs.google.com/spreadsheets/d/1vWPVBOAaZ6mHSI8yf"&amp;"95DNqHwTJ1cpeFsvqt6cxV34QA/edit?usp=share_link"",""ตราด!J487"")+IMPORTRANGE(""https://docs.google.com/spreadsheets/d/1phaeSb9lTGgzDpbvVqI9hfmOQQzUom07-HEvpbARzEg/edit?usp=share_link"",""นครนายก!J487"")+IMPORTRANGE(""https://docs.google.com/spreadsheets/d/"&amp;"1tpwhWwkqkBeiSWCcfB5f2fbwPRbM9hHOEDSDHpl2MIc/edit?usp=share_link"",""นครปฐม!J487"")+IMPORTRANGE(""https://docs.google.com/spreadsheets/d/1fJJCVBkBnhriyv0Cp5ZFMr0I_yrfdEITNpb4zILJgUQ/edit?usp=share_link"",""ปทุมธานี!J487"")+IMPORTRANGE(""https://docs.googl"&amp;"e.com/spreadsheets/d/1W5Jj_S0gYw6wSO7QcMI02YgyOBDKYgmm0NSUk-AQEac/edit?usp=share_link"",""ประจวบคีรีขันธ์!J487"")+IMPORTRANGE(""https://docs.google.com/spreadsheets/d/1nYxRXgnCfTXtqUY1otYuTlnrzE0Tn-Y0YRsW5pkRVqo/edit?usp=share_link"",""ปราจีนบุรี!J487"")+"&amp;"IMPORTRANGE(""https://docs.google.com/spreadsheets/d/1nNHCLO8ZAXOMfQvxux7cf_hrzPAh8FAvaHq_ClKbZNo/edit?usp=share_link"",""พระนครศรีอยุธยา!J487"")+IMPORTRANGE(""https://docs.google.com/spreadsheets/d/1CdNicvf3i6yt4tJlCePe3V1Va76wYqW0QzMzTsaGRrA/edit?usp=sh"&amp;"are_link"",""เพชรบุรี!J487"")+IMPORTRANGE(""https://docs.google.com/spreadsheets/d/1XiF77UIVHV0Kjc6xbXuOuJ10WgJYxd4p_22ngKVV5oM/edit?usp=share_link"",""ระยอง!J487"")+IMPORTRANGE(""https://docs.google.com/spreadsheets/d/1qU-W_9MCQD1pgIVXGEOjCFo9QqlmJywueby"&amp;"GgaN92r8/edit?usp=share_link"",""ราชบุรี!J487"")+IMPORTRANGE(""https://docs.google.com/spreadsheets/d/1xYFIxIM_CspAP5Q-5Zx_V0T_Ut3cjryrjd2hss28vGk/edit?usp=share_link"",""ลพบุรี!J487"")+IMPORTRANGE(""https://docs.google.com/spreadsheets/d/11s9m3tKsCBdPWq6"&amp;"syhZm27eBGbKneDLZc75co106bio/edit?usp=share_link"",""สระแก้ว!J487"")+IMPORTRANGE(""https://docs.google.com/spreadsheets/d/1Nn1EvsFPtXldgpgVb3Rcng2K2cls68LFQsBh2FyW0Bg/edit?usp=share_link"",""สระบุรี!J487"")+IMPORTRANGE(""https://docs.google.com/spreadshee"&amp;"ts/d/149xufxukrnEciK3WPbNpHwUK8BKEJxp3UcBG3Al6dA4/edit?usp=share_link"",""สิงห์บุรี!J487"")+IMPORTRANGE(""https://docs.google.com/spreadsheets/d/132g-zJpz2uMKimp17uOIx8A7o3w1Z25zwJyXnwsB56c/edit?usp=share_link"",""สุพรรณบุรี!J487"")+IMPORTRANGE(""https://"&amp;"docs.google.com/spreadsheets/d/12Q_U0nVnFdxDFwa0pej9xvx8ZvLC9Dpi_vRro_aiG5g/edit?usp=share_link"",""อ่างทอง!J487"")
"),0)</f>
        <v>0</v>
      </c>
      <c r="K487" s="38">
        <f ca="1">IF(I487&gt;0,J487*100/I487,0)</f>
        <v>0</v>
      </c>
      <c r="L487" s="38"/>
      <c r="M487" s="38"/>
      <c r="N487" s="38"/>
      <c r="O487" s="38"/>
      <c r="P487" s="38"/>
      <c r="Q487" s="571"/>
      <c r="R487" s="571"/>
      <c r="S487" s="571"/>
      <c r="T487" s="571"/>
      <c r="U487" s="571"/>
      <c r="V487" s="571"/>
      <c r="W487" s="571"/>
      <c r="X487" s="571"/>
      <c r="Y487" s="571"/>
      <c r="Z487" s="571"/>
    </row>
    <row r="488" spans="1:26" ht="20.25" customHeight="1">
      <c r="A488" s="601"/>
      <c r="B488" s="602"/>
      <c r="C488" s="602"/>
      <c r="D488" s="602"/>
      <c r="E488" s="602"/>
      <c r="F488" s="611" t="s">
        <v>211</v>
      </c>
      <c r="G488" s="175"/>
      <c r="H488" s="36" t="s">
        <v>35</v>
      </c>
      <c r="I488" s="37"/>
      <c r="J488" s="183">
        <f ca="1">IFERROR(__xludf.DUMMYFUNCTION("IMPORTRANGE(""https://docs.google.com/spreadsheets/d/1hKO5uv94SSRZWOvrh72HRcpyoEQF9TsE_Cvxl77XNU4/edit?usp=share_link"",""กาญจนบุรี!J488"")+IMPORTRANGE(""https://docs.google.com/spreadsheets/d/1njBaP_xXd-Uotvo2D9zb01TTCFkLJLDK97Tk1l9Qux0/edit?usp=share_li"&amp;"nk"",""จันทบุรี!J488"")+IMPORTRANGE(""https://docs.google.com/spreadsheets/d/14xp6qUzrGFnUk_qnc1eEmfiaNRd4_grkhpfQH_46fa8/edit?usp=share_link"",""ฉะเชิงเทรา!J488"")+IMPORTRANGE(""https://docs.google.com/spreadsheets/d/1_Zwps30dlVa-pZFsorjVf1Pil6WXwzCsJU0U"&amp;"2whO3NI/edit?usp=share_link"",""ชลบุรี!J488"")+IMPORTRANGE(""https://docs.google.com/spreadsheets/d/1xAsT4sUbBlom7l0acStESh_15nvjZcXjZM7fK5uZSq8/edit?usp=share_link"",""ชัยนาท!J488"")+IMPORTRANGE(""https://docs.google.com/spreadsheets/d/1vWPVBOAaZ6mHSI8yf"&amp;"95DNqHwTJ1cpeFsvqt6cxV34QA/edit?usp=share_link"",""ตราด!J488"")+IMPORTRANGE(""https://docs.google.com/spreadsheets/d/1phaeSb9lTGgzDpbvVqI9hfmOQQzUom07-HEvpbARzEg/edit?usp=share_link"",""นครนายก!J488"")+IMPORTRANGE(""https://docs.google.com/spreadsheets/d/"&amp;"1tpwhWwkqkBeiSWCcfB5f2fbwPRbM9hHOEDSDHpl2MIc/edit?usp=share_link"",""นครปฐม!J488"")+IMPORTRANGE(""https://docs.google.com/spreadsheets/d/1fJJCVBkBnhriyv0Cp5ZFMr0I_yrfdEITNpb4zILJgUQ/edit?usp=share_link"",""ปทุมธานี!J488"")+IMPORTRANGE(""https://docs.googl"&amp;"e.com/spreadsheets/d/1W5Jj_S0gYw6wSO7QcMI02YgyOBDKYgmm0NSUk-AQEac/edit?usp=share_link"",""ประจวบคีรีขันธ์!J488"")+IMPORTRANGE(""https://docs.google.com/spreadsheets/d/1nYxRXgnCfTXtqUY1otYuTlnrzE0Tn-Y0YRsW5pkRVqo/edit?usp=share_link"",""ปราจีนบุรี!J488"")+"&amp;"IMPORTRANGE(""https://docs.google.com/spreadsheets/d/1nNHCLO8ZAXOMfQvxux7cf_hrzPAh8FAvaHq_ClKbZNo/edit?usp=share_link"",""พระนครศรีอยุธยา!J488"")+IMPORTRANGE(""https://docs.google.com/spreadsheets/d/1CdNicvf3i6yt4tJlCePe3V1Va76wYqW0QzMzTsaGRrA/edit?usp=sh"&amp;"are_link"",""เพชรบุรี!J488"")+IMPORTRANGE(""https://docs.google.com/spreadsheets/d/1XiF77UIVHV0Kjc6xbXuOuJ10WgJYxd4p_22ngKVV5oM/edit?usp=share_link"",""ระยอง!J488"")+IMPORTRANGE(""https://docs.google.com/spreadsheets/d/1qU-W_9MCQD1pgIVXGEOjCFo9QqlmJywueby"&amp;"GgaN92r8/edit?usp=share_link"",""ราชบุรี!J488"")+IMPORTRANGE(""https://docs.google.com/spreadsheets/d/1xYFIxIM_CspAP5Q-5Zx_V0T_Ut3cjryrjd2hss28vGk/edit?usp=share_link"",""ลพบุรี!J488"")+IMPORTRANGE(""https://docs.google.com/spreadsheets/d/11s9m3tKsCBdPWq6"&amp;"syhZm27eBGbKneDLZc75co106bio/edit?usp=share_link"",""สระแก้ว!J488"")+IMPORTRANGE(""https://docs.google.com/spreadsheets/d/1Nn1EvsFPtXldgpgVb3Rcng2K2cls68LFQsBh2FyW0Bg/edit?usp=share_link"",""สระบุรี!J488"")+IMPORTRANGE(""https://docs.google.com/spreadshee"&amp;"ts/d/149xufxukrnEciK3WPbNpHwUK8BKEJxp3UcBG3Al6dA4/edit?usp=share_link"",""สิงห์บุรี!J488"")+IMPORTRANGE(""https://docs.google.com/spreadsheets/d/132g-zJpz2uMKimp17uOIx8A7o3w1Z25zwJyXnwsB56c/edit?usp=share_link"",""สุพรรณบุรี!J488"")+IMPORTRANGE(""https://"&amp;"docs.google.com/spreadsheets/d/12Q_U0nVnFdxDFwa0pej9xvx8ZvLC9Dpi_vRro_aiG5g/edit?usp=share_link"",""อ่างทอง!J488"")
"),0)</f>
        <v>0</v>
      </c>
      <c r="K488" s="38"/>
      <c r="L488" s="38"/>
      <c r="M488" s="38"/>
      <c r="N488" s="38"/>
      <c r="O488" s="38"/>
      <c r="P488" s="38"/>
      <c r="Q488" s="571"/>
      <c r="R488" s="571"/>
      <c r="S488" s="571"/>
      <c r="T488" s="571"/>
      <c r="U488" s="571"/>
      <c r="V488" s="571"/>
      <c r="W488" s="571"/>
      <c r="X488" s="571"/>
      <c r="Y488" s="571"/>
      <c r="Z488" s="571"/>
    </row>
    <row r="489" spans="1:26" ht="20.25" customHeight="1">
      <c r="A489" s="601"/>
      <c r="B489" s="602"/>
      <c r="C489" s="602"/>
      <c r="D489" s="602"/>
      <c r="E489" s="602"/>
      <c r="F489" s="611" t="s">
        <v>212</v>
      </c>
      <c r="G489" s="175"/>
      <c r="H489" s="616" t="s">
        <v>35</v>
      </c>
      <c r="I489" s="37">
        <f ca="1">IFERROR(__xludf.DUMMYFUNCTION("IMPORTRANGE(""https://docs.google.com/spreadsheets/d/1hKO5uv94SSRZWOvrh72HRcpyoEQF9TsE_Cvxl77XNU4/edit?usp=share_link"",""กาญจนบุรี!I489"")+IMPORTRANGE(""https://docs.google.com/spreadsheets/d/1njBaP_xXd-Uotvo2D9zb01TTCFkLJLDK97Tk1l9Qux0/edit?usp=share_li"&amp;"nk"",""จันทบุรี!I489"")+IMPORTRANGE(""https://docs.google.com/spreadsheets/d/14xp6qUzrGFnUk_qnc1eEmfiaNRd4_grkhpfQH_46fa8/edit?usp=share_link"",""ฉะเชิงเทรา!I489"")+IMPORTRANGE(""https://docs.google.com/spreadsheets/d/1_Zwps30dlVa-pZFsorjVf1Pil6WXwzCsJU0U"&amp;"2whO3NI/edit?usp=share_link"",""ชลบุรี!I489"")+IMPORTRANGE(""https://docs.google.com/spreadsheets/d/1xAsT4sUbBlom7l0acStESh_15nvjZcXjZM7fK5uZSq8/edit?usp=share_link"",""ชัยนาท!I489"")+IMPORTRANGE(""https://docs.google.com/spreadsheets/d/1vWPVBOAaZ6mHSI8yf"&amp;"95DNqHwTJ1cpeFsvqt6cxV34QA/edit?usp=share_link"",""ตราด!I489"")+IMPORTRANGE(""https://docs.google.com/spreadsheets/d/1phaeSb9lTGgzDpbvVqI9hfmOQQzUom07-HEvpbARzEg/edit?usp=share_link"",""นครนายก!I489"")+IMPORTRANGE(""https://docs.google.com/spreadsheets/d/"&amp;"1tpwhWwkqkBeiSWCcfB5f2fbwPRbM9hHOEDSDHpl2MIc/edit?usp=share_link"",""นครปฐม!I489"")+IMPORTRANGE(""https://docs.google.com/spreadsheets/d/1fJJCVBkBnhriyv0Cp5ZFMr0I_yrfdEITNpb4zILJgUQ/edit?usp=share_link"",""ปทุมธานี!I489"")+IMPORTRANGE(""https://docs.googl"&amp;"e.com/spreadsheets/d/1W5Jj_S0gYw6wSO7QcMI02YgyOBDKYgmm0NSUk-AQEac/edit?usp=share_link"",""ประจวบคีรีขันธ์!I489"")+IMPORTRANGE(""https://docs.google.com/spreadsheets/d/1nYxRXgnCfTXtqUY1otYuTlnrzE0Tn-Y0YRsW5pkRVqo/edit?usp=share_link"",""ปราจีนบุรี!I489"")+"&amp;"IMPORTRANGE(""https://docs.google.com/spreadsheets/d/1nNHCLO8ZAXOMfQvxux7cf_hrzPAh8FAvaHq_ClKbZNo/edit?usp=share_link"",""พระนครศรีอยุธยา!I489"")+IMPORTRANGE(""https://docs.google.com/spreadsheets/d/1CdNicvf3i6yt4tJlCePe3V1Va76wYqW0QzMzTsaGRrA/edit?usp=sh"&amp;"are_link"",""เพชรบุรี!I489"")+IMPORTRANGE(""https://docs.google.com/spreadsheets/d/1XiF77UIVHV0Kjc6xbXuOuJ10WgJYxd4p_22ngKVV5oM/edit?usp=share_link"",""ระยอง!I489"")+IMPORTRANGE(""https://docs.google.com/spreadsheets/d/1qU-W_9MCQD1pgIVXGEOjCFo9QqlmJywueby"&amp;"GgaN92r8/edit?usp=share_link"",""ราชบุรี!I489"")+IMPORTRANGE(""https://docs.google.com/spreadsheets/d/1xYFIxIM_CspAP5Q-5Zx_V0T_Ut3cjryrjd2hss28vGk/edit?usp=share_link"",""ลพบุรี!I489"")+IMPORTRANGE(""https://docs.google.com/spreadsheets/d/11s9m3tKsCBdPWq6"&amp;"syhZm27eBGbKneDLZc75co106bio/edit?usp=share_link"",""สระแก้ว!I489"")+IMPORTRANGE(""https://docs.google.com/spreadsheets/d/1Nn1EvsFPtXldgpgVb3Rcng2K2cls68LFQsBh2FyW0Bg/edit?usp=share_link"",""สระบุรี!I489"")+IMPORTRANGE(""https://docs.google.com/spreadshee"&amp;"ts/d/149xufxukrnEciK3WPbNpHwUK8BKEJxp3UcBG3Al6dA4/edit?usp=share_link"",""สิงห์บุรี!I489"")+IMPORTRANGE(""https://docs.google.com/spreadsheets/d/132g-zJpz2uMKimp17uOIx8A7o3w1Z25zwJyXnwsB56c/edit?usp=share_link"",""สุพรรณบุรี!I489"")+IMPORTRANGE(""https://"&amp;"docs.google.com/spreadsheets/d/12Q_U0nVnFdxDFwa0pej9xvx8ZvLC9Dpi_vRro_aiG5g/edit?usp=share_link"",""อ่างทอง!I489"")
"),81)</f>
        <v>81</v>
      </c>
      <c r="J489" s="183">
        <f ca="1">IFERROR(__xludf.DUMMYFUNCTION("IMPORTRANGE(""https://docs.google.com/spreadsheets/d/1hKO5uv94SSRZWOvrh72HRcpyoEQF9TsE_Cvxl77XNU4/edit?usp=share_link"",""กาญจนบุรี!J489"")+IMPORTRANGE(""https://docs.google.com/spreadsheets/d/1njBaP_xXd-Uotvo2D9zb01TTCFkLJLDK97Tk1l9Qux0/edit?usp=share_li"&amp;"nk"",""จันทบุรี!J489"")+IMPORTRANGE(""https://docs.google.com/spreadsheets/d/14xp6qUzrGFnUk_qnc1eEmfiaNRd4_grkhpfQH_46fa8/edit?usp=share_link"",""ฉะเชิงเทรา!J489"")+IMPORTRANGE(""https://docs.google.com/spreadsheets/d/1_Zwps30dlVa-pZFsorjVf1Pil6WXwzCsJU0U"&amp;"2whO3NI/edit?usp=share_link"",""ชลบุรี!J489"")+IMPORTRANGE(""https://docs.google.com/spreadsheets/d/1xAsT4sUbBlom7l0acStESh_15nvjZcXjZM7fK5uZSq8/edit?usp=share_link"",""ชัยนาท!J489"")+IMPORTRANGE(""https://docs.google.com/spreadsheets/d/1vWPVBOAaZ6mHSI8yf"&amp;"95DNqHwTJ1cpeFsvqt6cxV34QA/edit?usp=share_link"",""ตราด!J489"")+IMPORTRANGE(""https://docs.google.com/spreadsheets/d/1phaeSb9lTGgzDpbvVqI9hfmOQQzUom07-HEvpbARzEg/edit?usp=share_link"",""นครนายก!J489"")+IMPORTRANGE(""https://docs.google.com/spreadsheets/d/"&amp;"1tpwhWwkqkBeiSWCcfB5f2fbwPRbM9hHOEDSDHpl2MIc/edit?usp=share_link"",""นครปฐม!J489"")+IMPORTRANGE(""https://docs.google.com/spreadsheets/d/1fJJCVBkBnhriyv0Cp5ZFMr0I_yrfdEITNpb4zILJgUQ/edit?usp=share_link"",""ปทุมธานี!J489"")+IMPORTRANGE(""https://docs.googl"&amp;"e.com/spreadsheets/d/1W5Jj_S0gYw6wSO7QcMI02YgyOBDKYgmm0NSUk-AQEac/edit?usp=share_link"",""ประจวบคีรีขันธ์!J489"")+IMPORTRANGE(""https://docs.google.com/spreadsheets/d/1nYxRXgnCfTXtqUY1otYuTlnrzE0Tn-Y0YRsW5pkRVqo/edit?usp=share_link"",""ปราจีนบุรี!J489"")+"&amp;"IMPORTRANGE(""https://docs.google.com/spreadsheets/d/1nNHCLO8ZAXOMfQvxux7cf_hrzPAh8FAvaHq_ClKbZNo/edit?usp=share_link"",""พระนครศรีอยุธยา!J489"")+IMPORTRANGE(""https://docs.google.com/spreadsheets/d/1CdNicvf3i6yt4tJlCePe3V1Va76wYqW0QzMzTsaGRrA/edit?usp=sh"&amp;"are_link"",""เพชรบุรี!J489"")+IMPORTRANGE(""https://docs.google.com/spreadsheets/d/1XiF77UIVHV0Kjc6xbXuOuJ10WgJYxd4p_22ngKVV5oM/edit?usp=share_link"",""ระยอง!J489"")+IMPORTRANGE(""https://docs.google.com/spreadsheets/d/1qU-W_9MCQD1pgIVXGEOjCFo9QqlmJywueby"&amp;"GgaN92r8/edit?usp=share_link"",""ราชบุรี!J489"")+IMPORTRANGE(""https://docs.google.com/spreadsheets/d/1xYFIxIM_CspAP5Q-5Zx_V0T_Ut3cjryrjd2hss28vGk/edit?usp=share_link"",""ลพบุรี!J489"")+IMPORTRANGE(""https://docs.google.com/spreadsheets/d/11s9m3tKsCBdPWq6"&amp;"syhZm27eBGbKneDLZc75co106bio/edit?usp=share_link"",""สระแก้ว!J489"")+IMPORTRANGE(""https://docs.google.com/spreadsheets/d/1Nn1EvsFPtXldgpgVb3Rcng2K2cls68LFQsBh2FyW0Bg/edit?usp=share_link"",""สระบุรี!J489"")+IMPORTRANGE(""https://docs.google.com/spreadshee"&amp;"ts/d/149xufxukrnEciK3WPbNpHwUK8BKEJxp3UcBG3Al6dA4/edit?usp=share_link"",""สิงห์บุรี!J489"")+IMPORTRANGE(""https://docs.google.com/spreadsheets/d/132g-zJpz2uMKimp17uOIx8A7o3w1Z25zwJyXnwsB56c/edit?usp=share_link"",""สุพรรณบุรี!J489"")+IMPORTRANGE(""https://"&amp;"docs.google.com/spreadsheets/d/12Q_U0nVnFdxDFwa0pej9xvx8ZvLC9Dpi_vRro_aiG5g/edit?usp=share_link"",""อ่างทอง!J489"")
"),2)</f>
        <v>2</v>
      </c>
      <c r="K489" s="38">
        <f ca="1">IF(I489&gt;0,J489*100/I489,0)</f>
        <v>2.4691358024691357</v>
      </c>
      <c r="L489" s="38"/>
      <c r="M489" s="38"/>
      <c r="N489" s="38"/>
      <c r="O489" s="38"/>
      <c r="P489" s="38"/>
      <c r="Q489" s="571"/>
      <c r="R489" s="571"/>
      <c r="S489" s="571"/>
      <c r="T489" s="571"/>
      <c r="U489" s="571"/>
      <c r="V489" s="571"/>
      <c r="W489" s="571"/>
      <c r="X489" s="571"/>
      <c r="Y489" s="571"/>
      <c r="Z489" s="571"/>
    </row>
    <row r="490" spans="1:26" ht="20.25" customHeight="1">
      <c r="A490" s="601"/>
      <c r="B490" s="602"/>
      <c r="C490" s="602"/>
      <c r="D490" s="602"/>
      <c r="E490" s="611" t="s">
        <v>63</v>
      </c>
      <c r="F490" s="617"/>
      <c r="G490" s="175"/>
      <c r="H490" s="616"/>
      <c r="I490" s="37"/>
      <c r="J490" s="37"/>
      <c r="K490" s="38"/>
      <c r="L490" s="38"/>
      <c r="M490" s="38"/>
      <c r="N490" s="38"/>
      <c r="O490" s="38"/>
      <c r="P490" s="38"/>
      <c r="Q490" s="571"/>
      <c r="R490" s="571"/>
      <c r="S490" s="571"/>
      <c r="T490" s="571"/>
      <c r="U490" s="571"/>
      <c r="V490" s="571"/>
      <c r="W490" s="571"/>
      <c r="X490" s="571"/>
      <c r="Y490" s="571"/>
      <c r="Z490" s="571"/>
    </row>
    <row r="491" spans="1:26" ht="20.25" customHeight="1">
      <c r="A491" s="601"/>
      <c r="B491" s="602"/>
      <c r="C491" s="602"/>
      <c r="D491" s="602"/>
      <c r="E491" s="602"/>
      <c r="F491" s="611" t="s">
        <v>213</v>
      </c>
      <c r="G491" s="175"/>
      <c r="H491" s="36" t="s">
        <v>35</v>
      </c>
      <c r="I491" s="37"/>
      <c r="J491" s="183">
        <f ca="1">IFERROR(__xludf.DUMMYFUNCTION("IMPORTRANGE(""https://docs.google.com/spreadsheets/d/1hKO5uv94SSRZWOvrh72HRcpyoEQF9TsE_Cvxl77XNU4/edit?usp=share_link"",""กาญจนบุรี!J491"")+IMPORTRANGE(""https://docs.google.com/spreadsheets/d/1njBaP_xXd-Uotvo2D9zb01TTCFkLJLDK97Tk1l9Qux0/edit?usp=share_li"&amp;"nk"",""จันทบุรี!J491"")+IMPORTRANGE(""https://docs.google.com/spreadsheets/d/14xp6qUzrGFnUk_qnc1eEmfiaNRd4_grkhpfQH_46fa8/edit?usp=share_link"",""ฉะเชิงเทรา!J491"")+IMPORTRANGE(""https://docs.google.com/spreadsheets/d/1_Zwps30dlVa-pZFsorjVf1Pil6WXwzCsJU0U"&amp;"2whO3NI/edit?usp=share_link"",""ชลบุรี!J491"")+IMPORTRANGE(""https://docs.google.com/spreadsheets/d/1xAsT4sUbBlom7l0acStESh_15nvjZcXjZM7fK5uZSq8/edit?usp=share_link"",""ชัยนาท!J491"")+IMPORTRANGE(""https://docs.google.com/spreadsheets/d/1vWPVBOAaZ6mHSI8yf"&amp;"95DNqHwTJ1cpeFsvqt6cxV34QA/edit?usp=share_link"",""ตราด!J491"")+IMPORTRANGE(""https://docs.google.com/spreadsheets/d/1phaeSb9lTGgzDpbvVqI9hfmOQQzUom07-HEvpbARzEg/edit?usp=share_link"",""นครนายก!J491"")+IMPORTRANGE(""https://docs.google.com/spreadsheets/d/"&amp;"1tpwhWwkqkBeiSWCcfB5f2fbwPRbM9hHOEDSDHpl2MIc/edit?usp=share_link"",""นครปฐม!J491"")+IMPORTRANGE(""https://docs.google.com/spreadsheets/d/1fJJCVBkBnhriyv0Cp5ZFMr0I_yrfdEITNpb4zILJgUQ/edit?usp=share_link"",""ปทุมธานี!J491"")+IMPORTRANGE(""https://docs.googl"&amp;"e.com/spreadsheets/d/1W5Jj_S0gYw6wSO7QcMI02YgyOBDKYgmm0NSUk-AQEac/edit?usp=share_link"",""ประจวบคีรีขันธ์!J491"")+IMPORTRANGE(""https://docs.google.com/spreadsheets/d/1nYxRXgnCfTXtqUY1otYuTlnrzE0Tn-Y0YRsW5pkRVqo/edit?usp=share_link"",""ปราจีนบุรี!J491"")+"&amp;"IMPORTRANGE(""https://docs.google.com/spreadsheets/d/1nNHCLO8ZAXOMfQvxux7cf_hrzPAh8FAvaHq_ClKbZNo/edit?usp=share_link"",""พระนครศรีอยุธยา!J491"")+IMPORTRANGE(""https://docs.google.com/spreadsheets/d/1CdNicvf3i6yt4tJlCePe3V1Va76wYqW0QzMzTsaGRrA/edit?usp=sh"&amp;"are_link"",""เพชรบุรี!J491"")+IMPORTRANGE(""https://docs.google.com/spreadsheets/d/1XiF77UIVHV0Kjc6xbXuOuJ10WgJYxd4p_22ngKVV5oM/edit?usp=share_link"",""ระยอง!J491"")+IMPORTRANGE(""https://docs.google.com/spreadsheets/d/1qU-W_9MCQD1pgIVXGEOjCFo9QqlmJywueby"&amp;"GgaN92r8/edit?usp=share_link"",""ราชบุรี!J491"")+IMPORTRANGE(""https://docs.google.com/spreadsheets/d/1xYFIxIM_CspAP5Q-5Zx_V0T_Ut3cjryrjd2hss28vGk/edit?usp=share_link"",""ลพบุรี!J491"")+IMPORTRANGE(""https://docs.google.com/spreadsheets/d/11s9m3tKsCBdPWq6"&amp;"syhZm27eBGbKneDLZc75co106bio/edit?usp=share_link"",""สระแก้ว!J491"")+IMPORTRANGE(""https://docs.google.com/spreadsheets/d/1Nn1EvsFPtXldgpgVb3Rcng2K2cls68LFQsBh2FyW0Bg/edit?usp=share_link"",""สระบุรี!J491"")+IMPORTRANGE(""https://docs.google.com/spreadshee"&amp;"ts/d/149xufxukrnEciK3WPbNpHwUK8BKEJxp3UcBG3Al6dA4/edit?usp=share_link"",""สิงห์บุรี!J491"")+IMPORTRANGE(""https://docs.google.com/spreadsheets/d/132g-zJpz2uMKimp17uOIx8A7o3w1Z25zwJyXnwsB56c/edit?usp=share_link"",""สุพรรณบุรี!J491"")+IMPORTRANGE(""https://"&amp;"docs.google.com/spreadsheets/d/12Q_U0nVnFdxDFwa0pej9xvx8ZvLC9Dpi_vRro_aiG5g/edit?usp=share_link"",""อ่างทอง!J491"")
"),0)</f>
        <v>0</v>
      </c>
      <c r="K491" s="38"/>
      <c r="L491" s="38"/>
      <c r="M491" s="38"/>
      <c r="N491" s="38"/>
      <c r="O491" s="38"/>
      <c r="P491" s="38"/>
      <c r="Q491" s="571"/>
      <c r="R491" s="571"/>
      <c r="S491" s="571"/>
      <c r="T491" s="571"/>
      <c r="U491" s="571"/>
      <c r="V491" s="571"/>
      <c r="W491" s="571"/>
      <c r="X491" s="571"/>
      <c r="Y491" s="571"/>
      <c r="Z491" s="571"/>
    </row>
    <row r="492" spans="1:26" ht="20.25" customHeight="1">
      <c r="A492" s="601"/>
      <c r="B492" s="602"/>
      <c r="C492" s="602"/>
      <c r="D492" s="602"/>
      <c r="E492" s="602"/>
      <c r="F492" s="611" t="s">
        <v>214</v>
      </c>
      <c r="G492" s="175"/>
      <c r="H492" s="36" t="s">
        <v>35</v>
      </c>
      <c r="I492" s="37">
        <f ca="1">IFERROR(__xludf.DUMMYFUNCTION("IMPORTRANGE(""https://docs.google.com/spreadsheets/d/1hKO5uv94SSRZWOvrh72HRcpyoEQF9TsE_Cvxl77XNU4/edit?usp=share_link"",""กาญจนบุรี!I492"")+IMPORTRANGE(""https://docs.google.com/spreadsheets/d/1njBaP_xXd-Uotvo2D9zb01TTCFkLJLDK97Tk1l9Qux0/edit?usp=share_li"&amp;"nk"",""จันทบุรี!I492"")+IMPORTRANGE(""https://docs.google.com/spreadsheets/d/14xp6qUzrGFnUk_qnc1eEmfiaNRd4_grkhpfQH_46fa8/edit?usp=share_link"",""ฉะเชิงเทรา!I492"")+IMPORTRANGE(""https://docs.google.com/spreadsheets/d/1_Zwps30dlVa-pZFsorjVf1Pil6WXwzCsJU0U"&amp;"2whO3NI/edit?usp=share_link"",""ชลบุรี!I492"")+IMPORTRANGE(""https://docs.google.com/spreadsheets/d/1xAsT4sUbBlom7l0acStESh_15nvjZcXjZM7fK5uZSq8/edit?usp=share_link"",""ชัยนาท!I492"")+IMPORTRANGE(""https://docs.google.com/spreadsheets/d/1vWPVBOAaZ6mHSI8yf"&amp;"95DNqHwTJ1cpeFsvqt6cxV34QA/edit?usp=share_link"",""ตราด!I492"")+IMPORTRANGE(""https://docs.google.com/spreadsheets/d/1phaeSb9lTGgzDpbvVqI9hfmOQQzUom07-HEvpbARzEg/edit?usp=share_link"",""นครนายก!I492"")+IMPORTRANGE(""https://docs.google.com/spreadsheets/d/"&amp;"1tpwhWwkqkBeiSWCcfB5f2fbwPRbM9hHOEDSDHpl2MIc/edit?usp=share_link"",""นครปฐม!I492"")+IMPORTRANGE(""https://docs.google.com/spreadsheets/d/1fJJCVBkBnhriyv0Cp5ZFMr0I_yrfdEITNpb4zILJgUQ/edit?usp=share_link"",""ปทุมธานี!I492"")+IMPORTRANGE(""https://docs.googl"&amp;"e.com/spreadsheets/d/1W5Jj_S0gYw6wSO7QcMI02YgyOBDKYgmm0NSUk-AQEac/edit?usp=share_link"",""ประจวบคีรีขันธ์!I492"")+IMPORTRANGE(""https://docs.google.com/spreadsheets/d/1nYxRXgnCfTXtqUY1otYuTlnrzE0Tn-Y0YRsW5pkRVqo/edit?usp=share_link"",""ปราจีนบุรี!I492"")+"&amp;"IMPORTRANGE(""https://docs.google.com/spreadsheets/d/1nNHCLO8ZAXOMfQvxux7cf_hrzPAh8FAvaHq_ClKbZNo/edit?usp=share_link"",""พระนครศรีอยุธยา!I492"")+IMPORTRANGE(""https://docs.google.com/spreadsheets/d/1CdNicvf3i6yt4tJlCePe3V1Va76wYqW0QzMzTsaGRrA/edit?usp=sh"&amp;"are_link"",""เพชรบุรี!I492"")+IMPORTRANGE(""https://docs.google.com/spreadsheets/d/1XiF77UIVHV0Kjc6xbXuOuJ10WgJYxd4p_22ngKVV5oM/edit?usp=share_link"",""ระยอง!I492"")+IMPORTRANGE(""https://docs.google.com/spreadsheets/d/1qU-W_9MCQD1pgIVXGEOjCFo9QqlmJywueby"&amp;"GgaN92r8/edit?usp=share_link"",""ราชบุรี!I492"")+IMPORTRANGE(""https://docs.google.com/spreadsheets/d/1xYFIxIM_CspAP5Q-5Zx_V0T_Ut3cjryrjd2hss28vGk/edit?usp=share_link"",""ลพบุรี!I492"")+IMPORTRANGE(""https://docs.google.com/spreadsheets/d/11s9m3tKsCBdPWq6"&amp;"syhZm27eBGbKneDLZc75co106bio/edit?usp=share_link"",""สระแก้ว!I492"")+IMPORTRANGE(""https://docs.google.com/spreadsheets/d/1Nn1EvsFPtXldgpgVb3Rcng2K2cls68LFQsBh2FyW0Bg/edit?usp=share_link"",""สระบุรี!I492"")+IMPORTRANGE(""https://docs.google.com/spreadshee"&amp;"ts/d/149xufxukrnEciK3WPbNpHwUK8BKEJxp3UcBG3Al6dA4/edit?usp=share_link"",""สิงห์บุรี!I492"")+IMPORTRANGE(""https://docs.google.com/spreadsheets/d/132g-zJpz2uMKimp17uOIx8A7o3w1Z25zwJyXnwsB56c/edit?usp=share_link"",""สุพรรณบุรี!I492"")+IMPORTRANGE(""https://"&amp;"docs.google.com/spreadsheets/d/12Q_U0nVnFdxDFwa0pej9xvx8ZvLC9Dpi_vRro_aiG5g/edit?usp=share_link"",""อ่างทอง!I492"")
"),15)</f>
        <v>15</v>
      </c>
      <c r="J492" s="183">
        <f ca="1">IFERROR(__xludf.DUMMYFUNCTION("IMPORTRANGE(""https://docs.google.com/spreadsheets/d/1hKO5uv94SSRZWOvrh72HRcpyoEQF9TsE_Cvxl77XNU4/edit?usp=share_link"",""กาญจนบุรี!J492"")+IMPORTRANGE(""https://docs.google.com/spreadsheets/d/1njBaP_xXd-Uotvo2D9zb01TTCFkLJLDK97Tk1l9Qux0/edit?usp=share_li"&amp;"nk"",""จันทบุรี!J492"")+IMPORTRANGE(""https://docs.google.com/spreadsheets/d/14xp6qUzrGFnUk_qnc1eEmfiaNRd4_grkhpfQH_46fa8/edit?usp=share_link"",""ฉะเชิงเทรา!J492"")+IMPORTRANGE(""https://docs.google.com/spreadsheets/d/1_Zwps30dlVa-pZFsorjVf1Pil6WXwzCsJU0U"&amp;"2whO3NI/edit?usp=share_link"",""ชลบุรี!J492"")+IMPORTRANGE(""https://docs.google.com/spreadsheets/d/1xAsT4sUbBlom7l0acStESh_15nvjZcXjZM7fK5uZSq8/edit?usp=share_link"",""ชัยนาท!J492"")+IMPORTRANGE(""https://docs.google.com/spreadsheets/d/1vWPVBOAaZ6mHSI8yf"&amp;"95DNqHwTJ1cpeFsvqt6cxV34QA/edit?usp=share_link"",""ตราด!J492"")+IMPORTRANGE(""https://docs.google.com/spreadsheets/d/1phaeSb9lTGgzDpbvVqI9hfmOQQzUom07-HEvpbARzEg/edit?usp=share_link"",""นครนายก!J492"")+IMPORTRANGE(""https://docs.google.com/spreadsheets/d/"&amp;"1tpwhWwkqkBeiSWCcfB5f2fbwPRbM9hHOEDSDHpl2MIc/edit?usp=share_link"",""นครปฐม!J492"")+IMPORTRANGE(""https://docs.google.com/spreadsheets/d/1fJJCVBkBnhriyv0Cp5ZFMr0I_yrfdEITNpb4zILJgUQ/edit?usp=share_link"",""ปทุมธานี!J492"")+IMPORTRANGE(""https://docs.googl"&amp;"e.com/spreadsheets/d/1W5Jj_S0gYw6wSO7QcMI02YgyOBDKYgmm0NSUk-AQEac/edit?usp=share_link"",""ประจวบคีรีขันธ์!J492"")+IMPORTRANGE(""https://docs.google.com/spreadsheets/d/1nYxRXgnCfTXtqUY1otYuTlnrzE0Tn-Y0YRsW5pkRVqo/edit?usp=share_link"",""ปราจีนบุรี!J492"")+"&amp;"IMPORTRANGE(""https://docs.google.com/spreadsheets/d/1nNHCLO8ZAXOMfQvxux7cf_hrzPAh8FAvaHq_ClKbZNo/edit?usp=share_link"",""พระนครศรีอยุธยา!J492"")+IMPORTRANGE(""https://docs.google.com/spreadsheets/d/1CdNicvf3i6yt4tJlCePe3V1Va76wYqW0QzMzTsaGRrA/edit?usp=sh"&amp;"are_link"",""เพชรบุรี!J492"")+IMPORTRANGE(""https://docs.google.com/spreadsheets/d/1XiF77UIVHV0Kjc6xbXuOuJ10WgJYxd4p_22ngKVV5oM/edit?usp=share_link"",""ระยอง!J492"")+IMPORTRANGE(""https://docs.google.com/spreadsheets/d/1qU-W_9MCQD1pgIVXGEOjCFo9QqlmJywueby"&amp;"GgaN92r8/edit?usp=share_link"",""ราชบุรี!J492"")+IMPORTRANGE(""https://docs.google.com/spreadsheets/d/1xYFIxIM_CspAP5Q-5Zx_V0T_Ut3cjryrjd2hss28vGk/edit?usp=share_link"",""ลพบุรี!J492"")+IMPORTRANGE(""https://docs.google.com/spreadsheets/d/11s9m3tKsCBdPWq6"&amp;"syhZm27eBGbKneDLZc75co106bio/edit?usp=share_link"",""สระแก้ว!J492"")+IMPORTRANGE(""https://docs.google.com/spreadsheets/d/1Nn1EvsFPtXldgpgVb3Rcng2K2cls68LFQsBh2FyW0Bg/edit?usp=share_link"",""สระบุรี!J492"")+IMPORTRANGE(""https://docs.google.com/spreadshee"&amp;"ts/d/149xufxukrnEciK3WPbNpHwUK8BKEJxp3UcBG3Al6dA4/edit?usp=share_link"",""สิงห์บุรี!J492"")+IMPORTRANGE(""https://docs.google.com/spreadsheets/d/132g-zJpz2uMKimp17uOIx8A7o3w1Z25zwJyXnwsB56c/edit?usp=share_link"",""สุพรรณบุรี!J492"")+IMPORTRANGE(""https://"&amp;"docs.google.com/spreadsheets/d/12Q_U0nVnFdxDFwa0pej9xvx8ZvLC9Dpi_vRro_aiG5g/edit?usp=share_link"",""อ่างทอง!J492"")
"),3)</f>
        <v>3</v>
      </c>
      <c r="K492" s="38">
        <f ca="1">IF(I492&gt;0,J492*100/I492,0)</f>
        <v>20</v>
      </c>
      <c r="L492" s="38"/>
      <c r="M492" s="38"/>
      <c r="N492" s="38"/>
      <c r="O492" s="38"/>
      <c r="P492" s="38"/>
      <c r="Q492" s="571"/>
      <c r="R492" s="571"/>
      <c r="S492" s="571"/>
      <c r="T492" s="571"/>
      <c r="U492" s="571"/>
      <c r="V492" s="571"/>
      <c r="W492" s="571"/>
      <c r="X492" s="571"/>
      <c r="Y492" s="571"/>
      <c r="Z492" s="571"/>
    </row>
    <row r="493" spans="1:26" ht="20.25" customHeight="1">
      <c r="A493" s="601"/>
      <c r="B493" s="602"/>
      <c r="C493" s="602"/>
      <c r="D493" s="618" t="s">
        <v>59</v>
      </c>
      <c r="E493" s="602"/>
      <c r="F493" s="612"/>
      <c r="G493" s="175"/>
      <c r="H493" s="189"/>
      <c r="I493" s="37"/>
      <c r="J493" s="37"/>
      <c r="K493" s="38"/>
      <c r="L493" s="38"/>
      <c r="M493" s="38"/>
      <c r="N493" s="38"/>
      <c r="O493" s="38"/>
      <c r="P493" s="38"/>
      <c r="Q493" s="571"/>
      <c r="R493" s="571"/>
      <c r="S493" s="571"/>
      <c r="T493" s="571"/>
      <c r="U493" s="571"/>
      <c r="V493" s="571"/>
      <c r="W493" s="571"/>
      <c r="X493" s="571"/>
      <c r="Y493" s="571"/>
      <c r="Z493" s="571"/>
    </row>
    <row r="494" spans="1:26" ht="20.25" customHeight="1">
      <c r="A494" s="601"/>
      <c r="B494" s="602"/>
      <c r="C494" s="602"/>
      <c r="D494" s="602"/>
      <c r="E494" s="611" t="s">
        <v>207</v>
      </c>
      <c r="F494" s="612"/>
      <c r="G494" s="175"/>
      <c r="H494" s="189"/>
      <c r="I494" s="37"/>
      <c r="J494" s="37"/>
      <c r="K494" s="38"/>
      <c r="L494" s="38"/>
      <c r="M494" s="38"/>
      <c r="N494" s="38"/>
      <c r="O494" s="38"/>
      <c r="P494" s="38"/>
      <c r="Q494" s="571"/>
      <c r="R494" s="571"/>
      <c r="S494" s="571"/>
      <c r="T494" s="571"/>
      <c r="U494" s="571"/>
      <c r="V494" s="571"/>
      <c r="W494" s="571"/>
      <c r="X494" s="571"/>
      <c r="Y494" s="571"/>
      <c r="Z494" s="571"/>
    </row>
    <row r="495" spans="1:26" ht="20.25" customHeight="1">
      <c r="A495" s="601"/>
      <c r="B495" s="602"/>
      <c r="C495" s="602"/>
      <c r="D495" s="602"/>
      <c r="E495" s="602"/>
      <c r="F495" s="187" t="s">
        <v>215</v>
      </c>
      <c r="G495" s="175"/>
      <c r="H495" s="36" t="s">
        <v>46</v>
      </c>
      <c r="I495" s="37">
        <f ca="1">IFERROR(__xludf.DUMMYFUNCTION("IMPORTRANGE(""https://docs.google.com/spreadsheets/d/1hKO5uv94SSRZWOvrh72HRcpyoEQF9TsE_Cvxl77XNU4/edit?usp=share_link"",""กาญจนบุรี!I495"")+IMPORTRANGE(""https://docs.google.com/spreadsheets/d/1njBaP_xXd-Uotvo2D9zb01TTCFkLJLDK97Tk1l9Qux0/edit?usp=share_li"&amp;"nk"",""จันทบุรี!I495"")+IMPORTRANGE(""https://docs.google.com/spreadsheets/d/14xp6qUzrGFnUk_qnc1eEmfiaNRd4_grkhpfQH_46fa8/edit?usp=share_link"",""ฉะเชิงเทรา!I495"")+IMPORTRANGE(""https://docs.google.com/spreadsheets/d/1_Zwps30dlVa-pZFsorjVf1Pil6WXwzCsJU0U"&amp;"2whO3NI/edit?usp=share_link"",""ชลบุรี!I495"")+IMPORTRANGE(""https://docs.google.com/spreadsheets/d/1xAsT4sUbBlom7l0acStESh_15nvjZcXjZM7fK5uZSq8/edit?usp=share_link"",""ชัยนาท!I495"")+IMPORTRANGE(""https://docs.google.com/spreadsheets/d/1vWPVBOAaZ6mHSI8yf"&amp;"95DNqHwTJ1cpeFsvqt6cxV34QA/edit?usp=share_link"",""ตราด!I495"")+IMPORTRANGE(""https://docs.google.com/spreadsheets/d/1phaeSb9lTGgzDpbvVqI9hfmOQQzUom07-HEvpbARzEg/edit?usp=share_link"",""นครนายก!I495"")+IMPORTRANGE(""https://docs.google.com/spreadsheets/d/"&amp;"1tpwhWwkqkBeiSWCcfB5f2fbwPRbM9hHOEDSDHpl2MIc/edit?usp=share_link"",""นครปฐม!I495"")+IMPORTRANGE(""https://docs.google.com/spreadsheets/d/1fJJCVBkBnhriyv0Cp5ZFMr0I_yrfdEITNpb4zILJgUQ/edit?usp=share_link"",""ปทุมธานี!I495"")+IMPORTRANGE(""https://docs.googl"&amp;"e.com/spreadsheets/d/1W5Jj_S0gYw6wSO7QcMI02YgyOBDKYgmm0NSUk-AQEac/edit?usp=share_link"",""ประจวบคีรีขันธ์!I495"")+IMPORTRANGE(""https://docs.google.com/spreadsheets/d/1nYxRXgnCfTXtqUY1otYuTlnrzE0Tn-Y0YRsW5pkRVqo/edit?usp=share_link"",""ปราจีนบุรี!I495"")+"&amp;"IMPORTRANGE(""https://docs.google.com/spreadsheets/d/1nNHCLO8ZAXOMfQvxux7cf_hrzPAh8FAvaHq_ClKbZNo/edit?usp=share_link"",""พระนครศรีอยุธยา!I495"")+IMPORTRANGE(""https://docs.google.com/spreadsheets/d/1CdNicvf3i6yt4tJlCePe3V1Va76wYqW0QzMzTsaGRrA/edit?usp=sh"&amp;"are_link"",""เพชรบุรี!I495"")+IMPORTRANGE(""https://docs.google.com/spreadsheets/d/1XiF77UIVHV0Kjc6xbXuOuJ10WgJYxd4p_22ngKVV5oM/edit?usp=share_link"",""ระยอง!I495"")+IMPORTRANGE(""https://docs.google.com/spreadsheets/d/1qU-W_9MCQD1pgIVXGEOjCFo9QqlmJywueby"&amp;"GgaN92r8/edit?usp=share_link"",""ราชบุรี!I495"")+IMPORTRANGE(""https://docs.google.com/spreadsheets/d/1xYFIxIM_CspAP5Q-5Zx_V0T_Ut3cjryrjd2hss28vGk/edit?usp=share_link"",""ลพบุรี!I495"")+IMPORTRANGE(""https://docs.google.com/spreadsheets/d/11s9m3tKsCBdPWq6"&amp;"syhZm27eBGbKneDLZc75co106bio/edit?usp=share_link"",""สระแก้ว!I495"")+IMPORTRANGE(""https://docs.google.com/spreadsheets/d/1Nn1EvsFPtXldgpgVb3Rcng2K2cls68LFQsBh2FyW0Bg/edit?usp=share_link"",""สระบุรี!I495"")+IMPORTRANGE(""https://docs.google.com/spreadshee"&amp;"ts/d/149xufxukrnEciK3WPbNpHwUK8BKEJxp3UcBG3Al6dA4/edit?usp=share_link"",""สิงห์บุรี!I495"")+IMPORTRANGE(""https://docs.google.com/spreadsheets/d/132g-zJpz2uMKimp17uOIx8A7o3w1Z25zwJyXnwsB56c/edit?usp=share_link"",""สุพรรณบุรี!I495"")+IMPORTRANGE(""https://"&amp;"docs.google.com/spreadsheets/d/12Q_U0nVnFdxDFwa0pej9xvx8ZvLC9Dpi_vRro_aiG5g/edit?usp=share_link"",""อ่างทอง!I495"")
"),7290)</f>
        <v>7290</v>
      </c>
      <c r="J495" s="183">
        <f ca="1">IFERROR(__xludf.DUMMYFUNCTION("IMPORTRANGE(""https://docs.google.com/spreadsheets/d/1hKO5uv94SSRZWOvrh72HRcpyoEQF9TsE_Cvxl77XNU4/edit?usp=share_link"",""กาญจนบุรี!J495"")+IMPORTRANGE(""https://docs.google.com/spreadsheets/d/1njBaP_xXd-Uotvo2D9zb01TTCFkLJLDK97Tk1l9Qux0/edit?usp=share_li"&amp;"nk"",""จันทบุรี!J495"")+IMPORTRANGE(""https://docs.google.com/spreadsheets/d/14xp6qUzrGFnUk_qnc1eEmfiaNRd4_grkhpfQH_46fa8/edit?usp=share_link"",""ฉะเชิงเทรา!J495"")+IMPORTRANGE(""https://docs.google.com/spreadsheets/d/1_Zwps30dlVa-pZFsorjVf1Pil6WXwzCsJU0U"&amp;"2whO3NI/edit?usp=share_link"",""ชลบุรี!J495"")+IMPORTRANGE(""https://docs.google.com/spreadsheets/d/1xAsT4sUbBlom7l0acStESh_15nvjZcXjZM7fK5uZSq8/edit?usp=share_link"",""ชัยนาท!J495"")+IMPORTRANGE(""https://docs.google.com/spreadsheets/d/1vWPVBOAaZ6mHSI8yf"&amp;"95DNqHwTJ1cpeFsvqt6cxV34QA/edit?usp=share_link"",""ตราด!J495"")+IMPORTRANGE(""https://docs.google.com/spreadsheets/d/1phaeSb9lTGgzDpbvVqI9hfmOQQzUom07-HEvpbARzEg/edit?usp=share_link"",""นครนายก!J495"")+IMPORTRANGE(""https://docs.google.com/spreadsheets/d/"&amp;"1tpwhWwkqkBeiSWCcfB5f2fbwPRbM9hHOEDSDHpl2MIc/edit?usp=share_link"",""นครปฐม!J495"")+IMPORTRANGE(""https://docs.google.com/spreadsheets/d/1fJJCVBkBnhriyv0Cp5ZFMr0I_yrfdEITNpb4zILJgUQ/edit?usp=share_link"",""ปทุมธานี!J495"")+IMPORTRANGE(""https://docs.googl"&amp;"e.com/spreadsheets/d/1W5Jj_S0gYw6wSO7QcMI02YgyOBDKYgmm0NSUk-AQEac/edit?usp=share_link"",""ประจวบคีรีขันธ์!J495"")+IMPORTRANGE(""https://docs.google.com/spreadsheets/d/1nYxRXgnCfTXtqUY1otYuTlnrzE0Tn-Y0YRsW5pkRVqo/edit?usp=share_link"",""ปราจีนบุรี!J495"")+"&amp;"IMPORTRANGE(""https://docs.google.com/spreadsheets/d/1nNHCLO8ZAXOMfQvxux7cf_hrzPAh8FAvaHq_ClKbZNo/edit?usp=share_link"",""พระนครศรีอยุธยา!J495"")+IMPORTRANGE(""https://docs.google.com/spreadsheets/d/1CdNicvf3i6yt4tJlCePe3V1Va76wYqW0QzMzTsaGRrA/edit?usp=sh"&amp;"are_link"",""เพชรบุรี!J495"")+IMPORTRANGE(""https://docs.google.com/spreadsheets/d/1XiF77UIVHV0Kjc6xbXuOuJ10WgJYxd4p_22ngKVV5oM/edit?usp=share_link"",""ระยอง!J495"")+IMPORTRANGE(""https://docs.google.com/spreadsheets/d/1qU-W_9MCQD1pgIVXGEOjCFo9QqlmJywueby"&amp;"GgaN92r8/edit?usp=share_link"",""ราชบุรี!J495"")+IMPORTRANGE(""https://docs.google.com/spreadsheets/d/1xYFIxIM_CspAP5Q-5Zx_V0T_Ut3cjryrjd2hss28vGk/edit?usp=share_link"",""ลพบุรี!J495"")+IMPORTRANGE(""https://docs.google.com/spreadsheets/d/11s9m3tKsCBdPWq6"&amp;"syhZm27eBGbKneDLZc75co106bio/edit?usp=share_link"",""สระแก้ว!J495"")+IMPORTRANGE(""https://docs.google.com/spreadsheets/d/1Nn1EvsFPtXldgpgVb3Rcng2K2cls68LFQsBh2FyW0Bg/edit?usp=share_link"",""สระบุรี!J495"")+IMPORTRANGE(""https://docs.google.com/spreadshee"&amp;"ts/d/149xufxukrnEciK3WPbNpHwUK8BKEJxp3UcBG3Al6dA4/edit?usp=share_link"",""สิงห์บุรี!J495"")+IMPORTRANGE(""https://docs.google.com/spreadsheets/d/132g-zJpz2uMKimp17uOIx8A7o3w1Z25zwJyXnwsB56c/edit?usp=share_link"",""สุพรรณบุรี!J495"")+IMPORTRANGE(""https://"&amp;"docs.google.com/spreadsheets/d/12Q_U0nVnFdxDFwa0pej9xvx8ZvLC9Dpi_vRro_aiG5g/edit?usp=share_link"",""อ่างทอง!J495"")
"),0)</f>
        <v>0</v>
      </c>
      <c r="K495" s="38">
        <f ca="1">IF(I495&gt;0,J495*100/I495,0)</f>
        <v>0</v>
      </c>
      <c r="L495" s="38"/>
      <c r="M495" s="38"/>
      <c r="N495" s="38"/>
      <c r="O495" s="38"/>
      <c r="P495" s="38"/>
      <c r="Q495" s="571"/>
      <c r="R495" s="571"/>
      <c r="S495" s="571"/>
      <c r="T495" s="571"/>
      <c r="U495" s="571"/>
      <c r="V495" s="571"/>
      <c r="W495" s="571"/>
      <c r="X495" s="571"/>
      <c r="Y495" s="571"/>
      <c r="Z495" s="571"/>
    </row>
    <row r="496" spans="1:26" ht="20.25" customHeight="1">
      <c r="A496" s="601"/>
      <c r="B496" s="602"/>
      <c r="C496" s="602"/>
      <c r="D496" s="602"/>
      <c r="E496" s="602"/>
      <c r="F496" s="187" t="s">
        <v>216</v>
      </c>
      <c r="G496" s="175"/>
      <c r="H496" s="36" t="s">
        <v>46</v>
      </c>
      <c r="I496" s="37"/>
      <c r="J496" s="183">
        <f ca="1">IFERROR(__xludf.DUMMYFUNCTION("IMPORTRANGE(""https://docs.google.com/spreadsheets/d/1hKO5uv94SSRZWOvrh72HRcpyoEQF9TsE_Cvxl77XNU4/edit?usp=share_link"",""กาญจนบุรี!J496"")+IMPORTRANGE(""https://docs.google.com/spreadsheets/d/1njBaP_xXd-Uotvo2D9zb01TTCFkLJLDK97Tk1l9Qux0/edit?usp=share_li"&amp;"nk"",""จันทบุรี!J496"")+IMPORTRANGE(""https://docs.google.com/spreadsheets/d/14xp6qUzrGFnUk_qnc1eEmfiaNRd4_grkhpfQH_46fa8/edit?usp=share_link"",""ฉะเชิงเทรา!J496"")+IMPORTRANGE(""https://docs.google.com/spreadsheets/d/1_Zwps30dlVa-pZFsorjVf1Pil6WXwzCsJU0U"&amp;"2whO3NI/edit?usp=share_link"",""ชลบุรี!J496"")+IMPORTRANGE(""https://docs.google.com/spreadsheets/d/1xAsT4sUbBlom7l0acStESh_15nvjZcXjZM7fK5uZSq8/edit?usp=share_link"",""ชัยนาท!J496"")+IMPORTRANGE(""https://docs.google.com/spreadsheets/d/1vWPVBOAaZ6mHSI8yf"&amp;"95DNqHwTJ1cpeFsvqt6cxV34QA/edit?usp=share_link"",""ตราด!J496"")+IMPORTRANGE(""https://docs.google.com/spreadsheets/d/1phaeSb9lTGgzDpbvVqI9hfmOQQzUom07-HEvpbARzEg/edit?usp=share_link"",""นครนายก!J496"")+IMPORTRANGE(""https://docs.google.com/spreadsheets/d/"&amp;"1tpwhWwkqkBeiSWCcfB5f2fbwPRbM9hHOEDSDHpl2MIc/edit?usp=share_link"",""นครปฐม!J496"")+IMPORTRANGE(""https://docs.google.com/spreadsheets/d/1fJJCVBkBnhriyv0Cp5ZFMr0I_yrfdEITNpb4zILJgUQ/edit?usp=share_link"",""ปทุมธานี!J496"")+IMPORTRANGE(""https://docs.googl"&amp;"e.com/spreadsheets/d/1W5Jj_S0gYw6wSO7QcMI02YgyOBDKYgmm0NSUk-AQEac/edit?usp=share_link"",""ประจวบคีรีขันธ์!J496"")+IMPORTRANGE(""https://docs.google.com/spreadsheets/d/1nYxRXgnCfTXtqUY1otYuTlnrzE0Tn-Y0YRsW5pkRVqo/edit?usp=share_link"",""ปราจีนบุรี!J496"")+"&amp;"IMPORTRANGE(""https://docs.google.com/spreadsheets/d/1nNHCLO8ZAXOMfQvxux7cf_hrzPAh8FAvaHq_ClKbZNo/edit?usp=share_link"",""พระนครศรีอยุธยา!J496"")+IMPORTRANGE(""https://docs.google.com/spreadsheets/d/1CdNicvf3i6yt4tJlCePe3V1Va76wYqW0QzMzTsaGRrA/edit?usp=sh"&amp;"are_link"",""เพชรบุรี!J496"")+IMPORTRANGE(""https://docs.google.com/spreadsheets/d/1XiF77UIVHV0Kjc6xbXuOuJ10WgJYxd4p_22ngKVV5oM/edit?usp=share_link"",""ระยอง!J496"")+IMPORTRANGE(""https://docs.google.com/spreadsheets/d/1qU-W_9MCQD1pgIVXGEOjCFo9QqlmJywueby"&amp;"GgaN92r8/edit?usp=share_link"",""ราชบุรี!J496"")+IMPORTRANGE(""https://docs.google.com/spreadsheets/d/1xYFIxIM_CspAP5Q-5Zx_V0T_Ut3cjryrjd2hss28vGk/edit?usp=share_link"",""ลพบุรี!J496"")+IMPORTRANGE(""https://docs.google.com/spreadsheets/d/11s9m3tKsCBdPWq6"&amp;"syhZm27eBGbKneDLZc75co106bio/edit?usp=share_link"",""สระแก้ว!J496"")+IMPORTRANGE(""https://docs.google.com/spreadsheets/d/1Nn1EvsFPtXldgpgVb3Rcng2K2cls68LFQsBh2FyW0Bg/edit?usp=share_link"",""สระบุรี!J496"")+IMPORTRANGE(""https://docs.google.com/spreadshee"&amp;"ts/d/149xufxukrnEciK3WPbNpHwUK8BKEJxp3UcBG3Al6dA4/edit?usp=share_link"",""สิงห์บุรี!J496"")+IMPORTRANGE(""https://docs.google.com/spreadsheets/d/132g-zJpz2uMKimp17uOIx8A7o3w1Z25zwJyXnwsB56c/edit?usp=share_link"",""สุพรรณบุรี!J496"")+IMPORTRANGE(""https://"&amp;"docs.google.com/spreadsheets/d/12Q_U0nVnFdxDFwa0pej9xvx8ZvLC9Dpi_vRro_aiG5g/edit?usp=share_link"",""อ่างทอง!J496"")
"),0)</f>
        <v>0</v>
      </c>
      <c r="K496" s="38"/>
      <c r="L496" s="38"/>
      <c r="M496" s="38"/>
      <c r="N496" s="38"/>
      <c r="O496" s="38"/>
      <c r="P496" s="38"/>
      <c r="Q496" s="571"/>
      <c r="R496" s="571"/>
      <c r="S496" s="571"/>
      <c r="T496" s="571"/>
      <c r="U496" s="571"/>
      <c r="V496" s="571"/>
      <c r="W496" s="571"/>
      <c r="X496" s="571"/>
      <c r="Y496" s="571"/>
      <c r="Z496" s="571"/>
    </row>
    <row r="497" spans="1:26" ht="20.25" customHeight="1">
      <c r="A497" s="601"/>
      <c r="B497" s="602"/>
      <c r="C497" s="602"/>
      <c r="D497" s="602"/>
      <c r="E497" s="611" t="s">
        <v>62</v>
      </c>
      <c r="F497" s="612"/>
      <c r="G497" s="175"/>
      <c r="H497" s="189"/>
      <c r="I497" s="37"/>
      <c r="J497" s="37"/>
      <c r="K497" s="38"/>
      <c r="L497" s="38"/>
      <c r="M497" s="38"/>
      <c r="N497" s="38"/>
      <c r="O497" s="38"/>
      <c r="P497" s="38"/>
      <c r="Q497" s="571"/>
      <c r="R497" s="571"/>
      <c r="S497" s="571"/>
      <c r="T497" s="571"/>
      <c r="U497" s="571"/>
      <c r="V497" s="571"/>
      <c r="W497" s="571"/>
      <c r="X497" s="571"/>
      <c r="Y497" s="571"/>
      <c r="Z497" s="571"/>
    </row>
    <row r="498" spans="1:26" ht="20.25" customHeight="1">
      <c r="A498" s="601"/>
      <c r="B498" s="602"/>
      <c r="C498" s="602"/>
      <c r="D498" s="602"/>
      <c r="E498" s="612"/>
      <c r="F498" s="619" t="s">
        <v>217</v>
      </c>
      <c r="G498" s="175"/>
      <c r="H498" s="36" t="s">
        <v>46</v>
      </c>
      <c r="I498" s="37">
        <f ca="1">IFERROR(__xludf.DUMMYFUNCTION("IMPORTRANGE(""https://docs.google.com/spreadsheets/d/1hKO5uv94SSRZWOvrh72HRcpyoEQF9TsE_Cvxl77XNU4/edit?usp=share_link"",""กาญจนบุรี!I498"")+IMPORTRANGE(""https://docs.google.com/spreadsheets/d/1njBaP_xXd-Uotvo2D9zb01TTCFkLJLDK97Tk1l9Qux0/edit?usp=share_li"&amp;"nk"",""จันทบุรี!I498"")+IMPORTRANGE(""https://docs.google.com/spreadsheets/d/14xp6qUzrGFnUk_qnc1eEmfiaNRd4_grkhpfQH_46fa8/edit?usp=share_link"",""ฉะเชิงเทรา!I498"")+IMPORTRANGE(""https://docs.google.com/spreadsheets/d/1_Zwps30dlVa-pZFsorjVf1Pil6WXwzCsJU0U"&amp;"2whO3NI/edit?usp=share_link"",""ชลบุรี!I498"")+IMPORTRANGE(""https://docs.google.com/spreadsheets/d/1xAsT4sUbBlom7l0acStESh_15nvjZcXjZM7fK5uZSq8/edit?usp=share_link"",""ชัยนาท!I498"")+IMPORTRANGE(""https://docs.google.com/spreadsheets/d/1vWPVBOAaZ6mHSI8yf"&amp;"95DNqHwTJ1cpeFsvqt6cxV34QA/edit?usp=share_link"",""ตราด!I498"")+IMPORTRANGE(""https://docs.google.com/spreadsheets/d/1phaeSb9lTGgzDpbvVqI9hfmOQQzUom07-HEvpbARzEg/edit?usp=share_link"",""นครนายก!I498"")+IMPORTRANGE(""https://docs.google.com/spreadsheets/d/"&amp;"1tpwhWwkqkBeiSWCcfB5f2fbwPRbM9hHOEDSDHpl2MIc/edit?usp=share_link"",""นครปฐม!I498"")+IMPORTRANGE(""https://docs.google.com/spreadsheets/d/1fJJCVBkBnhriyv0Cp5ZFMr0I_yrfdEITNpb4zILJgUQ/edit?usp=share_link"",""ปทุมธานี!I498"")+IMPORTRANGE(""https://docs.googl"&amp;"e.com/spreadsheets/d/1W5Jj_S0gYw6wSO7QcMI02YgyOBDKYgmm0NSUk-AQEac/edit?usp=share_link"",""ประจวบคีรีขันธ์!I498"")+IMPORTRANGE(""https://docs.google.com/spreadsheets/d/1nYxRXgnCfTXtqUY1otYuTlnrzE0Tn-Y0YRsW5pkRVqo/edit?usp=share_link"",""ปราจีนบุรี!I498"")+"&amp;"IMPORTRANGE(""https://docs.google.com/spreadsheets/d/1nNHCLO8ZAXOMfQvxux7cf_hrzPAh8FAvaHq_ClKbZNo/edit?usp=share_link"",""พระนครศรีอยุธยา!I498"")+IMPORTRANGE(""https://docs.google.com/spreadsheets/d/1CdNicvf3i6yt4tJlCePe3V1Va76wYqW0QzMzTsaGRrA/edit?usp=sh"&amp;"are_link"",""เพชรบุรี!I498"")+IMPORTRANGE(""https://docs.google.com/spreadsheets/d/1XiF77UIVHV0Kjc6xbXuOuJ10WgJYxd4p_22ngKVV5oM/edit?usp=share_link"",""ระยอง!I498"")+IMPORTRANGE(""https://docs.google.com/spreadsheets/d/1qU-W_9MCQD1pgIVXGEOjCFo9QqlmJywueby"&amp;"GgaN92r8/edit?usp=share_link"",""ราชบุรี!I498"")+IMPORTRANGE(""https://docs.google.com/spreadsheets/d/1xYFIxIM_CspAP5Q-5Zx_V0T_Ut3cjryrjd2hss28vGk/edit?usp=share_link"",""ลพบุรี!I498"")+IMPORTRANGE(""https://docs.google.com/spreadsheets/d/11s9m3tKsCBdPWq6"&amp;"syhZm27eBGbKneDLZc75co106bio/edit?usp=share_link"",""สระแก้ว!I498"")+IMPORTRANGE(""https://docs.google.com/spreadsheets/d/1Nn1EvsFPtXldgpgVb3Rcng2K2cls68LFQsBh2FyW0Bg/edit?usp=share_link"",""สระบุรี!I498"")+IMPORTRANGE(""https://docs.google.com/spreadshee"&amp;"ts/d/149xufxukrnEciK3WPbNpHwUK8BKEJxp3UcBG3Al6dA4/edit?usp=share_link"",""สิงห์บุรี!I498"")+IMPORTRANGE(""https://docs.google.com/spreadsheets/d/132g-zJpz2uMKimp17uOIx8A7o3w1Z25zwJyXnwsB56c/edit?usp=share_link"",""สุพรรณบุรี!I498"")+IMPORTRANGE(""https://"&amp;"docs.google.com/spreadsheets/d/12Q_U0nVnFdxDFwa0pej9xvx8ZvLC9Dpi_vRro_aiG5g/edit?usp=share_link"",""อ่างทอง!I498"")
"),810)</f>
        <v>810</v>
      </c>
      <c r="J498" s="183">
        <f ca="1">IFERROR(__xludf.DUMMYFUNCTION("IMPORTRANGE(""https://docs.google.com/spreadsheets/d/1hKO5uv94SSRZWOvrh72HRcpyoEQF9TsE_Cvxl77XNU4/edit?usp=share_link"",""กาญจนบุรี!J498"")+IMPORTRANGE(""https://docs.google.com/spreadsheets/d/1njBaP_xXd-Uotvo2D9zb01TTCFkLJLDK97Tk1l9Qux0/edit?usp=share_li"&amp;"nk"",""จันทบุรี!J498"")+IMPORTRANGE(""https://docs.google.com/spreadsheets/d/14xp6qUzrGFnUk_qnc1eEmfiaNRd4_grkhpfQH_46fa8/edit?usp=share_link"",""ฉะเชิงเทรา!J498"")+IMPORTRANGE(""https://docs.google.com/spreadsheets/d/1_Zwps30dlVa-pZFsorjVf1Pil6WXwzCsJU0U"&amp;"2whO3NI/edit?usp=share_link"",""ชลบุรี!J498"")+IMPORTRANGE(""https://docs.google.com/spreadsheets/d/1xAsT4sUbBlom7l0acStESh_15nvjZcXjZM7fK5uZSq8/edit?usp=share_link"",""ชัยนาท!J498"")+IMPORTRANGE(""https://docs.google.com/spreadsheets/d/1vWPVBOAaZ6mHSI8yf"&amp;"95DNqHwTJ1cpeFsvqt6cxV34QA/edit?usp=share_link"",""ตราด!J498"")+IMPORTRANGE(""https://docs.google.com/spreadsheets/d/1phaeSb9lTGgzDpbvVqI9hfmOQQzUom07-HEvpbARzEg/edit?usp=share_link"",""นครนายก!J498"")+IMPORTRANGE(""https://docs.google.com/spreadsheets/d/"&amp;"1tpwhWwkqkBeiSWCcfB5f2fbwPRbM9hHOEDSDHpl2MIc/edit?usp=share_link"",""นครปฐม!J498"")+IMPORTRANGE(""https://docs.google.com/spreadsheets/d/1fJJCVBkBnhriyv0Cp5ZFMr0I_yrfdEITNpb4zILJgUQ/edit?usp=share_link"",""ปทุมธานี!J498"")+IMPORTRANGE(""https://docs.googl"&amp;"e.com/spreadsheets/d/1W5Jj_S0gYw6wSO7QcMI02YgyOBDKYgmm0NSUk-AQEac/edit?usp=share_link"",""ประจวบคีรีขันธ์!J498"")+IMPORTRANGE(""https://docs.google.com/spreadsheets/d/1nYxRXgnCfTXtqUY1otYuTlnrzE0Tn-Y0YRsW5pkRVqo/edit?usp=share_link"",""ปราจีนบุรี!J498"")+"&amp;"IMPORTRANGE(""https://docs.google.com/spreadsheets/d/1nNHCLO8ZAXOMfQvxux7cf_hrzPAh8FAvaHq_ClKbZNo/edit?usp=share_link"",""พระนครศรีอยุธยา!J498"")+IMPORTRANGE(""https://docs.google.com/spreadsheets/d/1CdNicvf3i6yt4tJlCePe3V1Va76wYqW0QzMzTsaGRrA/edit?usp=sh"&amp;"are_link"",""เพชรบุรี!J498"")+IMPORTRANGE(""https://docs.google.com/spreadsheets/d/1XiF77UIVHV0Kjc6xbXuOuJ10WgJYxd4p_22ngKVV5oM/edit?usp=share_link"",""ระยอง!J498"")+IMPORTRANGE(""https://docs.google.com/spreadsheets/d/1qU-W_9MCQD1pgIVXGEOjCFo9QqlmJywueby"&amp;"GgaN92r8/edit?usp=share_link"",""ราชบุรี!J498"")+IMPORTRANGE(""https://docs.google.com/spreadsheets/d/1xYFIxIM_CspAP5Q-5Zx_V0T_Ut3cjryrjd2hss28vGk/edit?usp=share_link"",""ลพบุรี!J498"")+IMPORTRANGE(""https://docs.google.com/spreadsheets/d/11s9m3tKsCBdPWq6"&amp;"syhZm27eBGbKneDLZc75co106bio/edit?usp=share_link"",""สระแก้ว!J498"")+IMPORTRANGE(""https://docs.google.com/spreadsheets/d/1Nn1EvsFPtXldgpgVb3Rcng2K2cls68LFQsBh2FyW0Bg/edit?usp=share_link"",""สระบุรี!J498"")+IMPORTRANGE(""https://docs.google.com/spreadshee"&amp;"ts/d/149xufxukrnEciK3WPbNpHwUK8BKEJxp3UcBG3Al6dA4/edit?usp=share_link"",""สิงห์บุรี!J498"")+IMPORTRANGE(""https://docs.google.com/spreadsheets/d/132g-zJpz2uMKimp17uOIx8A7o3w1Z25zwJyXnwsB56c/edit?usp=share_link"",""สุพรรณบุรี!J498"")+IMPORTRANGE(""https://"&amp;"docs.google.com/spreadsheets/d/12Q_U0nVnFdxDFwa0pej9xvx8ZvLC9Dpi_vRro_aiG5g/edit?usp=share_link"",""อ่างทอง!J498"")
"),0)</f>
        <v>0</v>
      </c>
      <c r="K498" s="38">
        <f ca="1">IF(I498&gt;0,J498*100/I498,0)</f>
        <v>0</v>
      </c>
      <c r="L498" s="38"/>
      <c r="M498" s="38"/>
      <c r="N498" s="38"/>
      <c r="O498" s="38"/>
      <c r="P498" s="38"/>
      <c r="Q498" s="571"/>
      <c r="R498" s="571"/>
      <c r="S498" s="571"/>
      <c r="T498" s="571"/>
      <c r="U498" s="571"/>
      <c r="V498" s="571"/>
      <c r="W498" s="571"/>
      <c r="X498" s="571"/>
      <c r="Y498" s="571"/>
      <c r="Z498" s="571"/>
    </row>
    <row r="499" spans="1:26" ht="20.25" customHeight="1">
      <c r="A499" s="601"/>
      <c r="B499" s="602"/>
      <c r="C499" s="602"/>
      <c r="D499" s="602"/>
      <c r="E499" s="612"/>
      <c r="F499" s="619" t="s">
        <v>218</v>
      </c>
      <c r="G499" s="175"/>
      <c r="H499" s="36" t="s">
        <v>46</v>
      </c>
      <c r="I499" s="37"/>
      <c r="J499" s="183">
        <f ca="1">IFERROR(__xludf.DUMMYFUNCTION("IMPORTRANGE(""https://docs.google.com/spreadsheets/d/1hKO5uv94SSRZWOvrh72HRcpyoEQF9TsE_Cvxl77XNU4/edit?usp=share_link"",""กาญจนบุรี!J499"")+IMPORTRANGE(""https://docs.google.com/spreadsheets/d/1njBaP_xXd-Uotvo2D9zb01TTCFkLJLDK97Tk1l9Qux0/edit?usp=share_li"&amp;"nk"",""จันทบุรี!J499"")+IMPORTRANGE(""https://docs.google.com/spreadsheets/d/14xp6qUzrGFnUk_qnc1eEmfiaNRd4_grkhpfQH_46fa8/edit?usp=share_link"",""ฉะเชิงเทรา!J499"")+IMPORTRANGE(""https://docs.google.com/spreadsheets/d/1_Zwps30dlVa-pZFsorjVf1Pil6WXwzCsJU0U"&amp;"2whO3NI/edit?usp=share_link"",""ชลบุรี!J499"")+IMPORTRANGE(""https://docs.google.com/spreadsheets/d/1xAsT4sUbBlom7l0acStESh_15nvjZcXjZM7fK5uZSq8/edit?usp=share_link"",""ชัยนาท!J499"")+IMPORTRANGE(""https://docs.google.com/spreadsheets/d/1vWPVBOAaZ6mHSI8yf"&amp;"95DNqHwTJ1cpeFsvqt6cxV34QA/edit?usp=share_link"",""ตราด!J499"")+IMPORTRANGE(""https://docs.google.com/spreadsheets/d/1phaeSb9lTGgzDpbvVqI9hfmOQQzUom07-HEvpbARzEg/edit?usp=share_link"",""นครนายก!J499"")+IMPORTRANGE(""https://docs.google.com/spreadsheets/d/"&amp;"1tpwhWwkqkBeiSWCcfB5f2fbwPRbM9hHOEDSDHpl2MIc/edit?usp=share_link"",""นครปฐม!J499"")+IMPORTRANGE(""https://docs.google.com/spreadsheets/d/1fJJCVBkBnhriyv0Cp5ZFMr0I_yrfdEITNpb4zILJgUQ/edit?usp=share_link"",""ปทุมธานี!J499"")+IMPORTRANGE(""https://docs.googl"&amp;"e.com/spreadsheets/d/1W5Jj_S0gYw6wSO7QcMI02YgyOBDKYgmm0NSUk-AQEac/edit?usp=share_link"",""ประจวบคีรีขันธ์!J499"")+IMPORTRANGE(""https://docs.google.com/spreadsheets/d/1nYxRXgnCfTXtqUY1otYuTlnrzE0Tn-Y0YRsW5pkRVqo/edit?usp=share_link"",""ปราจีนบุรี!J499"")+"&amp;"IMPORTRANGE(""https://docs.google.com/spreadsheets/d/1nNHCLO8ZAXOMfQvxux7cf_hrzPAh8FAvaHq_ClKbZNo/edit?usp=share_link"",""พระนครศรีอยุธยา!J499"")+IMPORTRANGE(""https://docs.google.com/spreadsheets/d/1CdNicvf3i6yt4tJlCePe3V1Va76wYqW0QzMzTsaGRrA/edit?usp=sh"&amp;"are_link"",""เพชรบุรี!J499"")+IMPORTRANGE(""https://docs.google.com/spreadsheets/d/1XiF77UIVHV0Kjc6xbXuOuJ10WgJYxd4p_22ngKVV5oM/edit?usp=share_link"",""ระยอง!J499"")+IMPORTRANGE(""https://docs.google.com/spreadsheets/d/1qU-W_9MCQD1pgIVXGEOjCFo9QqlmJywueby"&amp;"GgaN92r8/edit?usp=share_link"",""ราชบุรี!J499"")+IMPORTRANGE(""https://docs.google.com/spreadsheets/d/1xYFIxIM_CspAP5Q-5Zx_V0T_Ut3cjryrjd2hss28vGk/edit?usp=share_link"",""ลพบุรี!J499"")+IMPORTRANGE(""https://docs.google.com/spreadsheets/d/11s9m3tKsCBdPWq6"&amp;"syhZm27eBGbKneDLZc75co106bio/edit?usp=share_link"",""สระแก้ว!J499"")+IMPORTRANGE(""https://docs.google.com/spreadsheets/d/1Nn1EvsFPtXldgpgVb3Rcng2K2cls68LFQsBh2FyW0Bg/edit?usp=share_link"",""สระบุรี!J499"")+IMPORTRANGE(""https://docs.google.com/spreadshee"&amp;"ts/d/149xufxukrnEciK3WPbNpHwUK8BKEJxp3UcBG3Al6dA4/edit?usp=share_link"",""สิงห์บุรี!J499"")+IMPORTRANGE(""https://docs.google.com/spreadsheets/d/132g-zJpz2uMKimp17uOIx8A7o3w1Z25zwJyXnwsB56c/edit?usp=share_link"",""สุพรรณบุรี!J499"")+IMPORTRANGE(""https://"&amp;"docs.google.com/spreadsheets/d/12Q_U0nVnFdxDFwa0pej9xvx8ZvLC9Dpi_vRro_aiG5g/edit?usp=share_link"",""อ่างทอง!J499"")
"),0)</f>
        <v>0</v>
      </c>
      <c r="K499" s="38"/>
      <c r="L499" s="38"/>
      <c r="M499" s="38"/>
      <c r="N499" s="38"/>
      <c r="O499" s="38"/>
      <c r="P499" s="38"/>
      <c r="Q499" s="571"/>
      <c r="R499" s="571"/>
      <c r="S499" s="571"/>
      <c r="T499" s="571"/>
      <c r="U499" s="571"/>
      <c r="V499" s="571"/>
      <c r="W499" s="571"/>
      <c r="X499" s="571"/>
      <c r="Y499" s="571"/>
      <c r="Z499" s="571"/>
    </row>
    <row r="500" spans="1:26" ht="20.25" hidden="1" customHeight="1">
      <c r="A500" s="620">
        <v>4</v>
      </c>
      <c r="B500" s="621" t="s">
        <v>219</v>
      </c>
      <c r="C500" s="622"/>
      <c r="D500" s="623"/>
      <c r="E500" s="623"/>
      <c r="F500" s="623"/>
      <c r="G500" s="624"/>
      <c r="H500" s="625" t="s">
        <v>109</v>
      </c>
      <c r="I500" s="626"/>
      <c r="J500" s="626">
        <f t="shared" ref="J500:J501" si="248">J516</f>
        <v>0</v>
      </c>
      <c r="K500" s="627">
        <f t="shared" ref="K500:K501" si="249">IF(I500&gt;0,J500*100/I500,0)</f>
        <v>0</v>
      </c>
      <c r="L500" s="628"/>
      <c r="M500" s="628"/>
      <c r="N500" s="628"/>
      <c r="O500" s="628"/>
      <c r="P500" s="628"/>
      <c r="Q500" s="597"/>
      <c r="R500" s="597"/>
      <c r="S500" s="597"/>
      <c r="T500" s="597"/>
      <c r="U500" s="597"/>
      <c r="V500" s="597"/>
      <c r="W500" s="597"/>
      <c r="X500" s="597"/>
      <c r="Y500" s="597"/>
      <c r="Z500" s="597"/>
    </row>
    <row r="501" spans="1:26" ht="20.25" hidden="1" customHeight="1">
      <c r="A501" s="629"/>
      <c r="B501" s="630" t="s">
        <v>220</v>
      </c>
      <c r="C501" s="631"/>
      <c r="D501" s="632"/>
      <c r="E501" s="632"/>
      <c r="F501" s="632"/>
      <c r="G501" s="633"/>
      <c r="H501" s="634" t="s">
        <v>35</v>
      </c>
      <c r="I501" s="635"/>
      <c r="J501" s="635">
        <f t="shared" si="248"/>
        <v>0</v>
      </c>
      <c r="K501" s="636">
        <f t="shared" si="249"/>
        <v>0</v>
      </c>
      <c r="L501" s="637"/>
      <c r="M501" s="637"/>
      <c r="N501" s="637"/>
      <c r="O501" s="637"/>
      <c r="P501" s="637"/>
      <c r="Q501" s="597"/>
      <c r="R501" s="597"/>
      <c r="S501" s="597"/>
      <c r="T501" s="597"/>
      <c r="U501" s="597"/>
      <c r="V501" s="597"/>
      <c r="W501" s="597"/>
      <c r="X501" s="597"/>
      <c r="Y501" s="597"/>
      <c r="Z501" s="597"/>
    </row>
    <row r="502" spans="1:26" ht="20.25" hidden="1" customHeight="1">
      <c r="A502" s="592"/>
      <c r="B502" s="593"/>
      <c r="C502" s="593" t="s">
        <v>16</v>
      </c>
      <c r="D502" s="864" t="s">
        <v>17</v>
      </c>
      <c r="E502" s="857"/>
      <c r="F502" s="857"/>
      <c r="G502" s="596"/>
      <c r="H502" s="639" t="s">
        <v>12</v>
      </c>
      <c r="I502" s="44"/>
      <c r="J502" s="44"/>
      <c r="K502" s="45"/>
      <c r="L502" s="640">
        <f t="shared" ref="L502:N502" si="250">L503+L504</f>
        <v>0</v>
      </c>
      <c r="M502" s="640">
        <f t="shared" si="250"/>
        <v>0</v>
      </c>
      <c r="N502" s="640">
        <f t="shared" si="250"/>
        <v>0</v>
      </c>
      <c r="O502" s="640">
        <f t="shared" ref="O502:O507" si="251">IF(L502&gt;0,N502*100/L502,0)</f>
        <v>0</v>
      </c>
      <c r="P502" s="640">
        <f t="shared" ref="P502:P507" si="252">IF(M502&gt;0,N502*100/M502,0)</f>
        <v>0</v>
      </c>
      <c r="Q502" s="597"/>
      <c r="R502" s="597"/>
      <c r="S502" s="597"/>
      <c r="T502" s="597"/>
      <c r="U502" s="597"/>
      <c r="V502" s="597"/>
      <c r="W502" s="597"/>
      <c r="X502" s="597"/>
      <c r="Y502" s="597"/>
      <c r="Z502" s="597"/>
    </row>
    <row r="503" spans="1:26" ht="20.25" hidden="1" customHeight="1">
      <c r="A503" s="592"/>
      <c r="B503" s="593"/>
      <c r="C503" s="593"/>
      <c r="D503" s="594"/>
      <c r="E503" s="595" t="s">
        <v>184</v>
      </c>
      <c r="F503" s="593"/>
      <c r="G503" s="596"/>
      <c r="H503" s="165" t="s">
        <v>12</v>
      </c>
      <c r="I503" s="44"/>
      <c r="J503" s="44"/>
      <c r="K503" s="45"/>
      <c r="L503" s="45">
        <f t="shared" ref="L503:N503" si="253">L506+L513</f>
        <v>0</v>
      </c>
      <c r="M503" s="45">
        <f t="shared" si="253"/>
        <v>0</v>
      </c>
      <c r="N503" s="45">
        <f t="shared" si="253"/>
        <v>0</v>
      </c>
      <c r="O503" s="45">
        <f t="shared" si="251"/>
        <v>0</v>
      </c>
      <c r="P503" s="45">
        <f t="shared" si="252"/>
        <v>0</v>
      </c>
      <c r="Q503" s="597"/>
      <c r="R503" s="597"/>
      <c r="S503" s="597"/>
      <c r="T503" s="597"/>
      <c r="U503" s="597"/>
      <c r="V503" s="597"/>
      <c r="W503" s="597"/>
      <c r="X503" s="597"/>
      <c r="Y503" s="597"/>
      <c r="Z503" s="597"/>
    </row>
    <row r="504" spans="1:26" ht="20.25" hidden="1" customHeight="1">
      <c r="A504" s="592"/>
      <c r="B504" s="598"/>
      <c r="C504" s="593"/>
      <c r="D504" s="594"/>
      <c r="E504" s="595" t="s">
        <v>185</v>
      </c>
      <c r="F504" s="593"/>
      <c r="G504" s="596"/>
      <c r="H504" s="165" t="s">
        <v>12</v>
      </c>
      <c r="I504" s="44"/>
      <c r="J504" s="44"/>
      <c r="K504" s="45"/>
      <c r="L504" s="45">
        <f t="shared" ref="L504:N504" si="254">L507+L514</f>
        <v>0</v>
      </c>
      <c r="M504" s="45">
        <f t="shared" si="254"/>
        <v>0</v>
      </c>
      <c r="N504" s="45">
        <f t="shared" si="254"/>
        <v>0</v>
      </c>
      <c r="O504" s="45">
        <f t="shared" si="251"/>
        <v>0</v>
      </c>
      <c r="P504" s="45">
        <f t="shared" si="252"/>
        <v>0</v>
      </c>
      <c r="Q504" s="597"/>
      <c r="R504" s="597"/>
      <c r="S504" s="597"/>
      <c r="T504" s="597"/>
      <c r="U504" s="597"/>
      <c r="V504" s="597"/>
      <c r="W504" s="597"/>
      <c r="X504" s="597"/>
      <c r="Y504" s="597"/>
      <c r="Z504" s="597"/>
    </row>
    <row r="505" spans="1:26" ht="20.25" hidden="1" customHeight="1">
      <c r="A505" s="592"/>
      <c r="B505" s="598"/>
      <c r="C505" s="593"/>
      <c r="D505" s="641" t="s">
        <v>20</v>
      </c>
      <c r="E505" s="593"/>
      <c r="F505" s="593"/>
      <c r="G505" s="596"/>
      <c r="H505" s="165" t="s">
        <v>12</v>
      </c>
      <c r="I505" s="166"/>
      <c r="J505" s="166"/>
      <c r="K505" s="167"/>
      <c r="L505" s="45">
        <f t="shared" ref="L505:N505" si="255">L506+L507</f>
        <v>0</v>
      </c>
      <c r="M505" s="45">
        <f t="shared" si="255"/>
        <v>0</v>
      </c>
      <c r="N505" s="45">
        <f t="shared" si="255"/>
        <v>0</v>
      </c>
      <c r="O505" s="45">
        <f t="shared" si="251"/>
        <v>0</v>
      </c>
      <c r="P505" s="45">
        <f t="shared" si="252"/>
        <v>0</v>
      </c>
      <c r="Q505" s="597"/>
      <c r="R505" s="597"/>
      <c r="S505" s="597"/>
      <c r="T505" s="597"/>
      <c r="U505" s="597"/>
      <c r="V505" s="597"/>
      <c r="W505" s="597"/>
      <c r="X505" s="597"/>
      <c r="Y505" s="597"/>
      <c r="Z505" s="597"/>
    </row>
    <row r="506" spans="1:26" ht="20.25" hidden="1" customHeight="1">
      <c r="A506" s="592"/>
      <c r="B506" s="598"/>
      <c r="C506" s="593"/>
      <c r="D506" s="594"/>
      <c r="E506" s="595" t="s">
        <v>184</v>
      </c>
      <c r="F506" s="593"/>
      <c r="G506" s="596"/>
      <c r="H506" s="165" t="s">
        <v>12</v>
      </c>
      <c r="I506" s="44"/>
      <c r="J506" s="44"/>
      <c r="K506" s="45"/>
      <c r="L506" s="93">
        <v>0</v>
      </c>
      <c r="M506" s="93">
        <v>0</v>
      </c>
      <c r="N506" s="93">
        <v>0</v>
      </c>
      <c r="O506" s="45">
        <f t="shared" si="251"/>
        <v>0</v>
      </c>
      <c r="P506" s="45">
        <f t="shared" si="252"/>
        <v>0</v>
      </c>
      <c r="Q506" s="597"/>
      <c r="R506" s="597"/>
      <c r="S506" s="597"/>
      <c r="T506" s="597"/>
      <c r="U506" s="597"/>
      <c r="V506" s="597"/>
      <c r="W506" s="597"/>
      <c r="X506" s="597"/>
      <c r="Y506" s="597"/>
      <c r="Z506" s="597"/>
    </row>
    <row r="507" spans="1:26" ht="20.25" hidden="1" customHeight="1">
      <c r="A507" s="592"/>
      <c r="B507" s="598"/>
      <c r="C507" s="593"/>
      <c r="D507" s="594"/>
      <c r="E507" s="595" t="s">
        <v>185</v>
      </c>
      <c r="F507" s="593"/>
      <c r="G507" s="596"/>
      <c r="H507" s="165" t="s">
        <v>12</v>
      </c>
      <c r="I507" s="44"/>
      <c r="J507" s="44"/>
      <c r="K507" s="45"/>
      <c r="L507" s="93">
        <v>0</v>
      </c>
      <c r="M507" s="93">
        <v>0</v>
      </c>
      <c r="N507" s="45">
        <f>N508+N509+N510+N511</f>
        <v>0</v>
      </c>
      <c r="O507" s="45">
        <f t="shared" si="251"/>
        <v>0</v>
      </c>
      <c r="P507" s="45">
        <f t="shared" si="252"/>
        <v>0</v>
      </c>
      <c r="Q507" s="597"/>
      <c r="R507" s="597"/>
      <c r="S507" s="597"/>
      <c r="T507" s="597"/>
      <c r="U507" s="597"/>
      <c r="V507" s="597"/>
      <c r="W507" s="597"/>
      <c r="X507" s="597"/>
      <c r="Y507" s="597"/>
      <c r="Z507" s="597"/>
    </row>
    <row r="508" spans="1:26" ht="20.25" hidden="1" customHeight="1">
      <c r="A508" s="642"/>
      <c r="B508" s="598"/>
      <c r="C508" s="593"/>
      <c r="D508" s="593"/>
      <c r="E508" s="593"/>
      <c r="F508" s="595" t="s">
        <v>186</v>
      </c>
      <c r="G508" s="596"/>
      <c r="H508" s="165" t="s">
        <v>12</v>
      </c>
      <c r="I508" s="44"/>
      <c r="J508" s="44"/>
      <c r="K508" s="45"/>
      <c r="L508" s="45"/>
      <c r="M508" s="45"/>
      <c r="N508" s="93">
        <v>0</v>
      </c>
      <c r="O508" s="45"/>
      <c r="P508" s="45"/>
      <c r="Q508" s="597"/>
      <c r="R508" s="597"/>
      <c r="S508" s="597"/>
      <c r="T508" s="597"/>
      <c r="U508" s="597"/>
      <c r="V508" s="597"/>
      <c r="W508" s="597"/>
      <c r="X508" s="597"/>
      <c r="Y508" s="597"/>
      <c r="Z508" s="597"/>
    </row>
    <row r="509" spans="1:26" ht="20.25" hidden="1" customHeight="1">
      <c r="A509" s="642"/>
      <c r="B509" s="598"/>
      <c r="C509" s="593"/>
      <c r="D509" s="593"/>
      <c r="E509" s="593"/>
      <c r="F509" s="595" t="s">
        <v>187</v>
      </c>
      <c r="G509" s="596"/>
      <c r="H509" s="165" t="s">
        <v>12</v>
      </c>
      <c r="I509" s="44"/>
      <c r="J509" s="44"/>
      <c r="K509" s="45"/>
      <c r="L509" s="45"/>
      <c r="M509" s="45"/>
      <c r="N509" s="93">
        <v>0</v>
      </c>
      <c r="O509" s="45"/>
      <c r="P509" s="45"/>
      <c r="Q509" s="597"/>
      <c r="R509" s="597"/>
      <c r="S509" s="597"/>
      <c r="T509" s="597"/>
      <c r="U509" s="597"/>
      <c r="V509" s="597"/>
      <c r="W509" s="597"/>
      <c r="X509" s="597"/>
      <c r="Y509" s="597"/>
      <c r="Z509" s="597"/>
    </row>
    <row r="510" spans="1:26" ht="20.25" hidden="1" customHeight="1">
      <c r="A510" s="642"/>
      <c r="B510" s="598"/>
      <c r="C510" s="598"/>
      <c r="D510" s="598"/>
      <c r="E510" s="593"/>
      <c r="F510" s="595" t="s">
        <v>188</v>
      </c>
      <c r="G510" s="596"/>
      <c r="H510" s="165" t="s">
        <v>12</v>
      </c>
      <c r="I510" s="44"/>
      <c r="J510" s="44"/>
      <c r="K510" s="45"/>
      <c r="L510" s="45"/>
      <c r="M510" s="45"/>
      <c r="N510" s="93">
        <v>0</v>
      </c>
      <c r="O510" s="45"/>
      <c r="P510" s="45"/>
      <c r="Q510" s="597"/>
      <c r="R510" s="597"/>
      <c r="S510" s="597"/>
      <c r="T510" s="597"/>
      <c r="U510" s="597"/>
      <c r="V510" s="597"/>
      <c r="W510" s="597"/>
      <c r="X510" s="597"/>
      <c r="Y510" s="597"/>
      <c r="Z510" s="597"/>
    </row>
    <row r="511" spans="1:26" ht="20.25" hidden="1" customHeight="1">
      <c r="A511" s="642"/>
      <c r="B511" s="598"/>
      <c r="C511" s="598"/>
      <c r="D511" s="598"/>
      <c r="E511" s="593"/>
      <c r="F511" s="595" t="s">
        <v>189</v>
      </c>
      <c r="G511" s="596"/>
      <c r="H511" s="165" t="s">
        <v>12</v>
      </c>
      <c r="I511" s="44"/>
      <c r="J511" s="44"/>
      <c r="K511" s="45"/>
      <c r="L511" s="45"/>
      <c r="M511" s="45"/>
      <c r="N511" s="93">
        <v>0</v>
      </c>
      <c r="O511" s="45"/>
      <c r="P511" s="45"/>
      <c r="Q511" s="597"/>
      <c r="R511" s="597"/>
      <c r="S511" s="597"/>
      <c r="T511" s="597"/>
      <c r="U511" s="597"/>
      <c r="V511" s="597"/>
      <c r="W511" s="597"/>
      <c r="X511" s="597"/>
      <c r="Y511" s="597"/>
      <c r="Z511" s="597"/>
    </row>
    <row r="512" spans="1:26" ht="20.25" hidden="1" customHeight="1">
      <c r="A512" s="592"/>
      <c r="B512" s="598"/>
      <c r="C512" s="598"/>
      <c r="D512" s="641" t="s">
        <v>21</v>
      </c>
      <c r="E512" s="598"/>
      <c r="F512" s="593"/>
      <c r="G512" s="596"/>
      <c r="H512" s="169" t="s">
        <v>12</v>
      </c>
      <c r="I512" s="166"/>
      <c r="J512" s="166"/>
      <c r="K512" s="167"/>
      <c r="L512" s="45">
        <f t="shared" ref="L512:N512" si="256">L513+L514</f>
        <v>0</v>
      </c>
      <c r="M512" s="45">
        <f t="shared" si="256"/>
        <v>0</v>
      </c>
      <c r="N512" s="45">
        <f t="shared" si="256"/>
        <v>0</v>
      </c>
      <c r="O512" s="45">
        <f t="shared" ref="O512:O514" si="257">IF(L512&gt;0,N512*100/L512,0)</f>
        <v>0</v>
      </c>
      <c r="P512" s="45">
        <f t="shared" ref="P512:P514" si="258">IF(M512&gt;0,N512*100/M512,0)</f>
        <v>0</v>
      </c>
      <c r="Q512" s="597"/>
      <c r="R512" s="597"/>
      <c r="S512" s="597"/>
      <c r="T512" s="597"/>
      <c r="U512" s="597"/>
      <c r="V512" s="597"/>
      <c r="W512" s="597"/>
      <c r="X512" s="597"/>
      <c r="Y512" s="597"/>
      <c r="Z512" s="597"/>
    </row>
    <row r="513" spans="1:26" ht="20.25" hidden="1" customHeight="1">
      <c r="A513" s="592"/>
      <c r="B513" s="598"/>
      <c r="C513" s="598"/>
      <c r="D513" s="598"/>
      <c r="E513" s="600" t="s">
        <v>18</v>
      </c>
      <c r="F513" s="593"/>
      <c r="G513" s="596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45">
        <f t="shared" si="257"/>
        <v>0</v>
      </c>
      <c r="P513" s="45">
        <f t="shared" si="258"/>
        <v>0</v>
      </c>
      <c r="Q513" s="597"/>
      <c r="R513" s="597"/>
      <c r="S513" s="597"/>
      <c r="T513" s="597"/>
      <c r="U513" s="597"/>
      <c r="V513" s="597"/>
      <c r="W513" s="597"/>
      <c r="X513" s="597"/>
      <c r="Y513" s="597"/>
      <c r="Z513" s="597"/>
    </row>
    <row r="514" spans="1:26" ht="20.25" hidden="1" customHeight="1">
      <c r="A514" s="592"/>
      <c r="B514" s="598"/>
      <c r="C514" s="598"/>
      <c r="D514" s="593"/>
      <c r="E514" s="600" t="s">
        <v>19</v>
      </c>
      <c r="F514" s="593"/>
      <c r="G514" s="596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45">
        <f t="shared" si="257"/>
        <v>0</v>
      </c>
      <c r="P514" s="45">
        <f t="shared" si="258"/>
        <v>0</v>
      </c>
      <c r="Q514" s="597"/>
      <c r="R514" s="597"/>
      <c r="S514" s="597"/>
      <c r="T514" s="597"/>
      <c r="U514" s="597"/>
      <c r="V514" s="597"/>
      <c r="W514" s="597"/>
      <c r="X514" s="597"/>
      <c r="Y514" s="597"/>
      <c r="Z514" s="597"/>
    </row>
    <row r="515" spans="1:26" ht="20.25" hidden="1" customHeight="1">
      <c r="A515" s="607"/>
      <c r="B515" s="608"/>
      <c r="C515" s="598" t="s">
        <v>16</v>
      </c>
      <c r="D515" s="643" t="s">
        <v>38</v>
      </c>
      <c r="E515" s="644"/>
      <c r="F515" s="644"/>
      <c r="G515" s="645"/>
      <c r="H515" s="365"/>
      <c r="I515" s="166"/>
      <c r="J515" s="166"/>
      <c r="K515" s="167"/>
      <c r="L515" s="167"/>
      <c r="M515" s="167"/>
      <c r="N515" s="167"/>
      <c r="O515" s="167"/>
      <c r="P515" s="167"/>
      <c r="Q515" s="597"/>
      <c r="R515" s="597"/>
      <c r="S515" s="597"/>
      <c r="T515" s="597"/>
      <c r="U515" s="597"/>
      <c r="V515" s="597"/>
      <c r="W515" s="597"/>
      <c r="X515" s="597"/>
      <c r="Y515" s="597"/>
      <c r="Z515" s="597"/>
    </row>
    <row r="516" spans="1:26" ht="20.25" hidden="1" customHeight="1">
      <c r="A516" s="607"/>
      <c r="B516" s="608"/>
      <c r="C516" s="608"/>
      <c r="D516" s="609" t="s">
        <v>221</v>
      </c>
      <c r="E516" s="594"/>
      <c r="F516" s="594"/>
      <c r="G516" s="365"/>
      <c r="H516" s="646" t="s">
        <v>109</v>
      </c>
      <c r="I516" s="44"/>
      <c r="J516" s="610">
        <v>0</v>
      </c>
      <c r="K516" s="167">
        <f t="shared" ref="K516:K517" si="259">IF(I516&gt;0,J516*100/I516,0)</f>
        <v>0</v>
      </c>
      <c r="L516" s="167"/>
      <c r="M516" s="167"/>
      <c r="N516" s="167"/>
      <c r="O516" s="167"/>
      <c r="P516" s="167"/>
      <c r="Q516" s="597"/>
      <c r="R516" s="597"/>
      <c r="S516" s="597"/>
      <c r="T516" s="597"/>
      <c r="U516" s="597"/>
      <c r="V516" s="597"/>
      <c r="W516" s="597"/>
      <c r="X516" s="597"/>
      <c r="Y516" s="597"/>
      <c r="Z516" s="597"/>
    </row>
    <row r="517" spans="1:26" ht="20.25" hidden="1" customHeight="1">
      <c r="A517" s="607"/>
      <c r="B517" s="608"/>
      <c r="C517" s="608"/>
      <c r="D517" s="609" t="s">
        <v>222</v>
      </c>
      <c r="E517" s="594"/>
      <c r="F517" s="594"/>
      <c r="G517" s="365"/>
      <c r="H517" s="647" t="s">
        <v>35</v>
      </c>
      <c r="I517" s="648"/>
      <c r="J517" s="648">
        <f>J518+J519</f>
        <v>0</v>
      </c>
      <c r="K517" s="649">
        <f t="shared" si="259"/>
        <v>0</v>
      </c>
      <c r="L517" s="167"/>
      <c r="M517" s="167"/>
      <c r="N517" s="167"/>
      <c r="O517" s="167"/>
      <c r="P517" s="167"/>
      <c r="Q517" s="597"/>
      <c r="R517" s="597"/>
      <c r="S517" s="597"/>
      <c r="T517" s="597"/>
      <c r="U517" s="597"/>
      <c r="V517" s="597"/>
      <c r="W517" s="597"/>
      <c r="X517" s="597"/>
      <c r="Y517" s="597"/>
      <c r="Z517" s="597"/>
    </row>
    <row r="518" spans="1:26" ht="20.25" hidden="1" customHeight="1">
      <c r="A518" s="607"/>
      <c r="B518" s="608"/>
      <c r="C518" s="608"/>
      <c r="D518" s="608"/>
      <c r="E518" s="609" t="s">
        <v>223</v>
      </c>
      <c r="F518" s="594"/>
      <c r="G518" s="365"/>
      <c r="H518" s="369" t="s">
        <v>35</v>
      </c>
      <c r="I518" s="44"/>
      <c r="J518" s="44"/>
      <c r="K518" s="167"/>
      <c r="L518" s="167"/>
      <c r="M518" s="167"/>
      <c r="N518" s="167"/>
      <c r="O518" s="167"/>
      <c r="P518" s="167"/>
      <c r="Q518" s="597"/>
      <c r="R518" s="597"/>
      <c r="S518" s="597"/>
      <c r="T518" s="597"/>
      <c r="U518" s="597"/>
      <c r="V518" s="597"/>
      <c r="W518" s="597"/>
      <c r="X518" s="597"/>
      <c r="Y518" s="597"/>
      <c r="Z518" s="597"/>
    </row>
    <row r="519" spans="1:26" ht="20.25" hidden="1" customHeight="1">
      <c r="A519" s="607"/>
      <c r="B519" s="608"/>
      <c r="C519" s="608"/>
      <c r="D519" s="608"/>
      <c r="E519" s="609" t="s">
        <v>224</v>
      </c>
      <c r="F519" s="594"/>
      <c r="G519" s="365"/>
      <c r="H519" s="646" t="s">
        <v>35</v>
      </c>
      <c r="I519" s="44"/>
      <c r="J519" s="44"/>
      <c r="K519" s="167"/>
      <c r="L519" s="167"/>
      <c r="M519" s="167"/>
      <c r="N519" s="167"/>
      <c r="O519" s="167"/>
      <c r="P519" s="167"/>
      <c r="Q519" s="597"/>
      <c r="R519" s="597"/>
      <c r="S519" s="597"/>
      <c r="T519" s="597"/>
      <c r="U519" s="597"/>
      <c r="V519" s="597"/>
      <c r="W519" s="597"/>
      <c r="X519" s="597"/>
      <c r="Y519" s="597"/>
      <c r="Z519" s="597"/>
    </row>
    <row r="520" spans="1:26" ht="20.25" customHeight="1">
      <c r="A520" s="650" t="s">
        <v>137</v>
      </c>
      <c r="B520" s="651"/>
      <c r="C520" s="651"/>
      <c r="D520" s="652"/>
      <c r="E520" s="652"/>
      <c r="F520" s="652"/>
      <c r="G520" s="653"/>
      <c r="H520" s="654"/>
      <c r="I520" s="655"/>
      <c r="J520" s="655"/>
      <c r="K520" s="656"/>
      <c r="L520" s="656"/>
      <c r="M520" s="656"/>
      <c r="N520" s="656"/>
      <c r="O520" s="656"/>
      <c r="P520" s="656"/>
    </row>
    <row r="521" spans="1:26" ht="20.25" customHeight="1">
      <c r="A521" s="657">
        <v>5</v>
      </c>
      <c r="B521" s="658" t="s">
        <v>225</v>
      </c>
      <c r="C521" s="659"/>
      <c r="D521" s="660"/>
      <c r="E521" s="660"/>
      <c r="F521" s="660"/>
      <c r="G521" s="660"/>
      <c r="H521" s="661"/>
      <c r="I521" s="662"/>
      <c r="J521" s="662"/>
      <c r="K521" s="663"/>
      <c r="L521" s="663"/>
      <c r="M521" s="663"/>
      <c r="N521" s="663"/>
      <c r="O521" s="663"/>
      <c r="P521" s="663"/>
      <c r="Q521" s="571"/>
      <c r="R521" s="571"/>
      <c r="S521" s="571"/>
      <c r="T521" s="571"/>
      <c r="U521" s="571"/>
      <c r="V521" s="571"/>
      <c r="W521" s="571"/>
      <c r="X521" s="571"/>
      <c r="Y521" s="571"/>
      <c r="Z521" s="571"/>
    </row>
    <row r="522" spans="1:26" ht="20.25" customHeight="1">
      <c r="A522" s="664"/>
      <c r="B522" s="665" t="s">
        <v>226</v>
      </c>
      <c r="C522" s="666"/>
      <c r="D522" s="666"/>
      <c r="E522" s="666"/>
      <c r="F522" s="666"/>
      <c r="G522" s="667"/>
      <c r="H522" s="668" t="s">
        <v>35</v>
      </c>
      <c r="I522" s="669">
        <f t="shared" ref="I522:J522" ca="1" si="260">I537</f>
        <v>150</v>
      </c>
      <c r="J522" s="669">
        <f t="shared" ca="1" si="260"/>
        <v>0</v>
      </c>
      <c r="K522" s="670">
        <f ca="1">IF(I522&gt;0,J522*100/I522,0)</f>
        <v>0</v>
      </c>
      <c r="L522" s="671"/>
      <c r="M522" s="671"/>
      <c r="N522" s="671"/>
      <c r="O522" s="671"/>
      <c r="P522" s="671"/>
      <c r="Q522" s="571"/>
      <c r="R522" s="571"/>
      <c r="S522" s="571"/>
      <c r="T522" s="571"/>
      <c r="U522" s="571"/>
      <c r="V522" s="571"/>
      <c r="W522" s="571"/>
      <c r="X522" s="571"/>
      <c r="Y522" s="571"/>
      <c r="Z522" s="571"/>
    </row>
    <row r="523" spans="1:26" ht="20.25" customHeight="1">
      <c r="A523" s="590"/>
      <c r="B523" s="569"/>
      <c r="C523" s="569" t="s">
        <v>16</v>
      </c>
      <c r="D523" s="863" t="s">
        <v>17</v>
      </c>
      <c r="E523" s="857"/>
      <c r="F523" s="857"/>
      <c r="G523" s="189"/>
      <c r="H523" s="591" t="s">
        <v>12</v>
      </c>
      <c r="I523" s="37"/>
      <c r="J523" s="37"/>
      <c r="K523" s="38"/>
      <c r="L523" s="195">
        <f t="shared" ref="L523:N523" ca="1" si="261">L524+L525</f>
        <v>1282380</v>
      </c>
      <c r="M523" s="195">
        <f t="shared" si="261"/>
        <v>0</v>
      </c>
      <c r="N523" s="195">
        <f t="shared" ca="1" si="261"/>
        <v>47590</v>
      </c>
      <c r="O523" s="195">
        <f t="shared" ref="O523:O528" ca="1" si="262">IF(L523&gt;0,N523*100/L523,0)</f>
        <v>3.7110684820412048</v>
      </c>
      <c r="P523" s="195">
        <f t="shared" ref="P523:P528" si="263">IF(M523&gt;0,N523*100/M523,0)</f>
        <v>0</v>
      </c>
      <c r="Q523" s="571"/>
      <c r="R523" s="571"/>
      <c r="S523" s="571"/>
      <c r="T523" s="571"/>
      <c r="U523" s="571"/>
      <c r="V523" s="571"/>
      <c r="W523" s="571"/>
      <c r="X523" s="571"/>
      <c r="Y523" s="571"/>
      <c r="Z523" s="571"/>
    </row>
    <row r="524" spans="1:26" ht="20.25" hidden="1" customHeight="1">
      <c r="A524" s="592"/>
      <c r="B524" s="593"/>
      <c r="C524" s="593"/>
      <c r="D524" s="594"/>
      <c r="E524" s="595" t="s">
        <v>184</v>
      </c>
      <c r="F524" s="593"/>
      <c r="G524" s="596"/>
      <c r="H524" s="165" t="s">
        <v>12</v>
      </c>
      <c r="I524" s="44"/>
      <c r="J524" s="44"/>
      <c r="K524" s="45"/>
      <c r="L524" s="45">
        <f t="shared" ref="L524:N524" si="264">L527+L534</f>
        <v>0</v>
      </c>
      <c r="M524" s="45">
        <f t="shared" si="264"/>
        <v>0</v>
      </c>
      <c r="N524" s="45">
        <f t="shared" si="264"/>
        <v>0</v>
      </c>
      <c r="O524" s="45">
        <f t="shared" si="262"/>
        <v>0</v>
      </c>
      <c r="P524" s="45">
        <f t="shared" si="263"/>
        <v>0</v>
      </c>
      <c r="Q524" s="597"/>
      <c r="R524" s="597"/>
      <c r="S524" s="597"/>
      <c r="T524" s="597"/>
      <c r="U524" s="597"/>
      <c r="V524" s="597"/>
      <c r="W524" s="597"/>
      <c r="X524" s="597"/>
      <c r="Y524" s="597"/>
      <c r="Z524" s="597"/>
    </row>
    <row r="525" spans="1:26" ht="20.25" hidden="1" customHeight="1">
      <c r="A525" s="592"/>
      <c r="B525" s="598"/>
      <c r="C525" s="593"/>
      <c r="D525" s="594"/>
      <c r="E525" s="595" t="s">
        <v>185</v>
      </c>
      <c r="F525" s="593"/>
      <c r="G525" s="596"/>
      <c r="H525" s="165" t="s">
        <v>12</v>
      </c>
      <c r="I525" s="44"/>
      <c r="J525" s="44"/>
      <c r="K525" s="45"/>
      <c r="L525" s="45">
        <f t="shared" ref="L525:N525" ca="1" si="265">L528+L535</f>
        <v>1282380</v>
      </c>
      <c r="M525" s="45">
        <f t="shared" si="265"/>
        <v>0</v>
      </c>
      <c r="N525" s="45">
        <f t="shared" ca="1" si="265"/>
        <v>47590</v>
      </c>
      <c r="O525" s="45">
        <f t="shared" ca="1" si="262"/>
        <v>3.7110684820412048</v>
      </c>
      <c r="P525" s="45">
        <f t="shared" si="263"/>
        <v>0</v>
      </c>
      <c r="Q525" s="597"/>
      <c r="R525" s="597"/>
      <c r="S525" s="597"/>
      <c r="T525" s="597"/>
      <c r="U525" s="597"/>
      <c r="V525" s="597"/>
      <c r="W525" s="597"/>
      <c r="X525" s="597"/>
      <c r="Y525" s="597"/>
      <c r="Z525" s="597"/>
    </row>
    <row r="526" spans="1:26" ht="20.25" customHeight="1">
      <c r="A526" s="590"/>
      <c r="B526" s="568"/>
      <c r="C526" s="569"/>
      <c r="D526" s="599" t="s">
        <v>20</v>
      </c>
      <c r="E526" s="569"/>
      <c r="F526" s="569"/>
      <c r="G526" s="189"/>
      <c r="H526" s="161" t="s">
        <v>12</v>
      </c>
      <c r="I526" s="162"/>
      <c r="J526" s="162"/>
      <c r="K526" s="163"/>
      <c r="L526" s="38">
        <f t="shared" ref="L526:N526" ca="1" si="266">L527+L528</f>
        <v>1282380</v>
      </c>
      <c r="M526" s="38">
        <f t="shared" si="266"/>
        <v>0</v>
      </c>
      <c r="N526" s="38">
        <f t="shared" ca="1" si="266"/>
        <v>47590</v>
      </c>
      <c r="O526" s="38">
        <f t="shared" ca="1" si="262"/>
        <v>3.7110684820412048</v>
      </c>
      <c r="P526" s="38">
        <f t="shared" si="263"/>
        <v>0</v>
      </c>
      <c r="Q526" s="571"/>
      <c r="R526" s="571"/>
      <c r="S526" s="571"/>
      <c r="T526" s="571"/>
      <c r="U526" s="571"/>
      <c r="V526" s="571"/>
      <c r="W526" s="571"/>
      <c r="X526" s="571"/>
      <c r="Y526" s="571"/>
      <c r="Z526" s="571"/>
    </row>
    <row r="527" spans="1:26" ht="20.25" hidden="1" customHeight="1">
      <c r="A527" s="592"/>
      <c r="B527" s="598"/>
      <c r="C527" s="593"/>
      <c r="D527" s="594"/>
      <c r="E527" s="595" t="s">
        <v>184</v>
      </c>
      <c r="F527" s="593"/>
      <c r="G527" s="596"/>
      <c r="H527" s="165" t="s">
        <v>12</v>
      </c>
      <c r="I527" s="44"/>
      <c r="J527" s="44"/>
      <c r="K527" s="45"/>
      <c r="L527" s="93">
        <v>0</v>
      </c>
      <c r="M527" s="93">
        <v>0</v>
      </c>
      <c r="N527" s="93">
        <v>0</v>
      </c>
      <c r="O527" s="45">
        <f t="shared" si="262"/>
        <v>0</v>
      </c>
      <c r="P527" s="45">
        <f t="shared" si="263"/>
        <v>0</v>
      </c>
      <c r="Q527" s="597"/>
      <c r="R527" s="597"/>
      <c r="S527" s="597"/>
      <c r="T527" s="597"/>
      <c r="U527" s="597"/>
      <c r="V527" s="597"/>
      <c r="W527" s="597"/>
      <c r="X527" s="597"/>
      <c r="Y527" s="597"/>
      <c r="Z527" s="597"/>
    </row>
    <row r="528" spans="1:26" ht="20.25" hidden="1" customHeight="1">
      <c r="A528" s="592"/>
      <c r="B528" s="598"/>
      <c r="C528" s="593"/>
      <c r="D528" s="594"/>
      <c r="E528" s="595" t="s">
        <v>185</v>
      </c>
      <c r="F528" s="593"/>
      <c r="G528" s="596"/>
      <c r="H528" s="165" t="s">
        <v>12</v>
      </c>
      <c r="I528" s="44"/>
      <c r="J528" s="44"/>
      <c r="K528" s="45"/>
      <c r="L528" s="45">
        <f ca="1">IFERROR(__xludf.DUMMYFUNCTION("IMPORTRANGE(""https://docs.google.com/spreadsheets/d/1hKO5uv94SSRZWOvrh72HRcpyoEQF9TsE_Cvxl77XNU4/edit?usp=share_link"",""กาญจนบุรี!L528"")+IMPORTRANGE(""https://docs.google.com/spreadsheets/d/1njBaP_xXd-Uotvo2D9zb01TTCFkLJLDK97Tk1l9Qux0/edit?usp=share_li"&amp;"nk"",""จันทบุรี!L528"")+IMPORTRANGE(""https://docs.google.com/spreadsheets/d/14xp6qUzrGFnUk_qnc1eEmfiaNRd4_grkhpfQH_46fa8/edit?usp=share_link"",""ฉะเชิงเทรา!L528"")+IMPORTRANGE(""https://docs.google.com/spreadsheets/d/1_Zwps30dlVa-pZFsorjVf1Pil6WXwzCsJU0U"&amp;"2whO3NI/edit?usp=share_link"",""ชลบุรี!L528"")+IMPORTRANGE(""https://docs.google.com/spreadsheets/d/1xAsT4sUbBlom7l0acStESh_15nvjZcXjZM7fK5uZSq8/edit?usp=share_link"",""ชัยนาท!L528"")+IMPORTRANGE(""https://docs.google.com/spreadsheets/d/1vWPVBOAaZ6mHSI8yf"&amp;"95DNqHwTJ1cpeFsvqt6cxV34QA/edit?usp=share_link"",""ตราด!L528"")+IMPORTRANGE(""https://docs.google.com/spreadsheets/d/1phaeSb9lTGgzDpbvVqI9hfmOQQzUom07-HEvpbARzEg/edit?usp=share_link"",""นครนายก!L528"")+IMPORTRANGE(""https://docs.google.com/spreadsheets/d/"&amp;"1tpwhWwkqkBeiSWCcfB5f2fbwPRbM9hHOEDSDHpl2MIc/edit?usp=share_link"",""นครปฐม!L528"")+IMPORTRANGE(""https://docs.google.com/spreadsheets/d/1fJJCVBkBnhriyv0Cp5ZFMr0I_yrfdEITNpb4zILJgUQ/edit?usp=share_link"",""ปทุมธานี!L528"")+IMPORTRANGE(""https://docs.googl"&amp;"e.com/spreadsheets/d/1W5Jj_S0gYw6wSO7QcMI02YgyOBDKYgmm0NSUk-AQEac/edit?usp=share_link"",""ประจวบคีรีขันธ์!L528"")+IMPORTRANGE(""https://docs.google.com/spreadsheets/d/1nYxRXgnCfTXtqUY1otYuTlnrzE0Tn-Y0YRsW5pkRVqo/edit?usp=share_link"",""ปราจีนบุรี!L528"")+"&amp;"IMPORTRANGE(""https://docs.google.com/spreadsheets/d/1nNHCLO8ZAXOMfQvxux7cf_hrzPAh8FAvaHq_ClKbZNo/edit?usp=share_link"",""พระนครศรีอยุธยา!L528"")+IMPORTRANGE(""https://docs.google.com/spreadsheets/d/1CdNicvf3i6yt4tJlCePe3V1Va76wYqW0QzMzTsaGRrA/edit?usp=sh"&amp;"are_link"",""เพชรบุรี!L528"")+IMPORTRANGE(""https://docs.google.com/spreadsheets/d/1XiF77UIVHV0Kjc6xbXuOuJ10WgJYxd4p_22ngKVV5oM/edit?usp=share_link"",""ระยอง!L528"")+IMPORTRANGE(""https://docs.google.com/spreadsheets/d/1qU-W_9MCQD1pgIVXGEOjCFo9QqlmJywueby"&amp;"GgaN92r8/edit?usp=share_link"",""ราชบุรี!L528"")+IMPORTRANGE(""https://docs.google.com/spreadsheets/d/1xYFIxIM_CspAP5Q-5Zx_V0T_Ut3cjryrjd2hss28vGk/edit?usp=share_link"",""ลพบุรี!L528"")+IMPORTRANGE(""https://docs.google.com/spreadsheets/d/11s9m3tKsCBdPWq6"&amp;"syhZm27eBGbKneDLZc75co106bio/edit?usp=share_link"",""สระแก้ว!L528"")+IMPORTRANGE(""https://docs.google.com/spreadsheets/d/1Nn1EvsFPtXldgpgVb3Rcng2K2cls68LFQsBh2FyW0Bg/edit?usp=share_link"",""สระบุรี!L528"")+IMPORTRANGE(""https://docs.google.com/spreadshee"&amp;"ts/d/149xufxukrnEciK3WPbNpHwUK8BKEJxp3UcBG3Al6dA4/edit?usp=share_link"",""สิงห์บุรี!L528"")+IMPORTRANGE(""https://docs.google.com/spreadsheets/d/132g-zJpz2uMKimp17uOIx8A7o3w1Z25zwJyXnwsB56c/edit?usp=share_link"",""สุพรรณบุรี!L528"")+IMPORTRANGE(""https://"&amp;"docs.google.com/spreadsheets/d/12Q_U0nVnFdxDFwa0pej9xvx8ZvLC9Dpi_vRro_aiG5g/edit?usp=share_link"",""อ่างทอง!L528"")
"),1282380)</f>
        <v>1282380</v>
      </c>
      <c r="M528" s="93">
        <v>0</v>
      </c>
      <c r="N528" s="45">
        <f ca="1">N529+N530+N531+N532</f>
        <v>47590</v>
      </c>
      <c r="O528" s="45">
        <f t="shared" ca="1" si="262"/>
        <v>3.7110684820412048</v>
      </c>
      <c r="P528" s="45">
        <f t="shared" si="263"/>
        <v>0</v>
      </c>
      <c r="Q528" s="597"/>
      <c r="R528" s="597"/>
      <c r="S528" s="597"/>
      <c r="T528" s="597"/>
      <c r="U528" s="597"/>
      <c r="V528" s="597"/>
      <c r="W528" s="597"/>
      <c r="X528" s="597"/>
      <c r="Y528" s="597"/>
      <c r="Z528" s="597"/>
    </row>
    <row r="529" spans="1:26" ht="20.25" customHeight="1">
      <c r="A529" s="567"/>
      <c r="B529" s="568"/>
      <c r="C529" s="569"/>
      <c r="D529" s="569"/>
      <c r="E529" s="569"/>
      <c r="F529" s="570" t="s">
        <v>186</v>
      </c>
      <c r="G529" s="189"/>
      <c r="H529" s="161" t="s">
        <v>12</v>
      </c>
      <c r="I529" s="37"/>
      <c r="J529" s="37"/>
      <c r="K529" s="38"/>
      <c r="L529" s="38"/>
      <c r="M529" s="38"/>
      <c r="N529" s="283">
        <f ca="1">IFERROR(__xludf.DUMMYFUNCTION("IMPORTRANGE(""https://docs.google.com/spreadsheets/d/1hKO5uv94SSRZWOvrh72HRcpyoEQF9TsE_Cvxl77XNU4/edit?usp=share_link"",""กาญจนบุรี!n529"")+IMPORTRANGE(""https://docs.google.com/spreadsheets/d/1njBaP_xXd-Uotvo2D9zb01TTCFkLJLDK97Tk1l9Qux0/edit?usp=share_li"&amp;"nk"",""จันทบุรี!n529"")+IMPORTRANGE(""https://docs.google.com/spreadsheets/d/14xp6qUzrGFnUk_qnc1eEmfiaNRd4_grkhpfQH_46fa8/edit?usp=share_link"",""ฉะเชิงเทรา!n529"")+IMPORTRANGE(""https://docs.google.com/spreadsheets/d/1_Zwps30dlVa-pZFsorjVf1Pil6WXwzCsJU0U"&amp;"2whO3NI/edit?usp=share_link"",""ชลบุรี!n529"")+IMPORTRANGE(""https://docs.google.com/spreadsheets/d/1xAsT4sUbBlom7l0acStESh_15nvjZcXjZM7fK5uZSq8/edit?usp=share_link"",""ชัยนาท!n529"")+IMPORTRANGE(""https://docs.google.com/spreadsheets/d/1vWPVBOAaZ6mHSI8yf"&amp;"95DNqHwTJ1cpeFsvqt6cxV34QA/edit?usp=share_link"",""ตราด!n529"")+IMPORTRANGE(""https://docs.google.com/spreadsheets/d/1phaeSb9lTGgzDpbvVqI9hfmOQQzUom07-HEvpbARzEg/edit?usp=share_link"",""นครนายก!n529"")+IMPORTRANGE(""https://docs.google.com/spreadsheets/d/"&amp;"1tpwhWwkqkBeiSWCcfB5f2fbwPRbM9hHOEDSDHpl2MIc/edit?usp=share_link"",""นครปฐม!n529"")+IMPORTRANGE(""https://docs.google.com/spreadsheets/d/1fJJCVBkBnhriyv0Cp5ZFMr0I_yrfdEITNpb4zILJgUQ/edit?usp=share_link"",""ปทุมธานี!n529"")+IMPORTRANGE(""https://docs.googl"&amp;"e.com/spreadsheets/d/1W5Jj_S0gYw6wSO7QcMI02YgyOBDKYgmm0NSUk-AQEac/edit?usp=share_link"",""ประจวบคีรีขันธ์!n529"")+IMPORTRANGE(""https://docs.google.com/spreadsheets/d/1nYxRXgnCfTXtqUY1otYuTlnrzE0Tn-Y0YRsW5pkRVqo/edit?usp=share_link"",""ปราจีนบุรี!n529"")+"&amp;"IMPORTRANGE(""https://docs.google.com/spreadsheets/d/1nNHCLO8ZAXOMfQvxux7cf_hrzPAh8FAvaHq_ClKbZNo/edit?usp=share_link"",""พระนครศรีอยุธยา!n529"")+IMPORTRANGE(""https://docs.google.com/spreadsheets/d/1CdNicvf3i6yt4tJlCePe3V1Va76wYqW0QzMzTsaGRrA/edit?usp=sh"&amp;"are_link"",""เพชรบุรี!n529"")+IMPORTRANGE(""https://docs.google.com/spreadsheets/d/1XiF77UIVHV0Kjc6xbXuOuJ10WgJYxd4p_22ngKVV5oM/edit?usp=share_link"",""ระยอง!n529"")+IMPORTRANGE(""https://docs.google.com/spreadsheets/d/1qU-W_9MCQD1pgIVXGEOjCFo9QqlmJywueby"&amp;"GgaN92r8/edit?usp=share_link"",""ราชบุรี!n529"")+IMPORTRANGE(""https://docs.google.com/spreadsheets/d/1xYFIxIM_CspAP5Q-5Zx_V0T_Ut3cjryrjd2hss28vGk/edit?usp=share_link"",""ลพบุรี!n529"")+IMPORTRANGE(""https://docs.google.com/spreadsheets/d/11s9m3tKsCBdPWq6"&amp;"syhZm27eBGbKneDLZc75co106bio/edit?usp=share_link"",""สระแก้ว!n529"")+IMPORTRANGE(""https://docs.google.com/spreadsheets/d/1Nn1EvsFPtXldgpgVb3Rcng2K2cls68LFQsBh2FyW0Bg/edit?usp=share_link"",""สระบุรี!n529"")+IMPORTRANGE(""https://docs.google.com/spreadshee"&amp;"ts/d/149xufxukrnEciK3WPbNpHwUK8BKEJxp3UcBG3Al6dA4/edit?usp=share_link"",""สิงห์บุรี!n529"")+IMPORTRANGE(""https://docs.google.com/spreadsheets/d/132g-zJpz2uMKimp17uOIx8A7o3w1Z25zwJyXnwsB56c/edit?usp=share_link"",""สุพรรณบุรี!n529"")+IMPORTRANGE(""https://"&amp;"docs.google.com/spreadsheets/d/12Q_U0nVnFdxDFwa0pej9xvx8ZvLC9Dpi_vRro_aiG5g/edit?usp=share_link"",""อ่างทอง!n529"")
"),40060)</f>
        <v>40060</v>
      </c>
      <c r="O529" s="38"/>
      <c r="P529" s="38"/>
      <c r="Q529" s="571"/>
      <c r="R529" s="571"/>
      <c r="S529" s="571"/>
      <c r="T529" s="571"/>
      <c r="U529" s="571"/>
      <c r="V529" s="571"/>
      <c r="W529" s="571"/>
      <c r="X529" s="571"/>
      <c r="Y529" s="571"/>
      <c r="Z529" s="571"/>
    </row>
    <row r="530" spans="1:26" ht="20.25" customHeight="1">
      <c r="A530" s="567"/>
      <c r="B530" s="568"/>
      <c r="C530" s="569"/>
      <c r="D530" s="569"/>
      <c r="E530" s="569"/>
      <c r="F530" s="570" t="s">
        <v>187</v>
      </c>
      <c r="G530" s="189"/>
      <c r="H530" s="161" t="s">
        <v>12</v>
      </c>
      <c r="I530" s="37"/>
      <c r="J530" s="37"/>
      <c r="K530" s="38"/>
      <c r="L530" s="38"/>
      <c r="M530" s="38"/>
      <c r="N530" s="283">
        <f ca="1">IFERROR(__xludf.DUMMYFUNCTION("IMPORTRANGE(""https://docs.google.com/spreadsheets/d/1hKO5uv94SSRZWOvrh72HRcpyoEQF9TsE_Cvxl77XNU4/edit?usp=share_link"",""กาญจนบุรี!n530"")+IMPORTRANGE(""https://docs.google.com/spreadsheets/d/1njBaP_xXd-Uotvo2D9zb01TTCFkLJLDK97Tk1l9Qux0/edit?usp=share_li"&amp;"nk"",""จันทบุรี!n530"")+IMPORTRANGE(""https://docs.google.com/spreadsheets/d/14xp6qUzrGFnUk_qnc1eEmfiaNRd4_grkhpfQH_46fa8/edit?usp=share_link"",""ฉะเชิงเทรา!n530"")+IMPORTRANGE(""https://docs.google.com/spreadsheets/d/1_Zwps30dlVa-pZFsorjVf1Pil6WXwzCsJU0U"&amp;"2whO3NI/edit?usp=share_link"",""ชลบุรี!n530"")+IMPORTRANGE(""https://docs.google.com/spreadsheets/d/1xAsT4sUbBlom7l0acStESh_15nvjZcXjZM7fK5uZSq8/edit?usp=share_link"",""ชัยนาท!n530"")+IMPORTRANGE(""https://docs.google.com/spreadsheets/d/1vWPVBOAaZ6mHSI8yf"&amp;"95DNqHwTJ1cpeFsvqt6cxV34QA/edit?usp=share_link"",""ตราด!n530"")+IMPORTRANGE(""https://docs.google.com/spreadsheets/d/1phaeSb9lTGgzDpbvVqI9hfmOQQzUom07-HEvpbARzEg/edit?usp=share_link"",""นครนายก!n530"")+IMPORTRANGE(""https://docs.google.com/spreadsheets/d/"&amp;"1tpwhWwkqkBeiSWCcfB5f2fbwPRbM9hHOEDSDHpl2MIc/edit?usp=share_link"",""นครปฐม!n530"")+IMPORTRANGE(""https://docs.google.com/spreadsheets/d/1fJJCVBkBnhriyv0Cp5ZFMr0I_yrfdEITNpb4zILJgUQ/edit?usp=share_link"",""ปทุมธานี!n530"")+IMPORTRANGE(""https://docs.googl"&amp;"e.com/spreadsheets/d/1W5Jj_S0gYw6wSO7QcMI02YgyOBDKYgmm0NSUk-AQEac/edit?usp=share_link"",""ประจวบคีรีขันธ์!n530"")+IMPORTRANGE(""https://docs.google.com/spreadsheets/d/1nYxRXgnCfTXtqUY1otYuTlnrzE0Tn-Y0YRsW5pkRVqo/edit?usp=share_link"",""ปราจีนบุรี!n530"")+"&amp;"IMPORTRANGE(""https://docs.google.com/spreadsheets/d/1nNHCLO8ZAXOMfQvxux7cf_hrzPAh8FAvaHq_ClKbZNo/edit?usp=share_link"",""พระนครศรีอยุธยา!n530"")+IMPORTRANGE(""https://docs.google.com/spreadsheets/d/1CdNicvf3i6yt4tJlCePe3V1Va76wYqW0QzMzTsaGRrA/edit?usp=sh"&amp;"are_link"",""เพชรบุรี!n530"")+IMPORTRANGE(""https://docs.google.com/spreadsheets/d/1XiF77UIVHV0Kjc6xbXuOuJ10WgJYxd4p_22ngKVV5oM/edit?usp=share_link"",""ระยอง!n530"")+IMPORTRANGE(""https://docs.google.com/spreadsheets/d/1qU-W_9MCQD1pgIVXGEOjCFo9QqlmJywueby"&amp;"GgaN92r8/edit?usp=share_link"",""ราชบุรี!n530"")+IMPORTRANGE(""https://docs.google.com/spreadsheets/d/1xYFIxIM_CspAP5Q-5Zx_V0T_Ut3cjryrjd2hss28vGk/edit?usp=share_link"",""ลพบุรี!n530"")+IMPORTRANGE(""https://docs.google.com/spreadsheets/d/11s9m3tKsCBdPWq6"&amp;"syhZm27eBGbKneDLZc75co106bio/edit?usp=share_link"",""สระแก้ว!n530"")+IMPORTRANGE(""https://docs.google.com/spreadsheets/d/1Nn1EvsFPtXldgpgVb3Rcng2K2cls68LFQsBh2FyW0Bg/edit?usp=share_link"",""สระบุรี!n530"")+IMPORTRANGE(""https://docs.google.com/spreadshee"&amp;"ts/d/149xufxukrnEciK3WPbNpHwUK8BKEJxp3UcBG3Al6dA4/edit?usp=share_link"",""สิงห์บุรี!n530"")+IMPORTRANGE(""https://docs.google.com/spreadsheets/d/132g-zJpz2uMKimp17uOIx8A7o3w1Z25zwJyXnwsB56c/edit?usp=share_link"",""สุพรรณบุรี!n530"")+IMPORTRANGE(""https://"&amp;"docs.google.com/spreadsheets/d/12Q_U0nVnFdxDFwa0pej9xvx8ZvLC9Dpi_vRro_aiG5g/edit?usp=share_link"",""อ่างทอง!n530"")
"),0)</f>
        <v>0</v>
      </c>
      <c r="O530" s="38"/>
      <c r="P530" s="38"/>
      <c r="Q530" s="571"/>
      <c r="R530" s="571"/>
      <c r="S530" s="571"/>
      <c r="T530" s="571"/>
      <c r="U530" s="571"/>
      <c r="V530" s="571"/>
      <c r="W530" s="571"/>
      <c r="X530" s="571"/>
      <c r="Y530" s="571"/>
      <c r="Z530" s="571"/>
    </row>
    <row r="531" spans="1:26" ht="20.25" customHeight="1">
      <c r="A531" s="567"/>
      <c r="B531" s="568"/>
      <c r="C531" s="569"/>
      <c r="D531" s="569"/>
      <c r="E531" s="569"/>
      <c r="F531" s="570" t="s">
        <v>188</v>
      </c>
      <c r="G531" s="189"/>
      <c r="H531" s="161" t="s">
        <v>12</v>
      </c>
      <c r="I531" s="37"/>
      <c r="J531" s="37"/>
      <c r="K531" s="38"/>
      <c r="L531" s="38"/>
      <c r="M531" s="38"/>
      <c r="N531" s="283">
        <f ca="1">IFERROR(__xludf.DUMMYFUNCTION("IMPORTRANGE(""https://docs.google.com/spreadsheets/d/1hKO5uv94SSRZWOvrh72HRcpyoEQF9TsE_Cvxl77XNU4/edit?usp=share_link"",""กาญจนบุรี!n531"")+IMPORTRANGE(""https://docs.google.com/spreadsheets/d/1njBaP_xXd-Uotvo2D9zb01TTCFkLJLDK97Tk1l9Qux0/edit?usp=share_li"&amp;"nk"",""จันทบุรี!n531"")+IMPORTRANGE(""https://docs.google.com/spreadsheets/d/14xp6qUzrGFnUk_qnc1eEmfiaNRd4_grkhpfQH_46fa8/edit?usp=share_link"",""ฉะเชิงเทรา!n531"")+IMPORTRANGE(""https://docs.google.com/spreadsheets/d/1_Zwps30dlVa-pZFsorjVf1Pil6WXwzCsJU0U"&amp;"2whO3NI/edit?usp=share_link"",""ชลบุรี!n531"")+IMPORTRANGE(""https://docs.google.com/spreadsheets/d/1xAsT4sUbBlom7l0acStESh_15nvjZcXjZM7fK5uZSq8/edit?usp=share_link"",""ชัยนาท!n531"")+IMPORTRANGE(""https://docs.google.com/spreadsheets/d/1vWPVBOAaZ6mHSI8yf"&amp;"95DNqHwTJ1cpeFsvqt6cxV34QA/edit?usp=share_link"",""ตราด!n531"")+IMPORTRANGE(""https://docs.google.com/spreadsheets/d/1phaeSb9lTGgzDpbvVqI9hfmOQQzUom07-HEvpbARzEg/edit?usp=share_link"",""นครนายก!n531"")+IMPORTRANGE(""https://docs.google.com/spreadsheets/d/"&amp;"1tpwhWwkqkBeiSWCcfB5f2fbwPRbM9hHOEDSDHpl2MIc/edit?usp=share_link"",""นครปฐม!n531"")+IMPORTRANGE(""https://docs.google.com/spreadsheets/d/1fJJCVBkBnhriyv0Cp5ZFMr0I_yrfdEITNpb4zILJgUQ/edit?usp=share_link"",""ปทุมธานี!n531"")+IMPORTRANGE(""https://docs.googl"&amp;"e.com/spreadsheets/d/1W5Jj_S0gYw6wSO7QcMI02YgyOBDKYgmm0NSUk-AQEac/edit?usp=share_link"",""ประจวบคีรีขันธ์!n531"")+IMPORTRANGE(""https://docs.google.com/spreadsheets/d/1nYxRXgnCfTXtqUY1otYuTlnrzE0Tn-Y0YRsW5pkRVqo/edit?usp=share_link"",""ปราจีนบุรี!n531"")+"&amp;"IMPORTRANGE(""https://docs.google.com/spreadsheets/d/1nNHCLO8ZAXOMfQvxux7cf_hrzPAh8FAvaHq_ClKbZNo/edit?usp=share_link"",""พระนครศรีอยุธยา!n531"")+IMPORTRANGE(""https://docs.google.com/spreadsheets/d/1CdNicvf3i6yt4tJlCePe3V1Va76wYqW0QzMzTsaGRrA/edit?usp=sh"&amp;"are_link"",""เพชรบุรี!n531"")+IMPORTRANGE(""https://docs.google.com/spreadsheets/d/1XiF77UIVHV0Kjc6xbXuOuJ10WgJYxd4p_22ngKVV5oM/edit?usp=share_link"",""ระยอง!n531"")+IMPORTRANGE(""https://docs.google.com/spreadsheets/d/1qU-W_9MCQD1pgIVXGEOjCFo9QqlmJywueby"&amp;"GgaN92r8/edit?usp=share_link"",""ราชบุรี!n531"")+IMPORTRANGE(""https://docs.google.com/spreadsheets/d/1xYFIxIM_CspAP5Q-5Zx_V0T_Ut3cjryrjd2hss28vGk/edit?usp=share_link"",""ลพบุรี!n531"")+IMPORTRANGE(""https://docs.google.com/spreadsheets/d/11s9m3tKsCBdPWq6"&amp;"syhZm27eBGbKneDLZc75co106bio/edit?usp=share_link"",""สระแก้ว!n531"")+IMPORTRANGE(""https://docs.google.com/spreadsheets/d/1Nn1EvsFPtXldgpgVb3Rcng2K2cls68LFQsBh2FyW0Bg/edit?usp=share_link"",""สระบุรี!n531"")+IMPORTRANGE(""https://docs.google.com/spreadshee"&amp;"ts/d/149xufxukrnEciK3WPbNpHwUK8BKEJxp3UcBG3Al6dA4/edit?usp=share_link"",""สิงห์บุรี!n531"")+IMPORTRANGE(""https://docs.google.com/spreadsheets/d/132g-zJpz2uMKimp17uOIx8A7o3w1Z25zwJyXnwsB56c/edit?usp=share_link"",""สุพรรณบุรี!n531"")+IMPORTRANGE(""https://"&amp;"docs.google.com/spreadsheets/d/12Q_U0nVnFdxDFwa0pej9xvx8ZvLC9Dpi_vRro_aiG5g/edit?usp=share_link"",""อ่างทอง!n531"")
"),0)</f>
        <v>0</v>
      </c>
      <c r="O531" s="38"/>
      <c r="P531" s="38"/>
      <c r="Q531" s="571"/>
      <c r="R531" s="571"/>
      <c r="S531" s="571"/>
      <c r="T531" s="571"/>
      <c r="U531" s="571"/>
      <c r="V531" s="571"/>
      <c r="W531" s="571"/>
      <c r="X531" s="571"/>
      <c r="Y531" s="571"/>
      <c r="Z531" s="571"/>
    </row>
    <row r="532" spans="1:26" ht="20.25" customHeight="1">
      <c r="A532" s="567"/>
      <c r="B532" s="568"/>
      <c r="C532" s="569"/>
      <c r="D532" s="569"/>
      <c r="E532" s="569"/>
      <c r="F532" s="570" t="s">
        <v>189</v>
      </c>
      <c r="G532" s="189"/>
      <c r="H532" s="161" t="s">
        <v>12</v>
      </c>
      <c r="I532" s="37"/>
      <c r="J532" s="37"/>
      <c r="K532" s="38"/>
      <c r="L532" s="38"/>
      <c r="M532" s="38"/>
      <c r="N532" s="283">
        <f ca="1">IFERROR(__xludf.DUMMYFUNCTION("IMPORTRANGE(""https://docs.google.com/spreadsheets/d/1hKO5uv94SSRZWOvrh72HRcpyoEQF9TsE_Cvxl77XNU4/edit?usp=share_link"",""กาญจนบุรี!n532"")+IMPORTRANGE(""https://docs.google.com/spreadsheets/d/1njBaP_xXd-Uotvo2D9zb01TTCFkLJLDK97Tk1l9Qux0/edit?usp=share_li"&amp;"nk"",""จันทบุรี!n532"")+IMPORTRANGE(""https://docs.google.com/spreadsheets/d/14xp6qUzrGFnUk_qnc1eEmfiaNRd4_grkhpfQH_46fa8/edit?usp=share_link"",""ฉะเชิงเทรา!n532"")+IMPORTRANGE(""https://docs.google.com/spreadsheets/d/1_Zwps30dlVa-pZFsorjVf1Pil6WXwzCsJU0U"&amp;"2whO3NI/edit?usp=share_link"",""ชลบุรี!n532"")+IMPORTRANGE(""https://docs.google.com/spreadsheets/d/1xAsT4sUbBlom7l0acStESh_15nvjZcXjZM7fK5uZSq8/edit?usp=share_link"",""ชัยนาท!n532"")+IMPORTRANGE(""https://docs.google.com/spreadsheets/d/1vWPVBOAaZ6mHSI8yf"&amp;"95DNqHwTJ1cpeFsvqt6cxV34QA/edit?usp=share_link"",""ตราด!n532"")+IMPORTRANGE(""https://docs.google.com/spreadsheets/d/1phaeSb9lTGgzDpbvVqI9hfmOQQzUom07-HEvpbARzEg/edit?usp=share_link"",""นครนายก!n532"")+IMPORTRANGE(""https://docs.google.com/spreadsheets/d/"&amp;"1tpwhWwkqkBeiSWCcfB5f2fbwPRbM9hHOEDSDHpl2MIc/edit?usp=share_link"",""นครปฐม!n532"")+IMPORTRANGE(""https://docs.google.com/spreadsheets/d/1fJJCVBkBnhriyv0Cp5ZFMr0I_yrfdEITNpb4zILJgUQ/edit?usp=share_link"",""ปทุมธานี!n532"")+IMPORTRANGE(""https://docs.googl"&amp;"e.com/spreadsheets/d/1W5Jj_S0gYw6wSO7QcMI02YgyOBDKYgmm0NSUk-AQEac/edit?usp=share_link"",""ประจวบคีรีขันธ์!n532"")+IMPORTRANGE(""https://docs.google.com/spreadsheets/d/1nYxRXgnCfTXtqUY1otYuTlnrzE0Tn-Y0YRsW5pkRVqo/edit?usp=share_link"",""ปราจีนบุรี!n532"")+"&amp;"IMPORTRANGE(""https://docs.google.com/spreadsheets/d/1nNHCLO8ZAXOMfQvxux7cf_hrzPAh8FAvaHq_ClKbZNo/edit?usp=share_link"",""พระนครศรีอยุธยา!n532"")+IMPORTRANGE(""https://docs.google.com/spreadsheets/d/1CdNicvf3i6yt4tJlCePe3V1Va76wYqW0QzMzTsaGRrA/edit?usp=sh"&amp;"are_link"",""เพชรบุรี!n532"")+IMPORTRANGE(""https://docs.google.com/spreadsheets/d/1XiF77UIVHV0Kjc6xbXuOuJ10WgJYxd4p_22ngKVV5oM/edit?usp=share_link"",""ระยอง!n532"")+IMPORTRANGE(""https://docs.google.com/spreadsheets/d/1qU-W_9MCQD1pgIVXGEOjCFo9QqlmJywueby"&amp;"GgaN92r8/edit?usp=share_link"",""ราชบุรี!n532"")+IMPORTRANGE(""https://docs.google.com/spreadsheets/d/1xYFIxIM_CspAP5Q-5Zx_V0T_Ut3cjryrjd2hss28vGk/edit?usp=share_link"",""ลพบุรี!n532"")+IMPORTRANGE(""https://docs.google.com/spreadsheets/d/11s9m3tKsCBdPWq6"&amp;"syhZm27eBGbKneDLZc75co106bio/edit?usp=share_link"",""สระแก้ว!n532"")+IMPORTRANGE(""https://docs.google.com/spreadsheets/d/1Nn1EvsFPtXldgpgVb3Rcng2K2cls68LFQsBh2FyW0Bg/edit?usp=share_link"",""สระบุรี!n532"")+IMPORTRANGE(""https://docs.google.com/spreadshee"&amp;"ts/d/149xufxukrnEciK3WPbNpHwUK8BKEJxp3UcBG3Al6dA4/edit?usp=share_link"",""สิงห์บุรี!n532"")+IMPORTRANGE(""https://docs.google.com/spreadsheets/d/132g-zJpz2uMKimp17uOIx8A7o3w1Z25zwJyXnwsB56c/edit?usp=share_link"",""สุพรรณบุรี!n532"")+IMPORTRANGE(""https://"&amp;"docs.google.com/spreadsheets/d/12Q_U0nVnFdxDFwa0pej9xvx8ZvLC9Dpi_vRro_aiG5g/edit?usp=share_link"",""อ่างทอง!n532"")
"),7530)</f>
        <v>7530</v>
      </c>
      <c r="O532" s="38"/>
      <c r="P532" s="38"/>
      <c r="Q532" s="571"/>
      <c r="R532" s="571"/>
      <c r="S532" s="571"/>
      <c r="T532" s="571"/>
      <c r="U532" s="571"/>
      <c r="V532" s="571"/>
      <c r="W532" s="571"/>
      <c r="X532" s="571"/>
      <c r="Y532" s="571"/>
      <c r="Z532" s="571"/>
    </row>
    <row r="533" spans="1:26" ht="20.25" customHeight="1">
      <c r="A533" s="590"/>
      <c r="B533" s="568"/>
      <c r="C533" s="569"/>
      <c r="D533" s="599" t="s">
        <v>21</v>
      </c>
      <c r="E533" s="569"/>
      <c r="F533" s="569"/>
      <c r="G533" s="189"/>
      <c r="H533" s="168" t="s">
        <v>12</v>
      </c>
      <c r="I533" s="162"/>
      <c r="J533" s="162"/>
      <c r="K533" s="163"/>
      <c r="L533" s="38">
        <f t="shared" ref="L533:N533" ca="1" si="267">L534+L535</f>
        <v>0</v>
      </c>
      <c r="M533" s="38">
        <f t="shared" si="267"/>
        <v>0</v>
      </c>
      <c r="N533" s="38">
        <f t="shared" si="267"/>
        <v>0</v>
      </c>
      <c r="O533" s="38">
        <f t="shared" ref="O533:O535" ca="1" si="268">IF(L533&gt;0,N533*100/L533,0)</f>
        <v>0</v>
      </c>
      <c r="P533" s="38">
        <f t="shared" ref="P533:P535" si="269">IF(M533&gt;0,N533*100/M533,0)</f>
        <v>0</v>
      </c>
      <c r="Q533" s="571"/>
      <c r="R533" s="571"/>
      <c r="S533" s="571"/>
      <c r="T533" s="571"/>
      <c r="U533" s="571"/>
      <c r="V533" s="571"/>
      <c r="W533" s="571"/>
      <c r="X533" s="571"/>
      <c r="Y533" s="571"/>
      <c r="Z533" s="571"/>
    </row>
    <row r="534" spans="1:26" ht="20.25" hidden="1" customHeight="1">
      <c r="A534" s="592"/>
      <c r="B534" s="598"/>
      <c r="C534" s="593"/>
      <c r="D534" s="593"/>
      <c r="E534" s="595" t="s">
        <v>18</v>
      </c>
      <c r="F534" s="593"/>
      <c r="G534" s="596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45">
        <f t="shared" si="268"/>
        <v>0</v>
      </c>
      <c r="P534" s="45">
        <f t="shared" si="269"/>
        <v>0</v>
      </c>
      <c r="Q534" s="597"/>
      <c r="R534" s="597"/>
      <c r="S534" s="597"/>
      <c r="T534" s="597"/>
      <c r="U534" s="597"/>
      <c r="V534" s="597"/>
      <c r="W534" s="597"/>
      <c r="X534" s="597"/>
      <c r="Y534" s="597"/>
      <c r="Z534" s="597"/>
    </row>
    <row r="535" spans="1:26" ht="20.25" hidden="1" customHeight="1">
      <c r="A535" s="592"/>
      <c r="B535" s="598"/>
      <c r="C535" s="593"/>
      <c r="D535" s="593"/>
      <c r="E535" s="595" t="s">
        <v>19</v>
      </c>
      <c r="F535" s="593"/>
      <c r="G535" s="596"/>
      <c r="H535" s="169" t="s">
        <v>12</v>
      </c>
      <c r="I535" s="166"/>
      <c r="J535" s="166"/>
      <c r="K535" s="167"/>
      <c r="L535" s="45">
        <f ca="1">IFERROR(__xludf.DUMMYFUNCTION("IMPORTRANGE(""https://docs.google.com/spreadsheets/d/1hKO5uv94SSRZWOvrh72HRcpyoEQF9TsE_Cvxl77XNU4/edit?usp=share_link"",""กาญจนบุรี!L535"")+IMPORTRANGE(""https://docs.google.com/spreadsheets/d/1njBaP_xXd-Uotvo2D9zb01TTCFkLJLDK97Tk1l9Qux0/edit?usp=share_li"&amp;"nk"",""จันทบุรี!L535"")+IMPORTRANGE(""https://docs.google.com/spreadsheets/d/14xp6qUzrGFnUk_qnc1eEmfiaNRd4_grkhpfQH_46fa8/edit?usp=share_link"",""ฉะเชิงเทรา!L535"")+IMPORTRANGE(""https://docs.google.com/spreadsheets/d/1_Zwps30dlVa-pZFsorjVf1Pil6WXwzCsJU0U"&amp;"2whO3NI/edit?usp=share_link"",""ชลบุรี!L535"")+IMPORTRANGE(""https://docs.google.com/spreadsheets/d/1xAsT4sUbBlom7l0acStESh_15nvjZcXjZM7fK5uZSq8/edit?usp=share_link"",""ชัยนาท!L535"")+IMPORTRANGE(""https://docs.google.com/spreadsheets/d/1vWPVBOAaZ6mHSI8yf"&amp;"95DNqHwTJ1cpeFsvqt6cxV34QA/edit?usp=share_link"",""ตราด!L535"")+IMPORTRANGE(""https://docs.google.com/spreadsheets/d/1phaeSb9lTGgzDpbvVqI9hfmOQQzUom07-HEvpbARzEg/edit?usp=share_link"",""นครนายก!L535"")+IMPORTRANGE(""https://docs.google.com/spreadsheets/d/"&amp;"1tpwhWwkqkBeiSWCcfB5f2fbwPRbM9hHOEDSDHpl2MIc/edit?usp=share_link"",""นครปฐม!L535"")+IMPORTRANGE(""https://docs.google.com/spreadsheets/d/1fJJCVBkBnhriyv0Cp5ZFMr0I_yrfdEITNpb4zILJgUQ/edit?usp=share_link"",""ปทุมธานี!L535"")+IMPORTRANGE(""https://docs.googl"&amp;"e.com/spreadsheets/d/1W5Jj_S0gYw6wSO7QcMI02YgyOBDKYgmm0NSUk-AQEac/edit?usp=share_link"",""ประจวบคีรีขันธ์!L535"")+IMPORTRANGE(""https://docs.google.com/spreadsheets/d/1nYxRXgnCfTXtqUY1otYuTlnrzE0Tn-Y0YRsW5pkRVqo/edit?usp=share_link"",""ปราจีนบุรี!L535"")+"&amp;"IMPORTRANGE(""https://docs.google.com/spreadsheets/d/1nNHCLO8ZAXOMfQvxux7cf_hrzPAh8FAvaHq_ClKbZNo/edit?usp=share_link"",""พระนครศรีอยุธยา!L535"")+IMPORTRANGE(""https://docs.google.com/spreadsheets/d/1CdNicvf3i6yt4tJlCePe3V1Va76wYqW0QzMzTsaGRrA/edit?usp=sh"&amp;"are_link"",""เพชรบุรี!L535"")+IMPORTRANGE(""https://docs.google.com/spreadsheets/d/1XiF77UIVHV0Kjc6xbXuOuJ10WgJYxd4p_22ngKVV5oM/edit?usp=share_link"",""ระยอง!L535"")+IMPORTRANGE(""https://docs.google.com/spreadsheets/d/1qU-W_9MCQD1pgIVXGEOjCFo9QqlmJywueby"&amp;"GgaN92r8/edit?usp=share_link"",""ราชบุรี!L535"")+IMPORTRANGE(""https://docs.google.com/spreadsheets/d/1xYFIxIM_CspAP5Q-5Zx_V0T_Ut3cjryrjd2hss28vGk/edit?usp=share_link"",""ลพบุรี!L535"")+IMPORTRANGE(""https://docs.google.com/spreadsheets/d/11s9m3tKsCBdPWq6"&amp;"syhZm27eBGbKneDLZc75co106bio/edit?usp=share_link"",""สระแก้ว!L535"")+IMPORTRANGE(""https://docs.google.com/spreadsheets/d/1Nn1EvsFPtXldgpgVb3Rcng2K2cls68LFQsBh2FyW0Bg/edit?usp=share_link"",""สระบุรี!L535"")+IMPORTRANGE(""https://docs.google.com/spreadshee"&amp;"ts/d/149xufxukrnEciK3WPbNpHwUK8BKEJxp3UcBG3Al6dA4/edit?usp=share_link"",""สิงห์บุรี!L535"")+IMPORTRANGE(""https://docs.google.com/spreadsheets/d/132g-zJpz2uMKimp17uOIx8A7o3w1Z25zwJyXnwsB56c/edit?usp=share_link"",""สุพรรณบุรี!L535"")+IMPORTRANGE(""https://"&amp;"docs.google.com/spreadsheets/d/12Q_U0nVnFdxDFwa0pej9xvx8ZvLC9Dpi_vRro_aiG5g/edit?usp=share_link"",""อ่างทอง!L535"")
"),0)</f>
        <v>0</v>
      </c>
      <c r="M535" s="93">
        <v>0</v>
      </c>
      <c r="N535" s="93">
        <v>0</v>
      </c>
      <c r="O535" s="45">
        <f t="shared" ca="1" si="268"/>
        <v>0</v>
      </c>
      <c r="P535" s="45">
        <f t="shared" si="269"/>
        <v>0</v>
      </c>
      <c r="Q535" s="597"/>
      <c r="R535" s="597"/>
      <c r="S535" s="597"/>
      <c r="T535" s="597"/>
      <c r="U535" s="597"/>
      <c r="V535" s="597"/>
      <c r="W535" s="597"/>
      <c r="X535" s="597"/>
      <c r="Y535" s="597"/>
      <c r="Z535" s="597"/>
    </row>
    <row r="536" spans="1:26" ht="20.25" customHeight="1">
      <c r="A536" s="601"/>
      <c r="B536" s="602"/>
      <c r="C536" s="569" t="s">
        <v>16</v>
      </c>
      <c r="D536" s="672" t="s">
        <v>38</v>
      </c>
      <c r="E536" s="605"/>
      <c r="F536" s="605"/>
      <c r="G536" s="606"/>
      <c r="H536" s="175"/>
      <c r="I536" s="162"/>
      <c r="J536" s="162"/>
      <c r="K536" s="163"/>
      <c r="L536" s="163"/>
      <c r="M536" s="163"/>
      <c r="N536" s="163"/>
      <c r="O536" s="163"/>
      <c r="P536" s="163"/>
      <c r="Q536" s="571"/>
      <c r="R536" s="571"/>
      <c r="S536" s="571"/>
      <c r="T536" s="571"/>
      <c r="U536" s="571"/>
      <c r="V536" s="571"/>
      <c r="W536" s="571"/>
      <c r="X536" s="571"/>
      <c r="Y536" s="571"/>
      <c r="Z536" s="571"/>
    </row>
    <row r="537" spans="1:26" ht="20.25" customHeight="1">
      <c r="A537" s="567"/>
      <c r="B537" s="568"/>
      <c r="C537" s="569"/>
      <c r="D537" s="673" t="s">
        <v>227</v>
      </c>
      <c r="E537" s="569"/>
      <c r="F537" s="569"/>
      <c r="G537" s="189"/>
      <c r="H537" s="36" t="s">
        <v>35</v>
      </c>
      <c r="I537" s="674">
        <f ca="1">IFERROR(__xludf.DUMMYFUNCTION("IMPORTRANGE(""https://docs.google.com/spreadsheets/d/1hKO5uv94SSRZWOvrh72HRcpyoEQF9TsE_Cvxl77XNU4/edit?usp=share_link"",""กาญจนบุรี!I537"")+IMPORTRANGE(""https://docs.google.com/spreadsheets/d/1njBaP_xXd-Uotvo2D9zb01TTCFkLJLDK97Tk1l9Qux0/edit?usp=share_li"&amp;"nk"",""จันทบุรี!I537"")+IMPORTRANGE(""https://docs.google.com/spreadsheets/d/14xp6qUzrGFnUk_qnc1eEmfiaNRd4_grkhpfQH_46fa8/edit?usp=share_link"",""ฉะเชิงเทรา!I537"")+IMPORTRANGE(""https://docs.google.com/spreadsheets/d/1_Zwps30dlVa-pZFsorjVf1Pil6WXwzCsJU0U"&amp;"2whO3NI/edit?usp=share_link"",""ชลบุรี!I537"")+IMPORTRANGE(""https://docs.google.com/spreadsheets/d/1xAsT4sUbBlom7l0acStESh_15nvjZcXjZM7fK5uZSq8/edit?usp=share_link"",""ชัยนาท!I537"")+IMPORTRANGE(""https://docs.google.com/spreadsheets/d/1vWPVBOAaZ6mHSI8yf"&amp;"95DNqHwTJ1cpeFsvqt6cxV34QA/edit?usp=share_link"",""ตราด!I537"")+IMPORTRANGE(""https://docs.google.com/spreadsheets/d/1phaeSb9lTGgzDpbvVqI9hfmOQQzUom07-HEvpbARzEg/edit?usp=share_link"",""นครนายก!I537"")+IMPORTRANGE(""https://docs.google.com/spreadsheets/d/"&amp;"1tpwhWwkqkBeiSWCcfB5f2fbwPRbM9hHOEDSDHpl2MIc/edit?usp=share_link"",""นครปฐม!I537"")+IMPORTRANGE(""https://docs.google.com/spreadsheets/d/1fJJCVBkBnhriyv0Cp5ZFMr0I_yrfdEITNpb4zILJgUQ/edit?usp=share_link"",""ปทุมธานี!I537"")+IMPORTRANGE(""https://docs.googl"&amp;"e.com/spreadsheets/d/1W5Jj_S0gYw6wSO7QcMI02YgyOBDKYgmm0NSUk-AQEac/edit?usp=share_link"",""ประจวบคีรีขันธ์!I537"")+IMPORTRANGE(""https://docs.google.com/spreadsheets/d/1nYxRXgnCfTXtqUY1otYuTlnrzE0Tn-Y0YRsW5pkRVqo/edit?usp=share_link"",""ปราจีนบุรี!I537"")+"&amp;"IMPORTRANGE(""https://docs.google.com/spreadsheets/d/1nNHCLO8ZAXOMfQvxux7cf_hrzPAh8FAvaHq_ClKbZNo/edit?usp=share_link"",""พระนครศรีอยุธยา!I537"")+IMPORTRANGE(""https://docs.google.com/spreadsheets/d/1CdNicvf3i6yt4tJlCePe3V1Va76wYqW0QzMzTsaGRrA/edit?usp=sh"&amp;"are_link"",""เพชรบุรี!I537"")+IMPORTRANGE(""https://docs.google.com/spreadsheets/d/1XiF77UIVHV0Kjc6xbXuOuJ10WgJYxd4p_22ngKVV5oM/edit?usp=share_link"",""ระยอง!I537"")+IMPORTRANGE(""https://docs.google.com/spreadsheets/d/1qU-W_9MCQD1pgIVXGEOjCFo9QqlmJywueby"&amp;"GgaN92r8/edit?usp=share_link"",""ราชบุรี!I537"")+IMPORTRANGE(""https://docs.google.com/spreadsheets/d/1xYFIxIM_CspAP5Q-5Zx_V0T_Ut3cjryrjd2hss28vGk/edit?usp=share_link"",""ลพบุรี!I537"")+IMPORTRANGE(""https://docs.google.com/spreadsheets/d/11s9m3tKsCBdPWq6"&amp;"syhZm27eBGbKneDLZc75co106bio/edit?usp=share_link"",""สระแก้ว!I537"")+IMPORTRANGE(""https://docs.google.com/spreadsheets/d/1Nn1EvsFPtXldgpgVb3Rcng2K2cls68LFQsBh2FyW0Bg/edit?usp=share_link"",""สระบุรี!I537"")+IMPORTRANGE(""https://docs.google.com/spreadshee"&amp;"ts/d/149xufxukrnEciK3WPbNpHwUK8BKEJxp3UcBG3Al6dA4/edit?usp=share_link"",""สิงห์บุรี!I537"")+IMPORTRANGE(""https://docs.google.com/spreadsheets/d/132g-zJpz2uMKimp17uOIx8A7o3w1Z25zwJyXnwsB56c/edit?usp=share_link"",""สุพรรณบุรี!I537"")+IMPORTRANGE(""https://"&amp;"docs.google.com/spreadsheets/d/12Q_U0nVnFdxDFwa0pej9xvx8ZvLC9Dpi_vRro_aiG5g/edit?usp=share_link"",""อ่างทอง!I537"")
"),150)</f>
        <v>150</v>
      </c>
      <c r="J537" s="194">
        <f ca="1">IF(AND(J538=I538,J539=I539,J540=I540,J541=I541),I537,0)</f>
        <v>0</v>
      </c>
      <c r="K537" s="38">
        <f t="shared" ref="K537:K543" ca="1" si="270">IF(I537&gt;0,J537*100/I537,0)</f>
        <v>0</v>
      </c>
      <c r="L537" s="38"/>
      <c r="M537" s="38"/>
      <c r="N537" s="38"/>
      <c r="O537" s="38"/>
      <c r="P537" s="38"/>
      <c r="Q537" s="675"/>
      <c r="R537" s="675"/>
      <c r="S537" s="675"/>
      <c r="T537" s="675"/>
      <c r="U537" s="675"/>
      <c r="V537" s="675"/>
      <c r="W537" s="675"/>
      <c r="X537" s="675"/>
      <c r="Y537" s="675"/>
      <c r="Z537" s="675"/>
    </row>
    <row r="538" spans="1:26" ht="20.25" customHeight="1">
      <c r="A538" s="567"/>
      <c r="B538" s="568"/>
      <c r="C538" s="569"/>
      <c r="D538" s="570"/>
      <c r="E538" s="676" t="s">
        <v>228</v>
      </c>
      <c r="F538" s="569"/>
      <c r="G538" s="189"/>
      <c r="H538" s="36" t="s">
        <v>35</v>
      </c>
      <c r="I538" s="269">
        <f ca="1">IFERROR(__xludf.DUMMYFUNCTION("IMPORTRANGE(""https://docs.google.com/spreadsheets/d/1hKO5uv94SSRZWOvrh72HRcpyoEQF9TsE_Cvxl77XNU4/edit?usp=share_link"",""กาญจนบุรี!I538"")+IMPORTRANGE(""https://docs.google.com/spreadsheets/d/1njBaP_xXd-Uotvo2D9zb01TTCFkLJLDK97Tk1l9Qux0/edit?usp=share_li"&amp;"nk"",""จันทบุรี!I538"")+IMPORTRANGE(""https://docs.google.com/spreadsheets/d/14xp6qUzrGFnUk_qnc1eEmfiaNRd4_grkhpfQH_46fa8/edit?usp=share_link"",""ฉะเชิงเทรา!I538"")+IMPORTRANGE(""https://docs.google.com/spreadsheets/d/1_Zwps30dlVa-pZFsorjVf1Pil6WXwzCsJU0U"&amp;"2whO3NI/edit?usp=share_link"",""ชลบุรี!I538"")+IMPORTRANGE(""https://docs.google.com/spreadsheets/d/1xAsT4sUbBlom7l0acStESh_15nvjZcXjZM7fK5uZSq8/edit?usp=share_link"",""ชัยนาท!I538"")+IMPORTRANGE(""https://docs.google.com/spreadsheets/d/1vWPVBOAaZ6mHSI8yf"&amp;"95DNqHwTJ1cpeFsvqt6cxV34QA/edit?usp=share_link"",""ตราด!I538"")+IMPORTRANGE(""https://docs.google.com/spreadsheets/d/1phaeSb9lTGgzDpbvVqI9hfmOQQzUom07-HEvpbARzEg/edit?usp=share_link"",""นครนายก!I538"")+IMPORTRANGE(""https://docs.google.com/spreadsheets/d/"&amp;"1tpwhWwkqkBeiSWCcfB5f2fbwPRbM9hHOEDSDHpl2MIc/edit?usp=share_link"",""นครปฐม!I538"")+IMPORTRANGE(""https://docs.google.com/spreadsheets/d/1fJJCVBkBnhriyv0Cp5ZFMr0I_yrfdEITNpb4zILJgUQ/edit?usp=share_link"",""ปทุมธานี!I538"")+IMPORTRANGE(""https://docs.googl"&amp;"e.com/spreadsheets/d/1W5Jj_S0gYw6wSO7QcMI02YgyOBDKYgmm0NSUk-AQEac/edit?usp=share_link"",""ประจวบคีรีขันธ์!I538"")+IMPORTRANGE(""https://docs.google.com/spreadsheets/d/1nYxRXgnCfTXtqUY1otYuTlnrzE0Tn-Y0YRsW5pkRVqo/edit?usp=share_link"",""ปราจีนบุรี!I538"")+"&amp;"IMPORTRANGE(""https://docs.google.com/spreadsheets/d/1nNHCLO8ZAXOMfQvxux7cf_hrzPAh8FAvaHq_ClKbZNo/edit?usp=share_link"",""พระนครศรีอยุธยา!I538"")+IMPORTRANGE(""https://docs.google.com/spreadsheets/d/1CdNicvf3i6yt4tJlCePe3V1Va76wYqW0QzMzTsaGRrA/edit?usp=sh"&amp;"are_link"",""เพชรบุรี!I538"")+IMPORTRANGE(""https://docs.google.com/spreadsheets/d/1XiF77UIVHV0Kjc6xbXuOuJ10WgJYxd4p_22ngKVV5oM/edit?usp=share_link"",""ระยอง!I538"")+IMPORTRANGE(""https://docs.google.com/spreadsheets/d/1qU-W_9MCQD1pgIVXGEOjCFo9QqlmJywueby"&amp;"GgaN92r8/edit?usp=share_link"",""ราชบุรี!I538"")+IMPORTRANGE(""https://docs.google.com/spreadsheets/d/1xYFIxIM_CspAP5Q-5Zx_V0T_Ut3cjryrjd2hss28vGk/edit?usp=share_link"",""ลพบุรี!I538"")+IMPORTRANGE(""https://docs.google.com/spreadsheets/d/11s9m3tKsCBdPWq6"&amp;"syhZm27eBGbKneDLZc75co106bio/edit?usp=share_link"",""สระแก้ว!I538"")+IMPORTRANGE(""https://docs.google.com/spreadsheets/d/1Nn1EvsFPtXldgpgVb3Rcng2K2cls68LFQsBh2FyW0Bg/edit?usp=share_link"",""สระบุรี!I538"")+IMPORTRANGE(""https://docs.google.com/spreadshee"&amp;"ts/d/149xufxukrnEciK3WPbNpHwUK8BKEJxp3UcBG3Al6dA4/edit?usp=share_link"",""สิงห์บุรี!I538"")+IMPORTRANGE(""https://docs.google.com/spreadsheets/d/132g-zJpz2uMKimp17uOIx8A7o3w1Z25zwJyXnwsB56c/edit?usp=share_link"",""สุพรรณบุรี!I538"")+IMPORTRANGE(""https://"&amp;"docs.google.com/spreadsheets/d/12Q_U0nVnFdxDFwa0pej9xvx8ZvLC9Dpi_vRro_aiG5g/edit?usp=share_link"",""อ่างทอง!I538"")
"),150)</f>
        <v>150</v>
      </c>
      <c r="J538" s="183">
        <f ca="1">IFERROR(__xludf.DUMMYFUNCTION("IMPORTRANGE(""https://docs.google.com/spreadsheets/d/1hKO5uv94SSRZWOvrh72HRcpyoEQF9TsE_Cvxl77XNU4/edit?usp=share_link"",""กาญจนบุรี!J538"")+IMPORTRANGE(""https://docs.google.com/spreadsheets/d/1njBaP_xXd-Uotvo2D9zb01TTCFkLJLDK97Tk1l9Qux0/edit?usp=share_li"&amp;"nk"",""จันทบุรี!J538"")+IMPORTRANGE(""https://docs.google.com/spreadsheets/d/14xp6qUzrGFnUk_qnc1eEmfiaNRd4_grkhpfQH_46fa8/edit?usp=share_link"",""ฉะเชิงเทรา!J538"")+IMPORTRANGE(""https://docs.google.com/spreadsheets/d/1_Zwps30dlVa-pZFsorjVf1Pil6WXwzCsJU0U"&amp;"2whO3NI/edit?usp=share_link"",""ชลบุรี!J538"")+IMPORTRANGE(""https://docs.google.com/spreadsheets/d/1xAsT4sUbBlom7l0acStESh_15nvjZcXjZM7fK5uZSq8/edit?usp=share_link"",""ชัยนาท!J538"")+IMPORTRANGE(""https://docs.google.com/spreadsheets/d/1vWPVBOAaZ6mHSI8yf"&amp;"95DNqHwTJ1cpeFsvqt6cxV34QA/edit?usp=share_link"",""ตราด!J538"")+IMPORTRANGE(""https://docs.google.com/spreadsheets/d/1phaeSb9lTGgzDpbvVqI9hfmOQQzUom07-HEvpbARzEg/edit?usp=share_link"",""นครนายก!J538"")+IMPORTRANGE(""https://docs.google.com/spreadsheets/d/"&amp;"1tpwhWwkqkBeiSWCcfB5f2fbwPRbM9hHOEDSDHpl2MIc/edit?usp=share_link"",""นครปฐม!J538"")+IMPORTRANGE(""https://docs.google.com/spreadsheets/d/1fJJCVBkBnhriyv0Cp5ZFMr0I_yrfdEITNpb4zILJgUQ/edit?usp=share_link"",""ปทุมธานี!J538"")+IMPORTRANGE(""https://docs.googl"&amp;"e.com/spreadsheets/d/1W5Jj_S0gYw6wSO7QcMI02YgyOBDKYgmm0NSUk-AQEac/edit?usp=share_link"",""ประจวบคีรีขันธ์!J538"")+IMPORTRANGE(""https://docs.google.com/spreadsheets/d/1nYxRXgnCfTXtqUY1otYuTlnrzE0Tn-Y0YRsW5pkRVqo/edit?usp=share_link"",""ปราจีนบุรี!J538"")+"&amp;"IMPORTRANGE(""https://docs.google.com/spreadsheets/d/1nNHCLO8ZAXOMfQvxux7cf_hrzPAh8FAvaHq_ClKbZNo/edit?usp=share_link"",""พระนครศรีอยุธยา!J538"")+IMPORTRANGE(""https://docs.google.com/spreadsheets/d/1CdNicvf3i6yt4tJlCePe3V1Va76wYqW0QzMzTsaGRrA/edit?usp=sh"&amp;"are_link"",""เพชรบุรี!J538"")+IMPORTRANGE(""https://docs.google.com/spreadsheets/d/1XiF77UIVHV0Kjc6xbXuOuJ10WgJYxd4p_22ngKVV5oM/edit?usp=share_link"",""ระยอง!J538"")+IMPORTRANGE(""https://docs.google.com/spreadsheets/d/1qU-W_9MCQD1pgIVXGEOjCFo9QqlmJywueby"&amp;"GgaN92r8/edit?usp=share_link"",""ราชบุรี!J538"")+IMPORTRANGE(""https://docs.google.com/spreadsheets/d/1xYFIxIM_CspAP5Q-5Zx_V0T_Ut3cjryrjd2hss28vGk/edit?usp=share_link"",""ลพบุรี!J538"")+IMPORTRANGE(""https://docs.google.com/spreadsheets/d/11s9m3tKsCBdPWq6"&amp;"syhZm27eBGbKneDLZc75co106bio/edit?usp=share_link"",""สระแก้ว!J538"")+IMPORTRANGE(""https://docs.google.com/spreadsheets/d/1Nn1EvsFPtXldgpgVb3Rcng2K2cls68LFQsBh2FyW0Bg/edit?usp=share_link"",""สระบุรี!J538"")+IMPORTRANGE(""https://docs.google.com/spreadshee"&amp;"ts/d/149xufxukrnEciK3WPbNpHwUK8BKEJxp3UcBG3Al6dA4/edit?usp=share_link"",""สิงห์บุรี!J538"")+IMPORTRANGE(""https://docs.google.com/spreadsheets/d/132g-zJpz2uMKimp17uOIx8A7o3w1Z25zwJyXnwsB56c/edit?usp=share_link"",""สุพรรณบุรี!J538"")+IMPORTRANGE(""https://"&amp;"docs.google.com/spreadsheets/d/12Q_U0nVnFdxDFwa0pej9xvx8ZvLC9Dpi_vRro_aiG5g/edit?usp=share_link"",""อ่างทอง!J538"")
"),0)</f>
        <v>0</v>
      </c>
      <c r="K538" s="38">
        <f t="shared" ca="1" si="270"/>
        <v>0</v>
      </c>
      <c r="L538" s="38"/>
      <c r="M538" s="38"/>
      <c r="N538" s="38"/>
      <c r="O538" s="38"/>
      <c r="P538" s="38"/>
      <c r="Q538" s="675"/>
      <c r="R538" s="675"/>
      <c r="S538" s="675"/>
      <c r="T538" s="675"/>
      <c r="U538" s="675"/>
      <c r="V538" s="675"/>
      <c r="W538" s="675"/>
      <c r="X538" s="675"/>
      <c r="Y538" s="675"/>
      <c r="Z538" s="675"/>
    </row>
    <row r="539" spans="1:26" ht="20.25" customHeight="1">
      <c r="A539" s="567"/>
      <c r="B539" s="568"/>
      <c r="C539" s="569"/>
      <c r="D539" s="570"/>
      <c r="E539" s="676" t="s">
        <v>229</v>
      </c>
      <c r="F539" s="569"/>
      <c r="G539" s="189"/>
      <c r="H539" s="36" t="s">
        <v>35</v>
      </c>
      <c r="I539" s="269">
        <f ca="1">IFERROR(__xludf.DUMMYFUNCTION("IMPORTRANGE(""https://docs.google.com/spreadsheets/d/1hKO5uv94SSRZWOvrh72HRcpyoEQF9TsE_Cvxl77XNU4/edit?usp=share_link"",""กาญจนบุรี!I539"")+IMPORTRANGE(""https://docs.google.com/spreadsheets/d/1njBaP_xXd-Uotvo2D9zb01TTCFkLJLDK97Tk1l9Qux0/edit?usp=share_li"&amp;"nk"",""จันทบุรี!I539"")+IMPORTRANGE(""https://docs.google.com/spreadsheets/d/14xp6qUzrGFnUk_qnc1eEmfiaNRd4_grkhpfQH_46fa8/edit?usp=share_link"",""ฉะเชิงเทรา!I539"")+IMPORTRANGE(""https://docs.google.com/spreadsheets/d/1_Zwps30dlVa-pZFsorjVf1Pil6WXwzCsJU0U"&amp;"2whO3NI/edit?usp=share_link"",""ชลบุรี!I539"")+IMPORTRANGE(""https://docs.google.com/spreadsheets/d/1xAsT4sUbBlom7l0acStESh_15nvjZcXjZM7fK5uZSq8/edit?usp=share_link"",""ชัยนาท!I539"")+IMPORTRANGE(""https://docs.google.com/spreadsheets/d/1vWPVBOAaZ6mHSI8yf"&amp;"95DNqHwTJ1cpeFsvqt6cxV34QA/edit?usp=share_link"",""ตราด!I539"")+IMPORTRANGE(""https://docs.google.com/spreadsheets/d/1phaeSb9lTGgzDpbvVqI9hfmOQQzUom07-HEvpbARzEg/edit?usp=share_link"",""นครนายก!I539"")+IMPORTRANGE(""https://docs.google.com/spreadsheets/d/"&amp;"1tpwhWwkqkBeiSWCcfB5f2fbwPRbM9hHOEDSDHpl2MIc/edit?usp=share_link"",""นครปฐม!I539"")+IMPORTRANGE(""https://docs.google.com/spreadsheets/d/1fJJCVBkBnhriyv0Cp5ZFMr0I_yrfdEITNpb4zILJgUQ/edit?usp=share_link"",""ปทุมธานี!I539"")+IMPORTRANGE(""https://docs.googl"&amp;"e.com/spreadsheets/d/1W5Jj_S0gYw6wSO7QcMI02YgyOBDKYgmm0NSUk-AQEac/edit?usp=share_link"",""ประจวบคีรีขันธ์!I539"")+IMPORTRANGE(""https://docs.google.com/spreadsheets/d/1nYxRXgnCfTXtqUY1otYuTlnrzE0Tn-Y0YRsW5pkRVqo/edit?usp=share_link"",""ปราจีนบุรี!I539"")+"&amp;"IMPORTRANGE(""https://docs.google.com/spreadsheets/d/1nNHCLO8ZAXOMfQvxux7cf_hrzPAh8FAvaHq_ClKbZNo/edit?usp=share_link"",""พระนครศรีอยุธยา!I539"")+IMPORTRANGE(""https://docs.google.com/spreadsheets/d/1CdNicvf3i6yt4tJlCePe3V1Va76wYqW0QzMzTsaGRrA/edit?usp=sh"&amp;"are_link"",""เพชรบุรี!I539"")+IMPORTRANGE(""https://docs.google.com/spreadsheets/d/1XiF77UIVHV0Kjc6xbXuOuJ10WgJYxd4p_22ngKVV5oM/edit?usp=share_link"",""ระยอง!I539"")+IMPORTRANGE(""https://docs.google.com/spreadsheets/d/1qU-W_9MCQD1pgIVXGEOjCFo9QqlmJywueby"&amp;"GgaN92r8/edit?usp=share_link"",""ราชบุรี!I539"")+IMPORTRANGE(""https://docs.google.com/spreadsheets/d/1xYFIxIM_CspAP5Q-5Zx_V0T_Ut3cjryrjd2hss28vGk/edit?usp=share_link"",""ลพบุรี!I539"")+IMPORTRANGE(""https://docs.google.com/spreadsheets/d/11s9m3tKsCBdPWq6"&amp;"syhZm27eBGbKneDLZc75co106bio/edit?usp=share_link"",""สระแก้ว!I539"")+IMPORTRANGE(""https://docs.google.com/spreadsheets/d/1Nn1EvsFPtXldgpgVb3Rcng2K2cls68LFQsBh2FyW0Bg/edit?usp=share_link"",""สระบุรี!I539"")+IMPORTRANGE(""https://docs.google.com/spreadshee"&amp;"ts/d/149xufxukrnEciK3WPbNpHwUK8BKEJxp3UcBG3Al6dA4/edit?usp=share_link"",""สิงห์บุรี!I539"")+IMPORTRANGE(""https://docs.google.com/spreadsheets/d/132g-zJpz2uMKimp17uOIx8A7o3w1Z25zwJyXnwsB56c/edit?usp=share_link"",""สุพรรณบุรี!I539"")+IMPORTRANGE(""https://"&amp;"docs.google.com/spreadsheets/d/12Q_U0nVnFdxDFwa0pej9xvx8ZvLC9Dpi_vRro_aiG5g/edit?usp=share_link"",""อ่างทอง!I539"")
"),0)</f>
        <v>0</v>
      </c>
      <c r="J539" s="183">
        <f ca="1">IFERROR(__xludf.DUMMYFUNCTION("IMPORTRANGE(""https://docs.google.com/spreadsheets/d/1hKO5uv94SSRZWOvrh72HRcpyoEQF9TsE_Cvxl77XNU4/edit?usp=share_link"",""กาญจนบุรี!J539"")+IMPORTRANGE(""https://docs.google.com/spreadsheets/d/1njBaP_xXd-Uotvo2D9zb01TTCFkLJLDK97Tk1l9Qux0/edit?usp=share_li"&amp;"nk"",""จันทบุรี!J539"")+IMPORTRANGE(""https://docs.google.com/spreadsheets/d/14xp6qUzrGFnUk_qnc1eEmfiaNRd4_grkhpfQH_46fa8/edit?usp=share_link"",""ฉะเชิงเทรา!J539"")+IMPORTRANGE(""https://docs.google.com/spreadsheets/d/1_Zwps30dlVa-pZFsorjVf1Pil6WXwzCsJU0U"&amp;"2whO3NI/edit?usp=share_link"",""ชลบุรี!J539"")+IMPORTRANGE(""https://docs.google.com/spreadsheets/d/1xAsT4sUbBlom7l0acStESh_15nvjZcXjZM7fK5uZSq8/edit?usp=share_link"",""ชัยนาท!J539"")+IMPORTRANGE(""https://docs.google.com/spreadsheets/d/1vWPVBOAaZ6mHSI8yf"&amp;"95DNqHwTJ1cpeFsvqt6cxV34QA/edit?usp=share_link"",""ตราด!J539"")+IMPORTRANGE(""https://docs.google.com/spreadsheets/d/1phaeSb9lTGgzDpbvVqI9hfmOQQzUom07-HEvpbARzEg/edit?usp=share_link"",""นครนายก!J539"")+IMPORTRANGE(""https://docs.google.com/spreadsheets/d/"&amp;"1tpwhWwkqkBeiSWCcfB5f2fbwPRbM9hHOEDSDHpl2MIc/edit?usp=share_link"",""นครปฐม!J539"")+IMPORTRANGE(""https://docs.google.com/spreadsheets/d/1fJJCVBkBnhriyv0Cp5ZFMr0I_yrfdEITNpb4zILJgUQ/edit?usp=share_link"",""ปทุมธานี!J539"")+IMPORTRANGE(""https://docs.googl"&amp;"e.com/spreadsheets/d/1W5Jj_S0gYw6wSO7QcMI02YgyOBDKYgmm0NSUk-AQEac/edit?usp=share_link"",""ประจวบคีรีขันธ์!J539"")+IMPORTRANGE(""https://docs.google.com/spreadsheets/d/1nYxRXgnCfTXtqUY1otYuTlnrzE0Tn-Y0YRsW5pkRVqo/edit?usp=share_link"",""ปราจีนบุรี!J539"")+"&amp;"IMPORTRANGE(""https://docs.google.com/spreadsheets/d/1nNHCLO8ZAXOMfQvxux7cf_hrzPAh8FAvaHq_ClKbZNo/edit?usp=share_link"",""พระนครศรีอยุธยา!J539"")+IMPORTRANGE(""https://docs.google.com/spreadsheets/d/1CdNicvf3i6yt4tJlCePe3V1Va76wYqW0QzMzTsaGRrA/edit?usp=sh"&amp;"are_link"",""เพชรบุรี!J539"")+IMPORTRANGE(""https://docs.google.com/spreadsheets/d/1XiF77UIVHV0Kjc6xbXuOuJ10WgJYxd4p_22ngKVV5oM/edit?usp=share_link"",""ระยอง!J539"")+IMPORTRANGE(""https://docs.google.com/spreadsheets/d/1qU-W_9MCQD1pgIVXGEOjCFo9QqlmJywueby"&amp;"GgaN92r8/edit?usp=share_link"",""ราชบุรี!J539"")+IMPORTRANGE(""https://docs.google.com/spreadsheets/d/1xYFIxIM_CspAP5Q-5Zx_V0T_Ut3cjryrjd2hss28vGk/edit?usp=share_link"",""ลพบุรี!J539"")+IMPORTRANGE(""https://docs.google.com/spreadsheets/d/11s9m3tKsCBdPWq6"&amp;"syhZm27eBGbKneDLZc75co106bio/edit?usp=share_link"",""สระแก้ว!J539"")+IMPORTRANGE(""https://docs.google.com/spreadsheets/d/1Nn1EvsFPtXldgpgVb3Rcng2K2cls68LFQsBh2FyW0Bg/edit?usp=share_link"",""สระบุรี!J539"")+IMPORTRANGE(""https://docs.google.com/spreadshee"&amp;"ts/d/149xufxukrnEciK3WPbNpHwUK8BKEJxp3UcBG3Al6dA4/edit?usp=share_link"",""สิงห์บุรี!J539"")+IMPORTRANGE(""https://docs.google.com/spreadsheets/d/132g-zJpz2uMKimp17uOIx8A7o3w1Z25zwJyXnwsB56c/edit?usp=share_link"",""สุพรรณบุรี!J539"")+IMPORTRANGE(""https://"&amp;"docs.google.com/spreadsheets/d/12Q_U0nVnFdxDFwa0pej9xvx8ZvLC9Dpi_vRro_aiG5g/edit?usp=share_link"",""อ่างทอง!J539"")
"),0)</f>
        <v>0</v>
      </c>
      <c r="K539" s="38">
        <f t="shared" ca="1" si="270"/>
        <v>0</v>
      </c>
      <c r="L539" s="38"/>
      <c r="M539" s="38"/>
      <c r="N539" s="38"/>
      <c r="O539" s="38"/>
      <c r="P539" s="38"/>
      <c r="Q539" s="675"/>
      <c r="R539" s="675"/>
      <c r="S539" s="675"/>
      <c r="T539" s="675"/>
      <c r="U539" s="675"/>
      <c r="V539" s="675"/>
      <c r="W539" s="675"/>
      <c r="X539" s="675"/>
      <c r="Y539" s="675"/>
      <c r="Z539" s="675"/>
    </row>
    <row r="540" spans="1:26" ht="20.25" customHeight="1">
      <c r="A540" s="567"/>
      <c r="B540" s="568"/>
      <c r="C540" s="569"/>
      <c r="D540" s="570"/>
      <c r="E540" s="676" t="s">
        <v>230</v>
      </c>
      <c r="F540" s="569"/>
      <c r="G540" s="189"/>
      <c r="H540" s="36" t="s">
        <v>35</v>
      </c>
      <c r="I540" s="269">
        <f ca="1">IFERROR(__xludf.DUMMYFUNCTION("IMPORTRANGE(""https://docs.google.com/spreadsheets/d/1hKO5uv94SSRZWOvrh72HRcpyoEQF9TsE_Cvxl77XNU4/edit?usp=share_link"",""กาญจนบุรี!I540"")+IMPORTRANGE(""https://docs.google.com/spreadsheets/d/1njBaP_xXd-Uotvo2D9zb01TTCFkLJLDK97Tk1l9Qux0/edit?usp=share_li"&amp;"nk"",""จันทบุรี!I540"")+IMPORTRANGE(""https://docs.google.com/spreadsheets/d/14xp6qUzrGFnUk_qnc1eEmfiaNRd4_grkhpfQH_46fa8/edit?usp=share_link"",""ฉะเชิงเทรา!I540"")+IMPORTRANGE(""https://docs.google.com/spreadsheets/d/1_Zwps30dlVa-pZFsorjVf1Pil6WXwzCsJU0U"&amp;"2whO3NI/edit?usp=share_link"",""ชลบุรี!I540"")+IMPORTRANGE(""https://docs.google.com/spreadsheets/d/1xAsT4sUbBlom7l0acStESh_15nvjZcXjZM7fK5uZSq8/edit?usp=share_link"",""ชัยนาท!I540"")+IMPORTRANGE(""https://docs.google.com/spreadsheets/d/1vWPVBOAaZ6mHSI8yf"&amp;"95DNqHwTJ1cpeFsvqt6cxV34QA/edit?usp=share_link"",""ตราด!I540"")+IMPORTRANGE(""https://docs.google.com/spreadsheets/d/1phaeSb9lTGgzDpbvVqI9hfmOQQzUom07-HEvpbARzEg/edit?usp=share_link"",""นครนายก!I540"")+IMPORTRANGE(""https://docs.google.com/spreadsheets/d/"&amp;"1tpwhWwkqkBeiSWCcfB5f2fbwPRbM9hHOEDSDHpl2MIc/edit?usp=share_link"",""นครปฐม!I540"")+IMPORTRANGE(""https://docs.google.com/spreadsheets/d/1fJJCVBkBnhriyv0Cp5ZFMr0I_yrfdEITNpb4zILJgUQ/edit?usp=share_link"",""ปทุมธานี!I540"")+IMPORTRANGE(""https://docs.googl"&amp;"e.com/spreadsheets/d/1W5Jj_S0gYw6wSO7QcMI02YgyOBDKYgmm0NSUk-AQEac/edit?usp=share_link"",""ประจวบคีรีขันธ์!I540"")+IMPORTRANGE(""https://docs.google.com/spreadsheets/d/1nYxRXgnCfTXtqUY1otYuTlnrzE0Tn-Y0YRsW5pkRVqo/edit?usp=share_link"",""ปราจีนบุรี!I540"")+"&amp;"IMPORTRANGE(""https://docs.google.com/spreadsheets/d/1nNHCLO8ZAXOMfQvxux7cf_hrzPAh8FAvaHq_ClKbZNo/edit?usp=share_link"",""พระนครศรีอยุธยา!I540"")+IMPORTRANGE(""https://docs.google.com/spreadsheets/d/1CdNicvf3i6yt4tJlCePe3V1Va76wYqW0QzMzTsaGRrA/edit?usp=sh"&amp;"are_link"",""เพชรบุรี!I540"")+IMPORTRANGE(""https://docs.google.com/spreadsheets/d/1XiF77UIVHV0Kjc6xbXuOuJ10WgJYxd4p_22ngKVV5oM/edit?usp=share_link"",""ระยอง!I540"")+IMPORTRANGE(""https://docs.google.com/spreadsheets/d/1qU-W_9MCQD1pgIVXGEOjCFo9QqlmJywueby"&amp;"GgaN92r8/edit?usp=share_link"",""ราชบุรี!I540"")+IMPORTRANGE(""https://docs.google.com/spreadsheets/d/1xYFIxIM_CspAP5Q-5Zx_V0T_Ut3cjryrjd2hss28vGk/edit?usp=share_link"",""ลพบุรี!I540"")+IMPORTRANGE(""https://docs.google.com/spreadsheets/d/11s9m3tKsCBdPWq6"&amp;"syhZm27eBGbKneDLZc75co106bio/edit?usp=share_link"",""สระแก้ว!I540"")+IMPORTRANGE(""https://docs.google.com/spreadsheets/d/1Nn1EvsFPtXldgpgVb3Rcng2K2cls68LFQsBh2FyW0Bg/edit?usp=share_link"",""สระบุรี!I540"")+IMPORTRANGE(""https://docs.google.com/spreadshee"&amp;"ts/d/149xufxukrnEciK3WPbNpHwUK8BKEJxp3UcBG3Al6dA4/edit?usp=share_link"",""สิงห์บุรี!I540"")+IMPORTRANGE(""https://docs.google.com/spreadsheets/d/132g-zJpz2uMKimp17uOIx8A7o3w1Z25zwJyXnwsB56c/edit?usp=share_link"",""สุพรรณบุรี!I540"")+IMPORTRANGE(""https://"&amp;"docs.google.com/spreadsheets/d/12Q_U0nVnFdxDFwa0pej9xvx8ZvLC9Dpi_vRro_aiG5g/edit?usp=share_link"",""อ่างทอง!I540"")
"),0)</f>
        <v>0</v>
      </c>
      <c r="J540" s="183">
        <f ca="1">IFERROR(__xludf.DUMMYFUNCTION("IMPORTRANGE(""https://docs.google.com/spreadsheets/d/1hKO5uv94SSRZWOvrh72HRcpyoEQF9TsE_Cvxl77XNU4/edit?usp=share_link"",""กาญจนบุรี!J540"")+IMPORTRANGE(""https://docs.google.com/spreadsheets/d/1njBaP_xXd-Uotvo2D9zb01TTCFkLJLDK97Tk1l9Qux0/edit?usp=share_li"&amp;"nk"",""จันทบุรี!J540"")+IMPORTRANGE(""https://docs.google.com/spreadsheets/d/14xp6qUzrGFnUk_qnc1eEmfiaNRd4_grkhpfQH_46fa8/edit?usp=share_link"",""ฉะเชิงเทรา!J540"")+IMPORTRANGE(""https://docs.google.com/spreadsheets/d/1_Zwps30dlVa-pZFsorjVf1Pil6WXwzCsJU0U"&amp;"2whO3NI/edit?usp=share_link"",""ชลบุรี!J540"")+IMPORTRANGE(""https://docs.google.com/spreadsheets/d/1xAsT4sUbBlom7l0acStESh_15nvjZcXjZM7fK5uZSq8/edit?usp=share_link"",""ชัยนาท!J540"")+IMPORTRANGE(""https://docs.google.com/spreadsheets/d/1vWPVBOAaZ6mHSI8yf"&amp;"95DNqHwTJ1cpeFsvqt6cxV34QA/edit?usp=share_link"",""ตราด!J540"")+IMPORTRANGE(""https://docs.google.com/spreadsheets/d/1phaeSb9lTGgzDpbvVqI9hfmOQQzUom07-HEvpbARzEg/edit?usp=share_link"",""นครนายก!J540"")+IMPORTRANGE(""https://docs.google.com/spreadsheets/d/"&amp;"1tpwhWwkqkBeiSWCcfB5f2fbwPRbM9hHOEDSDHpl2MIc/edit?usp=share_link"",""นครปฐม!J540"")+IMPORTRANGE(""https://docs.google.com/spreadsheets/d/1fJJCVBkBnhriyv0Cp5ZFMr0I_yrfdEITNpb4zILJgUQ/edit?usp=share_link"",""ปทุมธานี!J540"")+IMPORTRANGE(""https://docs.googl"&amp;"e.com/spreadsheets/d/1W5Jj_S0gYw6wSO7QcMI02YgyOBDKYgmm0NSUk-AQEac/edit?usp=share_link"",""ประจวบคีรีขันธ์!J540"")+IMPORTRANGE(""https://docs.google.com/spreadsheets/d/1nYxRXgnCfTXtqUY1otYuTlnrzE0Tn-Y0YRsW5pkRVqo/edit?usp=share_link"",""ปราจีนบุรี!J540"")+"&amp;"IMPORTRANGE(""https://docs.google.com/spreadsheets/d/1nNHCLO8ZAXOMfQvxux7cf_hrzPAh8FAvaHq_ClKbZNo/edit?usp=share_link"",""พระนครศรีอยุธยา!J540"")+IMPORTRANGE(""https://docs.google.com/spreadsheets/d/1CdNicvf3i6yt4tJlCePe3V1Va76wYqW0QzMzTsaGRrA/edit?usp=sh"&amp;"are_link"",""เพชรบุรี!J540"")+IMPORTRANGE(""https://docs.google.com/spreadsheets/d/1XiF77UIVHV0Kjc6xbXuOuJ10WgJYxd4p_22ngKVV5oM/edit?usp=share_link"",""ระยอง!J540"")+IMPORTRANGE(""https://docs.google.com/spreadsheets/d/1qU-W_9MCQD1pgIVXGEOjCFo9QqlmJywueby"&amp;"GgaN92r8/edit?usp=share_link"",""ราชบุรี!J540"")+IMPORTRANGE(""https://docs.google.com/spreadsheets/d/1xYFIxIM_CspAP5Q-5Zx_V0T_Ut3cjryrjd2hss28vGk/edit?usp=share_link"",""ลพบุรี!J540"")+IMPORTRANGE(""https://docs.google.com/spreadsheets/d/11s9m3tKsCBdPWq6"&amp;"syhZm27eBGbKneDLZc75co106bio/edit?usp=share_link"",""สระแก้ว!J540"")+IMPORTRANGE(""https://docs.google.com/spreadsheets/d/1Nn1EvsFPtXldgpgVb3Rcng2K2cls68LFQsBh2FyW0Bg/edit?usp=share_link"",""สระบุรี!J540"")+IMPORTRANGE(""https://docs.google.com/spreadshee"&amp;"ts/d/149xufxukrnEciK3WPbNpHwUK8BKEJxp3UcBG3Al6dA4/edit?usp=share_link"",""สิงห์บุรี!J540"")+IMPORTRANGE(""https://docs.google.com/spreadsheets/d/132g-zJpz2uMKimp17uOIx8A7o3w1Z25zwJyXnwsB56c/edit?usp=share_link"",""สุพรรณบุรี!J540"")+IMPORTRANGE(""https://"&amp;"docs.google.com/spreadsheets/d/12Q_U0nVnFdxDFwa0pej9xvx8ZvLC9Dpi_vRro_aiG5g/edit?usp=share_link"",""อ่างทอง!J540"")
"),0)</f>
        <v>0</v>
      </c>
      <c r="K540" s="38">
        <f t="shared" ca="1" si="270"/>
        <v>0</v>
      </c>
      <c r="L540" s="38"/>
      <c r="M540" s="38"/>
      <c r="N540" s="38"/>
      <c r="O540" s="38"/>
      <c r="P540" s="38"/>
      <c r="Q540" s="675"/>
      <c r="R540" s="675"/>
      <c r="S540" s="675"/>
      <c r="T540" s="675"/>
      <c r="U540" s="675"/>
      <c r="V540" s="675"/>
      <c r="W540" s="675"/>
      <c r="X540" s="675"/>
      <c r="Y540" s="675"/>
      <c r="Z540" s="675"/>
    </row>
    <row r="541" spans="1:26" ht="20.25" customHeight="1">
      <c r="A541" s="567"/>
      <c r="B541" s="568"/>
      <c r="C541" s="569"/>
      <c r="D541" s="570"/>
      <c r="E541" s="677" t="s">
        <v>231</v>
      </c>
      <c r="F541" s="569"/>
      <c r="G541" s="189"/>
      <c r="H541" s="36" t="s">
        <v>35</v>
      </c>
      <c r="I541" s="269">
        <f ca="1">IFERROR(__xludf.DUMMYFUNCTION("IMPORTRANGE(""https://docs.google.com/spreadsheets/d/1hKO5uv94SSRZWOvrh72HRcpyoEQF9TsE_Cvxl77XNU4/edit?usp=share_link"",""กาญจนบุรี!I541"")+IMPORTRANGE(""https://docs.google.com/spreadsheets/d/1njBaP_xXd-Uotvo2D9zb01TTCFkLJLDK97Tk1l9Qux0/edit?usp=share_li"&amp;"nk"",""จันทบุรี!I541"")+IMPORTRANGE(""https://docs.google.com/spreadsheets/d/14xp6qUzrGFnUk_qnc1eEmfiaNRd4_grkhpfQH_46fa8/edit?usp=share_link"",""ฉะเชิงเทรา!I541"")+IMPORTRANGE(""https://docs.google.com/spreadsheets/d/1_Zwps30dlVa-pZFsorjVf1Pil6WXwzCsJU0U"&amp;"2whO3NI/edit?usp=share_link"",""ชลบุรี!I541"")+IMPORTRANGE(""https://docs.google.com/spreadsheets/d/1xAsT4sUbBlom7l0acStESh_15nvjZcXjZM7fK5uZSq8/edit?usp=share_link"",""ชัยนาท!I541"")+IMPORTRANGE(""https://docs.google.com/spreadsheets/d/1vWPVBOAaZ6mHSI8yf"&amp;"95DNqHwTJ1cpeFsvqt6cxV34QA/edit?usp=share_link"",""ตราด!I541"")+IMPORTRANGE(""https://docs.google.com/spreadsheets/d/1phaeSb9lTGgzDpbvVqI9hfmOQQzUom07-HEvpbARzEg/edit?usp=share_link"",""นครนายก!I541"")+IMPORTRANGE(""https://docs.google.com/spreadsheets/d/"&amp;"1tpwhWwkqkBeiSWCcfB5f2fbwPRbM9hHOEDSDHpl2MIc/edit?usp=share_link"",""นครปฐม!I541"")+IMPORTRANGE(""https://docs.google.com/spreadsheets/d/1fJJCVBkBnhriyv0Cp5ZFMr0I_yrfdEITNpb4zILJgUQ/edit?usp=share_link"",""ปทุมธานี!I541"")+IMPORTRANGE(""https://docs.googl"&amp;"e.com/spreadsheets/d/1W5Jj_S0gYw6wSO7QcMI02YgyOBDKYgmm0NSUk-AQEac/edit?usp=share_link"",""ประจวบคีรีขันธ์!I541"")+IMPORTRANGE(""https://docs.google.com/spreadsheets/d/1nYxRXgnCfTXtqUY1otYuTlnrzE0Tn-Y0YRsW5pkRVqo/edit?usp=share_link"",""ปราจีนบุรี!I541"")+"&amp;"IMPORTRANGE(""https://docs.google.com/spreadsheets/d/1nNHCLO8ZAXOMfQvxux7cf_hrzPAh8FAvaHq_ClKbZNo/edit?usp=share_link"",""พระนครศรีอยุธยา!I541"")+IMPORTRANGE(""https://docs.google.com/spreadsheets/d/1CdNicvf3i6yt4tJlCePe3V1Va76wYqW0QzMzTsaGRrA/edit?usp=sh"&amp;"are_link"",""เพชรบุรี!I541"")+IMPORTRANGE(""https://docs.google.com/spreadsheets/d/1XiF77UIVHV0Kjc6xbXuOuJ10WgJYxd4p_22ngKVV5oM/edit?usp=share_link"",""ระยอง!I541"")+IMPORTRANGE(""https://docs.google.com/spreadsheets/d/1qU-W_9MCQD1pgIVXGEOjCFo9QqlmJywueby"&amp;"GgaN92r8/edit?usp=share_link"",""ราชบุรี!I541"")+IMPORTRANGE(""https://docs.google.com/spreadsheets/d/1xYFIxIM_CspAP5Q-5Zx_V0T_Ut3cjryrjd2hss28vGk/edit?usp=share_link"",""ลพบุรี!I541"")+IMPORTRANGE(""https://docs.google.com/spreadsheets/d/11s9m3tKsCBdPWq6"&amp;"syhZm27eBGbKneDLZc75co106bio/edit?usp=share_link"",""สระแก้ว!I541"")+IMPORTRANGE(""https://docs.google.com/spreadsheets/d/1Nn1EvsFPtXldgpgVb3Rcng2K2cls68LFQsBh2FyW0Bg/edit?usp=share_link"",""สระบุรี!I541"")+IMPORTRANGE(""https://docs.google.com/spreadshee"&amp;"ts/d/149xufxukrnEciK3WPbNpHwUK8BKEJxp3UcBG3Al6dA4/edit?usp=share_link"",""สิงห์บุรี!I541"")+IMPORTRANGE(""https://docs.google.com/spreadsheets/d/132g-zJpz2uMKimp17uOIx8A7o3w1Z25zwJyXnwsB56c/edit?usp=share_link"",""สุพรรณบุรี!I541"")+IMPORTRANGE(""https://"&amp;"docs.google.com/spreadsheets/d/12Q_U0nVnFdxDFwa0pej9xvx8ZvLC9Dpi_vRro_aiG5g/edit?usp=share_link"",""อ่างทอง!I541"")
"),150)</f>
        <v>150</v>
      </c>
      <c r="J541" s="183">
        <f ca="1">IFERROR(__xludf.DUMMYFUNCTION("IMPORTRANGE(""https://docs.google.com/spreadsheets/d/1hKO5uv94SSRZWOvrh72HRcpyoEQF9TsE_Cvxl77XNU4/edit?usp=share_link"",""กาญจนบุรี!J541"")+IMPORTRANGE(""https://docs.google.com/spreadsheets/d/1njBaP_xXd-Uotvo2D9zb01TTCFkLJLDK97Tk1l9Qux0/edit?usp=share_li"&amp;"nk"",""จันทบุรี!J541"")+IMPORTRANGE(""https://docs.google.com/spreadsheets/d/14xp6qUzrGFnUk_qnc1eEmfiaNRd4_grkhpfQH_46fa8/edit?usp=share_link"",""ฉะเชิงเทรา!J541"")+IMPORTRANGE(""https://docs.google.com/spreadsheets/d/1_Zwps30dlVa-pZFsorjVf1Pil6WXwzCsJU0U"&amp;"2whO3NI/edit?usp=share_link"",""ชลบุรี!J541"")+IMPORTRANGE(""https://docs.google.com/spreadsheets/d/1xAsT4sUbBlom7l0acStESh_15nvjZcXjZM7fK5uZSq8/edit?usp=share_link"",""ชัยนาท!J541"")+IMPORTRANGE(""https://docs.google.com/spreadsheets/d/1vWPVBOAaZ6mHSI8yf"&amp;"95DNqHwTJ1cpeFsvqt6cxV34QA/edit?usp=share_link"",""ตราด!J541"")+IMPORTRANGE(""https://docs.google.com/spreadsheets/d/1phaeSb9lTGgzDpbvVqI9hfmOQQzUom07-HEvpbARzEg/edit?usp=share_link"",""นครนายก!J541"")+IMPORTRANGE(""https://docs.google.com/spreadsheets/d/"&amp;"1tpwhWwkqkBeiSWCcfB5f2fbwPRbM9hHOEDSDHpl2MIc/edit?usp=share_link"",""นครปฐม!J541"")+IMPORTRANGE(""https://docs.google.com/spreadsheets/d/1fJJCVBkBnhriyv0Cp5ZFMr0I_yrfdEITNpb4zILJgUQ/edit?usp=share_link"",""ปทุมธานี!J541"")+IMPORTRANGE(""https://docs.googl"&amp;"e.com/spreadsheets/d/1W5Jj_S0gYw6wSO7QcMI02YgyOBDKYgmm0NSUk-AQEac/edit?usp=share_link"",""ประจวบคีรีขันธ์!J541"")+IMPORTRANGE(""https://docs.google.com/spreadsheets/d/1nYxRXgnCfTXtqUY1otYuTlnrzE0Tn-Y0YRsW5pkRVqo/edit?usp=share_link"",""ปราจีนบุรี!J541"")+"&amp;"IMPORTRANGE(""https://docs.google.com/spreadsheets/d/1nNHCLO8ZAXOMfQvxux7cf_hrzPAh8FAvaHq_ClKbZNo/edit?usp=share_link"",""พระนครศรีอยุธยา!J541"")+IMPORTRANGE(""https://docs.google.com/spreadsheets/d/1CdNicvf3i6yt4tJlCePe3V1Va76wYqW0QzMzTsaGRrA/edit?usp=sh"&amp;"are_link"",""เพชรบุรี!J541"")+IMPORTRANGE(""https://docs.google.com/spreadsheets/d/1XiF77UIVHV0Kjc6xbXuOuJ10WgJYxd4p_22ngKVV5oM/edit?usp=share_link"",""ระยอง!J541"")+IMPORTRANGE(""https://docs.google.com/spreadsheets/d/1qU-W_9MCQD1pgIVXGEOjCFo9QqlmJywueby"&amp;"GgaN92r8/edit?usp=share_link"",""ราชบุรี!J541"")+IMPORTRANGE(""https://docs.google.com/spreadsheets/d/1xYFIxIM_CspAP5Q-5Zx_V0T_Ut3cjryrjd2hss28vGk/edit?usp=share_link"",""ลพบุรี!J541"")+IMPORTRANGE(""https://docs.google.com/spreadsheets/d/11s9m3tKsCBdPWq6"&amp;"syhZm27eBGbKneDLZc75co106bio/edit?usp=share_link"",""สระแก้ว!J541"")+IMPORTRANGE(""https://docs.google.com/spreadsheets/d/1Nn1EvsFPtXldgpgVb3Rcng2K2cls68LFQsBh2FyW0Bg/edit?usp=share_link"",""สระบุรี!J541"")+IMPORTRANGE(""https://docs.google.com/spreadshee"&amp;"ts/d/149xufxukrnEciK3WPbNpHwUK8BKEJxp3UcBG3Al6dA4/edit?usp=share_link"",""สิงห์บุรี!J541"")+IMPORTRANGE(""https://docs.google.com/spreadsheets/d/132g-zJpz2uMKimp17uOIx8A7o3w1Z25zwJyXnwsB56c/edit?usp=share_link"",""สุพรรณบุรี!J541"")+IMPORTRANGE(""https://"&amp;"docs.google.com/spreadsheets/d/12Q_U0nVnFdxDFwa0pej9xvx8ZvLC9Dpi_vRro_aiG5g/edit?usp=share_link"",""อ่างทอง!J541"")
"),0)</f>
        <v>0</v>
      </c>
      <c r="K541" s="38">
        <f t="shared" ca="1" si="270"/>
        <v>0</v>
      </c>
      <c r="L541" s="38"/>
      <c r="M541" s="38"/>
      <c r="N541" s="38"/>
      <c r="O541" s="38"/>
      <c r="P541" s="38"/>
      <c r="Q541" s="675"/>
      <c r="R541" s="675"/>
      <c r="S541" s="675"/>
      <c r="T541" s="675"/>
      <c r="U541" s="675"/>
      <c r="V541" s="675"/>
      <c r="W541" s="675"/>
      <c r="X541" s="675"/>
      <c r="Y541" s="675"/>
      <c r="Z541" s="675"/>
    </row>
    <row r="542" spans="1:26" ht="20.25" customHeight="1">
      <c r="A542" s="567"/>
      <c r="B542" s="568"/>
      <c r="C542" s="569"/>
      <c r="D542" s="570" t="s">
        <v>59</v>
      </c>
      <c r="E542" s="569"/>
      <c r="F542" s="569"/>
      <c r="G542" s="189"/>
      <c r="H542" s="36" t="s">
        <v>35</v>
      </c>
      <c r="I542" s="37">
        <f ca="1">IFERROR(__xludf.DUMMYFUNCTION("IMPORTRANGE(""https://docs.google.com/spreadsheets/d/1hKO5uv94SSRZWOvrh72HRcpyoEQF9TsE_Cvxl77XNU4/edit?usp=share_link"",""กาญจนบุรี!I542"")+IMPORTRANGE(""https://docs.google.com/spreadsheets/d/1njBaP_xXd-Uotvo2D9zb01TTCFkLJLDK97Tk1l9Qux0/edit?usp=share_li"&amp;"nk"",""จันทบุรี!I542"")+IMPORTRANGE(""https://docs.google.com/spreadsheets/d/14xp6qUzrGFnUk_qnc1eEmfiaNRd4_grkhpfQH_46fa8/edit?usp=share_link"",""ฉะเชิงเทรา!I542"")+IMPORTRANGE(""https://docs.google.com/spreadsheets/d/1_Zwps30dlVa-pZFsorjVf1Pil6WXwzCsJU0U"&amp;"2whO3NI/edit?usp=share_link"",""ชลบุรี!I542"")+IMPORTRANGE(""https://docs.google.com/spreadsheets/d/1xAsT4sUbBlom7l0acStESh_15nvjZcXjZM7fK5uZSq8/edit?usp=share_link"",""ชัยนาท!I542"")+IMPORTRANGE(""https://docs.google.com/spreadsheets/d/1vWPVBOAaZ6mHSI8yf"&amp;"95DNqHwTJ1cpeFsvqt6cxV34QA/edit?usp=share_link"",""ตราด!I542"")+IMPORTRANGE(""https://docs.google.com/spreadsheets/d/1phaeSb9lTGgzDpbvVqI9hfmOQQzUom07-HEvpbARzEg/edit?usp=share_link"",""นครนายก!I542"")+IMPORTRANGE(""https://docs.google.com/spreadsheets/d/"&amp;"1tpwhWwkqkBeiSWCcfB5f2fbwPRbM9hHOEDSDHpl2MIc/edit?usp=share_link"",""นครปฐม!I542"")+IMPORTRANGE(""https://docs.google.com/spreadsheets/d/1fJJCVBkBnhriyv0Cp5ZFMr0I_yrfdEITNpb4zILJgUQ/edit?usp=share_link"",""ปทุมธานี!I542"")+IMPORTRANGE(""https://docs.googl"&amp;"e.com/spreadsheets/d/1W5Jj_S0gYw6wSO7QcMI02YgyOBDKYgmm0NSUk-AQEac/edit?usp=share_link"",""ประจวบคีรีขันธ์!I542"")+IMPORTRANGE(""https://docs.google.com/spreadsheets/d/1nYxRXgnCfTXtqUY1otYuTlnrzE0Tn-Y0YRsW5pkRVqo/edit?usp=share_link"",""ปราจีนบุรี!I542"")+"&amp;"IMPORTRANGE(""https://docs.google.com/spreadsheets/d/1nNHCLO8ZAXOMfQvxux7cf_hrzPAh8FAvaHq_ClKbZNo/edit?usp=share_link"",""พระนครศรีอยุธยา!I542"")+IMPORTRANGE(""https://docs.google.com/spreadsheets/d/1CdNicvf3i6yt4tJlCePe3V1Va76wYqW0QzMzTsaGRrA/edit?usp=sh"&amp;"are_link"",""เพชรบุรี!I542"")+IMPORTRANGE(""https://docs.google.com/spreadsheets/d/1XiF77UIVHV0Kjc6xbXuOuJ10WgJYxd4p_22ngKVV5oM/edit?usp=share_link"",""ระยอง!I542"")+IMPORTRANGE(""https://docs.google.com/spreadsheets/d/1qU-W_9MCQD1pgIVXGEOjCFo9QqlmJywueby"&amp;"GgaN92r8/edit?usp=share_link"",""ราชบุรี!I542"")+IMPORTRANGE(""https://docs.google.com/spreadsheets/d/1xYFIxIM_CspAP5Q-5Zx_V0T_Ut3cjryrjd2hss28vGk/edit?usp=share_link"",""ลพบุรี!I542"")+IMPORTRANGE(""https://docs.google.com/spreadsheets/d/11s9m3tKsCBdPWq6"&amp;"syhZm27eBGbKneDLZc75co106bio/edit?usp=share_link"",""สระแก้ว!I542"")+IMPORTRANGE(""https://docs.google.com/spreadsheets/d/1Nn1EvsFPtXldgpgVb3Rcng2K2cls68LFQsBh2FyW0Bg/edit?usp=share_link"",""สระบุรี!I542"")+IMPORTRANGE(""https://docs.google.com/spreadshee"&amp;"ts/d/149xufxukrnEciK3WPbNpHwUK8BKEJxp3UcBG3Al6dA4/edit?usp=share_link"",""สิงห์บุรี!I542"")+IMPORTRANGE(""https://docs.google.com/spreadsheets/d/132g-zJpz2uMKimp17uOIx8A7o3w1Z25zwJyXnwsB56c/edit?usp=share_link"",""สุพรรณบุรี!I542"")+IMPORTRANGE(""https://"&amp;"docs.google.com/spreadsheets/d/12Q_U0nVnFdxDFwa0pej9xvx8ZvLC9Dpi_vRro_aiG5g/edit?usp=share_link"",""อ่างทอง!I542"")
"),150)</f>
        <v>150</v>
      </c>
      <c r="J542" s="183">
        <f ca="1">IFERROR(__xludf.DUMMYFUNCTION("IMPORTRANGE(""https://docs.google.com/spreadsheets/d/1hKO5uv94SSRZWOvrh72HRcpyoEQF9TsE_Cvxl77XNU4/edit?usp=share_link"",""กาญจนบุรี!J542"")+IMPORTRANGE(""https://docs.google.com/spreadsheets/d/1njBaP_xXd-Uotvo2D9zb01TTCFkLJLDK97Tk1l9Qux0/edit?usp=share_li"&amp;"nk"",""จันทบุรี!J542"")+IMPORTRANGE(""https://docs.google.com/spreadsheets/d/14xp6qUzrGFnUk_qnc1eEmfiaNRd4_grkhpfQH_46fa8/edit?usp=share_link"",""ฉะเชิงเทรา!J542"")+IMPORTRANGE(""https://docs.google.com/spreadsheets/d/1_Zwps30dlVa-pZFsorjVf1Pil6WXwzCsJU0U"&amp;"2whO3NI/edit?usp=share_link"",""ชลบุรี!J542"")+IMPORTRANGE(""https://docs.google.com/spreadsheets/d/1xAsT4sUbBlom7l0acStESh_15nvjZcXjZM7fK5uZSq8/edit?usp=share_link"",""ชัยนาท!J542"")+IMPORTRANGE(""https://docs.google.com/spreadsheets/d/1vWPVBOAaZ6mHSI8yf"&amp;"95DNqHwTJ1cpeFsvqt6cxV34QA/edit?usp=share_link"",""ตราด!J542"")+IMPORTRANGE(""https://docs.google.com/spreadsheets/d/1phaeSb9lTGgzDpbvVqI9hfmOQQzUom07-HEvpbARzEg/edit?usp=share_link"",""นครนายก!J542"")+IMPORTRANGE(""https://docs.google.com/spreadsheets/d/"&amp;"1tpwhWwkqkBeiSWCcfB5f2fbwPRbM9hHOEDSDHpl2MIc/edit?usp=share_link"",""นครปฐม!J542"")+IMPORTRANGE(""https://docs.google.com/spreadsheets/d/1fJJCVBkBnhriyv0Cp5ZFMr0I_yrfdEITNpb4zILJgUQ/edit?usp=share_link"",""ปทุมธานี!J542"")+IMPORTRANGE(""https://docs.googl"&amp;"e.com/spreadsheets/d/1W5Jj_S0gYw6wSO7QcMI02YgyOBDKYgmm0NSUk-AQEac/edit?usp=share_link"",""ประจวบคีรีขันธ์!J542"")+IMPORTRANGE(""https://docs.google.com/spreadsheets/d/1nYxRXgnCfTXtqUY1otYuTlnrzE0Tn-Y0YRsW5pkRVqo/edit?usp=share_link"",""ปราจีนบุรี!J542"")+"&amp;"IMPORTRANGE(""https://docs.google.com/spreadsheets/d/1nNHCLO8ZAXOMfQvxux7cf_hrzPAh8FAvaHq_ClKbZNo/edit?usp=share_link"",""พระนครศรีอยุธยา!J542"")+IMPORTRANGE(""https://docs.google.com/spreadsheets/d/1CdNicvf3i6yt4tJlCePe3V1Va76wYqW0QzMzTsaGRrA/edit?usp=sh"&amp;"are_link"",""เพชรบุรี!J542"")+IMPORTRANGE(""https://docs.google.com/spreadsheets/d/1XiF77UIVHV0Kjc6xbXuOuJ10WgJYxd4p_22ngKVV5oM/edit?usp=share_link"",""ระยอง!J542"")+IMPORTRANGE(""https://docs.google.com/spreadsheets/d/1qU-W_9MCQD1pgIVXGEOjCFo9QqlmJywueby"&amp;"GgaN92r8/edit?usp=share_link"",""ราชบุรี!J542"")+IMPORTRANGE(""https://docs.google.com/spreadsheets/d/1xYFIxIM_CspAP5Q-5Zx_V0T_Ut3cjryrjd2hss28vGk/edit?usp=share_link"",""ลพบุรี!J542"")+IMPORTRANGE(""https://docs.google.com/spreadsheets/d/11s9m3tKsCBdPWq6"&amp;"syhZm27eBGbKneDLZc75co106bio/edit?usp=share_link"",""สระแก้ว!J542"")+IMPORTRANGE(""https://docs.google.com/spreadsheets/d/1Nn1EvsFPtXldgpgVb3Rcng2K2cls68LFQsBh2FyW0Bg/edit?usp=share_link"",""สระบุรี!J542"")+IMPORTRANGE(""https://docs.google.com/spreadshee"&amp;"ts/d/149xufxukrnEciK3WPbNpHwUK8BKEJxp3UcBG3Al6dA4/edit?usp=share_link"",""สิงห์บุรี!J542"")+IMPORTRANGE(""https://docs.google.com/spreadsheets/d/132g-zJpz2uMKimp17uOIx8A7o3w1Z25zwJyXnwsB56c/edit?usp=share_link"",""สุพรรณบุรี!J542"")+IMPORTRANGE(""https://"&amp;"docs.google.com/spreadsheets/d/12Q_U0nVnFdxDFwa0pej9xvx8ZvLC9Dpi_vRro_aiG5g/edit?usp=share_link"",""อ่างทอง!J542"")
"),0)</f>
        <v>0</v>
      </c>
      <c r="K542" s="38">
        <f t="shared" ca="1" si="270"/>
        <v>0</v>
      </c>
      <c r="L542" s="38"/>
      <c r="M542" s="38"/>
      <c r="N542" s="38"/>
      <c r="O542" s="38"/>
      <c r="P542" s="38"/>
      <c r="Q542" s="675"/>
      <c r="R542" s="675"/>
      <c r="S542" s="675"/>
      <c r="T542" s="675"/>
      <c r="U542" s="675"/>
      <c r="V542" s="675"/>
      <c r="W542" s="675"/>
      <c r="X542" s="675"/>
      <c r="Y542" s="675"/>
      <c r="Z542" s="675"/>
    </row>
    <row r="543" spans="1:26" ht="20.25" customHeight="1">
      <c r="A543" s="657">
        <v>6</v>
      </c>
      <c r="B543" s="678" t="s">
        <v>232</v>
      </c>
      <c r="C543" s="660"/>
      <c r="D543" s="660"/>
      <c r="E543" s="660"/>
      <c r="F543" s="660"/>
      <c r="G543" s="661"/>
      <c r="H543" s="679" t="s">
        <v>46</v>
      </c>
      <c r="I543" s="680">
        <f t="shared" ref="I543:J543" ca="1" si="271">I559</f>
        <v>249435</v>
      </c>
      <c r="J543" s="680">
        <f t="shared" ca="1" si="271"/>
        <v>0</v>
      </c>
      <c r="K543" s="681">
        <f t="shared" ca="1" si="270"/>
        <v>0</v>
      </c>
      <c r="L543" s="663"/>
      <c r="M543" s="663"/>
      <c r="N543" s="663"/>
      <c r="O543" s="663"/>
      <c r="P543" s="663"/>
      <c r="Q543" s="571"/>
      <c r="R543" s="571"/>
      <c r="S543" s="571"/>
      <c r="T543" s="571"/>
      <c r="U543" s="571"/>
      <c r="V543" s="571"/>
      <c r="W543" s="571"/>
      <c r="X543" s="571"/>
      <c r="Y543" s="571"/>
      <c r="Z543" s="571"/>
    </row>
    <row r="544" spans="1:26" ht="20.25" customHeight="1">
      <c r="A544" s="682"/>
      <c r="B544" s="683"/>
      <c r="C544" s="683" t="s">
        <v>16</v>
      </c>
      <c r="D544" s="865" t="s">
        <v>17</v>
      </c>
      <c r="E544" s="862"/>
      <c r="F544" s="862"/>
      <c r="G544" s="684"/>
      <c r="H544" s="274" t="s">
        <v>12</v>
      </c>
      <c r="I544" s="153"/>
      <c r="J544" s="153"/>
      <c r="K544" s="154"/>
      <c r="L544" s="155">
        <f t="shared" ref="L544:N544" ca="1" si="272">L545+L546</f>
        <v>4859811</v>
      </c>
      <c r="M544" s="155">
        <f t="shared" si="272"/>
        <v>0</v>
      </c>
      <c r="N544" s="155">
        <f t="shared" ca="1" si="272"/>
        <v>497116.28999999899</v>
      </c>
      <c r="O544" s="155">
        <f t="shared" ref="O544:O549" ca="1" si="273">IF(L544&gt;0,N544*100/L544,0)</f>
        <v>10.229128046337584</v>
      </c>
      <c r="P544" s="155">
        <f t="shared" ref="P544:P549" si="274">IF(M544&gt;0,N544*100/M544,0)</f>
        <v>0</v>
      </c>
      <c r="Q544" s="571"/>
      <c r="R544" s="571"/>
      <c r="S544" s="571"/>
      <c r="T544" s="571"/>
      <c r="U544" s="571"/>
      <c r="V544" s="571"/>
      <c r="W544" s="571"/>
      <c r="X544" s="571"/>
      <c r="Y544" s="571"/>
      <c r="Z544" s="571"/>
    </row>
    <row r="545" spans="1:26" ht="20.25" hidden="1" customHeight="1">
      <c r="A545" s="592"/>
      <c r="B545" s="593"/>
      <c r="C545" s="593"/>
      <c r="D545" s="593"/>
      <c r="E545" s="595" t="s">
        <v>184</v>
      </c>
      <c r="F545" s="593"/>
      <c r="G545" s="596"/>
      <c r="H545" s="165" t="s">
        <v>12</v>
      </c>
      <c r="I545" s="44"/>
      <c r="J545" s="44"/>
      <c r="K545" s="45"/>
      <c r="L545" s="45">
        <f t="shared" ref="L545:L546" si="275">L548+L556</f>
        <v>0</v>
      </c>
      <c r="M545" s="45">
        <f t="shared" ref="M545:N545" si="276">M548+M555</f>
        <v>0</v>
      </c>
      <c r="N545" s="45">
        <f t="shared" si="276"/>
        <v>0</v>
      </c>
      <c r="O545" s="45">
        <f t="shared" si="273"/>
        <v>0</v>
      </c>
      <c r="P545" s="45">
        <f t="shared" si="274"/>
        <v>0</v>
      </c>
      <c r="Q545" s="597"/>
      <c r="R545" s="597"/>
      <c r="S545" s="597"/>
      <c r="T545" s="597"/>
      <c r="U545" s="597"/>
      <c r="V545" s="597"/>
      <c r="W545" s="597"/>
      <c r="X545" s="597"/>
      <c r="Y545" s="597"/>
      <c r="Z545" s="597"/>
    </row>
    <row r="546" spans="1:26" ht="20.25" hidden="1" customHeight="1">
      <c r="A546" s="592"/>
      <c r="B546" s="598"/>
      <c r="C546" s="593"/>
      <c r="D546" s="593"/>
      <c r="E546" s="595" t="s">
        <v>185</v>
      </c>
      <c r="F546" s="593"/>
      <c r="G546" s="596"/>
      <c r="H546" s="165" t="s">
        <v>12</v>
      </c>
      <c r="I546" s="44"/>
      <c r="J546" s="44"/>
      <c r="K546" s="45"/>
      <c r="L546" s="45">
        <f t="shared" ca="1" si="275"/>
        <v>4859811</v>
      </c>
      <c r="M546" s="45">
        <f t="shared" ref="M546:N546" si="277">M549+M556</f>
        <v>0</v>
      </c>
      <c r="N546" s="45">
        <f t="shared" ca="1" si="277"/>
        <v>497116.28999999899</v>
      </c>
      <c r="O546" s="45">
        <f t="shared" ca="1" si="273"/>
        <v>10.229128046337584</v>
      </c>
      <c r="P546" s="45">
        <f t="shared" si="274"/>
        <v>0</v>
      </c>
      <c r="Q546" s="597"/>
      <c r="R546" s="597"/>
      <c r="S546" s="597"/>
      <c r="T546" s="597"/>
      <c r="U546" s="597"/>
      <c r="V546" s="597"/>
      <c r="W546" s="597"/>
      <c r="X546" s="597"/>
      <c r="Y546" s="597"/>
      <c r="Z546" s="597"/>
    </row>
    <row r="547" spans="1:26" ht="20.25" customHeight="1">
      <c r="A547" s="590"/>
      <c r="B547" s="568"/>
      <c r="C547" s="569"/>
      <c r="D547" s="599" t="s">
        <v>20</v>
      </c>
      <c r="E547" s="569"/>
      <c r="F547" s="569"/>
      <c r="G547" s="189"/>
      <c r="H547" s="161" t="s">
        <v>12</v>
      </c>
      <c r="I547" s="162"/>
      <c r="J547" s="162"/>
      <c r="K547" s="163"/>
      <c r="L547" s="38">
        <f t="shared" ref="L547:N547" ca="1" si="278">L548+L549</f>
        <v>4859811</v>
      </c>
      <c r="M547" s="38">
        <f t="shared" si="278"/>
        <v>0</v>
      </c>
      <c r="N547" s="38">
        <f t="shared" ca="1" si="278"/>
        <v>497116.28999999899</v>
      </c>
      <c r="O547" s="38">
        <f t="shared" ca="1" si="273"/>
        <v>10.229128046337584</v>
      </c>
      <c r="P547" s="38">
        <f t="shared" si="274"/>
        <v>0</v>
      </c>
      <c r="Q547" s="571"/>
      <c r="R547" s="571"/>
      <c r="S547" s="571"/>
      <c r="T547" s="571"/>
      <c r="U547" s="571"/>
      <c r="V547" s="571"/>
      <c r="W547" s="571"/>
      <c r="X547" s="571"/>
      <c r="Y547" s="571"/>
      <c r="Z547" s="571"/>
    </row>
    <row r="548" spans="1:26" ht="20.25" hidden="1" customHeight="1">
      <c r="A548" s="592"/>
      <c r="B548" s="598"/>
      <c r="C548" s="593"/>
      <c r="D548" s="594"/>
      <c r="E548" s="595" t="s">
        <v>184</v>
      </c>
      <c r="F548" s="593"/>
      <c r="G548" s="596"/>
      <c r="H548" s="165" t="s">
        <v>12</v>
      </c>
      <c r="I548" s="44"/>
      <c r="J548" s="44"/>
      <c r="K548" s="45"/>
      <c r="L548" s="93">
        <v>0</v>
      </c>
      <c r="M548" s="93">
        <v>0</v>
      </c>
      <c r="N548" s="93">
        <v>0</v>
      </c>
      <c r="O548" s="45">
        <f t="shared" si="273"/>
        <v>0</v>
      </c>
      <c r="P548" s="45">
        <f t="shared" si="274"/>
        <v>0</v>
      </c>
      <c r="Q548" s="597"/>
      <c r="R548" s="597"/>
      <c r="S548" s="597"/>
      <c r="T548" s="597"/>
      <c r="U548" s="597"/>
      <c r="V548" s="597"/>
      <c r="W548" s="597"/>
      <c r="X548" s="597"/>
      <c r="Y548" s="597"/>
      <c r="Z548" s="597"/>
    </row>
    <row r="549" spans="1:26" ht="20.25" hidden="1" customHeight="1">
      <c r="A549" s="592"/>
      <c r="B549" s="598"/>
      <c r="C549" s="593"/>
      <c r="D549" s="594"/>
      <c r="E549" s="595" t="s">
        <v>185</v>
      </c>
      <c r="F549" s="593"/>
      <c r="G549" s="596"/>
      <c r="H549" s="165" t="s">
        <v>12</v>
      </c>
      <c r="I549" s="44"/>
      <c r="J549" s="44"/>
      <c r="K549" s="45"/>
      <c r="L549" s="45">
        <f ca="1">IFERROR(__xludf.DUMMYFUNCTION("IMPORTRANGE(""https://docs.google.com/spreadsheets/d/1hKO5uv94SSRZWOvrh72HRcpyoEQF9TsE_Cvxl77XNU4/edit?usp=share_link"",""กาญจนบุรี!L549"")+IMPORTRANGE(""https://docs.google.com/spreadsheets/d/1njBaP_xXd-Uotvo2D9zb01TTCFkLJLDK97Tk1l9Qux0/edit?usp=share_li"&amp;"nk"",""จันทบุรี!L549"")+IMPORTRANGE(""https://docs.google.com/spreadsheets/d/14xp6qUzrGFnUk_qnc1eEmfiaNRd4_grkhpfQH_46fa8/edit?usp=share_link"",""ฉะเชิงเทรา!L549"")+IMPORTRANGE(""https://docs.google.com/spreadsheets/d/1_Zwps30dlVa-pZFsorjVf1Pil6WXwzCsJU0U"&amp;"2whO3NI/edit?usp=share_link"",""ชลบุรี!L549"")+IMPORTRANGE(""https://docs.google.com/spreadsheets/d/1xAsT4sUbBlom7l0acStESh_15nvjZcXjZM7fK5uZSq8/edit?usp=share_link"",""ชัยนาท!L549"")+IMPORTRANGE(""https://docs.google.com/spreadsheets/d/1vWPVBOAaZ6mHSI8yf"&amp;"95DNqHwTJ1cpeFsvqt6cxV34QA/edit?usp=share_link"",""ตราด!L549"")+IMPORTRANGE(""https://docs.google.com/spreadsheets/d/1phaeSb9lTGgzDpbvVqI9hfmOQQzUom07-HEvpbARzEg/edit?usp=share_link"",""นครนายก!L549"")+IMPORTRANGE(""https://docs.google.com/spreadsheets/d/"&amp;"1tpwhWwkqkBeiSWCcfB5f2fbwPRbM9hHOEDSDHpl2MIc/edit?usp=share_link"",""นครปฐม!L549"")+IMPORTRANGE(""https://docs.google.com/spreadsheets/d/1fJJCVBkBnhriyv0Cp5ZFMr0I_yrfdEITNpb4zILJgUQ/edit?usp=share_link"",""ปทุมธานี!L549"")+IMPORTRANGE(""https://docs.googl"&amp;"e.com/spreadsheets/d/1W5Jj_S0gYw6wSO7QcMI02YgyOBDKYgmm0NSUk-AQEac/edit?usp=share_link"",""ประจวบคีรีขันธ์!L549"")+IMPORTRANGE(""https://docs.google.com/spreadsheets/d/1nYxRXgnCfTXtqUY1otYuTlnrzE0Tn-Y0YRsW5pkRVqo/edit?usp=share_link"",""ปราจีนบุรี!L549"")+"&amp;"IMPORTRANGE(""https://docs.google.com/spreadsheets/d/1nNHCLO8ZAXOMfQvxux7cf_hrzPAh8FAvaHq_ClKbZNo/edit?usp=share_link"",""พระนครศรีอยุธยา!L549"")+IMPORTRANGE(""https://docs.google.com/spreadsheets/d/1CdNicvf3i6yt4tJlCePe3V1Va76wYqW0QzMzTsaGRrA/edit?usp=sh"&amp;"are_link"",""เพชรบุรี!L549"")+IMPORTRANGE(""https://docs.google.com/spreadsheets/d/1XiF77UIVHV0Kjc6xbXuOuJ10WgJYxd4p_22ngKVV5oM/edit?usp=share_link"",""ระยอง!L549"")+IMPORTRANGE(""https://docs.google.com/spreadsheets/d/1qU-W_9MCQD1pgIVXGEOjCFo9QqlmJywueby"&amp;"GgaN92r8/edit?usp=share_link"",""ราชบุรี!L549"")+IMPORTRANGE(""https://docs.google.com/spreadsheets/d/1xYFIxIM_CspAP5Q-5Zx_V0T_Ut3cjryrjd2hss28vGk/edit?usp=share_link"",""ลพบุรี!L549"")+IMPORTRANGE(""https://docs.google.com/spreadsheets/d/11s9m3tKsCBdPWq6"&amp;"syhZm27eBGbKneDLZc75co106bio/edit?usp=share_link"",""สระแก้ว!L549"")+IMPORTRANGE(""https://docs.google.com/spreadsheets/d/1Nn1EvsFPtXldgpgVb3Rcng2K2cls68LFQsBh2FyW0Bg/edit?usp=share_link"",""สระบุรี!L549"")+IMPORTRANGE(""https://docs.google.com/spreadshee"&amp;"ts/d/149xufxukrnEciK3WPbNpHwUK8BKEJxp3UcBG3Al6dA4/edit?usp=share_link"",""สิงห์บุรี!L549"")+IMPORTRANGE(""https://docs.google.com/spreadsheets/d/132g-zJpz2uMKimp17uOIx8A7o3w1Z25zwJyXnwsB56c/edit?usp=share_link"",""สุพรรณบุรี!L549"")+IMPORTRANGE(""https://"&amp;"docs.google.com/spreadsheets/d/12Q_U0nVnFdxDFwa0pej9xvx8ZvLC9Dpi_vRro_aiG5g/edit?usp=share_link"",""อ่างทอง!L549"")
"),4859811)</f>
        <v>4859811</v>
      </c>
      <c r="M549" s="93">
        <v>0</v>
      </c>
      <c r="N549" s="45">
        <f ca="1">N550+N551+N552+N553+N554</f>
        <v>497116.28999999899</v>
      </c>
      <c r="O549" s="45">
        <f t="shared" ca="1" si="273"/>
        <v>10.229128046337584</v>
      </c>
      <c r="P549" s="45">
        <f t="shared" si="274"/>
        <v>0</v>
      </c>
      <c r="Q549" s="597"/>
      <c r="R549" s="597"/>
      <c r="S549" s="597"/>
      <c r="T549" s="597"/>
      <c r="U549" s="597"/>
      <c r="V549" s="597"/>
      <c r="W549" s="597"/>
      <c r="X549" s="597"/>
      <c r="Y549" s="597"/>
      <c r="Z549" s="597"/>
    </row>
    <row r="550" spans="1:26" ht="20.25" customHeight="1">
      <c r="A550" s="567"/>
      <c r="B550" s="568"/>
      <c r="C550" s="569"/>
      <c r="D550" s="569"/>
      <c r="E550" s="569"/>
      <c r="F550" s="570" t="s">
        <v>186</v>
      </c>
      <c r="G550" s="189"/>
      <c r="H550" s="161" t="s">
        <v>12</v>
      </c>
      <c r="I550" s="37"/>
      <c r="J550" s="37"/>
      <c r="K550" s="38"/>
      <c r="L550" s="38"/>
      <c r="M550" s="38"/>
      <c r="N550" s="283">
        <f ca="1">IFERROR(__xludf.DUMMYFUNCTION("IMPORTRANGE(""https://docs.google.com/spreadsheets/d/1hKO5uv94SSRZWOvrh72HRcpyoEQF9TsE_Cvxl77XNU4/edit?usp=share_link"",""กาญจนบุรี!n550"")+IMPORTRANGE(""https://docs.google.com/spreadsheets/d/1njBaP_xXd-Uotvo2D9zb01TTCFkLJLDK97Tk1l9Qux0/edit?usp=share_li"&amp;"nk"",""จันทบุรี!n550"")+IMPORTRANGE(""https://docs.google.com/spreadsheets/d/14xp6qUzrGFnUk_qnc1eEmfiaNRd4_grkhpfQH_46fa8/edit?usp=share_link"",""ฉะเชิงเทรา!n550"")+IMPORTRANGE(""https://docs.google.com/spreadsheets/d/1_Zwps30dlVa-pZFsorjVf1Pil6WXwzCsJU0U"&amp;"2whO3NI/edit?usp=share_link"",""ชลบุรี!n550"")+IMPORTRANGE(""https://docs.google.com/spreadsheets/d/1xAsT4sUbBlom7l0acStESh_15nvjZcXjZM7fK5uZSq8/edit?usp=share_link"",""ชัยนาท!n550"")+IMPORTRANGE(""https://docs.google.com/spreadsheets/d/1vWPVBOAaZ6mHSI8yf"&amp;"95DNqHwTJ1cpeFsvqt6cxV34QA/edit?usp=share_link"",""ตราด!n550"")+IMPORTRANGE(""https://docs.google.com/spreadsheets/d/1phaeSb9lTGgzDpbvVqI9hfmOQQzUom07-HEvpbARzEg/edit?usp=share_link"",""นครนายก!n550"")+IMPORTRANGE(""https://docs.google.com/spreadsheets/d/"&amp;"1tpwhWwkqkBeiSWCcfB5f2fbwPRbM9hHOEDSDHpl2MIc/edit?usp=share_link"",""นครปฐม!n550"")+IMPORTRANGE(""https://docs.google.com/spreadsheets/d/1fJJCVBkBnhriyv0Cp5ZFMr0I_yrfdEITNpb4zILJgUQ/edit?usp=share_link"",""ปทุมธานี!n550"")+IMPORTRANGE(""https://docs.googl"&amp;"e.com/spreadsheets/d/1W5Jj_S0gYw6wSO7QcMI02YgyOBDKYgmm0NSUk-AQEac/edit?usp=share_link"",""ประจวบคีรีขันธ์!n550"")+IMPORTRANGE(""https://docs.google.com/spreadsheets/d/1nYxRXgnCfTXtqUY1otYuTlnrzE0Tn-Y0YRsW5pkRVqo/edit?usp=share_link"",""ปราจีนบุรี!n550"")+"&amp;"IMPORTRANGE(""https://docs.google.com/spreadsheets/d/1nNHCLO8ZAXOMfQvxux7cf_hrzPAh8FAvaHq_ClKbZNo/edit?usp=share_link"",""พระนครศรีอยุธยา!n550"")+IMPORTRANGE(""https://docs.google.com/spreadsheets/d/1CdNicvf3i6yt4tJlCePe3V1Va76wYqW0QzMzTsaGRrA/edit?usp=sh"&amp;"are_link"",""เพชรบุรี!n550"")+IMPORTRANGE(""https://docs.google.com/spreadsheets/d/1XiF77UIVHV0Kjc6xbXuOuJ10WgJYxd4p_22ngKVV5oM/edit?usp=share_link"",""ระยอง!n550"")+IMPORTRANGE(""https://docs.google.com/spreadsheets/d/1qU-W_9MCQD1pgIVXGEOjCFo9QqlmJywueby"&amp;"GgaN92r8/edit?usp=share_link"",""ราชบุรี!n550"")+IMPORTRANGE(""https://docs.google.com/spreadsheets/d/1xYFIxIM_CspAP5Q-5Zx_V0T_Ut3cjryrjd2hss28vGk/edit?usp=share_link"",""ลพบุรี!n550"")+IMPORTRANGE(""https://docs.google.com/spreadsheets/d/11s9m3tKsCBdPWq6"&amp;"syhZm27eBGbKneDLZc75co106bio/edit?usp=share_link"",""สระแก้ว!n550"")+IMPORTRANGE(""https://docs.google.com/spreadsheets/d/1Nn1EvsFPtXldgpgVb3Rcng2K2cls68LFQsBh2FyW0Bg/edit?usp=share_link"",""สระบุรี!n550"")+IMPORTRANGE(""https://docs.google.com/spreadshee"&amp;"ts/d/149xufxukrnEciK3WPbNpHwUK8BKEJxp3UcBG3Al6dA4/edit?usp=share_link"",""สิงห์บุรี!n550"")+IMPORTRANGE(""https://docs.google.com/spreadsheets/d/132g-zJpz2uMKimp17uOIx8A7o3w1Z25zwJyXnwsB56c/edit?usp=share_link"",""สุพรรณบุรี!n550"")+IMPORTRANGE(""https://"&amp;"docs.google.com/spreadsheets/d/12Q_U0nVnFdxDFwa0pej9xvx8ZvLC9Dpi_vRro_aiG5g/edit?usp=share_link"",""อ่างทอง!n550"")
"),0)</f>
        <v>0</v>
      </c>
      <c r="O550" s="38"/>
      <c r="P550" s="38"/>
      <c r="Q550" s="571"/>
      <c r="R550" s="571"/>
      <c r="S550" s="571"/>
      <c r="T550" s="571"/>
      <c r="U550" s="571"/>
      <c r="V550" s="571"/>
      <c r="W550" s="571"/>
      <c r="X550" s="571"/>
      <c r="Y550" s="571"/>
      <c r="Z550" s="571"/>
    </row>
    <row r="551" spans="1:26" ht="20.25" customHeight="1">
      <c r="A551" s="567"/>
      <c r="B551" s="568"/>
      <c r="C551" s="568"/>
      <c r="D551" s="568"/>
      <c r="E551" s="569"/>
      <c r="F551" s="570" t="s">
        <v>187</v>
      </c>
      <c r="G551" s="189"/>
      <c r="H551" s="161" t="s">
        <v>12</v>
      </c>
      <c r="I551" s="37"/>
      <c r="J551" s="37"/>
      <c r="K551" s="38"/>
      <c r="L551" s="38"/>
      <c r="M551" s="38"/>
      <c r="N551" s="283">
        <f ca="1">IFERROR(__xludf.DUMMYFUNCTION("IMPORTRANGE(""https://docs.google.com/spreadsheets/d/1hKO5uv94SSRZWOvrh72HRcpyoEQF9TsE_Cvxl77XNU4/edit?usp=share_link"",""กาญจนบุรี!n551"")+IMPORTRANGE(""https://docs.google.com/spreadsheets/d/1njBaP_xXd-Uotvo2D9zb01TTCFkLJLDK97Tk1l9Qux0/edit?usp=share_li"&amp;"nk"",""จันทบุรี!n551"")+IMPORTRANGE(""https://docs.google.com/spreadsheets/d/14xp6qUzrGFnUk_qnc1eEmfiaNRd4_grkhpfQH_46fa8/edit?usp=share_link"",""ฉะเชิงเทรา!n551"")+IMPORTRANGE(""https://docs.google.com/spreadsheets/d/1_Zwps30dlVa-pZFsorjVf1Pil6WXwzCsJU0U"&amp;"2whO3NI/edit?usp=share_link"",""ชลบุรี!n551"")+IMPORTRANGE(""https://docs.google.com/spreadsheets/d/1xAsT4sUbBlom7l0acStESh_15nvjZcXjZM7fK5uZSq8/edit?usp=share_link"",""ชัยนาท!n551"")+IMPORTRANGE(""https://docs.google.com/spreadsheets/d/1vWPVBOAaZ6mHSI8yf"&amp;"95DNqHwTJ1cpeFsvqt6cxV34QA/edit?usp=share_link"",""ตราด!n551"")+IMPORTRANGE(""https://docs.google.com/spreadsheets/d/1phaeSb9lTGgzDpbvVqI9hfmOQQzUom07-HEvpbARzEg/edit?usp=share_link"",""นครนายก!n551"")+IMPORTRANGE(""https://docs.google.com/spreadsheets/d/"&amp;"1tpwhWwkqkBeiSWCcfB5f2fbwPRbM9hHOEDSDHpl2MIc/edit?usp=share_link"",""นครปฐม!n551"")+IMPORTRANGE(""https://docs.google.com/spreadsheets/d/1fJJCVBkBnhriyv0Cp5ZFMr0I_yrfdEITNpb4zILJgUQ/edit?usp=share_link"",""ปทุมธานี!n551"")+IMPORTRANGE(""https://docs.googl"&amp;"e.com/spreadsheets/d/1W5Jj_S0gYw6wSO7QcMI02YgyOBDKYgmm0NSUk-AQEac/edit?usp=share_link"",""ประจวบคีรีขันธ์!n551"")+IMPORTRANGE(""https://docs.google.com/spreadsheets/d/1nYxRXgnCfTXtqUY1otYuTlnrzE0Tn-Y0YRsW5pkRVqo/edit?usp=share_link"",""ปราจีนบุรี!n551"")+"&amp;"IMPORTRANGE(""https://docs.google.com/spreadsheets/d/1nNHCLO8ZAXOMfQvxux7cf_hrzPAh8FAvaHq_ClKbZNo/edit?usp=share_link"",""พระนครศรีอยุธยา!n551"")+IMPORTRANGE(""https://docs.google.com/spreadsheets/d/1CdNicvf3i6yt4tJlCePe3V1Va76wYqW0QzMzTsaGRrA/edit?usp=sh"&amp;"are_link"",""เพชรบุรี!n551"")+IMPORTRANGE(""https://docs.google.com/spreadsheets/d/1XiF77UIVHV0Kjc6xbXuOuJ10WgJYxd4p_22ngKVV5oM/edit?usp=share_link"",""ระยอง!n551"")+IMPORTRANGE(""https://docs.google.com/spreadsheets/d/1qU-W_9MCQD1pgIVXGEOjCFo9QqlmJywueby"&amp;"GgaN92r8/edit?usp=share_link"",""ราชบุรี!n551"")+IMPORTRANGE(""https://docs.google.com/spreadsheets/d/1xYFIxIM_CspAP5Q-5Zx_V0T_Ut3cjryrjd2hss28vGk/edit?usp=share_link"",""ลพบุรี!n551"")+IMPORTRANGE(""https://docs.google.com/spreadsheets/d/11s9m3tKsCBdPWq6"&amp;"syhZm27eBGbKneDLZc75co106bio/edit?usp=share_link"",""สระแก้ว!n551"")+IMPORTRANGE(""https://docs.google.com/spreadsheets/d/1Nn1EvsFPtXldgpgVb3Rcng2K2cls68LFQsBh2FyW0Bg/edit?usp=share_link"",""สระบุรี!n551"")+IMPORTRANGE(""https://docs.google.com/spreadshee"&amp;"ts/d/149xufxukrnEciK3WPbNpHwUK8BKEJxp3UcBG3Al6dA4/edit?usp=share_link"",""สิงห์บุรี!n551"")+IMPORTRANGE(""https://docs.google.com/spreadsheets/d/132g-zJpz2uMKimp17uOIx8A7o3w1Z25zwJyXnwsB56c/edit?usp=share_link"",""สุพรรณบุรี!n551"")+IMPORTRANGE(""https://"&amp;"docs.google.com/spreadsheets/d/12Q_U0nVnFdxDFwa0pej9xvx8ZvLC9Dpi_vRro_aiG5g/edit?usp=share_link"",""อ่างทอง!n551"")
"),0)</f>
        <v>0</v>
      </c>
      <c r="O551" s="38"/>
      <c r="P551" s="38"/>
      <c r="Q551" s="571"/>
      <c r="R551" s="571"/>
      <c r="S551" s="571"/>
      <c r="T551" s="571"/>
      <c r="U551" s="571"/>
      <c r="V551" s="571"/>
      <c r="W551" s="571"/>
      <c r="X551" s="571"/>
      <c r="Y551" s="571"/>
      <c r="Z551" s="571"/>
    </row>
    <row r="552" spans="1:26" ht="20.25" customHeight="1">
      <c r="A552" s="567"/>
      <c r="B552" s="568"/>
      <c r="C552" s="569"/>
      <c r="D552" s="569"/>
      <c r="E552" s="569"/>
      <c r="F552" s="570" t="s">
        <v>188</v>
      </c>
      <c r="G552" s="189"/>
      <c r="H552" s="161" t="s">
        <v>12</v>
      </c>
      <c r="I552" s="37"/>
      <c r="J552" s="37"/>
      <c r="K552" s="38"/>
      <c r="L552" s="38"/>
      <c r="M552" s="38"/>
      <c r="N552" s="283">
        <f ca="1">IFERROR(__xludf.DUMMYFUNCTION("IMPORTRANGE(""https://docs.google.com/spreadsheets/d/1hKO5uv94SSRZWOvrh72HRcpyoEQF9TsE_Cvxl77XNU4/edit?usp=share_link"",""กาญจนบุรี!n552"")+IMPORTRANGE(""https://docs.google.com/spreadsheets/d/1njBaP_xXd-Uotvo2D9zb01TTCFkLJLDK97Tk1l9Qux0/edit?usp=share_li"&amp;"nk"",""จันทบุรี!n552"")+IMPORTRANGE(""https://docs.google.com/spreadsheets/d/14xp6qUzrGFnUk_qnc1eEmfiaNRd4_grkhpfQH_46fa8/edit?usp=share_link"",""ฉะเชิงเทรา!n552"")+IMPORTRANGE(""https://docs.google.com/spreadsheets/d/1_Zwps30dlVa-pZFsorjVf1Pil6WXwzCsJU0U"&amp;"2whO3NI/edit?usp=share_link"",""ชลบุรี!n552"")+IMPORTRANGE(""https://docs.google.com/spreadsheets/d/1xAsT4sUbBlom7l0acStESh_15nvjZcXjZM7fK5uZSq8/edit?usp=share_link"",""ชัยนาท!n552"")+IMPORTRANGE(""https://docs.google.com/spreadsheets/d/1vWPVBOAaZ6mHSI8yf"&amp;"95DNqHwTJ1cpeFsvqt6cxV34QA/edit?usp=share_link"",""ตราด!n552"")+IMPORTRANGE(""https://docs.google.com/spreadsheets/d/1phaeSb9lTGgzDpbvVqI9hfmOQQzUom07-HEvpbARzEg/edit?usp=share_link"",""นครนายก!n552"")+IMPORTRANGE(""https://docs.google.com/spreadsheets/d/"&amp;"1tpwhWwkqkBeiSWCcfB5f2fbwPRbM9hHOEDSDHpl2MIc/edit?usp=share_link"",""นครปฐม!n552"")+IMPORTRANGE(""https://docs.google.com/spreadsheets/d/1fJJCVBkBnhriyv0Cp5ZFMr0I_yrfdEITNpb4zILJgUQ/edit?usp=share_link"",""ปทุมธานี!n552"")+IMPORTRANGE(""https://docs.googl"&amp;"e.com/spreadsheets/d/1W5Jj_S0gYw6wSO7QcMI02YgyOBDKYgmm0NSUk-AQEac/edit?usp=share_link"",""ประจวบคีรีขันธ์!n552"")+IMPORTRANGE(""https://docs.google.com/spreadsheets/d/1nYxRXgnCfTXtqUY1otYuTlnrzE0Tn-Y0YRsW5pkRVqo/edit?usp=share_link"",""ปราจีนบุรี!n552"")+"&amp;"IMPORTRANGE(""https://docs.google.com/spreadsheets/d/1nNHCLO8ZAXOMfQvxux7cf_hrzPAh8FAvaHq_ClKbZNo/edit?usp=share_link"",""พระนครศรีอยุธยา!n552"")+IMPORTRANGE(""https://docs.google.com/spreadsheets/d/1CdNicvf3i6yt4tJlCePe3V1Va76wYqW0QzMzTsaGRrA/edit?usp=sh"&amp;"are_link"",""เพชรบุรี!n552"")+IMPORTRANGE(""https://docs.google.com/spreadsheets/d/1XiF77UIVHV0Kjc6xbXuOuJ10WgJYxd4p_22ngKVV5oM/edit?usp=share_link"",""ระยอง!n552"")+IMPORTRANGE(""https://docs.google.com/spreadsheets/d/1qU-W_9MCQD1pgIVXGEOjCFo9QqlmJywueby"&amp;"GgaN92r8/edit?usp=share_link"",""ราชบุรี!n552"")+IMPORTRANGE(""https://docs.google.com/spreadsheets/d/1xYFIxIM_CspAP5Q-5Zx_V0T_Ut3cjryrjd2hss28vGk/edit?usp=share_link"",""ลพบุรี!n552"")+IMPORTRANGE(""https://docs.google.com/spreadsheets/d/11s9m3tKsCBdPWq6"&amp;"syhZm27eBGbKneDLZc75co106bio/edit?usp=share_link"",""สระแก้ว!n552"")+IMPORTRANGE(""https://docs.google.com/spreadsheets/d/1Nn1EvsFPtXldgpgVb3Rcng2K2cls68LFQsBh2FyW0Bg/edit?usp=share_link"",""สระบุรี!n552"")+IMPORTRANGE(""https://docs.google.com/spreadshee"&amp;"ts/d/149xufxukrnEciK3WPbNpHwUK8BKEJxp3UcBG3Al6dA4/edit?usp=share_link"",""สิงห์บุรี!n552"")+IMPORTRANGE(""https://docs.google.com/spreadsheets/d/132g-zJpz2uMKimp17uOIx8A7o3w1Z25zwJyXnwsB56c/edit?usp=share_link"",""สุพรรณบุรี!n552"")+IMPORTRANGE(""https://"&amp;"docs.google.com/spreadsheets/d/12Q_U0nVnFdxDFwa0pej9xvx8ZvLC9Dpi_vRro_aiG5g/edit?usp=share_link"",""อ่างทอง!n552"")
"),229232.909999999)</f>
        <v>229232.90999999901</v>
      </c>
      <c r="O552" s="38"/>
      <c r="P552" s="38"/>
      <c r="Q552" s="571"/>
      <c r="R552" s="571"/>
      <c r="S552" s="571"/>
      <c r="T552" s="571"/>
      <c r="U552" s="571"/>
      <c r="V552" s="571"/>
      <c r="W552" s="571"/>
      <c r="X552" s="571"/>
      <c r="Y552" s="571"/>
      <c r="Z552" s="571"/>
    </row>
    <row r="553" spans="1:26" ht="20.25" customHeight="1">
      <c r="A553" s="567"/>
      <c r="B553" s="568"/>
      <c r="C553" s="568"/>
      <c r="D553" s="568"/>
      <c r="E553" s="569"/>
      <c r="F553" s="570" t="s">
        <v>189</v>
      </c>
      <c r="G553" s="189"/>
      <c r="H553" s="161" t="s">
        <v>12</v>
      </c>
      <c r="I553" s="37"/>
      <c r="J553" s="37"/>
      <c r="K553" s="38"/>
      <c r="L553" s="38"/>
      <c r="M553" s="38"/>
      <c r="N553" s="283">
        <f ca="1">IFERROR(__xludf.DUMMYFUNCTION("IMPORTRANGE(""https://docs.google.com/spreadsheets/d/1hKO5uv94SSRZWOvrh72HRcpyoEQF9TsE_Cvxl77XNU4/edit?usp=share_link"",""กาญจนบุรี!n553"")+IMPORTRANGE(""https://docs.google.com/spreadsheets/d/1njBaP_xXd-Uotvo2D9zb01TTCFkLJLDK97Tk1l9Qux0/edit?usp=share_li"&amp;"nk"",""จันทบุรี!n553"")+IMPORTRANGE(""https://docs.google.com/spreadsheets/d/14xp6qUzrGFnUk_qnc1eEmfiaNRd4_grkhpfQH_46fa8/edit?usp=share_link"",""ฉะเชิงเทรา!n553"")+IMPORTRANGE(""https://docs.google.com/spreadsheets/d/1_Zwps30dlVa-pZFsorjVf1Pil6WXwzCsJU0U"&amp;"2whO3NI/edit?usp=share_link"",""ชลบุรี!n553"")+IMPORTRANGE(""https://docs.google.com/spreadsheets/d/1xAsT4sUbBlom7l0acStESh_15nvjZcXjZM7fK5uZSq8/edit?usp=share_link"",""ชัยนาท!n553"")+IMPORTRANGE(""https://docs.google.com/spreadsheets/d/1vWPVBOAaZ6mHSI8yf"&amp;"95DNqHwTJ1cpeFsvqt6cxV34QA/edit?usp=share_link"",""ตราด!n553"")+IMPORTRANGE(""https://docs.google.com/spreadsheets/d/1phaeSb9lTGgzDpbvVqI9hfmOQQzUom07-HEvpbARzEg/edit?usp=share_link"",""นครนายก!n553"")+IMPORTRANGE(""https://docs.google.com/spreadsheets/d/"&amp;"1tpwhWwkqkBeiSWCcfB5f2fbwPRbM9hHOEDSDHpl2MIc/edit?usp=share_link"",""นครปฐม!n553"")+IMPORTRANGE(""https://docs.google.com/spreadsheets/d/1fJJCVBkBnhriyv0Cp5ZFMr0I_yrfdEITNpb4zILJgUQ/edit?usp=share_link"",""ปทุมธานี!n553"")+IMPORTRANGE(""https://docs.googl"&amp;"e.com/spreadsheets/d/1W5Jj_S0gYw6wSO7QcMI02YgyOBDKYgmm0NSUk-AQEac/edit?usp=share_link"",""ประจวบคีรีขันธ์!n553"")+IMPORTRANGE(""https://docs.google.com/spreadsheets/d/1nYxRXgnCfTXtqUY1otYuTlnrzE0Tn-Y0YRsW5pkRVqo/edit?usp=share_link"",""ปราจีนบุรี!n553"")+"&amp;"IMPORTRANGE(""https://docs.google.com/spreadsheets/d/1nNHCLO8ZAXOMfQvxux7cf_hrzPAh8FAvaHq_ClKbZNo/edit?usp=share_link"",""พระนครศรีอยุธยา!n553"")+IMPORTRANGE(""https://docs.google.com/spreadsheets/d/1CdNicvf3i6yt4tJlCePe3V1Va76wYqW0QzMzTsaGRrA/edit?usp=sh"&amp;"are_link"",""เพชรบุรี!n553"")+IMPORTRANGE(""https://docs.google.com/spreadsheets/d/1XiF77UIVHV0Kjc6xbXuOuJ10WgJYxd4p_22ngKVV5oM/edit?usp=share_link"",""ระยอง!n553"")+IMPORTRANGE(""https://docs.google.com/spreadsheets/d/1qU-W_9MCQD1pgIVXGEOjCFo9QqlmJywueby"&amp;"GgaN92r8/edit?usp=share_link"",""ราชบุรี!n553"")+IMPORTRANGE(""https://docs.google.com/spreadsheets/d/1xYFIxIM_CspAP5Q-5Zx_V0T_Ut3cjryrjd2hss28vGk/edit?usp=share_link"",""ลพบุรี!n553"")+IMPORTRANGE(""https://docs.google.com/spreadsheets/d/11s9m3tKsCBdPWq6"&amp;"syhZm27eBGbKneDLZc75co106bio/edit?usp=share_link"",""สระแก้ว!n553"")+IMPORTRANGE(""https://docs.google.com/spreadsheets/d/1Nn1EvsFPtXldgpgVb3Rcng2K2cls68LFQsBh2FyW0Bg/edit?usp=share_link"",""สระบุรี!n553"")+IMPORTRANGE(""https://docs.google.com/spreadshee"&amp;"ts/d/149xufxukrnEciK3WPbNpHwUK8BKEJxp3UcBG3Al6dA4/edit?usp=share_link"",""สิงห์บุรี!n553"")+IMPORTRANGE(""https://docs.google.com/spreadsheets/d/132g-zJpz2uMKimp17uOIx8A7o3w1Z25zwJyXnwsB56c/edit?usp=share_link"",""สุพรรณบุรี!n553"")+IMPORTRANGE(""https://"&amp;"docs.google.com/spreadsheets/d/12Q_U0nVnFdxDFwa0pej9xvx8ZvLC9Dpi_vRro_aiG5g/edit?usp=share_link"",""อ่างทอง!n553"")
"),267883.38)</f>
        <v>267883.38</v>
      </c>
      <c r="O553" s="38"/>
      <c r="P553" s="38"/>
      <c r="Q553" s="571"/>
      <c r="R553" s="571"/>
      <c r="S553" s="571"/>
      <c r="T553" s="571"/>
      <c r="U553" s="571"/>
      <c r="V553" s="571"/>
      <c r="W553" s="571"/>
      <c r="X553" s="571"/>
      <c r="Y553" s="571"/>
      <c r="Z553" s="571"/>
    </row>
    <row r="554" spans="1:26" ht="20.25" customHeight="1">
      <c r="A554" s="567"/>
      <c r="B554" s="568"/>
      <c r="C554" s="568"/>
      <c r="D554" s="568"/>
      <c r="E554" s="569"/>
      <c r="F554" s="570" t="s">
        <v>233</v>
      </c>
      <c r="G554" s="189"/>
      <c r="H554" s="161" t="s">
        <v>12</v>
      </c>
      <c r="I554" s="37"/>
      <c r="J554" s="37"/>
      <c r="K554" s="38"/>
      <c r="L554" s="38"/>
      <c r="M554" s="38"/>
      <c r="N554" s="283">
        <f ca="1">IFERROR(__xludf.DUMMYFUNCTION("IMPORTRANGE(""https://docs.google.com/spreadsheets/d/1hKO5uv94SSRZWOvrh72HRcpyoEQF9TsE_Cvxl77XNU4/edit?usp=share_link"",""กาญจนบุรี!n554"")+IMPORTRANGE(""https://docs.google.com/spreadsheets/d/1njBaP_xXd-Uotvo2D9zb01TTCFkLJLDK97Tk1l9Qux0/edit?usp=share_li"&amp;"nk"",""จันทบุรี!n554"")+IMPORTRANGE(""https://docs.google.com/spreadsheets/d/14xp6qUzrGFnUk_qnc1eEmfiaNRd4_grkhpfQH_46fa8/edit?usp=share_link"",""ฉะเชิงเทรา!n554"")+IMPORTRANGE(""https://docs.google.com/spreadsheets/d/1_Zwps30dlVa-pZFsorjVf1Pil6WXwzCsJU0U"&amp;"2whO3NI/edit?usp=share_link"",""ชลบุรี!n554"")+IMPORTRANGE(""https://docs.google.com/spreadsheets/d/1xAsT4sUbBlom7l0acStESh_15nvjZcXjZM7fK5uZSq8/edit?usp=share_link"",""ชัยนาท!n554"")+IMPORTRANGE(""https://docs.google.com/spreadsheets/d/1vWPVBOAaZ6mHSI8yf"&amp;"95DNqHwTJ1cpeFsvqt6cxV34QA/edit?usp=share_link"",""ตราด!n554"")+IMPORTRANGE(""https://docs.google.com/spreadsheets/d/1phaeSb9lTGgzDpbvVqI9hfmOQQzUom07-HEvpbARzEg/edit?usp=share_link"",""นครนายก!n554"")+IMPORTRANGE(""https://docs.google.com/spreadsheets/d/"&amp;"1tpwhWwkqkBeiSWCcfB5f2fbwPRbM9hHOEDSDHpl2MIc/edit?usp=share_link"",""นครปฐม!n554"")+IMPORTRANGE(""https://docs.google.com/spreadsheets/d/1fJJCVBkBnhriyv0Cp5ZFMr0I_yrfdEITNpb4zILJgUQ/edit?usp=share_link"",""ปทุมธานี!n554"")+IMPORTRANGE(""https://docs.googl"&amp;"e.com/spreadsheets/d/1W5Jj_S0gYw6wSO7QcMI02YgyOBDKYgmm0NSUk-AQEac/edit?usp=share_link"",""ประจวบคีรีขันธ์!n554"")+IMPORTRANGE(""https://docs.google.com/spreadsheets/d/1nYxRXgnCfTXtqUY1otYuTlnrzE0Tn-Y0YRsW5pkRVqo/edit?usp=share_link"",""ปราจีนบุรี!n554"")+"&amp;"IMPORTRANGE(""https://docs.google.com/spreadsheets/d/1nNHCLO8ZAXOMfQvxux7cf_hrzPAh8FAvaHq_ClKbZNo/edit?usp=share_link"",""พระนครศรีอยุธยา!n554"")+IMPORTRANGE(""https://docs.google.com/spreadsheets/d/1CdNicvf3i6yt4tJlCePe3V1Va76wYqW0QzMzTsaGRrA/edit?usp=sh"&amp;"are_link"",""เพชรบุรี!n554"")+IMPORTRANGE(""https://docs.google.com/spreadsheets/d/1XiF77UIVHV0Kjc6xbXuOuJ10WgJYxd4p_22ngKVV5oM/edit?usp=share_link"",""ระยอง!n554"")+IMPORTRANGE(""https://docs.google.com/spreadsheets/d/1qU-W_9MCQD1pgIVXGEOjCFo9QqlmJywueby"&amp;"GgaN92r8/edit?usp=share_link"",""ราชบุรี!n554"")+IMPORTRANGE(""https://docs.google.com/spreadsheets/d/1xYFIxIM_CspAP5Q-5Zx_V0T_Ut3cjryrjd2hss28vGk/edit?usp=share_link"",""ลพบุรี!n554"")+IMPORTRANGE(""https://docs.google.com/spreadsheets/d/11s9m3tKsCBdPWq6"&amp;"syhZm27eBGbKneDLZc75co106bio/edit?usp=share_link"",""สระแก้ว!n554"")+IMPORTRANGE(""https://docs.google.com/spreadsheets/d/1Nn1EvsFPtXldgpgVb3Rcng2K2cls68LFQsBh2FyW0Bg/edit?usp=share_link"",""สระบุรี!n554"")+IMPORTRANGE(""https://docs.google.com/spreadshee"&amp;"ts/d/149xufxukrnEciK3WPbNpHwUK8BKEJxp3UcBG3Al6dA4/edit?usp=share_link"",""สิงห์บุรี!n554"")+IMPORTRANGE(""https://docs.google.com/spreadsheets/d/132g-zJpz2uMKimp17uOIx8A7o3w1Z25zwJyXnwsB56c/edit?usp=share_link"",""สุพรรณบุรี!n554"")+IMPORTRANGE(""https://"&amp;"docs.google.com/spreadsheets/d/12Q_U0nVnFdxDFwa0pej9xvx8ZvLC9Dpi_vRro_aiG5g/edit?usp=share_link"",""อ่างทอง!n554"")
"),0)</f>
        <v>0</v>
      </c>
      <c r="O554" s="38"/>
      <c r="P554" s="38"/>
      <c r="Q554" s="571"/>
      <c r="R554" s="571"/>
      <c r="S554" s="571"/>
      <c r="T554" s="571"/>
      <c r="U554" s="571"/>
      <c r="V554" s="571"/>
      <c r="W554" s="571"/>
      <c r="X554" s="571"/>
      <c r="Y554" s="571"/>
      <c r="Z554" s="571"/>
    </row>
    <row r="555" spans="1:26" ht="20.25" customHeight="1">
      <c r="A555" s="590"/>
      <c r="B555" s="568"/>
      <c r="C555" s="568"/>
      <c r="D555" s="599" t="s">
        <v>21</v>
      </c>
      <c r="E555" s="569"/>
      <c r="F555" s="569"/>
      <c r="G555" s="189"/>
      <c r="H555" s="168" t="s">
        <v>12</v>
      </c>
      <c r="I555" s="162"/>
      <c r="J555" s="162"/>
      <c r="K555" s="163"/>
      <c r="L555" s="38">
        <f t="shared" ref="L555:N555" ca="1" si="279">L556+L557</f>
        <v>0</v>
      </c>
      <c r="M555" s="38">
        <f t="shared" si="279"/>
        <v>0</v>
      </c>
      <c r="N555" s="38">
        <f t="shared" si="279"/>
        <v>0</v>
      </c>
      <c r="O555" s="38">
        <f t="shared" ref="O555:O557" ca="1" si="280">IF(L555&gt;0,N555*100/L555,0)</f>
        <v>0</v>
      </c>
      <c r="P555" s="38">
        <f t="shared" ref="P555:P557" si="281">IF(M555&gt;0,N555*100/M555,0)</f>
        <v>0</v>
      </c>
      <c r="Q555" s="571"/>
      <c r="R555" s="571"/>
      <c r="S555" s="571"/>
      <c r="T555" s="571"/>
      <c r="U555" s="571"/>
      <c r="V555" s="571"/>
      <c r="W555" s="571"/>
      <c r="X555" s="571"/>
      <c r="Y555" s="571"/>
      <c r="Z555" s="571"/>
    </row>
    <row r="556" spans="1:26" ht="20.25" hidden="1" customHeight="1">
      <c r="A556" s="592"/>
      <c r="B556" s="598"/>
      <c r="C556" s="598"/>
      <c r="D556" s="593"/>
      <c r="E556" s="595" t="s">
        <v>18</v>
      </c>
      <c r="F556" s="593"/>
      <c r="G556" s="596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45">
        <f t="shared" si="280"/>
        <v>0</v>
      </c>
      <c r="P556" s="45">
        <f t="shared" si="281"/>
        <v>0</v>
      </c>
      <c r="Q556" s="597"/>
      <c r="R556" s="597"/>
      <c r="S556" s="597"/>
      <c r="T556" s="597"/>
      <c r="U556" s="597"/>
      <c r="V556" s="597"/>
      <c r="W556" s="597"/>
      <c r="X556" s="597"/>
      <c r="Y556" s="597"/>
      <c r="Z556" s="597"/>
    </row>
    <row r="557" spans="1:26" ht="20.25" hidden="1" customHeight="1">
      <c r="A557" s="592"/>
      <c r="B557" s="598"/>
      <c r="C557" s="598"/>
      <c r="D557" s="593"/>
      <c r="E557" s="595" t="s">
        <v>19</v>
      </c>
      <c r="F557" s="593"/>
      <c r="G557" s="596"/>
      <c r="H557" s="169" t="s">
        <v>12</v>
      </c>
      <c r="I557" s="166"/>
      <c r="J557" s="166"/>
      <c r="K557" s="167"/>
      <c r="L557" s="45">
        <f ca="1">IFERROR(__xludf.DUMMYFUNCTION("IMPORTRANGE(""https://docs.google.com/spreadsheets/d/1hKO5uv94SSRZWOvrh72HRcpyoEQF9TsE_Cvxl77XNU4/edit?usp=share_link"",""กาญจนบุรี!L557"")+IMPORTRANGE(""https://docs.google.com/spreadsheets/d/1njBaP_xXd-Uotvo2D9zb01TTCFkLJLDK97Tk1l9Qux0/edit?usp=share_li"&amp;"nk"",""จันทบุรี!L557"")+IMPORTRANGE(""https://docs.google.com/spreadsheets/d/14xp6qUzrGFnUk_qnc1eEmfiaNRd4_grkhpfQH_46fa8/edit?usp=share_link"",""ฉะเชิงเทรา!L557"")+IMPORTRANGE(""https://docs.google.com/spreadsheets/d/1_Zwps30dlVa-pZFsorjVf1Pil6WXwzCsJU0U"&amp;"2whO3NI/edit?usp=share_link"",""ชลบุรี!L557"")+IMPORTRANGE(""https://docs.google.com/spreadsheets/d/1xAsT4sUbBlom7l0acStESh_15nvjZcXjZM7fK5uZSq8/edit?usp=share_link"",""ชัยนาท!L557"")+IMPORTRANGE(""https://docs.google.com/spreadsheets/d/1vWPVBOAaZ6mHSI8yf"&amp;"95DNqHwTJ1cpeFsvqt6cxV34QA/edit?usp=share_link"",""ตราด!L557"")+IMPORTRANGE(""https://docs.google.com/spreadsheets/d/1phaeSb9lTGgzDpbvVqI9hfmOQQzUom07-HEvpbARzEg/edit?usp=share_link"",""นครนายก!L557"")+IMPORTRANGE(""https://docs.google.com/spreadsheets/d/"&amp;"1tpwhWwkqkBeiSWCcfB5f2fbwPRbM9hHOEDSDHpl2MIc/edit?usp=share_link"",""นครปฐม!L557"")+IMPORTRANGE(""https://docs.google.com/spreadsheets/d/1fJJCVBkBnhriyv0Cp5ZFMr0I_yrfdEITNpb4zILJgUQ/edit?usp=share_link"",""ปทุมธานี!L557"")+IMPORTRANGE(""https://docs.googl"&amp;"e.com/spreadsheets/d/1W5Jj_S0gYw6wSO7QcMI02YgyOBDKYgmm0NSUk-AQEac/edit?usp=share_link"",""ประจวบคีรีขันธ์!L557"")+IMPORTRANGE(""https://docs.google.com/spreadsheets/d/1nYxRXgnCfTXtqUY1otYuTlnrzE0Tn-Y0YRsW5pkRVqo/edit?usp=share_link"",""ปราจีนบุรี!L557"")+"&amp;"IMPORTRANGE(""https://docs.google.com/spreadsheets/d/1nNHCLO8ZAXOMfQvxux7cf_hrzPAh8FAvaHq_ClKbZNo/edit?usp=share_link"",""พระนครศรีอยุธยา!L557"")+IMPORTRANGE(""https://docs.google.com/spreadsheets/d/1CdNicvf3i6yt4tJlCePe3V1Va76wYqW0QzMzTsaGRrA/edit?usp=sh"&amp;"are_link"",""เพชรบุรี!L557"")+IMPORTRANGE(""https://docs.google.com/spreadsheets/d/1XiF77UIVHV0Kjc6xbXuOuJ10WgJYxd4p_22ngKVV5oM/edit?usp=share_link"",""ระยอง!L557"")+IMPORTRANGE(""https://docs.google.com/spreadsheets/d/1qU-W_9MCQD1pgIVXGEOjCFo9QqlmJywueby"&amp;"GgaN92r8/edit?usp=share_link"",""ราชบุรี!L557"")+IMPORTRANGE(""https://docs.google.com/spreadsheets/d/1xYFIxIM_CspAP5Q-5Zx_V0T_Ut3cjryrjd2hss28vGk/edit?usp=share_link"",""ลพบุรี!L557"")+IMPORTRANGE(""https://docs.google.com/spreadsheets/d/11s9m3tKsCBdPWq6"&amp;"syhZm27eBGbKneDLZc75co106bio/edit?usp=share_link"",""สระแก้ว!L557"")+IMPORTRANGE(""https://docs.google.com/spreadsheets/d/1Nn1EvsFPtXldgpgVb3Rcng2K2cls68LFQsBh2FyW0Bg/edit?usp=share_link"",""สระบุรี!L557"")+IMPORTRANGE(""https://docs.google.com/spreadshee"&amp;"ts/d/149xufxukrnEciK3WPbNpHwUK8BKEJxp3UcBG3Al6dA4/edit?usp=share_link"",""สิงห์บุรี!L557"")+IMPORTRANGE(""https://docs.google.com/spreadsheets/d/132g-zJpz2uMKimp17uOIx8A7o3w1Z25zwJyXnwsB56c/edit?usp=share_link"",""สุพรรณบุรี!L557"")+IMPORTRANGE(""https://"&amp;"docs.google.com/spreadsheets/d/12Q_U0nVnFdxDFwa0pej9xvx8ZvLC9Dpi_vRro_aiG5g/edit?usp=share_link"",""อ่างทอง!L557"")
"),0)</f>
        <v>0</v>
      </c>
      <c r="M557" s="93">
        <v>0</v>
      </c>
      <c r="N557" s="93">
        <v>0</v>
      </c>
      <c r="O557" s="45">
        <f t="shared" ca="1" si="280"/>
        <v>0</v>
      </c>
      <c r="P557" s="45">
        <f t="shared" si="281"/>
        <v>0</v>
      </c>
      <c r="Q557" s="597"/>
      <c r="R557" s="597"/>
      <c r="S557" s="597"/>
      <c r="T557" s="597"/>
      <c r="U557" s="597"/>
      <c r="V557" s="597"/>
      <c r="W557" s="597"/>
      <c r="X557" s="597"/>
      <c r="Y557" s="597"/>
      <c r="Z557" s="597"/>
    </row>
    <row r="558" spans="1:26" ht="20.25" customHeight="1">
      <c r="A558" s="601"/>
      <c r="B558" s="602"/>
      <c r="C558" s="568" t="s">
        <v>16</v>
      </c>
      <c r="D558" s="672" t="s">
        <v>38</v>
      </c>
      <c r="E558" s="605"/>
      <c r="F558" s="605"/>
      <c r="G558" s="606"/>
      <c r="H558" s="175"/>
      <c r="I558" s="162"/>
      <c r="J558" s="162"/>
      <c r="K558" s="163"/>
      <c r="L558" s="163"/>
      <c r="M558" s="163"/>
      <c r="N558" s="163"/>
      <c r="O558" s="163"/>
      <c r="P558" s="163"/>
      <c r="Q558" s="571"/>
      <c r="R558" s="571"/>
      <c r="S558" s="571"/>
      <c r="T558" s="571"/>
      <c r="U558" s="571"/>
      <c r="V558" s="571"/>
      <c r="W558" s="571"/>
      <c r="X558" s="571"/>
      <c r="Y558" s="571"/>
      <c r="Z558" s="571"/>
    </row>
    <row r="559" spans="1:26" ht="20.25" customHeight="1">
      <c r="A559" s="685"/>
      <c r="B559" s="686" t="s">
        <v>234</v>
      </c>
      <c r="C559" s="687"/>
      <c r="D559" s="687"/>
      <c r="E559" s="666"/>
      <c r="F559" s="666"/>
      <c r="G559" s="667"/>
      <c r="H559" s="688" t="s">
        <v>46</v>
      </c>
      <c r="I559" s="669">
        <f t="shared" ref="I559:J559" ca="1" si="282">I576</f>
        <v>249435</v>
      </c>
      <c r="J559" s="669">
        <f t="shared" ca="1" si="282"/>
        <v>0</v>
      </c>
      <c r="K559" s="670">
        <f t="shared" ref="K559:K561" ca="1" si="283">IF(I559&gt;0,J559*100/I559,0)</f>
        <v>0</v>
      </c>
      <c r="L559" s="671"/>
      <c r="M559" s="671"/>
      <c r="N559" s="671"/>
      <c r="O559" s="671"/>
      <c r="P559" s="671"/>
      <c r="Q559" s="571"/>
      <c r="R559" s="571"/>
      <c r="S559" s="571"/>
      <c r="T559" s="571"/>
      <c r="U559" s="571"/>
      <c r="V559" s="571"/>
      <c r="W559" s="571"/>
      <c r="X559" s="571"/>
      <c r="Y559" s="571"/>
      <c r="Z559" s="571"/>
    </row>
    <row r="560" spans="1:26" ht="20.25" customHeight="1">
      <c r="A560" s="601"/>
      <c r="B560" s="602"/>
      <c r="C560" s="615" t="s">
        <v>235</v>
      </c>
      <c r="D560" s="602"/>
      <c r="E560" s="612"/>
      <c r="F560" s="612"/>
      <c r="G560" s="175"/>
      <c r="H560" s="192" t="s">
        <v>46</v>
      </c>
      <c r="I560" s="193">
        <f ca="1">IFERROR(__xludf.DUMMYFUNCTION("IMPORTRANGE(""https://docs.google.com/spreadsheets/d/1hKO5uv94SSRZWOvrh72HRcpyoEQF9TsE_Cvxl77XNU4/edit?usp=share_link"",""กาญจนบุรี!I560"")+IMPORTRANGE(""https://docs.google.com/spreadsheets/d/1njBaP_xXd-Uotvo2D9zb01TTCFkLJLDK97Tk1l9Qux0/edit?usp=share_li"&amp;"nk"",""จันทบุรี!I560"")+IMPORTRANGE(""https://docs.google.com/spreadsheets/d/14xp6qUzrGFnUk_qnc1eEmfiaNRd4_grkhpfQH_46fa8/edit?usp=share_link"",""ฉะเชิงเทรา!I560"")+IMPORTRANGE(""https://docs.google.com/spreadsheets/d/1_Zwps30dlVa-pZFsorjVf1Pil6WXwzCsJU0U"&amp;"2whO3NI/edit?usp=share_link"",""ชลบุรี!I560"")+IMPORTRANGE(""https://docs.google.com/spreadsheets/d/1xAsT4sUbBlom7l0acStESh_15nvjZcXjZM7fK5uZSq8/edit?usp=share_link"",""ชัยนาท!I560"")+IMPORTRANGE(""https://docs.google.com/spreadsheets/d/1vWPVBOAaZ6mHSI8yf"&amp;"95DNqHwTJ1cpeFsvqt6cxV34QA/edit?usp=share_link"",""ตราด!I560"")+IMPORTRANGE(""https://docs.google.com/spreadsheets/d/1phaeSb9lTGgzDpbvVqI9hfmOQQzUom07-HEvpbARzEg/edit?usp=share_link"",""นครนายก!I560"")+IMPORTRANGE(""https://docs.google.com/spreadsheets/d/"&amp;"1tpwhWwkqkBeiSWCcfB5f2fbwPRbM9hHOEDSDHpl2MIc/edit?usp=share_link"",""นครปฐม!I560"")+IMPORTRANGE(""https://docs.google.com/spreadsheets/d/1fJJCVBkBnhriyv0Cp5ZFMr0I_yrfdEITNpb4zILJgUQ/edit?usp=share_link"",""ปทุมธานี!I560"")+IMPORTRANGE(""https://docs.googl"&amp;"e.com/spreadsheets/d/1W5Jj_S0gYw6wSO7QcMI02YgyOBDKYgmm0NSUk-AQEac/edit?usp=share_link"",""ประจวบคีรีขันธ์!I560"")+IMPORTRANGE(""https://docs.google.com/spreadsheets/d/1nYxRXgnCfTXtqUY1otYuTlnrzE0Tn-Y0YRsW5pkRVqo/edit?usp=share_link"",""ปราจีนบุรี!I560"")+"&amp;"IMPORTRANGE(""https://docs.google.com/spreadsheets/d/1nNHCLO8ZAXOMfQvxux7cf_hrzPAh8FAvaHq_ClKbZNo/edit?usp=share_link"",""พระนครศรีอยุธยา!I560"")+IMPORTRANGE(""https://docs.google.com/spreadsheets/d/1CdNicvf3i6yt4tJlCePe3V1Va76wYqW0QzMzTsaGRrA/edit?usp=sh"&amp;"are_link"",""เพชรบุรี!I560"")+IMPORTRANGE(""https://docs.google.com/spreadsheets/d/1XiF77UIVHV0Kjc6xbXuOuJ10WgJYxd4p_22ngKVV5oM/edit?usp=share_link"",""ระยอง!I560"")+IMPORTRANGE(""https://docs.google.com/spreadsheets/d/1qU-W_9MCQD1pgIVXGEOjCFo9QqlmJywueby"&amp;"GgaN92r8/edit?usp=share_link"",""ราชบุรี!I560"")+IMPORTRANGE(""https://docs.google.com/spreadsheets/d/1xYFIxIM_CspAP5Q-5Zx_V0T_Ut3cjryrjd2hss28vGk/edit?usp=share_link"",""ลพบุรี!I560"")+IMPORTRANGE(""https://docs.google.com/spreadsheets/d/11s9m3tKsCBdPWq6"&amp;"syhZm27eBGbKneDLZc75co106bio/edit?usp=share_link"",""สระแก้ว!I560"")+IMPORTRANGE(""https://docs.google.com/spreadsheets/d/1Nn1EvsFPtXldgpgVb3Rcng2K2cls68LFQsBh2FyW0Bg/edit?usp=share_link"",""สระบุรี!I560"")+IMPORTRANGE(""https://docs.google.com/spreadshee"&amp;"ts/d/149xufxukrnEciK3WPbNpHwUK8BKEJxp3UcBG3Al6dA4/edit?usp=share_link"",""สิงห์บุรี!I560"")+IMPORTRANGE(""https://docs.google.com/spreadsheets/d/132g-zJpz2uMKimp17uOIx8A7o3w1Z25zwJyXnwsB56c/edit?usp=share_link"",""สุพรรณบุรี!I560"")+IMPORTRANGE(""https://"&amp;"docs.google.com/spreadsheets/d/12Q_U0nVnFdxDFwa0pej9xvx8ZvLC9Dpi_vRro_aiG5g/edit?usp=share_link"",""อ่างทอง!I560"")
"),249435)</f>
        <v>249435</v>
      </c>
      <c r="J560" s="193">
        <f t="shared" ref="J560:J561" ca="1" si="284">J562+J564+J566</f>
        <v>18118</v>
      </c>
      <c r="K560" s="410">
        <f t="shared" ca="1" si="283"/>
        <v>7.2636157716439156</v>
      </c>
      <c r="L560" s="163"/>
      <c r="M560" s="163"/>
      <c r="N560" s="163"/>
      <c r="O560" s="163"/>
      <c r="P560" s="163"/>
      <c r="Q560" s="571"/>
      <c r="R560" s="571"/>
      <c r="S560" s="571"/>
      <c r="T560" s="571"/>
      <c r="U560" s="571"/>
      <c r="V560" s="571"/>
      <c r="W560" s="571"/>
      <c r="X560" s="571"/>
      <c r="Y560" s="571"/>
      <c r="Z560" s="571"/>
    </row>
    <row r="561" spans="1:26" ht="20.25" customHeight="1">
      <c r="A561" s="601"/>
      <c r="B561" s="602"/>
      <c r="C561" s="602"/>
      <c r="D561" s="612"/>
      <c r="E561" s="612"/>
      <c r="F561" s="612"/>
      <c r="G561" s="175"/>
      <c r="H561" s="192" t="s">
        <v>34</v>
      </c>
      <c r="I561" s="193">
        <f ca="1">IFERROR(__xludf.DUMMYFUNCTION("IMPORTRANGE(""https://docs.google.com/spreadsheets/d/1hKO5uv94SSRZWOvrh72HRcpyoEQF9TsE_Cvxl77XNU4/edit?usp=share_link"",""กาญจนบุรี!I561"")+IMPORTRANGE(""https://docs.google.com/spreadsheets/d/1njBaP_xXd-Uotvo2D9zb01TTCFkLJLDK97Tk1l9Qux0/edit?usp=share_li"&amp;"nk"",""จันทบุรี!I561"")+IMPORTRANGE(""https://docs.google.com/spreadsheets/d/14xp6qUzrGFnUk_qnc1eEmfiaNRd4_grkhpfQH_46fa8/edit?usp=share_link"",""ฉะเชิงเทรา!I561"")+IMPORTRANGE(""https://docs.google.com/spreadsheets/d/1_Zwps30dlVa-pZFsorjVf1Pil6WXwzCsJU0U"&amp;"2whO3NI/edit?usp=share_link"",""ชลบุรี!I561"")+IMPORTRANGE(""https://docs.google.com/spreadsheets/d/1xAsT4sUbBlom7l0acStESh_15nvjZcXjZM7fK5uZSq8/edit?usp=share_link"",""ชัยนาท!I561"")+IMPORTRANGE(""https://docs.google.com/spreadsheets/d/1vWPVBOAaZ6mHSI8yf"&amp;"95DNqHwTJ1cpeFsvqt6cxV34QA/edit?usp=share_link"",""ตราด!I561"")+IMPORTRANGE(""https://docs.google.com/spreadsheets/d/1phaeSb9lTGgzDpbvVqI9hfmOQQzUom07-HEvpbARzEg/edit?usp=share_link"",""นครนายก!I561"")+IMPORTRANGE(""https://docs.google.com/spreadsheets/d/"&amp;"1tpwhWwkqkBeiSWCcfB5f2fbwPRbM9hHOEDSDHpl2MIc/edit?usp=share_link"",""นครปฐม!I561"")+IMPORTRANGE(""https://docs.google.com/spreadsheets/d/1fJJCVBkBnhriyv0Cp5ZFMr0I_yrfdEITNpb4zILJgUQ/edit?usp=share_link"",""ปทุมธานี!I561"")+IMPORTRANGE(""https://docs.googl"&amp;"e.com/spreadsheets/d/1W5Jj_S0gYw6wSO7QcMI02YgyOBDKYgmm0NSUk-AQEac/edit?usp=share_link"",""ประจวบคีรีขันธ์!I561"")+IMPORTRANGE(""https://docs.google.com/spreadsheets/d/1nYxRXgnCfTXtqUY1otYuTlnrzE0Tn-Y0YRsW5pkRVqo/edit?usp=share_link"",""ปราจีนบุรี!I561"")+"&amp;"IMPORTRANGE(""https://docs.google.com/spreadsheets/d/1nNHCLO8ZAXOMfQvxux7cf_hrzPAh8FAvaHq_ClKbZNo/edit?usp=share_link"",""พระนครศรีอยุธยา!I561"")+IMPORTRANGE(""https://docs.google.com/spreadsheets/d/1CdNicvf3i6yt4tJlCePe3V1Va76wYqW0QzMzTsaGRrA/edit?usp=sh"&amp;"are_link"",""เพชรบุรี!I561"")+IMPORTRANGE(""https://docs.google.com/spreadsheets/d/1XiF77UIVHV0Kjc6xbXuOuJ10WgJYxd4p_22ngKVV5oM/edit?usp=share_link"",""ระยอง!I561"")+IMPORTRANGE(""https://docs.google.com/spreadsheets/d/1qU-W_9MCQD1pgIVXGEOjCFo9QqlmJywueby"&amp;"GgaN92r8/edit?usp=share_link"",""ราชบุรี!I561"")+IMPORTRANGE(""https://docs.google.com/spreadsheets/d/1xYFIxIM_CspAP5Q-5Zx_V0T_Ut3cjryrjd2hss28vGk/edit?usp=share_link"",""ลพบุรี!I561"")+IMPORTRANGE(""https://docs.google.com/spreadsheets/d/11s9m3tKsCBdPWq6"&amp;"syhZm27eBGbKneDLZc75co106bio/edit?usp=share_link"",""สระแก้ว!I561"")+IMPORTRANGE(""https://docs.google.com/spreadsheets/d/1Nn1EvsFPtXldgpgVb3Rcng2K2cls68LFQsBh2FyW0Bg/edit?usp=share_link"",""สระบุรี!I561"")+IMPORTRANGE(""https://docs.google.com/spreadshee"&amp;"ts/d/149xufxukrnEciK3WPbNpHwUK8BKEJxp3UcBG3Al6dA4/edit?usp=share_link"",""สิงห์บุรี!I561"")+IMPORTRANGE(""https://docs.google.com/spreadsheets/d/132g-zJpz2uMKimp17uOIx8A7o3w1Z25zwJyXnwsB56c/edit?usp=share_link"",""สุพรรณบุรี!I561"")+IMPORTRANGE(""https://"&amp;"docs.google.com/spreadsheets/d/12Q_U0nVnFdxDFwa0pej9xvx8ZvLC9Dpi_vRro_aiG5g/edit?usp=share_link"",""อ่างทอง!I561"")
"),20030)</f>
        <v>20030</v>
      </c>
      <c r="J561" s="193">
        <f t="shared" ca="1" si="284"/>
        <v>1162</v>
      </c>
      <c r="K561" s="410">
        <f t="shared" ca="1" si="283"/>
        <v>5.8012980529206191</v>
      </c>
      <c r="L561" s="163"/>
      <c r="M561" s="163"/>
      <c r="N561" s="163"/>
      <c r="O561" s="163"/>
      <c r="P561" s="163"/>
      <c r="Q561" s="571"/>
      <c r="R561" s="571"/>
      <c r="S561" s="571"/>
      <c r="T561" s="571"/>
      <c r="U561" s="571"/>
      <c r="V561" s="571"/>
      <c r="W561" s="571"/>
      <c r="X561" s="571"/>
      <c r="Y561" s="571"/>
      <c r="Z561" s="571"/>
    </row>
    <row r="562" spans="1:26" ht="20.25" customHeight="1">
      <c r="A562" s="601"/>
      <c r="B562" s="602"/>
      <c r="C562" s="602"/>
      <c r="D562" s="187" t="s">
        <v>236</v>
      </c>
      <c r="E562" s="612"/>
      <c r="F562" s="612"/>
      <c r="G562" s="175"/>
      <c r="H562" s="182" t="s">
        <v>46</v>
      </c>
      <c r="I562" s="162"/>
      <c r="J562" s="183">
        <f ca="1">IFERROR(__xludf.DUMMYFUNCTION("IMPORTRANGE(""https://docs.google.com/spreadsheets/d/1hKO5uv94SSRZWOvrh72HRcpyoEQF9TsE_Cvxl77XNU4/edit?usp=share_link"",""กาญจนบุรี!J562"")+IMPORTRANGE(""https://docs.google.com/spreadsheets/d/1njBaP_xXd-Uotvo2D9zb01TTCFkLJLDK97Tk1l9Qux0/edit?usp=share_li"&amp;"nk"",""จันทบุรี!J562"")+IMPORTRANGE(""https://docs.google.com/spreadsheets/d/14xp6qUzrGFnUk_qnc1eEmfiaNRd4_grkhpfQH_46fa8/edit?usp=share_link"",""ฉะเชิงเทรา!J562"")+IMPORTRANGE(""https://docs.google.com/spreadsheets/d/1_Zwps30dlVa-pZFsorjVf1Pil6WXwzCsJU0U"&amp;"2whO3NI/edit?usp=share_link"",""ชลบุรี!J562"")+IMPORTRANGE(""https://docs.google.com/spreadsheets/d/1xAsT4sUbBlom7l0acStESh_15nvjZcXjZM7fK5uZSq8/edit?usp=share_link"",""ชัยนาท!J562"")+IMPORTRANGE(""https://docs.google.com/spreadsheets/d/1vWPVBOAaZ6mHSI8yf"&amp;"95DNqHwTJ1cpeFsvqt6cxV34QA/edit?usp=share_link"",""ตราด!J562"")+IMPORTRANGE(""https://docs.google.com/spreadsheets/d/1phaeSb9lTGgzDpbvVqI9hfmOQQzUom07-HEvpbARzEg/edit?usp=share_link"",""นครนายก!J562"")+IMPORTRANGE(""https://docs.google.com/spreadsheets/d/"&amp;"1tpwhWwkqkBeiSWCcfB5f2fbwPRbM9hHOEDSDHpl2MIc/edit?usp=share_link"",""นครปฐม!J562"")+IMPORTRANGE(""https://docs.google.com/spreadsheets/d/1fJJCVBkBnhriyv0Cp5ZFMr0I_yrfdEITNpb4zILJgUQ/edit?usp=share_link"",""ปทุมธานี!J562"")+IMPORTRANGE(""https://docs.googl"&amp;"e.com/spreadsheets/d/1W5Jj_S0gYw6wSO7QcMI02YgyOBDKYgmm0NSUk-AQEac/edit?usp=share_link"",""ประจวบคีรีขันธ์!J562"")+IMPORTRANGE(""https://docs.google.com/spreadsheets/d/1nYxRXgnCfTXtqUY1otYuTlnrzE0Tn-Y0YRsW5pkRVqo/edit?usp=share_link"",""ปราจีนบุรี!J562"")+"&amp;"IMPORTRANGE(""https://docs.google.com/spreadsheets/d/1nNHCLO8ZAXOMfQvxux7cf_hrzPAh8FAvaHq_ClKbZNo/edit?usp=share_link"",""พระนครศรีอยุธยา!J562"")+IMPORTRANGE(""https://docs.google.com/spreadsheets/d/1CdNicvf3i6yt4tJlCePe3V1Va76wYqW0QzMzTsaGRrA/edit?usp=sh"&amp;"are_link"",""เพชรบุรี!J562"")+IMPORTRANGE(""https://docs.google.com/spreadsheets/d/1XiF77UIVHV0Kjc6xbXuOuJ10WgJYxd4p_22ngKVV5oM/edit?usp=share_link"",""ระยอง!J562"")+IMPORTRANGE(""https://docs.google.com/spreadsheets/d/1qU-W_9MCQD1pgIVXGEOjCFo9QqlmJywueby"&amp;"GgaN92r8/edit?usp=share_link"",""ราชบุรี!J562"")+IMPORTRANGE(""https://docs.google.com/spreadsheets/d/1xYFIxIM_CspAP5Q-5Zx_V0T_Ut3cjryrjd2hss28vGk/edit?usp=share_link"",""ลพบุรี!J562"")+IMPORTRANGE(""https://docs.google.com/spreadsheets/d/11s9m3tKsCBdPWq6"&amp;"syhZm27eBGbKneDLZc75co106bio/edit?usp=share_link"",""สระแก้ว!J562"")+IMPORTRANGE(""https://docs.google.com/spreadsheets/d/1Nn1EvsFPtXldgpgVb3Rcng2K2cls68LFQsBh2FyW0Bg/edit?usp=share_link"",""สระบุรี!J562"")+IMPORTRANGE(""https://docs.google.com/spreadshee"&amp;"ts/d/149xufxukrnEciK3WPbNpHwUK8BKEJxp3UcBG3Al6dA4/edit?usp=share_link"",""สิงห์บุรี!J562"")+IMPORTRANGE(""https://docs.google.com/spreadsheets/d/132g-zJpz2uMKimp17uOIx8A7o3w1Z25zwJyXnwsB56c/edit?usp=share_link"",""สุพรรณบุรี!J562"")+IMPORTRANGE(""https://"&amp;"docs.google.com/spreadsheets/d/12Q_U0nVnFdxDFwa0pej9xvx8ZvLC9Dpi_vRro_aiG5g/edit?usp=share_link"",""อ่างทอง!J562"")
"),12704)</f>
        <v>12704</v>
      </c>
      <c r="K562" s="163"/>
      <c r="L562" s="163"/>
      <c r="M562" s="163"/>
      <c r="N562" s="163"/>
      <c r="O562" s="163"/>
      <c r="P562" s="163"/>
      <c r="Q562" s="571"/>
      <c r="R562" s="571"/>
      <c r="S562" s="571"/>
      <c r="T562" s="571"/>
      <c r="U562" s="571"/>
      <c r="V562" s="571"/>
      <c r="W562" s="571"/>
      <c r="X562" s="571"/>
      <c r="Y562" s="571"/>
      <c r="Z562" s="571"/>
    </row>
    <row r="563" spans="1:26" ht="20.25" customHeight="1">
      <c r="A563" s="601"/>
      <c r="B563" s="602"/>
      <c r="C563" s="602"/>
      <c r="D563" s="602"/>
      <c r="E563" s="612"/>
      <c r="F563" s="612"/>
      <c r="G563" s="175"/>
      <c r="H563" s="182" t="s">
        <v>34</v>
      </c>
      <c r="I563" s="162"/>
      <c r="J563" s="183">
        <f ca="1">IFERROR(__xludf.DUMMYFUNCTION("IMPORTRANGE(""https://docs.google.com/spreadsheets/d/1hKO5uv94SSRZWOvrh72HRcpyoEQF9TsE_Cvxl77XNU4/edit?usp=share_link"",""กาญจนบุรี!J563"")+IMPORTRANGE(""https://docs.google.com/spreadsheets/d/1njBaP_xXd-Uotvo2D9zb01TTCFkLJLDK97Tk1l9Qux0/edit?usp=share_li"&amp;"nk"",""จันทบุรี!J563"")+IMPORTRANGE(""https://docs.google.com/spreadsheets/d/14xp6qUzrGFnUk_qnc1eEmfiaNRd4_grkhpfQH_46fa8/edit?usp=share_link"",""ฉะเชิงเทรา!J563"")+IMPORTRANGE(""https://docs.google.com/spreadsheets/d/1_Zwps30dlVa-pZFsorjVf1Pil6WXwzCsJU0U"&amp;"2whO3NI/edit?usp=share_link"",""ชลบุรี!J563"")+IMPORTRANGE(""https://docs.google.com/spreadsheets/d/1xAsT4sUbBlom7l0acStESh_15nvjZcXjZM7fK5uZSq8/edit?usp=share_link"",""ชัยนาท!J563"")+IMPORTRANGE(""https://docs.google.com/spreadsheets/d/1vWPVBOAaZ6mHSI8yf"&amp;"95DNqHwTJ1cpeFsvqt6cxV34QA/edit?usp=share_link"",""ตราด!J563"")+IMPORTRANGE(""https://docs.google.com/spreadsheets/d/1phaeSb9lTGgzDpbvVqI9hfmOQQzUom07-HEvpbARzEg/edit?usp=share_link"",""นครนายก!J563"")+IMPORTRANGE(""https://docs.google.com/spreadsheets/d/"&amp;"1tpwhWwkqkBeiSWCcfB5f2fbwPRbM9hHOEDSDHpl2MIc/edit?usp=share_link"",""นครปฐม!J563"")+IMPORTRANGE(""https://docs.google.com/spreadsheets/d/1fJJCVBkBnhriyv0Cp5ZFMr0I_yrfdEITNpb4zILJgUQ/edit?usp=share_link"",""ปทุมธานี!J563"")+IMPORTRANGE(""https://docs.googl"&amp;"e.com/spreadsheets/d/1W5Jj_S0gYw6wSO7QcMI02YgyOBDKYgmm0NSUk-AQEac/edit?usp=share_link"",""ประจวบคีรีขันธ์!J563"")+IMPORTRANGE(""https://docs.google.com/spreadsheets/d/1nYxRXgnCfTXtqUY1otYuTlnrzE0Tn-Y0YRsW5pkRVqo/edit?usp=share_link"",""ปราจีนบุรี!J563"")+"&amp;"IMPORTRANGE(""https://docs.google.com/spreadsheets/d/1nNHCLO8ZAXOMfQvxux7cf_hrzPAh8FAvaHq_ClKbZNo/edit?usp=share_link"",""พระนครศรีอยุธยา!J563"")+IMPORTRANGE(""https://docs.google.com/spreadsheets/d/1CdNicvf3i6yt4tJlCePe3V1Va76wYqW0QzMzTsaGRrA/edit?usp=sh"&amp;"are_link"",""เพชรบุรี!J563"")+IMPORTRANGE(""https://docs.google.com/spreadsheets/d/1XiF77UIVHV0Kjc6xbXuOuJ10WgJYxd4p_22ngKVV5oM/edit?usp=share_link"",""ระยอง!J563"")+IMPORTRANGE(""https://docs.google.com/spreadsheets/d/1qU-W_9MCQD1pgIVXGEOjCFo9QqlmJywueby"&amp;"GgaN92r8/edit?usp=share_link"",""ราชบุรี!J563"")+IMPORTRANGE(""https://docs.google.com/spreadsheets/d/1xYFIxIM_CspAP5Q-5Zx_V0T_Ut3cjryrjd2hss28vGk/edit?usp=share_link"",""ลพบุรี!J563"")+IMPORTRANGE(""https://docs.google.com/spreadsheets/d/11s9m3tKsCBdPWq6"&amp;"syhZm27eBGbKneDLZc75co106bio/edit?usp=share_link"",""สระแก้ว!J563"")+IMPORTRANGE(""https://docs.google.com/spreadsheets/d/1Nn1EvsFPtXldgpgVb3Rcng2K2cls68LFQsBh2FyW0Bg/edit?usp=share_link"",""สระบุรี!J563"")+IMPORTRANGE(""https://docs.google.com/spreadshee"&amp;"ts/d/149xufxukrnEciK3WPbNpHwUK8BKEJxp3UcBG3Al6dA4/edit?usp=share_link"",""สิงห์บุรี!J563"")+IMPORTRANGE(""https://docs.google.com/spreadsheets/d/132g-zJpz2uMKimp17uOIx8A7o3w1Z25zwJyXnwsB56c/edit?usp=share_link"",""สุพรรณบุรี!J563"")+IMPORTRANGE(""https://"&amp;"docs.google.com/spreadsheets/d/12Q_U0nVnFdxDFwa0pej9xvx8ZvLC9Dpi_vRro_aiG5g/edit?usp=share_link"",""อ่างทอง!J563"")
"),895)</f>
        <v>895</v>
      </c>
      <c r="K563" s="163"/>
      <c r="L563" s="163"/>
      <c r="M563" s="163"/>
      <c r="N563" s="163"/>
      <c r="O563" s="163"/>
      <c r="P563" s="163"/>
      <c r="Q563" s="571"/>
      <c r="R563" s="571"/>
      <c r="S563" s="571"/>
      <c r="T563" s="571"/>
      <c r="U563" s="571"/>
      <c r="V563" s="571"/>
      <c r="W563" s="571"/>
      <c r="X563" s="571"/>
      <c r="Y563" s="571"/>
      <c r="Z563" s="571"/>
    </row>
    <row r="564" spans="1:26" ht="20.25" customHeight="1">
      <c r="A564" s="601"/>
      <c r="B564" s="602"/>
      <c r="C564" s="602"/>
      <c r="D564" s="187" t="s">
        <v>237</v>
      </c>
      <c r="E564" s="612"/>
      <c r="F564" s="612"/>
      <c r="G564" s="175"/>
      <c r="H564" s="182" t="s">
        <v>46</v>
      </c>
      <c r="I564" s="162"/>
      <c r="J564" s="183">
        <f ca="1">IFERROR(__xludf.DUMMYFUNCTION("IMPORTRANGE(""https://docs.google.com/spreadsheets/d/1hKO5uv94SSRZWOvrh72HRcpyoEQF9TsE_Cvxl77XNU4/edit?usp=share_link"",""กาญจนบุรี!J564"")+IMPORTRANGE(""https://docs.google.com/spreadsheets/d/1njBaP_xXd-Uotvo2D9zb01TTCFkLJLDK97Tk1l9Qux0/edit?usp=share_li"&amp;"nk"",""จันทบุรี!J564"")+IMPORTRANGE(""https://docs.google.com/spreadsheets/d/14xp6qUzrGFnUk_qnc1eEmfiaNRd4_grkhpfQH_46fa8/edit?usp=share_link"",""ฉะเชิงเทรา!J564"")+IMPORTRANGE(""https://docs.google.com/spreadsheets/d/1_Zwps30dlVa-pZFsorjVf1Pil6WXwzCsJU0U"&amp;"2whO3NI/edit?usp=share_link"",""ชลบุรี!J564"")+IMPORTRANGE(""https://docs.google.com/spreadsheets/d/1xAsT4sUbBlom7l0acStESh_15nvjZcXjZM7fK5uZSq8/edit?usp=share_link"",""ชัยนาท!J564"")+IMPORTRANGE(""https://docs.google.com/spreadsheets/d/1vWPVBOAaZ6mHSI8yf"&amp;"95DNqHwTJ1cpeFsvqt6cxV34QA/edit?usp=share_link"",""ตราด!J564"")+IMPORTRANGE(""https://docs.google.com/spreadsheets/d/1phaeSb9lTGgzDpbvVqI9hfmOQQzUom07-HEvpbARzEg/edit?usp=share_link"",""นครนายก!J564"")+IMPORTRANGE(""https://docs.google.com/spreadsheets/d/"&amp;"1tpwhWwkqkBeiSWCcfB5f2fbwPRbM9hHOEDSDHpl2MIc/edit?usp=share_link"",""นครปฐม!J564"")+IMPORTRANGE(""https://docs.google.com/spreadsheets/d/1fJJCVBkBnhriyv0Cp5ZFMr0I_yrfdEITNpb4zILJgUQ/edit?usp=share_link"",""ปทุมธานี!J564"")+IMPORTRANGE(""https://docs.googl"&amp;"e.com/spreadsheets/d/1W5Jj_S0gYw6wSO7QcMI02YgyOBDKYgmm0NSUk-AQEac/edit?usp=share_link"",""ประจวบคีรีขันธ์!J564"")+IMPORTRANGE(""https://docs.google.com/spreadsheets/d/1nYxRXgnCfTXtqUY1otYuTlnrzE0Tn-Y0YRsW5pkRVqo/edit?usp=share_link"",""ปราจีนบุรี!J564"")+"&amp;"IMPORTRANGE(""https://docs.google.com/spreadsheets/d/1nNHCLO8ZAXOMfQvxux7cf_hrzPAh8FAvaHq_ClKbZNo/edit?usp=share_link"",""พระนครศรีอยุธยา!J564"")+IMPORTRANGE(""https://docs.google.com/spreadsheets/d/1CdNicvf3i6yt4tJlCePe3V1Va76wYqW0QzMzTsaGRrA/edit?usp=sh"&amp;"are_link"",""เพชรบุรี!J564"")+IMPORTRANGE(""https://docs.google.com/spreadsheets/d/1XiF77UIVHV0Kjc6xbXuOuJ10WgJYxd4p_22ngKVV5oM/edit?usp=share_link"",""ระยอง!J564"")+IMPORTRANGE(""https://docs.google.com/spreadsheets/d/1qU-W_9MCQD1pgIVXGEOjCFo9QqlmJywueby"&amp;"GgaN92r8/edit?usp=share_link"",""ราชบุรี!J564"")+IMPORTRANGE(""https://docs.google.com/spreadsheets/d/1xYFIxIM_CspAP5Q-5Zx_V0T_Ut3cjryrjd2hss28vGk/edit?usp=share_link"",""ลพบุรี!J564"")+IMPORTRANGE(""https://docs.google.com/spreadsheets/d/11s9m3tKsCBdPWq6"&amp;"syhZm27eBGbKneDLZc75co106bio/edit?usp=share_link"",""สระแก้ว!J564"")+IMPORTRANGE(""https://docs.google.com/spreadsheets/d/1Nn1EvsFPtXldgpgVb3Rcng2K2cls68LFQsBh2FyW0Bg/edit?usp=share_link"",""สระบุรี!J564"")+IMPORTRANGE(""https://docs.google.com/spreadshee"&amp;"ts/d/149xufxukrnEciK3WPbNpHwUK8BKEJxp3UcBG3Al6dA4/edit?usp=share_link"",""สิงห์บุรี!J564"")+IMPORTRANGE(""https://docs.google.com/spreadsheets/d/132g-zJpz2uMKimp17uOIx8A7o3w1Z25zwJyXnwsB56c/edit?usp=share_link"",""สุพรรณบุรี!J564"")+IMPORTRANGE(""https://"&amp;"docs.google.com/spreadsheets/d/12Q_U0nVnFdxDFwa0pej9xvx8ZvLC9Dpi_vRro_aiG5g/edit?usp=share_link"",""อ่างทอง!J564"")
"),4966)</f>
        <v>4966</v>
      </c>
      <c r="K564" s="163"/>
      <c r="L564" s="163"/>
      <c r="M564" s="163"/>
      <c r="N564" s="163"/>
      <c r="O564" s="163"/>
      <c r="P564" s="163"/>
      <c r="Q564" s="571"/>
      <c r="R564" s="571"/>
      <c r="S564" s="571"/>
      <c r="T564" s="571"/>
      <c r="U564" s="571"/>
      <c r="V564" s="571"/>
      <c r="W564" s="571"/>
      <c r="X564" s="571"/>
      <c r="Y564" s="571"/>
      <c r="Z564" s="571"/>
    </row>
    <row r="565" spans="1:26" ht="20.25" customHeight="1">
      <c r="A565" s="601"/>
      <c r="B565" s="602"/>
      <c r="C565" s="602"/>
      <c r="D565" s="612"/>
      <c r="E565" s="612"/>
      <c r="F565" s="612"/>
      <c r="G565" s="175"/>
      <c r="H565" s="182" t="s">
        <v>34</v>
      </c>
      <c r="I565" s="162"/>
      <c r="J565" s="183">
        <f ca="1">IFERROR(__xludf.DUMMYFUNCTION("IMPORTRANGE(""https://docs.google.com/spreadsheets/d/1hKO5uv94SSRZWOvrh72HRcpyoEQF9TsE_Cvxl77XNU4/edit?usp=share_link"",""กาญจนบุรี!J565"")+IMPORTRANGE(""https://docs.google.com/spreadsheets/d/1njBaP_xXd-Uotvo2D9zb01TTCFkLJLDK97Tk1l9Qux0/edit?usp=share_li"&amp;"nk"",""จันทบุรี!J565"")+IMPORTRANGE(""https://docs.google.com/spreadsheets/d/14xp6qUzrGFnUk_qnc1eEmfiaNRd4_grkhpfQH_46fa8/edit?usp=share_link"",""ฉะเชิงเทรา!J565"")+IMPORTRANGE(""https://docs.google.com/spreadsheets/d/1_Zwps30dlVa-pZFsorjVf1Pil6WXwzCsJU0U"&amp;"2whO3NI/edit?usp=share_link"",""ชลบุรี!J565"")+IMPORTRANGE(""https://docs.google.com/spreadsheets/d/1xAsT4sUbBlom7l0acStESh_15nvjZcXjZM7fK5uZSq8/edit?usp=share_link"",""ชัยนาท!J565"")+IMPORTRANGE(""https://docs.google.com/spreadsheets/d/1vWPVBOAaZ6mHSI8yf"&amp;"95DNqHwTJ1cpeFsvqt6cxV34QA/edit?usp=share_link"",""ตราด!J565"")+IMPORTRANGE(""https://docs.google.com/spreadsheets/d/1phaeSb9lTGgzDpbvVqI9hfmOQQzUom07-HEvpbARzEg/edit?usp=share_link"",""นครนายก!J565"")+IMPORTRANGE(""https://docs.google.com/spreadsheets/d/"&amp;"1tpwhWwkqkBeiSWCcfB5f2fbwPRbM9hHOEDSDHpl2MIc/edit?usp=share_link"",""นครปฐม!J565"")+IMPORTRANGE(""https://docs.google.com/spreadsheets/d/1fJJCVBkBnhriyv0Cp5ZFMr0I_yrfdEITNpb4zILJgUQ/edit?usp=share_link"",""ปทุมธานี!J565"")+IMPORTRANGE(""https://docs.googl"&amp;"e.com/spreadsheets/d/1W5Jj_S0gYw6wSO7QcMI02YgyOBDKYgmm0NSUk-AQEac/edit?usp=share_link"",""ประจวบคีรีขันธ์!J565"")+IMPORTRANGE(""https://docs.google.com/spreadsheets/d/1nYxRXgnCfTXtqUY1otYuTlnrzE0Tn-Y0YRsW5pkRVqo/edit?usp=share_link"",""ปราจีนบุรี!J565"")+"&amp;"IMPORTRANGE(""https://docs.google.com/spreadsheets/d/1nNHCLO8ZAXOMfQvxux7cf_hrzPAh8FAvaHq_ClKbZNo/edit?usp=share_link"",""พระนครศรีอยุธยา!J565"")+IMPORTRANGE(""https://docs.google.com/spreadsheets/d/1CdNicvf3i6yt4tJlCePe3V1Va76wYqW0QzMzTsaGRrA/edit?usp=sh"&amp;"are_link"",""เพชรบุรี!J565"")+IMPORTRANGE(""https://docs.google.com/spreadsheets/d/1XiF77UIVHV0Kjc6xbXuOuJ10WgJYxd4p_22ngKVV5oM/edit?usp=share_link"",""ระยอง!J565"")+IMPORTRANGE(""https://docs.google.com/spreadsheets/d/1qU-W_9MCQD1pgIVXGEOjCFo9QqlmJywueby"&amp;"GgaN92r8/edit?usp=share_link"",""ราชบุรี!J565"")+IMPORTRANGE(""https://docs.google.com/spreadsheets/d/1xYFIxIM_CspAP5Q-5Zx_V0T_Ut3cjryrjd2hss28vGk/edit?usp=share_link"",""ลพบุรี!J565"")+IMPORTRANGE(""https://docs.google.com/spreadsheets/d/11s9m3tKsCBdPWq6"&amp;"syhZm27eBGbKneDLZc75co106bio/edit?usp=share_link"",""สระแก้ว!J565"")+IMPORTRANGE(""https://docs.google.com/spreadsheets/d/1Nn1EvsFPtXldgpgVb3Rcng2K2cls68LFQsBh2FyW0Bg/edit?usp=share_link"",""สระบุรี!J565"")+IMPORTRANGE(""https://docs.google.com/spreadshee"&amp;"ts/d/149xufxukrnEciK3WPbNpHwUK8BKEJxp3UcBG3Al6dA4/edit?usp=share_link"",""สิงห์บุรี!J565"")+IMPORTRANGE(""https://docs.google.com/spreadsheets/d/132g-zJpz2uMKimp17uOIx8A7o3w1Z25zwJyXnwsB56c/edit?usp=share_link"",""สุพรรณบุรี!J565"")+IMPORTRANGE(""https://"&amp;"docs.google.com/spreadsheets/d/12Q_U0nVnFdxDFwa0pej9xvx8ZvLC9Dpi_vRro_aiG5g/edit?usp=share_link"",""อ่างทอง!J565"")
"),228)</f>
        <v>228</v>
      </c>
      <c r="K565" s="163"/>
      <c r="L565" s="163"/>
      <c r="M565" s="163"/>
      <c r="N565" s="163"/>
      <c r="O565" s="163"/>
      <c r="P565" s="163"/>
      <c r="Q565" s="571"/>
      <c r="R565" s="571"/>
      <c r="S565" s="571"/>
      <c r="T565" s="571"/>
      <c r="U565" s="571"/>
      <c r="V565" s="571"/>
      <c r="W565" s="571"/>
      <c r="X565" s="571"/>
      <c r="Y565" s="571"/>
      <c r="Z565" s="571"/>
    </row>
    <row r="566" spans="1:26" ht="20.25" customHeight="1">
      <c r="A566" s="601"/>
      <c r="B566" s="602"/>
      <c r="C566" s="602"/>
      <c r="D566" s="187" t="s">
        <v>238</v>
      </c>
      <c r="E566" s="612"/>
      <c r="F566" s="612"/>
      <c r="G566" s="175"/>
      <c r="H566" s="182" t="s">
        <v>46</v>
      </c>
      <c r="I566" s="162"/>
      <c r="J566" s="183">
        <f ca="1">IFERROR(__xludf.DUMMYFUNCTION("IMPORTRANGE(""https://docs.google.com/spreadsheets/d/1hKO5uv94SSRZWOvrh72HRcpyoEQF9TsE_Cvxl77XNU4/edit?usp=share_link"",""กาญจนบุรี!J566"")+IMPORTRANGE(""https://docs.google.com/spreadsheets/d/1njBaP_xXd-Uotvo2D9zb01TTCFkLJLDK97Tk1l9Qux0/edit?usp=share_li"&amp;"nk"",""จันทบุรี!J566"")+IMPORTRANGE(""https://docs.google.com/spreadsheets/d/14xp6qUzrGFnUk_qnc1eEmfiaNRd4_grkhpfQH_46fa8/edit?usp=share_link"",""ฉะเชิงเทรา!J566"")+IMPORTRANGE(""https://docs.google.com/spreadsheets/d/1_Zwps30dlVa-pZFsorjVf1Pil6WXwzCsJU0U"&amp;"2whO3NI/edit?usp=share_link"",""ชลบุรี!J566"")+IMPORTRANGE(""https://docs.google.com/spreadsheets/d/1xAsT4sUbBlom7l0acStESh_15nvjZcXjZM7fK5uZSq8/edit?usp=share_link"",""ชัยนาท!J566"")+IMPORTRANGE(""https://docs.google.com/spreadsheets/d/1vWPVBOAaZ6mHSI8yf"&amp;"95DNqHwTJ1cpeFsvqt6cxV34QA/edit?usp=share_link"",""ตราด!J566"")+IMPORTRANGE(""https://docs.google.com/spreadsheets/d/1phaeSb9lTGgzDpbvVqI9hfmOQQzUom07-HEvpbARzEg/edit?usp=share_link"",""นครนายก!J566"")+IMPORTRANGE(""https://docs.google.com/spreadsheets/d/"&amp;"1tpwhWwkqkBeiSWCcfB5f2fbwPRbM9hHOEDSDHpl2MIc/edit?usp=share_link"",""นครปฐม!J566"")+IMPORTRANGE(""https://docs.google.com/spreadsheets/d/1fJJCVBkBnhriyv0Cp5ZFMr0I_yrfdEITNpb4zILJgUQ/edit?usp=share_link"",""ปทุมธานี!J566"")+IMPORTRANGE(""https://docs.googl"&amp;"e.com/spreadsheets/d/1W5Jj_S0gYw6wSO7QcMI02YgyOBDKYgmm0NSUk-AQEac/edit?usp=share_link"",""ประจวบคีรีขันธ์!J566"")+IMPORTRANGE(""https://docs.google.com/spreadsheets/d/1nYxRXgnCfTXtqUY1otYuTlnrzE0Tn-Y0YRsW5pkRVqo/edit?usp=share_link"",""ปราจีนบุรี!J566"")+"&amp;"IMPORTRANGE(""https://docs.google.com/spreadsheets/d/1nNHCLO8ZAXOMfQvxux7cf_hrzPAh8FAvaHq_ClKbZNo/edit?usp=share_link"",""พระนครศรีอยุธยา!J566"")+IMPORTRANGE(""https://docs.google.com/spreadsheets/d/1CdNicvf3i6yt4tJlCePe3V1Va76wYqW0QzMzTsaGRrA/edit?usp=sh"&amp;"are_link"",""เพชรบุรี!J566"")+IMPORTRANGE(""https://docs.google.com/spreadsheets/d/1XiF77UIVHV0Kjc6xbXuOuJ10WgJYxd4p_22ngKVV5oM/edit?usp=share_link"",""ระยอง!J566"")+IMPORTRANGE(""https://docs.google.com/spreadsheets/d/1qU-W_9MCQD1pgIVXGEOjCFo9QqlmJywueby"&amp;"GgaN92r8/edit?usp=share_link"",""ราชบุรี!J566"")+IMPORTRANGE(""https://docs.google.com/spreadsheets/d/1xYFIxIM_CspAP5Q-5Zx_V0T_Ut3cjryrjd2hss28vGk/edit?usp=share_link"",""ลพบุรี!J566"")+IMPORTRANGE(""https://docs.google.com/spreadsheets/d/11s9m3tKsCBdPWq6"&amp;"syhZm27eBGbKneDLZc75co106bio/edit?usp=share_link"",""สระแก้ว!J566"")+IMPORTRANGE(""https://docs.google.com/spreadsheets/d/1Nn1EvsFPtXldgpgVb3Rcng2K2cls68LFQsBh2FyW0Bg/edit?usp=share_link"",""สระบุรี!J566"")+IMPORTRANGE(""https://docs.google.com/spreadshee"&amp;"ts/d/149xufxukrnEciK3WPbNpHwUK8BKEJxp3UcBG3Al6dA4/edit?usp=share_link"",""สิงห์บุรี!J566"")+IMPORTRANGE(""https://docs.google.com/spreadsheets/d/132g-zJpz2uMKimp17uOIx8A7o3w1Z25zwJyXnwsB56c/edit?usp=share_link"",""สุพรรณบุรี!J566"")+IMPORTRANGE(""https://"&amp;"docs.google.com/spreadsheets/d/12Q_U0nVnFdxDFwa0pej9xvx8ZvLC9Dpi_vRro_aiG5g/edit?usp=share_link"",""อ่างทอง!J566"")
"),448)</f>
        <v>448</v>
      </c>
      <c r="K566" s="163"/>
      <c r="L566" s="163"/>
      <c r="M566" s="163"/>
      <c r="N566" s="163"/>
      <c r="O566" s="163"/>
      <c r="P566" s="163"/>
      <c r="Q566" s="571"/>
      <c r="R566" s="571"/>
      <c r="S566" s="571"/>
      <c r="T566" s="571"/>
      <c r="U566" s="571"/>
      <c r="V566" s="571"/>
      <c r="W566" s="571"/>
      <c r="X566" s="571"/>
      <c r="Y566" s="571"/>
      <c r="Z566" s="571"/>
    </row>
    <row r="567" spans="1:26" ht="20.25" customHeight="1">
      <c r="A567" s="601"/>
      <c r="B567" s="602"/>
      <c r="C567" s="602"/>
      <c r="D567" s="612"/>
      <c r="E567" s="612"/>
      <c r="F567" s="612"/>
      <c r="G567" s="175"/>
      <c r="H567" s="182" t="s">
        <v>34</v>
      </c>
      <c r="I567" s="162"/>
      <c r="J567" s="183">
        <f ca="1">IFERROR(__xludf.DUMMYFUNCTION("IMPORTRANGE(""https://docs.google.com/spreadsheets/d/1hKO5uv94SSRZWOvrh72HRcpyoEQF9TsE_Cvxl77XNU4/edit?usp=share_link"",""กาญจนบุรี!J567"")+IMPORTRANGE(""https://docs.google.com/spreadsheets/d/1njBaP_xXd-Uotvo2D9zb01TTCFkLJLDK97Tk1l9Qux0/edit?usp=share_li"&amp;"nk"",""จันทบุรี!J567"")+IMPORTRANGE(""https://docs.google.com/spreadsheets/d/14xp6qUzrGFnUk_qnc1eEmfiaNRd4_grkhpfQH_46fa8/edit?usp=share_link"",""ฉะเชิงเทรา!J567"")+IMPORTRANGE(""https://docs.google.com/spreadsheets/d/1_Zwps30dlVa-pZFsorjVf1Pil6WXwzCsJU0U"&amp;"2whO3NI/edit?usp=share_link"",""ชลบุรี!J567"")+IMPORTRANGE(""https://docs.google.com/spreadsheets/d/1xAsT4sUbBlom7l0acStESh_15nvjZcXjZM7fK5uZSq8/edit?usp=share_link"",""ชัยนาท!J567"")+IMPORTRANGE(""https://docs.google.com/spreadsheets/d/1vWPVBOAaZ6mHSI8yf"&amp;"95DNqHwTJ1cpeFsvqt6cxV34QA/edit?usp=share_link"",""ตราด!J567"")+IMPORTRANGE(""https://docs.google.com/spreadsheets/d/1phaeSb9lTGgzDpbvVqI9hfmOQQzUom07-HEvpbARzEg/edit?usp=share_link"",""นครนายก!J567"")+IMPORTRANGE(""https://docs.google.com/spreadsheets/d/"&amp;"1tpwhWwkqkBeiSWCcfB5f2fbwPRbM9hHOEDSDHpl2MIc/edit?usp=share_link"",""นครปฐม!J567"")+IMPORTRANGE(""https://docs.google.com/spreadsheets/d/1fJJCVBkBnhriyv0Cp5ZFMr0I_yrfdEITNpb4zILJgUQ/edit?usp=share_link"",""ปทุมธานี!J567"")+IMPORTRANGE(""https://docs.googl"&amp;"e.com/spreadsheets/d/1W5Jj_S0gYw6wSO7QcMI02YgyOBDKYgmm0NSUk-AQEac/edit?usp=share_link"",""ประจวบคีรีขันธ์!J567"")+IMPORTRANGE(""https://docs.google.com/spreadsheets/d/1nYxRXgnCfTXtqUY1otYuTlnrzE0Tn-Y0YRsW5pkRVqo/edit?usp=share_link"",""ปราจีนบุรี!J567"")+"&amp;"IMPORTRANGE(""https://docs.google.com/spreadsheets/d/1nNHCLO8ZAXOMfQvxux7cf_hrzPAh8FAvaHq_ClKbZNo/edit?usp=share_link"",""พระนครศรีอยุธยา!J567"")+IMPORTRANGE(""https://docs.google.com/spreadsheets/d/1CdNicvf3i6yt4tJlCePe3V1Va76wYqW0QzMzTsaGRrA/edit?usp=sh"&amp;"are_link"",""เพชรบุรี!J567"")+IMPORTRANGE(""https://docs.google.com/spreadsheets/d/1XiF77UIVHV0Kjc6xbXuOuJ10WgJYxd4p_22ngKVV5oM/edit?usp=share_link"",""ระยอง!J567"")+IMPORTRANGE(""https://docs.google.com/spreadsheets/d/1qU-W_9MCQD1pgIVXGEOjCFo9QqlmJywueby"&amp;"GgaN92r8/edit?usp=share_link"",""ราชบุรี!J567"")+IMPORTRANGE(""https://docs.google.com/spreadsheets/d/1xYFIxIM_CspAP5Q-5Zx_V0T_Ut3cjryrjd2hss28vGk/edit?usp=share_link"",""ลพบุรี!J567"")+IMPORTRANGE(""https://docs.google.com/spreadsheets/d/11s9m3tKsCBdPWq6"&amp;"syhZm27eBGbKneDLZc75co106bio/edit?usp=share_link"",""สระแก้ว!J567"")+IMPORTRANGE(""https://docs.google.com/spreadsheets/d/1Nn1EvsFPtXldgpgVb3Rcng2K2cls68LFQsBh2FyW0Bg/edit?usp=share_link"",""สระบุรี!J567"")+IMPORTRANGE(""https://docs.google.com/spreadshee"&amp;"ts/d/149xufxukrnEciK3WPbNpHwUK8BKEJxp3UcBG3Al6dA4/edit?usp=share_link"",""สิงห์บุรี!J567"")+IMPORTRANGE(""https://docs.google.com/spreadsheets/d/132g-zJpz2uMKimp17uOIx8A7o3w1Z25zwJyXnwsB56c/edit?usp=share_link"",""สุพรรณบุรี!J567"")+IMPORTRANGE(""https://"&amp;"docs.google.com/spreadsheets/d/12Q_U0nVnFdxDFwa0pej9xvx8ZvLC9Dpi_vRro_aiG5g/edit?usp=share_link"",""อ่างทอง!J567"")
"),39)</f>
        <v>39</v>
      </c>
      <c r="K567" s="163"/>
      <c r="L567" s="163"/>
      <c r="M567" s="163"/>
      <c r="N567" s="163"/>
      <c r="O567" s="163"/>
      <c r="P567" s="163"/>
      <c r="Q567" s="571"/>
      <c r="R567" s="571"/>
      <c r="S567" s="571"/>
      <c r="T567" s="571"/>
      <c r="U567" s="571"/>
      <c r="V567" s="571"/>
      <c r="W567" s="571"/>
      <c r="X567" s="571"/>
      <c r="Y567" s="571"/>
      <c r="Z567" s="571"/>
    </row>
    <row r="568" spans="1:26" ht="20.25" customHeight="1">
      <c r="A568" s="601"/>
      <c r="B568" s="602"/>
      <c r="C568" s="615" t="s">
        <v>239</v>
      </c>
      <c r="D568" s="612"/>
      <c r="E568" s="612"/>
      <c r="F568" s="612"/>
      <c r="G568" s="175"/>
      <c r="H568" s="192" t="s">
        <v>46</v>
      </c>
      <c r="I568" s="193">
        <f ca="1">IFERROR(__xludf.DUMMYFUNCTION("IMPORTRANGE(""https://docs.google.com/spreadsheets/d/1hKO5uv94SSRZWOvrh72HRcpyoEQF9TsE_Cvxl77XNU4/edit?usp=share_link"",""กาญจนบุรี!I568"")+IMPORTRANGE(""https://docs.google.com/spreadsheets/d/1njBaP_xXd-Uotvo2D9zb01TTCFkLJLDK97Tk1l9Qux0/edit?usp=share_li"&amp;"nk"",""จันทบุรี!I568"")+IMPORTRANGE(""https://docs.google.com/spreadsheets/d/14xp6qUzrGFnUk_qnc1eEmfiaNRd4_grkhpfQH_46fa8/edit?usp=share_link"",""ฉะเชิงเทรา!I568"")+IMPORTRANGE(""https://docs.google.com/spreadsheets/d/1_Zwps30dlVa-pZFsorjVf1Pil6WXwzCsJU0U"&amp;"2whO3NI/edit?usp=share_link"",""ชลบุรี!I568"")+IMPORTRANGE(""https://docs.google.com/spreadsheets/d/1xAsT4sUbBlom7l0acStESh_15nvjZcXjZM7fK5uZSq8/edit?usp=share_link"",""ชัยนาท!I568"")+IMPORTRANGE(""https://docs.google.com/spreadsheets/d/1vWPVBOAaZ6mHSI8yf"&amp;"95DNqHwTJ1cpeFsvqt6cxV34QA/edit?usp=share_link"",""ตราด!I568"")+IMPORTRANGE(""https://docs.google.com/spreadsheets/d/1phaeSb9lTGgzDpbvVqI9hfmOQQzUom07-HEvpbARzEg/edit?usp=share_link"",""นครนายก!I568"")+IMPORTRANGE(""https://docs.google.com/spreadsheets/d/"&amp;"1tpwhWwkqkBeiSWCcfB5f2fbwPRbM9hHOEDSDHpl2MIc/edit?usp=share_link"",""นครปฐม!I568"")+IMPORTRANGE(""https://docs.google.com/spreadsheets/d/1fJJCVBkBnhriyv0Cp5ZFMr0I_yrfdEITNpb4zILJgUQ/edit?usp=share_link"",""ปทุมธานี!I568"")+IMPORTRANGE(""https://docs.googl"&amp;"e.com/spreadsheets/d/1W5Jj_S0gYw6wSO7QcMI02YgyOBDKYgmm0NSUk-AQEac/edit?usp=share_link"",""ประจวบคีรีขันธ์!I568"")+IMPORTRANGE(""https://docs.google.com/spreadsheets/d/1nYxRXgnCfTXtqUY1otYuTlnrzE0Tn-Y0YRsW5pkRVqo/edit?usp=share_link"",""ปราจีนบุรี!I568"")+"&amp;"IMPORTRANGE(""https://docs.google.com/spreadsheets/d/1nNHCLO8ZAXOMfQvxux7cf_hrzPAh8FAvaHq_ClKbZNo/edit?usp=share_link"",""พระนครศรีอยุธยา!I568"")+IMPORTRANGE(""https://docs.google.com/spreadsheets/d/1CdNicvf3i6yt4tJlCePe3V1Va76wYqW0QzMzTsaGRrA/edit?usp=sh"&amp;"are_link"",""เพชรบุรี!I568"")+IMPORTRANGE(""https://docs.google.com/spreadsheets/d/1XiF77UIVHV0Kjc6xbXuOuJ10WgJYxd4p_22ngKVV5oM/edit?usp=share_link"",""ระยอง!I568"")+IMPORTRANGE(""https://docs.google.com/spreadsheets/d/1qU-W_9MCQD1pgIVXGEOjCFo9QqlmJywueby"&amp;"GgaN92r8/edit?usp=share_link"",""ราชบุรี!I568"")+IMPORTRANGE(""https://docs.google.com/spreadsheets/d/1xYFIxIM_CspAP5Q-5Zx_V0T_Ut3cjryrjd2hss28vGk/edit?usp=share_link"",""ลพบุรี!I568"")+IMPORTRANGE(""https://docs.google.com/spreadsheets/d/11s9m3tKsCBdPWq6"&amp;"syhZm27eBGbKneDLZc75co106bio/edit?usp=share_link"",""สระแก้ว!I568"")+IMPORTRANGE(""https://docs.google.com/spreadsheets/d/1Nn1EvsFPtXldgpgVb3Rcng2K2cls68LFQsBh2FyW0Bg/edit?usp=share_link"",""สระบุรี!I568"")+IMPORTRANGE(""https://docs.google.com/spreadshee"&amp;"ts/d/149xufxukrnEciK3WPbNpHwUK8BKEJxp3UcBG3Al6dA4/edit?usp=share_link"",""สิงห์บุรี!I568"")+IMPORTRANGE(""https://docs.google.com/spreadsheets/d/132g-zJpz2uMKimp17uOIx8A7o3w1Z25zwJyXnwsB56c/edit?usp=share_link"",""สุพรรณบุรี!I568"")+IMPORTRANGE(""https://"&amp;"docs.google.com/spreadsheets/d/12Q_U0nVnFdxDFwa0pej9xvx8ZvLC9Dpi_vRro_aiG5g/edit?usp=share_link"",""อ่างทอง!I568"")
"),249435)</f>
        <v>249435</v>
      </c>
      <c r="J568" s="194">
        <f t="shared" ref="J568:J569" ca="1" si="285">J570+J572+J574</f>
        <v>0</v>
      </c>
      <c r="K568" s="410">
        <f t="shared" ref="K568:K569" ca="1" si="286">IF(I568&gt;0,J568*100/I568,0)</f>
        <v>0</v>
      </c>
      <c r="L568" s="163"/>
      <c r="M568" s="163"/>
      <c r="N568" s="163"/>
      <c r="O568" s="163"/>
      <c r="P568" s="163"/>
      <c r="Q568" s="571"/>
      <c r="R568" s="571"/>
      <c r="S568" s="571"/>
      <c r="T568" s="571"/>
      <c r="U568" s="571"/>
      <c r="V568" s="571"/>
      <c r="W568" s="571"/>
      <c r="X568" s="571"/>
      <c r="Y568" s="571"/>
      <c r="Z568" s="571"/>
    </row>
    <row r="569" spans="1:26" ht="20.25" customHeight="1">
      <c r="A569" s="601"/>
      <c r="B569" s="602"/>
      <c r="C569" s="602"/>
      <c r="D569" s="602"/>
      <c r="E569" s="612"/>
      <c r="F569" s="612"/>
      <c r="G569" s="175"/>
      <c r="H569" s="192" t="s">
        <v>34</v>
      </c>
      <c r="I569" s="193">
        <f ca="1">IFERROR(__xludf.DUMMYFUNCTION("IMPORTRANGE(""https://docs.google.com/spreadsheets/d/1hKO5uv94SSRZWOvrh72HRcpyoEQF9TsE_Cvxl77XNU4/edit?usp=share_link"",""กาญจนบุรี!I569"")+IMPORTRANGE(""https://docs.google.com/spreadsheets/d/1njBaP_xXd-Uotvo2D9zb01TTCFkLJLDK97Tk1l9Qux0/edit?usp=share_li"&amp;"nk"",""จันทบุรี!I569"")+IMPORTRANGE(""https://docs.google.com/spreadsheets/d/14xp6qUzrGFnUk_qnc1eEmfiaNRd4_grkhpfQH_46fa8/edit?usp=share_link"",""ฉะเชิงเทรา!I569"")+IMPORTRANGE(""https://docs.google.com/spreadsheets/d/1_Zwps30dlVa-pZFsorjVf1Pil6WXwzCsJU0U"&amp;"2whO3NI/edit?usp=share_link"",""ชลบุรี!I569"")+IMPORTRANGE(""https://docs.google.com/spreadsheets/d/1xAsT4sUbBlom7l0acStESh_15nvjZcXjZM7fK5uZSq8/edit?usp=share_link"",""ชัยนาท!I569"")+IMPORTRANGE(""https://docs.google.com/spreadsheets/d/1vWPVBOAaZ6mHSI8yf"&amp;"95DNqHwTJ1cpeFsvqt6cxV34QA/edit?usp=share_link"",""ตราด!I569"")+IMPORTRANGE(""https://docs.google.com/spreadsheets/d/1phaeSb9lTGgzDpbvVqI9hfmOQQzUom07-HEvpbARzEg/edit?usp=share_link"",""นครนายก!I569"")+IMPORTRANGE(""https://docs.google.com/spreadsheets/d/"&amp;"1tpwhWwkqkBeiSWCcfB5f2fbwPRbM9hHOEDSDHpl2MIc/edit?usp=share_link"",""นครปฐม!I569"")+IMPORTRANGE(""https://docs.google.com/spreadsheets/d/1fJJCVBkBnhriyv0Cp5ZFMr0I_yrfdEITNpb4zILJgUQ/edit?usp=share_link"",""ปทุมธานี!I569"")+IMPORTRANGE(""https://docs.googl"&amp;"e.com/spreadsheets/d/1W5Jj_S0gYw6wSO7QcMI02YgyOBDKYgmm0NSUk-AQEac/edit?usp=share_link"",""ประจวบคีรีขันธ์!I569"")+IMPORTRANGE(""https://docs.google.com/spreadsheets/d/1nYxRXgnCfTXtqUY1otYuTlnrzE0Tn-Y0YRsW5pkRVqo/edit?usp=share_link"",""ปราจีนบุรี!I569"")+"&amp;"IMPORTRANGE(""https://docs.google.com/spreadsheets/d/1nNHCLO8ZAXOMfQvxux7cf_hrzPAh8FAvaHq_ClKbZNo/edit?usp=share_link"",""พระนครศรีอยุธยา!I569"")+IMPORTRANGE(""https://docs.google.com/spreadsheets/d/1CdNicvf3i6yt4tJlCePe3V1Va76wYqW0QzMzTsaGRrA/edit?usp=sh"&amp;"are_link"",""เพชรบุรี!I569"")+IMPORTRANGE(""https://docs.google.com/spreadsheets/d/1XiF77UIVHV0Kjc6xbXuOuJ10WgJYxd4p_22ngKVV5oM/edit?usp=share_link"",""ระยอง!I569"")+IMPORTRANGE(""https://docs.google.com/spreadsheets/d/1qU-W_9MCQD1pgIVXGEOjCFo9QqlmJywueby"&amp;"GgaN92r8/edit?usp=share_link"",""ราชบุรี!I569"")+IMPORTRANGE(""https://docs.google.com/spreadsheets/d/1xYFIxIM_CspAP5Q-5Zx_V0T_Ut3cjryrjd2hss28vGk/edit?usp=share_link"",""ลพบุรี!I569"")+IMPORTRANGE(""https://docs.google.com/spreadsheets/d/11s9m3tKsCBdPWq6"&amp;"syhZm27eBGbKneDLZc75co106bio/edit?usp=share_link"",""สระแก้ว!I569"")+IMPORTRANGE(""https://docs.google.com/spreadsheets/d/1Nn1EvsFPtXldgpgVb3Rcng2K2cls68LFQsBh2FyW0Bg/edit?usp=share_link"",""สระบุรี!I569"")+IMPORTRANGE(""https://docs.google.com/spreadshee"&amp;"ts/d/149xufxukrnEciK3WPbNpHwUK8BKEJxp3UcBG3Al6dA4/edit?usp=share_link"",""สิงห์บุรี!I569"")+IMPORTRANGE(""https://docs.google.com/spreadsheets/d/132g-zJpz2uMKimp17uOIx8A7o3w1Z25zwJyXnwsB56c/edit?usp=share_link"",""สุพรรณบุรี!I569"")+IMPORTRANGE(""https://"&amp;"docs.google.com/spreadsheets/d/12Q_U0nVnFdxDFwa0pej9xvx8ZvLC9Dpi_vRro_aiG5g/edit?usp=share_link"",""อ่างทอง!I569"")
"),20030)</f>
        <v>20030</v>
      </c>
      <c r="J569" s="194">
        <f t="shared" ca="1" si="285"/>
        <v>0</v>
      </c>
      <c r="K569" s="410">
        <f t="shared" ca="1" si="286"/>
        <v>0</v>
      </c>
      <c r="L569" s="163"/>
      <c r="M569" s="163"/>
      <c r="N569" s="163"/>
      <c r="O569" s="163"/>
      <c r="P569" s="163"/>
      <c r="Q569" s="571"/>
      <c r="R569" s="571"/>
      <c r="S569" s="571"/>
      <c r="T569" s="571"/>
      <c r="U569" s="571"/>
      <c r="V569" s="571"/>
      <c r="W569" s="571"/>
      <c r="X569" s="571"/>
      <c r="Y569" s="571"/>
      <c r="Z569" s="571"/>
    </row>
    <row r="570" spans="1:26" ht="20.25" customHeight="1">
      <c r="A570" s="601"/>
      <c r="B570" s="602"/>
      <c r="C570" s="602"/>
      <c r="D570" s="187" t="s">
        <v>240</v>
      </c>
      <c r="E570" s="602"/>
      <c r="F570" s="612"/>
      <c r="G570" s="175"/>
      <c r="H570" s="182" t="s">
        <v>46</v>
      </c>
      <c r="I570" s="162"/>
      <c r="J570" s="183">
        <f ca="1">IFERROR(__xludf.DUMMYFUNCTION("IMPORTRANGE(""https://docs.google.com/spreadsheets/d/1hKO5uv94SSRZWOvrh72HRcpyoEQF9TsE_Cvxl77XNU4/edit?usp=share_link"",""กาญจนบุรี!J570"")+IMPORTRANGE(""https://docs.google.com/spreadsheets/d/1njBaP_xXd-Uotvo2D9zb01TTCFkLJLDK97Tk1l9Qux0/edit?usp=share_li"&amp;"nk"",""จันทบุรี!J570"")+IMPORTRANGE(""https://docs.google.com/spreadsheets/d/14xp6qUzrGFnUk_qnc1eEmfiaNRd4_grkhpfQH_46fa8/edit?usp=share_link"",""ฉะเชิงเทรา!J570"")+IMPORTRANGE(""https://docs.google.com/spreadsheets/d/1_Zwps30dlVa-pZFsorjVf1Pil6WXwzCsJU0U"&amp;"2whO3NI/edit?usp=share_link"",""ชลบุรี!J570"")+IMPORTRANGE(""https://docs.google.com/spreadsheets/d/1xAsT4sUbBlom7l0acStESh_15nvjZcXjZM7fK5uZSq8/edit?usp=share_link"",""ชัยนาท!J570"")+IMPORTRANGE(""https://docs.google.com/spreadsheets/d/1vWPVBOAaZ6mHSI8yf"&amp;"95DNqHwTJ1cpeFsvqt6cxV34QA/edit?usp=share_link"",""ตราด!J570"")+IMPORTRANGE(""https://docs.google.com/spreadsheets/d/1phaeSb9lTGgzDpbvVqI9hfmOQQzUom07-HEvpbARzEg/edit?usp=share_link"",""นครนายก!J570"")+IMPORTRANGE(""https://docs.google.com/spreadsheets/d/"&amp;"1tpwhWwkqkBeiSWCcfB5f2fbwPRbM9hHOEDSDHpl2MIc/edit?usp=share_link"",""นครปฐม!J570"")+IMPORTRANGE(""https://docs.google.com/spreadsheets/d/1fJJCVBkBnhriyv0Cp5ZFMr0I_yrfdEITNpb4zILJgUQ/edit?usp=share_link"",""ปทุมธานี!J570"")+IMPORTRANGE(""https://docs.googl"&amp;"e.com/spreadsheets/d/1W5Jj_S0gYw6wSO7QcMI02YgyOBDKYgmm0NSUk-AQEac/edit?usp=share_link"",""ประจวบคีรีขันธ์!J570"")+IMPORTRANGE(""https://docs.google.com/spreadsheets/d/1nYxRXgnCfTXtqUY1otYuTlnrzE0Tn-Y0YRsW5pkRVqo/edit?usp=share_link"",""ปราจีนบุรี!J570"")+"&amp;"IMPORTRANGE(""https://docs.google.com/spreadsheets/d/1nNHCLO8ZAXOMfQvxux7cf_hrzPAh8FAvaHq_ClKbZNo/edit?usp=share_link"",""พระนครศรีอยุธยา!J570"")+IMPORTRANGE(""https://docs.google.com/spreadsheets/d/1CdNicvf3i6yt4tJlCePe3V1Va76wYqW0QzMzTsaGRrA/edit?usp=sh"&amp;"are_link"",""เพชรบุรี!J570"")+IMPORTRANGE(""https://docs.google.com/spreadsheets/d/1XiF77UIVHV0Kjc6xbXuOuJ10WgJYxd4p_22ngKVV5oM/edit?usp=share_link"",""ระยอง!J570"")+IMPORTRANGE(""https://docs.google.com/spreadsheets/d/1qU-W_9MCQD1pgIVXGEOjCFo9QqlmJywueby"&amp;"GgaN92r8/edit?usp=share_link"",""ราชบุรี!J570"")+IMPORTRANGE(""https://docs.google.com/spreadsheets/d/1xYFIxIM_CspAP5Q-5Zx_V0T_Ut3cjryrjd2hss28vGk/edit?usp=share_link"",""ลพบุรี!J570"")+IMPORTRANGE(""https://docs.google.com/spreadsheets/d/11s9m3tKsCBdPWq6"&amp;"syhZm27eBGbKneDLZc75co106bio/edit?usp=share_link"",""สระแก้ว!J570"")+IMPORTRANGE(""https://docs.google.com/spreadsheets/d/1Nn1EvsFPtXldgpgVb3Rcng2K2cls68LFQsBh2FyW0Bg/edit?usp=share_link"",""สระบุรี!J570"")+IMPORTRANGE(""https://docs.google.com/spreadshee"&amp;"ts/d/149xufxukrnEciK3WPbNpHwUK8BKEJxp3UcBG3Al6dA4/edit?usp=share_link"",""สิงห์บุรี!J570"")+IMPORTRANGE(""https://docs.google.com/spreadsheets/d/132g-zJpz2uMKimp17uOIx8A7o3w1Z25zwJyXnwsB56c/edit?usp=share_link"",""สุพรรณบุรี!J570"")+IMPORTRANGE(""https://"&amp;"docs.google.com/spreadsheets/d/12Q_U0nVnFdxDFwa0pej9xvx8ZvLC9Dpi_vRro_aiG5g/edit?usp=share_link"",""อ่างทอง!J570"")
"),0)</f>
        <v>0</v>
      </c>
      <c r="K570" s="163"/>
      <c r="L570" s="163"/>
      <c r="M570" s="163"/>
      <c r="N570" s="163"/>
      <c r="O570" s="163"/>
      <c r="P570" s="163"/>
      <c r="Q570" s="571"/>
      <c r="R570" s="571"/>
      <c r="S570" s="571"/>
      <c r="T570" s="571"/>
      <c r="U570" s="571"/>
      <c r="V570" s="571"/>
      <c r="W570" s="571"/>
      <c r="X570" s="571"/>
      <c r="Y570" s="571"/>
      <c r="Z570" s="571"/>
    </row>
    <row r="571" spans="1:26" ht="20.25" customHeight="1">
      <c r="A571" s="601"/>
      <c r="B571" s="602"/>
      <c r="C571" s="602"/>
      <c r="D571" s="602"/>
      <c r="E571" s="612"/>
      <c r="F571" s="612"/>
      <c r="G571" s="175"/>
      <c r="H571" s="182" t="s">
        <v>34</v>
      </c>
      <c r="I571" s="162"/>
      <c r="J571" s="183">
        <f ca="1">IFERROR(__xludf.DUMMYFUNCTION("IMPORTRANGE(""https://docs.google.com/spreadsheets/d/1hKO5uv94SSRZWOvrh72HRcpyoEQF9TsE_Cvxl77XNU4/edit?usp=share_link"",""กาญจนบุรี!J571"")+IMPORTRANGE(""https://docs.google.com/spreadsheets/d/1njBaP_xXd-Uotvo2D9zb01TTCFkLJLDK97Tk1l9Qux0/edit?usp=share_li"&amp;"nk"",""จันทบุรี!J571"")+IMPORTRANGE(""https://docs.google.com/spreadsheets/d/14xp6qUzrGFnUk_qnc1eEmfiaNRd4_grkhpfQH_46fa8/edit?usp=share_link"",""ฉะเชิงเทรา!J571"")+IMPORTRANGE(""https://docs.google.com/spreadsheets/d/1_Zwps30dlVa-pZFsorjVf1Pil6WXwzCsJU0U"&amp;"2whO3NI/edit?usp=share_link"",""ชลบุรี!J571"")+IMPORTRANGE(""https://docs.google.com/spreadsheets/d/1xAsT4sUbBlom7l0acStESh_15nvjZcXjZM7fK5uZSq8/edit?usp=share_link"",""ชัยนาท!J571"")+IMPORTRANGE(""https://docs.google.com/spreadsheets/d/1vWPVBOAaZ6mHSI8yf"&amp;"95DNqHwTJ1cpeFsvqt6cxV34QA/edit?usp=share_link"",""ตราด!J571"")+IMPORTRANGE(""https://docs.google.com/spreadsheets/d/1phaeSb9lTGgzDpbvVqI9hfmOQQzUom07-HEvpbARzEg/edit?usp=share_link"",""นครนายก!J571"")+IMPORTRANGE(""https://docs.google.com/spreadsheets/d/"&amp;"1tpwhWwkqkBeiSWCcfB5f2fbwPRbM9hHOEDSDHpl2MIc/edit?usp=share_link"",""นครปฐม!J571"")+IMPORTRANGE(""https://docs.google.com/spreadsheets/d/1fJJCVBkBnhriyv0Cp5ZFMr0I_yrfdEITNpb4zILJgUQ/edit?usp=share_link"",""ปทุมธานี!J571"")+IMPORTRANGE(""https://docs.googl"&amp;"e.com/spreadsheets/d/1W5Jj_S0gYw6wSO7QcMI02YgyOBDKYgmm0NSUk-AQEac/edit?usp=share_link"",""ประจวบคีรีขันธ์!J571"")+IMPORTRANGE(""https://docs.google.com/spreadsheets/d/1nYxRXgnCfTXtqUY1otYuTlnrzE0Tn-Y0YRsW5pkRVqo/edit?usp=share_link"",""ปราจีนบุรี!J571"")+"&amp;"IMPORTRANGE(""https://docs.google.com/spreadsheets/d/1nNHCLO8ZAXOMfQvxux7cf_hrzPAh8FAvaHq_ClKbZNo/edit?usp=share_link"",""พระนครศรีอยุธยา!J571"")+IMPORTRANGE(""https://docs.google.com/spreadsheets/d/1CdNicvf3i6yt4tJlCePe3V1Va76wYqW0QzMzTsaGRrA/edit?usp=sh"&amp;"are_link"",""เพชรบุรี!J571"")+IMPORTRANGE(""https://docs.google.com/spreadsheets/d/1XiF77UIVHV0Kjc6xbXuOuJ10WgJYxd4p_22ngKVV5oM/edit?usp=share_link"",""ระยอง!J571"")+IMPORTRANGE(""https://docs.google.com/spreadsheets/d/1qU-W_9MCQD1pgIVXGEOjCFo9QqlmJywueby"&amp;"GgaN92r8/edit?usp=share_link"",""ราชบุรี!J571"")+IMPORTRANGE(""https://docs.google.com/spreadsheets/d/1xYFIxIM_CspAP5Q-5Zx_V0T_Ut3cjryrjd2hss28vGk/edit?usp=share_link"",""ลพบุรี!J571"")+IMPORTRANGE(""https://docs.google.com/spreadsheets/d/11s9m3tKsCBdPWq6"&amp;"syhZm27eBGbKneDLZc75co106bio/edit?usp=share_link"",""สระแก้ว!J571"")+IMPORTRANGE(""https://docs.google.com/spreadsheets/d/1Nn1EvsFPtXldgpgVb3Rcng2K2cls68LFQsBh2FyW0Bg/edit?usp=share_link"",""สระบุรี!J571"")+IMPORTRANGE(""https://docs.google.com/spreadshee"&amp;"ts/d/149xufxukrnEciK3WPbNpHwUK8BKEJxp3UcBG3Al6dA4/edit?usp=share_link"",""สิงห์บุรี!J571"")+IMPORTRANGE(""https://docs.google.com/spreadsheets/d/132g-zJpz2uMKimp17uOIx8A7o3w1Z25zwJyXnwsB56c/edit?usp=share_link"",""สุพรรณบุรี!J571"")+IMPORTRANGE(""https://"&amp;"docs.google.com/spreadsheets/d/12Q_U0nVnFdxDFwa0pej9xvx8ZvLC9Dpi_vRro_aiG5g/edit?usp=share_link"",""อ่างทอง!J571"")
"),0)</f>
        <v>0</v>
      </c>
      <c r="K571" s="163"/>
      <c r="L571" s="163"/>
      <c r="M571" s="163"/>
      <c r="N571" s="163"/>
      <c r="O571" s="163"/>
      <c r="P571" s="163"/>
      <c r="Q571" s="571"/>
      <c r="R571" s="571"/>
      <c r="S571" s="571"/>
      <c r="T571" s="571"/>
      <c r="U571" s="571"/>
      <c r="V571" s="571"/>
      <c r="W571" s="571"/>
      <c r="X571" s="571"/>
      <c r="Y571" s="571"/>
      <c r="Z571" s="571"/>
    </row>
    <row r="572" spans="1:26" ht="20.25" customHeight="1">
      <c r="A572" s="601"/>
      <c r="B572" s="602"/>
      <c r="C572" s="602"/>
      <c r="D572" s="187" t="s">
        <v>241</v>
      </c>
      <c r="E572" s="612"/>
      <c r="F572" s="612"/>
      <c r="G572" s="175"/>
      <c r="H572" s="182" t="s">
        <v>46</v>
      </c>
      <c r="I572" s="162"/>
      <c r="J572" s="183">
        <f ca="1">IFERROR(__xludf.DUMMYFUNCTION("IMPORTRANGE(""https://docs.google.com/spreadsheets/d/1hKO5uv94SSRZWOvrh72HRcpyoEQF9TsE_Cvxl77XNU4/edit?usp=share_link"",""กาญจนบุรี!J572"")+IMPORTRANGE(""https://docs.google.com/spreadsheets/d/1njBaP_xXd-Uotvo2D9zb01TTCFkLJLDK97Tk1l9Qux0/edit?usp=share_li"&amp;"nk"",""จันทบุรี!J572"")+IMPORTRANGE(""https://docs.google.com/spreadsheets/d/14xp6qUzrGFnUk_qnc1eEmfiaNRd4_grkhpfQH_46fa8/edit?usp=share_link"",""ฉะเชิงเทรา!J572"")+IMPORTRANGE(""https://docs.google.com/spreadsheets/d/1_Zwps30dlVa-pZFsorjVf1Pil6WXwzCsJU0U"&amp;"2whO3NI/edit?usp=share_link"",""ชลบุรี!J572"")+IMPORTRANGE(""https://docs.google.com/spreadsheets/d/1xAsT4sUbBlom7l0acStESh_15nvjZcXjZM7fK5uZSq8/edit?usp=share_link"",""ชัยนาท!J572"")+IMPORTRANGE(""https://docs.google.com/spreadsheets/d/1vWPVBOAaZ6mHSI8yf"&amp;"95DNqHwTJ1cpeFsvqt6cxV34QA/edit?usp=share_link"",""ตราด!J572"")+IMPORTRANGE(""https://docs.google.com/spreadsheets/d/1phaeSb9lTGgzDpbvVqI9hfmOQQzUom07-HEvpbARzEg/edit?usp=share_link"",""นครนายก!J572"")+IMPORTRANGE(""https://docs.google.com/spreadsheets/d/"&amp;"1tpwhWwkqkBeiSWCcfB5f2fbwPRbM9hHOEDSDHpl2MIc/edit?usp=share_link"",""นครปฐม!J572"")+IMPORTRANGE(""https://docs.google.com/spreadsheets/d/1fJJCVBkBnhriyv0Cp5ZFMr0I_yrfdEITNpb4zILJgUQ/edit?usp=share_link"",""ปทุมธานี!J572"")+IMPORTRANGE(""https://docs.googl"&amp;"e.com/spreadsheets/d/1W5Jj_S0gYw6wSO7QcMI02YgyOBDKYgmm0NSUk-AQEac/edit?usp=share_link"",""ประจวบคีรีขันธ์!J572"")+IMPORTRANGE(""https://docs.google.com/spreadsheets/d/1nYxRXgnCfTXtqUY1otYuTlnrzE0Tn-Y0YRsW5pkRVqo/edit?usp=share_link"",""ปราจีนบุรี!J572"")+"&amp;"IMPORTRANGE(""https://docs.google.com/spreadsheets/d/1nNHCLO8ZAXOMfQvxux7cf_hrzPAh8FAvaHq_ClKbZNo/edit?usp=share_link"",""พระนครศรีอยุธยา!J572"")+IMPORTRANGE(""https://docs.google.com/spreadsheets/d/1CdNicvf3i6yt4tJlCePe3V1Va76wYqW0QzMzTsaGRrA/edit?usp=sh"&amp;"are_link"",""เพชรบุรี!J572"")+IMPORTRANGE(""https://docs.google.com/spreadsheets/d/1XiF77UIVHV0Kjc6xbXuOuJ10WgJYxd4p_22ngKVV5oM/edit?usp=share_link"",""ระยอง!J572"")+IMPORTRANGE(""https://docs.google.com/spreadsheets/d/1qU-W_9MCQD1pgIVXGEOjCFo9QqlmJywueby"&amp;"GgaN92r8/edit?usp=share_link"",""ราชบุรี!J572"")+IMPORTRANGE(""https://docs.google.com/spreadsheets/d/1xYFIxIM_CspAP5Q-5Zx_V0T_Ut3cjryrjd2hss28vGk/edit?usp=share_link"",""ลพบุรี!J572"")+IMPORTRANGE(""https://docs.google.com/spreadsheets/d/11s9m3tKsCBdPWq6"&amp;"syhZm27eBGbKneDLZc75co106bio/edit?usp=share_link"",""สระแก้ว!J572"")+IMPORTRANGE(""https://docs.google.com/spreadsheets/d/1Nn1EvsFPtXldgpgVb3Rcng2K2cls68LFQsBh2FyW0Bg/edit?usp=share_link"",""สระบุรี!J572"")+IMPORTRANGE(""https://docs.google.com/spreadshee"&amp;"ts/d/149xufxukrnEciK3WPbNpHwUK8BKEJxp3UcBG3Al6dA4/edit?usp=share_link"",""สิงห์บุรี!J572"")+IMPORTRANGE(""https://docs.google.com/spreadsheets/d/132g-zJpz2uMKimp17uOIx8A7o3w1Z25zwJyXnwsB56c/edit?usp=share_link"",""สุพรรณบุรี!J572"")+IMPORTRANGE(""https://"&amp;"docs.google.com/spreadsheets/d/12Q_U0nVnFdxDFwa0pej9xvx8ZvLC9Dpi_vRro_aiG5g/edit?usp=share_link"",""อ่างทอง!J572"")
"),0)</f>
        <v>0</v>
      </c>
      <c r="K572" s="163"/>
      <c r="L572" s="163"/>
      <c r="M572" s="163"/>
      <c r="N572" s="163"/>
      <c r="O572" s="163"/>
      <c r="P572" s="163"/>
      <c r="Q572" s="571"/>
      <c r="R572" s="571"/>
      <c r="S572" s="571"/>
      <c r="T572" s="571"/>
      <c r="U572" s="571"/>
      <c r="V572" s="571"/>
      <c r="W572" s="571"/>
      <c r="X572" s="571"/>
      <c r="Y572" s="571"/>
      <c r="Z572" s="571"/>
    </row>
    <row r="573" spans="1:26" ht="20.25" customHeight="1">
      <c r="A573" s="601"/>
      <c r="B573" s="602"/>
      <c r="C573" s="602"/>
      <c r="D573" s="612"/>
      <c r="E573" s="612"/>
      <c r="F573" s="612"/>
      <c r="G573" s="175"/>
      <c r="H573" s="182" t="s">
        <v>34</v>
      </c>
      <c r="I573" s="162"/>
      <c r="J573" s="183">
        <f ca="1">IFERROR(__xludf.DUMMYFUNCTION("IMPORTRANGE(""https://docs.google.com/spreadsheets/d/1hKO5uv94SSRZWOvrh72HRcpyoEQF9TsE_Cvxl77XNU4/edit?usp=share_link"",""กาญจนบุรี!J573"")+IMPORTRANGE(""https://docs.google.com/spreadsheets/d/1njBaP_xXd-Uotvo2D9zb01TTCFkLJLDK97Tk1l9Qux0/edit?usp=share_li"&amp;"nk"",""จันทบุรี!J573"")+IMPORTRANGE(""https://docs.google.com/spreadsheets/d/14xp6qUzrGFnUk_qnc1eEmfiaNRd4_grkhpfQH_46fa8/edit?usp=share_link"",""ฉะเชิงเทรา!J573"")+IMPORTRANGE(""https://docs.google.com/spreadsheets/d/1_Zwps30dlVa-pZFsorjVf1Pil6WXwzCsJU0U"&amp;"2whO3NI/edit?usp=share_link"",""ชลบุรี!J573"")+IMPORTRANGE(""https://docs.google.com/spreadsheets/d/1xAsT4sUbBlom7l0acStESh_15nvjZcXjZM7fK5uZSq8/edit?usp=share_link"",""ชัยนาท!J573"")+IMPORTRANGE(""https://docs.google.com/spreadsheets/d/1vWPVBOAaZ6mHSI8yf"&amp;"95DNqHwTJ1cpeFsvqt6cxV34QA/edit?usp=share_link"",""ตราด!J573"")+IMPORTRANGE(""https://docs.google.com/spreadsheets/d/1phaeSb9lTGgzDpbvVqI9hfmOQQzUom07-HEvpbARzEg/edit?usp=share_link"",""นครนายก!J573"")+IMPORTRANGE(""https://docs.google.com/spreadsheets/d/"&amp;"1tpwhWwkqkBeiSWCcfB5f2fbwPRbM9hHOEDSDHpl2MIc/edit?usp=share_link"",""นครปฐม!J573"")+IMPORTRANGE(""https://docs.google.com/spreadsheets/d/1fJJCVBkBnhriyv0Cp5ZFMr0I_yrfdEITNpb4zILJgUQ/edit?usp=share_link"",""ปทุมธานี!J573"")+IMPORTRANGE(""https://docs.googl"&amp;"e.com/spreadsheets/d/1W5Jj_S0gYw6wSO7QcMI02YgyOBDKYgmm0NSUk-AQEac/edit?usp=share_link"",""ประจวบคีรีขันธ์!J573"")+IMPORTRANGE(""https://docs.google.com/spreadsheets/d/1nYxRXgnCfTXtqUY1otYuTlnrzE0Tn-Y0YRsW5pkRVqo/edit?usp=share_link"",""ปราจีนบุรี!J573"")+"&amp;"IMPORTRANGE(""https://docs.google.com/spreadsheets/d/1nNHCLO8ZAXOMfQvxux7cf_hrzPAh8FAvaHq_ClKbZNo/edit?usp=share_link"",""พระนครศรีอยุธยา!J573"")+IMPORTRANGE(""https://docs.google.com/spreadsheets/d/1CdNicvf3i6yt4tJlCePe3V1Va76wYqW0QzMzTsaGRrA/edit?usp=sh"&amp;"are_link"",""เพชรบุรี!J573"")+IMPORTRANGE(""https://docs.google.com/spreadsheets/d/1XiF77UIVHV0Kjc6xbXuOuJ10WgJYxd4p_22ngKVV5oM/edit?usp=share_link"",""ระยอง!J573"")+IMPORTRANGE(""https://docs.google.com/spreadsheets/d/1qU-W_9MCQD1pgIVXGEOjCFo9QqlmJywueby"&amp;"GgaN92r8/edit?usp=share_link"",""ราชบุรี!J573"")+IMPORTRANGE(""https://docs.google.com/spreadsheets/d/1xYFIxIM_CspAP5Q-5Zx_V0T_Ut3cjryrjd2hss28vGk/edit?usp=share_link"",""ลพบุรี!J573"")+IMPORTRANGE(""https://docs.google.com/spreadsheets/d/11s9m3tKsCBdPWq6"&amp;"syhZm27eBGbKneDLZc75co106bio/edit?usp=share_link"",""สระแก้ว!J573"")+IMPORTRANGE(""https://docs.google.com/spreadsheets/d/1Nn1EvsFPtXldgpgVb3Rcng2K2cls68LFQsBh2FyW0Bg/edit?usp=share_link"",""สระบุรี!J573"")+IMPORTRANGE(""https://docs.google.com/spreadshee"&amp;"ts/d/149xufxukrnEciK3WPbNpHwUK8BKEJxp3UcBG3Al6dA4/edit?usp=share_link"",""สิงห์บุรี!J573"")+IMPORTRANGE(""https://docs.google.com/spreadsheets/d/132g-zJpz2uMKimp17uOIx8A7o3w1Z25zwJyXnwsB56c/edit?usp=share_link"",""สุพรรณบุรี!J573"")+IMPORTRANGE(""https://"&amp;"docs.google.com/spreadsheets/d/12Q_U0nVnFdxDFwa0pej9xvx8ZvLC9Dpi_vRro_aiG5g/edit?usp=share_link"",""อ่างทอง!J573"")
"),0)</f>
        <v>0</v>
      </c>
      <c r="K573" s="163"/>
      <c r="L573" s="163"/>
      <c r="M573" s="163"/>
      <c r="N573" s="163"/>
      <c r="O573" s="163"/>
      <c r="P573" s="163"/>
      <c r="Q573" s="571"/>
      <c r="R573" s="571"/>
      <c r="S573" s="571"/>
      <c r="T573" s="571"/>
      <c r="U573" s="571"/>
      <c r="V573" s="571"/>
      <c r="W573" s="571"/>
      <c r="X573" s="571"/>
      <c r="Y573" s="571"/>
      <c r="Z573" s="571"/>
    </row>
    <row r="574" spans="1:26" ht="20.25" customHeight="1">
      <c r="A574" s="601"/>
      <c r="B574" s="602"/>
      <c r="C574" s="602"/>
      <c r="D574" s="187" t="s">
        <v>242</v>
      </c>
      <c r="E574" s="612"/>
      <c r="F574" s="612"/>
      <c r="G574" s="175"/>
      <c r="H574" s="182" t="s">
        <v>46</v>
      </c>
      <c r="I574" s="162"/>
      <c r="J574" s="183">
        <f ca="1">IFERROR(__xludf.DUMMYFUNCTION("IMPORTRANGE(""https://docs.google.com/spreadsheets/d/1hKO5uv94SSRZWOvrh72HRcpyoEQF9TsE_Cvxl77XNU4/edit?usp=share_link"",""กาญจนบุรี!J574"")+IMPORTRANGE(""https://docs.google.com/spreadsheets/d/1njBaP_xXd-Uotvo2D9zb01TTCFkLJLDK97Tk1l9Qux0/edit?usp=share_li"&amp;"nk"",""จันทบุรี!J574"")+IMPORTRANGE(""https://docs.google.com/spreadsheets/d/14xp6qUzrGFnUk_qnc1eEmfiaNRd4_grkhpfQH_46fa8/edit?usp=share_link"",""ฉะเชิงเทรา!J574"")+IMPORTRANGE(""https://docs.google.com/spreadsheets/d/1_Zwps30dlVa-pZFsorjVf1Pil6WXwzCsJU0U"&amp;"2whO3NI/edit?usp=share_link"",""ชลบุรี!J574"")+IMPORTRANGE(""https://docs.google.com/spreadsheets/d/1xAsT4sUbBlom7l0acStESh_15nvjZcXjZM7fK5uZSq8/edit?usp=share_link"",""ชัยนาท!J574"")+IMPORTRANGE(""https://docs.google.com/spreadsheets/d/1vWPVBOAaZ6mHSI8yf"&amp;"95DNqHwTJ1cpeFsvqt6cxV34QA/edit?usp=share_link"",""ตราด!J574"")+IMPORTRANGE(""https://docs.google.com/spreadsheets/d/1phaeSb9lTGgzDpbvVqI9hfmOQQzUom07-HEvpbARzEg/edit?usp=share_link"",""นครนายก!J574"")+IMPORTRANGE(""https://docs.google.com/spreadsheets/d/"&amp;"1tpwhWwkqkBeiSWCcfB5f2fbwPRbM9hHOEDSDHpl2MIc/edit?usp=share_link"",""นครปฐม!J574"")+IMPORTRANGE(""https://docs.google.com/spreadsheets/d/1fJJCVBkBnhriyv0Cp5ZFMr0I_yrfdEITNpb4zILJgUQ/edit?usp=share_link"",""ปทุมธานี!J574"")+IMPORTRANGE(""https://docs.googl"&amp;"e.com/spreadsheets/d/1W5Jj_S0gYw6wSO7QcMI02YgyOBDKYgmm0NSUk-AQEac/edit?usp=share_link"",""ประจวบคีรีขันธ์!J574"")+IMPORTRANGE(""https://docs.google.com/spreadsheets/d/1nYxRXgnCfTXtqUY1otYuTlnrzE0Tn-Y0YRsW5pkRVqo/edit?usp=share_link"",""ปราจีนบุรี!J574"")+"&amp;"IMPORTRANGE(""https://docs.google.com/spreadsheets/d/1nNHCLO8ZAXOMfQvxux7cf_hrzPAh8FAvaHq_ClKbZNo/edit?usp=share_link"",""พระนครศรีอยุธยา!J574"")+IMPORTRANGE(""https://docs.google.com/spreadsheets/d/1CdNicvf3i6yt4tJlCePe3V1Va76wYqW0QzMzTsaGRrA/edit?usp=sh"&amp;"are_link"",""เพชรบุรี!J574"")+IMPORTRANGE(""https://docs.google.com/spreadsheets/d/1XiF77UIVHV0Kjc6xbXuOuJ10WgJYxd4p_22ngKVV5oM/edit?usp=share_link"",""ระยอง!J574"")+IMPORTRANGE(""https://docs.google.com/spreadsheets/d/1qU-W_9MCQD1pgIVXGEOjCFo9QqlmJywueby"&amp;"GgaN92r8/edit?usp=share_link"",""ราชบุรี!J574"")+IMPORTRANGE(""https://docs.google.com/spreadsheets/d/1xYFIxIM_CspAP5Q-5Zx_V0T_Ut3cjryrjd2hss28vGk/edit?usp=share_link"",""ลพบุรี!J574"")+IMPORTRANGE(""https://docs.google.com/spreadsheets/d/11s9m3tKsCBdPWq6"&amp;"syhZm27eBGbKneDLZc75co106bio/edit?usp=share_link"",""สระแก้ว!J574"")+IMPORTRANGE(""https://docs.google.com/spreadsheets/d/1Nn1EvsFPtXldgpgVb3Rcng2K2cls68LFQsBh2FyW0Bg/edit?usp=share_link"",""สระบุรี!J574"")+IMPORTRANGE(""https://docs.google.com/spreadshee"&amp;"ts/d/149xufxukrnEciK3WPbNpHwUK8BKEJxp3UcBG3Al6dA4/edit?usp=share_link"",""สิงห์บุรี!J574"")+IMPORTRANGE(""https://docs.google.com/spreadsheets/d/132g-zJpz2uMKimp17uOIx8A7o3w1Z25zwJyXnwsB56c/edit?usp=share_link"",""สุพรรณบุรี!J574"")+IMPORTRANGE(""https://"&amp;"docs.google.com/spreadsheets/d/12Q_U0nVnFdxDFwa0pej9xvx8ZvLC9Dpi_vRro_aiG5g/edit?usp=share_link"",""อ่างทอง!J574"")
"),0)</f>
        <v>0</v>
      </c>
      <c r="K574" s="163"/>
      <c r="L574" s="163"/>
      <c r="M574" s="163"/>
      <c r="N574" s="163"/>
      <c r="O574" s="163"/>
      <c r="P574" s="163"/>
      <c r="Q574" s="571"/>
      <c r="R574" s="571"/>
      <c r="S574" s="571"/>
      <c r="T574" s="571"/>
      <c r="U574" s="571"/>
      <c r="V574" s="571"/>
      <c r="W574" s="571"/>
      <c r="X574" s="571"/>
      <c r="Y574" s="571"/>
      <c r="Z574" s="571"/>
    </row>
    <row r="575" spans="1:26" ht="20.25" customHeight="1">
      <c r="A575" s="601"/>
      <c r="B575" s="602"/>
      <c r="C575" s="602"/>
      <c r="D575" s="602"/>
      <c r="E575" s="612"/>
      <c r="F575" s="612"/>
      <c r="G575" s="175"/>
      <c r="H575" s="182" t="s">
        <v>34</v>
      </c>
      <c r="I575" s="162"/>
      <c r="J575" s="183">
        <f ca="1">IFERROR(__xludf.DUMMYFUNCTION("IMPORTRANGE(""https://docs.google.com/spreadsheets/d/1hKO5uv94SSRZWOvrh72HRcpyoEQF9TsE_Cvxl77XNU4/edit?usp=share_link"",""กาญจนบุรี!J575"")+IMPORTRANGE(""https://docs.google.com/spreadsheets/d/1njBaP_xXd-Uotvo2D9zb01TTCFkLJLDK97Tk1l9Qux0/edit?usp=share_li"&amp;"nk"",""จันทบุรี!J575"")+IMPORTRANGE(""https://docs.google.com/spreadsheets/d/14xp6qUzrGFnUk_qnc1eEmfiaNRd4_grkhpfQH_46fa8/edit?usp=share_link"",""ฉะเชิงเทรา!J575"")+IMPORTRANGE(""https://docs.google.com/spreadsheets/d/1_Zwps30dlVa-pZFsorjVf1Pil6WXwzCsJU0U"&amp;"2whO3NI/edit?usp=share_link"",""ชลบุรี!J575"")+IMPORTRANGE(""https://docs.google.com/spreadsheets/d/1xAsT4sUbBlom7l0acStESh_15nvjZcXjZM7fK5uZSq8/edit?usp=share_link"",""ชัยนาท!J575"")+IMPORTRANGE(""https://docs.google.com/spreadsheets/d/1vWPVBOAaZ6mHSI8yf"&amp;"95DNqHwTJ1cpeFsvqt6cxV34QA/edit?usp=share_link"",""ตราด!J575"")+IMPORTRANGE(""https://docs.google.com/spreadsheets/d/1phaeSb9lTGgzDpbvVqI9hfmOQQzUom07-HEvpbARzEg/edit?usp=share_link"",""นครนายก!J575"")+IMPORTRANGE(""https://docs.google.com/spreadsheets/d/"&amp;"1tpwhWwkqkBeiSWCcfB5f2fbwPRbM9hHOEDSDHpl2MIc/edit?usp=share_link"",""นครปฐม!J575"")+IMPORTRANGE(""https://docs.google.com/spreadsheets/d/1fJJCVBkBnhriyv0Cp5ZFMr0I_yrfdEITNpb4zILJgUQ/edit?usp=share_link"",""ปทุมธานี!J575"")+IMPORTRANGE(""https://docs.googl"&amp;"e.com/spreadsheets/d/1W5Jj_S0gYw6wSO7QcMI02YgyOBDKYgmm0NSUk-AQEac/edit?usp=share_link"",""ประจวบคีรีขันธ์!J575"")+IMPORTRANGE(""https://docs.google.com/spreadsheets/d/1nYxRXgnCfTXtqUY1otYuTlnrzE0Tn-Y0YRsW5pkRVqo/edit?usp=share_link"",""ปราจีนบุรี!J575"")+"&amp;"IMPORTRANGE(""https://docs.google.com/spreadsheets/d/1nNHCLO8ZAXOMfQvxux7cf_hrzPAh8FAvaHq_ClKbZNo/edit?usp=share_link"",""พระนครศรีอยุธยา!J575"")+IMPORTRANGE(""https://docs.google.com/spreadsheets/d/1CdNicvf3i6yt4tJlCePe3V1Va76wYqW0QzMzTsaGRrA/edit?usp=sh"&amp;"are_link"",""เพชรบุรี!J575"")+IMPORTRANGE(""https://docs.google.com/spreadsheets/d/1XiF77UIVHV0Kjc6xbXuOuJ10WgJYxd4p_22ngKVV5oM/edit?usp=share_link"",""ระยอง!J575"")+IMPORTRANGE(""https://docs.google.com/spreadsheets/d/1qU-W_9MCQD1pgIVXGEOjCFo9QqlmJywueby"&amp;"GgaN92r8/edit?usp=share_link"",""ราชบุรี!J575"")+IMPORTRANGE(""https://docs.google.com/spreadsheets/d/1xYFIxIM_CspAP5Q-5Zx_V0T_Ut3cjryrjd2hss28vGk/edit?usp=share_link"",""ลพบุรี!J575"")+IMPORTRANGE(""https://docs.google.com/spreadsheets/d/11s9m3tKsCBdPWq6"&amp;"syhZm27eBGbKneDLZc75co106bio/edit?usp=share_link"",""สระแก้ว!J575"")+IMPORTRANGE(""https://docs.google.com/spreadsheets/d/1Nn1EvsFPtXldgpgVb3Rcng2K2cls68LFQsBh2FyW0Bg/edit?usp=share_link"",""สระบุรี!J575"")+IMPORTRANGE(""https://docs.google.com/spreadshee"&amp;"ts/d/149xufxukrnEciK3WPbNpHwUK8BKEJxp3UcBG3Al6dA4/edit?usp=share_link"",""สิงห์บุรี!J575"")+IMPORTRANGE(""https://docs.google.com/spreadsheets/d/132g-zJpz2uMKimp17uOIx8A7o3w1Z25zwJyXnwsB56c/edit?usp=share_link"",""สุพรรณบุรี!J575"")+IMPORTRANGE(""https://"&amp;"docs.google.com/spreadsheets/d/12Q_U0nVnFdxDFwa0pej9xvx8ZvLC9Dpi_vRro_aiG5g/edit?usp=share_link"",""อ่างทอง!J575"")
"),0)</f>
        <v>0</v>
      </c>
      <c r="K575" s="163"/>
      <c r="L575" s="163"/>
      <c r="M575" s="163"/>
      <c r="N575" s="163"/>
      <c r="O575" s="163"/>
      <c r="P575" s="163"/>
      <c r="Q575" s="571"/>
      <c r="R575" s="571"/>
      <c r="S575" s="571"/>
      <c r="T575" s="571"/>
      <c r="U575" s="571"/>
      <c r="V575" s="571"/>
      <c r="W575" s="571"/>
      <c r="X575" s="571"/>
      <c r="Y575" s="571"/>
      <c r="Z575" s="571"/>
    </row>
    <row r="576" spans="1:26" ht="20.25" customHeight="1">
      <c r="A576" s="601"/>
      <c r="B576" s="602"/>
      <c r="C576" s="615" t="s">
        <v>243</v>
      </c>
      <c r="D576" s="602"/>
      <c r="E576" s="602"/>
      <c r="F576" s="612"/>
      <c r="G576" s="175"/>
      <c r="H576" s="192" t="s">
        <v>46</v>
      </c>
      <c r="I576" s="193">
        <f ca="1">IFERROR(__xludf.DUMMYFUNCTION("IMPORTRANGE(""https://docs.google.com/spreadsheets/d/1hKO5uv94SSRZWOvrh72HRcpyoEQF9TsE_Cvxl77XNU4/edit?usp=share_link"",""กาญจนบุรี!I576"")+IMPORTRANGE(""https://docs.google.com/spreadsheets/d/1njBaP_xXd-Uotvo2D9zb01TTCFkLJLDK97Tk1l9Qux0/edit?usp=share_li"&amp;"nk"",""จันทบุรี!I576"")+IMPORTRANGE(""https://docs.google.com/spreadsheets/d/14xp6qUzrGFnUk_qnc1eEmfiaNRd4_grkhpfQH_46fa8/edit?usp=share_link"",""ฉะเชิงเทรา!I576"")+IMPORTRANGE(""https://docs.google.com/spreadsheets/d/1_Zwps30dlVa-pZFsorjVf1Pil6WXwzCsJU0U"&amp;"2whO3NI/edit?usp=share_link"",""ชลบุรี!I576"")+IMPORTRANGE(""https://docs.google.com/spreadsheets/d/1xAsT4sUbBlom7l0acStESh_15nvjZcXjZM7fK5uZSq8/edit?usp=share_link"",""ชัยนาท!I576"")+IMPORTRANGE(""https://docs.google.com/spreadsheets/d/1vWPVBOAaZ6mHSI8yf"&amp;"95DNqHwTJ1cpeFsvqt6cxV34QA/edit?usp=share_link"",""ตราด!I576"")+IMPORTRANGE(""https://docs.google.com/spreadsheets/d/1phaeSb9lTGgzDpbvVqI9hfmOQQzUom07-HEvpbARzEg/edit?usp=share_link"",""นครนายก!I576"")+IMPORTRANGE(""https://docs.google.com/spreadsheets/d/"&amp;"1tpwhWwkqkBeiSWCcfB5f2fbwPRbM9hHOEDSDHpl2MIc/edit?usp=share_link"",""นครปฐม!I576"")+IMPORTRANGE(""https://docs.google.com/spreadsheets/d/1fJJCVBkBnhriyv0Cp5ZFMr0I_yrfdEITNpb4zILJgUQ/edit?usp=share_link"",""ปทุมธานี!I576"")+IMPORTRANGE(""https://docs.googl"&amp;"e.com/spreadsheets/d/1W5Jj_S0gYw6wSO7QcMI02YgyOBDKYgmm0NSUk-AQEac/edit?usp=share_link"",""ประจวบคีรีขันธ์!I576"")+IMPORTRANGE(""https://docs.google.com/spreadsheets/d/1nYxRXgnCfTXtqUY1otYuTlnrzE0Tn-Y0YRsW5pkRVqo/edit?usp=share_link"",""ปราจีนบุรี!I576"")+"&amp;"IMPORTRANGE(""https://docs.google.com/spreadsheets/d/1nNHCLO8ZAXOMfQvxux7cf_hrzPAh8FAvaHq_ClKbZNo/edit?usp=share_link"",""พระนครศรีอยุธยา!I576"")+IMPORTRANGE(""https://docs.google.com/spreadsheets/d/1CdNicvf3i6yt4tJlCePe3V1Va76wYqW0QzMzTsaGRrA/edit?usp=sh"&amp;"are_link"",""เพชรบุรี!I576"")+IMPORTRANGE(""https://docs.google.com/spreadsheets/d/1XiF77UIVHV0Kjc6xbXuOuJ10WgJYxd4p_22ngKVV5oM/edit?usp=share_link"",""ระยอง!I576"")+IMPORTRANGE(""https://docs.google.com/spreadsheets/d/1qU-W_9MCQD1pgIVXGEOjCFo9QqlmJywueby"&amp;"GgaN92r8/edit?usp=share_link"",""ราชบุรี!I576"")+IMPORTRANGE(""https://docs.google.com/spreadsheets/d/1xYFIxIM_CspAP5Q-5Zx_V0T_Ut3cjryrjd2hss28vGk/edit?usp=share_link"",""ลพบุรี!I576"")+IMPORTRANGE(""https://docs.google.com/spreadsheets/d/11s9m3tKsCBdPWq6"&amp;"syhZm27eBGbKneDLZc75co106bio/edit?usp=share_link"",""สระแก้ว!I576"")+IMPORTRANGE(""https://docs.google.com/spreadsheets/d/1Nn1EvsFPtXldgpgVb3Rcng2K2cls68LFQsBh2FyW0Bg/edit?usp=share_link"",""สระบุรี!I576"")+IMPORTRANGE(""https://docs.google.com/spreadshee"&amp;"ts/d/149xufxukrnEciK3WPbNpHwUK8BKEJxp3UcBG3Al6dA4/edit?usp=share_link"",""สิงห์บุรี!I576"")+IMPORTRANGE(""https://docs.google.com/spreadsheets/d/132g-zJpz2uMKimp17uOIx8A7o3w1Z25zwJyXnwsB56c/edit?usp=share_link"",""สุพรรณบุรี!I576"")+IMPORTRANGE(""https://"&amp;"docs.google.com/spreadsheets/d/12Q_U0nVnFdxDFwa0pej9xvx8ZvLC9Dpi_vRro_aiG5g/edit?usp=share_link"",""อ่างทอง!I576"")
"),249435)</f>
        <v>249435</v>
      </c>
      <c r="J576" s="194">
        <f t="shared" ref="J576:J577" ca="1" si="287">J578+J580+J582+J588+J590</f>
        <v>0</v>
      </c>
      <c r="K576" s="410">
        <f t="shared" ref="K576:K577" ca="1" si="288">IF(I576&gt;0,J576*100/I576,0)</f>
        <v>0</v>
      </c>
      <c r="L576" s="163"/>
      <c r="M576" s="163"/>
      <c r="N576" s="163"/>
      <c r="O576" s="163"/>
      <c r="P576" s="163"/>
      <c r="Q576" s="571"/>
      <c r="R576" s="571"/>
      <c r="S576" s="571"/>
      <c r="T576" s="571"/>
      <c r="U576" s="571"/>
      <c r="V576" s="571"/>
      <c r="W576" s="571"/>
      <c r="X576" s="571"/>
      <c r="Y576" s="571"/>
      <c r="Z576" s="571"/>
    </row>
    <row r="577" spans="1:26" ht="20.25" customHeight="1">
      <c r="A577" s="601"/>
      <c r="B577" s="602"/>
      <c r="C577" s="602"/>
      <c r="D577" s="602"/>
      <c r="E577" s="612"/>
      <c r="F577" s="612"/>
      <c r="G577" s="175"/>
      <c r="H577" s="192" t="s">
        <v>34</v>
      </c>
      <c r="I577" s="193">
        <f ca="1">IFERROR(__xludf.DUMMYFUNCTION("IMPORTRANGE(""https://docs.google.com/spreadsheets/d/1hKO5uv94SSRZWOvrh72HRcpyoEQF9TsE_Cvxl77XNU4/edit?usp=share_link"",""กาญจนบุรี!I577"")+IMPORTRANGE(""https://docs.google.com/spreadsheets/d/1njBaP_xXd-Uotvo2D9zb01TTCFkLJLDK97Tk1l9Qux0/edit?usp=share_li"&amp;"nk"",""จันทบุรี!I577"")+IMPORTRANGE(""https://docs.google.com/spreadsheets/d/14xp6qUzrGFnUk_qnc1eEmfiaNRd4_grkhpfQH_46fa8/edit?usp=share_link"",""ฉะเชิงเทรา!I577"")+IMPORTRANGE(""https://docs.google.com/spreadsheets/d/1_Zwps30dlVa-pZFsorjVf1Pil6WXwzCsJU0U"&amp;"2whO3NI/edit?usp=share_link"",""ชลบุรี!I577"")+IMPORTRANGE(""https://docs.google.com/spreadsheets/d/1xAsT4sUbBlom7l0acStESh_15nvjZcXjZM7fK5uZSq8/edit?usp=share_link"",""ชัยนาท!I577"")+IMPORTRANGE(""https://docs.google.com/spreadsheets/d/1vWPVBOAaZ6mHSI8yf"&amp;"95DNqHwTJ1cpeFsvqt6cxV34QA/edit?usp=share_link"",""ตราด!I577"")+IMPORTRANGE(""https://docs.google.com/spreadsheets/d/1phaeSb9lTGgzDpbvVqI9hfmOQQzUom07-HEvpbARzEg/edit?usp=share_link"",""นครนายก!I577"")+IMPORTRANGE(""https://docs.google.com/spreadsheets/d/"&amp;"1tpwhWwkqkBeiSWCcfB5f2fbwPRbM9hHOEDSDHpl2MIc/edit?usp=share_link"",""นครปฐม!I577"")+IMPORTRANGE(""https://docs.google.com/spreadsheets/d/1fJJCVBkBnhriyv0Cp5ZFMr0I_yrfdEITNpb4zILJgUQ/edit?usp=share_link"",""ปทุมธานี!I577"")+IMPORTRANGE(""https://docs.googl"&amp;"e.com/spreadsheets/d/1W5Jj_S0gYw6wSO7QcMI02YgyOBDKYgmm0NSUk-AQEac/edit?usp=share_link"",""ประจวบคีรีขันธ์!I577"")+IMPORTRANGE(""https://docs.google.com/spreadsheets/d/1nYxRXgnCfTXtqUY1otYuTlnrzE0Tn-Y0YRsW5pkRVqo/edit?usp=share_link"",""ปราจีนบุรี!I577"")+"&amp;"IMPORTRANGE(""https://docs.google.com/spreadsheets/d/1nNHCLO8ZAXOMfQvxux7cf_hrzPAh8FAvaHq_ClKbZNo/edit?usp=share_link"",""พระนครศรีอยุธยา!I577"")+IMPORTRANGE(""https://docs.google.com/spreadsheets/d/1CdNicvf3i6yt4tJlCePe3V1Va76wYqW0QzMzTsaGRrA/edit?usp=sh"&amp;"are_link"",""เพชรบุรี!I577"")+IMPORTRANGE(""https://docs.google.com/spreadsheets/d/1XiF77UIVHV0Kjc6xbXuOuJ10WgJYxd4p_22ngKVV5oM/edit?usp=share_link"",""ระยอง!I577"")+IMPORTRANGE(""https://docs.google.com/spreadsheets/d/1qU-W_9MCQD1pgIVXGEOjCFo9QqlmJywueby"&amp;"GgaN92r8/edit?usp=share_link"",""ราชบุรี!I577"")+IMPORTRANGE(""https://docs.google.com/spreadsheets/d/1xYFIxIM_CspAP5Q-5Zx_V0T_Ut3cjryrjd2hss28vGk/edit?usp=share_link"",""ลพบุรี!I577"")+IMPORTRANGE(""https://docs.google.com/spreadsheets/d/11s9m3tKsCBdPWq6"&amp;"syhZm27eBGbKneDLZc75co106bio/edit?usp=share_link"",""สระแก้ว!I577"")+IMPORTRANGE(""https://docs.google.com/spreadsheets/d/1Nn1EvsFPtXldgpgVb3Rcng2K2cls68LFQsBh2FyW0Bg/edit?usp=share_link"",""สระบุรี!I577"")+IMPORTRANGE(""https://docs.google.com/spreadshee"&amp;"ts/d/149xufxukrnEciK3WPbNpHwUK8BKEJxp3UcBG3Al6dA4/edit?usp=share_link"",""สิงห์บุรี!I577"")+IMPORTRANGE(""https://docs.google.com/spreadsheets/d/132g-zJpz2uMKimp17uOIx8A7o3w1Z25zwJyXnwsB56c/edit?usp=share_link"",""สุพรรณบุรี!I577"")+IMPORTRANGE(""https://"&amp;"docs.google.com/spreadsheets/d/12Q_U0nVnFdxDFwa0pej9xvx8ZvLC9Dpi_vRro_aiG5g/edit?usp=share_link"",""อ่างทอง!I577"")
"),20030)</f>
        <v>20030</v>
      </c>
      <c r="J577" s="194">
        <f t="shared" ca="1" si="287"/>
        <v>0</v>
      </c>
      <c r="K577" s="410">
        <f t="shared" ca="1" si="288"/>
        <v>0</v>
      </c>
      <c r="L577" s="163"/>
      <c r="M577" s="163"/>
      <c r="N577" s="163"/>
      <c r="O577" s="163"/>
      <c r="P577" s="163"/>
      <c r="Q577" s="571"/>
      <c r="R577" s="571"/>
      <c r="S577" s="571"/>
      <c r="T577" s="571"/>
      <c r="U577" s="571"/>
      <c r="V577" s="571"/>
      <c r="W577" s="571"/>
      <c r="X577" s="571"/>
      <c r="Y577" s="571"/>
      <c r="Z577" s="571"/>
    </row>
    <row r="578" spans="1:26" ht="20.25" customHeight="1">
      <c r="A578" s="601"/>
      <c r="B578" s="602"/>
      <c r="C578" s="602"/>
      <c r="D578" s="187" t="s">
        <v>244</v>
      </c>
      <c r="E578" s="612"/>
      <c r="F578" s="612"/>
      <c r="G578" s="175"/>
      <c r="H578" s="182" t="s">
        <v>46</v>
      </c>
      <c r="I578" s="162"/>
      <c r="J578" s="183">
        <f ca="1">IFERROR(__xludf.DUMMYFUNCTION("IMPORTRANGE(""https://docs.google.com/spreadsheets/d/1hKO5uv94SSRZWOvrh72HRcpyoEQF9TsE_Cvxl77XNU4/edit?usp=share_link"",""กาญจนบุรี!J578"")+IMPORTRANGE(""https://docs.google.com/spreadsheets/d/1njBaP_xXd-Uotvo2D9zb01TTCFkLJLDK97Tk1l9Qux0/edit?usp=share_li"&amp;"nk"",""จันทบุรี!J578"")+IMPORTRANGE(""https://docs.google.com/spreadsheets/d/14xp6qUzrGFnUk_qnc1eEmfiaNRd4_grkhpfQH_46fa8/edit?usp=share_link"",""ฉะเชิงเทรา!J578"")+IMPORTRANGE(""https://docs.google.com/spreadsheets/d/1_Zwps30dlVa-pZFsorjVf1Pil6WXwzCsJU0U"&amp;"2whO3NI/edit?usp=share_link"",""ชลบุรี!J578"")+IMPORTRANGE(""https://docs.google.com/spreadsheets/d/1xAsT4sUbBlom7l0acStESh_15nvjZcXjZM7fK5uZSq8/edit?usp=share_link"",""ชัยนาท!J578"")+IMPORTRANGE(""https://docs.google.com/spreadsheets/d/1vWPVBOAaZ6mHSI8yf"&amp;"95DNqHwTJ1cpeFsvqt6cxV34QA/edit?usp=share_link"",""ตราด!J578"")+IMPORTRANGE(""https://docs.google.com/spreadsheets/d/1phaeSb9lTGgzDpbvVqI9hfmOQQzUom07-HEvpbARzEg/edit?usp=share_link"",""นครนายก!J578"")+IMPORTRANGE(""https://docs.google.com/spreadsheets/d/"&amp;"1tpwhWwkqkBeiSWCcfB5f2fbwPRbM9hHOEDSDHpl2MIc/edit?usp=share_link"",""นครปฐม!J578"")+IMPORTRANGE(""https://docs.google.com/spreadsheets/d/1fJJCVBkBnhriyv0Cp5ZFMr0I_yrfdEITNpb4zILJgUQ/edit?usp=share_link"",""ปทุมธานี!J578"")+IMPORTRANGE(""https://docs.googl"&amp;"e.com/spreadsheets/d/1W5Jj_S0gYw6wSO7QcMI02YgyOBDKYgmm0NSUk-AQEac/edit?usp=share_link"",""ประจวบคีรีขันธ์!J578"")+IMPORTRANGE(""https://docs.google.com/spreadsheets/d/1nYxRXgnCfTXtqUY1otYuTlnrzE0Tn-Y0YRsW5pkRVqo/edit?usp=share_link"",""ปราจีนบุรี!J578"")+"&amp;"IMPORTRANGE(""https://docs.google.com/spreadsheets/d/1nNHCLO8ZAXOMfQvxux7cf_hrzPAh8FAvaHq_ClKbZNo/edit?usp=share_link"",""พระนครศรีอยุธยา!J578"")+IMPORTRANGE(""https://docs.google.com/spreadsheets/d/1CdNicvf3i6yt4tJlCePe3V1Va76wYqW0QzMzTsaGRrA/edit?usp=sh"&amp;"are_link"",""เพชรบุรี!J578"")+IMPORTRANGE(""https://docs.google.com/spreadsheets/d/1XiF77UIVHV0Kjc6xbXuOuJ10WgJYxd4p_22ngKVV5oM/edit?usp=share_link"",""ระยอง!J578"")+IMPORTRANGE(""https://docs.google.com/spreadsheets/d/1qU-W_9MCQD1pgIVXGEOjCFo9QqlmJywueby"&amp;"GgaN92r8/edit?usp=share_link"",""ราชบุรี!J578"")+IMPORTRANGE(""https://docs.google.com/spreadsheets/d/1xYFIxIM_CspAP5Q-5Zx_V0T_Ut3cjryrjd2hss28vGk/edit?usp=share_link"",""ลพบุรี!J578"")+IMPORTRANGE(""https://docs.google.com/spreadsheets/d/11s9m3tKsCBdPWq6"&amp;"syhZm27eBGbKneDLZc75co106bio/edit?usp=share_link"",""สระแก้ว!J578"")+IMPORTRANGE(""https://docs.google.com/spreadsheets/d/1Nn1EvsFPtXldgpgVb3Rcng2K2cls68LFQsBh2FyW0Bg/edit?usp=share_link"",""สระบุรี!J578"")+IMPORTRANGE(""https://docs.google.com/spreadshee"&amp;"ts/d/149xufxukrnEciK3WPbNpHwUK8BKEJxp3UcBG3Al6dA4/edit?usp=share_link"",""สิงห์บุรี!J578"")+IMPORTRANGE(""https://docs.google.com/spreadsheets/d/132g-zJpz2uMKimp17uOIx8A7o3w1Z25zwJyXnwsB56c/edit?usp=share_link"",""สุพรรณบุรี!J578"")+IMPORTRANGE(""https://"&amp;"docs.google.com/spreadsheets/d/12Q_U0nVnFdxDFwa0pej9xvx8ZvLC9Dpi_vRro_aiG5g/edit?usp=share_link"",""อ่างทอง!J578"")
"),0)</f>
        <v>0</v>
      </c>
      <c r="K578" s="163"/>
      <c r="L578" s="163"/>
      <c r="M578" s="163"/>
      <c r="N578" s="163"/>
      <c r="O578" s="163"/>
      <c r="P578" s="163"/>
      <c r="Q578" s="571"/>
      <c r="R578" s="571"/>
      <c r="S578" s="571"/>
      <c r="T578" s="571"/>
      <c r="U578" s="571"/>
      <c r="V578" s="571"/>
      <c r="W578" s="571"/>
      <c r="X578" s="571"/>
      <c r="Y578" s="571"/>
      <c r="Z578" s="571"/>
    </row>
    <row r="579" spans="1:26" ht="20.25" customHeight="1">
      <c r="A579" s="601"/>
      <c r="B579" s="602"/>
      <c r="C579" s="602"/>
      <c r="D579" s="602"/>
      <c r="E579" s="612"/>
      <c r="F579" s="612"/>
      <c r="G579" s="175"/>
      <c r="H579" s="182" t="s">
        <v>34</v>
      </c>
      <c r="I579" s="162"/>
      <c r="J579" s="183">
        <f ca="1">IFERROR(__xludf.DUMMYFUNCTION("IMPORTRANGE(""https://docs.google.com/spreadsheets/d/1hKO5uv94SSRZWOvrh72HRcpyoEQF9TsE_Cvxl77XNU4/edit?usp=share_link"",""กาญจนบุรี!J579"")+IMPORTRANGE(""https://docs.google.com/spreadsheets/d/1njBaP_xXd-Uotvo2D9zb01TTCFkLJLDK97Tk1l9Qux0/edit?usp=share_li"&amp;"nk"",""จันทบุรี!J579"")+IMPORTRANGE(""https://docs.google.com/spreadsheets/d/14xp6qUzrGFnUk_qnc1eEmfiaNRd4_grkhpfQH_46fa8/edit?usp=share_link"",""ฉะเชิงเทรา!J579"")+IMPORTRANGE(""https://docs.google.com/spreadsheets/d/1_Zwps30dlVa-pZFsorjVf1Pil6WXwzCsJU0U"&amp;"2whO3NI/edit?usp=share_link"",""ชลบุรี!J579"")+IMPORTRANGE(""https://docs.google.com/spreadsheets/d/1xAsT4sUbBlom7l0acStESh_15nvjZcXjZM7fK5uZSq8/edit?usp=share_link"",""ชัยนาท!J579"")+IMPORTRANGE(""https://docs.google.com/spreadsheets/d/1vWPVBOAaZ6mHSI8yf"&amp;"95DNqHwTJ1cpeFsvqt6cxV34QA/edit?usp=share_link"",""ตราด!J579"")+IMPORTRANGE(""https://docs.google.com/spreadsheets/d/1phaeSb9lTGgzDpbvVqI9hfmOQQzUom07-HEvpbARzEg/edit?usp=share_link"",""นครนายก!J579"")+IMPORTRANGE(""https://docs.google.com/spreadsheets/d/"&amp;"1tpwhWwkqkBeiSWCcfB5f2fbwPRbM9hHOEDSDHpl2MIc/edit?usp=share_link"",""นครปฐม!J579"")+IMPORTRANGE(""https://docs.google.com/spreadsheets/d/1fJJCVBkBnhriyv0Cp5ZFMr0I_yrfdEITNpb4zILJgUQ/edit?usp=share_link"",""ปทุมธานี!J579"")+IMPORTRANGE(""https://docs.googl"&amp;"e.com/spreadsheets/d/1W5Jj_S0gYw6wSO7QcMI02YgyOBDKYgmm0NSUk-AQEac/edit?usp=share_link"",""ประจวบคีรีขันธ์!J579"")+IMPORTRANGE(""https://docs.google.com/spreadsheets/d/1nYxRXgnCfTXtqUY1otYuTlnrzE0Tn-Y0YRsW5pkRVqo/edit?usp=share_link"",""ปราจีนบุรี!J579"")+"&amp;"IMPORTRANGE(""https://docs.google.com/spreadsheets/d/1nNHCLO8ZAXOMfQvxux7cf_hrzPAh8FAvaHq_ClKbZNo/edit?usp=share_link"",""พระนครศรีอยุธยา!J579"")+IMPORTRANGE(""https://docs.google.com/spreadsheets/d/1CdNicvf3i6yt4tJlCePe3V1Va76wYqW0QzMzTsaGRrA/edit?usp=sh"&amp;"are_link"",""เพชรบุรี!J579"")+IMPORTRANGE(""https://docs.google.com/spreadsheets/d/1XiF77UIVHV0Kjc6xbXuOuJ10WgJYxd4p_22ngKVV5oM/edit?usp=share_link"",""ระยอง!J579"")+IMPORTRANGE(""https://docs.google.com/spreadsheets/d/1qU-W_9MCQD1pgIVXGEOjCFo9QqlmJywueby"&amp;"GgaN92r8/edit?usp=share_link"",""ราชบุรี!J579"")+IMPORTRANGE(""https://docs.google.com/spreadsheets/d/1xYFIxIM_CspAP5Q-5Zx_V0T_Ut3cjryrjd2hss28vGk/edit?usp=share_link"",""ลพบุรี!J579"")+IMPORTRANGE(""https://docs.google.com/spreadsheets/d/11s9m3tKsCBdPWq6"&amp;"syhZm27eBGbKneDLZc75co106bio/edit?usp=share_link"",""สระแก้ว!J579"")+IMPORTRANGE(""https://docs.google.com/spreadsheets/d/1Nn1EvsFPtXldgpgVb3Rcng2K2cls68LFQsBh2FyW0Bg/edit?usp=share_link"",""สระบุรี!J579"")+IMPORTRANGE(""https://docs.google.com/spreadshee"&amp;"ts/d/149xufxukrnEciK3WPbNpHwUK8BKEJxp3UcBG3Al6dA4/edit?usp=share_link"",""สิงห์บุรี!J579"")+IMPORTRANGE(""https://docs.google.com/spreadsheets/d/132g-zJpz2uMKimp17uOIx8A7o3w1Z25zwJyXnwsB56c/edit?usp=share_link"",""สุพรรณบุรี!J579"")+IMPORTRANGE(""https://"&amp;"docs.google.com/spreadsheets/d/12Q_U0nVnFdxDFwa0pej9xvx8ZvLC9Dpi_vRro_aiG5g/edit?usp=share_link"",""อ่างทอง!J579"")
"),0)</f>
        <v>0</v>
      </c>
      <c r="K579" s="163"/>
      <c r="L579" s="163"/>
      <c r="M579" s="163"/>
      <c r="N579" s="163"/>
      <c r="O579" s="163"/>
      <c r="P579" s="163"/>
      <c r="Q579" s="571"/>
      <c r="R579" s="571"/>
      <c r="S579" s="571"/>
      <c r="T579" s="571"/>
      <c r="U579" s="571"/>
      <c r="V579" s="571"/>
      <c r="W579" s="571"/>
      <c r="X579" s="571"/>
      <c r="Y579" s="571"/>
      <c r="Z579" s="571"/>
    </row>
    <row r="580" spans="1:26" ht="20.25" customHeight="1">
      <c r="A580" s="601"/>
      <c r="B580" s="602"/>
      <c r="C580" s="602"/>
      <c r="D580" s="187" t="s">
        <v>245</v>
      </c>
      <c r="E580" s="612"/>
      <c r="F580" s="612"/>
      <c r="G580" s="175"/>
      <c r="H580" s="182" t="s">
        <v>46</v>
      </c>
      <c r="I580" s="162"/>
      <c r="J580" s="183">
        <f ca="1">IFERROR(__xludf.DUMMYFUNCTION("IMPORTRANGE(""https://docs.google.com/spreadsheets/d/1hKO5uv94SSRZWOvrh72HRcpyoEQF9TsE_Cvxl77XNU4/edit?usp=share_link"",""กาญจนบุรี!J580"")+IMPORTRANGE(""https://docs.google.com/spreadsheets/d/1njBaP_xXd-Uotvo2D9zb01TTCFkLJLDK97Tk1l9Qux0/edit?usp=share_li"&amp;"nk"",""จันทบุรี!J580"")+IMPORTRANGE(""https://docs.google.com/spreadsheets/d/14xp6qUzrGFnUk_qnc1eEmfiaNRd4_grkhpfQH_46fa8/edit?usp=share_link"",""ฉะเชิงเทรา!J580"")+IMPORTRANGE(""https://docs.google.com/spreadsheets/d/1_Zwps30dlVa-pZFsorjVf1Pil6WXwzCsJU0U"&amp;"2whO3NI/edit?usp=share_link"",""ชลบุรี!J580"")+IMPORTRANGE(""https://docs.google.com/spreadsheets/d/1xAsT4sUbBlom7l0acStESh_15nvjZcXjZM7fK5uZSq8/edit?usp=share_link"",""ชัยนาท!J580"")+IMPORTRANGE(""https://docs.google.com/spreadsheets/d/1vWPVBOAaZ6mHSI8yf"&amp;"95DNqHwTJ1cpeFsvqt6cxV34QA/edit?usp=share_link"",""ตราด!J580"")+IMPORTRANGE(""https://docs.google.com/spreadsheets/d/1phaeSb9lTGgzDpbvVqI9hfmOQQzUom07-HEvpbARzEg/edit?usp=share_link"",""นครนายก!J580"")+IMPORTRANGE(""https://docs.google.com/spreadsheets/d/"&amp;"1tpwhWwkqkBeiSWCcfB5f2fbwPRbM9hHOEDSDHpl2MIc/edit?usp=share_link"",""นครปฐม!J580"")+IMPORTRANGE(""https://docs.google.com/spreadsheets/d/1fJJCVBkBnhriyv0Cp5ZFMr0I_yrfdEITNpb4zILJgUQ/edit?usp=share_link"",""ปทุมธานี!J580"")+IMPORTRANGE(""https://docs.googl"&amp;"e.com/spreadsheets/d/1W5Jj_S0gYw6wSO7QcMI02YgyOBDKYgmm0NSUk-AQEac/edit?usp=share_link"",""ประจวบคีรีขันธ์!J580"")+IMPORTRANGE(""https://docs.google.com/spreadsheets/d/1nYxRXgnCfTXtqUY1otYuTlnrzE0Tn-Y0YRsW5pkRVqo/edit?usp=share_link"",""ปราจีนบุรี!J580"")+"&amp;"IMPORTRANGE(""https://docs.google.com/spreadsheets/d/1nNHCLO8ZAXOMfQvxux7cf_hrzPAh8FAvaHq_ClKbZNo/edit?usp=share_link"",""พระนครศรีอยุธยา!J580"")+IMPORTRANGE(""https://docs.google.com/spreadsheets/d/1CdNicvf3i6yt4tJlCePe3V1Va76wYqW0QzMzTsaGRrA/edit?usp=sh"&amp;"are_link"",""เพชรบุรี!J580"")+IMPORTRANGE(""https://docs.google.com/spreadsheets/d/1XiF77UIVHV0Kjc6xbXuOuJ10WgJYxd4p_22ngKVV5oM/edit?usp=share_link"",""ระยอง!J580"")+IMPORTRANGE(""https://docs.google.com/spreadsheets/d/1qU-W_9MCQD1pgIVXGEOjCFo9QqlmJywueby"&amp;"GgaN92r8/edit?usp=share_link"",""ราชบุรี!J580"")+IMPORTRANGE(""https://docs.google.com/spreadsheets/d/1xYFIxIM_CspAP5Q-5Zx_V0T_Ut3cjryrjd2hss28vGk/edit?usp=share_link"",""ลพบุรี!J580"")+IMPORTRANGE(""https://docs.google.com/spreadsheets/d/11s9m3tKsCBdPWq6"&amp;"syhZm27eBGbKneDLZc75co106bio/edit?usp=share_link"",""สระแก้ว!J580"")+IMPORTRANGE(""https://docs.google.com/spreadsheets/d/1Nn1EvsFPtXldgpgVb3Rcng2K2cls68LFQsBh2FyW0Bg/edit?usp=share_link"",""สระบุรี!J580"")+IMPORTRANGE(""https://docs.google.com/spreadshee"&amp;"ts/d/149xufxukrnEciK3WPbNpHwUK8BKEJxp3UcBG3Al6dA4/edit?usp=share_link"",""สิงห์บุรี!J580"")+IMPORTRANGE(""https://docs.google.com/spreadsheets/d/132g-zJpz2uMKimp17uOIx8A7o3w1Z25zwJyXnwsB56c/edit?usp=share_link"",""สุพรรณบุรี!J580"")+IMPORTRANGE(""https://"&amp;"docs.google.com/spreadsheets/d/12Q_U0nVnFdxDFwa0pej9xvx8ZvLC9Dpi_vRro_aiG5g/edit?usp=share_link"",""อ่างทอง!J580"")
"),0)</f>
        <v>0</v>
      </c>
      <c r="K580" s="163"/>
      <c r="L580" s="163"/>
      <c r="M580" s="163"/>
      <c r="N580" s="163"/>
      <c r="O580" s="163"/>
      <c r="P580" s="163"/>
      <c r="Q580" s="571"/>
      <c r="R580" s="571"/>
      <c r="S580" s="571"/>
      <c r="T580" s="571"/>
      <c r="U580" s="571"/>
      <c r="V580" s="571"/>
      <c r="W580" s="571"/>
      <c r="X580" s="571"/>
      <c r="Y580" s="571"/>
      <c r="Z580" s="571"/>
    </row>
    <row r="581" spans="1:26" ht="20.25" customHeight="1">
      <c r="A581" s="601"/>
      <c r="B581" s="602"/>
      <c r="C581" s="602"/>
      <c r="D581" s="602"/>
      <c r="E581" s="612"/>
      <c r="F581" s="612"/>
      <c r="G581" s="175"/>
      <c r="H581" s="182" t="s">
        <v>34</v>
      </c>
      <c r="I581" s="162"/>
      <c r="J581" s="183">
        <f ca="1">IFERROR(__xludf.DUMMYFUNCTION("IMPORTRANGE(""https://docs.google.com/spreadsheets/d/1hKO5uv94SSRZWOvrh72HRcpyoEQF9TsE_Cvxl77XNU4/edit?usp=share_link"",""กาญจนบุรี!J581"")+IMPORTRANGE(""https://docs.google.com/spreadsheets/d/1njBaP_xXd-Uotvo2D9zb01TTCFkLJLDK97Tk1l9Qux0/edit?usp=share_li"&amp;"nk"",""จันทบุรี!J581"")+IMPORTRANGE(""https://docs.google.com/spreadsheets/d/14xp6qUzrGFnUk_qnc1eEmfiaNRd4_grkhpfQH_46fa8/edit?usp=share_link"",""ฉะเชิงเทรา!J581"")+IMPORTRANGE(""https://docs.google.com/spreadsheets/d/1_Zwps30dlVa-pZFsorjVf1Pil6WXwzCsJU0U"&amp;"2whO3NI/edit?usp=share_link"",""ชลบุรี!J581"")+IMPORTRANGE(""https://docs.google.com/spreadsheets/d/1xAsT4sUbBlom7l0acStESh_15nvjZcXjZM7fK5uZSq8/edit?usp=share_link"",""ชัยนาท!J581"")+IMPORTRANGE(""https://docs.google.com/spreadsheets/d/1vWPVBOAaZ6mHSI8yf"&amp;"95DNqHwTJ1cpeFsvqt6cxV34QA/edit?usp=share_link"",""ตราด!J581"")+IMPORTRANGE(""https://docs.google.com/spreadsheets/d/1phaeSb9lTGgzDpbvVqI9hfmOQQzUom07-HEvpbARzEg/edit?usp=share_link"",""นครนายก!J581"")+IMPORTRANGE(""https://docs.google.com/spreadsheets/d/"&amp;"1tpwhWwkqkBeiSWCcfB5f2fbwPRbM9hHOEDSDHpl2MIc/edit?usp=share_link"",""นครปฐม!J581"")+IMPORTRANGE(""https://docs.google.com/spreadsheets/d/1fJJCVBkBnhriyv0Cp5ZFMr0I_yrfdEITNpb4zILJgUQ/edit?usp=share_link"",""ปทุมธานี!J581"")+IMPORTRANGE(""https://docs.googl"&amp;"e.com/spreadsheets/d/1W5Jj_S0gYw6wSO7QcMI02YgyOBDKYgmm0NSUk-AQEac/edit?usp=share_link"",""ประจวบคีรีขันธ์!J581"")+IMPORTRANGE(""https://docs.google.com/spreadsheets/d/1nYxRXgnCfTXtqUY1otYuTlnrzE0Tn-Y0YRsW5pkRVqo/edit?usp=share_link"",""ปราจีนบุรี!J581"")+"&amp;"IMPORTRANGE(""https://docs.google.com/spreadsheets/d/1nNHCLO8ZAXOMfQvxux7cf_hrzPAh8FAvaHq_ClKbZNo/edit?usp=share_link"",""พระนครศรีอยุธยา!J581"")+IMPORTRANGE(""https://docs.google.com/spreadsheets/d/1CdNicvf3i6yt4tJlCePe3V1Va76wYqW0QzMzTsaGRrA/edit?usp=sh"&amp;"are_link"",""เพชรบุรี!J581"")+IMPORTRANGE(""https://docs.google.com/spreadsheets/d/1XiF77UIVHV0Kjc6xbXuOuJ10WgJYxd4p_22ngKVV5oM/edit?usp=share_link"",""ระยอง!J581"")+IMPORTRANGE(""https://docs.google.com/spreadsheets/d/1qU-W_9MCQD1pgIVXGEOjCFo9QqlmJywueby"&amp;"GgaN92r8/edit?usp=share_link"",""ราชบุรี!J581"")+IMPORTRANGE(""https://docs.google.com/spreadsheets/d/1xYFIxIM_CspAP5Q-5Zx_V0T_Ut3cjryrjd2hss28vGk/edit?usp=share_link"",""ลพบุรี!J581"")+IMPORTRANGE(""https://docs.google.com/spreadsheets/d/11s9m3tKsCBdPWq6"&amp;"syhZm27eBGbKneDLZc75co106bio/edit?usp=share_link"",""สระแก้ว!J581"")+IMPORTRANGE(""https://docs.google.com/spreadsheets/d/1Nn1EvsFPtXldgpgVb3Rcng2K2cls68LFQsBh2FyW0Bg/edit?usp=share_link"",""สระบุรี!J581"")+IMPORTRANGE(""https://docs.google.com/spreadshee"&amp;"ts/d/149xufxukrnEciK3WPbNpHwUK8BKEJxp3UcBG3Al6dA4/edit?usp=share_link"",""สิงห์บุรี!J581"")+IMPORTRANGE(""https://docs.google.com/spreadsheets/d/132g-zJpz2uMKimp17uOIx8A7o3w1Z25zwJyXnwsB56c/edit?usp=share_link"",""สุพรรณบุรี!J581"")+IMPORTRANGE(""https://"&amp;"docs.google.com/spreadsheets/d/12Q_U0nVnFdxDFwa0pej9xvx8ZvLC9Dpi_vRro_aiG5g/edit?usp=share_link"",""อ่างทอง!J581"")
"),0)</f>
        <v>0</v>
      </c>
      <c r="K581" s="163"/>
      <c r="L581" s="163"/>
      <c r="M581" s="163"/>
      <c r="N581" s="163"/>
      <c r="O581" s="163"/>
      <c r="P581" s="163"/>
      <c r="Q581" s="571"/>
      <c r="R581" s="571"/>
      <c r="S581" s="571"/>
      <c r="T581" s="571"/>
      <c r="U581" s="571"/>
      <c r="V581" s="571"/>
      <c r="W581" s="571"/>
      <c r="X581" s="571"/>
      <c r="Y581" s="571"/>
      <c r="Z581" s="571"/>
    </row>
    <row r="582" spans="1:26" ht="20.25" customHeight="1">
      <c r="A582" s="601"/>
      <c r="B582" s="602"/>
      <c r="C582" s="602"/>
      <c r="D582" s="187" t="s">
        <v>246</v>
      </c>
      <c r="E582" s="612"/>
      <c r="F582" s="612"/>
      <c r="G582" s="175"/>
      <c r="H582" s="182" t="s">
        <v>46</v>
      </c>
      <c r="I582" s="162"/>
      <c r="J582" s="194">
        <f t="shared" ref="J582:J583" ca="1" si="289">J584+J586</f>
        <v>0</v>
      </c>
      <c r="K582" s="410"/>
      <c r="L582" s="163"/>
      <c r="M582" s="163"/>
      <c r="N582" s="163"/>
      <c r="O582" s="163"/>
      <c r="P582" s="163"/>
      <c r="Q582" s="571"/>
      <c r="R582" s="571"/>
      <c r="S582" s="571"/>
      <c r="T582" s="571"/>
      <c r="U582" s="571"/>
      <c r="V582" s="571"/>
      <c r="W582" s="571"/>
      <c r="X582" s="571"/>
      <c r="Y582" s="571"/>
      <c r="Z582" s="571"/>
    </row>
    <row r="583" spans="1:26" ht="20.25" customHeight="1">
      <c r="A583" s="601"/>
      <c r="B583" s="602"/>
      <c r="C583" s="602"/>
      <c r="D583" s="602"/>
      <c r="E583" s="612"/>
      <c r="F583" s="612"/>
      <c r="G583" s="175"/>
      <c r="H583" s="182" t="s">
        <v>34</v>
      </c>
      <c r="I583" s="162"/>
      <c r="J583" s="194">
        <f t="shared" ca="1" si="289"/>
        <v>0</v>
      </c>
      <c r="K583" s="410"/>
      <c r="L583" s="163"/>
      <c r="M583" s="163"/>
      <c r="N583" s="163"/>
      <c r="O583" s="163"/>
      <c r="P583" s="163"/>
      <c r="Q583" s="571"/>
      <c r="R583" s="571"/>
      <c r="S583" s="571"/>
      <c r="T583" s="571"/>
      <c r="U583" s="571"/>
      <c r="V583" s="571"/>
      <c r="W583" s="571"/>
      <c r="X583" s="571"/>
      <c r="Y583" s="571"/>
      <c r="Z583" s="571"/>
    </row>
    <row r="584" spans="1:26" ht="20.25" customHeight="1">
      <c r="A584" s="601"/>
      <c r="B584" s="602"/>
      <c r="C584" s="602"/>
      <c r="D584" s="602"/>
      <c r="E584" s="187" t="s">
        <v>247</v>
      </c>
      <c r="F584" s="612"/>
      <c r="G584" s="175"/>
      <c r="H584" s="182" t="s">
        <v>46</v>
      </c>
      <c r="I584" s="162"/>
      <c r="J584" s="183">
        <f ca="1">IFERROR(__xludf.DUMMYFUNCTION("IMPORTRANGE(""https://docs.google.com/spreadsheets/d/1hKO5uv94SSRZWOvrh72HRcpyoEQF9TsE_Cvxl77XNU4/edit?usp=share_link"",""กาญจนบุรี!J584"")+IMPORTRANGE(""https://docs.google.com/spreadsheets/d/1njBaP_xXd-Uotvo2D9zb01TTCFkLJLDK97Tk1l9Qux0/edit?usp=share_li"&amp;"nk"",""จันทบุรี!J584"")+IMPORTRANGE(""https://docs.google.com/spreadsheets/d/14xp6qUzrGFnUk_qnc1eEmfiaNRd4_grkhpfQH_46fa8/edit?usp=share_link"",""ฉะเชิงเทรา!J584"")+IMPORTRANGE(""https://docs.google.com/spreadsheets/d/1_Zwps30dlVa-pZFsorjVf1Pil6WXwzCsJU0U"&amp;"2whO3NI/edit?usp=share_link"",""ชลบุรี!J584"")+IMPORTRANGE(""https://docs.google.com/spreadsheets/d/1xAsT4sUbBlom7l0acStESh_15nvjZcXjZM7fK5uZSq8/edit?usp=share_link"",""ชัยนาท!J584"")+IMPORTRANGE(""https://docs.google.com/spreadsheets/d/1vWPVBOAaZ6mHSI8yf"&amp;"95DNqHwTJ1cpeFsvqt6cxV34QA/edit?usp=share_link"",""ตราด!J584"")+IMPORTRANGE(""https://docs.google.com/spreadsheets/d/1phaeSb9lTGgzDpbvVqI9hfmOQQzUom07-HEvpbARzEg/edit?usp=share_link"",""นครนายก!J584"")+IMPORTRANGE(""https://docs.google.com/spreadsheets/d/"&amp;"1tpwhWwkqkBeiSWCcfB5f2fbwPRbM9hHOEDSDHpl2MIc/edit?usp=share_link"",""นครปฐม!J584"")+IMPORTRANGE(""https://docs.google.com/spreadsheets/d/1fJJCVBkBnhriyv0Cp5ZFMr0I_yrfdEITNpb4zILJgUQ/edit?usp=share_link"",""ปทุมธานี!J584"")+IMPORTRANGE(""https://docs.googl"&amp;"e.com/spreadsheets/d/1W5Jj_S0gYw6wSO7QcMI02YgyOBDKYgmm0NSUk-AQEac/edit?usp=share_link"",""ประจวบคีรีขันธ์!J584"")+IMPORTRANGE(""https://docs.google.com/spreadsheets/d/1nYxRXgnCfTXtqUY1otYuTlnrzE0Tn-Y0YRsW5pkRVqo/edit?usp=share_link"",""ปราจีนบุรี!J584"")+"&amp;"IMPORTRANGE(""https://docs.google.com/spreadsheets/d/1nNHCLO8ZAXOMfQvxux7cf_hrzPAh8FAvaHq_ClKbZNo/edit?usp=share_link"",""พระนครศรีอยุธยา!J584"")+IMPORTRANGE(""https://docs.google.com/spreadsheets/d/1CdNicvf3i6yt4tJlCePe3V1Va76wYqW0QzMzTsaGRrA/edit?usp=sh"&amp;"are_link"",""เพชรบุรี!J584"")+IMPORTRANGE(""https://docs.google.com/spreadsheets/d/1XiF77UIVHV0Kjc6xbXuOuJ10WgJYxd4p_22ngKVV5oM/edit?usp=share_link"",""ระยอง!J584"")+IMPORTRANGE(""https://docs.google.com/spreadsheets/d/1qU-W_9MCQD1pgIVXGEOjCFo9QqlmJywueby"&amp;"GgaN92r8/edit?usp=share_link"",""ราชบุรี!J584"")+IMPORTRANGE(""https://docs.google.com/spreadsheets/d/1xYFIxIM_CspAP5Q-5Zx_V0T_Ut3cjryrjd2hss28vGk/edit?usp=share_link"",""ลพบุรี!J584"")+IMPORTRANGE(""https://docs.google.com/spreadsheets/d/11s9m3tKsCBdPWq6"&amp;"syhZm27eBGbKneDLZc75co106bio/edit?usp=share_link"",""สระแก้ว!J584"")+IMPORTRANGE(""https://docs.google.com/spreadsheets/d/1Nn1EvsFPtXldgpgVb3Rcng2K2cls68LFQsBh2FyW0Bg/edit?usp=share_link"",""สระบุรี!J584"")+IMPORTRANGE(""https://docs.google.com/spreadshee"&amp;"ts/d/149xufxukrnEciK3WPbNpHwUK8BKEJxp3UcBG3Al6dA4/edit?usp=share_link"",""สิงห์บุรี!J584"")+IMPORTRANGE(""https://docs.google.com/spreadsheets/d/132g-zJpz2uMKimp17uOIx8A7o3w1Z25zwJyXnwsB56c/edit?usp=share_link"",""สุพรรณบุรี!J584"")+IMPORTRANGE(""https://"&amp;"docs.google.com/spreadsheets/d/12Q_U0nVnFdxDFwa0pej9xvx8ZvLC9Dpi_vRro_aiG5g/edit?usp=share_link"",""อ่างทอง!J584"")
"),0)</f>
        <v>0</v>
      </c>
      <c r="K584" s="163"/>
      <c r="L584" s="163"/>
      <c r="M584" s="163"/>
      <c r="N584" s="163"/>
      <c r="O584" s="163"/>
      <c r="P584" s="163"/>
      <c r="Q584" s="571"/>
      <c r="R584" s="571"/>
      <c r="S584" s="571"/>
      <c r="T584" s="571"/>
      <c r="U584" s="571"/>
      <c r="V584" s="571"/>
      <c r="W584" s="571"/>
      <c r="X584" s="571"/>
      <c r="Y584" s="571"/>
      <c r="Z584" s="571"/>
    </row>
    <row r="585" spans="1:26" ht="20.25" customHeight="1">
      <c r="A585" s="601"/>
      <c r="B585" s="602"/>
      <c r="C585" s="602"/>
      <c r="D585" s="602"/>
      <c r="E585" s="612"/>
      <c r="F585" s="612"/>
      <c r="G585" s="175"/>
      <c r="H585" s="182" t="s">
        <v>34</v>
      </c>
      <c r="I585" s="162"/>
      <c r="J585" s="183">
        <f ca="1">IFERROR(__xludf.DUMMYFUNCTION("IMPORTRANGE(""https://docs.google.com/spreadsheets/d/1hKO5uv94SSRZWOvrh72HRcpyoEQF9TsE_Cvxl77XNU4/edit?usp=share_link"",""กาญจนบุรี!J585"")+IMPORTRANGE(""https://docs.google.com/spreadsheets/d/1njBaP_xXd-Uotvo2D9zb01TTCFkLJLDK97Tk1l9Qux0/edit?usp=share_li"&amp;"nk"",""จันทบุรี!J585"")+IMPORTRANGE(""https://docs.google.com/spreadsheets/d/14xp6qUzrGFnUk_qnc1eEmfiaNRd4_grkhpfQH_46fa8/edit?usp=share_link"",""ฉะเชิงเทรา!J585"")+IMPORTRANGE(""https://docs.google.com/spreadsheets/d/1_Zwps30dlVa-pZFsorjVf1Pil6WXwzCsJU0U"&amp;"2whO3NI/edit?usp=share_link"",""ชลบุรี!J585"")+IMPORTRANGE(""https://docs.google.com/spreadsheets/d/1xAsT4sUbBlom7l0acStESh_15nvjZcXjZM7fK5uZSq8/edit?usp=share_link"",""ชัยนาท!J585"")+IMPORTRANGE(""https://docs.google.com/spreadsheets/d/1vWPVBOAaZ6mHSI8yf"&amp;"95DNqHwTJ1cpeFsvqt6cxV34QA/edit?usp=share_link"",""ตราด!J585"")+IMPORTRANGE(""https://docs.google.com/spreadsheets/d/1phaeSb9lTGgzDpbvVqI9hfmOQQzUom07-HEvpbARzEg/edit?usp=share_link"",""นครนายก!J585"")+IMPORTRANGE(""https://docs.google.com/spreadsheets/d/"&amp;"1tpwhWwkqkBeiSWCcfB5f2fbwPRbM9hHOEDSDHpl2MIc/edit?usp=share_link"",""นครปฐม!J585"")+IMPORTRANGE(""https://docs.google.com/spreadsheets/d/1fJJCVBkBnhriyv0Cp5ZFMr0I_yrfdEITNpb4zILJgUQ/edit?usp=share_link"",""ปทุมธานี!J585"")+IMPORTRANGE(""https://docs.googl"&amp;"e.com/spreadsheets/d/1W5Jj_S0gYw6wSO7QcMI02YgyOBDKYgmm0NSUk-AQEac/edit?usp=share_link"",""ประจวบคีรีขันธ์!J585"")+IMPORTRANGE(""https://docs.google.com/spreadsheets/d/1nYxRXgnCfTXtqUY1otYuTlnrzE0Tn-Y0YRsW5pkRVqo/edit?usp=share_link"",""ปราจีนบุรี!J585"")+"&amp;"IMPORTRANGE(""https://docs.google.com/spreadsheets/d/1nNHCLO8ZAXOMfQvxux7cf_hrzPAh8FAvaHq_ClKbZNo/edit?usp=share_link"",""พระนครศรีอยุธยา!J585"")+IMPORTRANGE(""https://docs.google.com/spreadsheets/d/1CdNicvf3i6yt4tJlCePe3V1Va76wYqW0QzMzTsaGRrA/edit?usp=sh"&amp;"are_link"",""เพชรบุรี!J585"")+IMPORTRANGE(""https://docs.google.com/spreadsheets/d/1XiF77UIVHV0Kjc6xbXuOuJ10WgJYxd4p_22ngKVV5oM/edit?usp=share_link"",""ระยอง!J585"")+IMPORTRANGE(""https://docs.google.com/spreadsheets/d/1qU-W_9MCQD1pgIVXGEOjCFo9QqlmJywueby"&amp;"GgaN92r8/edit?usp=share_link"",""ราชบุรี!J585"")+IMPORTRANGE(""https://docs.google.com/spreadsheets/d/1xYFIxIM_CspAP5Q-5Zx_V0T_Ut3cjryrjd2hss28vGk/edit?usp=share_link"",""ลพบุรี!J585"")+IMPORTRANGE(""https://docs.google.com/spreadsheets/d/11s9m3tKsCBdPWq6"&amp;"syhZm27eBGbKneDLZc75co106bio/edit?usp=share_link"",""สระแก้ว!J585"")+IMPORTRANGE(""https://docs.google.com/spreadsheets/d/1Nn1EvsFPtXldgpgVb3Rcng2K2cls68LFQsBh2FyW0Bg/edit?usp=share_link"",""สระบุรี!J585"")+IMPORTRANGE(""https://docs.google.com/spreadshee"&amp;"ts/d/149xufxukrnEciK3WPbNpHwUK8BKEJxp3UcBG3Al6dA4/edit?usp=share_link"",""สิงห์บุรี!J585"")+IMPORTRANGE(""https://docs.google.com/spreadsheets/d/132g-zJpz2uMKimp17uOIx8A7o3w1Z25zwJyXnwsB56c/edit?usp=share_link"",""สุพรรณบุรี!J585"")+IMPORTRANGE(""https://"&amp;"docs.google.com/spreadsheets/d/12Q_U0nVnFdxDFwa0pej9xvx8ZvLC9Dpi_vRro_aiG5g/edit?usp=share_link"",""อ่างทอง!J585"")
"),0)</f>
        <v>0</v>
      </c>
      <c r="K585" s="163"/>
      <c r="L585" s="163"/>
      <c r="M585" s="163"/>
      <c r="N585" s="163"/>
      <c r="O585" s="163"/>
      <c r="P585" s="163"/>
      <c r="Q585" s="571"/>
      <c r="R585" s="571"/>
      <c r="S585" s="571"/>
      <c r="T585" s="571"/>
      <c r="U585" s="571"/>
      <c r="V585" s="571"/>
      <c r="W585" s="571"/>
      <c r="X585" s="571"/>
      <c r="Y585" s="571"/>
      <c r="Z585" s="571"/>
    </row>
    <row r="586" spans="1:26" ht="20.25" customHeight="1">
      <c r="A586" s="601"/>
      <c r="B586" s="602"/>
      <c r="C586" s="602"/>
      <c r="D586" s="602"/>
      <c r="E586" s="187" t="s">
        <v>248</v>
      </c>
      <c r="F586" s="612"/>
      <c r="G586" s="175"/>
      <c r="H586" s="182" t="s">
        <v>46</v>
      </c>
      <c r="I586" s="162"/>
      <c r="J586" s="183">
        <f ca="1">IFERROR(__xludf.DUMMYFUNCTION("IMPORTRANGE(""https://docs.google.com/spreadsheets/d/1hKO5uv94SSRZWOvrh72HRcpyoEQF9TsE_Cvxl77XNU4/edit?usp=share_link"",""กาญจนบุรี!J586"")+IMPORTRANGE(""https://docs.google.com/spreadsheets/d/1njBaP_xXd-Uotvo2D9zb01TTCFkLJLDK97Tk1l9Qux0/edit?usp=share_li"&amp;"nk"",""จันทบุรี!J586"")+IMPORTRANGE(""https://docs.google.com/spreadsheets/d/14xp6qUzrGFnUk_qnc1eEmfiaNRd4_grkhpfQH_46fa8/edit?usp=share_link"",""ฉะเชิงเทรา!J586"")+IMPORTRANGE(""https://docs.google.com/spreadsheets/d/1_Zwps30dlVa-pZFsorjVf1Pil6WXwzCsJU0U"&amp;"2whO3NI/edit?usp=share_link"",""ชลบุรี!J586"")+IMPORTRANGE(""https://docs.google.com/spreadsheets/d/1xAsT4sUbBlom7l0acStESh_15nvjZcXjZM7fK5uZSq8/edit?usp=share_link"",""ชัยนาท!J586"")+IMPORTRANGE(""https://docs.google.com/spreadsheets/d/1vWPVBOAaZ6mHSI8yf"&amp;"95DNqHwTJ1cpeFsvqt6cxV34QA/edit?usp=share_link"",""ตราด!J586"")+IMPORTRANGE(""https://docs.google.com/spreadsheets/d/1phaeSb9lTGgzDpbvVqI9hfmOQQzUom07-HEvpbARzEg/edit?usp=share_link"",""นครนายก!J586"")+IMPORTRANGE(""https://docs.google.com/spreadsheets/d/"&amp;"1tpwhWwkqkBeiSWCcfB5f2fbwPRbM9hHOEDSDHpl2MIc/edit?usp=share_link"",""นครปฐม!J586"")+IMPORTRANGE(""https://docs.google.com/spreadsheets/d/1fJJCVBkBnhriyv0Cp5ZFMr0I_yrfdEITNpb4zILJgUQ/edit?usp=share_link"",""ปทุมธานี!J586"")+IMPORTRANGE(""https://docs.googl"&amp;"e.com/spreadsheets/d/1W5Jj_S0gYw6wSO7QcMI02YgyOBDKYgmm0NSUk-AQEac/edit?usp=share_link"",""ประจวบคีรีขันธ์!J586"")+IMPORTRANGE(""https://docs.google.com/spreadsheets/d/1nYxRXgnCfTXtqUY1otYuTlnrzE0Tn-Y0YRsW5pkRVqo/edit?usp=share_link"",""ปราจีนบุรี!J586"")+"&amp;"IMPORTRANGE(""https://docs.google.com/spreadsheets/d/1nNHCLO8ZAXOMfQvxux7cf_hrzPAh8FAvaHq_ClKbZNo/edit?usp=share_link"",""พระนครศรีอยุธยา!J586"")+IMPORTRANGE(""https://docs.google.com/spreadsheets/d/1CdNicvf3i6yt4tJlCePe3V1Va76wYqW0QzMzTsaGRrA/edit?usp=sh"&amp;"are_link"",""เพชรบุรี!J586"")+IMPORTRANGE(""https://docs.google.com/spreadsheets/d/1XiF77UIVHV0Kjc6xbXuOuJ10WgJYxd4p_22ngKVV5oM/edit?usp=share_link"",""ระยอง!J586"")+IMPORTRANGE(""https://docs.google.com/spreadsheets/d/1qU-W_9MCQD1pgIVXGEOjCFo9QqlmJywueby"&amp;"GgaN92r8/edit?usp=share_link"",""ราชบุรี!J586"")+IMPORTRANGE(""https://docs.google.com/spreadsheets/d/1xYFIxIM_CspAP5Q-5Zx_V0T_Ut3cjryrjd2hss28vGk/edit?usp=share_link"",""ลพบุรี!J586"")+IMPORTRANGE(""https://docs.google.com/spreadsheets/d/11s9m3tKsCBdPWq6"&amp;"syhZm27eBGbKneDLZc75co106bio/edit?usp=share_link"",""สระแก้ว!J586"")+IMPORTRANGE(""https://docs.google.com/spreadsheets/d/1Nn1EvsFPtXldgpgVb3Rcng2K2cls68LFQsBh2FyW0Bg/edit?usp=share_link"",""สระบุรี!J586"")+IMPORTRANGE(""https://docs.google.com/spreadshee"&amp;"ts/d/149xufxukrnEciK3WPbNpHwUK8BKEJxp3UcBG3Al6dA4/edit?usp=share_link"",""สิงห์บุรี!J586"")+IMPORTRANGE(""https://docs.google.com/spreadsheets/d/132g-zJpz2uMKimp17uOIx8A7o3w1Z25zwJyXnwsB56c/edit?usp=share_link"",""สุพรรณบุรี!J586"")+IMPORTRANGE(""https://"&amp;"docs.google.com/spreadsheets/d/12Q_U0nVnFdxDFwa0pej9xvx8ZvLC9Dpi_vRro_aiG5g/edit?usp=share_link"",""อ่างทอง!J586"")
"),0)</f>
        <v>0</v>
      </c>
      <c r="K586" s="163"/>
      <c r="L586" s="163"/>
      <c r="M586" s="163"/>
      <c r="N586" s="163"/>
      <c r="O586" s="163"/>
      <c r="P586" s="163"/>
      <c r="Q586" s="571"/>
      <c r="R586" s="571"/>
      <c r="S586" s="571"/>
      <c r="T586" s="571"/>
      <c r="U586" s="571"/>
      <c r="V586" s="571"/>
      <c r="W586" s="571"/>
      <c r="X586" s="571"/>
      <c r="Y586" s="571"/>
      <c r="Z586" s="571"/>
    </row>
    <row r="587" spans="1:26" ht="20.25" customHeight="1">
      <c r="A587" s="601"/>
      <c r="B587" s="602"/>
      <c r="C587" s="602"/>
      <c r="D587" s="602"/>
      <c r="E587" s="602"/>
      <c r="F587" s="612"/>
      <c r="G587" s="175"/>
      <c r="H587" s="182" t="s">
        <v>34</v>
      </c>
      <c r="I587" s="162"/>
      <c r="J587" s="183">
        <f ca="1">IFERROR(__xludf.DUMMYFUNCTION("IMPORTRANGE(""https://docs.google.com/spreadsheets/d/1hKO5uv94SSRZWOvrh72HRcpyoEQF9TsE_Cvxl77XNU4/edit?usp=share_link"",""กาญจนบุรี!J587"")+IMPORTRANGE(""https://docs.google.com/spreadsheets/d/1njBaP_xXd-Uotvo2D9zb01TTCFkLJLDK97Tk1l9Qux0/edit?usp=share_li"&amp;"nk"",""จันทบุรี!J587"")+IMPORTRANGE(""https://docs.google.com/spreadsheets/d/14xp6qUzrGFnUk_qnc1eEmfiaNRd4_grkhpfQH_46fa8/edit?usp=share_link"",""ฉะเชิงเทรา!J587"")+IMPORTRANGE(""https://docs.google.com/spreadsheets/d/1_Zwps30dlVa-pZFsorjVf1Pil6WXwzCsJU0U"&amp;"2whO3NI/edit?usp=share_link"",""ชลบุรี!J587"")+IMPORTRANGE(""https://docs.google.com/spreadsheets/d/1xAsT4sUbBlom7l0acStESh_15nvjZcXjZM7fK5uZSq8/edit?usp=share_link"",""ชัยนาท!J587"")+IMPORTRANGE(""https://docs.google.com/spreadsheets/d/1vWPVBOAaZ6mHSI8yf"&amp;"95DNqHwTJ1cpeFsvqt6cxV34QA/edit?usp=share_link"",""ตราด!J587"")+IMPORTRANGE(""https://docs.google.com/spreadsheets/d/1phaeSb9lTGgzDpbvVqI9hfmOQQzUom07-HEvpbARzEg/edit?usp=share_link"",""นครนายก!J587"")+IMPORTRANGE(""https://docs.google.com/spreadsheets/d/"&amp;"1tpwhWwkqkBeiSWCcfB5f2fbwPRbM9hHOEDSDHpl2MIc/edit?usp=share_link"",""นครปฐม!J587"")+IMPORTRANGE(""https://docs.google.com/spreadsheets/d/1fJJCVBkBnhriyv0Cp5ZFMr0I_yrfdEITNpb4zILJgUQ/edit?usp=share_link"",""ปทุมธานี!J587"")+IMPORTRANGE(""https://docs.googl"&amp;"e.com/spreadsheets/d/1W5Jj_S0gYw6wSO7QcMI02YgyOBDKYgmm0NSUk-AQEac/edit?usp=share_link"",""ประจวบคีรีขันธ์!J587"")+IMPORTRANGE(""https://docs.google.com/spreadsheets/d/1nYxRXgnCfTXtqUY1otYuTlnrzE0Tn-Y0YRsW5pkRVqo/edit?usp=share_link"",""ปราจีนบุรี!J587"")+"&amp;"IMPORTRANGE(""https://docs.google.com/spreadsheets/d/1nNHCLO8ZAXOMfQvxux7cf_hrzPAh8FAvaHq_ClKbZNo/edit?usp=share_link"",""พระนครศรีอยุธยา!J587"")+IMPORTRANGE(""https://docs.google.com/spreadsheets/d/1CdNicvf3i6yt4tJlCePe3V1Va76wYqW0QzMzTsaGRrA/edit?usp=sh"&amp;"are_link"",""เพชรบุรี!J587"")+IMPORTRANGE(""https://docs.google.com/spreadsheets/d/1XiF77UIVHV0Kjc6xbXuOuJ10WgJYxd4p_22ngKVV5oM/edit?usp=share_link"",""ระยอง!J587"")+IMPORTRANGE(""https://docs.google.com/spreadsheets/d/1qU-W_9MCQD1pgIVXGEOjCFo9QqlmJywueby"&amp;"GgaN92r8/edit?usp=share_link"",""ราชบุรี!J587"")+IMPORTRANGE(""https://docs.google.com/spreadsheets/d/1xYFIxIM_CspAP5Q-5Zx_V0T_Ut3cjryrjd2hss28vGk/edit?usp=share_link"",""ลพบุรี!J587"")+IMPORTRANGE(""https://docs.google.com/spreadsheets/d/11s9m3tKsCBdPWq6"&amp;"syhZm27eBGbKneDLZc75co106bio/edit?usp=share_link"",""สระแก้ว!J587"")+IMPORTRANGE(""https://docs.google.com/spreadsheets/d/1Nn1EvsFPtXldgpgVb3Rcng2K2cls68LFQsBh2FyW0Bg/edit?usp=share_link"",""สระบุรี!J587"")+IMPORTRANGE(""https://docs.google.com/spreadshee"&amp;"ts/d/149xufxukrnEciK3WPbNpHwUK8BKEJxp3UcBG3Al6dA4/edit?usp=share_link"",""สิงห์บุรี!J587"")+IMPORTRANGE(""https://docs.google.com/spreadsheets/d/132g-zJpz2uMKimp17uOIx8A7o3w1Z25zwJyXnwsB56c/edit?usp=share_link"",""สุพรรณบุรี!J587"")+IMPORTRANGE(""https://"&amp;"docs.google.com/spreadsheets/d/12Q_U0nVnFdxDFwa0pej9xvx8ZvLC9Dpi_vRro_aiG5g/edit?usp=share_link"",""อ่างทอง!J587"")
"),0)</f>
        <v>0</v>
      </c>
      <c r="K587" s="163"/>
      <c r="L587" s="163"/>
      <c r="M587" s="163"/>
      <c r="N587" s="163"/>
      <c r="O587" s="163"/>
      <c r="P587" s="163"/>
      <c r="Q587" s="571"/>
      <c r="R587" s="571"/>
      <c r="S587" s="571"/>
      <c r="T587" s="571"/>
      <c r="U587" s="571"/>
      <c r="V587" s="571"/>
      <c r="W587" s="571"/>
      <c r="X587" s="571"/>
      <c r="Y587" s="571"/>
      <c r="Z587" s="571"/>
    </row>
    <row r="588" spans="1:26" ht="20.25" customHeight="1">
      <c r="A588" s="601"/>
      <c r="B588" s="602"/>
      <c r="C588" s="602"/>
      <c r="D588" s="187" t="s">
        <v>249</v>
      </c>
      <c r="E588" s="612"/>
      <c r="F588" s="612"/>
      <c r="G588" s="175"/>
      <c r="H588" s="182" t="s">
        <v>46</v>
      </c>
      <c r="I588" s="162"/>
      <c r="J588" s="183">
        <f ca="1">IFERROR(__xludf.DUMMYFUNCTION("IMPORTRANGE(""https://docs.google.com/spreadsheets/d/1hKO5uv94SSRZWOvrh72HRcpyoEQF9TsE_Cvxl77XNU4/edit?usp=share_link"",""กาญจนบุรี!J588"")+IMPORTRANGE(""https://docs.google.com/spreadsheets/d/1njBaP_xXd-Uotvo2D9zb01TTCFkLJLDK97Tk1l9Qux0/edit?usp=share_li"&amp;"nk"",""จันทบุรี!J588"")+IMPORTRANGE(""https://docs.google.com/spreadsheets/d/14xp6qUzrGFnUk_qnc1eEmfiaNRd4_grkhpfQH_46fa8/edit?usp=share_link"",""ฉะเชิงเทรา!J588"")+IMPORTRANGE(""https://docs.google.com/spreadsheets/d/1_Zwps30dlVa-pZFsorjVf1Pil6WXwzCsJU0U"&amp;"2whO3NI/edit?usp=share_link"",""ชลบุรี!J588"")+IMPORTRANGE(""https://docs.google.com/spreadsheets/d/1xAsT4sUbBlom7l0acStESh_15nvjZcXjZM7fK5uZSq8/edit?usp=share_link"",""ชัยนาท!J588"")+IMPORTRANGE(""https://docs.google.com/spreadsheets/d/1vWPVBOAaZ6mHSI8yf"&amp;"95DNqHwTJ1cpeFsvqt6cxV34QA/edit?usp=share_link"",""ตราด!J588"")+IMPORTRANGE(""https://docs.google.com/spreadsheets/d/1phaeSb9lTGgzDpbvVqI9hfmOQQzUom07-HEvpbARzEg/edit?usp=share_link"",""นครนายก!J588"")+IMPORTRANGE(""https://docs.google.com/spreadsheets/d/"&amp;"1tpwhWwkqkBeiSWCcfB5f2fbwPRbM9hHOEDSDHpl2MIc/edit?usp=share_link"",""นครปฐม!J588"")+IMPORTRANGE(""https://docs.google.com/spreadsheets/d/1fJJCVBkBnhriyv0Cp5ZFMr0I_yrfdEITNpb4zILJgUQ/edit?usp=share_link"",""ปทุมธานี!J588"")+IMPORTRANGE(""https://docs.googl"&amp;"e.com/spreadsheets/d/1W5Jj_S0gYw6wSO7QcMI02YgyOBDKYgmm0NSUk-AQEac/edit?usp=share_link"",""ประจวบคีรีขันธ์!J588"")+IMPORTRANGE(""https://docs.google.com/spreadsheets/d/1nYxRXgnCfTXtqUY1otYuTlnrzE0Tn-Y0YRsW5pkRVqo/edit?usp=share_link"",""ปราจีนบุรี!J588"")+"&amp;"IMPORTRANGE(""https://docs.google.com/spreadsheets/d/1nNHCLO8ZAXOMfQvxux7cf_hrzPAh8FAvaHq_ClKbZNo/edit?usp=share_link"",""พระนครศรีอยุธยา!J588"")+IMPORTRANGE(""https://docs.google.com/spreadsheets/d/1CdNicvf3i6yt4tJlCePe3V1Va76wYqW0QzMzTsaGRrA/edit?usp=sh"&amp;"are_link"",""เพชรบุรี!J588"")+IMPORTRANGE(""https://docs.google.com/spreadsheets/d/1XiF77UIVHV0Kjc6xbXuOuJ10WgJYxd4p_22ngKVV5oM/edit?usp=share_link"",""ระยอง!J588"")+IMPORTRANGE(""https://docs.google.com/spreadsheets/d/1qU-W_9MCQD1pgIVXGEOjCFo9QqlmJywueby"&amp;"GgaN92r8/edit?usp=share_link"",""ราชบุรี!J588"")+IMPORTRANGE(""https://docs.google.com/spreadsheets/d/1xYFIxIM_CspAP5Q-5Zx_V0T_Ut3cjryrjd2hss28vGk/edit?usp=share_link"",""ลพบุรี!J588"")+IMPORTRANGE(""https://docs.google.com/spreadsheets/d/11s9m3tKsCBdPWq6"&amp;"syhZm27eBGbKneDLZc75co106bio/edit?usp=share_link"",""สระแก้ว!J588"")+IMPORTRANGE(""https://docs.google.com/spreadsheets/d/1Nn1EvsFPtXldgpgVb3Rcng2K2cls68LFQsBh2FyW0Bg/edit?usp=share_link"",""สระบุรี!J588"")+IMPORTRANGE(""https://docs.google.com/spreadshee"&amp;"ts/d/149xufxukrnEciK3WPbNpHwUK8BKEJxp3UcBG3Al6dA4/edit?usp=share_link"",""สิงห์บุรี!J588"")+IMPORTRANGE(""https://docs.google.com/spreadsheets/d/132g-zJpz2uMKimp17uOIx8A7o3w1Z25zwJyXnwsB56c/edit?usp=share_link"",""สุพรรณบุรี!J588"")+IMPORTRANGE(""https://"&amp;"docs.google.com/spreadsheets/d/12Q_U0nVnFdxDFwa0pej9xvx8ZvLC9Dpi_vRro_aiG5g/edit?usp=share_link"",""อ่างทอง!J588"")
"),0)</f>
        <v>0</v>
      </c>
      <c r="K588" s="163"/>
      <c r="L588" s="163"/>
      <c r="M588" s="163"/>
      <c r="N588" s="163"/>
      <c r="O588" s="163"/>
      <c r="P588" s="163"/>
      <c r="Q588" s="571"/>
      <c r="R588" s="571"/>
      <c r="S588" s="571"/>
      <c r="T588" s="571"/>
      <c r="U588" s="571"/>
      <c r="V588" s="571"/>
      <c r="W588" s="571"/>
      <c r="X588" s="571"/>
      <c r="Y588" s="571"/>
      <c r="Z588" s="571"/>
    </row>
    <row r="589" spans="1:26" ht="20.25" customHeight="1">
      <c r="A589" s="601"/>
      <c r="B589" s="602"/>
      <c r="C589" s="602"/>
      <c r="D589" s="602"/>
      <c r="E589" s="602"/>
      <c r="F589" s="612"/>
      <c r="G589" s="175"/>
      <c r="H589" s="182" t="s">
        <v>34</v>
      </c>
      <c r="I589" s="162"/>
      <c r="J589" s="183">
        <f ca="1">IFERROR(__xludf.DUMMYFUNCTION("IMPORTRANGE(""https://docs.google.com/spreadsheets/d/1hKO5uv94SSRZWOvrh72HRcpyoEQF9TsE_Cvxl77XNU4/edit?usp=share_link"",""กาญจนบุรี!J589"")+IMPORTRANGE(""https://docs.google.com/spreadsheets/d/1njBaP_xXd-Uotvo2D9zb01TTCFkLJLDK97Tk1l9Qux0/edit?usp=share_li"&amp;"nk"",""จันทบุรี!J589"")+IMPORTRANGE(""https://docs.google.com/spreadsheets/d/14xp6qUzrGFnUk_qnc1eEmfiaNRd4_grkhpfQH_46fa8/edit?usp=share_link"",""ฉะเชิงเทรา!J589"")+IMPORTRANGE(""https://docs.google.com/spreadsheets/d/1_Zwps30dlVa-pZFsorjVf1Pil6WXwzCsJU0U"&amp;"2whO3NI/edit?usp=share_link"",""ชลบุรี!J589"")+IMPORTRANGE(""https://docs.google.com/spreadsheets/d/1xAsT4sUbBlom7l0acStESh_15nvjZcXjZM7fK5uZSq8/edit?usp=share_link"",""ชัยนาท!J589"")+IMPORTRANGE(""https://docs.google.com/spreadsheets/d/1vWPVBOAaZ6mHSI8yf"&amp;"95DNqHwTJ1cpeFsvqt6cxV34QA/edit?usp=share_link"",""ตราด!J589"")+IMPORTRANGE(""https://docs.google.com/spreadsheets/d/1phaeSb9lTGgzDpbvVqI9hfmOQQzUom07-HEvpbARzEg/edit?usp=share_link"",""นครนายก!J589"")+IMPORTRANGE(""https://docs.google.com/spreadsheets/d/"&amp;"1tpwhWwkqkBeiSWCcfB5f2fbwPRbM9hHOEDSDHpl2MIc/edit?usp=share_link"",""นครปฐม!J589"")+IMPORTRANGE(""https://docs.google.com/spreadsheets/d/1fJJCVBkBnhriyv0Cp5ZFMr0I_yrfdEITNpb4zILJgUQ/edit?usp=share_link"",""ปทุมธานี!J589"")+IMPORTRANGE(""https://docs.googl"&amp;"e.com/spreadsheets/d/1W5Jj_S0gYw6wSO7QcMI02YgyOBDKYgmm0NSUk-AQEac/edit?usp=share_link"",""ประจวบคีรีขันธ์!J589"")+IMPORTRANGE(""https://docs.google.com/spreadsheets/d/1nYxRXgnCfTXtqUY1otYuTlnrzE0Tn-Y0YRsW5pkRVqo/edit?usp=share_link"",""ปราจีนบุรี!J589"")+"&amp;"IMPORTRANGE(""https://docs.google.com/spreadsheets/d/1nNHCLO8ZAXOMfQvxux7cf_hrzPAh8FAvaHq_ClKbZNo/edit?usp=share_link"",""พระนครศรีอยุธยา!J589"")+IMPORTRANGE(""https://docs.google.com/spreadsheets/d/1CdNicvf3i6yt4tJlCePe3V1Va76wYqW0QzMzTsaGRrA/edit?usp=sh"&amp;"are_link"",""เพชรบุรี!J589"")+IMPORTRANGE(""https://docs.google.com/spreadsheets/d/1XiF77UIVHV0Kjc6xbXuOuJ10WgJYxd4p_22ngKVV5oM/edit?usp=share_link"",""ระยอง!J589"")+IMPORTRANGE(""https://docs.google.com/spreadsheets/d/1qU-W_9MCQD1pgIVXGEOjCFo9QqlmJywueby"&amp;"GgaN92r8/edit?usp=share_link"",""ราชบุรี!J589"")+IMPORTRANGE(""https://docs.google.com/spreadsheets/d/1xYFIxIM_CspAP5Q-5Zx_V0T_Ut3cjryrjd2hss28vGk/edit?usp=share_link"",""ลพบุรี!J589"")+IMPORTRANGE(""https://docs.google.com/spreadsheets/d/11s9m3tKsCBdPWq6"&amp;"syhZm27eBGbKneDLZc75co106bio/edit?usp=share_link"",""สระแก้ว!J589"")+IMPORTRANGE(""https://docs.google.com/spreadsheets/d/1Nn1EvsFPtXldgpgVb3Rcng2K2cls68LFQsBh2FyW0Bg/edit?usp=share_link"",""สระบุรี!J589"")+IMPORTRANGE(""https://docs.google.com/spreadshee"&amp;"ts/d/149xufxukrnEciK3WPbNpHwUK8BKEJxp3UcBG3Al6dA4/edit?usp=share_link"",""สิงห์บุรี!J589"")+IMPORTRANGE(""https://docs.google.com/spreadsheets/d/132g-zJpz2uMKimp17uOIx8A7o3w1Z25zwJyXnwsB56c/edit?usp=share_link"",""สุพรรณบุรี!J589"")+IMPORTRANGE(""https://"&amp;"docs.google.com/spreadsheets/d/12Q_U0nVnFdxDFwa0pej9xvx8ZvLC9Dpi_vRro_aiG5g/edit?usp=share_link"",""อ่างทอง!J589"")
"),0)</f>
        <v>0</v>
      </c>
      <c r="K589" s="163"/>
      <c r="L589" s="163"/>
      <c r="M589" s="163"/>
      <c r="N589" s="163"/>
      <c r="O589" s="163"/>
      <c r="P589" s="163"/>
      <c r="Q589" s="571"/>
      <c r="R589" s="571"/>
      <c r="S589" s="571"/>
      <c r="T589" s="571"/>
      <c r="U589" s="571"/>
      <c r="V589" s="571"/>
      <c r="W589" s="571"/>
      <c r="X589" s="571"/>
      <c r="Y589" s="571"/>
      <c r="Z589" s="571"/>
    </row>
    <row r="590" spans="1:26" ht="20.25" customHeight="1">
      <c r="A590" s="601"/>
      <c r="B590" s="602"/>
      <c r="C590" s="602"/>
      <c r="D590" s="187" t="s">
        <v>250</v>
      </c>
      <c r="E590" s="612"/>
      <c r="F590" s="612"/>
      <c r="G590" s="175"/>
      <c r="H590" s="182" t="s">
        <v>46</v>
      </c>
      <c r="I590" s="162"/>
      <c r="J590" s="183">
        <f ca="1">IFERROR(__xludf.DUMMYFUNCTION("IMPORTRANGE(""https://docs.google.com/spreadsheets/d/1hKO5uv94SSRZWOvrh72HRcpyoEQF9TsE_Cvxl77XNU4/edit?usp=share_link"",""กาญจนบุรี!J590"")+IMPORTRANGE(""https://docs.google.com/spreadsheets/d/1njBaP_xXd-Uotvo2D9zb01TTCFkLJLDK97Tk1l9Qux0/edit?usp=share_li"&amp;"nk"",""จันทบุรี!J590"")+IMPORTRANGE(""https://docs.google.com/spreadsheets/d/14xp6qUzrGFnUk_qnc1eEmfiaNRd4_grkhpfQH_46fa8/edit?usp=share_link"",""ฉะเชิงเทรา!J590"")+IMPORTRANGE(""https://docs.google.com/spreadsheets/d/1_Zwps30dlVa-pZFsorjVf1Pil6WXwzCsJU0U"&amp;"2whO3NI/edit?usp=share_link"",""ชลบุรี!J590"")+IMPORTRANGE(""https://docs.google.com/spreadsheets/d/1xAsT4sUbBlom7l0acStESh_15nvjZcXjZM7fK5uZSq8/edit?usp=share_link"",""ชัยนาท!J590"")+IMPORTRANGE(""https://docs.google.com/spreadsheets/d/1vWPVBOAaZ6mHSI8yf"&amp;"95DNqHwTJ1cpeFsvqt6cxV34QA/edit?usp=share_link"",""ตราด!J590"")+IMPORTRANGE(""https://docs.google.com/spreadsheets/d/1phaeSb9lTGgzDpbvVqI9hfmOQQzUom07-HEvpbARzEg/edit?usp=share_link"",""นครนายก!J590"")+IMPORTRANGE(""https://docs.google.com/spreadsheets/d/"&amp;"1tpwhWwkqkBeiSWCcfB5f2fbwPRbM9hHOEDSDHpl2MIc/edit?usp=share_link"",""นครปฐม!J590"")+IMPORTRANGE(""https://docs.google.com/spreadsheets/d/1fJJCVBkBnhriyv0Cp5ZFMr0I_yrfdEITNpb4zILJgUQ/edit?usp=share_link"",""ปทุมธานี!J590"")+IMPORTRANGE(""https://docs.googl"&amp;"e.com/spreadsheets/d/1W5Jj_S0gYw6wSO7QcMI02YgyOBDKYgmm0NSUk-AQEac/edit?usp=share_link"",""ประจวบคีรีขันธ์!J590"")+IMPORTRANGE(""https://docs.google.com/spreadsheets/d/1nYxRXgnCfTXtqUY1otYuTlnrzE0Tn-Y0YRsW5pkRVqo/edit?usp=share_link"",""ปราจีนบุรี!J590"")+"&amp;"IMPORTRANGE(""https://docs.google.com/spreadsheets/d/1nNHCLO8ZAXOMfQvxux7cf_hrzPAh8FAvaHq_ClKbZNo/edit?usp=share_link"",""พระนครศรีอยุธยา!J590"")+IMPORTRANGE(""https://docs.google.com/spreadsheets/d/1CdNicvf3i6yt4tJlCePe3V1Va76wYqW0QzMzTsaGRrA/edit?usp=sh"&amp;"are_link"",""เพชรบุรี!J590"")+IMPORTRANGE(""https://docs.google.com/spreadsheets/d/1XiF77UIVHV0Kjc6xbXuOuJ10WgJYxd4p_22ngKVV5oM/edit?usp=share_link"",""ระยอง!J590"")+IMPORTRANGE(""https://docs.google.com/spreadsheets/d/1qU-W_9MCQD1pgIVXGEOjCFo9QqlmJywueby"&amp;"GgaN92r8/edit?usp=share_link"",""ราชบุรี!J590"")+IMPORTRANGE(""https://docs.google.com/spreadsheets/d/1xYFIxIM_CspAP5Q-5Zx_V0T_Ut3cjryrjd2hss28vGk/edit?usp=share_link"",""ลพบุรี!J590"")+IMPORTRANGE(""https://docs.google.com/spreadsheets/d/11s9m3tKsCBdPWq6"&amp;"syhZm27eBGbKneDLZc75co106bio/edit?usp=share_link"",""สระแก้ว!J590"")+IMPORTRANGE(""https://docs.google.com/spreadsheets/d/1Nn1EvsFPtXldgpgVb3Rcng2K2cls68LFQsBh2FyW0Bg/edit?usp=share_link"",""สระบุรี!J590"")+IMPORTRANGE(""https://docs.google.com/spreadshee"&amp;"ts/d/149xufxukrnEciK3WPbNpHwUK8BKEJxp3UcBG3Al6dA4/edit?usp=share_link"",""สิงห์บุรี!J590"")+IMPORTRANGE(""https://docs.google.com/spreadsheets/d/132g-zJpz2uMKimp17uOIx8A7o3w1Z25zwJyXnwsB56c/edit?usp=share_link"",""สุพรรณบุรี!J590"")+IMPORTRANGE(""https://"&amp;"docs.google.com/spreadsheets/d/12Q_U0nVnFdxDFwa0pej9xvx8ZvLC9Dpi_vRro_aiG5g/edit?usp=share_link"",""อ่างทอง!J590"")
"),0)</f>
        <v>0</v>
      </c>
      <c r="K590" s="163"/>
      <c r="L590" s="163"/>
      <c r="M590" s="163"/>
      <c r="N590" s="163"/>
      <c r="O590" s="163"/>
      <c r="P590" s="163"/>
      <c r="Q590" s="571"/>
      <c r="R590" s="571"/>
      <c r="S590" s="571"/>
      <c r="T590" s="571"/>
      <c r="U590" s="571"/>
      <c r="V590" s="571"/>
      <c r="W590" s="571"/>
      <c r="X590" s="571"/>
      <c r="Y590" s="571"/>
      <c r="Z590" s="571"/>
    </row>
    <row r="591" spans="1:26" ht="20.25" customHeight="1">
      <c r="A591" s="689"/>
      <c r="B591" s="690"/>
      <c r="C591" s="690"/>
      <c r="D591" s="690"/>
      <c r="E591" s="571"/>
      <c r="F591" s="571"/>
      <c r="G591" s="691"/>
      <c r="H591" s="692" t="s">
        <v>34</v>
      </c>
      <c r="I591" s="693"/>
      <c r="J591" s="694">
        <f ca="1">IFERROR(__xludf.DUMMYFUNCTION("IMPORTRANGE(""https://docs.google.com/spreadsheets/d/1hKO5uv94SSRZWOvrh72HRcpyoEQF9TsE_Cvxl77XNU4/edit?usp=share_link"",""กาญจนบุรี!J591"")+IMPORTRANGE(""https://docs.google.com/spreadsheets/d/1njBaP_xXd-Uotvo2D9zb01TTCFkLJLDK97Tk1l9Qux0/edit?usp=share_li"&amp;"nk"",""จันทบุรี!J591"")+IMPORTRANGE(""https://docs.google.com/spreadsheets/d/14xp6qUzrGFnUk_qnc1eEmfiaNRd4_grkhpfQH_46fa8/edit?usp=share_link"",""ฉะเชิงเทรา!J591"")+IMPORTRANGE(""https://docs.google.com/spreadsheets/d/1_Zwps30dlVa-pZFsorjVf1Pil6WXwzCsJU0U"&amp;"2whO3NI/edit?usp=share_link"",""ชลบุรี!J591"")+IMPORTRANGE(""https://docs.google.com/spreadsheets/d/1xAsT4sUbBlom7l0acStESh_15nvjZcXjZM7fK5uZSq8/edit?usp=share_link"",""ชัยนาท!J591"")+IMPORTRANGE(""https://docs.google.com/spreadsheets/d/1vWPVBOAaZ6mHSI8yf"&amp;"95DNqHwTJ1cpeFsvqt6cxV34QA/edit?usp=share_link"",""ตราด!J591"")+IMPORTRANGE(""https://docs.google.com/spreadsheets/d/1phaeSb9lTGgzDpbvVqI9hfmOQQzUom07-HEvpbARzEg/edit?usp=share_link"",""นครนายก!J591"")+IMPORTRANGE(""https://docs.google.com/spreadsheets/d/"&amp;"1tpwhWwkqkBeiSWCcfB5f2fbwPRbM9hHOEDSDHpl2MIc/edit?usp=share_link"",""นครปฐม!J591"")+IMPORTRANGE(""https://docs.google.com/spreadsheets/d/1fJJCVBkBnhriyv0Cp5ZFMr0I_yrfdEITNpb4zILJgUQ/edit?usp=share_link"",""ปทุมธานี!J591"")+IMPORTRANGE(""https://docs.googl"&amp;"e.com/spreadsheets/d/1W5Jj_S0gYw6wSO7QcMI02YgyOBDKYgmm0NSUk-AQEac/edit?usp=share_link"",""ประจวบคีรีขันธ์!J591"")+IMPORTRANGE(""https://docs.google.com/spreadsheets/d/1nYxRXgnCfTXtqUY1otYuTlnrzE0Tn-Y0YRsW5pkRVqo/edit?usp=share_link"",""ปราจีนบุรี!J591"")+"&amp;"IMPORTRANGE(""https://docs.google.com/spreadsheets/d/1nNHCLO8ZAXOMfQvxux7cf_hrzPAh8FAvaHq_ClKbZNo/edit?usp=share_link"",""พระนครศรีอยุธยา!J591"")+IMPORTRANGE(""https://docs.google.com/spreadsheets/d/1CdNicvf3i6yt4tJlCePe3V1Va76wYqW0QzMzTsaGRrA/edit?usp=sh"&amp;"are_link"",""เพชรบุรี!J591"")+IMPORTRANGE(""https://docs.google.com/spreadsheets/d/1XiF77UIVHV0Kjc6xbXuOuJ10WgJYxd4p_22ngKVV5oM/edit?usp=share_link"",""ระยอง!J591"")+IMPORTRANGE(""https://docs.google.com/spreadsheets/d/1qU-W_9MCQD1pgIVXGEOjCFo9QqlmJywueby"&amp;"GgaN92r8/edit?usp=share_link"",""ราชบุรี!J591"")+IMPORTRANGE(""https://docs.google.com/spreadsheets/d/1xYFIxIM_CspAP5Q-5Zx_V0T_Ut3cjryrjd2hss28vGk/edit?usp=share_link"",""ลพบุรี!J591"")+IMPORTRANGE(""https://docs.google.com/spreadsheets/d/11s9m3tKsCBdPWq6"&amp;"syhZm27eBGbKneDLZc75co106bio/edit?usp=share_link"",""สระแก้ว!J591"")+IMPORTRANGE(""https://docs.google.com/spreadsheets/d/1Nn1EvsFPtXldgpgVb3Rcng2K2cls68LFQsBh2FyW0Bg/edit?usp=share_link"",""สระบุรี!J591"")+IMPORTRANGE(""https://docs.google.com/spreadshee"&amp;"ts/d/149xufxukrnEciK3WPbNpHwUK8BKEJxp3UcBG3Al6dA4/edit?usp=share_link"",""สิงห์บุรี!J591"")+IMPORTRANGE(""https://docs.google.com/spreadsheets/d/132g-zJpz2uMKimp17uOIx8A7o3w1Z25zwJyXnwsB56c/edit?usp=share_link"",""สุพรรณบุรี!J591"")+IMPORTRANGE(""https://"&amp;"docs.google.com/spreadsheets/d/12Q_U0nVnFdxDFwa0pej9xvx8ZvLC9Dpi_vRro_aiG5g/edit?usp=share_link"",""อ่างทอง!J591"")
"),0)</f>
        <v>0</v>
      </c>
      <c r="K591" s="695"/>
      <c r="L591" s="695"/>
      <c r="M591" s="695"/>
      <c r="N591" s="695"/>
      <c r="O591" s="695"/>
      <c r="P591" s="695"/>
      <c r="Q591" s="571"/>
      <c r="R591" s="571"/>
      <c r="S591" s="571"/>
      <c r="T591" s="571"/>
      <c r="U591" s="571"/>
      <c r="V591" s="571"/>
      <c r="W591" s="571"/>
      <c r="X591" s="571"/>
      <c r="Y591" s="571"/>
      <c r="Z591" s="571"/>
    </row>
    <row r="592" spans="1:26" ht="20.25" customHeight="1">
      <c r="A592" s="685"/>
      <c r="B592" s="686" t="s">
        <v>251</v>
      </c>
      <c r="C592" s="687"/>
      <c r="D592" s="687"/>
      <c r="E592" s="666"/>
      <c r="F592" s="666"/>
      <c r="G592" s="667"/>
      <c r="H592" s="688" t="s">
        <v>46</v>
      </c>
      <c r="I592" s="669">
        <f t="shared" ref="I592:J592" ca="1" si="290">I593</f>
        <v>23153</v>
      </c>
      <c r="J592" s="669">
        <f t="shared" ca="1" si="290"/>
        <v>493.2</v>
      </c>
      <c r="K592" s="670">
        <f t="shared" ref="K592:K594" ca="1" si="291">IF(I592&gt;0,J592*100/I592,0)</f>
        <v>2.1301775147928996</v>
      </c>
      <c r="L592" s="671"/>
      <c r="M592" s="671"/>
      <c r="N592" s="671"/>
      <c r="O592" s="671"/>
      <c r="P592" s="671"/>
      <c r="Q592" s="571"/>
      <c r="R592" s="571"/>
      <c r="S592" s="571"/>
      <c r="T592" s="571"/>
      <c r="U592" s="571"/>
      <c r="V592" s="571"/>
      <c r="W592" s="571"/>
      <c r="X592" s="571"/>
      <c r="Y592" s="571"/>
      <c r="Z592" s="571"/>
    </row>
    <row r="593" spans="1:26" ht="20.25" customHeight="1">
      <c r="A593" s="601"/>
      <c r="B593" s="602"/>
      <c r="C593" s="615" t="s">
        <v>252</v>
      </c>
      <c r="D593" s="602"/>
      <c r="E593" s="602"/>
      <c r="F593" s="612"/>
      <c r="G593" s="175"/>
      <c r="H593" s="192" t="s">
        <v>46</v>
      </c>
      <c r="I593" s="193">
        <f ca="1">IFERROR(__xludf.DUMMYFUNCTION("IMPORTRANGE(""https://docs.google.com/spreadsheets/d/1hKO5uv94SSRZWOvrh72HRcpyoEQF9TsE_Cvxl77XNU4/edit?usp=share_link"",""กาญจนบุรี!I593"")+IMPORTRANGE(""https://docs.google.com/spreadsheets/d/1njBaP_xXd-Uotvo2D9zb01TTCFkLJLDK97Tk1l9Qux0/edit?usp=share_li"&amp;"nk"",""จันทบุรี!I593"")+IMPORTRANGE(""https://docs.google.com/spreadsheets/d/14xp6qUzrGFnUk_qnc1eEmfiaNRd4_grkhpfQH_46fa8/edit?usp=share_link"",""ฉะเชิงเทรา!I593"")+IMPORTRANGE(""https://docs.google.com/spreadsheets/d/1_Zwps30dlVa-pZFsorjVf1Pil6WXwzCsJU0U"&amp;"2whO3NI/edit?usp=share_link"",""ชลบุรี!I593"")+IMPORTRANGE(""https://docs.google.com/spreadsheets/d/1xAsT4sUbBlom7l0acStESh_15nvjZcXjZM7fK5uZSq8/edit?usp=share_link"",""ชัยนาท!I593"")+IMPORTRANGE(""https://docs.google.com/spreadsheets/d/1vWPVBOAaZ6mHSI8yf"&amp;"95DNqHwTJ1cpeFsvqt6cxV34QA/edit?usp=share_link"",""ตราด!I593"")+IMPORTRANGE(""https://docs.google.com/spreadsheets/d/1phaeSb9lTGgzDpbvVqI9hfmOQQzUom07-HEvpbARzEg/edit?usp=share_link"",""นครนายก!I593"")+IMPORTRANGE(""https://docs.google.com/spreadsheets/d/"&amp;"1tpwhWwkqkBeiSWCcfB5f2fbwPRbM9hHOEDSDHpl2MIc/edit?usp=share_link"",""นครปฐม!I593"")+IMPORTRANGE(""https://docs.google.com/spreadsheets/d/1fJJCVBkBnhriyv0Cp5ZFMr0I_yrfdEITNpb4zILJgUQ/edit?usp=share_link"",""ปทุมธานี!I593"")+IMPORTRANGE(""https://docs.googl"&amp;"e.com/spreadsheets/d/1W5Jj_S0gYw6wSO7QcMI02YgyOBDKYgmm0NSUk-AQEac/edit?usp=share_link"",""ประจวบคีรีขันธ์!I593"")+IMPORTRANGE(""https://docs.google.com/spreadsheets/d/1nYxRXgnCfTXtqUY1otYuTlnrzE0Tn-Y0YRsW5pkRVqo/edit?usp=share_link"",""ปราจีนบุรี!I593"")+"&amp;"IMPORTRANGE(""https://docs.google.com/spreadsheets/d/1nNHCLO8ZAXOMfQvxux7cf_hrzPAh8FAvaHq_ClKbZNo/edit?usp=share_link"",""พระนครศรีอยุธยา!I593"")+IMPORTRANGE(""https://docs.google.com/spreadsheets/d/1CdNicvf3i6yt4tJlCePe3V1Va76wYqW0QzMzTsaGRrA/edit?usp=sh"&amp;"are_link"",""เพชรบุรี!I593"")+IMPORTRANGE(""https://docs.google.com/spreadsheets/d/1XiF77UIVHV0Kjc6xbXuOuJ10WgJYxd4p_22ngKVV5oM/edit?usp=share_link"",""ระยอง!I593"")+IMPORTRANGE(""https://docs.google.com/spreadsheets/d/1qU-W_9MCQD1pgIVXGEOjCFo9QqlmJywueby"&amp;"GgaN92r8/edit?usp=share_link"",""ราชบุรี!I593"")+IMPORTRANGE(""https://docs.google.com/spreadsheets/d/1xYFIxIM_CspAP5Q-5Zx_V0T_Ut3cjryrjd2hss28vGk/edit?usp=share_link"",""ลพบุรี!I593"")+IMPORTRANGE(""https://docs.google.com/spreadsheets/d/11s9m3tKsCBdPWq6"&amp;"syhZm27eBGbKneDLZc75co106bio/edit?usp=share_link"",""สระแก้ว!I593"")+IMPORTRANGE(""https://docs.google.com/spreadsheets/d/1Nn1EvsFPtXldgpgVb3Rcng2K2cls68LFQsBh2FyW0Bg/edit?usp=share_link"",""สระบุรี!I593"")+IMPORTRANGE(""https://docs.google.com/spreadshee"&amp;"ts/d/149xufxukrnEciK3WPbNpHwUK8BKEJxp3UcBG3Al6dA4/edit?usp=share_link"",""สิงห์บุรี!I593"")+IMPORTRANGE(""https://docs.google.com/spreadsheets/d/132g-zJpz2uMKimp17uOIx8A7o3w1Z25zwJyXnwsB56c/edit?usp=share_link"",""สุพรรณบุรี!I593"")+IMPORTRANGE(""https://"&amp;"docs.google.com/spreadsheets/d/12Q_U0nVnFdxDFwa0pej9xvx8ZvLC9Dpi_vRro_aiG5g/edit?usp=share_link"",""อ่างทอง!I593"")
"),23153)</f>
        <v>23153</v>
      </c>
      <c r="J593" s="193">
        <f t="shared" ref="J593:J594" ca="1" si="292">J595+J603+J609</f>
        <v>493.2</v>
      </c>
      <c r="K593" s="410">
        <f t="shared" ca="1" si="291"/>
        <v>2.1301775147928996</v>
      </c>
      <c r="L593" s="163"/>
      <c r="M593" s="163"/>
      <c r="N593" s="163"/>
      <c r="O593" s="163"/>
      <c r="P593" s="163"/>
      <c r="Q593" s="571"/>
      <c r="R593" s="571"/>
      <c r="S593" s="571"/>
      <c r="T593" s="571"/>
      <c r="U593" s="571"/>
      <c r="V593" s="571"/>
      <c r="W593" s="571"/>
      <c r="X593" s="571"/>
      <c r="Y593" s="571"/>
      <c r="Z593" s="571"/>
    </row>
    <row r="594" spans="1:26" ht="20.25" customHeight="1">
      <c r="A594" s="601"/>
      <c r="B594" s="602"/>
      <c r="C594" s="602"/>
      <c r="D594" s="602"/>
      <c r="E594" s="612"/>
      <c r="F594" s="612"/>
      <c r="G594" s="175"/>
      <c r="H594" s="192" t="s">
        <v>34</v>
      </c>
      <c r="I594" s="193">
        <f ca="1">IFERROR(__xludf.DUMMYFUNCTION("IMPORTRANGE(""https://docs.google.com/spreadsheets/d/1hKO5uv94SSRZWOvrh72HRcpyoEQF9TsE_Cvxl77XNU4/edit?usp=share_link"",""กาญจนบุรี!I594"")+IMPORTRANGE(""https://docs.google.com/spreadsheets/d/1njBaP_xXd-Uotvo2D9zb01TTCFkLJLDK97Tk1l9Qux0/edit?usp=share_li"&amp;"nk"",""จันทบุรี!I594"")+IMPORTRANGE(""https://docs.google.com/spreadsheets/d/14xp6qUzrGFnUk_qnc1eEmfiaNRd4_grkhpfQH_46fa8/edit?usp=share_link"",""ฉะเชิงเทรา!I594"")+IMPORTRANGE(""https://docs.google.com/spreadsheets/d/1_Zwps30dlVa-pZFsorjVf1Pil6WXwzCsJU0U"&amp;"2whO3NI/edit?usp=share_link"",""ชลบุรี!I594"")+IMPORTRANGE(""https://docs.google.com/spreadsheets/d/1xAsT4sUbBlom7l0acStESh_15nvjZcXjZM7fK5uZSq8/edit?usp=share_link"",""ชัยนาท!I594"")+IMPORTRANGE(""https://docs.google.com/spreadsheets/d/1vWPVBOAaZ6mHSI8yf"&amp;"95DNqHwTJ1cpeFsvqt6cxV34QA/edit?usp=share_link"",""ตราด!I594"")+IMPORTRANGE(""https://docs.google.com/spreadsheets/d/1phaeSb9lTGgzDpbvVqI9hfmOQQzUom07-HEvpbARzEg/edit?usp=share_link"",""นครนายก!I594"")+IMPORTRANGE(""https://docs.google.com/spreadsheets/d/"&amp;"1tpwhWwkqkBeiSWCcfB5f2fbwPRbM9hHOEDSDHpl2MIc/edit?usp=share_link"",""นครปฐม!I594"")+IMPORTRANGE(""https://docs.google.com/spreadsheets/d/1fJJCVBkBnhriyv0Cp5ZFMr0I_yrfdEITNpb4zILJgUQ/edit?usp=share_link"",""ปทุมธานี!I594"")+IMPORTRANGE(""https://docs.googl"&amp;"e.com/spreadsheets/d/1W5Jj_S0gYw6wSO7QcMI02YgyOBDKYgmm0NSUk-AQEac/edit?usp=share_link"",""ประจวบคีรีขันธ์!I594"")+IMPORTRANGE(""https://docs.google.com/spreadsheets/d/1nYxRXgnCfTXtqUY1otYuTlnrzE0Tn-Y0YRsW5pkRVqo/edit?usp=share_link"",""ปราจีนบุรี!I594"")+"&amp;"IMPORTRANGE(""https://docs.google.com/spreadsheets/d/1nNHCLO8ZAXOMfQvxux7cf_hrzPAh8FAvaHq_ClKbZNo/edit?usp=share_link"",""พระนครศรีอยุธยา!I594"")+IMPORTRANGE(""https://docs.google.com/spreadsheets/d/1CdNicvf3i6yt4tJlCePe3V1Va76wYqW0QzMzTsaGRrA/edit?usp=sh"&amp;"are_link"",""เพชรบุรี!I594"")+IMPORTRANGE(""https://docs.google.com/spreadsheets/d/1XiF77UIVHV0Kjc6xbXuOuJ10WgJYxd4p_22ngKVV5oM/edit?usp=share_link"",""ระยอง!I594"")+IMPORTRANGE(""https://docs.google.com/spreadsheets/d/1qU-W_9MCQD1pgIVXGEOjCFo9QqlmJywueby"&amp;"GgaN92r8/edit?usp=share_link"",""ราชบุรี!I594"")+IMPORTRANGE(""https://docs.google.com/spreadsheets/d/1xYFIxIM_CspAP5Q-5Zx_V0T_Ut3cjryrjd2hss28vGk/edit?usp=share_link"",""ลพบุรี!I594"")+IMPORTRANGE(""https://docs.google.com/spreadsheets/d/11s9m3tKsCBdPWq6"&amp;"syhZm27eBGbKneDLZc75co106bio/edit?usp=share_link"",""สระแก้ว!I594"")+IMPORTRANGE(""https://docs.google.com/spreadsheets/d/1Nn1EvsFPtXldgpgVb3Rcng2K2cls68LFQsBh2FyW0Bg/edit?usp=share_link"",""สระบุรี!I594"")+IMPORTRANGE(""https://docs.google.com/spreadshee"&amp;"ts/d/149xufxukrnEciK3WPbNpHwUK8BKEJxp3UcBG3Al6dA4/edit?usp=share_link"",""สิงห์บุรี!I594"")+IMPORTRANGE(""https://docs.google.com/spreadsheets/d/132g-zJpz2uMKimp17uOIx8A7o3w1Z25zwJyXnwsB56c/edit?usp=share_link"",""สุพรรณบุรี!I594"")+IMPORTRANGE(""https://"&amp;"docs.google.com/spreadsheets/d/12Q_U0nVnFdxDFwa0pej9xvx8ZvLC9Dpi_vRro_aiG5g/edit?usp=share_link"",""อ่างทอง!I594"")
"),1783)</f>
        <v>1783</v>
      </c>
      <c r="J594" s="193">
        <f t="shared" ca="1" si="292"/>
        <v>36</v>
      </c>
      <c r="K594" s="410">
        <f t="shared" ca="1" si="291"/>
        <v>2.0190689848569825</v>
      </c>
      <c r="L594" s="163"/>
      <c r="M594" s="163"/>
      <c r="N594" s="163"/>
      <c r="O594" s="163"/>
      <c r="P594" s="163"/>
      <c r="Q594" s="571"/>
      <c r="R594" s="571"/>
      <c r="S594" s="571"/>
      <c r="T594" s="571"/>
      <c r="U594" s="571"/>
      <c r="V594" s="571"/>
      <c r="W594" s="571"/>
      <c r="X594" s="571"/>
      <c r="Y594" s="571"/>
      <c r="Z594" s="571"/>
    </row>
    <row r="595" spans="1:26" ht="20.25" customHeight="1">
      <c r="A595" s="601"/>
      <c r="B595" s="602"/>
      <c r="C595" s="611" t="s">
        <v>253</v>
      </c>
      <c r="D595" s="602"/>
      <c r="E595" s="602"/>
      <c r="F595" s="612"/>
      <c r="G595" s="175"/>
      <c r="H595" s="182" t="s">
        <v>46</v>
      </c>
      <c r="I595" s="162"/>
      <c r="J595" s="162">
        <f t="shared" ref="J595:J596" ca="1" si="293">J597+J599</f>
        <v>469.2</v>
      </c>
      <c r="K595" s="163"/>
      <c r="L595" s="163"/>
      <c r="M595" s="163"/>
      <c r="N595" s="163"/>
      <c r="O595" s="163"/>
      <c r="P595" s="163"/>
      <c r="Q595" s="571"/>
      <c r="R595" s="571"/>
      <c r="S595" s="571"/>
      <c r="T595" s="571"/>
      <c r="U595" s="571"/>
      <c r="V595" s="571"/>
      <c r="W595" s="571"/>
      <c r="X595" s="571"/>
      <c r="Y595" s="571"/>
      <c r="Z595" s="571"/>
    </row>
    <row r="596" spans="1:26" ht="20.25" customHeight="1">
      <c r="A596" s="601"/>
      <c r="B596" s="602"/>
      <c r="C596" s="602"/>
      <c r="D596" s="602"/>
      <c r="E596" s="612"/>
      <c r="F596" s="612"/>
      <c r="G596" s="175"/>
      <c r="H596" s="182" t="s">
        <v>34</v>
      </c>
      <c r="I596" s="162"/>
      <c r="J596" s="162">
        <f t="shared" ca="1" si="293"/>
        <v>35</v>
      </c>
      <c r="K596" s="163"/>
      <c r="L596" s="163"/>
      <c r="M596" s="163"/>
      <c r="N596" s="163"/>
      <c r="O596" s="163"/>
      <c r="P596" s="163"/>
      <c r="Q596" s="571"/>
      <c r="R596" s="571"/>
      <c r="S596" s="571"/>
      <c r="T596" s="571"/>
      <c r="U596" s="571"/>
      <c r="V596" s="571"/>
      <c r="W596" s="571"/>
      <c r="X596" s="571"/>
      <c r="Y596" s="571"/>
      <c r="Z596" s="571"/>
    </row>
    <row r="597" spans="1:26" ht="20.25" customHeight="1">
      <c r="A597" s="601"/>
      <c r="B597" s="602"/>
      <c r="C597" s="602"/>
      <c r="D597" s="262" t="s">
        <v>254</v>
      </c>
      <c r="E597" s="612"/>
      <c r="F597" s="612"/>
      <c r="G597" s="175"/>
      <c r="H597" s="182" t="s">
        <v>46</v>
      </c>
      <c r="I597" s="162"/>
      <c r="J597" s="183">
        <f ca="1">IFERROR(__xludf.DUMMYFUNCTION("IMPORTRANGE(""https://docs.google.com/spreadsheets/d/1hKO5uv94SSRZWOvrh72HRcpyoEQF9TsE_Cvxl77XNU4/edit?usp=share_link"",""กาญจนบุรี!J597"")+IMPORTRANGE(""https://docs.google.com/spreadsheets/d/1njBaP_xXd-Uotvo2D9zb01TTCFkLJLDK97Tk1l9Qux0/edit?usp=share_li"&amp;"nk"",""จันทบุรี!J597"")+IMPORTRANGE(""https://docs.google.com/spreadsheets/d/14xp6qUzrGFnUk_qnc1eEmfiaNRd4_grkhpfQH_46fa8/edit?usp=share_link"",""ฉะเชิงเทรา!J597"")+IMPORTRANGE(""https://docs.google.com/spreadsheets/d/1_Zwps30dlVa-pZFsorjVf1Pil6WXwzCsJU0U"&amp;"2whO3NI/edit?usp=share_link"",""ชลบุรี!J597"")+IMPORTRANGE(""https://docs.google.com/spreadsheets/d/1xAsT4sUbBlom7l0acStESh_15nvjZcXjZM7fK5uZSq8/edit?usp=share_link"",""ชัยนาท!J597"")+IMPORTRANGE(""https://docs.google.com/spreadsheets/d/1vWPVBOAaZ6mHSI8yf"&amp;"95DNqHwTJ1cpeFsvqt6cxV34QA/edit?usp=share_link"",""ตราด!J597"")+IMPORTRANGE(""https://docs.google.com/spreadsheets/d/1phaeSb9lTGgzDpbvVqI9hfmOQQzUom07-HEvpbARzEg/edit?usp=share_link"",""นครนายก!J597"")+IMPORTRANGE(""https://docs.google.com/spreadsheets/d/"&amp;"1tpwhWwkqkBeiSWCcfB5f2fbwPRbM9hHOEDSDHpl2MIc/edit?usp=share_link"",""นครปฐม!J597"")+IMPORTRANGE(""https://docs.google.com/spreadsheets/d/1fJJCVBkBnhriyv0Cp5ZFMr0I_yrfdEITNpb4zILJgUQ/edit?usp=share_link"",""ปทุมธานี!J597"")+IMPORTRANGE(""https://docs.googl"&amp;"e.com/spreadsheets/d/1W5Jj_S0gYw6wSO7QcMI02YgyOBDKYgmm0NSUk-AQEac/edit?usp=share_link"",""ประจวบคีรีขันธ์!J597"")+IMPORTRANGE(""https://docs.google.com/spreadsheets/d/1nYxRXgnCfTXtqUY1otYuTlnrzE0Tn-Y0YRsW5pkRVqo/edit?usp=share_link"",""ปราจีนบุรี!J597"")+"&amp;"IMPORTRANGE(""https://docs.google.com/spreadsheets/d/1nNHCLO8ZAXOMfQvxux7cf_hrzPAh8FAvaHq_ClKbZNo/edit?usp=share_link"",""พระนครศรีอยุธยา!J597"")+IMPORTRANGE(""https://docs.google.com/spreadsheets/d/1CdNicvf3i6yt4tJlCePe3V1Va76wYqW0QzMzTsaGRrA/edit?usp=sh"&amp;"are_link"",""เพชรบุรี!J597"")+IMPORTRANGE(""https://docs.google.com/spreadsheets/d/1XiF77UIVHV0Kjc6xbXuOuJ10WgJYxd4p_22ngKVV5oM/edit?usp=share_link"",""ระยอง!J597"")+IMPORTRANGE(""https://docs.google.com/spreadsheets/d/1qU-W_9MCQD1pgIVXGEOjCFo9QqlmJywueby"&amp;"GgaN92r8/edit?usp=share_link"",""ราชบุรี!J597"")+IMPORTRANGE(""https://docs.google.com/spreadsheets/d/1xYFIxIM_CspAP5Q-5Zx_V0T_Ut3cjryrjd2hss28vGk/edit?usp=share_link"",""ลพบุรี!J597"")+IMPORTRANGE(""https://docs.google.com/spreadsheets/d/11s9m3tKsCBdPWq6"&amp;"syhZm27eBGbKneDLZc75co106bio/edit?usp=share_link"",""สระแก้ว!J597"")+IMPORTRANGE(""https://docs.google.com/spreadsheets/d/1Nn1EvsFPtXldgpgVb3Rcng2K2cls68LFQsBh2FyW0Bg/edit?usp=share_link"",""สระบุรี!J597"")+IMPORTRANGE(""https://docs.google.com/spreadshee"&amp;"ts/d/149xufxukrnEciK3WPbNpHwUK8BKEJxp3UcBG3Al6dA4/edit?usp=share_link"",""สิงห์บุรี!J597"")+IMPORTRANGE(""https://docs.google.com/spreadsheets/d/132g-zJpz2uMKimp17uOIx8A7o3w1Z25zwJyXnwsB56c/edit?usp=share_link"",""สุพรรณบุรี!J597"")+IMPORTRANGE(""https://"&amp;"docs.google.com/spreadsheets/d/12Q_U0nVnFdxDFwa0pej9xvx8ZvLC9Dpi_vRro_aiG5g/edit?usp=share_link"",""อ่างทอง!J597"")
"),469.2)</f>
        <v>469.2</v>
      </c>
      <c r="K597" s="163"/>
      <c r="L597" s="163"/>
      <c r="M597" s="163"/>
      <c r="N597" s="163"/>
      <c r="O597" s="163"/>
      <c r="P597" s="163"/>
      <c r="Q597" s="571"/>
      <c r="R597" s="571"/>
      <c r="S597" s="571"/>
      <c r="T597" s="571"/>
      <c r="U597" s="571"/>
      <c r="V597" s="571"/>
      <c r="W597" s="571"/>
      <c r="X597" s="571"/>
      <c r="Y597" s="571"/>
      <c r="Z597" s="571"/>
    </row>
    <row r="598" spans="1:26" ht="20.25" customHeight="1">
      <c r="A598" s="601"/>
      <c r="B598" s="602"/>
      <c r="C598" s="602"/>
      <c r="D598" s="602"/>
      <c r="E598" s="612"/>
      <c r="F598" s="612"/>
      <c r="G598" s="175"/>
      <c r="H598" s="182" t="s">
        <v>34</v>
      </c>
      <c r="I598" s="37"/>
      <c r="J598" s="183">
        <f ca="1">IFERROR(__xludf.DUMMYFUNCTION("IMPORTRANGE(""https://docs.google.com/spreadsheets/d/1hKO5uv94SSRZWOvrh72HRcpyoEQF9TsE_Cvxl77XNU4/edit?usp=share_link"",""กาญจนบุรี!J598"")+IMPORTRANGE(""https://docs.google.com/spreadsheets/d/1njBaP_xXd-Uotvo2D9zb01TTCFkLJLDK97Tk1l9Qux0/edit?usp=share_li"&amp;"nk"",""จันทบุรี!J598"")+IMPORTRANGE(""https://docs.google.com/spreadsheets/d/14xp6qUzrGFnUk_qnc1eEmfiaNRd4_grkhpfQH_46fa8/edit?usp=share_link"",""ฉะเชิงเทรา!J598"")+IMPORTRANGE(""https://docs.google.com/spreadsheets/d/1_Zwps30dlVa-pZFsorjVf1Pil6WXwzCsJU0U"&amp;"2whO3NI/edit?usp=share_link"",""ชลบุรี!J598"")+IMPORTRANGE(""https://docs.google.com/spreadsheets/d/1xAsT4sUbBlom7l0acStESh_15nvjZcXjZM7fK5uZSq8/edit?usp=share_link"",""ชัยนาท!J598"")+IMPORTRANGE(""https://docs.google.com/spreadsheets/d/1vWPVBOAaZ6mHSI8yf"&amp;"95DNqHwTJ1cpeFsvqt6cxV34QA/edit?usp=share_link"",""ตราด!J598"")+IMPORTRANGE(""https://docs.google.com/spreadsheets/d/1phaeSb9lTGgzDpbvVqI9hfmOQQzUom07-HEvpbARzEg/edit?usp=share_link"",""นครนายก!J598"")+IMPORTRANGE(""https://docs.google.com/spreadsheets/d/"&amp;"1tpwhWwkqkBeiSWCcfB5f2fbwPRbM9hHOEDSDHpl2MIc/edit?usp=share_link"",""นครปฐม!J598"")+IMPORTRANGE(""https://docs.google.com/spreadsheets/d/1fJJCVBkBnhriyv0Cp5ZFMr0I_yrfdEITNpb4zILJgUQ/edit?usp=share_link"",""ปทุมธานี!J598"")+IMPORTRANGE(""https://docs.googl"&amp;"e.com/spreadsheets/d/1W5Jj_S0gYw6wSO7QcMI02YgyOBDKYgmm0NSUk-AQEac/edit?usp=share_link"",""ประจวบคีรีขันธ์!J598"")+IMPORTRANGE(""https://docs.google.com/spreadsheets/d/1nYxRXgnCfTXtqUY1otYuTlnrzE0Tn-Y0YRsW5pkRVqo/edit?usp=share_link"",""ปราจีนบุรี!J598"")+"&amp;"IMPORTRANGE(""https://docs.google.com/spreadsheets/d/1nNHCLO8ZAXOMfQvxux7cf_hrzPAh8FAvaHq_ClKbZNo/edit?usp=share_link"",""พระนครศรีอยุธยา!J598"")+IMPORTRANGE(""https://docs.google.com/spreadsheets/d/1CdNicvf3i6yt4tJlCePe3V1Va76wYqW0QzMzTsaGRrA/edit?usp=sh"&amp;"are_link"",""เพชรบุรี!J598"")+IMPORTRANGE(""https://docs.google.com/spreadsheets/d/1XiF77UIVHV0Kjc6xbXuOuJ10WgJYxd4p_22ngKVV5oM/edit?usp=share_link"",""ระยอง!J598"")+IMPORTRANGE(""https://docs.google.com/spreadsheets/d/1qU-W_9MCQD1pgIVXGEOjCFo9QqlmJywueby"&amp;"GgaN92r8/edit?usp=share_link"",""ราชบุรี!J598"")+IMPORTRANGE(""https://docs.google.com/spreadsheets/d/1xYFIxIM_CspAP5Q-5Zx_V0T_Ut3cjryrjd2hss28vGk/edit?usp=share_link"",""ลพบุรี!J598"")+IMPORTRANGE(""https://docs.google.com/spreadsheets/d/11s9m3tKsCBdPWq6"&amp;"syhZm27eBGbKneDLZc75co106bio/edit?usp=share_link"",""สระแก้ว!J598"")+IMPORTRANGE(""https://docs.google.com/spreadsheets/d/1Nn1EvsFPtXldgpgVb3Rcng2K2cls68LFQsBh2FyW0Bg/edit?usp=share_link"",""สระบุรี!J598"")+IMPORTRANGE(""https://docs.google.com/spreadshee"&amp;"ts/d/149xufxukrnEciK3WPbNpHwUK8BKEJxp3UcBG3Al6dA4/edit?usp=share_link"",""สิงห์บุรี!J598"")+IMPORTRANGE(""https://docs.google.com/spreadsheets/d/132g-zJpz2uMKimp17uOIx8A7o3w1Z25zwJyXnwsB56c/edit?usp=share_link"",""สุพรรณบุรี!J598"")+IMPORTRANGE(""https://"&amp;"docs.google.com/spreadsheets/d/12Q_U0nVnFdxDFwa0pej9xvx8ZvLC9Dpi_vRro_aiG5g/edit?usp=share_link"",""อ่างทอง!J598"")
"),35)</f>
        <v>35</v>
      </c>
      <c r="K598" s="163"/>
      <c r="L598" s="163"/>
      <c r="M598" s="163"/>
      <c r="N598" s="163"/>
      <c r="O598" s="163"/>
      <c r="P598" s="163"/>
      <c r="Q598" s="571"/>
      <c r="R598" s="571"/>
      <c r="S598" s="571"/>
      <c r="T598" s="571"/>
      <c r="U598" s="571"/>
      <c r="V598" s="571"/>
      <c r="W598" s="571"/>
      <c r="X598" s="571"/>
      <c r="Y598" s="571"/>
      <c r="Z598" s="571"/>
    </row>
    <row r="599" spans="1:26" ht="20.25" customHeight="1">
      <c r="A599" s="601"/>
      <c r="B599" s="602"/>
      <c r="C599" s="602"/>
      <c r="D599" s="262" t="s">
        <v>255</v>
      </c>
      <c r="E599" s="612"/>
      <c r="F599" s="612"/>
      <c r="G599" s="175"/>
      <c r="H599" s="182" t="s">
        <v>46</v>
      </c>
      <c r="I599" s="37"/>
      <c r="J599" s="183">
        <f ca="1">IFERROR(__xludf.DUMMYFUNCTION("IMPORTRANGE(""https://docs.google.com/spreadsheets/d/1hKO5uv94SSRZWOvrh72HRcpyoEQF9TsE_Cvxl77XNU4/edit?usp=share_link"",""กาญจนบุรี!J599"")+IMPORTRANGE(""https://docs.google.com/spreadsheets/d/1njBaP_xXd-Uotvo2D9zb01TTCFkLJLDK97Tk1l9Qux0/edit?usp=share_li"&amp;"nk"",""จันทบุรี!J599"")+IMPORTRANGE(""https://docs.google.com/spreadsheets/d/14xp6qUzrGFnUk_qnc1eEmfiaNRd4_grkhpfQH_46fa8/edit?usp=share_link"",""ฉะเชิงเทรา!J599"")+IMPORTRANGE(""https://docs.google.com/spreadsheets/d/1_Zwps30dlVa-pZFsorjVf1Pil6WXwzCsJU0U"&amp;"2whO3NI/edit?usp=share_link"",""ชลบุรี!J599"")+IMPORTRANGE(""https://docs.google.com/spreadsheets/d/1xAsT4sUbBlom7l0acStESh_15nvjZcXjZM7fK5uZSq8/edit?usp=share_link"",""ชัยนาท!J599"")+IMPORTRANGE(""https://docs.google.com/spreadsheets/d/1vWPVBOAaZ6mHSI8yf"&amp;"95DNqHwTJ1cpeFsvqt6cxV34QA/edit?usp=share_link"",""ตราด!J599"")+IMPORTRANGE(""https://docs.google.com/spreadsheets/d/1phaeSb9lTGgzDpbvVqI9hfmOQQzUom07-HEvpbARzEg/edit?usp=share_link"",""นครนายก!J599"")+IMPORTRANGE(""https://docs.google.com/spreadsheets/d/"&amp;"1tpwhWwkqkBeiSWCcfB5f2fbwPRbM9hHOEDSDHpl2MIc/edit?usp=share_link"",""นครปฐม!J599"")+IMPORTRANGE(""https://docs.google.com/spreadsheets/d/1fJJCVBkBnhriyv0Cp5ZFMr0I_yrfdEITNpb4zILJgUQ/edit?usp=share_link"",""ปทุมธานี!J599"")+IMPORTRANGE(""https://docs.googl"&amp;"e.com/spreadsheets/d/1W5Jj_S0gYw6wSO7QcMI02YgyOBDKYgmm0NSUk-AQEac/edit?usp=share_link"",""ประจวบคีรีขันธ์!J599"")+IMPORTRANGE(""https://docs.google.com/spreadsheets/d/1nYxRXgnCfTXtqUY1otYuTlnrzE0Tn-Y0YRsW5pkRVqo/edit?usp=share_link"",""ปราจีนบุรี!J599"")+"&amp;"IMPORTRANGE(""https://docs.google.com/spreadsheets/d/1nNHCLO8ZAXOMfQvxux7cf_hrzPAh8FAvaHq_ClKbZNo/edit?usp=share_link"",""พระนครศรีอยุธยา!J599"")+IMPORTRANGE(""https://docs.google.com/spreadsheets/d/1CdNicvf3i6yt4tJlCePe3V1Va76wYqW0QzMzTsaGRrA/edit?usp=sh"&amp;"are_link"",""เพชรบุรี!J599"")+IMPORTRANGE(""https://docs.google.com/spreadsheets/d/1XiF77UIVHV0Kjc6xbXuOuJ10WgJYxd4p_22ngKVV5oM/edit?usp=share_link"",""ระยอง!J599"")+IMPORTRANGE(""https://docs.google.com/spreadsheets/d/1qU-W_9MCQD1pgIVXGEOjCFo9QqlmJywueby"&amp;"GgaN92r8/edit?usp=share_link"",""ราชบุรี!J599"")+IMPORTRANGE(""https://docs.google.com/spreadsheets/d/1xYFIxIM_CspAP5Q-5Zx_V0T_Ut3cjryrjd2hss28vGk/edit?usp=share_link"",""ลพบุรี!J599"")+IMPORTRANGE(""https://docs.google.com/spreadsheets/d/11s9m3tKsCBdPWq6"&amp;"syhZm27eBGbKneDLZc75co106bio/edit?usp=share_link"",""สระแก้ว!J599"")+IMPORTRANGE(""https://docs.google.com/spreadsheets/d/1Nn1EvsFPtXldgpgVb3Rcng2K2cls68LFQsBh2FyW0Bg/edit?usp=share_link"",""สระบุรี!J599"")+IMPORTRANGE(""https://docs.google.com/spreadshee"&amp;"ts/d/149xufxukrnEciK3WPbNpHwUK8BKEJxp3UcBG3Al6dA4/edit?usp=share_link"",""สิงห์บุรี!J599"")+IMPORTRANGE(""https://docs.google.com/spreadsheets/d/132g-zJpz2uMKimp17uOIx8A7o3w1Z25zwJyXnwsB56c/edit?usp=share_link"",""สุพรรณบุรี!J599"")+IMPORTRANGE(""https://"&amp;"docs.google.com/spreadsheets/d/12Q_U0nVnFdxDFwa0pej9xvx8ZvLC9Dpi_vRro_aiG5g/edit?usp=share_link"",""อ่างทอง!J599"")
"),0)</f>
        <v>0</v>
      </c>
      <c r="K599" s="163"/>
      <c r="L599" s="163"/>
      <c r="M599" s="163"/>
      <c r="N599" s="163"/>
      <c r="O599" s="163"/>
      <c r="P599" s="163"/>
      <c r="Q599" s="571"/>
      <c r="R599" s="571"/>
      <c r="S599" s="571"/>
      <c r="T599" s="571"/>
      <c r="U599" s="571"/>
      <c r="V599" s="571"/>
      <c r="W599" s="571"/>
      <c r="X599" s="571"/>
      <c r="Y599" s="571"/>
      <c r="Z599" s="571"/>
    </row>
    <row r="600" spans="1:26" ht="20.25" customHeight="1">
      <c r="A600" s="601"/>
      <c r="B600" s="602"/>
      <c r="C600" s="602"/>
      <c r="D600" s="602"/>
      <c r="E600" s="612"/>
      <c r="F600" s="612"/>
      <c r="G600" s="175"/>
      <c r="H600" s="182" t="s">
        <v>34</v>
      </c>
      <c r="I600" s="37"/>
      <c r="J600" s="183">
        <f ca="1">IFERROR(__xludf.DUMMYFUNCTION("IMPORTRANGE(""https://docs.google.com/spreadsheets/d/1hKO5uv94SSRZWOvrh72HRcpyoEQF9TsE_Cvxl77XNU4/edit?usp=share_link"",""กาญจนบุรี!J600"")+IMPORTRANGE(""https://docs.google.com/spreadsheets/d/1njBaP_xXd-Uotvo2D9zb01TTCFkLJLDK97Tk1l9Qux0/edit?usp=share_li"&amp;"nk"",""จันทบุรี!J600"")+IMPORTRANGE(""https://docs.google.com/spreadsheets/d/14xp6qUzrGFnUk_qnc1eEmfiaNRd4_grkhpfQH_46fa8/edit?usp=share_link"",""ฉะเชิงเทรา!J600"")+IMPORTRANGE(""https://docs.google.com/spreadsheets/d/1_Zwps30dlVa-pZFsorjVf1Pil6WXwzCsJU0U"&amp;"2whO3NI/edit?usp=share_link"",""ชลบุรี!J600"")+IMPORTRANGE(""https://docs.google.com/spreadsheets/d/1xAsT4sUbBlom7l0acStESh_15nvjZcXjZM7fK5uZSq8/edit?usp=share_link"",""ชัยนาท!J600"")+IMPORTRANGE(""https://docs.google.com/spreadsheets/d/1vWPVBOAaZ6mHSI8yf"&amp;"95DNqHwTJ1cpeFsvqt6cxV34QA/edit?usp=share_link"",""ตราด!J600"")+IMPORTRANGE(""https://docs.google.com/spreadsheets/d/1phaeSb9lTGgzDpbvVqI9hfmOQQzUom07-HEvpbARzEg/edit?usp=share_link"",""นครนายก!J600"")+IMPORTRANGE(""https://docs.google.com/spreadsheets/d/"&amp;"1tpwhWwkqkBeiSWCcfB5f2fbwPRbM9hHOEDSDHpl2MIc/edit?usp=share_link"",""นครปฐม!J600"")+IMPORTRANGE(""https://docs.google.com/spreadsheets/d/1fJJCVBkBnhriyv0Cp5ZFMr0I_yrfdEITNpb4zILJgUQ/edit?usp=share_link"",""ปทุมธานี!J600"")+IMPORTRANGE(""https://docs.googl"&amp;"e.com/spreadsheets/d/1W5Jj_S0gYw6wSO7QcMI02YgyOBDKYgmm0NSUk-AQEac/edit?usp=share_link"",""ประจวบคีรีขันธ์!J600"")+IMPORTRANGE(""https://docs.google.com/spreadsheets/d/1nYxRXgnCfTXtqUY1otYuTlnrzE0Tn-Y0YRsW5pkRVqo/edit?usp=share_link"",""ปราจีนบุรี!J600"")+"&amp;"IMPORTRANGE(""https://docs.google.com/spreadsheets/d/1nNHCLO8ZAXOMfQvxux7cf_hrzPAh8FAvaHq_ClKbZNo/edit?usp=share_link"",""พระนครศรีอยุธยา!J600"")+IMPORTRANGE(""https://docs.google.com/spreadsheets/d/1CdNicvf3i6yt4tJlCePe3V1Va76wYqW0QzMzTsaGRrA/edit?usp=sh"&amp;"are_link"",""เพชรบุรี!J600"")+IMPORTRANGE(""https://docs.google.com/spreadsheets/d/1XiF77UIVHV0Kjc6xbXuOuJ10WgJYxd4p_22ngKVV5oM/edit?usp=share_link"",""ระยอง!J600"")+IMPORTRANGE(""https://docs.google.com/spreadsheets/d/1qU-W_9MCQD1pgIVXGEOjCFo9QqlmJywueby"&amp;"GgaN92r8/edit?usp=share_link"",""ราชบุรี!J600"")+IMPORTRANGE(""https://docs.google.com/spreadsheets/d/1xYFIxIM_CspAP5Q-5Zx_V0T_Ut3cjryrjd2hss28vGk/edit?usp=share_link"",""ลพบุรี!J600"")+IMPORTRANGE(""https://docs.google.com/spreadsheets/d/11s9m3tKsCBdPWq6"&amp;"syhZm27eBGbKneDLZc75co106bio/edit?usp=share_link"",""สระแก้ว!J600"")+IMPORTRANGE(""https://docs.google.com/spreadsheets/d/1Nn1EvsFPtXldgpgVb3Rcng2K2cls68LFQsBh2FyW0Bg/edit?usp=share_link"",""สระบุรี!J600"")+IMPORTRANGE(""https://docs.google.com/spreadshee"&amp;"ts/d/149xufxukrnEciK3WPbNpHwUK8BKEJxp3UcBG3Al6dA4/edit?usp=share_link"",""สิงห์บุรี!J600"")+IMPORTRANGE(""https://docs.google.com/spreadsheets/d/132g-zJpz2uMKimp17uOIx8A7o3w1Z25zwJyXnwsB56c/edit?usp=share_link"",""สุพรรณบุรี!J600"")+IMPORTRANGE(""https://"&amp;"docs.google.com/spreadsheets/d/12Q_U0nVnFdxDFwa0pej9xvx8ZvLC9Dpi_vRro_aiG5g/edit?usp=share_link"",""อ่างทอง!J600"")
"),0)</f>
        <v>0</v>
      </c>
      <c r="K600" s="163"/>
      <c r="L600" s="163"/>
      <c r="M600" s="163"/>
      <c r="N600" s="163"/>
      <c r="O600" s="163"/>
      <c r="P600" s="163"/>
      <c r="Q600" s="571"/>
      <c r="R600" s="571"/>
      <c r="S600" s="571"/>
      <c r="T600" s="571"/>
      <c r="U600" s="571"/>
      <c r="V600" s="571"/>
      <c r="W600" s="571"/>
      <c r="X600" s="571"/>
      <c r="Y600" s="571"/>
      <c r="Z600" s="571"/>
    </row>
    <row r="601" spans="1:26" ht="20.25" customHeight="1">
      <c r="A601" s="601"/>
      <c r="B601" s="602"/>
      <c r="C601" s="602"/>
      <c r="D601" s="262" t="s">
        <v>256</v>
      </c>
      <c r="E601" s="612"/>
      <c r="F601" s="612"/>
      <c r="G601" s="175"/>
      <c r="H601" s="182" t="s">
        <v>46</v>
      </c>
      <c r="I601" s="37"/>
      <c r="J601" s="183">
        <f ca="1">IFERROR(__xludf.DUMMYFUNCTION("IMPORTRANGE(""https://docs.google.com/spreadsheets/d/1hKO5uv94SSRZWOvrh72HRcpyoEQF9TsE_Cvxl77XNU4/edit?usp=share_link"",""กาญจนบุรี!J601"")+IMPORTRANGE(""https://docs.google.com/spreadsheets/d/1njBaP_xXd-Uotvo2D9zb01TTCFkLJLDK97Tk1l9Qux0/edit?usp=share_li"&amp;"nk"",""จันทบุรี!J601"")+IMPORTRANGE(""https://docs.google.com/spreadsheets/d/14xp6qUzrGFnUk_qnc1eEmfiaNRd4_grkhpfQH_46fa8/edit?usp=share_link"",""ฉะเชิงเทรา!J601"")+IMPORTRANGE(""https://docs.google.com/spreadsheets/d/1_Zwps30dlVa-pZFsorjVf1Pil6WXwzCsJU0U"&amp;"2whO3NI/edit?usp=share_link"",""ชลบุรี!J601"")+IMPORTRANGE(""https://docs.google.com/spreadsheets/d/1xAsT4sUbBlom7l0acStESh_15nvjZcXjZM7fK5uZSq8/edit?usp=share_link"",""ชัยนาท!J601"")+IMPORTRANGE(""https://docs.google.com/spreadsheets/d/1vWPVBOAaZ6mHSI8yf"&amp;"95DNqHwTJ1cpeFsvqt6cxV34QA/edit?usp=share_link"",""ตราด!J601"")+IMPORTRANGE(""https://docs.google.com/spreadsheets/d/1phaeSb9lTGgzDpbvVqI9hfmOQQzUom07-HEvpbARzEg/edit?usp=share_link"",""นครนายก!J601"")+IMPORTRANGE(""https://docs.google.com/spreadsheets/d/"&amp;"1tpwhWwkqkBeiSWCcfB5f2fbwPRbM9hHOEDSDHpl2MIc/edit?usp=share_link"",""นครปฐม!J601"")+IMPORTRANGE(""https://docs.google.com/spreadsheets/d/1fJJCVBkBnhriyv0Cp5ZFMr0I_yrfdEITNpb4zILJgUQ/edit?usp=share_link"",""ปทุมธานี!J601"")+IMPORTRANGE(""https://docs.googl"&amp;"e.com/spreadsheets/d/1W5Jj_S0gYw6wSO7QcMI02YgyOBDKYgmm0NSUk-AQEac/edit?usp=share_link"",""ประจวบคีรีขันธ์!J601"")+IMPORTRANGE(""https://docs.google.com/spreadsheets/d/1nYxRXgnCfTXtqUY1otYuTlnrzE0Tn-Y0YRsW5pkRVqo/edit?usp=share_link"",""ปราจีนบุรี!J601"")+"&amp;"IMPORTRANGE(""https://docs.google.com/spreadsheets/d/1nNHCLO8ZAXOMfQvxux7cf_hrzPAh8FAvaHq_ClKbZNo/edit?usp=share_link"",""พระนครศรีอยุธยา!J601"")+IMPORTRANGE(""https://docs.google.com/spreadsheets/d/1CdNicvf3i6yt4tJlCePe3V1Va76wYqW0QzMzTsaGRrA/edit?usp=sh"&amp;"are_link"",""เพชรบุรี!J601"")+IMPORTRANGE(""https://docs.google.com/spreadsheets/d/1XiF77UIVHV0Kjc6xbXuOuJ10WgJYxd4p_22ngKVV5oM/edit?usp=share_link"",""ระยอง!J601"")+IMPORTRANGE(""https://docs.google.com/spreadsheets/d/1qU-W_9MCQD1pgIVXGEOjCFo9QqlmJywueby"&amp;"GgaN92r8/edit?usp=share_link"",""ราชบุรี!J601"")+IMPORTRANGE(""https://docs.google.com/spreadsheets/d/1xYFIxIM_CspAP5Q-5Zx_V0T_Ut3cjryrjd2hss28vGk/edit?usp=share_link"",""ลพบุรี!J601"")+IMPORTRANGE(""https://docs.google.com/spreadsheets/d/11s9m3tKsCBdPWq6"&amp;"syhZm27eBGbKneDLZc75co106bio/edit?usp=share_link"",""สระแก้ว!J601"")+IMPORTRANGE(""https://docs.google.com/spreadsheets/d/1Nn1EvsFPtXldgpgVb3Rcng2K2cls68LFQsBh2FyW0Bg/edit?usp=share_link"",""สระบุรี!J601"")+IMPORTRANGE(""https://docs.google.com/spreadshee"&amp;"ts/d/149xufxukrnEciK3WPbNpHwUK8BKEJxp3UcBG3Al6dA4/edit?usp=share_link"",""สิงห์บุรี!J601"")+IMPORTRANGE(""https://docs.google.com/spreadsheets/d/132g-zJpz2uMKimp17uOIx8A7o3w1Z25zwJyXnwsB56c/edit?usp=share_link"",""สุพรรณบุรี!J601"")+IMPORTRANGE(""https://"&amp;"docs.google.com/spreadsheets/d/12Q_U0nVnFdxDFwa0pej9xvx8ZvLC9Dpi_vRro_aiG5g/edit?usp=share_link"",""อ่างทอง!J601"")
"),0)</f>
        <v>0</v>
      </c>
      <c r="K601" s="163"/>
      <c r="L601" s="163"/>
      <c r="M601" s="163"/>
      <c r="N601" s="163"/>
      <c r="O601" s="163"/>
      <c r="P601" s="163"/>
      <c r="Q601" s="571"/>
      <c r="R601" s="571"/>
      <c r="S601" s="571"/>
      <c r="T601" s="571"/>
      <c r="U601" s="571"/>
      <c r="V601" s="571"/>
      <c r="W601" s="571"/>
      <c r="X601" s="571"/>
      <c r="Y601" s="571"/>
      <c r="Z601" s="571"/>
    </row>
    <row r="602" spans="1:26" ht="20.25" customHeight="1">
      <c r="A602" s="601"/>
      <c r="B602" s="602"/>
      <c r="C602" s="602"/>
      <c r="D602" s="602"/>
      <c r="E602" s="612"/>
      <c r="F602" s="612"/>
      <c r="G602" s="175"/>
      <c r="H602" s="182" t="s">
        <v>34</v>
      </c>
      <c r="I602" s="37"/>
      <c r="J602" s="183">
        <f ca="1">IFERROR(__xludf.DUMMYFUNCTION("IMPORTRANGE(""https://docs.google.com/spreadsheets/d/1hKO5uv94SSRZWOvrh72HRcpyoEQF9TsE_Cvxl77XNU4/edit?usp=share_link"",""กาญจนบุรี!J602"")+IMPORTRANGE(""https://docs.google.com/spreadsheets/d/1njBaP_xXd-Uotvo2D9zb01TTCFkLJLDK97Tk1l9Qux0/edit?usp=share_li"&amp;"nk"",""จันทบุรี!J602"")+IMPORTRANGE(""https://docs.google.com/spreadsheets/d/14xp6qUzrGFnUk_qnc1eEmfiaNRd4_grkhpfQH_46fa8/edit?usp=share_link"",""ฉะเชิงเทรา!J602"")+IMPORTRANGE(""https://docs.google.com/spreadsheets/d/1_Zwps30dlVa-pZFsorjVf1Pil6WXwzCsJU0U"&amp;"2whO3NI/edit?usp=share_link"",""ชลบุรี!J602"")+IMPORTRANGE(""https://docs.google.com/spreadsheets/d/1xAsT4sUbBlom7l0acStESh_15nvjZcXjZM7fK5uZSq8/edit?usp=share_link"",""ชัยนาท!J602"")+IMPORTRANGE(""https://docs.google.com/spreadsheets/d/1vWPVBOAaZ6mHSI8yf"&amp;"95DNqHwTJ1cpeFsvqt6cxV34QA/edit?usp=share_link"",""ตราด!J602"")+IMPORTRANGE(""https://docs.google.com/spreadsheets/d/1phaeSb9lTGgzDpbvVqI9hfmOQQzUom07-HEvpbARzEg/edit?usp=share_link"",""นครนายก!J602"")+IMPORTRANGE(""https://docs.google.com/spreadsheets/d/"&amp;"1tpwhWwkqkBeiSWCcfB5f2fbwPRbM9hHOEDSDHpl2MIc/edit?usp=share_link"",""นครปฐม!J602"")+IMPORTRANGE(""https://docs.google.com/spreadsheets/d/1fJJCVBkBnhriyv0Cp5ZFMr0I_yrfdEITNpb4zILJgUQ/edit?usp=share_link"",""ปทุมธานี!J602"")+IMPORTRANGE(""https://docs.googl"&amp;"e.com/spreadsheets/d/1W5Jj_S0gYw6wSO7QcMI02YgyOBDKYgmm0NSUk-AQEac/edit?usp=share_link"",""ประจวบคีรีขันธ์!J602"")+IMPORTRANGE(""https://docs.google.com/spreadsheets/d/1nYxRXgnCfTXtqUY1otYuTlnrzE0Tn-Y0YRsW5pkRVqo/edit?usp=share_link"",""ปราจีนบุรี!J602"")+"&amp;"IMPORTRANGE(""https://docs.google.com/spreadsheets/d/1nNHCLO8ZAXOMfQvxux7cf_hrzPAh8FAvaHq_ClKbZNo/edit?usp=share_link"",""พระนครศรีอยุธยา!J602"")+IMPORTRANGE(""https://docs.google.com/spreadsheets/d/1CdNicvf3i6yt4tJlCePe3V1Va76wYqW0QzMzTsaGRrA/edit?usp=sh"&amp;"are_link"",""เพชรบุรี!J602"")+IMPORTRANGE(""https://docs.google.com/spreadsheets/d/1XiF77UIVHV0Kjc6xbXuOuJ10WgJYxd4p_22ngKVV5oM/edit?usp=share_link"",""ระยอง!J602"")+IMPORTRANGE(""https://docs.google.com/spreadsheets/d/1qU-W_9MCQD1pgIVXGEOjCFo9QqlmJywueby"&amp;"GgaN92r8/edit?usp=share_link"",""ราชบุรี!J602"")+IMPORTRANGE(""https://docs.google.com/spreadsheets/d/1xYFIxIM_CspAP5Q-5Zx_V0T_Ut3cjryrjd2hss28vGk/edit?usp=share_link"",""ลพบุรี!J602"")+IMPORTRANGE(""https://docs.google.com/spreadsheets/d/11s9m3tKsCBdPWq6"&amp;"syhZm27eBGbKneDLZc75co106bio/edit?usp=share_link"",""สระแก้ว!J602"")+IMPORTRANGE(""https://docs.google.com/spreadsheets/d/1Nn1EvsFPtXldgpgVb3Rcng2K2cls68LFQsBh2FyW0Bg/edit?usp=share_link"",""สระบุรี!J602"")+IMPORTRANGE(""https://docs.google.com/spreadshee"&amp;"ts/d/149xufxukrnEciK3WPbNpHwUK8BKEJxp3UcBG3Al6dA4/edit?usp=share_link"",""สิงห์บุรี!J602"")+IMPORTRANGE(""https://docs.google.com/spreadsheets/d/132g-zJpz2uMKimp17uOIx8A7o3w1Z25zwJyXnwsB56c/edit?usp=share_link"",""สุพรรณบุรี!J602"")+IMPORTRANGE(""https://"&amp;"docs.google.com/spreadsheets/d/12Q_U0nVnFdxDFwa0pej9xvx8ZvLC9Dpi_vRro_aiG5g/edit?usp=share_link"",""อ่างทอง!J602"")
"),0)</f>
        <v>0</v>
      </c>
      <c r="K602" s="163"/>
      <c r="L602" s="163"/>
      <c r="M602" s="163"/>
      <c r="N602" s="163"/>
      <c r="O602" s="163"/>
      <c r="P602" s="163"/>
      <c r="Q602" s="571"/>
      <c r="R602" s="571"/>
      <c r="S602" s="571"/>
      <c r="T602" s="571"/>
      <c r="U602" s="571"/>
      <c r="V602" s="571"/>
      <c r="W602" s="571"/>
      <c r="X602" s="571"/>
      <c r="Y602" s="571"/>
      <c r="Z602" s="571"/>
    </row>
    <row r="603" spans="1:26" ht="20.25" customHeight="1">
      <c r="A603" s="601"/>
      <c r="B603" s="602"/>
      <c r="C603" s="696" t="s">
        <v>257</v>
      </c>
      <c r="D603" s="602"/>
      <c r="E603" s="602"/>
      <c r="F603" s="612"/>
      <c r="G603" s="175"/>
      <c r="H603" s="182" t="s">
        <v>46</v>
      </c>
      <c r="I603" s="37"/>
      <c r="J603" s="37">
        <f t="shared" ref="J603:J604" ca="1" si="294">J605+J607</f>
        <v>24</v>
      </c>
      <c r="K603" s="163"/>
      <c r="L603" s="163"/>
      <c r="M603" s="163"/>
      <c r="N603" s="163"/>
      <c r="O603" s="163"/>
      <c r="P603" s="163"/>
      <c r="Q603" s="571"/>
      <c r="R603" s="571"/>
      <c r="S603" s="571"/>
      <c r="T603" s="571"/>
      <c r="U603" s="571"/>
      <c r="V603" s="571"/>
      <c r="W603" s="571"/>
      <c r="X603" s="571"/>
      <c r="Y603" s="571"/>
      <c r="Z603" s="571"/>
    </row>
    <row r="604" spans="1:26" ht="20.25" customHeight="1">
      <c r="A604" s="601"/>
      <c r="B604" s="602"/>
      <c r="C604" s="602"/>
      <c r="D604" s="602"/>
      <c r="E604" s="612"/>
      <c r="F604" s="612"/>
      <c r="G604" s="175"/>
      <c r="H604" s="182" t="s">
        <v>34</v>
      </c>
      <c r="I604" s="37"/>
      <c r="J604" s="37">
        <f t="shared" ca="1" si="294"/>
        <v>1</v>
      </c>
      <c r="K604" s="163"/>
      <c r="L604" s="163"/>
      <c r="M604" s="163"/>
      <c r="N604" s="163"/>
      <c r="O604" s="163"/>
      <c r="P604" s="163"/>
      <c r="Q604" s="571"/>
      <c r="R604" s="571"/>
      <c r="S604" s="571"/>
      <c r="T604" s="571"/>
      <c r="U604" s="571"/>
      <c r="V604" s="571"/>
      <c r="W604" s="571"/>
      <c r="X604" s="571"/>
      <c r="Y604" s="571"/>
      <c r="Z604" s="571"/>
    </row>
    <row r="605" spans="1:26" ht="20.25" customHeight="1">
      <c r="A605" s="601"/>
      <c r="B605" s="602"/>
      <c r="C605" s="602"/>
      <c r="D605" s="696" t="s">
        <v>258</v>
      </c>
      <c r="E605" s="612"/>
      <c r="F605" s="612"/>
      <c r="G605" s="175"/>
      <c r="H605" s="182" t="s">
        <v>46</v>
      </c>
      <c r="I605" s="37"/>
      <c r="J605" s="183">
        <f ca="1">IFERROR(__xludf.DUMMYFUNCTION("IMPORTRANGE(""https://docs.google.com/spreadsheets/d/1hKO5uv94SSRZWOvrh72HRcpyoEQF9TsE_Cvxl77XNU4/edit?usp=share_link"",""กาญจนบุรี!J605"")+IMPORTRANGE(""https://docs.google.com/spreadsheets/d/1njBaP_xXd-Uotvo2D9zb01TTCFkLJLDK97Tk1l9Qux0/edit?usp=share_li"&amp;"nk"",""จันทบุรี!J605"")+IMPORTRANGE(""https://docs.google.com/spreadsheets/d/14xp6qUzrGFnUk_qnc1eEmfiaNRd4_grkhpfQH_46fa8/edit?usp=share_link"",""ฉะเชิงเทรา!J605"")+IMPORTRANGE(""https://docs.google.com/spreadsheets/d/1_Zwps30dlVa-pZFsorjVf1Pil6WXwzCsJU0U"&amp;"2whO3NI/edit?usp=share_link"",""ชลบุรี!J605"")+IMPORTRANGE(""https://docs.google.com/spreadsheets/d/1xAsT4sUbBlom7l0acStESh_15nvjZcXjZM7fK5uZSq8/edit?usp=share_link"",""ชัยนาท!J605"")+IMPORTRANGE(""https://docs.google.com/spreadsheets/d/1vWPVBOAaZ6mHSI8yf"&amp;"95DNqHwTJ1cpeFsvqt6cxV34QA/edit?usp=share_link"",""ตราด!J605"")+IMPORTRANGE(""https://docs.google.com/spreadsheets/d/1phaeSb9lTGgzDpbvVqI9hfmOQQzUom07-HEvpbARzEg/edit?usp=share_link"",""นครนายก!J605"")+IMPORTRANGE(""https://docs.google.com/spreadsheets/d/"&amp;"1tpwhWwkqkBeiSWCcfB5f2fbwPRbM9hHOEDSDHpl2MIc/edit?usp=share_link"",""นครปฐม!J605"")+IMPORTRANGE(""https://docs.google.com/spreadsheets/d/1fJJCVBkBnhriyv0Cp5ZFMr0I_yrfdEITNpb4zILJgUQ/edit?usp=share_link"",""ปทุมธานี!J605"")+IMPORTRANGE(""https://docs.googl"&amp;"e.com/spreadsheets/d/1W5Jj_S0gYw6wSO7QcMI02YgyOBDKYgmm0NSUk-AQEac/edit?usp=share_link"",""ประจวบคีรีขันธ์!J605"")+IMPORTRANGE(""https://docs.google.com/spreadsheets/d/1nYxRXgnCfTXtqUY1otYuTlnrzE0Tn-Y0YRsW5pkRVqo/edit?usp=share_link"",""ปราจีนบุรี!J605"")+"&amp;"IMPORTRANGE(""https://docs.google.com/spreadsheets/d/1nNHCLO8ZAXOMfQvxux7cf_hrzPAh8FAvaHq_ClKbZNo/edit?usp=share_link"",""พระนครศรีอยุธยา!J605"")+IMPORTRANGE(""https://docs.google.com/spreadsheets/d/1CdNicvf3i6yt4tJlCePe3V1Va76wYqW0QzMzTsaGRrA/edit?usp=sh"&amp;"are_link"",""เพชรบุรี!J605"")+IMPORTRANGE(""https://docs.google.com/spreadsheets/d/1XiF77UIVHV0Kjc6xbXuOuJ10WgJYxd4p_22ngKVV5oM/edit?usp=share_link"",""ระยอง!J605"")+IMPORTRANGE(""https://docs.google.com/spreadsheets/d/1qU-W_9MCQD1pgIVXGEOjCFo9QqlmJywueby"&amp;"GgaN92r8/edit?usp=share_link"",""ราชบุรี!J605"")+IMPORTRANGE(""https://docs.google.com/spreadsheets/d/1xYFIxIM_CspAP5Q-5Zx_V0T_Ut3cjryrjd2hss28vGk/edit?usp=share_link"",""ลพบุรี!J605"")+IMPORTRANGE(""https://docs.google.com/spreadsheets/d/11s9m3tKsCBdPWq6"&amp;"syhZm27eBGbKneDLZc75co106bio/edit?usp=share_link"",""สระแก้ว!J605"")+IMPORTRANGE(""https://docs.google.com/spreadsheets/d/1Nn1EvsFPtXldgpgVb3Rcng2K2cls68LFQsBh2FyW0Bg/edit?usp=share_link"",""สระบุรี!J605"")+IMPORTRANGE(""https://docs.google.com/spreadshee"&amp;"ts/d/149xufxukrnEciK3WPbNpHwUK8BKEJxp3UcBG3Al6dA4/edit?usp=share_link"",""สิงห์บุรี!J605"")+IMPORTRANGE(""https://docs.google.com/spreadsheets/d/132g-zJpz2uMKimp17uOIx8A7o3w1Z25zwJyXnwsB56c/edit?usp=share_link"",""สุพรรณบุรี!J605"")+IMPORTRANGE(""https://"&amp;"docs.google.com/spreadsheets/d/12Q_U0nVnFdxDFwa0pej9xvx8ZvLC9Dpi_vRro_aiG5g/edit?usp=share_link"",""อ่างทอง!J605"")
"),24)</f>
        <v>24</v>
      </c>
      <c r="K605" s="163"/>
      <c r="L605" s="163"/>
      <c r="M605" s="163"/>
      <c r="N605" s="163"/>
      <c r="O605" s="163"/>
      <c r="P605" s="163"/>
      <c r="Q605" s="571"/>
      <c r="R605" s="571"/>
      <c r="S605" s="571"/>
      <c r="T605" s="571"/>
      <c r="U605" s="571"/>
      <c r="V605" s="571"/>
      <c r="W605" s="571"/>
      <c r="X605" s="571"/>
      <c r="Y605" s="571"/>
      <c r="Z605" s="571"/>
    </row>
    <row r="606" spans="1:26" ht="20.25" customHeight="1">
      <c r="A606" s="601"/>
      <c r="B606" s="602"/>
      <c r="C606" s="602"/>
      <c r="D606" s="602"/>
      <c r="E606" s="602"/>
      <c r="F606" s="612"/>
      <c r="G606" s="175"/>
      <c r="H606" s="182" t="s">
        <v>34</v>
      </c>
      <c r="I606" s="37"/>
      <c r="J606" s="183">
        <f ca="1">IFERROR(__xludf.DUMMYFUNCTION("IMPORTRANGE(""https://docs.google.com/spreadsheets/d/1hKO5uv94SSRZWOvrh72HRcpyoEQF9TsE_Cvxl77XNU4/edit?usp=share_link"",""กาญจนบุรี!J606"")+IMPORTRANGE(""https://docs.google.com/spreadsheets/d/1njBaP_xXd-Uotvo2D9zb01TTCFkLJLDK97Tk1l9Qux0/edit?usp=share_li"&amp;"nk"",""จันทบุรี!J606"")+IMPORTRANGE(""https://docs.google.com/spreadsheets/d/14xp6qUzrGFnUk_qnc1eEmfiaNRd4_grkhpfQH_46fa8/edit?usp=share_link"",""ฉะเชิงเทรา!J606"")+IMPORTRANGE(""https://docs.google.com/spreadsheets/d/1_Zwps30dlVa-pZFsorjVf1Pil6WXwzCsJU0U"&amp;"2whO3NI/edit?usp=share_link"",""ชลบุรี!J606"")+IMPORTRANGE(""https://docs.google.com/spreadsheets/d/1xAsT4sUbBlom7l0acStESh_15nvjZcXjZM7fK5uZSq8/edit?usp=share_link"",""ชัยนาท!J606"")+IMPORTRANGE(""https://docs.google.com/spreadsheets/d/1vWPVBOAaZ6mHSI8yf"&amp;"95DNqHwTJ1cpeFsvqt6cxV34QA/edit?usp=share_link"",""ตราด!J606"")+IMPORTRANGE(""https://docs.google.com/spreadsheets/d/1phaeSb9lTGgzDpbvVqI9hfmOQQzUom07-HEvpbARzEg/edit?usp=share_link"",""นครนายก!J606"")+IMPORTRANGE(""https://docs.google.com/spreadsheets/d/"&amp;"1tpwhWwkqkBeiSWCcfB5f2fbwPRbM9hHOEDSDHpl2MIc/edit?usp=share_link"",""นครปฐม!J606"")+IMPORTRANGE(""https://docs.google.com/spreadsheets/d/1fJJCVBkBnhriyv0Cp5ZFMr0I_yrfdEITNpb4zILJgUQ/edit?usp=share_link"",""ปทุมธานี!J606"")+IMPORTRANGE(""https://docs.googl"&amp;"e.com/spreadsheets/d/1W5Jj_S0gYw6wSO7QcMI02YgyOBDKYgmm0NSUk-AQEac/edit?usp=share_link"",""ประจวบคีรีขันธ์!J606"")+IMPORTRANGE(""https://docs.google.com/spreadsheets/d/1nYxRXgnCfTXtqUY1otYuTlnrzE0Tn-Y0YRsW5pkRVqo/edit?usp=share_link"",""ปราจีนบุรี!J606"")+"&amp;"IMPORTRANGE(""https://docs.google.com/spreadsheets/d/1nNHCLO8ZAXOMfQvxux7cf_hrzPAh8FAvaHq_ClKbZNo/edit?usp=share_link"",""พระนครศรีอยุธยา!J606"")+IMPORTRANGE(""https://docs.google.com/spreadsheets/d/1CdNicvf3i6yt4tJlCePe3V1Va76wYqW0QzMzTsaGRrA/edit?usp=sh"&amp;"are_link"",""เพชรบุรี!J606"")+IMPORTRANGE(""https://docs.google.com/spreadsheets/d/1XiF77UIVHV0Kjc6xbXuOuJ10WgJYxd4p_22ngKVV5oM/edit?usp=share_link"",""ระยอง!J606"")+IMPORTRANGE(""https://docs.google.com/spreadsheets/d/1qU-W_9MCQD1pgIVXGEOjCFo9QqlmJywueby"&amp;"GgaN92r8/edit?usp=share_link"",""ราชบุรี!J606"")+IMPORTRANGE(""https://docs.google.com/spreadsheets/d/1xYFIxIM_CspAP5Q-5Zx_V0T_Ut3cjryrjd2hss28vGk/edit?usp=share_link"",""ลพบุรี!J606"")+IMPORTRANGE(""https://docs.google.com/spreadsheets/d/11s9m3tKsCBdPWq6"&amp;"syhZm27eBGbKneDLZc75co106bio/edit?usp=share_link"",""สระแก้ว!J606"")+IMPORTRANGE(""https://docs.google.com/spreadsheets/d/1Nn1EvsFPtXldgpgVb3Rcng2K2cls68LFQsBh2FyW0Bg/edit?usp=share_link"",""สระบุรี!J606"")+IMPORTRANGE(""https://docs.google.com/spreadshee"&amp;"ts/d/149xufxukrnEciK3WPbNpHwUK8BKEJxp3UcBG3Al6dA4/edit?usp=share_link"",""สิงห์บุรี!J606"")+IMPORTRANGE(""https://docs.google.com/spreadsheets/d/132g-zJpz2uMKimp17uOIx8A7o3w1Z25zwJyXnwsB56c/edit?usp=share_link"",""สุพรรณบุรี!J606"")+IMPORTRANGE(""https://"&amp;"docs.google.com/spreadsheets/d/12Q_U0nVnFdxDFwa0pej9xvx8ZvLC9Dpi_vRro_aiG5g/edit?usp=share_link"",""อ่างทอง!J606"")
"),1)</f>
        <v>1</v>
      </c>
      <c r="K606" s="163"/>
      <c r="L606" s="163"/>
      <c r="M606" s="163"/>
      <c r="N606" s="163"/>
      <c r="O606" s="163"/>
      <c r="P606" s="163"/>
      <c r="Q606" s="571"/>
      <c r="R606" s="571"/>
      <c r="S606" s="571"/>
      <c r="T606" s="571"/>
      <c r="U606" s="571"/>
      <c r="V606" s="571"/>
      <c r="W606" s="571"/>
      <c r="X606" s="571"/>
      <c r="Y606" s="571"/>
      <c r="Z606" s="571"/>
    </row>
    <row r="607" spans="1:26" ht="20.25" customHeight="1">
      <c r="A607" s="601"/>
      <c r="B607" s="602"/>
      <c r="C607" s="602"/>
      <c r="D607" s="696" t="s">
        <v>259</v>
      </c>
      <c r="E607" s="602"/>
      <c r="F607" s="612"/>
      <c r="G607" s="175"/>
      <c r="H607" s="182" t="s">
        <v>46</v>
      </c>
      <c r="I607" s="37"/>
      <c r="J607" s="183">
        <f ca="1">IFERROR(__xludf.DUMMYFUNCTION("IMPORTRANGE(""https://docs.google.com/spreadsheets/d/1hKO5uv94SSRZWOvrh72HRcpyoEQF9TsE_Cvxl77XNU4/edit?usp=share_link"",""กาญจนบุรี!J607"")+IMPORTRANGE(""https://docs.google.com/spreadsheets/d/1njBaP_xXd-Uotvo2D9zb01TTCFkLJLDK97Tk1l9Qux0/edit?usp=share_li"&amp;"nk"",""จันทบุรี!J607"")+IMPORTRANGE(""https://docs.google.com/spreadsheets/d/14xp6qUzrGFnUk_qnc1eEmfiaNRd4_grkhpfQH_46fa8/edit?usp=share_link"",""ฉะเชิงเทรา!J607"")+IMPORTRANGE(""https://docs.google.com/spreadsheets/d/1_Zwps30dlVa-pZFsorjVf1Pil6WXwzCsJU0U"&amp;"2whO3NI/edit?usp=share_link"",""ชลบุรี!J607"")+IMPORTRANGE(""https://docs.google.com/spreadsheets/d/1xAsT4sUbBlom7l0acStESh_15nvjZcXjZM7fK5uZSq8/edit?usp=share_link"",""ชัยนาท!J607"")+IMPORTRANGE(""https://docs.google.com/spreadsheets/d/1vWPVBOAaZ6mHSI8yf"&amp;"95DNqHwTJ1cpeFsvqt6cxV34QA/edit?usp=share_link"",""ตราด!J607"")+IMPORTRANGE(""https://docs.google.com/spreadsheets/d/1phaeSb9lTGgzDpbvVqI9hfmOQQzUom07-HEvpbARzEg/edit?usp=share_link"",""นครนายก!J607"")+IMPORTRANGE(""https://docs.google.com/spreadsheets/d/"&amp;"1tpwhWwkqkBeiSWCcfB5f2fbwPRbM9hHOEDSDHpl2MIc/edit?usp=share_link"",""นครปฐม!J607"")+IMPORTRANGE(""https://docs.google.com/spreadsheets/d/1fJJCVBkBnhriyv0Cp5ZFMr0I_yrfdEITNpb4zILJgUQ/edit?usp=share_link"",""ปทุมธานี!J607"")+IMPORTRANGE(""https://docs.googl"&amp;"e.com/spreadsheets/d/1W5Jj_S0gYw6wSO7QcMI02YgyOBDKYgmm0NSUk-AQEac/edit?usp=share_link"",""ประจวบคีรีขันธ์!J607"")+IMPORTRANGE(""https://docs.google.com/spreadsheets/d/1nYxRXgnCfTXtqUY1otYuTlnrzE0Tn-Y0YRsW5pkRVqo/edit?usp=share_link"",""ปราจีนบุรี!J607"")+"&amp;"IMPORTRANGE(""https://docs.google.com/spreadsheets/d/1nNHCLO8ZAXOMfQvxux7cf_hrzPAh8FAvaHq_ClKbZNo/edit?usp=share_link"",""พระนครศรีอยุธยา!J607"")+IMPORTRANGE(""https://docs.google.com/spreadsheets/d/1CdNicvf3i6yt4tJlCePe3V1Va76wYqW0QzMzTsaGRrA/edit?usp=sh"&amp;"are_link"",""เพชรบุรี!J607"")+IMPORTRANGE(""https://docs.google.com/spreadsheets/d/1XiF77UIVHV0Kjc6xbXuOuJ10WgJYxd4p_22ngKVV5oM/edit?usp=share_link"",""ระยอง!J607"")+IMPORTRANGE(""https://docs.google.com/spreadsheets/d/1qU-W_9MCQD1pgIVXGEOjCFo9QqlmJywueby"&amp;"GgaN92r8/edit?usp=share_link"",""ราชบุรี!J607"")+IMPORTRANGE(""https://docs.google.com/spreadsheets/d/1xYFIxIM_CspAP5Q-5Zx_V0T_Ut3cjryrjd2hss28vGk/edit?usp=share_link"",""ลพบุรี!J607"")+IMPORTRANGE(""https://docs.google.com/spreadsheets/d/11s9m3tKsCBdPWq6"&amp;"syhZm27eBGbKneDLZc75co106bio/edit?usp=share_link"",""สระแก้ว!J607"")+IMPORTRANGE(""https://docs.google.com/spreadsheets/d/1Nn1EvsFPtXldgpgVb3Rcng2K2cls68LFQsBh2FyW0Bg/edit?usp=share_link"",""สระบุรี!J607"")+IMPORTRANGE(""https://docs.google.com/spreadshee"&amp;"ts/d/149xufxukrnEciK3WPbNpHwUK8BKEJxp3UcBG3Al6dA4/edit?usp=share_link"",""สิงห์บุรี!J607"")+IMPORTRANGE(""https://docs.google.com/spreadsheets/d/132g-zJpz2uMKimp17uOIx8A7o3w1Z25zwJyXnwsB56c/edit?usp=share_link"",""สุพรรณบุรี!J607"")+IMPORTRANGE(""https://"&amp;"docs.google.com/spreadsheets/d/12Q_U0nVnFdxDFwa0pej9xvx8ZvLC9Dpi_vRro_aiG5g/edit?usp=share_link"",""อ่างทอง!J607"")
"),0)</f>
        <v>0</v>
      </c>
      <c r="K607" s="163"/>
      <c r="L607" s="163"/>
      <c r="M607" s="163"/>
      <c r="N607" s="163"/>
      <c r="O607" s="163"/>
      <c r="P607" s="163"/>
      <c r="Q607" s="571"/>
      <c r="R607" s="571"/>
      <c r="S607" s="571"/>
      <c r="T607" s="571"/>
      <c r="U607" s="571"/>
      <c r="V607" s="571"/>
      <c r="W607" s="571"/>
      <c r="X607" s="571"/>
      <c r="Y607" s="571"/>
      <c r="Z607" s="571"/>
    </row>
    <row r="608" spans="1:26" ht="20.25" customHeight="1">
      <c r="A608" s="601"/>
      <c r="B608" s="602"/>
      <c r="C608" s="602"/>
      <c r="D608" s="602"/>
      <c r="E608" s="612"/>
      <c r="F608" s="612"/>
      <c r="G608" s="175"/>
      <c r="H608" s="182" t="s">
        <v>34</v>
      </c>
      <c r="I608" s="37"/>
      <c r="J608" s="183">
        <f ca="1">IFERROR(__xludf.DUMMYFUNCTION("IMPORTRANGE(""https://docs.google.com/spreadsheets/d/1hKO5uv94SSRZWOvrh72HRcpyoEQF9TsE_Cvxl77XNU4/edit?usp=share_link"",""กาญจนบุรี!J608"")+IMPORTRANGE(""https://docs.google.com/spreadsheets/d/1njBaP_xXd-Uotvo2D9zb01TTCFkLJLDK97Tk1l9Qux0/edit?usp=share_li"&amp;"nk"",""จันทบุรี!J608"")+IMPORTRANGE(""https://docs.google.com/spreadsheets/d/14xp6qUzrGFnUk_qnc1eEmfiaNRd4_grkhpfQH_46fa8/edit?usp=share_link"",""ฉะเชิงเทรา!J608"")+IMPORTRANGE(""https://docs.google.com/spreadsheets/d/1_Zwps30dlVa-pZFsorjVf1Pil6WXwzCsJU0U"&amp;"2whO3NI/edit?usp=share_link"",""ชลบุรี!J608"")+IMPORTRANGE(""https://docs.google.com/spreadsheets/d/1xAsT4sUbBlom7l0acStESh_15nvjZcXjZM7fK5uZSq8/edit?usp=share_link"",""ชัยนาท!J608"")+IMPORTRANGE(""https://docs.google.com/spreadsheets/d/1vWPVBOAaZ6mHSI8yf"&amp;"95DNqHwTJ1cpeFsvqt6cxV34QA/edit?usp=share_link"",""ตราด!J608"")+IMPORTRANGE(""https://docs.google.com/spreadsheets/d/1phaeSb9lTGgzDpbvVqI9hfmOQQzUom07-HEvpbARzEg/edit?usp=share_link"",""นครนายก!J608"")+IMPORTRANGE(""https://docs.google.com/spreadsheets/d/"&amp;"1tpwhWwkqkBeiSWCcfB5f2fbwPRbM9hHOEDSDHpl2MIc/edit?usp=share_link"",""นครปฐม!J608"")+IMPORTRANGE(""https://docs.google.com/spreadsheets/d/1fJJCVBkBnhriyv0Cp5ZFMr0I_yrfdEITNpb4zILJgUQ/edit?usp=share_link"",""ปทุมธานี!J608"")+IMPORTRANGE(""https://docs.googl"&amp;"e.com/spreadsheets/d/1W5Jj_S0gYw6wSO7QcMI02YgyOBDKYgmm0NSUk-AQEac/edit?usp=share_link"",""ประจวบคีรีขันธ์!J608"")+IMPORTRANGE(""https://docs.google.com/spreadsheets/d/1nYxRXgnCfTXtqUY1otYuTlnrzE0Tn-Y0YRsW5pkRVqo/edit?usp=share_link"",""ปราจีนบุรี!J608"")+"&amp;"IMPORTRANGE(""https://docs.google.com/spreadsheets/d/1nNHCLO8ZAXOMfQvxux7cf_hrzPAh8FAvaHq_ClKbZNo/edit?usp=share_link"",""พระนครศรีอยุธยา!J608"")+IMPORTRANGE(""https://docs.google.com/spreadsheets/d/1CdNicvf3i6yt4tJlCePe3V1Va76wYqW0QzMzTsaGRrA/edit?usp=sh"&amp;"are_link"",""เพชรบุรี!J608"")+IMPORTRANGE(""https://docs.google.com/spreadsheets/d/1XiF77UIVHV0Kjc6xbXuOuJ10WgJYxd4p_22ngKVV5oM/edit?usp=share_link"",""ระยอง!J608"")+IMPORTRANGE(""https://docs.google.com/spreadsheets/d/1qU-W_9MCQD1pgIVXGEOjCFo9QqlmJywueby"&amp;"GgaN92r8/edit?usp=share_link"",""ราชบุรี!J608"")+IMPORTRANGE(""https://docs.google.com/spreadsheets/d/1xYFIxIM_CspAP5Q-5Zx_V0T_Ut3cjryrjd2hss28vGk/edit?usp=share_link"",""ลพบุรี!J608"")+IMPORTRANGE(""https://docs.google.com/spreadsheets/d/11s9m3tKsCBdPWq6"&amp;"syhZm27eBGbKneDLZc75co106bio/edit?usp=share_link"",""สระแก้ว!J608"")+IMPORTRANGE(""https://docs.google.com/spreadsheets/d/1Nn1EvsFPtXldgpgVb3Rcng2K2cls68LFQsBh2FyW0Bg/edit?usp=share_link"",""สระบุรี!J608"")+IMPORTRANGE(""https://docs.google.com/spreadshee"&amp;"ts/d/149xufxukrnEciK3WPbNpHwUK8BKEJxp3UcBG3Al6dA4/edit?usp=share_link"",""สิงห์บุรี!J608"")+IMPORTRANGE(""https://docs.google.com/spreadsheets/d/132g-zJpz2uMKimp17uOIx8A7o3w1Z25zwJyXnwsB56c/edit?usp=share_link"",""สุพรรณบุรี!J608"")+IMPORTRANGE(""https://"&amp;"docs.google.com/spreadsheets/d/12Q_U0nVnFdxDFwa0pej9xvx8ZvLC9Dpi_vRro_aiG5g/edit?usp=share_link"",""อ่างทอง!J608"")
"),0)</f>
        <v>0</v>
      </c>
      <c r="K608" s="163"/>
      <c r="L608" s="163"/>
      <c r="M608" s="163"/>
      <c r="N608" s="163"/>
      <c r="O608" s="163"/>
      <c r="P608" s="163"/>
      <c r="Q608" s="571"/>
      <c r="R608" s="571"/>
      <c r="S608" s="571"/>
      <c r="T608" s="571"/>
      <c r="U608" s="571"/>
      <c r="V608" s="571"/>
      <c r="W608" s="571"/>
      <c r="X608" s="571"/>
      <c r="Y608" s="571"/>
      <c r="Z608" s="571"/>
    </row>
    <row r="609" spans="1:26" ht="20.25" customHeight="1">
      <c r="A609" s="601"/>
      <c r="B609" s="602"/>
      <c r="C609" s="611" t="s">
        <v>260</v>
      </c>
      <c r="D609" s="602"/>
      <c r="E609" s="602"/>
      <c r="F609" s="612"/>
      <c r="G609" s="175"/>
      <c r="H609" s="182" t="s">
        <v>46</v>
      </c>
      <c r="I609" s="37"/>
      <c r="J609" s="183">
        <f ca="1">IFERROR(__xludf.DUMMYFUNCTION("IMPORTRANGE(""https://docs.google.com/spreadsheets/d/1hKO5uv94SSRZWOvrh72HRcpyoEQF9TsE_Cvxl77XNU4/edit?usp=share_link"",""กาญจนบุรี!J609"")+IMPORTRANGE(""https://docs.google.com/spreadsheets/d/1njBaP_xXd-Uotvo2D9zb01TTCFkLJLDK97Tk1l9Qux0/edit?usp=share_li"&amp;"nk"",""จันทบุรี!J609"")+IMPORTRANGE(""https://docs.google.com/spreadsheets/d/14xp6qUzrGFnUk_qnc1eEmfiaNRd4_grkhpfQH_46fa8/edit?usp=share_link"",""ฉะเชิงเทรา!J609"")+IMPORTRANGE(""https://docs.google.com/spreadsheets/d/1_Zwps30dlVa-pZFsorjVf1Pil6WXwzCsJU0U"&amp;"2whO3NI/edit?usp=share_link"",""ชลบุรี!J609"")+IMPORTRANGE(""https://docs.google.com/spreadsheets/d/1xAsT4sUbBlom7l0acStESh_15nvjZcXjZM7fK5uZSq8/edit?usp=share_link"",""ชัยนาท!J609"")+IMPORTRANGE(""https://docs.google.com/spreadsheets/d/1vWPVBOAaZ6mHSI8yf"&amp;"95DNqHwTJ1cpeFsvqt6cxV34QA/edit?usp=share_link"",""ตราด!J609"")+IMPORTRANGE(""https://docs.google.com/spreadsheets/d/1phaeSb9lTGgzDpbvVqI9hfmOQQzUom07-HEvpbARzEg/edit?usp=share_link"",""นครนายก!J609"")+IMPORTRANGE(""https://docs.google.com/spreadsheets/d/"&amp;"1tpwhWwkqkBeiSWCcfB5f2fbwPRbM9hHOEDSDHpl2MIc/edit?usp=share_link"",""นครปฐม!J609"")+IMPORTRANGE(""https://docs.google.com/spreadsheets/d/1fJJCVBkBnhriyv0Cp5ZFMr0I_yrfdEITNpb4zILJgUQ/edit?usp=share_link"",""ปทุมธานี!J609"")+IMPORTRANGE(""https://docs.googl"&amp;"e.com/spreadsheets/d/1W5Jj_S0gYw6wSO7QcMI02YgyOBDKYgmm0NSUk-AQEac/edit?usp=share_link"",""ประจวบคีรีขันธ์!J609"")+IMPORTRANGE(""https://docs.google.com/spreadsheets/d/1nYxRXgnCfTXtqUY1otYuTlnrzE0Tn-Y0YRsW5pkRVqo/edit?usp=share_link"",""ปราจีนบุรี!J609"")+"&amp;"IMPORTRANGE(""https://docs.google.com/spreadsheets/d/1nNHCLO8ZAXOMfQvxux7cf_hrzPAh8FAvaHq_ClKbZNo/edit?usp=share_link"",""พระนครศรีอยุธยา!J609"")+IMPORTRANGE(""https://docs.google.com/spreadsheets/d/1CdNicvf3i6yt4tJlCePe3V1Va76wYqW0QzMzTsaGRrA/edit?usp=sh"&amp;"are_link"",""เพชรบุรี!J609"")+IMPORTRANGE(""https://docs.google.com/spreadsheets/d/1XiF77UIVHV0Kjc6xbXuOuJ10WgJYxd4p_22ngKVV5oM/edit?usp=share_link"",""ระยอง!J609"")+IMPORTRANGE(""https://docs.google.com/spreadsheets/d/1qU-W_9MCQD1pgIVXGEOjCFo9QqlmJywueby"&amp;"GgaN92r8/edit?usp=share_link"",""ราชบุรี!J609"")+IMPORTRANGE(""https://docs.google.com/spreadsheets/d/1xYFIxIM_CspAP5Q-5Zx_V0T_Ut3cjryrjd2hss28vGk/edit?usp=share_link"",""ลพบุรี!J609"")+IMPORTRANGE(""https://docs.google.com/spreadsheets/d/11s9m3tKsCBdPWq6"&amp;"syhZm27eBGbKneDLZc75co106bio/edit?usp=share_link"",""สระแก้ว!J609"")+IMPORTRANGE(""https://docs.google.com/spreadsheets/d/1Nn1EvsFPtXldgpgVb3Rcng2K2cls68LFQsBh2FyW0Bg/edit?usp=share_link"",""สระบุรี!J609"")+IMPORTRANGE(""https://docs.google.com/spreadshee"&amp;"ts/d/149xufxukrnEciK3WPbNpHwUK8BKEJxp3UcBG3Al6dA4/edit?usp=share_link"",""สิงห์บุรี!J609"")+IMPORTRANGE(""https://docs.google.com/spreadsheets/d/132g-zJpz2uMKimp17uOIx8A7o3w1Z25zwJyXnwsB56c/edit?usp=share_link"",""สุพรรณบุรี!J609"")+IMPORTRANGE(""https://"&amp;"docs.google.com/spreadsheets/d/12Q_U0nVnFdxDFwa0pej9xvx8ZvLC9Dpi_vRro_aiG5g/edit?usp=share_link"",""อ่างทอง!J609"")
"),0)</f>
        <v>0</v>
      </c>
      <c r="K609" s="163"/>
      <c r="L609" s="163"/>
      <c r="M609" s="163"/>
      <c r="N609" s="163"/>
      <c r="O609" s="163"/>
      <c r="P609" s="163"/>
      <c r="Q609" s="571"/>
      <c r="R609" s="571"/>
      <c r="S609" s="571"/>
      <c r="T609" s="571"/>
      <c r="U609" s="571"/>
      <c r="V609" s="571"/>
      <c r="W609" s="571"/>
      <c r="X609" s="571"/>
      <c r="Y609" s="571"/>
      <c r="Z609" s="571"/>
    </row>
    <row r="610" spans="1:26" ht="20.25" customHeight="1">
      <c r="A610" s="601"/>
      <c r="B610" s="602"/>
      <c r="C610" s="602"/>
      <c r="D610" s="602"/>
      <c r="E610" s="612"/>
      <c r="F610" s="612"/>
      <c r="G610" s="175"/>
      <c r="H610" s="182" t="s">
        <v>34</v>
      </c>
      <c r="I610" s="37"/>
      <c r="J610" s="183">
        <f ca="1">IFERROR(__xludf.DUMMYFUNCTION("IMPORTRANGE(""https://docs.google.com/spreadsheets/d/1hKO5uv94SSRZWOvrh72HRcpyoEQF9TsE_Cvxl77XNU4/edit?usp=share_link"",""กาญจนบุรี!J610"")+IMPORTRANGE(""https://docs.google.com/spreadsheets/d/1njBaP_xXd-Uotvo2D9zb01TTCFkLJLDK97Tk1l9Qux0/edit?usp=share_li"&amp;"nk"",""จันทบุรี!J610"")+IMPORTRANGE(""https://docs.google.com/spreadsheets/d/14xp6qUzrGFnUk_qnc1eEmfiaNRd4_grkhpfQH_46fa8/edit?usp=share_link"",""ฉะเชิงเทรา!J610"")+IMPORTRANGE(""https://docs.google.com/spreadsheets/d/1_Zwps30dlVa-pZFsorjVf1Pil6WXwzCsJU0U"&amp;"2whO3NI/edit?usp=share_link"",""ชลบุรี!J610"")+IMPORTRANGE(""https://docs.google.com/spreadsheets/d/1xAsT4sUbBlom7l0acStESh_15nvjZcXjZM7fK5uZSq8/edit?usp=share_link"",""ชัยนาท!J610"")+IMPORTRANGE(""https://docs.google.com/spreadsheets/d/1vWPVBOAaZ6mHSI8yf"&amp;"95DNqHwTJ1cpeFsvqt6cxV34QA/edit?usp=share_link"",""ตราด!J610"")+IMPORTRANGE(""https://docs.google.com/spreadsheets/d/1phaeSb9lTGgzDpbvVqI9hfmOQQzUom07-HEvpbARzEg/edit?usp=share_link"",""นครนายก!J610"")+IMPORTRANGE(""https://docs.google.com/spreadsheets/d/"&amp;"1tpwhWwkqkBeiSWCcfB5f2fbwPRbM9hHOEDSDHpl2MIc/edit?usp=share_link"",""นครปฐม!J610"")+IMPORTRANGE(""https://docs.google.com/spreadsheets/d/1fJJCVBkBnhriyv0Cp5ZFMr0I_yrfdEITNpb4zILJgUQ/edit?usp=share_link"",""ปทุมธานี!J610"")+IMPORTRANGE(""https://docs.googl"&amp;"e.com/spreadsheets/d/1W5Jj_S0gYw6wSO7QcMI02YgyOBDKYgmm0NSUk-AQEac/edit?usp=share_link"",""ประจวบคีรีขันธ์!J610"")+IMPORTRANGE(""https://docs.google.com/spreadsheets/d/1nYxRXgnCfTXtqUY1otYuTlnrzE0Tn-Y0YRsW5pkRVqo/edit?usp=share_link"",""ปราจีนบุรี!J610"")+"&amp;"IMPORTRANGE(""https://docs.google.com/spreadsheets/d/1nNHCLO8ZAXOMfQvxux7cf_hrzPAh8FAvaHq_ClKbZNo/edit?usp=share_link"",""พระนครศรีอยุธยา!J610"")+IMPORTRANGE(""https://docs.google.com/spreadsheets/d/1CdNicvf3i6yt4tJlCePe3V1Va76wYqW0QzMzTsaGRrA/edit?usp=sh"&amp;"are_link"",""เพชรบุรี!J610"")+IMPORTRANGE(""https://docs.google.com/spreadsheets/d/1XiF77UIVHV0Kjc6xbXuOuJ10WgJYxd4p_22ngKVV5oM/edit?usp=share_link"",""ระยอง!J610"")+IMPORTRANGE(""https://docs.google.com/spreadsheets/d/1qU-W_9MCQD1pgIVXGEOjCFo9QqlmJywueby"&amp;"GgaN92r8/edit?usp=share_link"",""ราชบุรี!J610"")+IMPORTRANGE(""https://docs.google.com/spreadsheets/d/1xYFIxIM_CspAP5Q-5Zx_V0T_Ut3cjryrjd2hss28vGk/edit?usp=share_link"",""ลพบุรี!J610"")+IMPORTRANGE(""https://docs.google.com/spreadsheets/d/11s9m3tKsCBdPWq6"&amp;"syhZm27eBGbKneDLZc75co106bio/edit?usp=share_link"",""สระแก้ว!J610"")+IMPORTRANGE(""https://docs.google.com/spreadsheets/d/1Nn1EvsFPtXldgpgVb3Rcng2K2cls68LFQsBh2FyW0Bg/edit?usp=share_link"",""สระบุรี!J610"")+IMPORTRANGE(""https://docs.google.com/spreadshee"&amp;"ts/d/149xufxukrnEciK3WPbNpHwUK8BKEJxp3UcBG3Al6dA4/edit?usp=share_link"",""สิงห์บุรี!J610"")+IMPORTRANGE(""https://docs.google.com/spreadsheets/d/132g-zJpz2uMKimp17uOIx8A7o3w1Z25zwJyXnwsB56c/edit?usp=share_link"",""สุพรรณบุรี!J610"")+IMPORTRANGE(""https://"&amp;"docs.google.com/spreadsheets/d/12Q_U0nVnFdxDFwa0pej9xvx8ZvLC9Dpi_vRro_aiG5g/edit?usp=share_link"",""อ่างทอง!J610"")
"),0)</f>
        <v>0</v>
      </c>
      <c r="K610" s="163"/>
      <c r="L610" s="163"/>
      <c r="M610" s="163"/>
      <c r="N610" s="163"/>
      <c r="O610" s="163"/>
      <c r="P610" s="163"/>
      <c r="Q610" s="571"/>
      <c r="R610" s="571"/>
      <c r="S610" s="571"/>
      <c r="T610" s="571"/>
      <c r="U610" s="571"/>
      <c r="V610" s="571"/>
      <c r="W610" s="571"/>
      <c r="X610" s="571"/>
      <c r="Y610" s="571"/>
      <c r="Z610" s="571"/>
    </row>
    <row r="611" spans="1:26" ht="20.25" customHeight="1">
      <c r="A611" s="685"/>
      <c r="B611" s="697" t="s">
        <v>261</v>
      </c>
      <c r="C611" s="687"/>
      <c r="D611" s="687"/>
      <c r="E611" s="666"/>
      <c r="F611" s="666"/>
      <c r="G611" s="667"/>
      <c r="H611" s="698" t="s">
        <v>46</v>
      </c>
      <c r="I611" s="699">
        <v>0</v>
      </c>
      <c r="J611" s="669">
        <f>J614+J616</f>
        <v>0</v>
      </c>
      <c r="K611" s="670">
        <f t="shared" ref="K611:K613" si="295">IF(I611&gt;0,J611*100/I611,0)</f>
        <v>0</v>
      </c>
      <c r="L611" s="671"/>
      <c r="M611" s="671"/>
      <c r="N611" s="671"/>
      <c r="O611" s="671"/>
      <c r="P611" s="671"/>
      <c r="Q611" s="571"/>
      <c r="R611" s="571"/>
      <c r="S611" s="571"/>
      <c r="T611" s="571"/>
      <c r="U611" s="571"/>
      <c r="V611" s="571"/>
      <c r="W611" s="571"/>
      <c r="X611" s="571"/>
      <c r="Y611" s="571"/>
      <c r="Z611" s="571"/>
    </row>
    <row r="612" spans="1:26" ht="20.25" hidden="1" customHeight="1">
      <c r="A612" s="700"/>
      <c r="B612" s="701"/>
      <c r="C612" s="702" t="s">
        <v>262</v>
      </c>
      <c r="D612" s="701"/>
      <c r="E612" s="701"/>
      <c r="F612" s="703"/>
      <c r="G612" s="704"/>
      <c r="H612" s="705" t="s">
        <v>46</v>
      </c>
      <c r="I612" s="706">
        <v>0</v>
      </c>
      <c r="J612" s="707">
        <f t="shared" ref="J612:J613" si="296">J614+J616</f>
        <v>0</v>
      </c>
      <c r="K612" s="708">
        <f t="shared" si="295"/>
        <v>0</v>
      </c>
      <c r="L612" s="709"/>
      <c r="M612" s="709"/>
      <c r="N612" s="709"/>
      <c r="O612" s="709"/>
      <c r="P612" s="709"/>
      <c r="Q612" s="597"/>
      <c r="R612" s="597"/>
      <c r="S612" s="597"/>
      <c r="T612" s="597"/>
      <c r="U612" s="597"/>
      <c r="V612" s="597"/>
      <c r="W612" s="597"/>
      <c r="X612" s="597"/>
      <c r="Y612" s="597"/>
      <c r="Z612" s="597"/>
    </row>
    <row r="613" spans="1:26" ht="20.25" hidden="1" customHeight="1">
      <c r="A613" s="700"/>
      <c r="B613" s="701"/>
      <c r="C613" s="710" t="s">
        <v>263</v>
      </c>
      <c r="D613" s="701"/>
      <c r="E613" s="701"/>
      <c r="F613" s="703"/>
      <c r="G613" s="704"/>
      <c r="H613" s="705" t="s">
        <v>34</v>
      </c>
      <c r="I613" s="706">
        <v>0</v>
      </c>
      <c r="J613" s="707">
        <f t="shared" si="296"/>
        <v>0</v>
      </c>
      <c r="K613" s="708">
        <f t="shared" si="295"/>
        <v>0</v>
      </c>
      <c r="L613" s="709"/>
      <c r="M613" s="709"/>
      <c r="N613" s="709"/>
      <c r="O613" s="709"/>
      <c r="P613" s="709"/>
      <c r="Q613" s="597"/>
      <c r="R613" s="597"/>
      <c r="S613" s="597"/>
      <c r="T613" s="597"/>
      <c r="U613" s="597"/>
      <c r="V613" s="597"/>
      <c r="W613" s="597"/>
      <c r="X613" s="597"/>
      <c r="Y613" s="597"/>
      <c r="Z613" s="597"/>
    </row>
    <row r="614" spans="1:26" ht="20.25" hidden="1" customHeight="1">
      <c r="A614" s="607"/>
      <c r="B614" s="608"/>
      <c r="C614" s="608"/>
      <c r="D614" s="711" t="s">
        <v>264</v>
      </c>
      <c r="E614" s="608"/>
      <c r="F614" s="594"/>
      <c r="G614" s="365"/>
      <c r="H614" s="369" t="s">
        <v>46</v>
      </c>
      <c r="I614" s="44"/>
      <c r="J614" s="610">
        <v>0</v>
      </c>
      <c r="K614" s="167"/>
      <c r="L614" s="167"/>
      <c r="M614" s="167"/>
      <c r="N614" s="167"/>
      <c r="O614" s="167"/>
      <c r="P614" s="167"/>
      <c r="Q614" s="597"/>
      <c r="R614" s="597"/>
      <c r="S614" s="597"/>
      <c r="T614" s="597"/>
      <c r="U614" s="597"/>
      <c r="V614" s="597"/>
      <c r="W614" s="597"/>
      <c r="X614" s="597"/>
      <c r="Y614" s="597"/>
      <c r="Z614" s="597"/>
    </row>
    <row r="615" spans="1:26" ht="20.25" hidden="1" customHeight="1">
      <c r="A615" s="607"/>
      <c r="B615" s="608"/>
      <c r="C615" s="608"/>
      <c r="D615" s="608"/>
      <c r="E615" s="608"/>
      <c r="F615" s="594"/>
      <c r="G615" s="365"/>
      <c r="H615" s="369" t="s">
        <v>34</v>
      </c>
      <c r="I615" s="44"/>
      <c r="J615" s="610">
        <v>0</v>
      </c>
      <c r="K615" s="167"/>
      <c r="L615" s="167"/>
      <c r="M615" s="167"/>
      <c r="N615" s="167"/>
      <c r="O615" s="167"/>
      <c r="P615" s="167"/>
      <c r="Q615" s="597"/>
      <c r="R615" s="597"/>
      <c r="S615" s="597"/>
      <c r="T615" s="597"/>
      <c r="U615" s="597"/>
      <c r="V615" s="597"/>
      <c r="W615" s="597"/>
      <c r="X615" s="597"/>
      <c r="Y615" s="597"/>
      <c r="Z615" s="597"/>
    </row>
    <row r="616" spans="1:26" ht="20.25" hidden="1" customHeight="1">
      <c r="A616" s="607"/>
      <c r="B616" s="608"/>
      <c r="C616" s="608"/>
      <c r="D616" s="712" t="s">
        <v>264</v>
      </c>
      <c r="E616" s="594"/>
      <c r="F616" s="594"/>
      <c r="G616" s="365"/>
      <c r="H616" s="369" t="s">
        <v>46</v>
      </c>
      <c r="I616" s="44"/>
      <c r="J616" s="610">
        <v>0</v>
      </c>
      <c r="K616" s="167"/>
      <c r="L616" s="167"/>
      <c r="M616" s="167"/>
      <c r="N616" s="167"/>
      <c r="O616" s="167"/>
      <c r="P616" s="167"/>
      <c r="Q616" s="597"/>
      <c r="R616" s="597"/>
      <c r="S616" s="597"/>
      <c r="T616" s="597"/>
      <c r="U616" s="597"/>
      <c r="V616" s="597"/>
      <c r="W616" s="597"/>
      <c r="X616" s="597"/>
      <c r="Y616" s="597"/>
      <c r="Z616" s="597"/>
    </row>
    <row r="617" spans="1:26" ht="20.25" hidden="1" customHeight="1">
      <c r="A617" s="607"/>
      <c r="B617" s="608"/>
      <c r="C617" s="608"/>
      <c r="D617" s="608"/>
      <c r="E617" s="594"/>
      <c r="F617" s="594"/>
      <c r="G617" s="365"/>
      <c r="H617" s="369" t="s">
        <v>34</v>
      </c>
      <c r="I617" s="44"/>
      <c r="J617" s="610">
        <v>0</v>
      </c>
      <c r="K617" s="167"/>
      <c r="L617" s="167"/>
      <c r="M617" s="167"/>
      <c r="N617" s="167"/>
      <c r="O617" s="167"/>
      <c r="P617" s="167"/>
      <c r="Q617" s="597"/>
      <c r="R617" s="597"/>
      <c r="S617" s="597"/>
      <c r="T617" s="597"/>
      <c r="U617" s="597"/>
      <c r="V617" s="597"/>
      <c r="W617" s="597"/>
      <c r="X617" s="597"/>
      <c r="Y617" s="597"/>
      <c r="Z617" s="597"/>
    </row>
    <row r="618" spans="1:26" ht="20.25" hidden="1" customHeight="1">
      <c r="A618" s="607"/>
      <c r="B618" s="608"/>
      <c r="C618" s="608"/>
      <c r="D618" s="712" t="s">
        <v>265</v>
      </c>
      <c r="E618" s="594"/>
      <c r="F618" s="594"/>
      <c r="G618" s="365"/>
      <c r="H618" s="369" t="s">
        <v>46</v>
      </c>
      <c r="I618" s="44"/>
      <c r="J618" s="610">
        <v>0</v>
      </c>
      <c r="K618" s="167"/>
      <c r="L618" s="167"/>
      <c r="M618" s="167"/>
      <c r="N618" s="167"/>
      <c r="O618" s="167"/>
      <c r="P618" s="167"/>
      <c r="Q618" s="597"/>
      <c r="R618" s="597"/>
      <c r="S618" s="597"/>
      <c r="T618" s="597"/>
      <c r="U618" s="597"/>
      <c r="V618" s="597"/>
      <c r="W618" s="597"/>
      <c r="X618" s="597"/>
      <c r="Y618" s="597"/>
      <c r="Z618" s="597"/>
    </row>
    <row r="619" spans="1:26" ht="20.25" hidden="1" customHeight="1">
      <c r="A619" s="607"/>
      <c r="B619" s="608"/>
      <c r="C619" s="608"/>
      <c r="D619" s="608"/>
      <c r="E619" s="594"/>
      <c r="F619" s="594"/>
      <c r="G619" s="365"/>
      <c r="H619" s="369" t="s">
        <v>34</v>
      </c>
      <c r="I619" s="44"/>
      <c r="J619" s="610">
        <v>0</v>
      </c>
      <c r="K619" s="167"/>
      <c r="L619" s="167"/>
      <c r="M619" s="167"/>
      <c r="N619" s="167"/>
      <c r="O619" s="167"/>
      <c r="P619" s="167"/>
      <c r="Q619" s="597"/>
      <c r="R619" s="597"/>
      <c r="S619" s="597"/>
      <c r="T619" s="597"/>
      <c r="U619" s="597"/>
      <c r="V619" s="597"/>
      <c r="W619" s="597"/>
      <c r="X619" s="597"/>
      <c r="Y619" s="597"/>
      <c r="Z619" s="597"/>
    </row>
    <row r="620" spans="1:26" ht="20.25" customHeight="1">
      <c r="A620" s="713"/>
      <c r="B620" s="714"/>
      <c r="C620" s="715" t="s">
        <v>266</v>
      </c>
      <c r="D620" s="714"/>
      <c r="E620" s="714"/>
      <c r="F620" s="716"/>
      <c r="G620" s="717"/>
      <c r="H620" s="718" t="s">
        <v>46</v>
      </c>
      <c r="I620" s="719">
        <f ca="1">IFERROR(__xludf.DUMMYFUNCTION("IMPORTRANGE(""https://docs.google.com/spreadsheets/d/1hKO5uv94SSRZWOvrh72HRcpyoEQF9TsE_Cvxl77XNU4/edit?usp=share_link"",""กาญจนบุรี!I620"")+IMPORTRANGE(""https://docs.google.com/spreadsheets/d/1njBaP_xXd-Uotvo2D9zb01TTCFkLJLDK97Tk1l9Qux0/edit?usp=share_li"&amp;"nk"",""จันทบุรี!I620"")+IMPORTRANGE(""https://docs.google.com/spreadsheets/d/14xp6qUzrGFnUk_qnc1eEmfiaNRd4_grkhpfQH_46fa8/edit?usp=share_link"",""ฉะเชิงเทรา!I620"")+IMPORTRANGE(""https://docs.google.com/spreadsheets/d/1_Zwps30dlVa-pZFsorjVf1Pil6WXwzCsJU0U"&amp;"2whO3NI/edit?usp=share_link"",""ชลบุรี!I620"")+IMPORTRANGE(""https://docs.google.com/spreadsheets/d/1xAsT4sUbBlom7l0acStESh_15nvjZcXjZM7fK5uZSq8/edit?usp=share_link"",""ชัยนาท!I620"")+IMPORTRANGE(""https://docs.google.com/spreadsheets/d/1vWPVBOAaZ6mHSI8yf"&amp;"95DNqHwTJ1cpeFsvqt6cxV34QA/edit?usp=share_link"",""ตราด!I620"")+IMPORTRANGE(""https://docs.google.com/spreadsheets/d/1phaeSb9lTGgzDpbvVqI9hfmOQQzUom07-HEvpbARzEg/edit?usp=share_link"",""นครนายก!I620"")+IMPORTRANGE(""https://docs.google.com/spreadsheets/d/"&amp;"1tpwhWwkqkBeiSWCcfB5f2fbwPRbM9hHOEDSDHpl2MIc/edit?usp=share_link"",""นครปฐม!I620"")+IMPORTRANGE(""https://docs.google.com/spreadsheets/d/1fJJCVBkBnhriyv0Cp5ZFMr0I_yrfdEITNpb4zILJgUQ/edit?usp=share_link"",""ปทุมธานี!I620"")+IMPORTRANGE(""https://docs.googl"&amp;"e.com/spreadsheets/d/1W5Jj_S0gYw6wSO7QcMI02YgyOBDKYgmm0NSUk-AQEac/edit?usp=share_link"",""ประจวบคีรีขันธ์!I620"")+IMPORTRANGE(""https://docs.google.com/spreadsheets/d/1nYxRXgnCfTXtqUY1otYuTlnrzE0Tn-Y0YRsW5pkRVqo/edit?usp=share_link"",""ปราจีนบุรี!I620"")+"&amp;"IMPORTRANGE(""https://docs.google.com/spreadsheets/d/1nNHCLO8ZAXOMfQvxux7cf_hrzPAh8FAvaHq_ClKbZNo/edit?usp=share_link"",""พระนครศรีอยุธยา!I620"")+IMPORTRANGE(""https://docs.google.com/spreadsheets/d/1CdNicvf3i6yt4tJlCePe3V1Va76wYqW0QzMzTsaGRrA/edit?usp=sh"&amp;"are_link"",""เพชรบุรี!I620"")+IMPORTRANGE(""https://docs.google.com/spreadsheets/d/1XiF77UIVHV0Kjc6xbXuOuJ10WgJYxd4p_22ngKVV5oM/edit?usp=share_link"",""ระยอง!I620"")+IMPORTRANGE(""https://docs.google.com/spreadsheets/d/1qU-W_9MCQD1pgIVXGEOjCFo9QqlmJywueby"&amp;"GgaN92r8/edit?usp=share_link"",""ราชบุรี!I620"")+IMPORTRANGE(""https://docs.google.com/spreadsheets/d/1xYFIxIM_CspAP5Q-5Zx_V0T_Ut3cjryrjd2hss28vGk/edit?usp=share_link"",""ลพบุรี!I620"")+IMPORTRANGE(""https://docs.google.com/spreadsheets/d/11s9m3tKsCBdPWq6"&amp;"syhZm27eBGbKneDLZc75co106bio/edit?usp=share_link"",""สระแก้ว!I620"")+IMPORTRANGE(""https://docs.google.com/spreadsheets/d/1Nn1EvsFPtXldgpgVb3Rcng2K2cls68LFQsBh2FyW0Bg/edit?usp=share_link"",""สระบุรี!I620"")+IMPORTRANGE(""https://docs.google.com/spreadshee"&amp;"ts/d/149xufxukrnEciK3WPbNpHwUK8BKEJxp3UcBG3Al6dA4/edit?usp=share_link"",""สิงห์บุรี!I620"")+IMPORTRANGE(""https://docs.google.com/spreadsheets/d/132g-zJpz2uMKimp17uOIx8A7o3w1Z25zwJyXnwsB56c/edit?usp=share_link"",""สุพรรณบุรี!I620"")+IMPORTRANGE(""https://"&amp;"docs.google.com/spreadsheets/d/12Q_U0nVnFdxDFwa0pej9xvx8ZvLC9Dpi_vRro_aiG5g/edit?usp=share_link"",""อ่างทอง!I620"")
"),0)</f>
        <v>0</v>
      </c>
      <c r="J620" s="719">
        <f t="shared" ref="J620:J621" ca="1" si="297">J622+J624+J626</f>
        <v>0</v>
      </c>
      <c r="K620" s="720">
        <f t="shared" ref="K620:K621" ca="1" si="298">IF(I620&gt;0,J620*100/I620,0)</f>
        <v>0</v>
      </c>
      <c r="L620" s="721"/>
      <c r="M620" s="721"/>
      <c r="N620" s="721"/>
      <c r="O620" s="721"/>
      <c r="P620" s="721"/>
      <c r="Q620" s="571"/>
      <c r="R620" s="571"/>
      <c r="S620" s="571"/>
      <c r="T620" s="571"/>
      <c r="U620" s="571"/>
      <c r="V620" s="571"/>
      <c r="W620" s="571"/>
      <c r="X620" s="571"/>
      <c r="Y620" s="571"/>
      <c r="Z620" s="571"/>
    </row>
    <row r="621" spans="1:26" ht="20.25" customHeight="1">
      <c r="A621" s="713"/>
      <c r="B621" s="714"/>
      <c r="C621" s="722" t="s">
        <v>267</v>
      </c>
      <c r="D621" s="714"/>
      <c r="E621" s="714"/>
      <c r="F621" s="716"/>
      <c r="G621" s="717"/>
      <c r="H621" s="718" t="s">
        <v>34</v>
      </c>
      <c r="I621" s="719">
        <f ca="1">IFERROR(__xludf.DUMMYFUNCTION("IMPORTRANGE(""https://docs.google.com/spreadsheets/d/1hKO5uv94SSRZWOvrh72HRcpyoEQF9TsE_Cvxl77XNU4/edit?usp=share_link"",""กาญจนบุรี!I621"")+IMPORTRANGE(""https://docs.google.com/spreadsheets/d/1njBaP_xXd-Uotvo2D9zb01TTCFkLJLDK97Tk1l9Qux0/edit?usp=share_li"&amp;"nk"",""จันทบุรี!I621"")+IMPORTRANGE(""https://docs.google.com/spreadsheets/d/14xp6qUzrGFnUk_qnc1eEmfiaNRd4_grkhpfQH_46fa8/edit?usp=share_link"",""ฉะเชิงเทรา!I621"")+IMPORTRANGE(""https://docs.google.com/spreadsheets/d/1_Zwps30dlVa-pZFsorjVf1Pil6WXwzCsJU0U"&amp;"2whO3NI/edit?usp=share_link"",""ชลบุรี!I621"")+IMPORTRANGE(""https://docs.google.com/spreadsheets/d/1xAsT4sUbBlom7l0acStESh_15nvjZcXjZM7fK5uZSq8/edit?usp=share_link"",""ชัยนาท!I621"")+IMPORTRANGE(""https://docs.google.com/spreadsheets/d/1vWPVBOAaZ6mHSI8yf"&amp;"95DNqHwTJ1cpeFsvqt6cxV34QA/edit?usp=share_link"",""ตราด!I621"")+IMPORTRANGE(""https://docs.google.com/spreadsheets/d/1phaeSb9lTGgzDpbvVqI9hfmOQQzUom07-HEvpbARzEg/edit?usp=share_link"",""นครนายก!I621"")+IMPORTRANGE(""https://docs.google.com/spreadsheets/d/"&amp;"1tpwhWwkqkBeiSWCcfB5f2fbwPRbM9hHOEDSDHpl2MIc/edit?usp=share_link"",""นครปฐม!I621"")+IMPORTRANGE(""https://docs.google.com/spreadsheets/d/1fJJCVBkBnhriyv0Cp5ZFMr0I_yrfdEITNpb4zILJgUQ/edit?usp=share_link"",""ปทุมธานี!I621"")+IMPORTRANGE(""https://docs.googl"&amp;"e.com/spreadsheets/d/1W5Jj_S0gYw6wSO7QcMI02YgyOBDKYgmm0NSUk-AQEac/edit?usp=share_link"",""ประจวบคีรีขันธ์!I621"")+IMPORTRANGE(""https://docs.google.com/spreadsheets/d/1nYxRXgnCfTXtqUY1otYuTlnrzE0Tn-Y0YRsW5pkRVqo/edit?usp=share_link"",""ปราจีนบุรี!I621"")+"&amp;"IMPORTRANGE(""https://docs.google.com/spreadsheets/d/1nNHCLO8ZAXOMfQvxux7cf_hrzPAh8FAvaHq_ClKbZNo/edit?usp=share_link"",""พระนครศรีอยุธยา!I621"")+IMPORTRANGE(""https://docs.google.com/spreadsheets/d/1CdNicvf3i6yt4tJlCePe3V1Va76wYqW0QzMzTsaGRrA/edit?usp=sh"&amp;"are_link"",""เพชรบุรี!I621"")+IMPORTRANGE(""https://docs.google.com/spreadsheets/d/1XiF77UIVHV0Kjc6xbXuOuJ10WgJYxd4p_22ngKVV5oM/edit?usp=share_link"",""ระยอง!I621"")+IMPORTRANGE(""https://docs.google.com/spreadsheets/d/1qU-W_9MCQD1pgIVXGEOjCFo9QqlmJywueby"&amp;"GgaN92r8/edit?usp=share_link"",""ราชบุรี!I621"")+IMPORTRANGE(""https://docs.google.com/spreadsheets/d/1xYFIxIM_CspAP5Q-5Zx_V0T_Ut3cjryrjd2hss28vGk/edit?usp=share_link"",""ลพบุรี!I621"")+IMPORTRANGE(""https://docs.google.com/spreadsheets/d/11s9m3tKsCBdPWq6"&amp;"syhZm27eBGbKneDLZc75co106bio/edit?usp=share_link"",""สระแก้ว!I621"")+IMPORTRANGE(""https://docs.google.com/spreadsheets/d/1Nn1EvsFPtXldgpgVb3Rcng2K2cls68LFQsBh2FyW0Bg/edit?usp=share_link"",""สระบุรี!I621"")+IMPORTRANGE(""https://docs.google.com/spreadshee"&amp;"ts/d/149xufxukrnEciK3WPbNpHwUK8BKEJxp3UcBG3Al6dA4/edit?usp=share_link"",""สิงห์บุรี!I621"")+IMPORTRANGE(""https://docs.google.com/spreadsheets/d/132g-zJpz2uMKimp17uOIx8A7o3w1Z25zwJyXnwsB56c/edit?usp=share_link"",""สุพรรณบุรี!I621"")+IMPORTRANGE(""https://"&amp;"docs.google.com/spreadsheets/d/12Q_U0nVnFdxDFwa0pej9xvx8ZvLC9Dpi_vRro_aiG5g/edit?usp=share_link"",""อ่างทอง!I621"")
"),0)</f>
        <v>0</v>
      </c>
      <c r="J621" s="719">
        <f t="shared" ca="1" si="297"/>
        <v>0</v>
      </c>
      <c r="K621" s="720">
        <f t="shared" ca="1" si="298"/>
        <v>0</v>
      </c>
      <c r="L621" s="721"/>
      <c r="M621" s="721"/>
      <c r="N621" s="721"/>
      <c r="O621" s="721"/>
      <c r="P621" s="721"/>
      <c r="Q621" s="571"/>
      <c r="R621" s="571"/>
      <c r="S621" s="571"/>
      <c r="T621" s="571"/>
      <c r="U621" s="571"/>
      <c r="V621" s="571"/>
      <c r="W621" s="571"/>
      <c r="X621" s="571"/>
      <c r="Y621" s="571"/>
      <c r="Z621" s="571"/>
    </row>
    <row r="622" spans="1:26" ht="20.25" customHeight="1">
      <c r="A622" s="601"/>
      <c r="B622" s="602"/>
      <c r="C622" s="602"/>
      <c r="D622" s="262" t="s">
        <v>268</v>
      </c>
      <c r="E622" s="612"/>
      <c r="F622" s="612"/>
      <c r="G622" s="175"/>
      <c r="H622" s="182" t="s">
        <v>46</v>
      </c>
      <c r="I622" s="37"/>
      <c r="J622" s="183">
        <f ca="1">IFERROR(__xludf.DUMMYFUNCTION("IMPORTRANGE(""https://docs.google.com/spreadsheets/d/1hKO5uv94SSRZWOvrh72HRcpyoEQF9TsE_Cvxl77XNU4/edit?usp=share_link"",""กาญจนบุรี!J622"")+IMPORTRANGE(""https://docs.google.com/spreadsheets/d/1njBaP_xXd-Uotvo2D9zb01TTCFkLJLDK97Tk1l9Qux0/edit?usp=share_li"&amp;"nk"",""จันทบุรี!J622"")+IMPORTRANGE(""https://docs.google.com/spreadsheets/d/14xp6qUzrGFnUk_qnc1eEmfiaNRd4_grkhpfQH_46fa8/edit?usp=share_link"",""ฉะเชิงเทรา!J622"")+IMPORTRANGE(""https://docs.google.com/spreadsheets/d/1_Zwps30dlVa-pZFsorjVf1Pil6WXwzCsJU0U"&amp;"2whO3NI/edit?usp=share_link"",""ชลบุรี!J622"")+IMPORTRANGE(""https://docs.google.com/spreadsheets/d/1xAsT4sUbBlom7l0acStESh_15nvjZcXjZM7fK5uZSq8/edit?usp=share_link"",""ชัยนาท!J622"")+IMPORTRANGE(""https://docs.google.com/spreadsheets/d/1vWPVBOAaZ6mHSI8yf"&amp;"95DNqHwTJ1cpeFsvqt6cxV34QA/edit?usp=share_link"",""ตราด!J622"")+IMPORTRANGE(""https://docs.google.com/spreadsheets/d/1phaeSb9lTGgzDpbvVqI9hfmOQQzUom07-HEvpbARzEg/edit?usp=share_link"",""นครนายก!J622"")+IMPORTRANGE(""https://docs.google.com/spreadsheets/d/"&amp;"1tpwhWwkqkBeiSWCcfB5f2fbwPRbM9hHOEDSDHpl2MIc/edit?usp=share_link"",""นครปฐม!J622"")+IMPORTRANGE(""https://docs.google.com/spreadsheets/d/1fJJCVBkBnhriyv0Cp5ZFMr0I_yrfdEITNpb4zILJgUQ/edit?usp=share_link"",""ปทุมธานี!J622"")+IMPORTRANGE(""https://docs.googl"&amp;"e.com/spreadsheets/d/1W5Jj_S0gYw6wSO7QcMI02YgyOBDKYgmm0NSUk-AQEac/edit?usp=share_link"",""ประจวบคีรีขันธ์!J622"")+IMPORTRANGE(""https://docs.google.com/spreadsheets/d/1nYxRXgnCfTXtqUY1otYuTlnrzE0Tn-Y0YRsW5pkRVqo/edit?usp=share_link"",""ปราจีนบุรี!J622"")+"&amp;"IMPORTRANGE(""https://docs.google.com/spreadsheets/d/1nNHCLO8ZAXOMfQvxux7cf_hrzPAh8FAvaHq_ClKbZNo/edit?usp=share_link"",""พระนครศรีอยุธยา!J622"")+IMPORTRANGE(""https://docs.google.com/spreadsheets/d/1CdNicvf3i6yt4tJlCePe3V1Va76wYqW0QzMzTsaGRrA/edit?usp=sh"&amp;"are_link"",""เพชรบุรี!J622"")+IMPORTRANGE(""https://docs.google.com/spreadsheets/d/1XiF77UIVHV0Kjc6xbXuOuJ10WgJYxd4p_22ngKVV5oM/edit?usp=share_link"",""ระยอง!J622"")+IMPORTRANGE(""https://docs.google.com/spreadsheets/d/1qU-W_9MCQD1pgIVXGEOjCFo9QqlmJywueby"&amp;"GgaN92r8/edit?usp=share_link"",""ราชบุรี!J622"")+IMPORTRANGE(""https://docs.google.com/spreadsheets/d/1xYFIxIM_CspAP5Q-5Zx_V0T_Ut3cjryrjd2hss28vGk/edit?usp=share_link"",""ลพบุรี!J622"")+IMPORTRANGE(""https://docs.google.com/spreadsheets/d/11s9m3tKsCBdPWq6"&amp;"syhZm27eBGbKneDLZc75co106bio/edit?usp=share_link"",""สระแก้ว!J622"")+IMPORTRANGE(""https://docs.google.com/spreadsheets/d/1Nn1EvsFPtXldgpgVb3Rcng2K2cls68LFQsBh2FyW0Bg/edit?usp=share_link"",""สระบุรี!J622"")+IMPORTRANGE(""https://docs.google.com/spreadshee"&amp;"ts/d/149xufxukrnEciK3WPbNpHwUK8BKEJxp3UcBG3Al6dA4/edit?usp=share_link"",""สิงห์บุรี!J622"")+IMPORTRANGE(""https://docs.google.com/spreadsheets/d/132g-zJpz2uMKimp17uOIx8A7o3w1Z25zwJyXnwsB56c/edit?usp=share_link"",""สุพรรณบุรี!J622"")+IMPORTRANGE(""https://"&amp;"docs.google.com/spreadsheets/d/12Q_U0nVnFdxDFwa0pej9xvx8ZvLC9Dpi_vRro_aiG5g/edit?usp=share_link"",""อ่างทอง!J622"")
"),0)</f>
        <v>0</v>
      </c>
      <c r="K622" s="163"/>
      <c r="L622" s="163"/>
      <c r="M622" s="163"/>
      <c r="N622" s="163"/>
      <c r="O622" s="163"/>
      <c r="P622" s="163"/>
      <c r="Q622" s="571"/>
      <c r="R622" s="571"/>
      <c r="S622" s="571"/>
      <c r="T622" s="571"/>
      <c r="U622" s="571"/>
      <c r="V622" s="571"/>
      <c r="W622" s="571"/>
      <c r="X622" s="571"/>
      <c r="Y622" s="571"/>
      <c r="Z622" s="571"/>
    </row>
    <row r="623" spans="1:26" ht="20.25" customHeight="1">
      <c r="A623" s="601"/>
      <c r="B623" s="602"/>
      <c r="C623" s="602"/>
      <c r="D623" s="602"/>
      <c r="E623" s="612"/>
      <c r="F623" s="612"/>
      <c r="G623" s="175"/>
      <c r="H623" s="182" t="s">
        <v>34</v>
      </c>
      <c r="I623" s="37"/>
      <c r="J623" s="183">
        <f ca="1">IFERROR(__xludf.DUMMYFUNCTION("IMPORTRANGE(""https://docs.google.com/spreadsheets/d/1hKO5uv94SSRZWOvrh72HRcpyoEQF9TsE_Cvxl77XNU4/edit?usp=share_link"",""กาญจนบุรี!J623"")+IMPORTRANGE(""https://docs.google.com/spreadsheets/d/1njBaP_xXd-Uotvo2D9zb01TTCFkLJLDK97Tk1l9Qux0/edit?usp=share_li"&amp;"nk"",""จันทบุรี!J623"")+IMPORTRANGE(""https://docs.google.com/spreadsheets/d/14xp6qUzrGFnUk_qnc1eEmfiaNRd4_grkhpfQH_46fa8/edit?usp=share_link"",""ฉะเชิงเทรา!J623"")+IMPORTRANGE(""https://docs.google.com/spreadsheets/d/1_Zwps30dlVa-pZFsorjVf1Pil6WXwzCsJU0U"&amp;"2whO3NI/edit?usp=share_link"",""ชลบุรี!J623"")+IMPORTRANGE(""https://docs.google.com/spreadsheets/d/1xAsT4sUbBlom7l0acStESh_15nvjZcXjZM7fK5uZSq8/edit?usp=share_link"",""ชัยนาท!J623"")+IMPORTRANGE(""https://docs.google.com/spreadsheets/d/1vWPVBOAaZ6mHSI8yf"&amp;"95DNqHwTJ1cpeFsvqt6cxV34QA/edit?usp=share_link"",""ตราด!J623"")+IMPORTRANGE(""https://docs.google.com/spreadsheets/d/1phaeSb9lTGgzDpbvVqI9hfmOQQzUom07-HEvpbARzEg/edit?usp=share_link"",""นครนายก!J623"")+IMPORTRANGE(""https://docs.google.com/spreadsheets/d/"&amp;"1tpwhWwkqkBeiSWCcfB5f2fbwPRbM9hHOEDSDHpl2MIc/edit?usp=share_link"",""นครปฐม!J623"")+IMPORTRANGE(""https://docs.google.com/spreadsheets/d/1fJJCVBkBnhriyv0Cp5ZFMr0I_yrfdEITNpb4zILJgUQ/edit?usp=share_link"",""ปทุมธานี!J623"")+IMPORTRANGE(""https://docs.googl"&amp;"e.com/spreadsheets/d/1W5Jj_S0gYw6wSO7QcMI02YgyOBDKYgmm0NSUk-AQEac/edit?usp=share_link"",""ประจวบคีรีขันธ์!J623"")+IMPORTRANGE(""https://docs.google.com/spreadsheets/d/1nYxRXgnCfTXtqUY1otYuTlnrzE0Tn-Y0YRsW5pkRVqo/edit?usp=share_link"",""ปราจีนบุรี!J623"")+"&amp;"IMPORTRANGE(""https://docs.google.com/spreadsheets/d/1nNHCLO8ZAXOMfQvxux7cf_hrzPAh8FAvaHq_ClKbZNo/edit?usp=share_link"",""พระนครศรีอยุธยา!J623"")+IMPORTRANGE(""https://docs.google.com/spreadsheets/d/1CdNicvf3i6yt4tJlCePe3V1Va76wYqW0QzMzTsaGRrA/edit?usp=sh"&amp;"are_link"",""เพชรบุรี!J623"")+IMPORTRANGE(""https://docs.google.com/spreadsheets/d/1XiF77UIVHV0Kjc6xbXuOuJ10WgJYxd4p_22ngKVV5oM/edit?usp=share_link"",""ระยอง!J623"")+IMPORTRANGE(""https://docs.google.com/spreadsheets/d/1qU-W_9MCQD1pgIVXGEOjCFo9QqlmJywueby"&amp;"GgaN92r8/edit?usp=share_link"",""ราชบุรี!J623"")+IMPORTRANGE(""https://docs.google.com/spreadsheets/d/1xYFIxIM_CspAP5Q-5Zx_V0T_Ut3cjryrjd2hss28vGk/edit?usp=share_link"",""ลพบุรี!J623"")+IMPORTRANGE(""https://docs.google.com/spreadsheets/d/11s9m3tKsCBdPWq6"&amp;"syhZm27eBGbKneDLZc75co106bio/edit?usp=share_link"",""สระแก้ว!J623"")+IMPORTRANGE(""https://docs.google.com/spreadsheets/d/1Nn1EvsFPtXldgpgVb3Rcng2K2cls68LFQsBh2FyW0Bg/edit?usp=share_link"",""สระบุรี!J623"")+IMPORTRANGE(""https://docs.google.com/spreadshee"&amp;"ts/d/149xufxukrnEciK3WPbNpHwUK8BKEJxp3UcBG3Al6dA4/edit?usp=share_link"",""สิงห์บุรี!J623"")+IMPORTRANGE(""https://docs.google.com/spreadsheets/d/132g-zJpz2uMKimp17uOIx8A7o3w1Z25zwJyXnwsB56c/edit?usp=share_link"",""สุพรรณบุรี!J623"")+IMPORTRANGE(""https://"&amp;"docs.google.com/spreadsheets/d/12Q_U0nVnFdxDFwa0pej9xvx8ZvLC9Dpi_vRro_aiG5g/edit?usp=share_link"",""อ่างทอง!J623"")
"),0)</f>
        <v>0</v>
      </c>
      <c r="K623" s="163"/>
      <c r="L623" s="163"/>
      <c r="M623" s="163"/>
      <c r="N623" s="163"/>
      <c r="O623" s="163"/>
      <c r="P623" s="163"/>
      <c r="Q623" s="571"/>
      <c r="R623" s="571"/>
      <c r="S623" s="571"/>
      <c r="T623" s="571"/>
      <c r="U623" s="571"/>
      <c r="V623" s="571"/>
      <c r="W623" s="571"/>
      <c r="X623" s="571"/>
      <c r="Y623" s="571"/>
      <c r="Z623" s="571"/>
    </row>
    <row r="624" spans="1:26" ht="20.25" customHeight="1">
      <c r="A624" s="601"/>
      <c r="B624" s="602"/>
      <c r="C624" s="602"/>
      <c r="D624" s="262" t="s">
        <v>264</v>
      </c>
      <c r="E624" s="612"/>
      <c r="F624" s="612"/>
      <c r="G624" s="175"/>
      <c r="H624" s="182" t="s">
        <v>46</v>
      </c>
      <c r="I624" s="37"/>
      <c r="J624" s="183">
        <f ca="1">IFERROR(__xludf.DUMMYFUNCTION("IMPORTRANGE(""https://docs.google.com/spreadsheets/d/1hKO5uv94SSRZWOvrh72HRcpyoEQF9TsE_Cvxl77XNU4/edit?usp=share_link"",""กาญจนบุรี!J624"")+IMPORTRANGE(""https://docs.google.com/spreadsheets/d/1njBaP_xXd-Uotvo2D9zb01TTCFkLJLDK97Tk1l9Qux0/edit?usp=share_li"&amp;"nk"",""จันทบุรี!J624"")+IMPORTRANGE(""https://docs.google.com/spreadsheets/d/14xp6qUzrGFnUk_qnc1eEmfiaNRd4_grkhpfQH_46fa8/edit?usp=share_link"",""ฉะเชิงเทรา!J624"")+IMPORTRANGE(""https://docs.google.com/spreadsheets/d/1_Zwps30dlVa-pZFsorjVf1Pil6WXwzCsJU0U"&amp;"2whO3NI/edit?usp=share_link"",""ชลบุรี!J624"")+IMPORTRANGE(""https://docs.google.com/spreadsheets/d/1xAsT4sUbBlom7l0acStESh_15nvjZcXjZM7fK5uZSq8/edit?usp=share_link"",""ชัยนาท!J624"")+IMPORTRANGE(""https://docs.google.com/spreadsheets/d/1vWPVBOAaZ6mHSI8yf"&amp;"95DNqHwTJ1cpeFsvqt6cxV34QA/edit?usp=share_link"",""ตราด!J624"")+IMPORTRANGE(""https://docs.google.com/spreadsheets/d/1phaeSb9lTGgzDpbvVqI9hfmOQQzUom07-HEvpbARzEg/edit?usp=share_link"",""นครนายก!J624"")+IMPORTRANGE(""https://docs.google.com/spreadsheets/d/"&amp;"1tpwhWwkqkBeiSWCcfB5f2fbwPRbM9hHOEDSDHpl2MIc/edit?usp=share_link"",""นครปฐม!J624"")+IMPORTRANGE(""https://docs.google.com/spreadsheets/d/1fJJCVBkBnhriyv0Cp5ZFMr0I_yrfdEITNpb4zILJgUQ/edit?usp=share_link"",""ปทุมธานี!J624"")+IMPORTRANGE(""https://docs.googl"&amp;"e.com/spreadsheets/d/1W5Jj_S0gYw6wSO7QcMI02YgyOBDKYgmm0NSUk-AQEac/edit?usp=share_link"",""ประจวบคีรีขันธ์!J624"")+IMPORTRANGE(""https://docs.google.com/spreadsheets/d/1nYxRXgnCfTXtqUY1otYuTlnrzE0Tn-Y0YRsW5pkRVqo/edit?usp=share_link"",""ปราจีนบุรี!J624"")+"&amp;"IMPORTRANGE(""https://docs.google.com/spreadsheets/d/1nNHCLO8ZAXOMfQvxux7cf_hrzPAh8FAvaHq_ClKbZNo/edit?usp=share_link"",""พระนครศรีอยุธยา!J624"")+IMPORTRANGE(""https://docs.google.com/spreadsheets/d/1CdNicvf3i6yt4tJlCePe3V1Va76wYqW0QzMzTsaGRrA/edit?usp=sh"&amp;"are_link"",""เพชรบุรี!J624"")+IMPORTRANGE(""https://docs.google.com/spreadsheets/d/1XiF77UIVHV0Kjc6xbXuOuJ10WgJYxd4p_22ngKVV5oM/edit?usp=share_link"",""ระยอง!J624"")+IMPORTRANGE(""https://docs.google.com/spreadsheets/d/1qU-W_9MCQD1pgIVXGEOjCFo9QqlmJywueby"&amp;"GgaN92r8/edit?usp=share_link"",""ราชบุรี!J624"")+IMPORTRANGE(""https://docs.google.com/spreadsheets/d/1xYFIxIM_CspAP5Q-5Zx_V0T_Ut3cjryrjd2hss28vGk/edit?usp=share_link"",""ลพบุรี!J624"")+IMPORTRANGE(""https://docs.google.com/spreadsheets/d/11s9m3tKsCBdPWq6"&amp;"syhZm27eBGbKneDLZc75co106bio/edit?usp=share_link"",""สระแก้ว!J624"")+IMPORTRANGE(""https://docs.google.com/spreadsheets/d/1Nn1EvsFPtXldgpgVb3Rcng2K2cls68LFQsBh2FyW0Bg/edit?usp=share_link"",""สระบุรี!J624"")+IMPORTRANGE(""https://docs.google.com/spreadshee"&amp;"ts/d/149xufxukrnEciK3WPbNpHwUK8BKEJxp3UcBG3Al6dA4/edit?usp=share_link"",""สิงห์บุรี!J624"")+IMPORTRANGE(""https://docs.google.com/spreadsheets/d/132g-zJpz2uMKimp17uOIx8A7o3w1Z25zwJyXnwsB56c/edit?usp=share_link"",""สุพรรณบุรี!J624"")+IMPORTRANGE(""https://"&amp;"docs.google.com/spreadsheets/d/12Q_U0nVnFdxDFwa0pej9xvx8ZvLC9Dpi_vRro_aiG5g/edit?usp=share_link"",""อ่างทอง!J624"")
"),0)</f>
        <v>0</v>
      </c>
      <c r="K624" s="163"/>
      <c r="L624" s="163"/>
      <c r="M624" s="163"/>
      <c r="N624" s="163"/>
      <c r="O624" s="163"/>
      <c r="P624" s="163"/>
      <c r="Q624" s="571"/>
      <c r="R624" s="571"/>
      <c r="S624" s="571"/>
      <c r="T624" s="571"/>
      <c r="U624" s="571"/>
      <c r="V624" s="571"/>
      <c r="W624" s="571"/>
      <c r="X624" s="571"/>
      <c r="Y624" s="571"/>
      <c r="Z624" s="571"/>
    </row>
    <row r="625" spans="1:26" ht="20.25" customHeight="1">
      <c r="A625" s="601"/>
      <c r="B625" s="602"/>
      <c r="C625" s="602"/>
      <c r="D625" s="602"/>
      <c r="E625" s="612"/>
      <c r="F625" s="612"/>
      <c r="G625" s="175"/>
      <c r="H625" s="182" t="s">
        <v>34</v>
      </c>
      <c r="I625" s="37"/>
      <c r="J625" s="183">
        <f ca="1">IFERROR(__xludf.DUMMYFUNCTION("IMPORTRANGE(""https://docs.google.com/spreadsheets/d/1hKO5uv94SSRZWOvrh72HRcpyoEQF9TsE_Cvxl77XNU4/edit?usp=share_link"",""กาญจนบุรี!J625"")+IMPORTRANGE(""https://docs.google.com/spreadsheets/d/1njBaP_xXd-Uotvo2D9zb01TTCFkLJLDK97Tk1l9Qux0/edit?usp=share_li"&amp;"nk"",""จันทบุรี!J625"")+IMPORTRANGE(""https://docs.google.com/spreadsheets/d/14xp6qUzrGFnUk_qnc1eEmfiaNRd4_grkhpfQH_46fa8/edit?usp=share_link"",""ฉะเชิงเทรา!J625"")+IMPORTRANGE(""https://docs.google.com/spreadsheets/d/1_Zwps30dlVa-pZFsorjVf1Pil6WXwzCsJU0U"&amp;"2whO3NI/edit?usp=share_link"",""ชลบุรี!J625"")+IMPORTRANGE(""https://docs.google.com/spreadsheets/d/1xAsT4sUbBlom7l0acStESh_15nvjZcXjZM7fK5uZSq8/edit?usp=share_link"",""ชัยนาท!J625"")+IMPORTRANGE(""https://docs.google.com/spreadsheets/d/1vWPVBOAaZ6mHSI8yf"&amp;"95DNqHwTJ1cpeFsvqt6cxV34QA/edit?usp=share_link"",""ตราด!J625"")+IMPORTRANGE(""https://docs.google.com/spreadsheets/d/1phaeSb9lTGgzDpbvVqI9hfmOQQzUom07-HEvpbARzEg/edit?usp=share_link"",""นครนายก!J625"")+IMPORTRANGE(""https://docs.google.com/spreadsheets/d/"&amp;"1tpwhWwkqkBeiSWCcfB5f2fbwPRbM9hHOEDSDHpl2MIc/edit?usp=share_link"",""นครปฐม!J625"")+IMPORTRANGE(""https://docs.google.com/spreadsheets/d/1fJJCVBkBnhriyv0Cp5ZFMr0I_yrfdEITNpb4zILJgUQ/edit?usp=share_link"",""ปทุมธานี!J625"")+IMPORTRANGE(""https://docs.googl"&amp;"e.com/spreadsheets/d/1W5Jj_S0gYw6wSO7QcMI02YgyOBDKYgmm0NSUk-AQEac/edit?usp=share_link"",""ประจวบคีรีขันธ์!J625"")+IMPORTRANGE(""https://docs.google.com/spreadsheets/d/1nYxRXgnCfTXtqUY1otYuTlnrzE0Tn-Y0YRsW5pkRVqo/edit?usp=share_link"",""ปราจีนบุรี!J625"")+"&amp;"IMPORTRANGE(""https://docs.google.com/spreadsheets/d/1nNHCLO8ZAXOMfQvxux7cf_hrzPAh8FAvaHq_ClKbZNo/edit?usp=share_link"",""พระนครศรีอยุธยา!J625"")+IMPORTRANGE(""https://docs.google.com/spreadsheets/d/1CdNicvf3i6yt4tJlCePe3V1Va76wYqW0QzMzTsaGRrA/edit?usp=sh"&amp;"are_link"",""เพชรบุรี!J625"")+IMPORTRANGE(""https://docs.google.com/spreadsheets/d/1XiF77UIVHV0Kjc6xbXuOuJ10WgJYxd4p_22ngKVV5oM/edit?usp=share_link"",""ระยอง!J625"")+IMPORTRANGE(""https://docs.google.com/spreadsheets/d/1qU-W_9MCQD1pgIVXGEOjCFo9QqlmJywueby"&amp;"GgaN92r8/edit?usp=share_link"",""ราชบุรี!J625"")+IMPORTRANGE(""https://docs.google.com/spreadsheets/d/1xYFIxIM_CspAP5Q-5Zx_V0T_Ut3cjryrjd2hss28vGk/edit?usp=share_link"",""ลพบุรี!J625"")+IMPORTRANGE(""https://docs.google.com/spreadsheets/d/11s9m3tKsCBdPWq6"&amp;"syhZm27eBGbKneDLZc75co106bio/edit?usp=share_link"",""สระแก้ว!J625"")+IMPORTRANGE(""https://docs.google.com/spreadsheets/d/1Nn1EvsFPtXldgpgVb3Rcng2K2cls68LFQsBh2FyW0Bg/edit?usp=share_link"",""สระบุรี!J625"")+IMPORTRANGE(""https://docs.google.com/spreadshee"&amp;"ts/d/149xufxukrnEciK3WPbNpHwUK8BKEJxp3UcBG3Al6dA4/edit?usp=share_link"",""สิงห์บุรี!J625"")+IMPORTRANGE(""https://docs.google.com/spreadsheets/d/132g-zJpz2uMKimp17uOIx8A7o3w1Z25zwJyXnwsB56c/edit?usp=share_link"",""สุพรรณบุรี!J625"")+IMPORTRANGE(""https://"&amp;"docs.google.com/spreadsheets/d/12Q_U0nVnFdxDFwa0pej9xvx8ZvLC9Dpi_vRro_aiG5g/edit?usp=share_link"",""อ่างทอง!J625"")
"),0)</f>
        <v>0</v>
      </c>
      <c r="K625" s="163"/>
      <c r="L625" s="163"/>
      <c r="M625" s="163"/>
      <c r="N625" s="163"/>
      <c r="O625" s="163"/>
      <c r="P625" s="163"/>
      <c r="Q625" s="571"/>
      <c r="R625" s="571"/>
      <c r="S625" s="571"/>
      <c r="T625" s="571"/>
      <c r="U625" s="571"/>
      <c r="V625" s="571"/>
      <c r="W625" s="571"/>
      <c r="X625" s="571"/>
      <c r="Y625" s="571"/>
      <c r="Z625" s="571"/>
    </row>
    <row r="626" spans="1:26" ht="20.25" customHeight="1">
      <c r="A626" s="601"/>
      <c r="B626" s="602"/>
      <c r="C626" s="602"/>
      <c r="D626" s="262" t="s">
        <v>269</v>
      </c>
      <c r="E626" s="612"/>
      <c r="F626" s="612"/>
      <c r="G626" s="175"/>
      <c r="H626" s="182" t="s">
        <v>46</v>
      </c>
      <c r="I626" s="37"/>
      <c r="J626" s="183">
        <f ca="1">IFERROR(__xludf.DUMMYFUNCTION("IMPORTRANGE(""https://docs.google.com/spreadsheets/d/1hKO5uv94SSRZWOvrh72HRcpyoEQF9TsE_Cvxl77XNU4/edit?usp=share_link"",""กาญจนบุรี!J626"")+IMPORTRANGE(""https://docs.google.com/spreadsheets/d/1njBaP_xXd-Uotvo2D9zb01TTCFkLJLDK97Tk1l9Qux0/edit?usp=share_li"&amp;"nk"",""จันทบุรี!J626"")+IMPORTRANGE(""https://docs.google.com/spreadsheets/d/14xp6qUzrGFnUk_qnc1eEmfiaNRd4_grkhpfQH_46fa8/edit?usp=share_link"",""ฉะเชิงเทรา!J626"")+IMPORTRANGE(""https://docs.google.com/spreadsheets/d/1_Zwps30dlVa-pZFsorjVf1Pil6WXwzCsJU0U"&amp;"2whO3NI/edit?usp=share_link"",""ชลบุรี!J626"")+IMPORTRANGE(""https://docs.google.com/spreadsheets/d/1xAsT4sUbBlom7l0acStESh_15nvjZcXjZM7fK5uZSq8/edit?usp=share_link"",""ชัยนาท!J626"")+IMPORTRANGE(""https://docs.google.com/spreadsheets/d/1vWPVBOAaZ6mHSI8yf"&amp;"95DNqHwTJ1cpeFsvqt6cxV34QA/edit?usp=share_link"",""ตราด!J626"")+IMPORTRANGE(""https://docs.google.com/spreadsheets/d/1phaeSb9lTGgzDpbvVqI9hfmOQQzUom07-HEvpbARzEg/edit?usp=share_link"",""นครนายก!J626"")+IMPORTRANGE(""https://docs.google.com/spreadsheets/d/"&amp;"1tpwhWwkqkBeiSWCcfB5f2fbwPRbM9hHOEDSDHpl2MIc/edit?usp=share_link"",""นครปฐม!J626"")+IMPORTRANGE(""https://docs.google.com/spreadsheets/d/1fJJCVBkBnhriyv0Cp5ZFMr0I_yrfdEITNpb4zILJgUQ/edit?usp=share_link"",""ปทุมธานี!J626"")+IMPORTRANGE(""https://docs.googl"&amp;"e.com/spreadsheets/d/1W5Jj_S0gYw6wSO7QcMI02YgyOBDKYgmm0NSUk-AQEac/edit?usp=share_link"",""ประจวบคีรีขันธ์!J626"")+IMPORTRANGE(""https://docs.google.com/spreadsheets/d/1nYxRXgnCfTXtqUY1otYuTlnrzE0Tn-Y0YRsW5pkRVqo/edit?usp=share_link"",""ปราจีนบุรี!J626"")+"&amp;"IMPORTRANGE(""https://docs.google.com/spreadsheets/d/1nNHCLO8ZAXOMfQvxux7cf_hrzPAh8FAvaHq_ClKbZNo/edit?usp=share_link"",""พระนครศรีอยุธยา!J626"")+IMPORTRANGE(""https://docs.google.com/spreadsheets/d/1CdNicvf3i6yt4tJlCePe3V1Va76wYqW0QzMzTsaGRrA/edit?usp=sh"&amp;"are_link"",""เพชรบุรี!J626"")+IMPORTRANGE(""https://docs.google.com/spreadsheets/d/1XiF77UIVHV0Kjc6xbXuOuJ10WgJYxd4p_22ngKVV5oM/edit?usp=share_link"",""ระยอง!J626"")+IMPORTRANGE(""https://docs.google.com/spreadsheets/d/1qU-W_9MCQD1pgIVXGEOjCFo9QqlmJywueby"&amp;"GgaN92r8/edit?usp=share_link"",""ราชบุรี!J626"")+IMPORTRANGE(""https://docs.google.com/spreadsheets/d/1xYFIxIM_CspAP5Q-5Zx_V0T_Ut3cjryrjd2hss28vGk/edit?usp=share_link"",""ลพบุรี!J626"")+IMPORTRANGE(""https://docs.google.com/spreadsheets/d/11s9m3tKsCBdPWq6"&amp;"syhZm27eBGbKneDLZc75co106bio/edit?usp=share_link"",""สระแก้ว!J626"")+IMPORTRANGE(""https://docs.google.com/spreadsheets/d/1Nn1EvsFPtXldgpgVb3Rcng2K2cls68LFQsBh2FyW0Bg/edit?usp=share_link"",""สระบุรี!J626"")+IMPORTRANGE(""https://docs.google.com/spreadshee"&amp;"ts/d/149xufxukrnEciK3WPbNpHwUK8BKEJxp3UcBG3Al6dA4/edit?usp=share_link"",""สิงห์บุรี!J626"")+IMPORTRANGE(""https://docs.google.com/spreadsheets/d/132g-zJpz2uMKimp17uOIx8A7o3w1Z25zwJyXnwsB56c/edit?usp=share_link"",""สุพรรณบุรี!J626"")+IMPORTRANGE(""https://"&amp;"docs.google.com/spreadsheets/d/12Q_U0nVnFdxDFwa0pej9xvx8ZvLC9Dpi_vRro_aiG5g/edit?usp=share_link"",""อ่างทอง!J626"")
"),0)</f>
        <v>0</v>
      </c>
      <c r="K626" s="163"/>
      <c r="L626" s="163"/>
      <c r="M626" s="163"/>
      <c r="N626" s="163"/>
      <c r="O626" s="163"/>
      <c r="P626" s="163"/>
      <c r="Q626" s="571"/>
      <c r="R626" s="571"/>
      <c r="S626" s="571"/>
      <c r="T626" s="571"/>
      <c r="U626" s="571"/>
      <c r="V626" s="571"/>
      <c r="W626" s="571"/>
      <c r="X626" s="571"/>
      <c r="Y626" s="571"/>
      <c r="Z626" s="571"/>
    </row>
    <row r="627" spans="1:26" ht="20.25" customHeight="1">
      <c r="A627" s="723"/>
      <c r="B627" s="724"/>
      <c r="C627" s="724"/>
      <c r="D627" s="724"/>
      <c r="E627" s="725"/>
      <c r="F627" s="725"/>
      <c r="G627" s="726"/>
      <c r="H627" s="421" t="s">
        <v>34</v>
      </c>
      <c r="I627" s="499"/>
      <c r="J627" s="423">
        <f ca="1">IFERROR(__xludf.DUMMYFUNCTION("IMPORTRANGE(""https://docs.google.com/spreadsheets/d/1hKO5uv94SSRZWOvrh72HRcpyoEQF9TsE_Cvxl77XNU4/edit?usp=share_link"",""กาญจนบุรี!J627"")+IMPORTRANGE(""https://docs.google.com/spreadsheets/d/1njBaP_xXd-Uotvo2D9zb01TTCFkLJLDK97Tk1l9Qux0/edit?usp=share_li"&amp;"nk"",""จันทบุรี!J627"")+IMPORTRANGE(""https://docs.google.com/spreadsheets/d/14xp6qUzrGFnUk_qnc1eEmfiaNRd4_grkhpfQH_46fa8/edit?usp=share_link"",""ฉะเชิงเทรา!J627"")+IMPORTRANGE(""https://docs.google.com/spreadsheets/d/1_Zwps30dlVa-pZFsorjVf1Pil6WXwzCsJU0U"&amp;"2whO3NI/edit?usp=share_link"",""ชลบุรี!J627"")+IMPORTRANGE(""https://docs.google.com/spreadsheets/d/1xAsT4sUbBlom7l0acStESh_15nvjZcXjZM7fK5uZSq8/edit?usp=share_link"",""ชัยนาท!J627"")+IMPORTRANGE(""https://docs.google.com/spreadsheets/d/1vWPVBOAaZ6mHSI8yf"&amp;"95DNqHwTJ1cpeFsvqt6cxV34QA/edit?usp=share_link"",""ตราด!J627"")+IMPORTRANGE(""https://docs.google.com/spreadsheets/d/1phaeSb9lTGgzDpbvVqI9hfmOQQzUom07-HEvpbARzEg/edit?usp=share_link"",""นครนายก!J627"")+IMPORTRANGE(""https://docs.google.com/spreadsheets/d/"&amp;"1tpwhWwkqkBeiSWCcfB5f2fbwPRbM9hHOEDSDHpl2MIc/edit?usp=share_link"",""นครปฐม!J627"")+IMPORTRANGE(""https://docs.google.com/spreadsheets/d/1fJJCVBkBnhriyv0Cp5ZFMr0I_yrfdEITNpb4zILJgUQ/edit?usp=share_link"",""ปทุมธานี!J627"")+IMPORTRANGE(""https://docs.googl"&amp;"e.com/spreadsheets/d/1W5Jj_S0gYw6wSO7QcMI02YgyOBDKYgmm0NSUk-AQEac/edit?usp=share_link"",""ประจวบคีรีขันธ์!J627"")+IMPORTRANGE(""https://docs.google.com/spreadsheets/d/1nYxRXgnCfTXtqUY1otYuTlnrzE0Tn-Y0YRsW5pkRVqo/edit?usp=share_link"",""ปราจีนบุรี!J627"")+"&amp;"IMPORTRANGE(""https://docs.google.com/spreadsheets/d/1nNHCLO8ZAXOMfQvxux7cf_hrzPAh8FAvaHq_ClKbZNo/edit?usp=share_link"",""พระนครศรีอยุธยา!J627"")+IMPORTRANGE(""https://docs.google.com/spreadsheets/d/1CdNicvf3i6yt4tJlCePe3V1Va76wYqW0QzMzTsaGRrA/edit?usp=sh"&amp;"are_link"",""เพชรบุรี!J627"")+IMPORTRANGE(""https://docs.google.com/spreadsheets/d/1XiF77UIVHV0Kjc6xbXuOuJ10WgJYxd4p_22ngKVV5oM/edit?usp=share_link"",""ระยอง!J627"")+IMPORTRANGE(""https://docs.google.com/spreadsheets/d/1qU-W_9MCQD1pgIVXGEOjCFo9QqlmJywueby"&amp;"GgaN92r8/edit?usp=share_link"",""ราชบุรี!J627"")+IMPORTRANGE(""https://docs.google.com/spreadsheets/d/1xYFIxIM_CspAP5Q-5Zx_V0T_Ut3cjryrjd2hss28vGk/edit?usp=share_link"",""ลพบุรี!J627"")+IMPORTRANGE(""https://docs.google.com/spreadsheets/d/11s9m3tKsCBdPWq6"&amp;"syhZm27eBGbKneDLZc75co106bio/edit?usp=share_link"",""สระแก้ว!J627"")+IMPORTRANGE(""https://docs.google.com/spreadsheets/d/1Nn1EvsFPtXldgpgVb3Rcng2K2cls68LFQsBh2FyW0Bg/edit?usp=share_link"",""สระบุรี!J627"")+IMPORTRANGE(""https://docs.google.com/spreadshee"&amp;"ts/d/149xufxukrnEciK3WPbNpHwUK8BKEJxp3UcBG3Al6dA4/edit?usp=share_link"",""สิงห์บุรี!J627"")+IMPORTRANGE(""https://docs.google.com/spreadsheets/d/132g-zJpz2uMKimp17uOIx8A7o3w1Z25zwJyXnwsB56c/edit?usp=share_link"",""สุพรรณบุรี!J627"")+IMPORTRANGE(""https://"&amp;"docs.google.com/spreadsheets/d/12Q_U0nVnFdxDFwa0pej9xvx8ZvLC9Dpi_vRro_aiG5g/edit?usp=share_link"",""อ่างทอง!J627"")
"),0)</f>
        <v>0</v>
      </c>
      <c r="K627" s="384"/>
      <c r="L627" s="384"/>
      <c r="M627" s="384"/>
      <c r="N627" s="384"/>
      <c r="O627" s="384"/>
      <c r="P627" s="384"/>
      <c r="Q627" s="571"/>
      <c r="R627" s="571"/>
      <c r="S627" s="571"/>
      <c r="T627" s="571"/>
      <c r="U627" s="571"/>
      <c r="V627" s="571"/>
      <c r="W627" s="571"/>
      <c r="X627" s="571"/>
      <c r="Y627" s="571"/>
      <c r="Z627" s="571"/>
    </row>
    <row r="628" spans="1:26" ht="20.25" customHeight="1">
      <c r="A628" s="727">
        <v>7</v>
      </c>
      <c r="B628" s="728" t="s">
        <v>270</v>
      </c>
      <c r="C628" s="729"/>
      <c r="D628" s="729"/>
      <c r="E628" s="729"/>
      <c r="F628" s="729"/>
      <c r="G628" s="730"/>
      <c r="H628" s="731" t="s">
        <v>35</v>
      </c>
      <c r="I628" s="732">
        <f t="shared" ref="I628:J628" ca="1" si="299">I651</f>
        <v>1465</v>
      </c>
      <c r="J628" s="732">
        <f t="shared" ca="1" si="299"/>
        <v>0</v>
      </c>
      <c r="K628" s="733">
        <f ca="1">IF(I628&gt;0,J628*100/I628,0)</f>
        <v>0</v>
      </c>
      <c r="L628" s="734"/>
      <c r="M628" s="734"/>
      <c r="N628" s="734"/>
      <c r="O628" s="734"/>
      <c r="P628" s="734"/>
      <c r="Q628" s="571"/>
      <c r="R628" s="571"/>
      <c r="S628" s="571"/>
      <c r="T628" s="571"/>
      <c r="U628" s="571"/>
      <c r="V628" s="571"/>
      <c r="W628" s="571"/>
      <c r="X628" s="571"/>
      <c r="Y628" s="571"/>
      <c r="Z628" s="571"/>
    </row>
    <row r="629" spans="1:26" ht="20.25" customHeight="1">
      <c r="A629" s="590"/>
      <c r="B629" s="569"/>
      <c r="C629" s="569" t="s">
        <v>16</v>
      </c>
      <c r="D629" s="863" t="s">
        <v>17</v>
      </c>
      <c r="E629" s="857"/>
      <c r="F629" s="857"/>
      <c r="G629" s="189"/>
      <c r="H629" s="591" t="s">
        <v>12</v>
      </c>
      <c r="I629" s="37"/>
      <c r="J629" s="37"/>
      <c r="K629" s="38"/>
      <c r="L629" s="195">
        <f t="shared" ref="L629:N629" ca="1" si="300">L630+L631</f>
        <v>3807230</v>
      </c>
      <c r="M629" s="195">
        <f t="shared" si="300"/>
        <v>0</v>
      </c>
      <c r="N629" s="195">
        <f t="shared" ca="1" si="300"/>
        <v>258670.65999999997</v>
      </c>
      <c r="O629" s="195">
        <f t="shared" ref="O629:O634" ca="1" si="301">IF(L629&gt;0,N629*100/L629,0)</f>
        <v>6.7941957801341122</v>
      </c>
      <c r="P629" s="195">
        <f t="shared" ref="P629:P634" si="302">IF(M629&gt;0,N629*100/M629,0)</f>
        <v>0</v>
      </c>
      <c r="Q629" s="571"/>
      <c r="R629" s="571"/>
      <c r="S629" s="571"/>
      <c r="T629" s="571"/>
      <c r="U629" s="571"/>
      <c r="V629" s="571"/>
      <c r="W629" s="571"/>
      <c r="X629" s="571"/>
      <c r="Y629" s="571"/>
      <c r="Z629" s="571"/>
    </row>
    <row r="630" spans="1:26" ht="20.25" hidden="1" customHeight="1">
      <c r="A630" s="592"/>
      <c r="B630" s="593"/>
      <c r="C630" s="593"/>
      <c r="D630" s="594"/>
      <c r="E630" s="595" t="s">
        <v>184</v>
      </c>
      <c r="F630" s="593"/>
      <c r="G630" s="596"/>
      <c r="H630" s="165" t="s">
        <v>12</v>
      </c>
      <c r="I630" s="44"/>
      <c r="J630" s="44"/>
      <c r="K630" s="45"/>
      <c r="L630" s="45">
        <f t="shared" ref="L630:N630" si="303">L633+L640</f>
        <v>0</v>
      </c>
      <c r="M630" s="45">
        <f t="shared" si="303"/>
        <v>0</v>
      </c>
      <c r="N630" s="45">
        <f t="shared" si="303"/>
        <v>0</v>
      </c>
      <c r="O630" s="45">
        <f t="shared" si="301"/>
        <v>0</v>
      </c>
      <c r="P630" s="45">
        <f t="shared" si="302"/>
        <v>0</v>
      </c>
      <c r="Q630" s="597"/>
      <c r="R630" s="597"/>
      <c r="S630" s="597"/>
      <c r="T630" s="597"/>
      <c r="U630" s="597"/>
      <c r="V630" s="597"/>
      <c r="W630" s="597"/>
      <c r="X630" s="597"/>
      <c r="Y630" s="597"/>
      <c r="Z630" s="597"/>
    </row>
    <row r="631" spans="1:26" ht="20.25" hidden="1" customHeight="1">
      <c r="A631" s="592"/>
      <c r="B631" s="598"/>
      <c r="C631" s="593"/>
      <c r="D631" s="594"/>
      <c r="E631" s="595" t="s">
        <v>185</v>
      </c>
      <c r="F631" s="593"/>
      <c r="G631" s="596"/>
      <c r="H631" s="165" t="s">
        <v>12</v>
      </c>
      <c r="I631" s="44"/>
      <c r="J631" s="44"/>
      <c r="K631" s="45"/>
      <c r="L631" s="45">
        <f t="shared" ref="L631:N631" ca="1" si="304">L634+L641</f>
        <v>3807230</v>
      </c>
      <c r="M631" s="45">
        <f t="shared" si="304"/>
        <v>0</v>
      </c>
      <c r="N631" s="45">
        <f t="shared" ca="1" si="304"/>
        <v>258670.65999999997</v>
      </c>
      <c r="O631" s="45">
        <f t="shared" ca="1" si="301"/>
        <v>6.7941957801341122</v>
      </c>
      <c r="P631" s="45">
        <f t="shared" si="302"/>
        <v>0</v>
      </c>
      <c r="Q631" s="597"/>
      <c r="R631" s="597"/>
      <c r="S631" s="597"/>
      <c r="T631" s="597"/>
      <c r="U631" s="597"/>
      <c r="V631" s="597"/>
      <c r="W631" s="597"/>
      <c r="X631" s="597"/>
      <c r="Y631" s="597"/>
      <c r="Z631" s="597"/>
    </row>
    <row r="632" spans="1:26" ht="20.25" customHeight="1">
      <c r="A632" s="590"/>
      <c r="B632" s="568"/>
      <c r="C632" s="569"/>
      <c r="D632" s="599" t="s">
        <v>20</v>
      </c>
      <c r="E632" s="569"/>
      <c r="F632" s="569"/>
      <c r="G632" s="189"/>
      <c r="H632" s="161" t="s">
        <v>12</v>
      </c>
      <c r="I632" s="162"/>
      <c r="J632" s="162"/>
      <c r="K632" s="163"/>
      <c r="L632" s="38">
        <f t="shared" ref="L632:N632" ca="1" si="305">L633+L634</f>
        <v>3807230</v>
      </c>
      <c r="M632" s="38">
        <f t="shared" si="305"/>
        <v>0</v>
      </c>
      <c r="N632" s="38">
        <f t="shared" ca="1" si="305"/>
        <v>258670.65999999997</v>
      </c>
      <c r="O632" s="38">
        <f t="shared" ca="1" si="301"/>
        <v>6.7941957801341122</v>
      </c>
      <c r="P632" s="38">
        <f t="shared" si="302"/>
        <v>0</v>
      </c>
      <c r="Q632" s="571"/>
      <c r="R632" s="571"/>
      <c r="S632" s="571"/>
      <c r="T632" s="571"/>
      <c r="U632" s="571"/>
      <c r="V632" s="571"/>
      <c r="W632" s="571"/>
      <c r="X632" s="571"/>
      <c r="Y632" s="571"/>
      <c r="Z632" s="571"/>
    </row>
    <row r="633" spans="1:26" ht="20.25" hidden="1" customHeight="1">
      <c r="A633" s="592"/>
      <c r="B633" s="598"/>
      <c r="C633" s="593"/>
      <c r="D633" s="594"/>
      <c r="E633" s="595" t="s">
        <v>184</v>
      </c>
      <c r="F633" s="593"/>
      <c r="G633" s="596"/>
      <c r="H633" s="165" t="s">
        <v>12</v>
      </c>
      <c r="I633" s="44"/>
      <c r="J633" s="44"/>
      <c r="K633" s="45"/>
      <c r="L633" s="93">
        <v>0</v>
      </c>
      <c r="M633" s="93">
        <v>0</v>
      </c>
      <c r="N633" s="93">
        <v>0</v>
      </c>
      <c r="O633" s="45">
        <f t="shared" si="301"/>
        <v>0</v>
      </c>
      <c r="P633" s="45">
        <f t="shared" si="302"/>
        <v>0</v>
      </c>
      <c r="Q633" s="597"/>
      <c r="R633" s="597"/>
      <c r="S633" s="597"/>
      <c r="T633" s="597"/>
      <c r="U633" s="597"/>
      <c r="V633" s="597"/>
      <c r="W633" s="597"/>
      <c r="X633" s="597"/>
      <c r="Y633" s="597"/>
      <c r="Z633" s="597"/>
    </row>
    <row r="634" spans="1:26" ht="20.25" hidden="1" customHeight="1">
      <c r="A634" s="592"/>
      <c r="B634" s="598"/>
      <c r="C634" s="593"/>
      <c r="D634" s="594"/>
      <c r="E634" s="595" t="s">
        <v>185</v>
      </c>
      <c r="F634" s="593"/>
      <c r="G634" s="596"/>
      <c r="H634" s="165" t="s">
        <v>12</v>
      </c>
      <c r="I634" s="44"/>
      <c r="J634" s="44"/>
      <c r="K634" s="45"/>
      <c r="L634" s="45">
        <f ca="1">IFERROR(__xludf.DUMMYFUNCTION("IMPORTRANGE(""https://docs.google.com/spreadsheets/d/1hKO5uv94SSRZWOvrh72HRcpyoEQF9TsE_Cvxl77XNU4/edit?usp=share_link"",""กาญจนบุรี!L634"")+IMPORTRANGE(""https://docs.google.com/spreadsheets/d/1njBaP_xXd-Uotvo2D9zb01TTCFkLJLDK97Tk1l9Qux0/edit?usp=share_li"&amp;"nk"",""จันทบุรี!L634"")+IMPORTRANGE(""https://docs.google.com/spreadsheets/d/14xp6qUzrGFnUk_qnc1eEmfiaNRd4_grkhpfQH_46fa8/edit?usp=share_link"",""ฉะเชิงเทรา!L634"")+IMPORTRANGE(""https://docs.google.com/spreadsheets/d/1_Zwps30dlVa-pZFsorjVf1Pil6WXwzCsJU0U"&amp;"2whO3NI/edit?usp=share_link"",""ชลบุรี!L634"")+IMPORTRANGE(""https://docs.google.com/spreadsheets/d/1xAsT4sUbBlom7l0acStESh_15nvjZcXjZM7fK5uZSq8/edit?usp=share_link"",""ชัยนาท!L634"")+IMPORTRANGE(""https://docs.google.com/spreadsheets/d/1vWPVBOAaZ6mHSI8yf"&amp;"95DNqHwTJ1cpeFsvqt6cxV34QA/edit?usp=share_link"",""ตราด!L634"")+IMPORTRANGE(""https://docs.google.com/spreadsheets/d/1phaeSb9lTGgzDpbvVqI9hfmOQQzUom07-HEvpbARzEg/edit?usp=share_link"",""นครนายก!L634"")+IMPORTRANGE(""https://docs.google.com/spreadsheets/d/"&amp;"1tpwhWwkqkBeiSWCcfB5f2fbwPRbM9hHOEDSDHpl2MIc/edit?usp=share_link"",""นครปฐม!L634"")+IMPORTRANGE(""https://docs.google.com/spreadsheets/d/1fJJCVBkBnhriyv0Cp5ZFMr0I_yrfdEITNpb4zILJgUQ/edit?usp=share_link"",""ปทุมธานี!L634"")+IMPORTRANGE(""https://docs.googl"&amp;"e.com/spreadsheets/d/1W5Jj_S0gYw6wSO7QcMI02YgyOBDKYgmm0NSUk-AQEac/edit?usp=share_link"",""ประจวบคีรีขันธ์!L634"")+IMPORTRANGE(""https://docs.google.com/spreadsheets/d/1nYxRXgnCfTXtqUY1otYuTlnrzE0Tn-Y0YRsW5pkRVqo/edit?usp=share_link"",""ปราจีนบุรี!L634"")+"&amp;"IMPORTRANGE(""https://docs.google.com/spreadsheets/d/1nNHCLO8ZAXOMfQvxux7cf_hrzPAh8FAvaHq_ClKbZNo/edit?usp=share_link"",""พระนครศรีอยุธยา!L634"")+IMPORTRANGE(""https://docs.google.com/spreadsheets/d/1CdNicvf3i6yt4tJlCePe3V1Va76wYqW0QzMzTsaGRrA/edit?usp=sh"&amp;"are_link"",""เพชรบุรี!L634"")+IMPORTRANGE(""https://docs.google.com/spreadsheets/d/1XiF77UIVHV0Kjc6xbXuOuJ10WgJYxd4p_22ngKVV5oM/edit?usp=share_link"",""ระยอง!L634"")+IMPORTRANGE(""https://docs.google.com/spreadsheets/d/1qU-W_9MCQD1pgIVXGEOjCFo9QqlmJywueby"&amp;"GgaN92r8/edit?usp=share_link"",""ราชบุรี!L634"")+IMPORTRANGE(""https://docs.google.com/spreadsheets/d/1xYFIxIM_CspAP5Q-5Zx_V0T_Ut3cjryrjd2hss28vGk/edit?usp=share_link"",""ลพบุรี!L634"")+IMPORTRANGE(""https://docs.google.com/spreadsheets/d/11s9m3tKsCBdPWq6"&amp;"syhZm27eBGbKneDLZc75co106bio/edit?usp=share_link"",""สระแก้ว!L634"")+IMPORTRANGE(""https://docs.google.com/spreadsheets/d/1Nn1EvsFPtXldgpgVb3Rcng2K2cls68LFQsBh2FyW0Bg/edit?usp=share_link"",""สระบุรี!L634"")+IMPORTRANGE(""https://docs.google.com/spreadshee"&amp;"ts/d/149xufxukrnEciK3WPbNpHwUK8BKEJxp3UcBG3Al6dA4/edit?usp=share_link"",""สิงห์บุรี!L634"")+IMPORTRANGE(""https://docs.google.com/spreadsheets/d/132g-zJpz2uMKimp17uOIx8A7o3w1Z25zwJyXnwsB56c/edit?usp=share_link"",""สุพรรณบุรี!L634"")+IMPORTRANGE(""https://"&amp;"docs.google.com/spreadsheets/d/12Q_U0nVnFdxDFwa0pej9xvx8ZvLC9Dpi_vRro_aiG5g/edit?usp=share_link"",""อ่างทอง!L634"")
"),3807230)</f>
        <v>3807230</v>
      </c>
      <c r="M634" s="93">
        <v>0</v>
      </c>
      <c r="N634" s="45">
        <f ca="1">N635+N636+N637+N638</f>
        <v>258670.65999999997</v>
      </c>
      <c r="O634" s="45">
        <f t="shared" ca="1" si="301"/>
        <v>6.7941957801341122</v>
      </c>
      <c r="P634" s="45">
        <f t="shared" si="302"/>
        <v>0</v>
      </c>
      <c r="Q634" s="597"/>
      <c r="R634" s="597"/>
      <c r="S634" s="597"/>
      <c r="T634" s="597"/>
      <c r="U634" s="597"/>
      <c r="V634" s="597"/>
      <c r="W634" s="597"/>
      <c r="X634" s="597"/>
      <c r="Y634" s="597"/>
      <c r="Z634" s="597"/>
    </row>
    <row r="635" spans="1:26" ht="20.25" customHeight="1">
      <c r="A635" s="567"/>
      <c r="B635" s="568"/>
      <c r="C635" s="569"/>
      <c r="D635" s="569"/>
      <c r="E635" s="569"/>
      <c r="F635" s="570" t="s">
        <v>186</v>
      </c>
      <c r="G635" s="189"/>
      <c r="H635" s="161" t="s">
        <v>12</v>
      </c>
      <c r="I635" s="37"/>
      <c r="J635" s="37"/>
      <c r="K635" s="38"/>
      <c r="L635" s="38"/>
      <c r="M635" s="38"/>
      <c r="N635" s="283">
        <f ca="1">IFERROR(__xludf.DUMMYFUNCTION("IMPORTRANGE(""https://docs.google.com/spreadsheets/d/1hKO5uv94SSRZWOvrh72HRcpyoEQF9TsE_Cvxl77XNU4/edit?usp=share_link"",""กาญจนบุรี!n635"")+IMPORTRANGE(""https://docs.google.com/spreadsheets/d/1njBaP_xXd-Uotvo2D9zb01TTCFkLJLDK97Tk1l9Qux0/edit?usp=share_li"&amp;"nk"",""จันทบุรี!n635"")+IMPORTRANGE(""https://docs.google.com/spreadsheets/d/14xp6qUzrGFnUk_qnc1eEmfiaNRd4_grkhpfQH_46fa8/edit?usp=share_link"",""ฉะเชิงเทรา!n635"")+IMPORTRANGE(""https://docs.google.com/spreadsheets/d/1_Zwps30dlVa-pZFsorjVf1Pil6WXwzCsJU0U"&amp;"2whO3NI/edit?usp=share_link"",""ชลบุรี!n635"")+IMPORTRANGE(""https://docs.google.com/spreadsheets/d/1xAsT4sUbBlom7l0acStESh_15nvjZcXjZM7fK5uZSq8/edit?usp=share_link"",""ชัยนาท!n635"")+IMPORTRANGE(""https://docs.google.com/spreadsheets/d/1vWPVBOAaZ6mHSI8yf"&amp;"95DNqHwTJ1cpeFsvqt6cxV34QA/edit?usp=share_link"",""ตราด!n635"")+IMPORTRANGE(""https://docs.google.com/spreadsheets/d/1phaeSb9lTGgzDpbvVqI9hfmOQQzUom07-HEvpbARzEg/edit?usp=share_link"",""นครนายก!n635"")+IMPORTRANGE(""https://docs.google.com/spreadsheets/d/"&amp;"1tpwhWwkqkBeiSWCcfB5f2fbwPRbM9hHOEDSDHpl2MIc/edit?usp=share_link"",""นครปฐม!n635"")+IMPORTRANGE(""https://docs.google.com/spreadsheets/d/1fJJCVBkBnhriyv0Cp5ZFMr0I_yrfdEITNpb4zILJgUQ/edit?usp=share_link"",""ปทุมธานี!n635"")+IMPORTRANGE(""https://docs.googl"&amp;"e.com/spreadsheets/d/1W5Jj_S0gYw6wSO7QcMI02YgyOBDKYgmm0NSUk-AQEac/edit?usp=share_link"",""ประจวบคีรีขันธ์!n635"")+IMPORTRANGE(""https://docs.google.com/spreadsheets/d/1nYxRXgnCfTXtqUY1otYuTlnrzE0Tn-Y0YRsW5pkRVqo/edit?usp=share_link"",""ปราจีนบุรี!n635"")+"&amp;"IMPORTRANGE(""https://docs.google.com/spreadsheets/d/1nNHCLO8ZAXOMfQvxux7cf_hrzPAh8FAvaHq_ClKbZNo/edit?usp=share_link"",""พระนครศรีอยุธยา!n635"")+IMPORTRANGE(""https://docs.google.com/spreadsheets/d/1CdNicvf3i6yt4tJlCePe3V1Va76wYqW0QzMzTsaGRrA/edit?usp=sh"&amp;"are_link"",""เพชรบุรี!n635"")+IMPORTRANGE(""https://docs.google.com/spreadsheets/d/1XiF77UIVHV0Kjc6xbXuOuJ10WgJYxd4p_22ngKVV5oM/edit?usp=share_link"",""ระยอง!n635"")+IMPORTRANGE(""https://docs.google.com/spreadsheets/d/1qU-W_9MCQD1pgIVXGEOjCFo9QqlmJywueby"&amp;"GgaN92r8/edit?usp=share_link"",""ราชบุรี!n635"")+IMPORTRANGE(""https://docs.google.com/spreadsheets/d/1xYFIxIM_CspAP5Q-5Zx_V0T_Ut3cjryrjd2hss28vGk/edit?usp=share_link"",""ลพบุรี!n635"")+IMPORTRANGE(""https://docs.google.com/spreadsheets/d/11s9m3tKsCBdPWq6"&amp;"syhZm27eBGbKneDLZc75co106bio/edit?usp=share_link"",""สระแก้ว!n635"")+IMPORTRANGE(""https://docs.google.com/spreadsheets/d/1Nn1EvsFPtXldgpgVb3Rcng2K2cls68LFQsBh2FyW0Bg/edit?usp=share_link"",""สระบุรี!n635"")+IMPORTRANGE(""https://docs.google.com/spreadshee"&amp;"ts/d/149xufxukrnEciK3WPbNpHwUK8BKEJxp3UcBG3Al6dA4/edit?usp=share_link"",""สิงห์บุรี!n635"")+IMPORTRANGE(""https://docs.google.com/spreadsheets/d/132g-zJpz2uMKimp17uOIx8A7o3w1Z25zwJyXnwsB56c/edit?usp=share_link"",""สุพรรณบุรี!n635"")+IMPORTRANGE(""https://"&amp;"docs.google.com/spreadsheets/d/12Q_U0nVnFdxDFwa0pej9xvx8ZvLC9Dpi_vRro_aiG5g/edit?usp=share_link"",""อ่างทอง!n635"")
"),0)</f>
        <v>0</v>
      </c>
      <c r="O635" s="38"/>
      <c r="P635" s="38"/>
      <c r="Q635" s="571"/>
      <c r="R635" s="571"/>
      <c r="S635" s="571"/>
      <c r="T635" s="571"/>
      <c r="U635" s="571"/>
      <c r="V635" s="571"/>
      <c r="W635" s="571"/>
      <c r="X635" s="571"/>
      <c r="Y635" s="571"/>
      <c r="Z635" s="571"/>
    </row>
    <row r="636" spans="1:26" ht="20.25" customHeight="1">
      <c r="A636" s="567"/>
      <c r="B636" s="568"/>
      <c r="C636" s="569"/>
      <c r="D636" s="569"/>
      <c r="E636" s="569"/>
      <c r="F636" s="570" t="s">
        <v>187</v>
      </c>
      <c r="G636" s="189"/>
      <c r="H636" s="161" t="s">
        <v>12</v>
      </c>
      <c r="I636" s="37"/>
      <c r="J636" s="37"/>
      <c r="K636" s="38"/>
      <c r="L636" s="38"/>
      <c r="M636" s="38"/>
      <c r="N636" s="283">
        <f ca="1">IFERROR(__xludf.DUMMYFUNCTION("IMPORTRANGE(""https://docs.google.com/spreadsheets/d/1hKO5uv94SSRZWOvrh72HRcpyoEQF9TsE_Cvxl77XNU4/edit?usp=share_link"",""กาญจนบุรี!n636"")+IMPORTRANGE(""https://docs.google.com/spreadsheets/d/1njBaP_xXd-Uotvo2D9zb01TTCFkLJLDK97Tk1l9Qux0/edit?usp=share_li"&amp;"nk"",""จันทบุรี!n636"")+IMPORTRANGE(""https://docs.google.com/spreadsheets/d/14xp6qUzrGFnUk_qnc1eEmfiaNRd4_grkhpfQH_46fa8/edit?usp=share_link"",""ฉะเชิงเทรา!n636"")+IMPORTRANGE(""https://docs.google.com/spreadsheets/d/1_Zwps30dlVa-pZFsorjVf1Pil6WXwzCsJU0U"&amp;"2whO3NI/edit?usp=share_link"",""ชลบุรี!n636"")+IMPORTRANGE(""https://docs.google.com/spreadsheets/d/1xAsT4sUbBlom7l0acStESh_15nvjZcXjZM7fK5uZSq8/edit?usp=share_link"",""ชัยนาท!n636"")+IMPORTRANGE(""https://docs.google.com/spreadsheets/d/1vWPVBOAaZ6mHSI8yf"&amp;"95DNqHwTJ1cpeFsvqt6cxV34QA/edit?usp=share_link"",""ตราด!n636"")+IMPORTRANGE(""https://docs.google.com/spreadsheets/d/1phaeSb9lTGgzDpbvVqI9hfmOQQzUom07-HEvpbARzEg/edit?usp=share_link"",""นครนายก!n636"")+IMPORTRANGE(""https://docs.google.com/spreadsheets/d/"&amp;"1tpwhWwkqkBeiSWCcfB5f2fbwPRbM9hHOEDSDHpl2MIc/edit?usp=share_link"",""นครปฐม!n636"")+IMPORTRANGE(""https://docs.google.com/spreadsheets/d/1fJJCVBkBnhriyv0Cp5ZFMr0I_yrfdEITNpb4zILJgUQ/edit?usp=share_link"",""ปทุมธานี!n636"")+IMPORTRANGE(""https://docs.googl"&amp;"e.com/spreadsheets/d/1W5Jj_S0gYw6wSO7QcMI02YgyOBDKYgmm0NSUk-AQEac/edit?usp=share_link"",""ประจวบคีรีขันธ์!n636"")+IMPORTRANGE(""https://docs.google.com/spreadsheets/d/1nYxRXgnCfTXtqUY1otYuTlnrzE0Tn-Y0YRsW5pkRVqo/edit?usp=share_link"",""ปราจีนบุรี!n636"")+"&amp;"IMPORTRANGE(""https://docs.google.com/spreadsheets/d/1nNHCLO8ZAXOMfQvxux7cf_hrzPAh8FAvaHq_ClKbZNo/edit?usp=share_link"",""พระนครศรีอยุธยา!n636"")+IMPORTRANGE(""https://docs.google.com/spreadsheets/d/1CdNicvf3i6yt4tJlCePe3V1Va76wYqW0QzMzTsaGRrA/edit?usp=sh"&amp;"are_link"",""เพชรบุรี!n636"")+IMPORTRANGE(""https://docs.google.com/spreadsheets/d/1XiF77UIVHV0Kjc6xbXuOuJ10WgJYxd4p_22ngKVV5oM/edit?usp=share_link"",""ระยอง!n636"")+IMPORTRANGE(""https://docs.google.com/spreadsheets/d/1qU-W_9MCQD1pgIVXGEOjCFo9QqlmJywueby"&amp;"GgaN92r8/edit?usp=share_link"",""ราชบุรี!n636"")+IMPORTRANGE(""https://docs.google.com/spreadsheets/d/1xYFIxIM_CspAP5Q-5Zx_V0T_Ut3cjryrjd2hss28vGk/edit?usp=share_link"",""ลพบุรี!n636"")+IMPORTRANGE(""https://docs.google.com/spreadsheets/d/11s9m3tKsCBdPWq6"&amp;"syhZm27eBGbKneDLZc75co106bio/edit?usp=share_link"",""สระแก้ว!n636"")+IMPORTRANGE(""https://docs.google.com/spreadsheets/d/1Nn1EvsFPtXldgpgVb3Rcng2K2cls68LFQsBh2FyW0Bg/edit?usp=share_link"",""สระบุรี!n636"")+IMPORTRANGE(""https://docs.google.com/spreadshee"&amp;"ts/d/149xufxukrnEciK3WPbNpHwUK8BKEJxp3UcBG3Al6dA4/edit?usp=share_link"",""สิงห์บุรี!n636"")+IMPORTRANGE(""https://docs.google.com/spreadsheets/d/132g-zJpz2uMKimp17uOIx8A7o3w1Z25zwJyXnwsB56c/edit?usp=share_link"",""สุพรรณบุรี!n636"")+IMPORTRANGE(""https://"&amp;"docs.google.com/spreadsheets/d/12Q_U0nVnFdxDFwa0pej9xvx8ZvLC9Dpi_vRro_aiG5g/edit?usp=share_link"",""อ่างทอง!n636"")
"),0)</f>
        <v>0</v>
      </c>
      <c r="O636" s="38"/>
      <c r="P636" s="38"/>
      <c r="Q636" s="571"/>
      <c r="R636" s="571"/>
      <c r="S636" s="571"/>
      <c r="T636" s="571"/>
      <c r="U636" s="571"/>
      <c r="V636" s="571"/>
      <c r="W636" s="571"/>
      <c r="X636" s="571"/>
      <c r="Y636" s="571"/>
      <c r="Z636" s="571"/>
    </row>
    <row r="637" spans="1:26" ht="20.25" customHeight="1">
      <c r="A637" s="567"/>
      <c r="B637" s="568"/>
      <c r="C637" s="569"/>
      <c r="D637" s="569"/>
      <c r="E637" s="569"/>
      <c r="F637" s="570" t="s">
        <v>188</v>
      </c>
      <c r="G637" s="189"/>
      <c r="H637" s="161" t="s">
        <v>12</v>
      </c>
      <c r="I637" s="37"/>
      <c r="J637" s="37"/>
      <c r="K637" s="38"/>
      <c r="L637" s="38"/>
      <c r="M637" s="38"/>
      <c r="N637" s="283">
        <f ca="1">IFERROR(__xludf.DUMMYFUNCTION("IMPORTRANGE(""https://docs.google.com/spreadsheets/d/1hKO5uv94SSRZWOvrh72HRcpyoEQF9TsE_Cvxl77XNU4/edit?usp=share_link"",""กาญจนบุรี!n637"")+IMPORTRANGE(""https://docs.google.com/spreadsheets/d/1njBaP_xXd-Uotvo2D9zb01TTCFkLJLDK97Tk1l9Qux0/edit?usp=share_li"&amp;"nk"",""จันทบุรี!n637"")+IMPORTRANGE(""https://docs.google.com/spreadsheets/d/14xp6qUzrGFnUk_qnc1eEmfiaNRd4_grkhpfQH_46fa8/edit?usp=share_link"",""ฉะเชิงเทรา!n637"")+IMPORTRANGE(""https://docs.google.com/spreadsheets/d/1_Zwps30dlVa-pZFsorjVf1Pil6WXwzCsJU0U"&amp;"2whO3NI/edit?usp=share_link"",""ชลบุรี!n637"")+IMPORTRANGE(""https://docs.google.com/spreadsheets/d/1xAsT4sUbBlom7l0acStESh_15nvjZcXjZM7fK5uZSq8/edit?usp=share_link"",""ชัยนาท!n637"")+IMPORTRANGE(""https://docs.google.com/spreadsheets/d/1vWPVBOAaZ6mHSI8yf"&amp;"95DNqHwTJ1cpeFsvqt6cxV34QA/edit?usp=share_link"",""ตราด!n637"")+IMPORTRANGE(""https://docs.google.com/spreadsheets/d/1phaeSb9lTGgzDpbvVqI9hfmOQQzUom07-HEvpbARzEg/edit?usp=share_link"",""นครนายก!n637"")+IMPORTRANGE(""https://docs.google.com/spreadsheets/d/"&amp;"1tpwhWwkqkBeiSWCcfB5f2fbwPRbM9hHOEDSDHpl2MIc/edit?usp=share_link"",""นครปฐม!n637"")+IMPORTRANGE(""https://docs.google.com/spreadsheets/d/1fJJCVBkBnhriyv0Cp5ZFMr0I_yrfdEITNpb4zILJgUQ/edit?usp=share_link"",""ปทุมธานี!n637"")+IMPORTRANGE(""https://docs.googl"&amp;"e.com/spreadsheets/d/1W5Jj_S0gYw6wSO7QcMI02YgyOBDKYgmm0NSUk-AQEac/edit?usp=share_link"",""ประจวบคีรีขันธ์!n637"")+IMPORTRANGE(""https://docs.google.com/spreadsheets/d/1nYxRXgnCfTXtqUY1otYuTlnrzE0Tn-Y0YRsW5pkRVqo/edit?usp=share_link"",""ปราจีนบุรี!n637"")+"&amp;"IMPORTRANGE(""https://docs.google.com/spreadsheets/d/1nNHCLO8ZAXOMfQvxux7cf_hrzPAh8FAvaHq_ClKbZNo/edit?usp=share_link"",""พระนครศรีอยุธยา!n637"")+IMPORTRANGE(""https://docs.google.com/spreadsheets/d/1CdNicvf3i6yt4tJlCePe3V1Va76wYqW0QzMzTsaGRrA/edit?usp=sh"&amp;"are_link"",""เพชรบุรี!n637"")+IMPORTRANGE(""https://docs.google.com/spreadsheets/d/1XiF77UIVHV0Kjc6xbXuOuJ10WgJYxd4p_22ngKVV5oM/edit?usp=share_link"",""ระยอง!n637"")+IMPORTRANGE(""https://docs.google.com/spreadsheets/d/1qU-W_9MCQD1pgIVXGEOjCFo9QqlmJywueby"&amp;"GgaN92r8/edit?usp=share_link"",""ราชบุรี!n637"")+IMPORTRANGE(""https://docs.google.com/spreadsheets/d/1xYFIxIM_CspAP5Q-5Zx_V0T_Ut3cjryrjd2hss28vGk/edit?usp=share_link"",""ลพบุรี!n637"")+IMPORTRANGE(""https://docs.google.com/spreadsheets/d/11s9m3tKsCBdPWq6"&amp;"syhZm27eBGbKneDLZc75co106bio/edit?usp=share_link"",""สระแก้ว!n637"")+IMPORTRANGE(""https://docs.google.com/spreadsheets/d/1Nn1EvsFPtXldgpgVb3Rcng2K2cls68LFQsBh2FyW0Bg/edit?usp=share_link"",""สระบุรี!n637"")+IMPORTRANGE(""https://docs.google.com/spreadshee"&amp;"ts/d/149xufxukrnEciK3WPbNpHwUK8BKEJxp3UcBG3Al6dA4/edit?usp=share_link"",""สิงห์บุรี!n637"")+IMPORTRANGE(""https://docs.google.com/spreadsheets/d/132g-zJpz2uMKimp17uOIx8A7o3w1Z25zwJyXnwsB56c/edit?usp=share_link"",""สุพรรณบุรี!n637"")+IMPORTRANGE(""https://"&amp;"docs.google.com/spreadsheets/d/12Q_U0nVnFdxDFwa0pej9xvx8ZvLC9Dpi_vRro_aiG5g/edit?usp=share_link"",""อ่างทอง!n637"")
"),116133.33)</f>
        <v>116133.33</v>
      </c>
      <c r="O637" s="38"/>
      <c r="P637" s="38"/>
      <c r="Q637" s="571"/>
      <c r="R637" s="571"/>
      <c r="S637" s="571"/>
      <c r="T637" s="571"/>
      <c r="U637" s="571"/>
      <c r="V637" s="571"/>
      <c r="W637" s="571"/>
      <c r="X637" s="571"/>
      <c r="Y637" s="571"/>
      <c r="Z637" s="571"/>
    </row>
    <row r="638" spans="1:26" ht="20.25" customHeight="1">
      <c r="A638" s="567"/>
      <c r="B638" s="568"/>
      <c r="C638" s="569"/>
      <c r="D638" s="569"/>
      <c r="E638" s="569"/>
      <c r="F638" s="570" t="s">
        <v>189</v>
      </c>
      <c r="G638" s="189"/>
      <c r="H638" s="161" t="s">
        <v>12</v>
      </c>
      <c r="I638" s="37"/>
      <c r="J638" s="37"/>
      <c r="K638" s="38"/>
      <c r="L638" s="38"/>
      <c r="M638" s="38"/>
      <c r="N638" s="283">
        <f ca="1">IFERROR(__xludf.DUMMYFUNCTION("IMPORTRANGE(""https://docs.google.com/spreadsheets/d/1hKO5uv94SSRZWOvrh72HRcpyoEQF9TsE_Cvxl77XNU4/edit?usp=share_link"",""กาญจนบุรี!n638"")+IMPORTRANGE(""https://docs.google.com/spreadsheets/d/1njBaP_xXd-Uotvo2D9zb01TTCFkLJLDK97Tk1l9Qux0/edit?usp=share_li"&amp;"nk"",""จันทบุรี!n638"")+IMPORTRANGE(""https://docs.google.com/spreadsheets/d/14xp6qUzrGFnUk_qnc1eEmfiaNRd4_grkhpfQH_46fa8/edit?usp=share_link"",""ฉะเชิงเทรา!n638"")+IMPORTRANGE(""https://docs.google.com/spreadsheets/d/1_Zwps30dlVa-pZFsorjVf1Pil6WXwzCsJU0U"&amp;"2whO3NI/edit?usp=share_link"",""ชลบุรี!n638"")+IMPORTRANGE(""https://docs.google.com/spreadsheets/d/1xAsT4sUbBlom7l0acStESh_15nvjZcXjZM7fK5uZSq8/edit?usp=share_link"",""ชัยนาท!n638"")+IMPORTRANGE(""https://docs.google.com/spreadsheets/d/1vWPVBOAaZ6mHSI8yf"&amp;"95DNqHwTJ1cpeFsvqt6cxV34QA/edit?usp=share_link"",""ตราด!n638"")+IMPORTRANGE(""https://docs.google.com/spreadsheets/d/1phaeSb9lTGgzDpbvVqI9hfmOQQzUom07-HEvpbARzEg/edit?usp=share_link"",""นครนายก!n638"")+IMPORTRANGE(""https://docs.google.com/spreadsheets/d/"&amp;"1tpwhWwkqkBeiSWCcfB5f2fbwPRbM9hHOEDSDHpl2MIc/edit?usp=share_link"",""นครปฐม!n638"")+IMPORTRANGE(""https://docs.google.com/spreadsheets/d/1fJJCVBkBnhriyv0Cp5ZFMr0I_yrfdEITNpb4zILJgUQ/edit?usp=share_link"",""ปทุมธานี!n638"")+IMPORTRANGE(""https://docs.googl"&amp;"e.com/spreadsheets/d/1W5Jj_S0gYw6wSO7QcMI02YgyOBDKYgmm0NSUk-AQEac/edit?usp=share_link"",""ประจวบคีรีขันธ์!n638"")+IMPORTRANGE(""https://docs.google.com/spreadsheets/d/1nYxRXgnCfTXtqUY1otYuTlnrzE0Tn-Y0YRsW5pkRVqo/edit?usp=share_link"",""ปราจีนบุรี!n638"")+"&amp;"IMPORTRANGE(""https://docs.google.com/spreadsheets/d/1nNHCLO8ZAXOMfQvxux7cf_hrzPAh8FAvaHq_ClKbZNo/edit?usp=share_link"",""พระนครศรีอยุธยา!n638"")+IMPORTRANGE(""https://docs.google.com/spreadsheets/d/1CdNicvf3i6yt4tJlCePe3V1Va76wYqW0QzMzTsaGRrA/edit?usp=sh"&amp;"are_link"",""เพชรบุรี!n638"")+IMPORTRANGE(""https://docs.google.com/spreadsheets/d/1XiF77UIVHV0Kjc6xbXuOuJ10WgJYxd4p_22ngKVV5oM/edit?usp=share_link"",""ระยอง!n638"")+IMPORTRANGE(""https://docs.google.com/spreadsheets/d/1qU-W_9MCQD1pgIVXGEOjCFo9QqlmJywueby"&amp;"GgaN92r8/edit?usp=share_link"",""ราชบุรี!n638"")+IMPORTRANGE(""https://docs.google.com/spreadsheets/d/1xYFIxIM_CspAP5Q-5Zx_V0T_Ut3cjryrjd2hss28vGk/edit?usp=share_link"",""ลพบุรี!n638"")+IMPORTRANGE(""https://docs.google.com/spreadsheets/d/11s9m3tKsCBdPWq6"&amp;"syhZm27eBGbKneDLZc75co106bio/edit?usp=share_link"",""สระแก้ว!n638"")+IMPORTRANGE(""https://docs.google.com/spreadsheets/d/1Nn1EvsFPtXldgpgVb3Rcng2K2cls68LFQsBh2FyW0Bg/edit?usp=share_link"",""สระบุรี!n638"")+IMPORTRANGE(""https://docs.google.com/spreadshee"&amp;"ts/d/149xufxukrnEciK3WPbNpHwUK8BKEJxp3UcBG3Al6dA4/edit?usp=share_link"",""สิงห์บุรี!n638"")+IMPORTRANGE(""https://docs.google.com/spreadsheets/d/132g-zJpz2uMKimp17uOIx8A7o3w1Z25zwJyXnwsB56c/edit?usp=share_link"",""สุพรรณบุรี!n638"")+IMPORTRANGE(""https://"&amp;"docs.google.com/spreadsheets/d/12Q_U0nVnFdxDFwa0pej9xvx8ZvLC9Dpi_vRro_aiG5g/edit?usp=share_link"",""อ่างทอง!n638"")
"),142537.33)</f>
        <v>142537.32999999999</v>
      </c>
      <c r="O638" s="38"/>
      <c r="P638" s="38"/>
      <c r="Q638" s="571"/>
      <c r="R638" s="571"/>
      <c r="S638" s="571"/>
      <c r="T638" s="571"/>
      <c r="U638" s="571"/>
      <c r="V638" s="571"/>
      <c r="W638" s="571"/>
      <c r="X638" s="571"/>
      <c r="Y638" s="571"/>
      <c r="Z638" s="571"/>
    </row>
    <row r="639" spans="1:26" ht="20.25" customHeight="1">
      <c r="A639" s="590"/>
      <c r="B639" s="568"/>
      <c r="C639" s="569"/>
      <c r="D639" s="599" t="s">
        <v>21</v>
      </c>
      <c r="E639" s="569"/>
      <c r="F639" s="569"/>
      <c r="G639" s="189"/>
      <c r="H639" s="168" t="s">
        <v>12</v>
      </c>
      <c r="I639" s="162"/>
      <c r="J639" s="162"/>
      <c r="K639" s="163"/>
      <c r="L639" s="38">
        <f t="shared" ref="L639:N639" ca="1" si="306">L640+L641</f>
        <v>0</v>
      </c>
      <c r="M639" s="38">
        <f t="shared" si="306"/>
        <v>0</v>
      </c>
      <c r="N639" s="38">
        <f t="shared" si="306"/>
        <v>0</v>
      </c>
      <c r="O639" s="38">
        <f t="shared" ref="O639:O641" ca="1" si="307">IF(L639&gt;0,N639*100/L639,0)</f>
        <v>0</v>
      </c>
      <c r="P639" s="38">
        <f t="shared" ref="P639:P641" si="308">IF(M639&gt;0,N639*100/M639,0)</f>
        <v>0</v>
      </c>
      <c r="Q639" s="571"/>
      <c r="R639" s="571"/>
      <c r="S639" s="571"/>
      <c r="T639" s="571"/>
      <c r="U639" s="571"/>
      <c r="V639" s="571"/>
      <c r="W639" s="571"/>
      <c r="X639" s="571"/>
      <c r="Y639" s="571"/>
      <c r="Z639" s="571"/>
    </row>
    <row r="640" spans="1:26" ht="20.25" hidden="1" customHeight="1">
      <c r="A640" s="592"/>
      <c r="B640" s="598"/>
      <c r="C640" s="593"/>
      <c r="D640" s="593"/>
      <c r="E640" s="595" t="s">
        <v>18</v>
      </c>
      <c r="F640" s="593"/>
      <c r="G640" s="596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45">
        <f t="shared" si="307"/>
        <v>0</v>
      </c>
      <c r="P640" s="45">
        <f t="shared" si="308"/>
        <v>0</v>
      </c>
      <c r="Q640" s="597"/>
      <c r="R640" s="597"/>
      <c r="S640" s="597"/>
      <c r="T640" s="597"/>
      <c r="U640" s="597"/>
      <c r="V640" s="597"/>
      <c r="W640" s="597"/>
      <c r="X640" s="597"/>
      <c r="Y640" s="597"/>
      <c r="Z640" s="597"/>
    </row>
    <row r="641" spans="1:26" ht="20.25" hidden="1" customHeight="1">
      <c r="A641" s="592"/>
      <c r="B641" s="598"/>
      <c r="C641" s="593"/>
      <c r="D641" s="593"/>
      <c r="E641" s="595" t="s">
        <v>19</v>
      </c>
      <c r="F641" s="593"/>
      <c r="G641" s="596"/>
      <c r="H641" s="169" t="s">
        <v>12</v>
      </c>
      <c r="I641" s="166"/>
      <c r="J641" s="166"/>
      <c r="K641" s="167"/>
      <c r="L641" s="45">
        <f ca="1">IFERROR(__xludf.DUMMYFUNCTION("IMPORTRANGE(""https://docs.google.com/spreadsheets/d/1hKO5uv94SSRZWOvrh72HRcpyoEQF9TsE_Cvxl77XNU4/edit?usp=share_link"",""กาญจนบุรี!L641"")+IMPORTRANGE(""https://docs.google.com/spreadsheets/d/1njBaP_xXd-Uotvo2D9zb01TTCFkLJLDK97Tk1l9Qux0/edit?usp=share_li"&amp;"nk"",""จันทบุรี!L641"")+IMPORTRANGE(""https://docs.google.com/spreadsheets/d/14xp6qUzrGFnUk_qnc1eEmfiaNRd4_grkhpfQH_46fa8/edit?usp=share_link"",""ฉะเชิงเทรา!L641"")+IMPORTRANGE(""https://docs.google.com/spreadsheets/d/1_Zwps30dlVa-pZFsorjVf1Pil6WXwzCsJU0U"&amp;"2whO3NI/edit?usp=share_link"",""ชลบุรี!L641"")+IMPORTRANGE(""https://docs.google.com/spreadsheets/d/1xAsT4sUbBlom7l0acStESh_15nvjZcXjZM7fK5uZSq8/edit?usp=share_link"",""ชัยนาท!L641"")+IMPORTRANGE(""https://docs.google.com/spreadsheets/d/1vWPVBOAaZ6mHSI8yf"&amp;"95DNqHwTJ1cpeFsvqt6cxV34QA/edit?usp=share_link"",""ตราด!L641"")+IMPORTRANGE(""https://docs.google.com/spreadsheets/d/1phaeSb9lTGgzDpbvVqI9hfmOQQzUom07-HEvpbARzEg/edit?usp=share_link"",""นครนายก!L641"")+IMPORTRANGE(""https://docs.google.com/spreadsheets/d/"&amp;"1tpwhWwkqkBeiSWCcfB5f2fbwPRbM9hHOEDSDHpl2MIc/edit?usp=share_link"",""นครปฐม!L641"")+IMPORTRANGE(""https://docs.google.com/spreadsheets/d/1fJJCVBkBnhriyv0Cp5ZFMr0I_yrfdEITNpb4zILJgUQ/edit?usp=share_link"",""ปทุมธานี!L641"")+IMPORTRANGE(""https://docs.googl"&amp;"e.com/spreadsheets/d/1W5Jj_S0gYw6wSO7QcMI02YgyOBDKYgmm0NSUk-AQEac/edit?usp=share_link"",""ประจวบคีรีขันธ์!L641"")+IMPORTRANGE(""https://docs.google.com/spreadsheets/d/1nYxRXgnCfTXtqUY1otYuTlnrzE0Tn-Y0YRsW5pkRVqo/edit?usp=share_link"",""ปราจีนบุรี!L641"")+"&amp;"IMPORTRANGE(""https://docs.google.com/spreadsheets/d/1nNHCLO8ZAXOMfQvxux7cf_hrzPAh8FAvaHq_ClKbZNo/edit?usp=share_link"",""พระนครศรีอยุธยา!L641"")+IMPORTRANGE(""https://docs.google.com/spreadsheets/d/1CdNicvf3i6yt4tJlCePe3V1Va76wYqW0QzMzTsaGRrA/edit?usp=sh"&amp;"are_link"",""เพชรบุรี!L641"")+IMPORTRANGE(""https://docs.google.com/spreadsheets/d/1XiF77UIVHV0Kjc6xbXuOuJ10WgJYxd4p_22ngKVV5oM/edit?usp=share_link"",""ระยอง!L641"")+IMPORTRANGE(""https://docs.google.com/spreadsheets/d/1qU-W_9MCQD1pgIVXGEOjCFo9QqlmJywueby"&amp;"GgaN92r8/edit?usp=share_link"",""ราชบุรี!L641"")+IMPORTRANGE(""https://docs.google.com/spreadsheets/d/1xYFIxIM_CspAP5Q-5Zx_V0T_Ut3cjryrjd2hss28vGk/edit?usp=share_link"",""ลพบุรี!L641"")+IMPORTRANGE(""https://docs.google.com/spreadsheets/d/11s9m3tKsCBdPWq6"&amp;"syhZm27eBGbKneDLZc75co106bio/edit?usp=share_link"",""สระแก้ว!L641"")+IMPORTRANGE(""https://docs.google.com/spreadsheets/d/1Nn1EvsFPtXldgpgVb3Rcng2K2cls68LFQsBh2FyW0Bg/edit?usp=share_link"",""สระบุรี!L641"")+IMPORTRANGE(""https://docs.google.com/spreadshee"&amp;"ts/d/149xufxukrnEciK3WPbNpHwUK8BKEJxp3UcBG3Al6dA4/edit?usp=share_link"",""สิงห์บุรี!L641"")+IMPORTRANGE(""https://docs.google.com/spreadsheets/d/132g-zJpz2uMKimp17uOIx8A7o3w1Z25zwJyXnwsB56c/edit?usp=share_link"",""สุพรรณบุรี!L641"")+IMPORTRANGE(""https://"&amp;"docs.google.com/spreadsheets/d/12Q_U0nVnFdxDFwa0pej9xvx8ZvLC9Dpi_vRro_aiG5g/edit?usp=share_link"",""อ่างทอง!L641"")
"),0)</f>
        <v>0</v>
      </c>
      <c r="M641" s="93">
        <v>0</v>
      </c>
      <c r="N641" s="93">
        <v>0</v>
      </c>
      <c r="O641" s="45">
        <f t="shared" ca="1" si="307"/>
        <v>0</v>
      </c>
      <c r="P641" s="45">
        <f t="shared" si="308"/>
        <v>0</v>
      </c>
      <c r="Q641" s="597"/>
      <c r="R641" s="597"/>
      <c r="S641" s="597"/>
      <c r="T641" s="597"/>
      <c r="U641" s="597"/>
      <c r="V641" s="597"/>
      <c r="W641" s="597"/>
      <c r="X641" s="597"/>
      <c r="Y641" s="597"/>
      <c r="Z641" s="597"/>
    </row>
    <row r="642" spans="1:26" ht="20.25" customHeight="1">
      <c r="A642" s="601"/>
      <c r="B642" s="602"/>
      <c r="C642" s="569" t="s">
        <v>16</v>
      </c>
      <c r="D642" s="672" t="s">
        <v>38</v>
      </c>
      <c r="E642" s="605"/>
      <c r="F642" s="605"/>
      <c r="G642" s="606"/>
      <c r="H642" s="175"/>
      <c r="I642" s="162"/>
      <c r="J642" s="162"/>
      <c r="K642" s="163"/>
      <c r="L642" s="163"/>
      <c r="M642" s="163"/>
      <c r="N642" s="163"/>
      <c r="O642" s="163"/>
      <c r="P642" s="163"/>
      <c r="Q642" s="571"/>
      <c r="R642" s="571"/>
      <c r="S642" s="571"/>
      <c r="T642" s="571"/>
      <c r="U642" s="571"/>
      <c r="V642" s="571"/>
      <c r="W642" s="571"/>
      <c r="X642" s="571"/>
      <c r="Y642" s="571"/>
      <c r="Z642" s="571"/>
    </row>
    <row r="643" spans="1:26" ht="20.25" customHeight="1">
      <c r="A643" s="735"/>
      <c r="B643" s="568"/>
      <c r="C643" s="569"/>
      <c r="D643" s="612"/>
      <c r="E643" s="736" t="s">
        <v>271</v>
      </c>
      <c r="F643" s="612"/>
      <c r="G643" s="175"/>
      <c r="H643" s="447" t="s">
        <v>272</v>
      </c>
      <c r="I643" s="269">
        <f ca="1">IFERROR(__xludf.DUMMYFUNCTION("IMPORTRANGE(""https://docs.google.com/spreadsheets/d/1hKO5uv94SSRZWOvrh72HRcpyoEQF9TsE_Cvxl77XNU4/edit?usp=share_link"",""กาญจนบุรี!I643"")+IMPORTRANGE(""https://docs.google.com/spreadsheets/d/1njBaP_xXd-Uotvo2D9zb01TTCFkLJLDK97Tk1l9Qux0/edit?usp=share_li"&amp;"nk"",""จันทบุรี!I643"")+IMPORTRANGE(""https://docs.google.com/spreadsheets/d/14xp6qUzrGFnUk_qnc1eEmfiaNRd4_grkhpfQH_46fa8/edit?usp=share_link"",""ฉะเชิงเทรา!I643"")+IMPORTRANGE(""https://docs.google.com/spreadsheets/d/1_Zwps30dlVa-pZFsorjVf1Pil6WXwzCsJU0U"&amp;"2whO3NI/edit?usp=share_link"",""ชลบุรี!I643"")+IMPORTRANGE(""https://docs.google.com/spreadsheets/d/1xAsT4sUbBlom7l0acStESh_15nvjZcXjZM7fK5uZSq8/edit?usp=share_link"",""ชัยนาท!I643"")+IMPORTRANGE(""https://docs.google.com/spreadsheets/d/1vWPVBOAaZ6mHSI8yf"&amp;"95DNqHwTJ1cpeFsvqt6cxV34QA/edit?usp=share_link"",""ตราด!I643"")+IMPORTRANGE(""https://docs.google.com/spreadsheets/d/1phaeSb9lTGgzDpbvVqI9hfmOQQzUom07-HEvpbARzEg/edit?usp=share_link"",""นครนายก!I643"")+IMPORTRANGE(""https://docs.google.com/spreadsheets/d/"&amp;"1tpwhWwkqkBeiSWCcfB5f2fbwPRbM9hHOEDSDHpl2MIc/edit?usp=share_link"",""นครปฐม!I643"")+IMPORTRANGE(""https://docs.google.com/spreadsheets/d/1fJJCVBkBnhriyv0Cp5ZFMr0I_yrfdEITNpb4zILJgUQ/edit?usp=share_link"",""ปทุมธานี!I643"")+IMPORTRANGE(""https://docs.googl"&amp;"e.com/spreadsheets/d/1W5Jj_S0gYw6wSO7QcMI02YgyOBDKYgmm0NSUk-AQEac/edit?usp=share_link"",""ประจวบคีรีขันธ์!I643"")+IMPORTRANGE(""https://docs.google.com/spreadsheets/d/1nYxRXgnCfTXtqUY1otYuTlnrzE0Tn-Y0YRsW5pkRVqo/edit?usp=share_link"",""ปราจีนบุรี!I643"")+"&amp;"IMPORTRANGE(""https://docs.google.com/spreadsheets/d/1nNHCLO8ZAXOMfQvxux7cf_hrzPAh8FAvaHq_ClKbZNo/edit?usp=share_link"",""พระนครศรีอยุธยา!I643"")+IMPORTRANGE(""https://docs.google.com/spreadsheets/d/1CdNicvf3i6yt4tJlCePe3V1Va76wYqW0QzMzTsaGRrA/edit?usp=sh"&amp;"are_link"",""เพชรบุรี!I643"")+IMPORTRANGE(""https://docs.google.com/spreadsheets/d/1XiF77UIVHV0Kjc6xbXuOuJ10WgJYxd4p_22ngKVV5oM/edit?usp=share_link"",""ระยอง!I643"")+IMPORTRANGE(""https://docs.google.com/spreadsheets/d/1qU-W_9MCQD1pgIVXGEOjCFo9QqlmJywueby"&amp;"GgaN92r8/edit?usp=share_link"",""ราชบุรี!I643"")+IMPORTRANGE(""https://docs.google.com/spreadsheets/d/1xYFIxIM_CspAP5Q-5Zx_V0T_Ut3cjryrjd2hss28vGk/edit?usp=share_link"",""ลพบุรี!I643"")+IMPORTRANGE(""https://docs.google.com/spreadsheets/d/11s9m3tKsCBdPWq6"&amp;"syhZm27eBGbKneDLZc75co106bio/edit?usp=share_link"",""สระแก้ว!I643"")+IMPORTRANGE(""https://docs.google.com/spreadsheets/d/1Nn1EvsFPtXldgpgVb3Rcng2K2cls68LFQsBh2FyW0Bg/edit?usp=share_link"",""สระบุรี!I643"")+IMPORTRANGE(""https://docs.google.com/spreadshee"&amp;"ts/d/149xufxukrnEciK3WPbNpHwUK8BKEJxp3UcBG3Al6dA4/edit?usp=share_link"",""สิงห์บุรี!I643"")+IMPORTRANGE(""https://docs.google.com/spreadsheets/d/132g-zJpz2uMKimp17uOIx8A7o3w1Z25zwJyXnwsB56c/edit?usp=share_link"",""สุพรรณบุรี!I643"")+IMPORTRANGE(""https://"&amp;"docs.google.com/spreadsheets/d/12Q_U0nVnFdxDFwa0pej9xvx8ZvLC9Dpi_vRro_aiG5g/edit?usp=share_link"",""อ่างทอง!I643"")
"),10)</f>
        <v>10</v>
      </c>
      <c r="J643" s="183">
        <f ca="1">IFERROR(__xludf.DUMMYFUNCTION("IMPORTRANGE(""https://docs.google.com/spreadsheets/d/1hKO5uv94SSRZWOvrh72HRcpyoEQF9TsE_Cvxl77XNU4/edit?usp=share_link"",""กาญจนบุรี!J643"")+IMPORTRANGE(""https://docs.google.com/spreadsheets/d/1njBaP_xXd-Uotvo2D9zb01TTCFkLJLDK97Tk1l9Qux0/edit?usp=share_li"&amp;"nk"",""จันทบุรี!J643"")+IMPORTRANGE(""https://docs.google.com/spreadsheets/d/14xp6qUzrGFnUk_qnc1eEmfiaNRd4_grkhpfQH_46fa8/edit?usp=share_link"",""ฉะเชิงเทรา!J643"")+IMPORTRANGE(""https://docs.google.com/spreadsheets/d/1_Zwps30dlVa-pZFsorjVf1Pil6WXwzCsJU0U"&amp;"2whO3NI/edit?usp=share_link"",""ชลบุรี!J643"")+IMPORTRANGE(""https://docs.google.com/spreadsheets/d/1xAsT4sUbBlom7l0acStESh_15nvjZcXjZM7fK5uZSq8/edit?usp=share_link"",""ชัยนาท!J643"")+IMPORTRANGE(""https://docs.google.com/spreadsheets/d/1vWPVBOAaZ6mHSI8yf"&amp;"95DNqHwTJ1cpeFsvqt6cxV34QA/edit?usp=share_link"",""ตราด!J643"")+IMPORTRANGE(""https://docs.google.com/spreadsheets/d/1phaeSb9lTGgzDpbvVqI9hfmOQQzUom07-HEvpbARzEg/edit?usp=share_link"",""นครนายก!J643"")+IMPORTRANGE(""https://docs.google.com/spreadsheets/d/"&amp;"1tpwhWwkqkBeiSWCcfB5f2fbwPRbM9hHOEDSDHpl2MIc/edit?usp=share_link"",""นครปฐม!J643"")+IMPORTRANGE(""https://docs.google.com/spreadsheets/d/1fJJCVBkBnhriyv0Cp5ZFMr0I_yrfdEITNpb4zILJgUQ/edit?usp=share_link"",""ปทุมธานี!J643"")+IMPORTRANGE(""https://docs.googl"&amp;"e.com/spreadsheets/d/1W5Jj_S0gYw6wSO7QcMI02YgyOBDKYgmm0NSUk-AQEac/edit?usp=share_link"",""ประจวบคีรีขันธ์!J643"")+IMPORTRANGE(""https://docs.google.com/spreadsheets/d/1nYxRXgnCfTXtqUY1otYuTlnrzE0Tn-Y0YRsW5pkRVqo/edit?usp=share_link"",""ปราจีนบุรี!J643"")+"&amp;"IMPORTRANGE(""https://docs.google.com/spreadsheets/d/1nNHCLO8ZAXOMfQvxux7cf_hrzPAh8FAvaHq_ClKbZNo/edit?usp=share_link"",""พระนครศรีอยุธยา!J643"")+IMPORTRANGE(""https://docs.google.com/spreadsheets/d/1CdNicvf3i6yt4tJlCePe3V1Va76wYqW0QzMzTsaGRrA/edit?usp=sh"&amp;"are_link"",""เพชรบุรี!J643"")+IMPORTRANGE(""https://docs.google.com/spreadsheets/d/1XiF77UIVHV0Kjc6xbXuOuJ10WgJYxd4p_22ngKVV5oM/edit?usp=share_link"",""ระยอง!J643"")+IMPORTRANGE(""https://docs.google.com/spreadsheets/d/1qU-W_9MCQD1pgIVXGEOjCFo9QqlmJywueby"&amp;"GgaN92r8/edit?usp=share_link"",""ราชบุรี!J643"")+IMPORTRANGE(""https://docs.google.com/spreadsheets/d/1xYFIxIM_CspAP5Q-5Zx_V0T_Ut3cjryrjd2hss28vGk/edit?usp=share_link"",""ลพบุรี!J643"")+IMPORTRANGE(""https://docs.google.com/spreadsheets/d/11s9m3tKsCBdPWq6"&amp;"syhZm27eBGbKneDLZc75co106bio/edit?usp=share_link"",""สระแก้ว!J643"")+IMPORTRANGE(""https://docs.google.com/spreadsheets/d/1Nn1EvsFPtXldgpgVb3Rcng2K2cls68LFQsBh2FyW0Bg/edit?usp=share_link"",""สระบุรี!J643"")+IMPORTRANGE(""https://docs.google.com/spreadshee"&amp;"ts/d/149xufxukrnEciK3WPbNpHwUK8BKEJxp3UcBG3Al6dA4/edit?usp=share_link"",""สิงห์บุรี!J643"")+IMPORTRANGE(""https://docs.google.com/spreadsheets/d/132g-zJpz2uMKimp17uOIx8A7o3w1Z25zwJyXnwsB56c/edit?usp=share_link"",""สุพรรณบุรี!J643"")+IMPORTRANGE(""https://"&amp;"docs.google.com/spreadsheets/d/12Q_U0nVnFdxDFwa0pej9xvx8ZvLC9Dpi_vRro_aiG5g/edit?usp=share_link"",""อ่างทอง!J643"")
"),7)</f>
        <v>7</v>
      </c>
      <c r="K643" s="163">
        <f t="shared" ref="K643:K652" ca="1" si="309">IF(I643&gt;0,J643*100/I643,0)</f>
        <v>70</v>
      </c>
      <c r="L643" s="163"/>
      <c r="M643" s="163"/>
      <c r="N643" s="38"/>
      <c r="O643" s="163"/>
      <c r="P643" s="163"/>
      <c r="Q643" s="571"/>
      <c r="R643" s="571"/>
      <c r="S643" s="571"/>
      <c r="T643" s="571"/>
      <c r="U643" s="571"/>
      <c r="V643" s="571"/>
      <c r="W643" s="571"/>
      <c r="X643" s="571"/>
      <c r="Y643" s="571"/>
      <c r="Z643" s="571"/>
    </row>
    <row r="644" spans="1:26" ht="20.25" customHeight="1">
      <c r="A644" s="735"/>
      <c r="B644" s="568"/>
      <c r="C644" s="569"/>
      <c r="D644" s="612"/>
      <c r="E644" s="736" t="s">
        <v>273</v>
      </c>
      <c r="F644" s="612"/>
      <c r="G644" s="175"/>
      <c r="H644" s="447" t="s">
        <v>274</v>
      </c>
      <c r="I644" s="269">
        <f ca="1">IFERROR(__xludf.DUMMYFUNCTION("IMPORTRANGE(""https://docs.google.com/spreadsheets/d/1hKO5uv94SSRZWOvrh72HRcpyoEQF9TsE_Cvxl77XNU4/edit?usp=share_link"",""กาญจนบุรี!I644"")+IMPORTRANGE(""https://docs.google.com/spreadsheets/d/1njBaP_xXd-Uotvo2D9zb01TTCFkLJLDK97Tk1l9Qux0/edit?usp=share_li"&amp;"nk"",""จันทบุรี!I644"")+IMPORTRANGE(""https://docs.google.com/spreadsheets/d/14xp6qUzrGFnUk_qnc1eEmfiaNRd4_grkhpfQH_46fa8/edit?usp=share_link"",""ฉะเชิงเทรา!I644"")+IMPORTRANGE(""https://docs.google.com/spreadsheets/d/1_Zwps30dlVa-pZFsorjVf1Pil6WXwzCsJU0U"&amp;"2whO3NI/edit?usp=share_link"",""ชลบุรี!I644"")+IMPORTRANGE(""https://docs.google.com/spreadsheets/d/1xAsT4sUbBlom7l0acStESh_15nvjZcXjZM7fK5uZSq8/edit?usp=share_link"",""ชัยนาท!I644"")+IMPORTRANGE(""https://docs.google.com/spreadsheets/d/1vWPVBOAaZ6mHSI8yf"&amp;"95DNqHwTJ1cpeFsvqt6cxV34QA/edit?usp=share_link"",""ตราด!I644"")+IMPORTRANGE(""https://docs.google.com/spreadsheets/d/1phaeSb9lTGgzDpbvVqI9hfmOQQzUom07-HEvpbARzEg/edit?usp=share_link"",""นครนายก!I644"")+IMPORTRANGE(""https://docs.google.com/spreadsheets/d/"&amp;"1tpwhWwkqkBeiSWCcfB5f2fbwPRbM9hHOEDSDHpl2MIc/edit?usp=share_link"",""นครปฐม!I644"")+IMPORTRANGE(""https://docs.google.com/spreadsheets/d/1fJJCVBkBnhriyv0Cp5ZFMr0I_yrfdEITNpb4zILJgUQ/edit?usp=share_link"",""ปทุมธานี!I644"")+IMPORTRANGE(""https://docs.googl"&amp;"e.com/spreadsheets/d/1W5Jj_S0gYw6wSO7QcMI02YgyOBDKYgmm0NSUk-AQEac/edit?usp=share_link"",""ประจวบคีรีขันธ์!I644"")+IMPORTRANGE(""https://docs.google.com/spreadsheets/d/1nYxRXgnCfTXtqUY1otYuTlnrzE0Tn-Y0YRsW5pkRVqo/edit?usp=share_link"",""ปราจีนบุรี!I644"")+"&amp;"IMPORTRANGE(""https://docs.google.com/spreadsheets/d/1nNHCLO8ZAXOMfQvxux7cf_hrzPAh8FAvaHq_ClKbZNo/edit?usp=share_link"",""พระนครศรีอยุธยา!I644"")+IMPORTRANGE(""https://docs.google.com/spreadsheets/d/1CdNicvf3i6yt4tJlCePe3V1Va76wYqW0QzMzTsaGRrA/edit?usp=sh"&amp;"are_link"",""เพชรบุรี!I644"")+IMPORTRANGE(""https://docs.google.com/spreadsheets/d/1XiF77UIVHV0Kjc6xbXuOuJ10WgJYxd4p_22ngKVV5oM/edit?usp=share_link"",""ระยอง!I644"")+IMPORTRANGE(""https://docs.google.com/spreadsheets/d/1qU-W_9MCQD1pgIVXGEOjCFo9QqlmJywueby"&amp;"GgaN92r8/edit?usp=share_link"",""ราชบุรี!I644"")+IMPORTRANGE(""https://docs.google.com/spreadsheets/d/1xYFIxIM_CspAP5Q-5Zx_V0T_Ut3cjryrjd2hss28vGk/edit?usp=share_link"",""ลพบุรี!I644"")+IMPORTRANGE(""https://docs.google.com/spreadsheets/d/11s9m3tKsCBdPWq6"&amp;"syhZm27eBGbKneDLZc75co106bio/edit?usp=share_link"",""สระแก้ว!I644"")+IMPORTRANGE(""https://docs.google.com/spreadsheets/d/1Nn1EvsFPtXldgpgVb3Rcng2K2cls68LFQsBh2FyW0Bg/edit?usp=share_link"",""สระบุรี!I644"")+IMPORTRANGE(""https://docs.google.com/spreadshee"&amp;"ts/d/149xufxukrnEciK3WPbNpHwUK8BKEJxp3UcBG3Al6dA4/edit?usp=share_link"",""สิงห์บุรี!I644"")+IMPORTRANGE(""https://docs.google.com/spreadsheets/d/132g-zJpz2uMKimp17uOIx8A7o3w1Z25zwJyXnwsB56c/edit?usp=share_link"",""สุพรรณบุรี!I644"")+IMPORTRANGE(""https://"&amp;"docs.google.com/spreadsheets/d/12Q_U0nVnFdxDFwa0pej9xvx8ZvLC9Dpi_vRro_aiG5g/edit?usp=share_link"",""อ่างทอง!I644"")
"),10)</f>
        <v>10</v>
      </c>
      <c r="J644" s="183">
        <f ca="1">IFERROR(__xludf.DUMMYFUNCTION("IMPORTRANGE(""https://docs.google.com/spreadsheets/d/1hKO5uv94SSRZWOvrh72HRcpyoEQF9TsE_Cvxl77XNU4/edit?usp=share_link"",""กาญจนบุรี!J644"")+IMPORTRANGE(""https://docs.google.com/spreadsheets/d/1njBaP_xXd-Uotvo2D9zb01TTCFkLJLDK97Tk1l9Qux0/edit?usp=share_li"&amp;"nk"",""จันทบุรี!J644"")+IMPORTRANGE(""https://docs.google.com/spreadsheets/d/14xp6qUzrGFnUk_qnc1eEmfiaNRd4_grkhpfQH_46fa8/edit?usp=share_link"",""ฉะเชิงเทรา!J644"")+IMPORTRANGE(""https://docs.google.com/spreadsheets/d/1_Zwps30dlVa-pZFsorjVf1Pil6WXwzCsJU0U"&amp;"2whO3NI/edit?usp=share_link"",""ชลบุรี!J644"")+IMPORTRANGE(""https://docs.google.com/spreadsheets/d/1xAsT4sUbBlom7l0acStESh_15nvjZcXjZM7fK5uZSq8/edit?usp=share_link"",""ชัยนาท!J644"")+IMPORTRANGE(""https://docs.google.com/spreadsheets/d/1vWPVBOAaZ6mHSI8yf"&amp;"95DNqHwTJ1cpeFsvqt6cxV34QA/edit?usp=share_link"",""ตราด!J644"")+IMPORTRANGE(""https://docs.google.com/spreadsheets/d/1phaeSb9lTGgzDpbvVqI9hfmOQQzUom07-HEvpbARzEg/edit?usp=share_link"",""นครนายก!J644"")+IMPORTRANGE(""https://docs.google.com/spreadsheets/d/"&amp;"1tpwhWwkqkBeiSWCcfB5f2fbwPRbM9hHOEDSDHpl2MIc/edit?usp=share_link"",""นครปฐม!J644"")+IMPORTRANGE(""https://docs.google.com/spreadsheets/d/1fJJCVBkBnhriyv0Cp5ZFMr0I_yrfdEITNpb4zILJgUQ/edit?usp=share_link"",""ปทุมธานี!J644"")+IMPORTRANGE(""https://docs.googl"&amp;"e.com/spreadsheets/d/1W5Jj_S0gYw6wSO7QcMI02YgyOBDKYgmm0NSUk-AQEac/edit?usp=share_link"",""ประจวบคีรีขันธ์!J644"")+IMPORTRANGE(""https://docs.google.com/spreadsheets/d/1nYxRXgnCfTXtqUY1otYuTlnrzE0Tn-Y0YRsW5pkRVqo/edit?usp=share_link"",""ปราจีนบุรี!J644"")+"&amp;"IMPORTRANGE(""https://docs.google.com/spreadsheets/d/1nNHCLO8ZAXOMfQvxux7cf_hrzPAh8FAvaHq_ClKbZNo/edit?usp=share_link"",""พระนครศรีอยุธยา!J644"")+IMPORTRANGE(""https://docs.google.com/spreadsheets/d/1CdNicvf3i6yt4tJlCePe3V1Va76wYqW0QzMzTsaGRrA/edit?usp=sh"&amp;"are_link"",""เพชรบุรี!J644"")+IMPORTRANGE(""https://docs.google.com/spreadsheets/d/1XiF77UIVHV0Kjc6xbXuOuJ10WgJYxd4p_22ngKVV5oM/edit?usp=share_link"",""ระยอง!J644"")+IMPORTRANGE(""https://docs.google.com/spreadsheets/d/1qU-W_9MCQD1pgIVXGEOjCFo9QqlmJywueby"&amp;"GgaN92r8/edit?usp=share_link"",""ราชบุรี!J644"")+IMPORTRANGE(""https://docs.google.com/spreadsheets/d/1xYFIxIM_CspAP5Q-5Zx_V0T_Ut3cjryrjd2hss28vGk/edit?usp=share_link"",""ลพบุรี!J644"")+IMPORTRANGE(""https://docs.google.com/spreadsheets/d/11s9m3tKsCBdPWq6"&amp;"syhZm27eBGbKneDLZc75co106bio/edit?usp=share_link"",""สระแก้ว!J644"")+IMPORTRANGE(""https://docs.google.com/spreadsheets/d/1Nn1EvsFPtXldgpgVb3Rcng2K2cls68LFQsBh2FyW0Bg/edit?usp=share_link"",""สระบุรี!J644"")+IMPORTRANGE(""https://docs.google.com/spreadshee"&amp;"ts/d/149xufxukrnEciK3WPbNpHwUK8BKEJxp3UcBG3Al6dA4/edit?usp=share_link"",""สิงห์บุรี!J644"")+IMPORTRANGE(""https://docs.google.com/spreadsheets/d/132g-zJpz2uMKimp17uOIx8A7o3w1Z25zwJyXnwsB56c/edit?usp=share_link"",""สุพรรณบุรี!J644"")+IMPORTRANGE(""https://"&amp;"docs.google.com/spreadsheets/d/12Q_U0nVnFdxDFwa0pej9xvx8ZvLC9Dpi_vRro_aiG5g/edit?usp=share_link"",""อ่างทอง!J644"")
"),0)</f>
        <v>0</v>
      </c>
      <c r="K644" s="163">
        <f t="shared" ca="1" si="309"/>
        <v>0</v>
      </c>
      <c r="L644" s="163"/>
      <c r="M644" s="163"/>
      <c r="N644" s="38"/>
      <c r="O644" s="163"/>
      <c r="P644" s="163"/>
      <c r="Q644" s="571"/>
      <c r="R644" s="571"/>
      <c r="S644" s="571"/>
      <c r="T644" s="571"/>
      <c r="U644" s="571"/>
      <c r="V644" s="571"/>
      <c r="W644" s="571"/>
      <c r="X644" s="571"/>
      <c r="Y644" s="571"/>
      <c r="Z644" s="571"/>
    </row>
    <row r="645" spans="1:26" ht="20.25" customHeight="1">
      <c r="A645" s="735"/>
      <c r="B645" s="568"/>
      <c r="C645" s="569"/>
      <c r="D645" s="612"/>
      <c r="E645" s="737" t="s">
        <v>275</v>
      </c>
      <c r="F645" s="612"/>
      <c r="G645" s="175"/>
      <c r="H645" s="182" t="s">
        <v>34</v>
      </c>
      <c r="I645" s="269">
        <f ca="1">IFERROR(__xludf.DUMMYFUNCTION("IMPORTRANGE(""https://docs.google.com/spreadsheets/d/1hKO5uv94SSRZWOvrh72HRcpyoEQF9TsE_Cvxl77XNU4/edit?usp=share_link"",""กาญจนบุรี!I645"")+IMPORTRANGE(""https://docs.google.com/spreadsheets/d/1njBaP_xXd-Uotvo2D9zb01TTCFkLJLDK97Tk1l9Qux0/edit?usp=share_li"&amp;"nk"",""จันทบุรี!I645"")+IMPORTRANGE(""https://docs.google.com/spreadsheets/d/14xp6qUzrGFnUk_qnc1eEmfiaNRd4_grkhpfQH_46fa8/edit?usp=share_link"",""ฉะเชิงเทรา!I645"")+IMPORTRANGE(""https://docs.google.com/spreadsheets/d/1_Zwps30dlVa-pZFsorjVf1Pil6WXwzCsJU0U"&amp;"2whO3NI/edit?usp=share_link"",""ชลบุรี!I645"")+IMPORTRANGE(""https://docs.google.com/spreadsheets/d/1xAsT4sUbBlom7l0acStESh_15nvjZcXjZM7fK5uZSq8/edit?usp=share_link"",""ชัยนาท!I645"")+IMPORTRANGE(""https://docs.google.com/spreadsheets/d/1vWPVBOAaZ6mHSI8yf"&amp;"95DNqHwTJ1cpeFsvqt6cxV34QA/edit?usp=share_link"",""ตราด!I645"")+IMPORTRANGE(""https://docs.google.com/spreadsheets/d/1phaeSb9lTGgzDpbvVqI9hfmOQQzUom07-HEvpbARzEg/edit?usp=share_link"",""นครนายก!I645"")+IMPORTRANGE(""https://docs.google.com/spreadsheets/d/"&amp;"1tpwhWwkqkBeiSWCcfB5f2fbwPRbM9hHOEDSDHpl2MIc/edit?usp=share_link"",""นครปฐม!I645"")+IMPORTRANGE(""https://docs.google.com/spreadsheets/d/1fJJCVBkBnhriyv0Cp5ZFMr0I_yrfdEITNpb4zILJgUQ/edit?usp=share_link"",""ปทุมธานี!I645"")+IMPORTRANGE(""https://docs.googl"&amp;"e.com/spreadsheets/d/1W5Jj_S0gYw6wSO7QcMI02YgyOBDKYgmm0NSUk-AQEac/edit?usp=share_link"",""ประจวบคีรีขันธ์!I645"")+IMPORTRANGE(""https://docs.google.com/spreadsheets/d/1nYxRXgnCfTXtqUY1otYuTlnrzE0Tn-Y0YRsW5pkRVqo/edit?usp=share_link"",""ปราจีนบุรี!I645"")+"&amp;"IMPORTRANGE(""https://docs.google.com/spreadsheets/d/1nNHCLO8ZAXOMfQvxux7cf_hrzPAh8FAvaHq_ClKbZNo/edit?usp=share_link"",""พระนครศรีอยุธยา!I645"")+IMPORTRANGE(""https://docs.google.com/spreadsheets/d/1CdNicvf3i6yt4tJlCePe3V1Va76wYqW0QzMzTsaGRrA/edit?usp=sh"&amp;"are_link"",""เพชรบุรี!I645"")+IMPORTRANGE(""https://docs.google.com/spreadsheets/d/1XiF77UIVHV0Kjc6xbXuOuJ10WgJYxd4p_22ngKVV5oM/edit?usp=share_link"",""ระยอง!I645"")+IMPORTRANGE(""https://docs.google.com/spreadsheets/d/1qU-W_9MCQD1pgIVXGEOjCFo9QqlmJywueby"&amp;"GgaN92r8/edit?usp=share_link"",""ราชบุรี!I645"")+IMPORTRANGE(""https://docs.google.com/spreadsheets/d/1xYFIxIM_CspAP5Q-5Zx_V0T_Ut3cjryrjd2hss28vGk/edit?usp=share_link"",""ลพบุรี!I645"")+IMPORTRANGE(""https://docs.google.com/spreadsheets/d/11s9m3tKsCBdPWq6"&amp;"syhZm27eBGbKneDLZc75co106bio/edit?usp=share_link"",""สระแก้ว!I645"")+IMPORTRANGE(""https://docs.google.com/spreadsheets/d/1Nn1EvsFPtXldgpgVb3Rcng2K2cls68LFQsBh2FyW0Bg/edit?usp=share_link"",""สระบุรี!I645"")+IMPORTRANGE(""https://docs.google.com/spreadshee"&amp;"ts/d/149xufxukrnEciK3WPbNpHwUK8BKEJxp3UcBG3Al6dA4/edit?usp=share_link"",""สิงห์บุรี!I645"")+IMPORTRANGE(""https://docs.google.com/spreadsheets/d/132g-zJpz2uMKimp17uOIx8A7o3w1Z25zwJyXnwsB56c/edit?usp=share_link"",""สุพรรณบุรี!I645"")+IMPORTRANGE(""https://"&amp;"docs.google.com/spreadsheets/d/12Q_U0nVnFdxDFwa0pej9xvx8ZvLC9Dpi_vRro_aiG5g/edit?usp=share_link"",""อ่างทอง!I645"")
"),0)</f>
        <v>0</v>
      </c>
      <c r="J645" s="37">
        <f ca="1">IFERROR(__xludf.DUMMYFUNCTION("IMPORTRANGE(""https://docs.google.com/spreadsheets/d/1hKO5uv94SSRZWOvrh72HRcpyoEQF9TsE_Cvxl77XNU4/edit?usp=share_link"",""กาญจนบุรี!J645"")+IMPORTRANGE(""https://docs.google.com/spreadsheets/d/1njBaP_xXd-Uotvo2D9zb01TTCFkLJLDK97Tk1l9Qux0/edit?usp=share_li"&amp;"nk"",""จันทบุรี!J645"")+IMPORTRANGE(""https://docs.google.com/spreadsheets/d/14xp6qUzrGFnUk_qnc1eEmfiaNRd4_grkhpfQH_46fa8/edit?usp=share_link"",""ฉะเชิงเทรา!J645"")+IMPORTRANGE(""https://docs.google.com/spreadsheets/d/1_Zwps30dlVa-pZFsorjVf1Pil6WXwzCsJU0U"&amp;"2whO3NI/edit?usp=share_link"",""ชลบุรี!J645"")+IMPORTRANGE(""https://docs.google.com/spreadsheets/d/1xAsT4sUbBlom7l0acStESh_15nvjZcXjZM7fK5uZSq8/edit?usp=share_link"",""ชัยนาท!J645"")+IMPORTRANGE(""https://docs.google.com/spreadsheets/d/1vWPVBOAaZ6mHSI8yf"&amp;"95DNqHwTJ1cpeFsvqt6cxV34QA/edit?usp=share_link"",""ตราด!J645"")+IMPORTRANGE(""https://docs.google.com/spreadsheets/d/1phaeSb9lTGgzDpbvVqI9hfmOQQzUom07-HEvpbARzEg/edit?usp=share_link"",""นครนายก!J645"")+IMPORTRANGE(""https://docs.google.com/spreadsheets/d/"&amp;"1tpwhWwkqkBeiSWCcfB5f2fbwPRbM9hHOEDSDHpl2MIc/edit?usp=share_link"",""นครปฐม!J645"")+IMPORTRANGE(""https://docs.google.com/spreadsheets/d/1fJJCVBkBnhriyv0Cp5ZFMr0I_yrfdEITNpb4zILJgUQ/edit?usp=share_link"",""ปทุมธานี!J645"")+IMPORTRANGE(""https://docs.googl"&amp;"e.com/spreadsheets/d/1W5Jj_S0gYw6wSO7QcMI02YgyOBDKYgmm0NSUk-AQEac/edit?usp=share_link"",""ประจวบคีรีขันธ์!J645"")+IMPORTRANGE(""https://docs.google.com/spreadsheets/d/1nYxRXgnCfTXtqUY1otYuTlnrzE0Tn-Y0YRsW5pkRVqo/edit?usp=share_link"",""ปราจีนบุรี!J645"")+"&amp;"IMPORTRANGE(""https://docs.google.com/spreadsheets/d/1nNHCLO8ZAXOMfQvxux7cf_hrzPAh8FAvaHq_ClKbZNo/edit?usp=share_link"",""พระนครศรีอยุธยา!J645"")+IMPORTRANGE(""https://docs.google.com/spreadsheets/d/1CdNicvf3i6yt4tJlCePe3V1Va76wYqW0QzMzTsaGRrA/edit?usp=sh"&amp;"are_link"",""เพชรบุรี!J645"")+IMPORTRANGE(""https://docs.google.com/spreadsheets/d/1XiF77UIVHV0Kjc6xbXuOuJ10WgJYxd4p_22ngKVV5oM/edit?usp=share_link"",""ระยอง!J645"")+IMPORTRANGE(""https://docs.google.com/spreadsheets/d/1qU-W_9MCQD1pgIVXGEOjCFo9QqlmJywueby"&amp;"GgaN92r8/edit?usp=share_link"",""ราชบุรี!J645"")+IMPORTRANGE(""https://docs.google.com/spreadsheets/d/1xYFIxIM_CspAP5Q-5Zx_V0T_Ut3cjryrjd2hss28vGk/edit?usp=share_link"",""ลพบุรี!J645"")+IMPORTRANGE(""https://docs.google.com/spreadsheets/d/11s9m3tKsCBdPWq6"&amp;"syhZm27eBGbKneDLZc75co106bio/edit?usp=share_link"",""สระแก้ว!J645"")+IMPORTRANGE(""https://docs.google.com/spreadsheets/d/1Nn1EvsFPtXldgpgVb3Rcng2K2cls68LFQsBh2FyW0Bg/edit?usp=share_link"",""สระบุรี!J645"")+IMPORTRANGE(""https://docs.google.com/spreadshee"&amp;"ts/d/149xufxukrnEciK3WPbNpHwUK8BKEJxp3UcBG3Al6dA4/edit?usp=share_link"",""สิงห์บุรี!J645"")+IMPORTRANGE(""https://docs.google.com/spreadsheets/d/132g-zJpz2uMKimp17uOIx8A7o3w1Z25zwJyXnwsB56c/edit?usp=share_link"",""สุพรรณบุรี!J645"")+IMPORTRANGE(""https://"&amp;"docs.google.com/spreadsheets/d/12Q_U0nVnFdxDFwa0pej9xvx8ZvLC9Dpi_vRro_aiG5g/edit?usp=share_link"",""อ่างทอง!J645"")
"),178)</f>
        <v>178</v>
      </c>
      <c r="K645" s="163">
        <f t="shared" ca="1" si="309"/>
        <v>0</v>
      </c>
      <c r="L645" s="163"/>
      <c r="M645" s="163"/>
      <c r="N645" s="38"/>
      <c r="O645" s="163"/>
      <c r="P645" s="163"/>
      <c r="Q645" s="571"/>
      <c r="R645" s="571"/>
      <c r="S645" s="571"/>
      <c r="T645" s="571"/>
      <c r="U645" s="571"/>
      <c r="V645" s="571"/>
      <c r="W645" s="571"/>
      <c r="X645" s="571"/>
      <c r="Y645" s="571"/>
      <c r="Z645" s="571"/>
    </row>
    <row r="646" spans="1:26" ht="20.25" customHeight="1">
      <c r="A646" s="735"/>
      <c r="B646" s="568"/>
      <c r="C646" s="569"/>
      <c r="D646" s="612"/>
      <c r="E646" s="612"/>
      <c r="F646" s="612"/>
      <c r="G646" s="175"/>
      <c r="H646" s="182" t="s">
        <v>46</v>
      </c>
      <c r="I646" s="269">
        <v>0</v>
      </c>
      <c r="J646" s="37">
        <f ca="1">IFERROR(__xludf.DUMMYFUNCTION("IMPORTRANGE(""https://docs.google.com/spreadsheets/d/1hKO5uv94SSRZWOvrh72HRcpyoEQF9TsE_Cvxl77XNU4/edit?usp=share_link"",""กาญจนบุรี!J646"")+IMPORTRANGE(""https://docs.google.com/spreadsheets/d/1njBaP_xXd-Uotvo2D9zb01TTCFkLJLDK97Tk1l9Qux0/edit?usp=share_li"&amp;"nk"",""จันทบุรี!J646"")+IMPORTRANGE(""https://docs.google.com/spreadsheets/d/14xp6qUzrGFnUk_qnc1eEmfiaNRd4_grkhpfQH_46fa8/edit?usp=share_link"",""ฉะเชิงเทรา!J646"")+IMPORTRANGE(""https://docs.google.com/spreadsheets/d/1_Zwps30dlVa-pZFsorjVf1Pil6WXwzCsJU0U"&amp;"2whO3NI/edit?usp=share_link"",""ชลบุรี!J646"")+IMPORTRANGE(""https://docs.google.com/spreadsheets/d/1xAsT4sUbBlom7l0acStESh_15nvjZcXjZM7fK5uZSq8/edit?usp=share_link"",""ชัยนาท!J646"")+IMPORTRANGE(""https://docs.google.com/spreadsheets/d/1vWPVBOAaZ6mHSI8yf"&amp;"95DNqHwTJ1cpeFsvqt6cxV34QA/edit?usp=share_link"",""ตราด!J646"")+IMPORTRANGE(""https://docs.google.com/spreadsheets/d/1phaeSb9lTGgzDpbvVqI9hfmOQQzUom07-HEvpbARzEg/edit?usp=share_link"",""นครนายก!J646"")+IMPORTRANGE(""https://docs.google.com/spreadsheets/d/"&amp;"1tpwhWwkqkBeiSWCcfB5f2fbwPRbM9hHOEDSDHpl2MIc/edit?usp=share_link"",""นครปฐม!J646"")+IMPORTRANGE(""https://docs.google.com/spreadsheets/d/1fJJCVBkBnhriyv0Cp5ZFMr0I_yrfdEITNpb4zILJgUQ/edit?usp=share_link"",""ปทุมธานี!J646"")+IMPORTRANGE(""https://docs.googl"&amp;"e.com/spreadsheets/d/1W5Jj_S0gYw6wSO7QcMI02YgyOBDKYgmm0NSUk-AQEac/edit?usp=share_link"",""ประจวบคีรีขันธ์!J646"")+IMPORTRANGE(""https://docs.google.com/spreadsheets/d/1nYxRXgnCfTXtqUY1otYuTlnrzE0Tn-Y0YRsW5pkRVqo/edit?usp=share_link"",""ปราจีนบุรี!J646"")+"&amp;"IMPORTRANGE(""https://docs.google.com/spreadsheets/d/1nNHCLO8ZAXOMfQvxux7cf_hrzPAh8FAvaHq_ClKbZNo/edit?usp=share_link"",""พระนครศรีอยุธยา!J646"")+IMPORTRANGE(""https://docs.google.com/spreadsheets/d/1CdNicvf3i6yt4tJlCePe3V1Va76wYqW0QzMzTsaGRrA/edit?usp=sh"&amp;"are_link"",""เพชรบุรี!J646"")+IMPORTRANGE(""https://docs.google.com/spreadsheets/d/1XiF77UIVHV0Kjc6xbXuOuJ10WgJYxd4p_22ngKVV5oM/edit?usp=share_link"",""ระยอง!J646"")+IMPORTRANGE(""https://docs.google.com/spreadsheets/d/1qU-W_9MCQD1pgIVXGEOjCFo9QqlmJywueby"&amp;"GgaN92r8/edit?usp=share_link"",""ราชบุรี!J646"")+IMPORTRANGE(""https://docs.google.com/spreadsheets/d/1xYFIxIM_CspAP5Q-5Zx_V0T_Ut3cjryrjd2hss28vGk/edit?usp=share_link"",""ลพบุรี!J646"")+IMPORTRANGE(""https://docs.google.com/spreadsheets/d/11s9m3tKsCBdPWq6"&amp;"syhZm27eBGbKneDLZc75co106bio/edit?usp=share_link"",""สระแก้ว!J646"")+IMPORTRANGE(""https://docs.google.com/spreadsheets/d/1Nn1EvsFPtXldgpgVb3Rcng2K2cls68LFQsBh2FyW0Bg/edit?usp=share_link"",""สระบุรี!J646"")+IMPORTRANGE(""https://docs.google.com/spreadshee"&amp;"ts/d/149xufxukrnEciK3WPbNpHwUK8BKEJxp3UcBG3Al6dA4/edit?usp=share_link"",""สิงห์บุรี!J646"")+IMPORTRANGE(""https://docs.google.com/spreadsheets/d/132g-zJpz2uMKimp17uOIx8A7o3w1Z25zwJyXnwsB56c/edit?usp=share_link"",""สุพรรณบุรี!J646"")+IMPORTRANGE(""https://"&amp;"docs.google.com/spreadsheets/d/12Q_U0nVnFdxDFwa0pej9xvx8ZvLC9Dpi_vRro_aiG5g/edit?usp=share_link"",""อ่างทอง!J646"")
"),221.43)</f>
        <v>221.43</v>
      </c>
      <c r="K646" s="38">
        <f t="shared" si="309"/>
        <v>0</v>
      </c>
      <c r="L646" s="163"/>
      <c r="M646" s="163"/>
      <c r="N646" s="38"/>
      <c r="O646" s="163"/>
      <c r="P646" s="163"/>
      <c r="Q646" s="571"/>
      <c r="R646" s="571"/>
      <c r="S646" s="571"/>
      <c r="T646" s="571"/>
      <c r="U646" s="571"/>
      <c r="V646" s="571"/>
      <c r="W646" s="571"/>
      <c r="X646" s="571"/>
      <c r="Y646" s="571"/>
      <c r="Z646" s="571"/>
    </row>
    <row r="647" spans="1:26" ht="20.25" customHeight="1">
      <c r="A647" s="735"/>
      <c r="B647" s="568"/>
      <c r="C647" s="569"/>
      <c r="D647" s="612"/>
      <c r="E647" s="262" t="s">
        <v>162</v>
      </c>
      <c r="F647" s="612"/>
      <c r="G647" s="175"/>
      <c r="H647" s="182" t="s">
        <v>35</v>
      </c>
      <c r="I647" s="37">
        <f ca="1">IFERROR(__xludf.DUMMYFUNCTION("IMPORTRANGE(""https://docs.google.com/spreadsheets/d/1hKO5uv94SSRZWOvrh72HRcpyoEQF9TsE_Cvxl77XNU4/edit?usp=share_link"",""กาญจนบุรี!I647"")+IMPORTRANGE(""https://docs.google.com/spreadsheets/d/1njBaP_xXd-Uotvo2D9zb01TTCFkLJLDK97Tk1l9Qux0/edit?usp=share_li"&amp;"nk"",""จันทบุรี!I647"")+IMPORTRANGE(""https://docs.google.com/spreadsheets/d/14xp6qUzrGFnUk_qnc1eEmfiaNRd4_grkhpfQH_46fa8/edit?usp=share_link"",""ฉะเชิงเทรา!I647"")+IMPORTRANGE(""https://docs.google.com/spreadsheets/d/1_Zwps30dlVa-pZFsorjVf1Pil6WXwzCsJU0U"&amp;"2whO3NI/edit?usp=share_link"",""ชลบุรี!I647"")+IMPORTRANGE(""https://docs.google.com/spreadsheets/d/1xAsT4sUbBlom7l0acStESh_15nvjZcXjZM7fK5uZSq8/edit?usp=share_link"",""ชัยนาท!I647"")+IMPORTRANGE(""https://docs.google.com/spreadsheets/d/1vWPVBOAaZ6mHSI8yf"&amp;"95DNqHwTJ1cpeFsvqt6cxV34QA/edit?usp=share_link"",""ตราด!I647"")+IMPORTRANGE(""https://docs.google.com/spreadsheets/d/1phaeSb9lTGgzDpbvVqI9hfmOQQzUom07-HEvpbARzEg/edit?usp=share_link"",""นครนายก!I647"")+IMPORTRANGE(""https://docs.google.com/spreadsheets/d/"&amp;"1tpwhWwkqkBeiSWCcfB5f2fbwPRbM9hHOEDSDHpl2MIc/edit?usp=share_link"",""นครปฐม!I647"")+IMPORTRANGE(""https://docs.google.com/spreadsheets/d/1fJJCVBkBnhriyv0Cp5ZFMr0I_yrfdEITNpb4zILJgUQ/edit?usp=share_link"",""ปทุมธานี!I647"")+IMPORTRANGE(""https://docs.googl"&amp;"e.com/spreadsheets/d/1W5Jj_S0gYw6wSO7QcMI02YgyOBDKYgmm0NSUk-AQEac/edit?usp=share_link"",""ประจวบคีรีขันธ์!I647"")+IMPORTRANGE(""https://docs.google.com/spreadsheets/d/1nYxRXgnCfTXtqUY1otYuTlnrzE0Tn-Y0YRsW5pkRVqo/edit?usp=share_link"",""ปราจีนบุรี!I647"")+"&amp;"IMPORTRANGE(""https://docs.google.com/spreadsheets/d/1nNHCLO8ZAXOMfQvxux7cf_hrzPAh8FAvaHq_ClKbZNo/edit?usp=share_link"",""พระนครศรีอยุธยา!I647"")+IMPORTRANGE(""https://docs.google.com/spreadsheets/d/1CdNicvf3i6yt4tJlCePe3V1Va76wYqW0QzMzTsaGRrA/edit?usp=sh"&amp;"are_link"",""เพชรบุรี!I647"")+IMPORTRANGE(""https://docs.google.com/spreadsheets/d/1XiF77UIVHV0Kjc6xbXuOuJ10WgJYxd4p_22ngKVV5oM/edit?usp=share_link"",""ระยอง!I647"")+IMPORTRANGE(""https://docs.google.com/spreadsheets/d/1qU-W_9MCQD1pgIVXGEOjCFo9QqlmJywueby"&amp;"GgaN92r8/edit?usp=share_link"",""ราชบุรี!I647"")+IMPORTRANGE(""https://docs.google.com/spreadsheets/d/1xYFIxIM_CspAP5Q-5Zx_V0T_Ut3cjryrjd2hss28vGk/edit?usp=share_link"",""ลพบุรี!I647"")+IMPORTRANGE(""https://docs.google.com/spreadsheets/d/11s9m3tKsCBdPWq6"&amp;"syhZm27eBGbKneDLZc75co106bio/edit?usp=share_link"",""สระแก้ว!I647"")+IMPORTRANGE(""https://docs.google.com/spreadsheets/d/1Nn1EvsFPtXldgpgVb3Rcng2K2cls68LFQsBh2FyW0Bg/edit?usp=share_link"",""สระบุรี!I647"")+IMPORTRANGE(""https://docs.google.com/spreadshee"&amp;"ts/d/149xufxukrnEciK3WPbNpHwUK8BKEJxp3UcBG3Al6dA4/edit?usp=share_link"",""สิงห์บุรี!I647"")+IMPORTRANGE(""https://docs.google.com/spreadsheets/d/132g-zJpz2uMKimp17uOIx8A7o3w1Z25zwJyXnwsB56c/edit?usp=share_link"",""สุพรรณบุรี!I647"")+IMPORTRANGE(""https://"&amp;"docs.google.com/spreadsheets/d/12Q_U0nVnFdxDFwa0pej9xvx8ZvLC9Dpi_vRro_aiG5g/edit?usp=share_link"",""อ่างทอง!I647"")
"),1465)</f>
        <v>1465</v>
      </c>
      <c r="J647" s="37">
        <f ca="1">IFERROR(__xludf.DUMMYFUNCTION("IMPORTRANGE(""https://docs.google.com/spreadsheets/d/1hKO5uv94SSRZWOvrh72HRcpyoEQF9TsE_Cvxl77XNU4/edit?usp=share_link"",""กาญจนบุรี!J647"")+IMPORTRANGE(""https://docs.google.com/spreadsheets/d/1njBaP_xXd-Uotvo2D9zb01TTCFkLJLDK97Tk1l9Qux0/edit?usp=share_li"&amp;"nk"",""จันทบุรี!J647"")+IMPORTRANGE(""https://docs.google.com/spreadsheets/d/14xp6qUzrGFnUk_qnc1eEmfiaNRd4_grkhpfQH_46fa8/edit?usp=share_link"",""ฉะเชิงเทรา!J647"")+IMPORTRANGE(""https://docs.google.com/spreadsheets/d/1_Zwps30dlVa-pZFsorjVf1Pil6WXwzCsJU0U"&amp;"2whO3NI/edit?usp=share_link"",""ชลบุรี!J647"")+IMPORTRANGE(""https://docs.google.com/spreadsheets/d/1xAsT4sUbBlom7l0acStESh_15nvjZcXjZM7fK5uZSq8/edit?usp=share_link"",""ชัยนาท!J647"")+IMPORTRANGE(""https://docs.google.com/spreadsheets/d/1vWPVBOAaZ6mHSI8yf"&amp;"95DNqHwTJ1cpeFsvqt6cxV34QA/edit?usp=share_link"",""ตราด!J647"")+IMPORTRANGE(""https://docs.google.com/spreadsheets/d/1phaeSb9lTGgzDpbvVqI9hfmOQQzUom07-HEvpbARzEg/edit?usp=share_link"",""นครนายก!J647"")+IMPORTRANGE(""https://docs.google.com/spreadsheets/d/"&amp;"1tpwhWwkqkBeiSWCcfB5f2fbwPRbM9hHOEDSDHpl2MIc/edit?usp=share_link"",""นครปฐม!J647"")+IMPORTRANGE(""https://docs.google.com/spreadsheets/d/1fJJCVBkBnhriyv0Cp5ZFMr0I_yrfdEITNpb4zILJgUQ/edit?usp=share_link"",""ปทุมธานี!J647"")+IMPORTRANGE(""https://docs.googl"&amp;"e.com/spreadsheets/d/1W5Jj_S0gYw6wSO7QcMI02YgyOBDKYgmm0NSUk-AQEac/edit?usp=share_link"",""ประจวบคีรีขันธ์!J647"")+IMPORTRANGE(""https://docs.google.com/spreadsheets/d/1nYxRXgnCfTXtqUY1otYuTlnrzE0Tn-Y0YRsW5pkRVqo/edit?usp=share_link"",""ปราจีนบุรี!J647"")+"&amp;"IMPORTRANGE(""https://docs.google.com/spreadsheets/d/1nNHCLO8ZAXOMfQvxux7cf_hrzPAh8FAvaHq_ClKbZNo/edit?usp=share_link"",""พระนครศรีอยุธยา!J647"")+IMPORTRANGE(""https://docs.google.com/spreadsheets/d/1CdNicvf3i6yt4tJlCePe3V1Va76wYqW0QzMzTsaGRrA/edit?usp=sh"&amp;"are_link"",""เพชรบุรี!J647"")+IMPORTRANGE(""https://docs.google.com/spreadsheets/d/1XiF77UIVHV0Kjc6xbXuOuJ10WgJYxd4p_22ngKVV5oM/edit?usp=share_link"",""ระยอง!J647"")+IMPORTRANGE(""https://docs.google.com/spreadsheets/d/1qU-W_9MCQD1pgIVXGEOjCFo9QqlmJywueby"&amp;"GgaN92r8/edit?usp=share_link"",""ราชบุรี!J647"")+IMPORTRANGE(""https://docs.google.com/spreadsheets/d/1xYFIxIM_CspAP5Q-5Zx_V0T_Ut3cjryrjd2hss28vGk/edit?usp=share_link"",""ลพบุรี!J647"")+IMPORTRANGE(""https://docs.google.com/spreadsheets/d/11s9m3tKsCBdPWq6"&amp;"syhZm27eBGbKneDLZc75co106bio/edit?usp=share_link"",""สระแก้ว!J647"")+IMPORTRANGE(""https://docs.google.com/spreadsheets/d/1Nn1EvsFPtXldgpgVb3Rcng2K2cls68LFQsBh2FyW0Bg/edit?usp=share_link"",""สระบุรี!J647"")+IMPORTRANGE(""https://docs.google.com/spreadshee"&amp;"ts/d/149xufxukrnEciK3WPbNpHwUK8BKEJxp3UcBG3Al6dA4/edit?usp=share_link"",""สิงห์บุรี!J647"")+IMPORTRANGE(""https://docs.google.com/spreadsheets/d/132g-zJpz2uMKimp17uOIx8A7o3w1Z25zwJyXnwsB56c/edit?usp=share_link"",""สุพรรณบุรี!J647"")+IMPORTRANGE(""https://"&amp;"docs.google.com/spreadsheets/d/12Q_U0nVnFdxDFwa0pej9xvx8ZvLC9Dpi_vRro_aiG5g/edit?usp=share_link"",""อ่างทอง!J647"")
"),91)</f>
        <v>91</v>
      </c>
      <c r="K647" s="163">
        <f t="shared" ca="1" si="309"/>
        <v>6.21160409556314</v>
      </c>
      <c r="L647" s="163"/>
      <c r="M647" s="163"/>
      <c r="N647" s="163"/>
      <c r="O647" s="163"/>
      <c r="P647" s="163"/>
      <c r="Q647" s="571"/>
      <c r="R647" s="571"/>
      <c r="S647" s="571"/>
      <c r="T647" s="571"/>
      <c r="U647" s="571"/>
      <c r="V647" s="571"/>
      <c r="W647" s="571"/>
      <c r="X647" s="571"/>
      <c r="Y647" s="571"/>
      <c r="Z647" s="571"/>
    </row>
    <row r="648" spans="1:26" ht="20.25" customHeight="1">
      <c r="A648" s="735"/>
      <c r="B648" s="568"/>
      <c r="C648" s="569"/>
      <c r="D648" s="612"/>
      <c r="E648" s="612"/>
      <c r="F648" s="612"/>
      <c r="G648" s="175"/>
      <c r="H648" s="182" t="s">
        <v>46</v>
      </c>
      <c r="I648" s="269">
        <v>0</v>
      </c>
      <c r="J648" s="37">
        <f ca="1">IFERROR(__xludf.DUMMYFUNCTION("IMPORTRANGE(""https://docs.google.com/spreadsheets/d/1hKO5uv94SSRZWOvrh72HRcpyoEQF9TsE_Cvxl77XNU4/edit?usp=share_link"",""กาญจนบุรี!J648"")+IMPORTRANGE(""https://docs.google.com/spreadsheets/d/1njBaP_xXd-Uotvo2D9zb01TTCFkLJLDK97Tk1l9Qux0/edit?usp=share_li"&amp;"nk"",""จันทบุรี!J648"")+IMPORTRANGE(""https://docs.google.com/spreadsheets/d/14xp6qUzrGFnUk_qnc1eEmfiaNRd4_grkhpfQH_46fa8/edit?usp=share_link"",""ฉะเชิงเทรา!J648"")+IMPORTRANGE(""https://docs.google.com/spreadsheets/d/1_Zwps30dlVa-pZFsorjVf1Pil6WXwzCsJU0U"&amp;"2whO3NI/edit?usp=share_link"",""ชลบุรี!J648"")+IMPORTRANGE(""https://docs.google.com/spreadsheets/d/1xAsT4sUbBlom7l0acStESh_15nvjZcXjZM7fK5uZSq8/edit?usp=share_link"",""ชัยนาท!J648"")+IMPORTRANGE(""https://docs.google.com/spreadsheets/d/1vWPVBOAaZ6mHSI8yf"&amp;"95DNqHwTJ1cpeFsvqt6cxV34QA/edit?usp=share_link"",""ตราด!J648"")+IMPORTRANGE(""https://docs.google.com/spreadsheets/d/1phaeSb9lTGgzDpbvVqI9hfmOQQzUom07-HEvpbARzEg/edit?usp=share_link"",""นครนายก!J648"")+IMPORTRANGE(""https://docs.google.com/spreadsheets/d/"&amp;"1tpwhWwkqkBeiSWCcfB5f2fbwPRbM9hHOEDSDHpl2MIc/edit?usp=share_link"",""นครปฐม!J648"")+IMPORTRANGE(""https://docs.google.com/spreadsheets/d/1fJJCVBkBnhriyv0Cp5ZFMr0I_yrfdEITNpb4zILJgUQ/edit?usp=share_link"",""ปทุมธานี!J648"")+IMPORTRANGE(""https://docs.googl"&amp;"e.com/spreadsheets/d/1W5Jj_S0gYw6wSO7QcMI02YgyOBDKYgmm0NSUk-AQEac/edit?usp=share_link"",""ประจวบคีรีขันธ์!J648"")+IMPORTRANGE(""https://docs.google.com/spreadsheets/d/1nYxRXgnCfTXtqUY1otYuTlnrzE0Tn-Y0YRsW5pkRVqo/edit?usp=share_link"",""ปราจีนบุรี!J648"")+"&amp;"IMPORTRANGE(""https://docs.google.com/spreadsheets/d/1nNHCLO8ZAXOMfQvxux7cf_hrzPAh8FAvaHq_ClKbZNo/edit?usp=share_link"",""พระนครศรีอยุธยา!J648"")+IMPORTRANGE(""https://docs.google.com/spreadsheets/d/1CdNicvf3i6yt4tJlCePe3V1Va76wYqW0QzMzTsaGRrA/edit?usp=sh"&amp;"are_link"",""เพชรบุรี!J648"")+IMPORTRANGE(""https://docs.google.com/spreadsheets/d/1XiF77UIVHV0Kjc6xbXuOuJ10WgJYxd4p_22ngKVV5oM/edit?usp=share_link"",""ระยอง!J648"")+IMPORTRANGE(""https://docs.google.com/spreadsheets/d/1qU-W_9MCQD1pgIVXGEOjCFo9QqlmJywueby"&amp;"GgaN92r8/edit?usp=share_link"",""ราชบุรี!J648"")+IMPORTRANGE(""https://docs.google.com/spreadsheets/d/1xYFIxIM_CspAP5Q-5Zx_V0T_Ut3cjryrjd2hss28vGk/edit?usp=share_link"",""ลพบุรี!J648"")+IMPORTRANGE(""https://docs.google.com/spreadsheets/d/11s9m3tKsCBdPWq6"&amp;"syhZm27eBGbKneDLZc75co106bio/edit?usp=share_link"",""สระแก้ว!J648"")+IMPORTRANGE(""https://docs.google.com/spreadsheets/d/1Nn1EvsFPtXldgpgVb3Rcng2K2cls68LFQsBh2FyW0Bg/edit?usp=share_link"",""สระบุรี!J648"")+IMPORTRANGE(""https://docs.google.com/spreadshee"&amp;"ts/d/149xufxukrnEciK3WPbNpHwUK8BKEJxp3UcBG3Al6dA4/edit?usp=share_link"",""สิงห์บุรี!J648"")+IMPORTRANGE(""https://docs.google.com/spreadsheets/d/132g-zJpz2uMKimp17uOIx8A7o3w1Z25zwJyXnwsB56c/edit?usp=share_link"",""สุพรรณบุรี!J648"")+IMPORTRANGE(""https://"&amp;"docs.google.com/spreadsheets/d/12Q_U0nVnFdxDFwa0pej9xvx8ZvLC9Dpi_vRro_aiG5g/edit?usp=share_link"",""อ่างทอง!J648"")
"),101.57)</f>
        <v>101.57</v>
      </c>
      <c r="K648" s="38">
        <f t="shared" si="309"/>
        <v>0</v>
      </c>
      <c r="L648" s="163"/>
      <c r="M648" s="163"/>
      <c r="N648" s="163"/>
      <c r="O648" s="163"/>
      <c r="P648" s="163"/>
      <c r="Q648" s="571"/>
      <c r="R648" s="571"/>
      <c r="S648" s="571"/>
      <c r="T648" s="571"/>
      <c r="U648" s="571"/>
      <c r="V648" s="571"/>
      <c r="W648" s="571"/>
      <c r="X648" s="571"/>
      <c r="Y648" s="571"/>
      <c r="Z648" s="571"/>
    </row>
    <row r="649" spans="1:26" ht="20.25" customHeight="1">
      <c r="A649" s="735"/>
      <c r="B649" s="568"/>
      <c r="C649" s="569"/>
      <c r="D649" s="612"/>
      <c r="E649" s="262" t="s">
        <v>276</v>
      </c>
      <c r="F649" s="612"/>
      <c r="G649" s="175"/>
      <c r="H649" s="182" t="s">
        <v>35</v>
      </c>
      <c r="I649" s="37">
        <f ca="1">IFERROR(__xludf.DUMMYFUNCTION("IMPORTRANGE(""https://docs.google.com/spreadsheets/d/1hKO5uv94SSRZWOvrh72HRcpyoEQF9TsE_Cvxl77XNU4/edit?usp=share_link"",""กาญจนบุรี!I649"")+IMPORTRANGE(""https://docs.google.com/spreadsheets/d/1njBaP_xXd-Uotvo2D9zb01TTCFkLJLDK97Tk1l9Qux0/edit?usp=share_li"&amp;"nk"",""จันทบุรี!I649"")+IMPORTRANGE(""https://docs.google.com/spreadsheets/d/14xp6qUzrGFnUk_qnc1eEmfiaNRd4_grkhpfQH_46fa8/edit?usp=share_link"",""ฉะเชิงเทรา!I649"")+IMPORTRANGE(""https://docs.google.com/spreadsheets/d/1_Zwps30dlVa-pZFsorjVf1Pil6WXwzCsJU0U"&amp;"2whO3NI/edit?usp=share_link"",""ชลบุรี!I649"")+IMPORTRANGE(""https://docs.google.com/spreadsheets/d/1xAsT4sUbBlom7l0acStESh_15nvjZcXjZM7fK5uZSq8/edit?usp=share_link"",""ชัยนาท!I649"")+IMPORTRANGE(""https://docs.google.com/spreadsheets/d/1vWPVBOAaZ6mHSI8yf"&amp;"95DNqHwTJ1cpeFsvqt6cxV34QA/edit?usp=share_link"",""ตราด!I649"")+IMPORTRANGE(""https://docs.google.com/spreadsheets/d/1phaeSb9lTGgzDpbvVqI9hfmOQQzUom07-HEvpbARzEg/edit?usp=share_link"",""นครนายก!I649"")+IMPORTRANGE(""https://docs.google.com/spreadsheets/d/"&amp;"1tpwhWwkqkBeiSWCcfB5f2fbwPRbM9hHOEDSDHpl2MIc/edit?usp=share_link"",""นครปฐม!I649"")+IMPORTRANGE(""https://docs.google.com/spreadsheets/d/1fJJCVBkBnhriyv0Cp5ZFMr0I_yrfdEITNpb4zILJgUQ/edit?usp=share_link"",""ปทุมธานี!I649"")+IMPORTRANGE(""https://docs.googl"&amp;"e.com/spreadsheets/d/1W5Jj_S0gYw6wSO7QcMI02YgyOBDKYgmm0NSUk-AQEac/edit?usp=share_link"",""ประจวบคีรีขันธ์!I649"")+IMPORTRANGE(""https://docs.google.com/spreadsheets/d/1nYxRXgnCfTXtqUY1otYuTlnrzE0Tn-Y0YRsW5pkRVqo/edit?usp=share_link"",""ปราจีนบุรี!I649"")+"&amp;"IMPORTRANGE(""https://docs.google.com/spreadsheets/d/1nNHCLO8ZAXOMfQvxux7cf_hrzPAh8FAvaHq_ClKbZNo/edit?usp=share_link"",""พระนครศรีอยุธยา!I649"")+IMPORTRANGE(""https://docs.google.com/spreadsheets/d/1CdNicvf3i6yt4tJlCePe3V1Va76wYqW0QzMzTsaGRrA/edit?usp=sh"&amp;"are_link"",""เพชรบุรี!I649"")+IMPORTRANGE(""https://docs.google.com/spreadsheets/d/1XiF77UIVHV0Kjc6xbXuOuJ10WgJYxd4p_22ngKVV5oM/edit?usp=share_link"",""ระยอง!I649"")+IMPORTRANGE(""https://docs.google.com/spreadsheets/d/1qU-W_9MCQD1pgIVXGEOjCFo9QqlmJywueby"&amp;"GgaN92r8/edit?usp=share_link"",""ราชบุรี!I649"")+IMPORTRANGE(""https://docs.google.com/spreadsheets/d/1xYFIxIM_CspAP5Q-5Zx_V0T_Ut3cjryrjd2hss28vGk/edit?usp=share_link"",""ลพบุรี!I649"")+IMPORTRANGE(""https://docs.google.com/spreadsheets/d/11s9m3tKsCBdPWq6"&amp;"syhZm27eBGbKneDLZc75co106bio/edit?usp=share_link"",""สระแก้ว!I649"")+IMPORTRANGE(""https://docs.google.com/spreadsheets/d/1Nn1EvsFPtXldgpgVb3Rcng2K2cls68LFQsBh2FyW0Bg/edit?usp=share_link"",""สระบุรี!I649"")+IMPORTRANGE(""https://docs.google.com/spreadshee"&amp;"ts/d/149xufxukrnEciK3WPbNpHwUK8BKEJxp3UcBG3Al6dA4/edit?usp=share_link"",""สิงห์บุรี!I649"")+IMPORTRANGE(""https://docs.google.com/spreadsheets/d/132g-zJpz2uMKimp17uOIx8A7o3w1Z25zwJyXnwsB56c/edit?usp=share_link"",""สุพรรณบุรี!I649"")+IMPORTRANGE(""https://"&amp;"docs.google.com/spreadsheets/d/12Q_U0nVnFdxDFwa0pej9xvx8ZvLC9Dpi_vRro_aiG5g/edit?usp=share_link"",""อ่างทอง!I649"")
"),1465)</f>
        <v>1465</v>
      </c>
      <c r="J649" s="37">
        <f ca="1">IFERROR(__xludf.DUMMYFUNCTION("IMPORTRANGE(""https://docs.google.com/spreadsheets/d/1hKO5uv94SSRZWOvrh72HRcpyoEQF9TsE_Cvxl77XNU4/edit?usp=share_link"",""กาญจนบุรี!J649"")+IMPORTRANGE(""https://docs.google.com/spreadsheets/d/1njBaP_xXd-Uotvo2D9zb01TTCFkLJLDK97Tk1l9Qux0/edit?usp=share_li"&amp;"nk"",""จันทบุรี!J649"")+IMPORTRANGE(""https://docs.google.com/spreadsheets/d/14xp6qUzrGFnUk_qnc1eEmfiaNRd4_grkhpfQH_46fa8/edit?usp=share_link"",""ฉะเชิงเทรา!J649"")+IMPORTRANGE(""https://docs.google.com/spreadsheets/d/1_Zwps30dlVa-pZFsorjVf1Pil6WXwzCsJU0U"&amp;"2whO3NI/edit?usp=share_link"",""ชลบุรี!J649"")+IMPORTRANGE(""https://docs.google.com/spreadsheets/d/1xAsT4sUbBlom7l0acStESh_15nvjZcXjZM7fK5uZSq8/edit?usp=share_link"",""ชัยนาท!J649"")+IMPORTRANGE(""https://docs.google.com/spreadsheets/d/1vWPVBOAaZ6mHSI8yf"&amp;"95DNqHwTJ1cpeFsvqt6cxV34QA/edit?usp=share_link"",""ตราด!J649"")+IMPORTRANGE(""https://docs.google.com/spreadsheets/d/1phaeSb9lTGgzDpbvVqI9hfmOQQzUom07-HEvpbARzEg/edit?usp=share_link"",""นครนายก!J649"")+IMPORTRANGE(""https://docs.google.com/spreadsheets/d/"&amp;"1tpwhWwkqkBeiSWCcfB5f2fbwPRbM9hHOEDSDHpl2MIc/edit?usp=share_link"",""นครปฐม!J649"")+IMPORTRANGE(""https://docs.google.com/spreadsheets/d/1fJJCVBkBnhriyv0Cp5ZFMr0I_yrfdEITNpb4zILJgUQ/edit?usp=share_link"",""ปทุมธานี!J649"")+IMPORTRANGE(""https://docs.googl"&amp;"e.com/spreadsheets/d/1W5Jj_S0gYw6wSO7QcMI02YgyOBDKYgmm0NSUk-AQEac/edit?usp=share_link"",""ประจวบคีรีขันธ์!J649"")+IMPORTRANGE(""https://docs.google.com/spreadsheets/d/1nYxRXgnCfTXtqUY1otYuTlnrzE0Tn-Y0YRsW5pkRVqo/edit?usp=share_link"",""ปราจีนบุรี!J649"")+"&amp;"IMPORTRANGE(""https://docs.google.com/spreadsheets/d/1nNHCLO8ZAXOMfQvxux7cf_hrzPAh8FAvaHq_ClKbZNo/edit?usp=share_link"",""พระนครศรีอยุธยา!J649"")+IMPORTRANGE(""https://docs.google.com/spreadsheets/d/1CdNicvf3i6yt4tJlCePe3V1Va76wYqW0QzMzTsaGRrA/edit?usp=sh"&amp;"are_link"",""เพชรบุรี!J649"")+IMPORTRANGE(""https://docs.google.com/spreadsheets/d/1XiF77UIVHV0Kjc6xbXuOuJ10WgJYxd4p_22ngKVV5oM/edit?usp=share_link"",""ระยอง!J649"")+IMPORTRANGE(""https://docs.google.com/spreadsheets/d/1qU-W_9MCQD1pgIVXGEOjCFo9QqlmJywueby"&amp;"GgaN92r8/edit?usp=share_link"",""ราชบุรี!J649"")+IMPORTRANGE(""https://docs.google.com/spreadsheets/d/1xYFIxIM_CspAP5Q-5Zx_V0T_Ut3cjryrjd2hss28vGk/edit?usp=share_link"",""ลพบุรี!J649"")+IMPORTRANGE(""https://docs.google.com/spreadsheets/d/11s9m3tKsCBdPWq6"&amp;"syhZm27eBGbKneDLZc75co106bio/edit?usp=share_link"",""สระแก้ว!J649"")+IMPORTRANGE(""https://docs.google.com/spreadsheets/d/1Nn1EvsFPtXldgpgVb3Rcng2K2cls68LFQsBh2FyW0Bg/edit?usp=share_link"",""สระบุรี!J649"")+IMPORTRANGE(""https://docs.google.com/spreadshee"&amp;"ts/d/149xufxukrnEciK3WPbNpHwUK8BKEJxp3UcBG3Al6dA4/edit?usp=share_link"",""สิงห์บุรี!J649"")+IMPORTRANGE(""https://docs.google.com/spreadsheets/d/132g-zJpz2uMKimp17uOIx8A7o3w1Z25zwJyXnwsB56c/edit?usp=share_link"",""สุพรรณบุรี!J649"")+IMPORTRANGE(""https://"&amp;"docs.google.com/spreadsheets/d/12Q_U0nVnFdxDFwa0pej9xvx8ZvLC9Dpi_vRro_aiG5g/edit?usp=share_link"",""อ่างทอง!J649"")
"),0)</f>
        <v>0</v>
      </c>
      <c r="K649" s="163">
        <f t="shared" ca="1" si="309"/>
        <v>0</v>
      </c>
      <c r="L649" s="163"/>
      <c r="M649" s="163"/>
      <c r="N649" s="163"/>
      <c r="O649" s="163"/>
      <c r="P649" s="163"/>
      <c r="Q649" s="571"/>
      <c r="R649" s="571"/>
      <c r="S649" s="571"/>
      <c r="T649" s="571"/>
      <c r="U649" s="571"/>
      <c r="V649" s="571"/>
      <c r="W649" s="571"/>
      <c r="X649" s="571"/>
      <c r="Y649" s="571"/>
      <c r="Z649" s="571"/>
    </row>
    <row r="650" spans="1:26" ht="20.25" customHeight="1">
      <c r="A650" s="735"/>
      <c r="B650" s="568"/>
      <c r="C650" s="569"/>
      <c r="D650" s="612"/>
      <c r="E650" s="612"/>
      <c r="F650" s="612"/>
      <c r="G650" s="175"/>
      <c r="H650" s="182" t="s">
        <v>46</v>
      </c>
      <c r="I650" s="269">
        <v>0</v>
      </c>
      <c r="J650" s="37">
        <f ca="1">IFERROR(__xludf.DUMMYFUNCTION("IMPORTRANGE(""https://docs.google.com/spreadsheets/d/1hKO5uv94SSRZWOvrh72HRcpyoEQF9TsE_Cvxl77XNU4/edit?usp=share_link"",""กาญจนบุรี!J650"")+IMPORTRANGE(""https://docs.google.com/spreadsheets/d/1njBaP_xXd-Uotvo2D9zb01TTCFkLJLDK97Tk1l9Qux0/edit?usp=share_li"&amp;"nk"",""จันทบุรี!J650"")+IMPORTRANGE(""https://docs.google.com/spreadsheets/d/14xp6qUzrGFnUk_qnc1eEmfiaNRd4_grkhpfQH_46fa8/edit?usp=share_link"",""ฉะเชิงเทรา!J650"")+IMPORTRANGE(""https://docs.google.com/spreadsheets/d/1_Zwps30dlVa-pZFsorjVf1Pil6WXwzCsJU0U"&amp;"2whO3NI/edit?usp=share_link"",""ชลบุรี!J650"")+IMPORTRANGE(""https://docs.google.com/spreadsheets/d/1xAsT4sUbBlom7l0acStESh_15nvjZcXjZM7fK5uZSq8/edit?usp=share_link"",""ชัยนาท!J650"")+IMPORTRANGE(""https://docs.google.com/spreadsheets/d/1vWPVBOAaZ6mHSI8yf"&amp;"95DNqHwTJ1cpeFsvqt6cxV34QA/edit?usp=share_link"",""ตราด!J650"")+IMPORTRANGE(""https://docs.google.com/spreadsheets/d/1phaeSb9lTGgzDpbvVqI9hfmOQQzUom07-HEvpbARzEg/edit?usp=share_link"",""นครนายก!J650"")+IMPORTRANGE(""https://docs.google.com/spreadsheets/d/"&amp;"1tpwhWwkqkBeiSWCcfB5f2fbwPRbM9hHOEDSDHpl2MIc/edit?usp=share_link"",""นครปฐม!J650"")+IMPORTRANGE(""https://docs.google.com/spreadsheets/d/1fJJCVBkBnhriyv0Cp5ZFMr0I_yrfdEITNpb4zILJgUQ/edit?usp=share_link"",""ปทุมธานี!J650"")+IMPORTRANGE(""https://docs.googl"&amp;"e.com/spreadsheets/d/1W5Jj_S0gYw6wSO7QcMI02YgyOBDKYgmm0NSUk-AQEac/edit?usp=share_link"",""ประจวบคีรีขันธ์!J650"")+IMPORTRANGE(""https://docs.google.com/spreadsheets/d/1nYxRXgnCfTXtqUY1otYuTlnrzE0Tn-Y0YRsW5pkRVqo/edit?usp=share_link"",""ปราจีนบุรี!J650"")+"&amp;"IMPORTRANGE(""https://docs.google.com/spreadsheets/d/1nNHCLO8ZAXOMfQvxux7cf_hrzPAh8FAvaHq_ClKbZNo/edit?usp=share_link"",""พระนครศรีอยุธยา!J650"")+IMPORTRANGE(""https://docs.google.com/spreadsheets/d/1CdNicvf3i6yt4tJlCePe3V1Va76wYqW0QzMzTsaGRrA/edit?usp=sh"&amp;"are_link"",""เพชรบุรี!J650"")+IMPORTRANGE(""https://docs.google.com/spreadsheets/d/1XiF77UIVHV0Kjc6xbXuOuJ10WgJYxd4p_22ngKVV5oM/edit?usp=share_link"",""ระยอง!J650"")+IMPORTRANGE(""https://docs.google.com/spreadsheets/d/1qU-W_9MCQD1pgIVXGEOjCFo9QqlmJywueby"&amp;"GgaN92r8/edit?usp=share_link"",""ราชบุรี!J650"")+IMPORTRANGE(""https://docs.google.com/spreadsheets/d/1xYFIxIM_CspAP5Q-5Zx_V0T_Ut3cjryrjd2hss28vGk/edit?usp=share_link"",""ลพบุรี!J650"")+IMPORTRANGE(""https://docs.google.com/spreadsheets/d/11s9m3tKsCBdPWq6"&amp;"syhZm27eBGbKneDLZc75co106bio/edit?usp=share_link"",""สระแก้ว!J650"")+IMPORTRANGE(""https://docs.google.com/spreadsheets/d/1Nn1EvsFPtXldgpgVb3Rcng2K2cls68LFQsBh2FyW0Bg/edit?usp=share_link"",""สระบุรี!J650"")+IMPORTRANGE(""https://docs.google.com/spreadshee"&amp;"ts/d/149xufxukrnEciK3WPbNpHwUK8BKEJxp3UcBG3Al6dA4/edit?usp=share_link"",""สิงห์บุรี!J650"")+IMPORTRANGE(""https://docs.google.com/spreadsheets/d/132g-zJpz2uMKimp17uOIx8A7o3w1Z25zwJyXnwsB56c/edit?usp=share_link"",""สุพรรณบุรี!J650"")+IMPORTRANGE(""https://"&amp;"docs.google.com/spreadsheets/d/12Q_U0nVnFdxDFwa0pej9xvx8ZvLC9Dpi_vRro_aiG5g/edit?usp=share_link"",""อ่างทอง!J650"")
"),0)</f>
        <v>0</v>
      </c>
      <c r="K650" s="38">
        <f t="shared" si="309"/>
        <v>0</v>
      </c>
      <c r="L650" s="163"/>
      <c r="M650" s="163"/>
      <c r="N650" s="163"/>
      <c r="O650" s="163"/>
      <c r="P650" s="163"/>
      <c r="Q650" s="571"/>
      <c r="R650" s="571"/>
      <c r="S650" s="571"/>
      <c r="T650" s="571"/>
      <c r="U650" s="571"/>
      <c r="V650" s="571"/>
      <c r="W650" s="571"/>
      <c r="X650" s="571"/>
      <c r="Y650" s="571"/>
      <c r="Z650" s="571"/>
    </row>
    <row r="651" spans="1:26" ht="20.25" customHeight="1">
      <c r="A651" s="735"/>
      <c r="B651" s="568"/>
      <c r="C651" s="569"/>
      <c r="D651" s="612"/>
      <c r="E651" s="262" t="s">
        <v>277</v>
      </c>
      <c r="F651" s="612"/>
      <c r="G651" s="175"/>
      <c r="H651" s="182" t="s">
        <v>35</v>
      </c>
      <c r="I651" s="37">
        <f ca="1">IFERROR(__xludf.DUMMYFUNCTION("IMPORTRANGE(""https://docs.google.com/spreadsheets/d/1hKO5uv94SSRZWOvrh72HRcpyoEQF9TsE_Cvxl77XNU4/edit?usp=share_link"",""กาญจนบุรี!I651"")+IMPORTRANGE(""https://docs.google.com/spreadsheets/d/1njBaP_xXd-Uotvo2D9zb01TTCFkLJLDK97Tk1l9Qux0/edit?usp=share_li"&amp;"nk"",""จันทบุรี!I651"")+IMPORTRANGE(""https://docs.google.com/spreadsheets/d/14xp6qUzrGFnUk_qnc1eEmfiaNRd4_grkhpfQH_46fa8/edit?usp=share_link"",""ฉะเชิงเทรา!I651"")+IMPORTRANGE(""https://docs.google.com/spreadsheets/d/1_Zwps30dlVa-pZFsorjVf1Pil6WXwzCsJU0U"&amp;"2whO3NI/edit?usp=share_link"",""ชลบุรี!I651"")+IMPORTRANGE(""https://docs.google.com/spreadsheets/d/1xAsT4sUbBlom7l0acStESh_15nvjZcXjZM7fK5uZSq8/edit?usp=share_link"",""ชัยนาท!I651"")+IMPORTRANGE(""https://docs.google.com/spreadsheets/d/1vWPVBOAaZ6mHSI8yf"&amp;"95DNqHwTJ1cpeFsvqt6cxV34QA/edit?usp=share_link"",""ตราด!I651"")+IMPORTRANGE(""https://docs.google.com/spreadsheets/d/1phaeSb9lTGgzDpbvVqI9hfmOQQzUom07-HEvpbARzEg/edit?usp=share_link"",""นครนายก!I651"")+IMPORTRANGE(""https://docs.google.com/spreadsheets/d/"&amp;"1tpwhWwkqkBeiSWCcfB5f2fbwPRbM9hHOEDSDHpl2MIc/edit?usp=share_link"",""นครปฐม!I651"")+IMPORTRANGE(""https://docs.google.com/spreadsheets/d/1fJJCVBkBnhriyv0Cp5ZFMr0I_yrfdEITNpb4zILJgUQ/edit?usp=share_link"",""ปทุมธานี!I651"")+IMPORTRANGE(""https://docs.googl"&amp;"e.com/spreadsheets/d/1W5Jj_S0gYw6wSO7QcMI02YgyOBDKYgmm0NSUk-AQEac/edit?usp=share_link"",""ประจวบคีรีขันธ์!I651"")+IMPORTRANGE(""https://docs.google.com/spreadsheets/d/1nYxRXgnCfTXtqUY1otYuTlnrzE0Tn-Y0YRsW5pkRVqo/edit?usp=share_link"",""ปราจีนบุรี!I651"")+"&amp;"IMPORTRANGE(""https://docs.google.com/spreadsheets/d/1nNHCLO8ZAXOMfQvxux7cf_hrzPAh8FAvaHq_ClKbZNo/edit?usp=share_link"",""พระนครศรีอยุธยา!I651"")+IMPORTRANGE(""https://docs.google.com/spreadsheets/d/1CdNicvf3i6yt4tJlCePe3V1Va76wYqW0QzMzTsaGRrA/edit?usp=sh"&amp;"are_link"",""เพชรบุรี!I651"")+IMPORTRANGE(""https://docs.google.com/spreadsheets/d/1XiF77UIVHV0Kjc6xbXuOuJ10WgJYxd4p_22ngKVV5oM/edit?usp=share_link"",""ระยอง!I651"")+IMPORTRANGE(""https://docs.google.com/spreadsheets/d/1qU-W_9MCQD1pgIVXGEOjCFo9QqlmJywueby"&amp;"GgaN92r8/edit?usp=share_link"",""ราชบุรี!I651"")+IMPORTRANGE(""https://docs.google.com/spreadsheets/d/1xYFIxIM_CspAP5Q-5Zx_V0T_Ut3cjryrjd2hss28vGk/edit?usp=share_link"",""ลพบุรี!I651"")+IMPORTRANGE(""https://docs.google.com/spreadsheets/d/11s9m3tKsCBdPWq6"&amp;"syhZm27eBGbKneDLZc75co106bio/edit?usp=share_link"",""สระแก้ว!I651"")+IMPORTRANGE(""https://docs.google.com/spreadsheets/d/1Nn1EvsFPtXldgpgVb3Rcng2K2cls68LFQsBh2FyW0Bg/edit?usp=share_link"",""สระบุรี!I651"")+IMPORTRANGE(""https://docs.google.com/spreadshee"&amp;"ts/d/149xufxukrnEciK3WPbNpHwUK8BKEJxp3UcBG3Al6dA4/edit?usp=share_link"",""สิงห์บุรี!I651"")+IMPORTRANGE(""https://docs.google.com/spreadsheets/d/132g-zJpz2uMKimp17uOIx8A7o3w1Z25zwJyXnwsB56c/edit?usp=share_link"",""สุพรรณบุรี!I651"")+IMPORTRANGE(""https://"&amp;"docs.google.com/spreadsheets/d/12Q_U0nVnFdxDFwa0pej9xvx8ZvLC9Dpi_vRro_aiG5g/edit?usp=share_link"",""อ่างทอง!I651"")
"),1465)</f>
        <v>1465</v>
      </c>
      <c r="J651" s="37">
        <f ca="1">IFERROR(__xludf.DUMMYFUNCTION("IMPORTRANGE(""https://docs.google.com/spreadsheets/d/1hKO5uv94SSRZWOvrh72HRcpyoEQF9TsE_Cvxl77XNU4/edit?usp=share_link"",""กาญจนบุรี!J651"")+IMPORTRANGE(""https://docs.google.com/spreadsheets/d/1njBaP_xXd-Uotvo2D9zb01TTCFkLJLDK97Tk1l9Qux0/edit?usp=share_li"&amp;"nk"",""จันทบุรี!J651"")+IMPORTRANGE(""https://docs.google.com/spreadsheets/d/14xp6qUzrGFnUk_qnc1eEmfiaNRd4_grkhpfQH_46fa8/edit?usp=share_link"",""ฉะเชิงเทรา!J651"")+IMPORTRANGE(""https://docs.google.com/spreadsheets/d/1_Zwps30dlVa-pZFsorjVf1Pil6WXwzCsJU0U"&amp;"2whO3NI/edit?usp=share_link"",""ชลบุรี!J651"")+IMPORTRANGE(""https://docs.google.com/spreadsheets/d/1xAsT4sUbBlom7l0acStESh_15nvjZcXjZM7fK5uZSq8/edit?usp=share_link"",""ชัยนาท!J651"")+IMPORTRANGE(""https://docs.google.com/spreadsheets/d/1vWPVBOAaZ6mHSI8yf"&amp;"95DNqHwTJ1cpeFsvqt6cxV34QA/edit?usp=share_link"",""ตราด!J651"")+IMPORTRANGE(""https://docs.google.com/spreadsheets/d/1phaeSb9lTGgzDpbvVqI9hfmOQQzUom07-HEvpbARzEg/edit?usp=share_link"",""นครนายก!J651"")+IMPORTRANGE(""https://docs.google.com/spreadsheets/d/"&amp;"1tpwhWwkqkBeiSWCcfB5f2fbwPRbM9hHOEDSDHpl2MIc/edit?usp=share_link"",""นครปฐม!J651"")+IMPORTRANGE(""https://docs.google.com/spreadsheets/d/1fJJCVBkBnhriyv0Cp5ZFMr0I_yrfdEITNpb4zILJgUQ/edit?usp=share_link"",""ปทุมธานี!J651"")+IMPORTRANGE(""https://docs.googl"&amp;"e.com/spreadsheets/d/1W5Jj_S0gYw6wSO7QcMI02YgyOBDKYgmm0NSUk-AQEac/edit?usp=share_link"",""ประจวบคีรีขันธ์!J651"")+IMPORTRANGE(""https://docs.google.com/spreadsheets/d/1nYxRXgnCfTXtqUY1otYuTlnrzE0Tn-Y0YRsW5pkRVqo/edit?usp=share_link"",""ปราจีนบุรี!J651"")+"&amp;"IMPORTRANGE(""https://docs.google.com/spreadsheets/d/1nNHCLO8ZAXOMfQvxux7cf_hrzPAh8FAvaHq_ClKbZNo/edit?usp=share_link"",""พระนครศรีอยุธยา!J651"")+IMPORTRANGE(""https://docs.google.com/spreadsheets/d/1CdNicvf3i6yt4tJlCePe3V1Va76wYqW0QzMzTsaGRrA/edit?usp=sh"&amp;"are_link"",""เพชรบุรี!J651"")+IMPORTRANGE(""https://docs.google.com/spreadsheets/d/1XiF77UIVHV0Kjc6xbXuOuJ10WgJYxd4p_22ngKVV5oM/edit?usp=share_link"",""ระยอง!J651"")+IMPORTRANGE(""https://docs.google.com/spreadsheets/d/1qU-W_9MCQD1pgIVXGEOjCFo9QqlmJywueby"&amp;"GgaN92r8/edit?usp=share_link"",""ราชบุรี!J651"")+IMPORTRANGE(""https://docs.google.com/spreadsheets/d/1xYFIxIM_CspAP5Q-5Zx_V0T_Ut3cjryrjd2hss28vGk/edit?usp=share_link"",""ลพบุรี!J651"")+IMPORTRANGE(""https://docs.google.com/spreadsheets/d/11s9m3tKsCBdPWq6"&amp;"syhZm27eBGbKneDLZc75co106bio/edit?usp=share_link"",""สระแก้ว!J651"")+IMPORTRANGE(""https://docs.google.com/spreadsheets/d/1Nn1EvsFPtXldgpgVb3Rcng2K2cls68LFQsBh2FyW0Bg/edit?usp=share_link"",""สระบุรี!J651"")+IMPORTRANGE(""https://docs.google.com/spreadshee"&amp;"ts/d/149xufxukrnEciK3WPbNpHwUK8BKEJxp3UcBG3Al6dA4/edit?usp=share_link"",""สิงห์บุรี!J651"")+IMPORTRANGE(""https://docs.google.com/spreadsheets/d/132g-zJpz2uMKimp17uOIx8A7o3w1Z25zwJyXnwsB56c/edit?usp=share_link"",""สุพรรณบุรี!J651"")+IMPORTRANGE(""https://"&amp;"docs.google.com/spreadsheets/d/12Q_U0nVnFdxDFwa0pej9xvx8ZvLC9Dpi_vRro_aiG5g/edit?usp=share_link"",""อ่างทอง!J651"")
"),0)</f>
        <v>0</v>
      </c>
      <c r="K651" s="163">
        <f t="shared" ca="1" si="309"/>
        <v>0</v>
      </c>
      <c r="L651" s="163"/>
      <c r="M651" s="163"/>
      <c r="N651" s="163"/>
      <c r="O651" s="163"/>
      <c r="P651" s="163"/>
      <c r="Q651" s="571"/>
      <c r="R651" s="571"/>
      <c r="S651" s="571"/>
      <c r="T651" s="571"/>
      <c r="U651" s="571"/>
      <c r="V651" s="571"/>
      <c r="W651" s="571"/>
      <c r="X651" s="571"/>
      <c r="Y651" s="571"/>
      <c r="Z651" s="571"/>
    </row>
    <row r="652" spans="1:26" ht="20.25" customHeight="1">
      <c r="A652" s="738"/>
      <c r="B652" s="739"/>
      <c r="C652" s="740"/>
      <c r="D652" s="725"/>
      <c r="E652" s="725"/>
      <c r="F652" s="725"/>
      <c r="G652" s="726"/>
      <c r="H652" s="498" t="s">
        <v>46</v>
      </c>
      <c r="I652" s="382">
        <v>0</v>
      </c>
      <c r="J652" s="499">
        <f ca="1">IFERROR(__xludf.DUMMYFUNCTION("IMPORTRANGE(""https://docs.google.com/spreadsheets/d/1hKO5uv94SSRZWOvrh72HRcpyoEQF9TsE_Cvxl77XNU4/edit?usp=share_link"",""กาญจนบุรี!J652"")+IMPORTRANGE(""https://docs.google.com/spreadsheets/d/1njBaP_xXd-Uotvo2D9zb01TTCFkLJLDK97Tk1l9Qux0/edit?usp=share_li"&amp;"nk"",""จันทบุรี!J652"")+IMPORTRANGE(""https://docs.google.com/spreadsheets/d/14xp6qUzrGFnUk_qnc1eEmfiaNRd4_grkhpfQH_46fa8/edit?usp=share_link"",""ฉะเชิงเทรา!J652"")+IMPORTRANGE(""https://docs.google.com/spreadsheets/d/1_Zwps30dlVa-pZFsorjVf1Pil6WXwzCsJU0U"&amp;"2whO3NI/edit?usp=share_link"",""ชลบุรี!J652"")+IMPORTRANGE(""https://docs.google.com/spreadsheets/d/1xAsT4sUbBlom7l0acStESh_15nvjZcXjZM7fK5uZSq8/edit?usp=share_link"",""ชัยนาท!J652"")+IMPORTRANGE(""https://docs.google.com/spreadsheets/d/1vWPVBOAaZ6mHSI8yf"&amp;"95DNqHwTJ1cpeFsvqt6cxV34QA/edit?usp=share_link"",""ตราด!J652"")+IMPORTRANGE(""https://docs.google.com/spreadsheets/d/1phaeSb9lTGgzDpbvVqI9hfmOQQzUom07-HEvpbARzEg/edit?usp=share_link"",""นครนายก!J652"")+IMPORTRANGE(""https://docs.google.com/spreadsheets/d/"&amp;"1tpwhWwkqkBeiSWCcfB5f2fbwPRbM9hHOEDSDHpl2MIc/edit?usp=share_link"",""นครปฐม!J652"")+IMPORTRANGE(""https://docs.google.com/spreadsheets/d/1fJJCVBkBnhriyv0Cp5ZFMr0I_yrfdEITNpb4zILJgUQ/edit?usp=share_link"",""ปทุมธานี!J652"")+IMPORTRANGE(""https://docs.googl"&amp;"e.com/spreadsheets/d/1W5Jj_S0gYw6wSO7QcMI02YgyOBDKYgmm0NSUk-AQEac/edit?usp=share_link"",""ประจวบคีรีขันธ์!J652"")+IMPORTRANGE(""https://docs.google.com/spreadsheets/d/1nYxRXgnCfTXtqUY1otYuTlnrzE0Tn-Y0YRsW5pkRVqo/edit?usp=share_link"",""ปราจีนบุรี!J652"")+"&amp;"IMPORTRANGE(""https://docs.google.com/spreadsheets/d/1nNHCLO8ZAXOMfQvxux7cf_hrzPAh8FAvaHq_ClKbZNo/edit?usp=share_link"",""พระนครศรีอยุธยา!J652"")+IMPORTRANGE(""https://docs.google.com/spreadsheets/d/1CdNicvf3i6yt4tJlCePe3V1Va76wYqW0QzMzTsaGRrA/edit?usp=sh"&amp;"are_link"",""เพชรบุรี!J652"")+IMPORTRANGE(""https://docs.google.com/spreadsheets/d/1XiF77UIVHV0Kjc6xbXuOuJ10WgJYxd4p_22ngKVV5oM/edit?usp=share_link"",""ระยอง!J652"")+IMPORTRANGE(""https://docs.google.com/spreadsheets/d/1qU-W_9MCQD1pgIVXGEOjCFo9QqlmJywueby"&amp;"GgaN92r8/edit?usp=share_link"",""ราชบุรี!J652"")+IMPORTRANGE(""https://docs.google.com/spreadsheets/d/1xYFIxIM_CspAP5Q-5Zx_V0T_Ut3cjryrjd2hss28vGk/edit?usp=share_link"",""ลพบุรี!J652"")+IMPORTRANGE(""https://docs.google.com/spreadsheets/d/11s9m3tKsCBdPWq6"&amp;"syhZm27eBGbKneDLZc75co106bio/edit?usp=share_link"",""สระแก้ว!J652"")+IMPORTRANGE(""https://docs.google.com/spreadsheets/d/1Nn1EvsFPtXldgpgVb3Rcng2K2cls68LFQsBh2FyW0Bg/edit?usp=share_link"",""สระบุรี!J652"")+IMPORTRANGE(""https://docs.google.com/spreadshee"&amp;"ts/d/149xufxukrnEciK3WPbNpHwUK8BKEJxp3UcBG3Al6dA4/edit?usp=share_link"",""สิงห์บุรี!J652"")+IMPORTRANGE(""https://docs.google.com/spreadsheets/d/132g-zJpz2uMKimp17uOIx8A7o3w1Z25zwJyXnwsB56c/edit?usp=share_link"",""สุพรรณบุรี!J652"")+IMPORTRANGE(""https://"&amp;"docs.google.com/spreadsheets/d/12Q_U0nVnFdxDFwa0pej9xvx8ZvLC9Dpi_vRro_aiG5g/edit?usp=share_link"",""อ่างทอง!J652"")
"),0)</f>
        <v>0</v>
      </c>
      <c r="K652" s="500">
        <f t="shared" si="309"/>
        <v>0</v>
      </c>
      <c r="L652" s="384"/>
      <c r="M652" s="384"/>
      <c r="N652" s="384"/>
      <c r="O652" s="384"/>
      <c r="P652" s="384"/>
      <c r="Q652" s="571"/>
      <c r="R652" s="571"/>
      <c r="S652" s="571"/>
      <c r="T652" s="571"/>
      <c r="U652" s="571"/>
      <c r="V652" s="571"/>
      <c r="W652" s="571"/>
      <c r="X652" s="571"/>
      <c r="Y652" s="571"/>
      <c r="Z652" s="571"/>
    </row>
    <row r="653" spans="1:26" ht="20.25" customHeight="1">
      <c r="A653" s="741">
        <v>8</v>
      </c>
      <c r="B653" s="728" t="s">
        <v>278</v>
      </c>
      <c r="C653" s="729"/>
      <c r="D653" s="729"/>
      <c r="E653" s="729"/>
      <c r="F653" s="729"/>
      <c r="G653" s="730"/>
      <c r="H653" s="730"/>
      <c r="I653" s="742"/>
      <c r="J653" s="742"/>
      <c r="K653" s="734"/>
      <c r="L653" s="734"/>
      <c r="M653" s="734"/>
      <c r="N653" s="734"/>
      <c r="O653" s="734"/>
      <c r="P653" s="734"/>
      <c r="Q653" s="571"/>
      <c r="R653" s="571"/>
      <c r="S653" s="571"/>
      <c r="T653" s="571"/>
      <c r="U653" s="571"/>
      <c r="V653" s="571"/>
      <c r="W653" s="571"/>
      <c r="X653" s="571"/>
      <c r="Y653" s="571"/>
      <c r="Z653" s="571"/>
    </row>
    <row r="654" spans="1:26" ht="20.25" customHeight="1">
      <c r="A654" s="666"/>
      <c r="B654" s="665" t="s">
        <v>279</v>
      </c>
      <c r="C654" s="666"/>
      <c r="D654" s="666"/>
      <c r="E654" s="666"/>
      <c r="F654" s="666"/>
      <c r="G654" s="667"/>
      <c r="H654" s="698" t="s">
        <v>46</v>
      </c>
      <c r="I654" s="669">
        <f t="shared" ref="I654:J654" ca="1" si="310">I669</f>
        <v>1235</v>
      </c>
      <c r="J654" s="669">
        <f t="shared" ca="1" si="310"/>
        <v>0</v>
      </c>
      <c r="K654" s="670">
        <f ca="1">IF(I654&gt;0,J654*100/I654,0)</f>
        <v>0</v>
      </c>
      <c r="L654" s="671"/>
      <c r="M654" s="671"/>
      <c r="N654" s="671"/>
      <c r="O654" s="671"/>
      <c r="P654" s="671"/>
      <c r="Q654" s="571"/>
      <c r="R654" s="571"/>
      <c r="S654" s="571"/>
      <c r="T654" s="571"/>
      <c r="U654" s="571"/>
      <c r="V654" s="571"/>
      <c r="W654" s="571"/>
      <c r="X654" s="571"/>
      <c r="Y654" s="571"/>
      <c r="Z654" s="571"/>
    </row>
    <row r="655" spans="1:26" ht="20.25" customHeight="1">
      <c r="A655" s="590"/>
      <c r="B655" s="569"/>
      <c r="C655" s="569" t="s">
        <v>16</v>
      </c>
      <c r="D655" s="863" t="s">
        <v>17</v>
      </c>
      <c r="E655" s="857"/>
      <c r="F655" s="857"/>
      <c r="G655" s="189"/>
      <c r="H655" s="591" t="s">
        <v>12</v>
      </c>
      <c r="I655" s="37"/>
      <c r="J655" s="37"/>
      <c r="K655" s="38"/>
      <c r="L655" s="195">
        <f t="shared" ref="L655:N655" ca="1" si="311">L656+L657</f>
        <v>171700</v>
      </c>
      <c r="M655" s="195">
        <f t="shared" si="311"/>
        <v>0</v>
      </c>
      <c r="N655" s="195">
        <f t="shared" ca="1" si="311"/>
        <v>21509</v>
      </c>
      <c r="O655" s="195">
        <f t="shared" ref="O655:O660" ca="1" si="312">IF(L655&gt;0,N655*100/L655,0)</f>
        <v>12.527082119976704</v>
      </c>
      <c r="P655" s="195">
        <f t="shared" ref="P655:P660" si="313">IF(M655&gt;0,N655*100/M655,0)</f>
        <v>0</v>
      </c>
      <c r="Q655" s="571"/>
      <c r="R655" s="571"/>
      <c r="S655" s="571"/>
      <c r="T655" s="571"/>
      <c r="U655" s="571"/>
      <c r="V655" s="571"/>
      <c r="W655" s="571"/>
      <c r="X655" s="571"/>
      <c r="Y655" s="571"/>
      <c r="Z655" s="571"/>
    </row>
    <row r="656" spans="1:26" ht="20.25" hidden="1" customHeight="1">
      <c r="A656" s="592"/>
      <c r="B656" s="593"/>
      <c r="C656" s="593"/>
      <c r="D656" s="594"/>
      <c r="E656" s="595" t="s">
        <v>184</v>
      </c>
      <c r="F656" s="593"/>
      <c r="G656" s="596"/>
      <c r="H656" s="165" t="s">
        <v>12</v>
      </c>
      <c r="I656" s="44"/>
      <c r="J656" s="44"/>
      <c r="K656" s="45"/>
      <c r="L656" s="45">
        <f t="shared" ref="L656:N656" si="314">L659+L666</f>
        <v>0</v>
      </c>
      <c r="M656" s="45">
        <f t="shared" si="314"/>
        <v>0</v>
      </c>
      <c r="N656" s="45">
        <f t="shared" si="314"/>
        <v>0</v>
      </c>
      <c r="O656" s="45">
        <f t="shared" si="312"/>
        <v>0</v>
      </c>
      <c r="P656" s="45">
        <f t="shared" si="313"/>
        <v>0</v>
      </c>
      <c r="Q656" s="597"/>
      <c r="R656" s="597"/>
      <c r="S656" s="597"/>
      <c r="T656" s="597"/>
      <c r="U656" s="597"/>
      <c r="V656" s="597"/>
      <c r="W656" s="597"/>
      <c r="X656" s="597"/>
      <c r="Y656" s="597"/>
      <c r="Z656" s="597"/>
    </row>
    <row r="657" spans="1:26" ht="20.25" hidden="1" customHeight="1">
      <c r="A657" s="592"/>
      <c r="B657" s="598"/>
      <c r="C657" s="593"/>
      <c r="D657" s="594"/>
      <c r="E657" s="595" t="s">
        <v>185</v>
      </c>
      <c r="F657" s="593"/>
      <c r="G657" s="596"/>
      <c r="H657" s="165" t="s">
        <v>12</v>
      </c>
      <c r="I657" s="44"/>
      <c r="J657" s="44"/>
      <c r="K657" s="45"/>
      <c r="L657" s="45">
        <f t="shared" ref="L657:N657" ca="1" si="315">L660+L667</f>
        <v>171700</v>
      </c>
      <c r="M657" s="45">
        <f t="shared" si="315"/>
        <v>0</v>
      </c>
      <c r="N657" s="45">
        <f t="shared" ca="1" si="315"/>
        <v>21509</v>
      </c>
      <c r="O657" s="45">
        <f t="shared" ca="1" si="312"/>
        <v>12.527082119976704</v>
      </c>
      <c r="P657" s="45">
        <f t="shared" si="313"/>
        <v>0</v>
      </c>
      <c r="Q657" s="597"/>
      <c r="R657" s="597"/>
      <c r="S657" s="597"/>
      <c r="T657" s="597"/>
      <c r="U657" s="597"/>
      <c r="V657" s="597"/>
      <c r="W657" s="597"/>
      <c r="X657" s="597"/>
      <c r="Y657" s="597"/>
      <c r="Z657" s="597"/>
    </row>
    <row r="658" spans="1:26" ht="20.25" customHeight="1">
      <c r="A658" s="590"/>
      <c r="B658" s="568"/>
      <c r="C658" s="569"/>
      <c r="D658" s="599" t="s">
        <v>20</v>
      </c>
      <c r="E658" s="569"/>
      <c r="F658" s="569"/>
      <c r="G658" s="189"/>
      <c r="H658" s="161" t="s">
        <v>12</v>
      </c>
      <c r="I658" s="162"/>
      <c r="J658" s="162"/>
      <c r="K658" s="163"/>
      <c r="L658" s="38">
        <f t="shared" ref="L658:N658" ca="1" si="316">L659+L660</f>
        <v>171700</v>
      </c>
      <c r="M658" s="38">
        <f t="shared" si="316"/>
        <v>0</v>
      </c>
      <c r="N658" s="38">
        <f t="shared" ca="1" si="316"/>
        <v>21509</v>
      </c>
      <c r="O658" s="38">
        <f t="shared" ca="1" si="312"/>
        <v>12.527082119976704</v>
      </c>
      <c r="P658" s="38">
        <f t="shared" si="313"/>
        <v>0</v>
      </c>
      <c r="Q658" s="571"/>
      <c r="R658" s="571"/>
      <c r="S658" s="571"/>
      <c r="T658" s="571"/>
      <c r="U658" s="571"/>
      <c r="V658" s="571"/>
      <c r="W658" s="571"/>
      <c r="X658" s="571"/>
      <c r="Y658" s="571"/>
      <c r="Z658" s="571"/>
    </row>
    <row r="659" spans="1:26" ht="20.25" hidden="1" customHeight="1">
      <c r="A659" s="592"/>
      <c r="B659" s="598"/>
      <c r="C659" s="593"/>
      <c r="D659" s="594"/>
      <c r="E659" s="595" t="s">
        <v>184</v>
      </c>
      <c r="F659" s="593"/>
      <c r="G659" s="596"/>
      <c r="H659" s="165" t="s">
        <v>12</v>
      </c>
      <c r="I659" s="44"/>
      <c r="J659" s="44"/>
      <c r="K659" s="45"/>
      <c r="L659" s="93">
        <v>0</v>
      </c>
      <c r="M659" s="93">
        <v>0</v>
      </c>
      <c r="N659" s="93">
        <v>0</v>
      </c>
      <c r="O659" s="45">
        <f t="shared" si="312"/>
        <v>0</v>
      </c>
      <c r="P659" s="45">
        <f t="shared" si="313"/>
        <v>0</v>
      </c>
      <c r="Q659" s="597"/>
      <c r="R659" s="597"/>
      <c r="S659" s="597"/>
      <c r="T659" s="597"/>
      <c r="U659" s="597"/>
      <c r="V659" s="597"/>
      <c r="W659" s="597"/>
      <c r="X659" s="597"/>
      <c r="Y659" s="597"/>
      <c r="Z659" s="597"/>
    </row>
    <row r="660" spans="1:26" ht="20.25" hidden="1" customHeight="1">
      <c r="A660" s="592"/>
      <c r="B660" s="598"/>
      <c r="C660" s="593"/>
      <c r="D660" s="594"/>
      <c r="E660" s="595" t="s">
        <v>185</v>
      </c>
      <c r="F660" s="593"/>
      <c r="G660" s="596"/>
      <c r="H660" s="165" t="s">
        <v>12</v>
      </c>
      <c r="I660" s="44"/>
      <c r="J660" s="44"/>
      <c r="K660" s="45"/>
      <c r="L660" s="45">
        <f ca="1">IFERROR(__xludf.DUMMYFUNCTION("IMPORTRANGE(""https://docs.google.com/spreadsheets/d/1hKO5uv94SSRZWOvrh72HRcpyoEQF9TsE_Cvxl77XNU4/edit?usp=share_link"",""กาญจนบุรี!L660"")+IMPORTRANGE(""https://docs.google.com/spreadsheets/d/1njBaP_xXd-Uotvo2D9zb01TTCFkLJLDK97Tk1l9Qux0/edit?usp=share_li"&amp;"nk"",""จันทบุรี!L660"")+IMPORTRANGE(""https://docs.google.com/spreadsheets/d/14xp6qUzrGFnUk_qnc1eEmfiaNRd4_grkhpfQH_46fa8/edit?usp=share_link"",""ฉะเชิงเทรา!L660"")+IMPORTRANGE(""https://docs.google.com/spreadsheets/d/1_Zwps30dlVa-pZFsorjVf1Pil6WXwzCsJU0U"&amp;"2whO3NI/edit?usp=share_link"",""ชลบุรี!L660"")+IMPORTRANGE(""https://docs.google.com/spreadsheets/d/1xAsT4sUbBlom7l0acStESh_15nvjZcXjZM7fK5uZSq8/edit?usp=share_link"",""ชัยนาท!L660"")+IMPORTRANGE(""https://docs.google.com/spreadsheets/d/1vWPVBOAaZ6mHSI8yf"&amp;"95DNqHwTJ1cpeFsvqt6cxV34QA/edit?usp=share_link"",""ตราด!L660"")+IMPORTRANGE(""https://docs.google.com/spreadsheets/d/1phaeSb9lTGgzDpbvVqI9hfmOQQzUom07-HEvpbARzEg/edit?usp=share_link"",""นครนายก!L660"")+IMPORTRANGE(""https://docs.google.com/spreadsheets/d/"&amp;"1tpwhWwkqkBeiSWCcfB5f2fbwPRbM9hHOEDSDHpl2MIc/edit?usp=share_link"",""นครปฐม!L660"")+IMPORTRANGE(""https://docs.google.com/spreadsheets/d/1fJJCVBkBnhriyv0Cp5ZFMr0I_yrfdEITNpb4zILJgUQ/edit?usp=share_link"",""ปทุมธานี!L660"")+IMPORTRANGE(""https://docs.googl"&amp;"e.com/spreadsheets/d/1W5Jj_S0gYw6wSO7QcMI02YgyOBDKYgmm0NSUk-AQEac/edit?usp=share_link"",""ประจวบคีรีขันธ์!L660"")+IMPORTRANGE(""https://docs.google.com/spreadsheets/d/1nYxRXgnCfTXtqUY1otYuTlnrzE0Tn-Y0YRsW5pkRVqo/edit?usp=share_link"",""ปราจีนบุรี!L660"")+"&amp;"IMPORTRANGE(""https://docs.google.com/spreadsheets/d/1nNHCLO8ZAXOMfQvxux7cf_hrzPAh8FAvaHq_ClKbZNo/edit?usp=share_link"",""พระนครศรีอยุธยา!L660"")+IMPORTRANGE(""https://docs.google.com/spreadsheets/d/1CdNicvf3i6yt4tJlCePe3V1Va76wYqW0QzMzTsaGRrA/edit?usp=sh"&amp;"are_link"",""เพชรบุรี!L660"")+IMPORTRANGE(""https://docs.google.com/spreadsheets/d/1XiF77UIVHV0Kjc6xbXuOuJ10WgJYxd4p_22ngKVV5oM/edit?usp=share_link"",""ระยอง!L660"")+IMPORTRANGE(""https://docs.google.com/spreadsheets/d/1qU-W_9MCQD1pgIVXGEOjCFo9QqlmJywueby"&amp;"GgaN92r8/edit?usp=share_link"",""ราชบุรี!L660"")+IMPORTRANGE(""https://docs.google.com/spreadsheets/d/1xYFIxIM_CspAP5Q-5Zx_V0T_Ut3cjryrjd2hss28vGk/edit?usp=share_link"",""ลพบุรี!L660"")+IMPORTRANGE(""https://docs.google.com/spreadsheets/d/11s9m3tKsCBdPWq6"&amp;"syhZm27eBGbKneDLZc75co106bio/edit?usp=share_link"",""สระแก้ว!L660"")+IMPORTRANGE(""https://docs.google.com/spreadsheets/d/1Nn1EvsFPtXldgpgVb3Rcng2K2cls68LFQsBh2FyW0Bg/edit?usp=share_link"",""สระบุรี!L660"")+IMPORTRANGE(""https://docs.google.com/spreadshee"&amp;"ts/d/149xufxukrnEciK3WPbNpHwUK8BKEJxp3UcBG3Al6dA4/edit?usp=share_link"",""สิงห์บุรี!L660"")+IMPORTRANGE(""https://docs.google.com/spreadsheets/d/132g-zJpz2uMKimp17uOIx8A7o3w1Z25zwJyXnwsB56c/edit?usp=share_link"",""สุพรรณบุรี!L660"")+IMPORTRANGE(""https://"&amp;"docs.google.com/spreadsheets/d/12Q_U0nVnFdxDFwa0pej9xvx8ZvLC9Dpi_vRro_aiG5g/edit?usp=share_link"",""อ่างทอง!L660"")
"),171700)</f>
        <v>171700</v>
      </c>
      <c r="M660" s="93">
        <v>0</v>
      </c>
      <c r="N660" s="45">
        <f ca="1">N661+N662+N663+N664</f>
        <v>21509</v>
      </c>
      <c r="O660" s="45">
        <f t="shared" ca="1" si="312"/>
        <v>12.527082119976704</v>
      </c>
      <c r="P660" s="45">
        <f t="shared" si="313"/>
        <v>0</v>
      </c>
      <c r="Q660" s="597"/>
      <c r="R660" s="597"/>
      <c r="S660" s="597"/>
      <c r="T660" s="597"/>
      <c r="U660" s="597"/>
      <c r="V660" s="597"/>
      <c r="W660" s="597"/>
      <c r="X660" s="597"/>
      <c r="Y660" s="597"/>
      <c r="Z660" s="597"/>
    </row>
    <row r="661" spans="1:26" ht="20.25" customHeight="1">
      <c r="A661" s="567"/>
      <c r="B661" s="568"/>
      <c r="C661" s="569"/>
      <c r="D661" s="569"/>
      <c r="E661" s="569"/>
      <c r="F661" s="570" t="s">
        <v>186</v>
      </c>
      <c r="G661" s="189"/>
      <c r="H661" s="161" t="s">
        <v>12</v>
      </c>
      <c r="I661" s="37"/>
      <c r="J661" s="37"/>
      <c r="K661" s="38"/>
      <c r="L661" s="38"/>
      <c r="M661" s="38"/>
      <c r="N661" s="283">
        <f ca="1">IFERROR(__xludf.DUMMYFUNCTION("IMPORTRANGE(""https://docs.google.com/spreadsheets/d/1hKO5uv94SSRZWOvrh72HRcpyoEQF9TsE_Cvxl77XNU4/edit?usp=share_link"",""กาญจนบุรี!n661"")+IMPORTRANGE(""https://docs.google.com/spreadsheets/d/1njBaP_xXd-Uotvo2D9zb01TTCFkLJLDK97Tk1l9Qux0/edit?usp=share_li"&amp;"nk"",""จันทบุรี!n661"")+IMPORTRANGE(""https://docs.google.com/spreadsheets/d/14xp6qUzrGFnUk_qnc1eEmfiaNRd4_grkhpfQH_46fa8/edit?usp=share_link"",""ฉะเชิงเทรา!n661"")+IMPORTRANGE(""https://docs.google.com/spreadsheets/d/1_Zwps30dlVa-pZFsorjVf1Pil6WXwzCsJU0U"&amp;"2whO3NI/edit?usp=share_link"",""ชลบุรี!n661"")+IMPORTRANGE(""https://docs.google.com/spreadsheets/d/1xAsT4sUbBlom7l0acStESh_15nvjZcXjZM7fK5uZSq8/edit?usp=share_link"",""ชัยนาท!n661"")+IMPORTRANGE(""https://docs.google.com/spreadsheets/d/1vWPVBOAaZ6mHSI8yf"&amp;"95DNqHwTJ1cpeFsvqt6cxV34QA/edit?usp=share_link"",""ตราด!n661"")+IMPORTRANGE(""https://docs.google.com/spreadsheets/d/1phaeSb9lTGgzDpbvVqI9hfmOQQzUom07-HEvpbARzEg/edit?usp=share_link"",""นครนายก!n661"")+IMPORTRANGE(""https://docs.google.com/spreadsheets/d/"&amp;"1tpwhWwkqkBeiSWCcfB5f2fbwPRbM9hHOEDSDHpl2MIc/edit?usp=share_link"",""นครปฐม!n661"")+IMPORTRANGE(""https://docs.google.com/spreadsheets/d/1fJJCVBkBnhriyv0Cp5ZFMr0I_yrfdEITNpb4zILJgUQ/edit?usp=share_link"",""ปทุมธานี!n661"")+IMPORTRANGE(""https://docs.googl"&amp;"e.com/spreadsheets/d/1W5Jj_S0gYw6wSO7QcMI02YgyOBDKYgmm0NSUk-AQEac/edit?usp=share_link"",""ประจวบคีรีขันธ์!n661"")+IMPORTRANGE(""https://docs.google.com/spreadsheets/d/1nYxRXgnCfTXtqUY1otYuTlnrzE0Tn-Y0YRsW5pkRVqo/edit?usp=share_link"",""ปราจีนบุรี!n661"")+"&amp;"IMPORTRANGE(""https://docs.google.com/spreadsheets/d/1nNHCLO8ZAXOMfQvxux7cf_hrzPAh8FAvaHq_ClKbZNo/edit?usp=share_link"",""พระนครศรีอยุธยา!n661"")+IMPORTRANGE(""https://docs.google.com/spreadsheets/d/1CdNicvf3i6yt4tJlCePe3V1Va76wYqW0QzMzTsaGRrA/edit?usp=sh"&amp;"are_link"",""เพชรบุรี!n661"")+IMPORTRANGE(""https://docs.google.com/spreadsheets/d/1XiF77UIVHV0Kjc6xbXuOuJ10WgJYxd4p_22ngKVV5oM/edit?usp=share_link"",""ระยอง!n661"")+IMPORTRANGE(""https://docs.google.com/spreadsheets/d/1qU-W_9MCQD1pgIVXGEOjCFo9QqlmJywueby"&amp;"GgaN92r8/edit?usp=share_link"",""ราชบุรี!n661"")+IMPORTRANGE(""https://docs.google.com/spreadsheets/d/1xYFIxIM_CspAP5Q-5Zx_V0T_Ut3cjryrjd2hss28vGk/edit?usp=share_link"",""ลพบุรี!n661"")+IMPORTRANGE(""https://docs.google.com/spreadsheets/d/11s9m3tKsCBdPWq6"&amp;"syhZm27eBGbKneDLZc75co106bio/edit?usp=share_link"",""สระแก้ว!n661"")+IMPORTRANGE(""https://docs.google.com/spreadsheets/d/1Nn1EvsFPtXldgpgVb3Rcng2K2cls68LFQsBh2FyW0Bg/edit?usp=share_link"",""สระบุรี!n661"")+IMPORTRANGE(""https://docs.google.com/spreadshee"&amp;"ts/d/149xufxukrnEciK3WPbNpHwUK8BKEJxp3UcBG3Al6dA4/edit?usp=share_link"",""สิงห์บุรี!n661"")+IMPORTRANGE(""https://docs.google.com/spreadsheets/d/132g-zJpz2uMKimp17uOIx8A7o3w1Z25zwJyXnwsB56c/edit?usp=share_link"",""สุพรรณบุรี!n661"")+IMPORTRANGE(""https://"&amp;"docs.google.com/spreadsheets/d/12Q_U0nVnFdxDFwa0pej9xvx8ZvLC9Dpi_vRro_aiG5g/edit?usp=share_link"",""อ่างทอง!n661"")
"),0)</f>
        <v>0</v>
      </c>
      <c r="O661" s="38"/>
      <c r="P661" s="38"/>
      <c r="Q661" s="571"/>
      <c r="R661" s="571"/>
      <c r="S661" s="571"/>
      <c r="T661" s="571"/>
      <c r="U661" s="571"/>
      <c r="V661" s="571"/>
      <c r="W661" s="571"/>
      <c r="X661" s="571"/>
      <c r="Y661" s="571"/>
      <c r="Z661" s="571"/>
    </row>
    <row r="662" spans="1:26" ht="20.25" customHeight="1">
      <c r="A662" s="567"/>
      <c r="B662" s="568"/>
      <c r="C662" s="569"/>
      <c r="D662" s="569"/>
      <c r="E662" s="569"/>
      <c r="F662" s="570" t="s">
        <v>187</v>
      </c>
      <c r="G662" s="189"/>
      <c r="H662" s="161" t="s">
        <v>12</v>
      </c>
      <c r="I662" s="37"/>
      <c r="J662" s="37"/>
      <c r="K662" s="38"/>
      <c r="L662" s="38"/>
      <c r="M662" s="38"/>
      <c r="N662" s="283">
        <f ca="1">IFERROR(__xludf.DUMMYFUNCTION("IMPORTRANGE(""https://docs.google.com/spreadsheets/d/1hKO5uv94SSRZWOvrh72HRcpyoEQF9TsE_Cvxl77XNU4/edit?usp=share_link"",""กาญจนบุรี!n662"")+IMPORTRANGE(""https://docs.google.com/spreadsheets/d/1njBaP_xXd-Uotvo2D9zb01TTCFkLJLDK97Tk1l9Qux0/edit?usp=share_li"&amp;"nk"",""จันทบุรี!n662"")+IMPORTRANGE(""https://docs.google.com/spreadsheets/d/14xp6qUzrGFnUk_qnc1eEmfiaNRd4_grkhpfQH_46fa8/edit?usp=share_link"",""ฉะเชิงเทรา!n662"")+IMPORTRANGE(""https://docs.google.com/spreadsheets/d/1_Zwps30dlVa-pZFsorjVf1Pil6WXwzCsJU0U"&amp;"2whO3NI/edit?usp=share_link"",""ชลบุรี!n662"")+IMPORTRANGE(""https://docs.google.com/spreadsheets/d/1xAsT4sUbBlom7l0acStESh_15nvjZcXjZM7fK5uZSq8/edit?usp=share_link"",""ชัยนาท!n662"")+IMPORTRANGE(""https://docs.google.com/spreadsheets/d/1vWPVBOAaZ6mHSI8yf"&amp;"95DNqHwTJ1cpeFsvqt6cxV34QA/edit?usp=share_link"",""ตราด!n662"")+IMPORTRANGE(""https://docs.google.com/spreadsheets/d/1phaeSb9lTGgzDpbvVqI9hfmOQQzUom07-HEvpbARzEg/edit?usp=share_link"",""นครนายก!n662"")+IMPORTRANGE(""https://docs.google.com/spreadsheets/d/"&amp;"1tpwhWwkqkBeiSWCcfB5f2fbwPRbM9hHOEDSDHpl2MIc/edit?usp=share_link"",""นครปฐม!n662"")+IMPORTRANGE(""https://docs.google.com/spreadsheets/d/1fJJCVBkBnhriyv0Cp5ZFMr0I_yrfdEITNpb4zILJgUQ/edit?usp=share_link"",""ปทุมธานี!n662"")+IMPORTRANGE(""https://docs.googl"&amp;"e.com/spreadsheets/d/1W5Jj_S0gYw6wSO7QcMI02YgyOBDKYgmm0NSUk-AQEac/edit?usp=share_link"",""ประจวบคีรีขันธ์!n662"")+IMPORTRANGE(""https://docs.google.com/spreadsheets/d/1nYxRXgnCfTXtqUY1otYuTlnrzE0Tn-Y0YRsW5pkRVqo/edit?usp=share_link"",""ปราจีนบุรี!n662"")+"&amp;"IMPORTRANGE(""https://docs.google.com/spreadsheets/d/1nNHCLO8ZAXOMfQvxux7cf_hrzPAh8FAvaHq_ClKbZNo/edit?usp=share_link"",""พระนครศรีอยุธยา!n662"")+IMPORTRANGE(""https://docs.google.com/spreadsheets/d/1CdNicvf3i6yt4tJlCePe3V1Va76wYqW0QzMzTsaGRrA/edit?usp=sh"&amp;"are_link"",""เพชรบุรี!n662"")+IMPORTRANGE(""https://docs.google.com/spreadsheets/d/1XiF77UIVHV0Kjc6xbXuOuJ10WgJYxd4p_22ngKVV5oM/edit?usp=share_link"",""ระยอง!n662"")+IMPORTRANGE(""https://docs.google.com/spreadsheets/d/1qU-W_9MCQD1pgIVXGEOjCFo9QqlmJywueby"&amp;"GgaN92r8/edit?usp=share_link"",""ราชบุรี!n662"")+IMPORTRANGE(""https://docs.google.com/spreadsheets/d/1xYFIxIM_CspAP5Q-5Zx_V0T_Ut3cjryrjd2hss28vGk/edit?usp=share_link"",""ลพบุรี!n662"")+IMPORTRANGE(""https://docs.google.com/spreadsheets/d/11s9m3tKsCBdPWq6"&amp;"syhZm27eBGbKneDLZc75co106bio/edit?usp=share_link"",""สระแก้ว!n662"")+IMPORTRANGE(""https://docs.google.com/spreadsheets/d/1Nn1EvsFPtXldgpgVb3Rcng2K2cls68LFQsBh2FyW0Bg/edit?usp=share_link"",""สระบุรี!n662"")+IMPORTRANGE(""https://docs.google.com/spreadshee"&amp;"ts/d/149xufxukrnEciK3WPbNpHwUK8BKEJxp3UcBG3Al6dA4/edit?usp=share_link"",""สิงห์บุรี!n662"")+IMPORTRANGE(""https://docs.google.com/spreadsheets/d/132g-zJpz2uMKimp17uOIx8A7o3w1Z25zwJyXnwsB56c/edit?usp=share_link"",""สุพรรณบุรี!n662"")+IMPORTRANGE(""https://"&amp;"docs.google.com/spreadsheets/d/12Q_U0nVnFdxDFwa0pej9xvx8ZvLC9Dpi_vRro_aiG5g/edit?usp=share_link"",""อ่างทอง!n662"")
"),0)</f>
        <v>0</v>
      </c>
      <c r="O662" s="38"/>
      <c r="P662" s="38"/>
      <c r="Q662" s="571"/>
      <c r="R662" s="571"/>
      <c r="S662" s="571"/>
      <c r="T662" s="571"/>
      <c r="U662" s="571"/>
      <c r="V662" s="571"/>
      <c r="W662" s="571"/>
      <c r="X662" s="571"/>
      <c r="Y662" s="571"/>
      <c r="Z662" s="571"/>
    </row>
    <row r="663" spans="1:26" ht="20.25" customHeight="1">
      <c r="A663" s="567"/>
      <c r="B663" s="568"/>
      <c r="C663" s="568"/>
      <c r="D663" s="569"/>
      <c r="E663" s="569"/>
      <c r="F663" s="570" t="s">
        <v>188</v>
      </c>
      <c r="G663" s="189"/>
      <c r="H663" s="161" t="s">
        <v>12</v>
      </c>
      <c r="I663" s="37"/>
      <c r="J663" s="37"/>
      <c r="K663" s="38"/>
      <c r="L663" s="38"/>
      <c r="M663" s="38"/>
      <c r="N663" s="283">
        <f ca="1">IFERROR(__xludf.DUMMYFUNCTION("IMPORTRANGE(""https://docs.google.com/spreadsheets/d/1hKO5uv94SSRZWOvrh72HRcpyoEQF9TsE_Cvxl77XNU4/edit?usp=share_link"",""กาญจนบุรี!n663"")+IMPORTRANGE(""https://docs.google.com/spreadsheets/d/1njBaP_xXd-Uotvo2D9zb01TTCFkLJLDK97Tk1l9Qux0/edit?usp=share_li"&amp;"nk"",""จันทบุรี!n663"")+IMPORTRANGE(""https://docs.google.com/spreadsheets/d/14xp6qUzrGFnUk_qnc1eEmfiaNRd4_grkhpfQH_46fa8/edit?usp=share_link"",""ฉะเชิงเทรา!n663"")+IMPORTRANGE(""https://docs.google.com/spreadsheets/d/1_Zwps30dlVa-pZFsorjVf1Pil6WXwzCsJU0U"&amp;"2whO3NI/edit?usp=share_link"",""ชลบุรี!n663"")+IMPORTRANGE(""https://docs.google.com/spreadsheets/d/1xAsT4sUbBlom7l0acStESh_15nvjZcXjZM7fK5uZSq8/edit?usp=share_link"",""ชัยนาท!n663"")+IMPORTRANGE(""https://docs.google.com/spreadsheets/d/1vWPVBOAaZ6mHSI8yf"&amp;"95DNqHwTJ1cpeFsvqt6cxV34QA/edit?usp=share_link"",""ตราด!n663"")+IMPORTRANGE(""https://docs.google.com/spreadsheets/d/1phaeSb9lTGgzDpbvVqI9hfmOQQzUom07-HEvpbARzEg/edit?usp=share_link"",""นครนายก!n663"")+IMPORTRANGE(""https://docs.google.com/spreadsheets/d/"&amp;"1tpwhWwkqkBeiSWCcfB5f2fbwPRbM9hHOEDSDHpl2MIc/edit?usp=share_link"",""นครปฐม!n663"")+IMPORTRANGE(""https://docs.google.com/spreadsheets/d/1fJJCVBkBnhriyv0Cp5ZFMr0I_yrfdEITNpb4zILJgUQ/edit?usp=share_link"",""ปทุมธานี!n663"")+IMPORTRANGE(""https://docs.googl"&amp;"e.com/spreadsheets/d/1W5Jj_S0gYw6wSO7QcMI02YgyOBDKYgmm0NSUk-AQEac/edit?usp=share_link"",""ประจวบคีรีขันธ์!n663"")+IMPORTRANGE(""https://docs.google.com/spreadsheets/d/1nYxRXgnCfTXtqUY1otYuTlnrzE0Tn-Y0YRsW5pkRVqo/edit?usp=share_link"",""ปราจีนบุรี!n663"")+"&amp;"IMPORTRANGE(""https://docs.google.com/spreadsheets/d/1nNHCLO8ZAXOMfQvxux7cf_hrzPAh8FAvaHq_ClKbZNo/edit?usp=share_link"",""พระนครศรีอยุธยา!n663"")+IMPORTRANGE(""https://docs.google.com/spreadsheets/d/1CdNicvf3i6yt4tJlCePe3V1Va76wYqW0QzMzTsaGRrA/edit?usp=sh"&amp;"are_link"",""เพชรบุรี!n663"")+IMPORTRANGE(""https://docs.google.com/spreadsheets/d/1XiF77UIVHV0Kjc6xbXuOuJ10WgJYxd4p_22ngKVV5oM/edit?usp=share_link"",""ระยอง!n663"")+IMPORTRANGE(""https://docs.google.com/spreadsheets/d/1qU-W_9MCQD1pgIVXGEOjCFo9QqlmJywueby"&amp;"GgaN92r8/edit?usp=share_link"",""ราชบุรี!n663"")+IMPORTRANGE(""https://docs.google.com/spreadsheets/d/1xYFIxIM_CspAP5Q-5Zx_V0T_Ut3cjryrjd2hss28vGk/edit?usp=share_link"",""ลพบุรี!n663"")+IMPORTRANGE(""https://docs.google.com/spreadsheets/d/11s9m3tKsCBdPWq6"&amp;"syhZm27eBGbKneDLZc75co106bio/edit?usp=share_link"",""สระแก้ว!n663"")+IMPORTRANGE(""https://docs.google.com/spreadsheets/d/1Nn1EvsFPtXldgpgVb3Rcng2K2cls68LFQsBh2FyW0Bg/edit?usp=share_link"",""สระบุรี!n663"")+IMPORTRANGE(""https://docs.google.com/spreadshee"&amp;"ts/d/149xufxukrnEciK3WPbNpHwUK8BKEJxp3UcBG3Al6dA4/edit?usp=share_link"",""สิงห์บุรี!n663"")+IMPORTRANGE(""https://docs.google.com/spreadsheets/d/132g-zJpz2uMKimp17uOIx8A7o3w1Z25zwJyXnwsB56c/edit?usp=share_link"",""สุพรรณบุรี!n663"")+IMPORTRANGE(""https://"&amp;"docs.google.com/spreadsheets/d/12Q_U0nVnFdxDFwa0pej9xvx8ZvLC9Dpi_vRro_aiG5g/edit?usp=share_link"",""อ่างทอง!n663"")
"),0)</f>
        <v>0</v>
      </c>
      <c r="O663" s="38"/>
      <c r="P663" s="38"/>
      <c r="Q663" s="571"/>
      <c r="R663" s="571"/>
      <c r="S663" s="571"/>
      <c r="T663" s="571"/>
      <c r="U663" s="571"/>
      <c r="V663" s="571"/>
      <c r="W663" s="571"/>
      <c r="X663" s="571"/>
      <c r="Y663" s="571"/>
      <c r="Z663" s="571"/>
    </row>
    <row r="664" spans="1:26" ht="20.25" customHeight="1">
      <c r="A664" s="567"/>
      <c r="B664" s="568"/>
      <c r="C664" s="568"/>
      <c r="D664" s="568"/>
      <c r="E664" s="569"/>
      <c r="F664" s="570" t="s">
        <v>189</v>
      </c>
      <c r="G664" s="189"/>
      <c r="H664" s="161" t="s">
        <v>12</v>
      </c>
      <c r="I664" s="37"/>
      <c r="J664" s="37"/>
      <c r="K664" s="38"/>
      <c r="L664" s="38"/>
      <c r="M664" s="38"/>
      <c r="N664" s="283">
        <f ca="1">IFERROR(__xludf.DUMMYFUNCTION("IMPORTRANGE(""https://docs.google.com/spreadsheets/d/1hKO5uv94SSRZWOvrh72HRcpyoEQF9TsE_Cvxl77XNU4/edit?usp=share_link"",""กาญจนบุรี!n664"")+IMPORTRANGE(""https://docs.google.com/spreadsheets/d/1njBaP_xXd-Uotvo2D9zb01TTCFkLJLDK97Tk1l9Qux0/edit?usp=share_li"&amp;"nk"",""จันทบุรี!n664"")+IMPORTRANGE(""https://docs.google.com/spreadsheets/d/14xp6qUzrGFnUk_qnc1eEmfiaNRd4_grkhpfQH_46fa8/edit?usp=share_link"",""ฉะเชิงเทรา!n664"")+IMPORTRANGE(""https://docs.google.com/spreadsheets/d/1_Zwps30dlVa-pZFsorjVf1Pil6WXwzCsJU0U"&amp;"2whO3NI/edit?usp=share_link"",""ชลบุรี!n664"")+IMPORTRANGE(""https://docs.google.com/spreadsheets/d/1xAsT4sUbBlom7l0acStESh_15nvjZcXjZM7fK5uZSq8/edit?usp=share_link"",""ชัยนาท!n664"")+IMPORTRANGE(""https://docs.google.com/spreadsheets/d/1vWPVBOAaZ6mHSI8yf"&amp;"95DNqHwTJ1cpeFsvqt6cxV34QA/edit?usp=share_link"",""ตราด!n664"")+IMPORTRANGE(""https://docs.google.com/spreadsheets/d/1phaeSb9lTGgzDpbvVqI9hfmOQQzUom07-HEvpbARzEg/edit?usp=share_link"",""นครนายก!n664"")+IMPORTRANGE(""https://docs.google.com/spreadsheets/d/"&amp;"1tpwhWwkqkBeiSWCcfB5f2fbwPRbM9hHOEDSDHpl2MIc/edit?usp=share_link"",""นครปฐม!n664"")+IMPORTRANGE(""https://docs.google.com/spreadsheets/d/1fJJCVBkBnhriyv0Cp5ZFMr0I_yrfdEITNpb4zILJgUQ/edit?usp=share_link"",""ปทุมธานี!n664"")+IMPORTRANGE(""https://docs.googl"&amp;"e.com/spreadsheets/d/1W5Jj_S0gYw6wSO7QcMI02YgyOBDKYgmm0NSUk-AQEac/edit?usp=share_link"",""ประจวบคีรีขันธ์!n664"")+IMPORTRANGE(""https://docs.google.com/spreadsheets/d/1nYxRXgnCfTXtqUY1otYuTlnrzE0Tn-Y0YRsW5pkRVqo/edit?usp=share_link"",""ปราจีนบุรี!n664"")+"&amp;"IMPORTRANGE(""https://docs.google.com/spreadsheets/d/1nNHCLO8ZAXOMfQvxux7cf_hrzPAh8FAvaHq_ClKbZNo/edit?usp=share_link"",""พระนครศรีอยุธยา!n664"")+IMPORTRANGE(""https://docs.google.com/spreadsheets/d/1CdNicvf3i6yt4tJlCePe3V1Va76wYqW0QzMzTsaGRrA/edit?usp=sh"&amp;"are_link"",""เพชรบุรี!n664"")+IMPORTRANGE(""https://docs.google.com/spreadsheets/d/1XiF77UIVHV0Kjc6xbXuOuJ10WgJYxd4p_22ngKVV5oM/edit?usp=share_link"",""ระยอง!n664"")+IMPORTRANGE(""https://docs.google.com/spreadsheets/d/1qU-W_9MCQD1pgIVXGEOjCFo9QqlmJywueby"&amp;"GgaN92r8/edit?usp=share_link"",""ราชบุรี!n664"")+IMPORTRANGE(""https://docs.google.com/spreadsheets/d/1xYFIxIM_CspAP5Q-5Zx_V0T_Ut3cjryrjd2hss28vGk/edit?usp=share_link"",""ลพบุรี!n664"")+IMPORTRANGE(""https://docs.google.com/spreadsheets/d/11s9m3tKsCBdPWq6"&amp;"syhZm27eBGbKneDLZc75co106bio/edit?usp=share_link"",""สระแก้ว!n664"")+IMPORTRANGE(""https://docs.google.com/spreadsheets/d/1Nn1EvsFPtXldgpgVb3Rcng2K2cls68LFQsBh2FyW0Bg/edit?usp=share_link"",""สระบุรี!n664"")+IMPORTRANGE(""https://docs.google.com/spreadshee"&amp;"ts/d/149xufxukrnEciK3WPbNpHwUK8BKEJxp3UcBG3Al6dA4/edit?usp=share_link"",""สิงห์บุรี!n664"")+IMPORTRANGE(""https://docs.google.com/spreadsheets/d/132g-zJpz2uMKimp17uOIx8A7o3w1Z25zwJyXnwsB56c/edit?usp=share_link"",""สุพรรณบุรี!n664"")+IMPORTRANGE(""https://"&amp;"docs.google.com/spreadsheets/d/12Q_U0nVnFdxDFwa0pej9xvx8ZvLC9Dpi_vRro_aiG5g/edit?usp=share_link"",""อ่างทอง!n664"")
"),21509)</f>
        <v>21509</v>
      </c>
      <c r="O664" s="38"/>
      <c r="P664" s="38"/>
      <c r="Q664" s="571"/>
      <c r="R664" s="571"/>
      <c r="S664" s="571"/>
      <c r="T664" s="571"/>
      <c r="U664" s="571"/>
      <c r="V664" s="571"/>
      <c r="W664" s="571"/>
      <c r="X664" s="571"/>
      <c r="Y664" s="571"/>
      <c r="Z664" s="571"/>
    </row>
    <row r="665" spans="1:26" ht="20.25" customHeight="1">
      <c r="A665" s="590"/>
      <c r="B665" s="568"/>
      <c r="C665" s="568"/>
      <c r="D665" s="599" t="s">
        <v>21</v>
      </c>
      <c r="E665" s="569"/>
      <c r="F665" s="569"/>
      <c r="G665" s="189"/>
      <c r="H665" s="168" t="s">
        <v>12</v>
      </c>
      <c r="I665" s="162"/>
      <c r="J665" s="162"/>
      <c r="K665" s="163"/>
      <c r="L665" s="38">
        <f t="shared" ref="L665:N665" si="317">L666+L667</f>
        <v>0</v>
      </c>
      <c r="M665" s="38">
        <f t="shared" si="317"/>
        <v>0</v>
      </c>
      <c r="N665" s="38">
        <f t="shared" si="317"/>
        <v>0</v>
      </c>
      <c r="O665" s="38">
        <f t="shared" ref="O665:O667" si="318">IF(L665&gt;0,N665*100/L665,0)</f>
        <v>0</v>
      </c>
      <c r="P665" s="38">
        <f t="shared" ref="P665:P667" si="319">IF(M665&gt;0,N665*100/M665,0)</f>
        <v>0</v>
      </c>
      <c r="Q665" s="571"/>
      <c r="R665" s="571"/>
      <c r="S665" s="571"/>
      <c r="T665" s="571"/>
      <c r="U665" s="571"/>
      <c r="V665" s="571"/>
      <c r="W665" s="571"/>
      <c r="X665" s="571"/>
      <c r="Y665" s="571"/>
      <c r="Z665" s="571"/>
    </row>
    <row r="666" spans="1:26" ht="20.25" hidden="1" customHeight="1">
      <c r="A666" s="592"/>
      <c r="B666" s="598"/>
      <c r="C666" s="598"/>
      <c r="D666" s="598"/>
      <c r="E666" s="595" t="s">
        <v>18</v>
      </c>
      <c r="F666" s="593"/>
      <c r="G666" s="596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45">
        <f t="shared" si="318"/>
        <v>0</v>
      </c>
      <c r="P666" s="45">
        <f t="shared" si="319"/>
        <v>0</v>
      </c>
      <c r="Q666" s="597"/>
      <c r="R666" s="597"/>
      <c r="S666" s="597"/>
      <c r="T666" s="597"/>
      <c r="U666" s="597"/>
      <c r="V666" s="597"/>
      <c r="W666" s="597"/>
      <c r="X666" s="597"/>
      <c r="Y666" s="597"/>
      <c r="Z666" s="597"/>
    </row>
    <row r="667" spans="1:26" ht="20.25" hidden="1" customHeight="1">
      <c r="A667" s="592"/>
      <c r="B667" s="598"/>
      <c r="C667" s="598"/>
      <c r="D667" s="598"/>
      <c r="E667" s="595" t="s">
        <v>19</v>
      </c>
      <c r="F667" s="593"/>
      <c r="G667" s="596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45">
        <f t="shared" si="318"/>
        <v>0</v>
      </c>
      <c r="P667" s="45">
        <f t="shared" si="319"/>
        <v>0</v>
      </c>
      <c r="Q667" s="597"/>
      <c r="R667" s="597"/>
      <c r="S667" s="597"/>
      <c r="T667" s="597"/>
      <c r="U667" s="597"/>
      <c r="V667" s="597"/>
      <c r="W667" s="597"/>
      <c r="X667" s="597"/>
      <c r="Y667" s="597"/>
      <c r="Z667" s="597"/>
    </row>
    <row r="668" spans="1:26" ht="20.25" customHeight="1">
      <c r="A668" s="601"/>
      <c r="B668" s="602"/>
      <c r="C668" s="568" t="s">
        <v>16</v>
      </c>
      <c r="D668" s="603" t="s">
        <v>38</v>
      </c>
      <c r="E668" s="605"/>
      <c r="F668" s="605"/>
      <c r="G668" s="606"/>
      <c r="H668" s="175"/>
      <c r="I668" s="162"/>
      <c r="J668" s="162"/>
      <c r="K668" s="163"/>
      <c r="L668" s="163"/>
      <c r="M668" s="163"/>
      <c r="N668" s="163"/>
      <c r="O668" s="163"/>
      <c r="P668" s="163"/>
      <c r="Q668" s="571"/>
      <c r="R668" s="571"/>
      <c r="S668" s="571"/>
      <c r="T668" s="571"/>
      <c r="U668" s="571"/>
      <c r="V668" s="571"/>
      <c r="W668" s="571"/>
      <c r="X668" s="571"/>
      <c r="Y668" s="571"/>
      <c r="Z668" s="571"/>
    </row>
    <row r="669" spans="1:26" ht="20.25" customHeight="1">
      <c r="A669" s="601"/>
      <c r="B669" s="602"/>
      <c r="C669" s="602"/>
      <c r="D669" s="611" t="s">
        <v>280</v>
      </c>
      <c r="E669" s="612"/>
      <c r="F669" s="612"/>
      <c r="G669" s="175"/>
      <c r="H669" s="743" t="s">
        <v>46</v>
      </c>
      <c r="I669" s="194">
        <f ca="1">IFERROR(__xludf.DUMMYFUNCTION("IMPORTRANGE(""https://docs.google.com/spreadsheets/d/1hKO5uv94SSRZWOvrh72HRcpyoEQF9TsE_Cvxl77XNU4/edit?usp=share_link"",""กาญจนบุรี!I669"")+IMPORTRANGE(""https://docs.google.com/spreadsheets/d/1njBaP_xXd-Uotvo2D9zb01TTCFkLJLDK97Tk1l9Qux0/edit?usp=share_li"&amp;"nk"",""จันทบุรี!I669"")+IMPORTRANGE(""https://docs.google.com/spreadsheets/d/14xp6qUzrGFnUk_qnc1eEmfiaNRd4_grkhpfQH_46fa8/edit?usp=share_link"",""ฉะเชิงเทรา!I669"")+IMPORTRANGE(""https://docs.google.com/spreadsheets/d/1_Zwps30dlVa-pZFsorjVf1Pil6WXwzCsJU0U"&amp;"2whO3NI/edit?usp=share_link"",""ชลบุรี!I669"")+IMPORTRANGE(""https://docs.google.com/spreadsheets/d/1xAsT4sUbBlom7l0acStESh_15nvjZcXjZM7fK5uZSq8/edit?usp=share_link"",""ชัยนาท!I669"")+IMPORTRANGE(""https://docs.google.com/spreadsheets/d/1vWPVBOAaZ6mHSI8yf"&amp;"95DNqHwTJ1cpeFsvqt6cxV34QA/edit?usp=share_link"",""ตราด!I669"")+IMPORTRANGE(""https://docs.google.com/spreadsheets/d/1phaeSb9lTGgzDpbvVqI9hfmOQQzUom07-HEvpbARzEg/edit?usp=share_link"",""นครนายก!I669"")+IMPORTRANGE(""https://docs.google.com/spreadsheets/d/"&amp;"1tpwhWwkqkBeiSWCcfB5f2fbwPRbM9hHOEDSDHpl2MIc/edit?usp=share_link"",""นครปฐม!I669"")+IMPORTRANGE(""https://docs.google.com/spreadsheets/d/1fJJCVBkBnhriyv0Cp5ZFMr0I_yrfdEITNpb4zILJgUQ/edit?usp=share_link"",""ปทุมธานี!I669"")+IMPORTRANGE(""https://docs.googl"&amp;"e.com/spreadsheets/d/1W5Jj_S0gYw6wSO7QcMI02YgyOBDKYgmm0NSUk-AQEac/edit?usp=share_link"",""ประจวบคีรีขันธ์!I669"")+IMPORTRANGE(""https://docs.google.com/spreadsheets/d/1nYxRXgnCfTXtqUY1otYuTlnrzE0Tn-Y0YRsW5pkRVqo/edit?usp=share_link"",""ปราจีนบุรี!I669"")+"&amp;"IMPORTRANGE(""https://docs.google.com/spreadsheets/d/1nNHCLO8ZAXOMfQvxux7cf_hrzPAh8FAvaHq_ClKbZNo/edit?usp=share_link"",""พระนครศรีอยุธยา!I669"")+IMPORTRANGE(""https://docs.google.com/spreadsheets/d/1CdNicvf3i6yt4tJlCePe3V1Va76wYqW0QzMzTsaGRrA/edit?usp=sh"&amp;"are_link"",""เพชรบุรี!I669"")+IMPORTRANGE(""https://docs.google.com/spreadsheets/d/1XiF77UIVHV0Kjc6xbXuOuJ10WgJYxd4p_22ngKVV5oM/edit?usp=share_link"",""ระยอง!I669"")+IMPORTRANGE(""https://docs.google.com/spreadsheets/d/1qU-W_9MCQD1pgIVXGEOjCFo9QqlmJywueby"&amp;"GgaN92r8/edit?usp=share_link"",""ราชบุรี!I669"")+IMPORTRANGE(""https://docs.google.com/spreadsheets/d/1xYFIxIM_CspAP5Q-5Zx_V0T_Ut3cjryrjd2hss28vGk/edit?usp=share_link"",""ลพบุรี!I669"")+IMPORTRANGE(""https://docs.google.com/spreadsheets/d/11s9m3tKsCBdPWq6"&amp;"syhZm27eBGbKneDLZc75co106bio/edit?usp=share_link"",""สระแก้ว!I669"")+IMPORTRANGE(""https://docs.google.com/spreadsheets/d/1Nn1EvsFPtXldgpgVb3Rcng2K2cls68LFQsBh2FyW0Bg/edit?usp=share_link"",""สระบุรี!I669"")+IMPORTRANGE(""https://docs.google.com/spreadshee"&amp;"ts/d/149xufxukrnEciK3WPbNpHwUK8BKEJxp3UcBG3Al6dA4/edit?usp=share_link"",""สิงห์บุรี!I669"")+IMPORTRANGE(""https://docs.google.com/spreadsheets/d/132g-zJpz2uMKimp17uOIx8A7o3w1Z25zwJyXnwsB56c/edit?usp=share_link"",""สุพรรณบุรี!I669"")+IMPORTRANGE(""https://"&amp;"docs.google.com/spreadsheets/d/12Q_U0nVnFdxDFwa0pej9xvx8ZvLC9Dpi_vRro_aiG5g/edit?usp=share_link"",""อ่างทอง!I669"")
"),1235)</f>
        <v>1235</v>
      </c>
      <c r="J669" s="194">
        <f ca="1"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1"/>
      <c r="R669" s="571"/>
      <c r="S669" s="571"/>
      <c r="T669" s="571"/>
      <c r="U669" s="571"/>
      <c r="V669" s="571"/>
      <c r="W669" s="571"/>
      <c r="X669" s="571"/>
      <c r="Y669" s="571"/>
      <c r="Z669" s="571"/>
    </row>
    <row r="670" spans="1:26" ht="20.25" customHeight="1">
      <c r="A670" s="601"/>
      <c r="B670" s="602"/>
      <c r="C670" s="602"/>
      <c r="D670" s="602"/>
      <c r="E670" s="187" t="s">
        <v>281</v>
      </c>
      <c r="F670" s="612"/>
      <c r="G670" s="175"/>
      <c r="H670" s="447" t="s">
        <v>69</v>
      </c>
      <c r="I670" s="37">
        <f ca="1">IFERROR(__xludf.DUMMYFUNCTION("IMPORTRANGE(""https://docs.google.com/spreadsheets/d/1hKO5uv94SSRZWOvrh72HRcpyoEQF9TsE_Cvxl77XNU4/edit?usp=share_link"",""กาญจนบุรี!I670"")+IMPORTRANGE(""https://docs.google.com/spreadsheets/d/1njBaP_xXd-Uotvo2D9zb01TTCFkLJLDK97Tk1l9Qux0/edit?usp=share_li"&amp;"nk"",""จันทบุรี!I670"")+IMPORTRANGE(""https://docs.google.com/spreadsheets/d/14xp6qUzrGFnUk_qnc1eEmfiaNRd4_grkhpfQH_46fa8/edit?usp=share_link"",""ฉะเชิงเทรา!I670"")+IMPORTRANGE(""https://docs.google.com/spreadsheets/d/1_Zwps30dlVa-pZFsorjVf1Pil6WXwzCsJU0U"&amp;"2whO3NI/edit?usp=share_link"",""ชลบุรี!I670"")+IMPORTRANGE(""https://docs.google.com/spreadsheets/d/1xAsT4sUbBlom7l0acStESh_15nvjZcXjZM7fK5uZSq8/edit?usp=share_link"",""ชัยนาท!I670"")+IMPORTRANGE(""https://docs.google.com/spreadsheets/d/1vWPVBOAaZ6mHSI8yf"&amp;"95DNqHwTJ1cpeFsvqt6cxV34QA/edit?usp=share_link"",""ตราด!I670"")+IMPORTRANGE(""https://docs.google.com/spreadsheets/d/1phaeSb9lTGgzDpbvVqI9hfmOQQzUom07-HEvpbARzEg/edit?usp=share_link"",""นครนายก!I670"")+IMPORTRANGE(""https://docs.google.com/spreadsheets/d/"&amp;"1tpwhWwkqkBeiSWCcfB5f2fbwPRbM9hHOEDSDHpl2MIc/edit?usp=share_link"",""นครปฐม!I670"")+IMPORTRANGE(""https://docs.google.com/spreadsheets/d/1fJJCVBkBnhriyv0Cp5ZFMr0I_yrfdEITNpb4zILJgUQ/edit?usp=share_link"",""ปทุมธานี!I670"")+IMPORTRANGE(""https://docs.googl"&amp;"e.com/spreadsheets/d/1W5Jj_S0gYw6wSO7QcMI02YgyOBDKYgmm0NSUk-AQEac/edit?usp=share_link"",""ประจวบคีรีขันธ์!I670"")+IMPORTRANGE(""https://docs.google.com/spreadsheets/d/1nYxRXgnCfTXtqUY1otYuTlnrzE0Tn-Y0YRsW5pkRVqo/edit?usp=share_link"",""ปราจีนบุรี!I670"")+"&amp;"IMPORTRANGE(""https://docs.google.com/spreadsheets/d/1nNHCLO8ZAXOMfQvxux7cf_hrzPAh8FAvaHq_ClKbZNo/edit?usp=share_link"",""พระนครศรีอยุธยา!I670"")+IMPORTRANGE(""https://docs.google.com/spreadsheets/d/1CdNicvf3i6yt4tJlCePe3V1Va76wYqW0QzMzTsaGRrA/edit?usp=sh"&amp;"are_link"",""เพชรบุรี!I670"")+IMPORTRANGE(""https://docs.google.com/spreadsheets/d/1XiF77UIVHV0Kjc6xbXuOuJ10WgJYxd4p_22ngKVV5oM/edit?usp=share_link"",""ระยอง!I670"")+IMPORTRANGE(""https://docs.google.com/spreadsheets/d/1qU-W_9MCQD1pgIVXGEOjCFo9QqlmJywueby"&amp;"GgaN92r8/edit?usp=share_link"",""ราชบุรี!I670"")+IMPORTRANGE(""https://docs.google.com/spreadsheets/d/1xYFIxIM_CspAP5Q-5Zx_V0T_Ut3cjryrjd2hss28vGk/edit?usp=share_link"",""ลพบุรี!I670"")+IMPORTRANGE(""https://docs.google.com/spreadsheets/d/11s9m3tKsCBdPWq6"&amp;"syhZm27eBGbKneDLZc75co106bio/edit?usp=share_link"",""สระแก้ว!I670"")+IMPORTRANGE(""https://docs.google.com/spreadsheets/d/1Nn1EvsFPtXldgpgVb3Rcng2K2cls68LFQsBh2FyW0Bg/edit?usp=share_link"",""สระบุรี!I670"")+IMPORTRANGE(""https://docs.google.com/spreadshee"&amp;"ts/d/149xufxukrnEciK3WPbNpHwUK8BKEJxp3UcBG3Al6dA4/edit?usp=share_link"",""สิงห์บุรี!I670"")+IMPORTRANGE(""https://docs.google.com/spreadsheets/d/132g-zJpz2uMKimp17uOIx8A7o3w1Z25zwJyXnwsB56c/edit?usp=share_link"",""สุพรรณบุรี!I670"")+IMPORTRANGE(""https://"&amp;"docs.google.com/spreadsheets/d/12Q_U0nVnFdxDFwa0pej9xvx8ZvLC9Dpi_vRro_aiG5g/edit?usp=share_link"",""อ่างทอง!I670"")
"),61)</f>
        <v>61</v>
      </c>
      <c r="J670" s="183">
        <f ca="1">IFERROR(__xludf.DUMMYFUNCTION("IMPORTRANGE(""https://docs.google.com/spreadsheets/d/1hKO5uv94SSRZWOvrh72HRcpyoEQF9TsE_Cvxl77XNU4/edit?usp=share_link"",""กาญจนบุรี!J670"")+IMPORTRANGE(""https://docs.google.com/spreadsheets/d/1njBaP_xXd-Uotvo2D9zb01TTCFkLJLDK97Tk1l9Qux0/edit?usp=share_li"&amp;"nk"",""จันทบุรี!J670"")+IMPORTRANGE(""https://docs.google.com/spreadsheets/d/14xp6qUzrGFnUk_qnc1eEmfiaNRd4_grkhpfQH_46fa8/edit?usp=share_link"",""ฉะเชิงเทรา!J670"")+IMPORTRANGE(""https://docs.google.com/spreadsheets/d/1_Zwps30dlVa-pZFsorjVf1Pil6WXwzCsJU0U"&amp;"2whO3NI/edit?usp=share_link"",""ชลบุรี!J670"")+IMPORTRANGE(""https://docs.google.com/spreadsheets/d/1xAsT4sUbBlom7l0acStESh_15nvjZcXjZM7fK5uZSq8/edit?usp=share_link"",""ชัยนาท!J670"")+IMPORTRANGE(""https://docs.google.com/spreadsheets/d/1vWPVBOAaZ6mHSI8yf"&amp;"95DNqHwTJ1cpeFsvqt6cxV34QA/edit?usp=share_link"",""ตราด!J670"")+IMPORTRANGE(""https://docs.google.com/spreadsheets/d/1phaeSb9lTGgzDpbvVqI9hfmOQQzUom07-HEvpbARzEg/edit?usp=share_link"",""นครนายก!J670"")+IMPORTRANGE(""https://docs.google.com/spreadsheets/d/"&amp;"1tpwhWwkqkBeiSWCcfB5f2fbwPRbM9hHOEDSDHpl2MIc/edit?usp=share_link"",""นครปฐม!J670"")+IMPORTRANGE(""https://docs.google.com/spreadsheets/d/1fJJCVBkBnhriyv0Cp5ZFMr0I_yrfdEITNpb4zILJgUQ/edit?usp=share_link"",""ปทุมธานี!J670"")+IMPORTRANGE(""https://docs.googl"&amp;"e.com/spreadsheets/d/1W5Jj_S0gYw6wSO7QcMI02YgyOBDKYgmm0NSUk-AQEac/edit?usp=share_link"",""ประจวบคีรีขันธ์!J670"")+IMPORTRANGE(""https://docs.google.com/spreadsheets/d/1nYxRXgnCfTXtqUY1otYuTlnrzE0Tn-Y0YRsW5pkRVqo/edit?usp=share_link"",""ปราจีนบุรี!J670"")+"&amp;"IMPORTRANGE(""https://docs.google.com/spreadsheets/d/1nNHCLO8ZAXOMfQvxux7cf_hrzPAh8FAvaHq_ClKbZNo/edit?usp=share_link"",""พระนครศรีอยุธยา!J670"")+IMPORTRANGE(""https://docs.google.com/spreadsheets/d/1CdNicvf3i6yt4tJlCePe3V1Va76wYqW0QzMzTsaGRrA/edit?usp=sh"&amp;"are_link"",""เพชรบุรี!J670"")+IMPORTRANGE(""https://docs.google.com/spreadsheets/d/1XiF77UIVHV0Kjc6xbXuOuJ10WgJYxd4p_22ngKVV5oM/edit?usp=share_link"",""ระยอง!J670"")+IMPORTRANGE(""https://docs.google.com/spreadsheets/d/1qU-W_9MCQD1pgIVXGEOjCFo9QqlmJywueby"&amp;"GgaN92r8/edit?usp=share_link"",""ราชบุรี!J670"")+IMPORTRANGE(""https://docs.google.com/spreadsheets/d/1xYFIxIM_CspAP5Q-5Zx_V0T_Ut3cjryrjd2hss28vGk/edit?usp=share_link"",""ลพบุรี!J670"")+IMPORTRANGE(""https://docs.google.com/spreadsheets/d/11s9m3tKsCBdPWq6"&amp;"syhZm27eBGbKneDLZc75co106bio/edit?usp=share_link"",""สระแก้ว!J670"")+IMPORTRANGE(""https://docs.google.com/spreadsheets/d/1Nn1EvsFPtXldgpgVb3Rcng2K2cls68LFQsBh2FyW0Bg/edit?usp=share_link"",""สระบุรี!J670"")+IMPORTRANGE(""https://docs.google.com/spreadshee"&amp;"ts/d/149xufxukrnEciK3WPbNpHwUK8BKEJxp3UcBG3Al6dA4/edit?usp=share_link"",""สิงห์บุรี!J670"")+IMPORTRANGE(""https://docs.google.com/spreadsheets/d/132g-zJpz2uMKimp17uOIx8A7o3w1Z25zwJyXnwsB56c/edit?usp=share_link"",""สุพรรณบุรี!J670"")+IMPORTRANGE(""https://"&amp;"docs.google.com/spreadsheets/d/12Q_U0nVnFdxDFwa0pej9xvx8ZvLC9Dpi_vRro_aiG5g/edit?usp=share_link"",""อ่างทอง!J670"")
"),32)</f>
        <v>32</v>
      </c>
      <c r="K670" s="38">
        <f ca="1">IF(I670&gt;0,(J670*100)/I670,0)</f>
        <v>52.459016393442624</v>
      </c>
      <c r="L670" s="163"/>
      <c r="M670" s="163"/>
      <c r="N670" s="163"/>
      <c r="O670" s="163"/>
      <c r="P670" s="163"/>
      <c r="Q670" s="571"/>
      <c r="R670" s="571"/>
      <c r="S670" s="571"/>
      <c r="T670" s="571"/>
      <c r="U670" s="571"/>
      <c r="V670" s="571"/>
      <c r="W670" s="571"/>
      <c r="X670" s="571"/>
      <c r="Y670" s="571"/>
      <c r="Z670" s="571"/>
    </row>
    <row r="671" spans="1:26" ht="20.25" customHeight="1">
      <c r="A671" s="601"/>
      <c r="B671" s="602"/>
      <c r="C671" s="602"/>
      <c r="D671" s="602"/>
      <c r="E671" s="187" t="s">
        <v>282</v>
      </c>
      <c r="F671" s="612"/>
      <c r="G671" s="175"/>
      <c r="H671" s="447" t="s">
        <v>69</v>
      </c>
      <c r="I671" s="37">
        <f ca="1">IFERROR(__xludf.DUMMYFUNCTION("IMPORTRANGE(""https://docs.google.com/spreadsheets/d/1hKO5uv94SSRZWOvrh72HRcpyoEQF9TsE_Cvxl77XNU4/edit?usp=share_link"",""กาญจนบุรี!I671"")+IMPORTRANGE(""https://docs.google.com/spreadsheets/d/1njBaP_xXd-Uotvo2D9zb01TTCFkLJLDK97Tk1l9Qux0/edit?usp=share_li"&amp;"nk"",""จันทบุรี!I671"")+IMPORTRANGE(""https://docs.google.com/spreadsheets/d/14xp6qUzrGFnUk_qnc1eEmfiaNRd4_grkhpfQH_46fa8/edit?usp=share_link"",""ฉะเชิงเทรา!I671"")+IMPORTRANGE(""https://docs.google.com/spreadsheets/d/1_Zwps30dlVa-pZFsorjVf1Pil6WXwzCsJU0U"&amp;"2whO3NI/edit?usp=share_link"",""ชลบุรี!I671"")+IMPORTRANGE(""https://docs.google.com/spreadsheets/d/1xAsT4sUbBlom7l0acStESh_15nvjZcXjZM7fK5uZSq8/edit?usp=share_link"",""ชัยนาท!I671"")+IMPORTRANGE(""https://docs.google.com/spreadsheets/d/1vWPVBOAaZ6mHSI8yf"&amp;"95DNqHwTJ1cpeFsvqt6cxV34QA/edit?usp=share_link"",""ตราด!I671"")+IMPORTRANGE(""https://docs.google.com/spreadsheets/d/1phaeSb9lTGgzDpbvVqI9hfmOQQzUom07-HEvpbARzEg/edit?usp=share_link"",""นครนายก!I671"")+IMPORTRANGE(""https://docs.google.com/spreadsheets/d/"&amp;"1tpwhWwkqkBeiSWCcfB5f2fbwPRbM9hHOEDSDHpl2MIc/edit?usp=share_link"",""นครปฐม!I671"")+IMPORTRANGE(""https://docs.google.com/spreadsheets/d/1fJJCVBkBnhriyv0Cp5ZFMr0I_yrfdEITNpb4zILJgUQ/edit?usp=share_link"",""ปทุมธานี!I671"")+IMPORTRANGE(""https://docs.googl"&amp;"e.com/spreadsheets/d/1W5Jj_S0gYw6wSO7QcMI02YgyOBDKYgmm0NSUk-AQEac/edit?usp=share_link"",""ประจวบคีรีขันธ์!I671"")+IMPORTRANGE(""https://docs.google.com/spreadsheets/d/1nYxRXgnCfTXtqUY1otYuTlnrzE0Tn-Y0YRsW5pkRVqo/edit?usp=share_link"",""ปราจีนบุรี!I671"")+"&amp;"IMPORTRANGE(""https://docs.google.com/spreadsheets/d/1nNHCLO8ZAXOMfQvxux7cf_hrzPAh8FAvaHq_ClKbZNo/edit?usp=share_link"",""พระนครศรีอยุธยา!I671"")+IMPORTRANGE(""https://docs.google.com/spreadsheets/d/1CdNicvf3i6yt4tJlCePe3V1Va76wYqW0QzMzTsaGRrA/edit?usp=sh"&amp;"are_link"",""เพชรบุรี!I671"")+IMPORTRANGE(""https://docs.google.com/spreadsheets/d/1XiF77UIVHV0Kjc6xbXuOuJ10WgJYxd4p_22ngKVV5oM/edit?usp=share_link"",""ระยอง!I671"")+IMPORTRANGE(""https://docs.google.com/spreadsheets/d/1qU-W_9MCQD1pgIVXGEOjCFo9QqlmJywueby"&amp;"GgaN92r8/edit?usp=share_link"",""ราชบุรี!I671"")+IMPORTRANGE(""https://docs.google.com/spreadsheets/d/1xYFIxIM_CspAP5Q-5Zx_V0T_Ut3cjryrjd2hss28vGk/edit?usp=share_link"",""ลพบุรี!I671"")+IMPORTRANGE(""https://docs.google.com/spreadsheets/d/11s9m3tKsCBdPWq6"&amp;"syhZm27eBGbKneDLZc75co106bio/edit?usp=share_link"",""สระแก้ว!I671"")+IMPORTRANGE(""https://docs.google.com/spreadsheets/d/1Nn1EvsFPtXldgpgVb3Rcng2K2cls68LFQsBh2FyW0Bg/edit?usp=share_link"",""สระบุรี!I671"")+IMPORTRANGE(""https://docs.google.com/spreadshee"&amp;"ts/d/149xufxukrnEciK3WPbNpHwUK8BKEJxp3UcBG3Al6dA4/edit?usp=share_link"",""สิงห์บุรี!I671"")+IMPORTRANGE(""https://docs.google.com/spreadsheets/d/132g-zJpz2uMKimp17uOIx8A7o3w1Z25zwJyXnwsB56c/edit?usp=share_link"",""สุพรรณบุรี!I671"")+IMPORTRANGE(""https://"&amp;"docs.google.com/spreadsheets/d/12Q_U0nVnFdxDFwa0pej9xvx8ZvLC9Dpi_vRro_aiG5g/edit?usp=share_link"",""อ่างทอง!I671"")
"),61)</f>
        <v>61</v>
      </c>
      <c r="J671" s="183">
        <f ca="1">IFERROR(__xludf.DUMMYFUNCTION("IMPORTRANGE(""https://docs.google.com/spreadsheets/d/1hKO5uv94SSRZWOvrh72HRcpyoEQF9TsE_Cvxl77XNU4/edit?usp=share_link"",""กาญจนบุรี!J671"")+IMPORTRANGE(""https://docs.google.com/spreadsheets/d/1njBaP_xXd-Uotvo2D9zb01TTCFkLJLDK97Tk1l9Qux0/edit?usp=share_li"&amp;"nk"",""จันทบุรี!J671"")+IMPORTRANGE(""https://docs.google.com/spreadsheets/d/14xp6qUzrGFnUk_qnc1eEmfiaNRd4_grkhpfQH_46fa8/edit?usp=share_link"",""ฉะเชิงเทรา!J671"")+IMPORTRANGE(""https://docs.google.com/spreadsheets/d/1_Zwps30dlVa-pZFsorjVf1Pil6WXwzCsJU0U"&amp;"2whO3NI/edit?usp=share_link"",""ชลบุรี!J671"")+IMPORTRANGE(""https://docs.google.com/spreadsheets/d/1xAsT4sUbBlom7l0acStESh_15nvjZcXjZM7fK5uZSq8/edit?usp=share_link"",""ชัยนาท!J671"")+IMPORTRANGE(""https://docs.google.com/spreadsheets/d/1vWPVBOAaZ6mHSI8yf"&amp;"95DNqHwTJ1cpeFsvqt6cxV34QA/edit?usp=share_link"",""ตราด!J671"")+IMPORTRANGE(""https://docs.google.com/spreadsheets/d/1phaeSb9lTGgzDpbvVqI9hfmOQQzUom07-HEvpbARzEg/edit?usp=share_link"",""นครนายก!J671"")+IMPORTRANGE(""https://docs.google.com/spreadsheets/d/"&amp;"1tpwhWwkqkBeiSWCcfB5f2fbwPRbM9hHOEDSDHpl2MIc/edit?usp=share_link"",""นครปฐม!J671"")+IMPORTRANGE(""https://docs.google.com/spreadsheets/d/1fJJCVBkBnhriyv0Cp5ZFMr0I_yrfdEITNpb4zILJgUQ/edit?usp=share_link"",""ปทุมธานี!J671"")+IMPORTRANGE(""https://docs.googl"&amp;"e.com/spreadsheets/d/1W5Jj_S0gYw6wSO7QcMI02YgyOBDKYgmm0NSUk-AQEac/edit?usp=share_link"",""ประจวบคีรีขันธ์!J671"")+IMPORTRANGE(""https://docs.google.com/spreadsheets/d/1nYxRXgnCfTXtqUY1otYuTlnrzE0Tn-Y0YRsW5pkRVqo/edit?usp=share_link"",""ปราจีนบุรี!J671"")+"&amp;"IMPORTRANGE(""https://docs.google.com/spreadsheets/d/1nNHCLO8ZAXOMfQvxux7cf_hrzPAh8FAvaHq_ClKbZNo/edit?usp=share_link"",""พระนครศรีอยุธยา!J671"")+IMPORTRANGE(""https://docs.google.com/spreadsheets/d/1CdNicvf3i6yt4tJlCePe3V1Va76wYqW0QzMzTsaGRrA/edit?usp=sh"&amp;"are_link"",""เพชรบุรี!J671"")+IMPORTRANGE(""https://docs.google.com/spreadsheets/d/1XiF77UIVHV0Kjc6xbXuOuJ10WgJYxd4p_22ngKVV5oM/edit?usp=share_link"",""ระยอง!J671"")+IMPORTRANGE(""https://docs.google.com/spreadsheets/d/1qU-W_9MCQD1pgIVXGEOjCFo9QqlmJywueby"&amp;"GgaN92r8/edit?usp=share_link"",""ราชบุรี!J671"")+IMPORTRANGE(""https://docs.google.com/spreadsheets/d/1xYFIxIM_CspAP5Q-5Zx_V0T_Ut3cjryrjd2hss28vGk/edit?usp=share_link"",""ลพบุรี!J671"")+IMPORTRANGE(""https://docs.google.com/spreadsheets/d/11s9m3tKsCBdPWq6"&amp;"syhZm27eBGbKneDLZc75co106bio/edit?usp=share_link"",""สระแก้ว!J671"")+IMPORTRANGE(""https://docs.google.com/spreadsheets/d/1Nn1EvsFPtXldgpgVb3Rcng2K2cls68LFQsBh2FyW0Bg/edit?usp=share_link"",""สระบุรี!J671"")+IMPORTRANGE(""https://docs.google.com/spreadshee"&amp;"ts/d/149xufxukrnEciK3WPbNpHwUK8BKEJxp3UcBG3Al6dA4/edit?usp=share_link"",""สิงห์บุรี!J671"")+IMPORTRANGE(""https://docs.google.com/spreadsheets/d/132g-zJpz2uMKimp17uOIx8A7o3w1Z25zwJyXnwsB56c/edit?usp=share_link"",""สุพรรณบุรี!J671"")+IMPORTRANGE(""https://"&amp;"docs.google.com/spreadsheets/d/12Q_U0nVnFdxDFwa0pej9xvx8ZvLC9Dpi_vRro_aiG5g/edit?usp=share_link"",""อ่างทอง!J671"")
"),22)</f>
        <v>22</v>
      </c>
      <c r="K671" s="38">
        <f ca="1">IF(I$671&gt;0,J671*100/I$671,0)</f>
        <v>36.065573770491802</v>
      </c>
      <c r="L671" s="163"/>
      <c r="M671" s="163"/>
      <c r="N671" s="163"/>
      <c r="O671" s="163"/>
      <c r="P671" s="163"/>
      <c r="Q671" s="571"/>
      <c r="R671" s="571"/>
      <c r="S671" s="571"/>
      <c r="T671" s="571"/>
      <c r="U671" s="571"/>
      <c r="V671" s="571"/>
      <c r="W671" s="571"/>
      <c r="X671" s="571"/>
      <c r="Y671" s="571"/>
      <c r="Z671" s="571"/>
    </row>
    <row r="672" spans="1:26" ht="20.25" customHeight="1">
      <c r="A672" s="601"/>
      <c r="B672" s="602"/>
      <c r="C672" s="602"/>
      <c r="D672" s="602"/>
      <c r="E672" s="187" t="s">
        <v>283</v>
      </c>
      <c r="F672" s="612"/>
      <c r="G672" s="175"/>
      <c r="H672" s="182" t="s">
        <v>46</v>
      </c>
      <c r="I672" s="37"/>
      <c r="J672" s="183">
        <f ca="1">IFERROR(__xludf.DUMMYFUNCTION("IMPORTRANGE(""https://docs.google.com/spreadsheets/d/1hKO5uv94SSRZWOvrh72HRcpyoEQF9TsE_Cvxl77XNU4/edit?usp=share_link"",""กาญจนบุรี!J672"")+IMPORTRANGE(""https://docs.google.com/spreadsheets/d/1njBaP_xXd-Uotvo2D9zb01TTCFkLJLDK97Tk1l9Qux0/edit?usp=share_li"&amp;"nk"",""จันทบุรี!J672"")+IMPORTRANGE(""https://docs.google.com/spreadsheets/d/14xp6qUzrGFnUk_qnc1eEmfiaNRd4_grkhpfQH_46fa8/edit?usp=share_link"",""ฉะเชิงเทรา!J672"")+IMPORTRANGE(""https://docs.google.com/spreadsheets/d/1_Zwps30dlVa-pZFsorjVf1Pil6WXwzCsJU0U"&amp;"2whO3NI/edit?usp=share_link"",""ชลบุรี!J672"")+IMPORTRANGE(""https://docs.google.com/spreadsheets/d/1xAsT4sUbBlom7l0acStESh_15nvjZcXjZM7fK5uZSq8/edit?usp=share_link"",""ชัยนาท!J672"")+IMPORTRANGE(""https://docs.google.com/spreadsheets/d/1vWPVBOAaZ6mHSI8yf"&amp;"95DNqHwTJ1cpeFsvqt6cxV34QA/edit?usp=share_link"",""ตราด!J672"")+IMPORTRANGE(""https://docs.google.com/spreadsheets/d/1phaeSb9lTGgzDpbvVqI9hfmOQQzUom07-HEvpbARzEg/edit?usp=share_link"",""นครนายก!J672"")+IMPORTRANGE(""https://docs.google.com/spreadsheets/d/"&amp;"1tpwhWwkqkBeiSWCcfB5f2fbwPRbM9hHOEDSDHpl2MIc/edit?usp=share_link"",""นครปฐม!J672"")+IMPORTRANGE(""https://docs.google.com/spreadsheets/d/1fJJCVBkBnhriyv0Cp5ZFMr0I_yrfdEITNpb4zILJgUQ/edit?usp=share_link"",""ปทุมธานี!J672"")+IMPORTRANGE(""https://docs.googl"&amp;"e.com/spreadsheets/d/1W5Jj_S0gYw6wSO7QcMI02YgyOBDKYgmm0NSUk-AQEac/edit?usp=share_link"",""ประจวบคีรีขันธ์!J672"")+IMPORTRANGE(""https://docs.google.com/spreadsheets/d/1nYxRXgnCfTXtqUY1otYuTlnrzE0Tn-Y0YRsW5pkRVqo/edit?usp=share_link"",""ปราจีนบุรี!J672"")+"&amp;"IMPORTRANGE(""https://docs.google.com/spreadsheets/d/1nNHCLO8ZAXOMfQvxux7cf_hrzPAh8FAvaHq_ClKbZNo/edit?usp=share_link"",""พระนครศรีอยุธยา!J672"")+IMPORTRANGE(""https://docs.google.com/spreadsheets/d/1CdNicvf3i6yt4tJlCePe3V1Va76wYqW0QzMzTsaGRrA/edit?usp=sh"&amp;"are_link"",""เพชรบุรี!J672"")+IMPORTRANGE(""https://docs.google.com/spreadsheets/d/1XiF77UIVHV0Kjc6xbXuOuJ10WgJYxd4p_22ngKVV5oM/edit?usp=share_link"",""ระยอง!J672"")+IMPORTRANGE(""https://docs.google.com/spreadsheets/d/1qU-W_9MCQD1pgIVXGEOjCFo9QqlmJywueby"&amp;"GgaN92r8/edit?usp=share_link"",""ราชบุรี!J672"")+IMPORTRANGE(""https://docs.google.com/spreadsheets/d/1xYFIxIM_CspAP5Q-5Zx_V0T_Ut3cjryrjd2hss28vGk/edit?usp=share_link"",""ลพบุรี!J672"")+IMPORTRANGE(""https://docs.google.com/spreadsheets/d/11s9m3tKsCBdPWq6"&amp;"syhZm27eBGbKneDLZc75co106bio/edit?usp=share_link"",""สระแก้ว!J672"")+IMPORTRANGE(""https://docs.google.com/spreadsheets/d/1Nn1EvsFPtXldgpgVb3Rcng2K2cls68LFQsBh2FyW0Bg/edit?usp=share_link"",""สระบุรี!J672"")+IMPORTRANGE(""https://docs.google.com/spreadshee"&amp;"ts/d/149xufxukrnEciK3WPbNpHwUK8BKEJxp3UcBG3Al6dA4/edit?usp=share_link"",""สิงห์บุรี!J672"")+IMPORTRANGE(""https://docs.google.com/spreadsheets/d/132g-zJpz2uMKimp17uOIx8A7o3w1Z25zwJyXnwsB56c/edit?usp=share_link"",""สุพรรณบุรี!J672"")+IMPORTRANGE(""https://"&amp;"docs.google.com/spreadsheets/d/12Q_U0nVnFdxDFwa0pej9xvx8ZvLC9Dpi_vRro_aiG5g/edit?usp=share_link"",""อ่างทอง!J672"")
"),126)</f>
        <v>126</v>
      </c>
      <c r="K672" s="38">
        <f t="shared" ref="K672:K675" ca="1" si="320">IF(I$669&gt;0,J672*100/I$669,0)</f>
        <v>10.20242914979757</v>
      </c>
      <c r="L672" s="163"/>
      <c r="M672" s="163"/>
      <c r="N672" s="163"/>
      <c r="O672" s="163"/>
      <c r="P672" s="163"/>
      <c r="Q672" s="571"/>
      <c r="R672" s="571"/>
      <c r="S672" s="571"/>
      <c r="T672" s="571"/>
      <c r="U672" s="571"/>
      <c r="V672" s="571"/>
      <c r="W672" s="571"/>
      <c r="X672" s="571"/>
      <c r="Y672" s="571"/>
      <c r="Z672" s="571"/>
    </row>
    <row r="673" spans="1:26" ht="20.25" customHeight="1">
      <c r="A673" s="601"/>
      <c r="B673" s="602"/>
      <c r="C673" s="602"/>
      <c r="D673" s="602"/>
      <c r="E673" s="187" t="s">
        <v>284</v>
      </c>
      <c r="F673" s="612"/>
      <c r="G673" s="175"/>
      <c r="H673" s="182" t="s">
        <v>46</v>
      </c>
      <c r="I673" s="37"/>
      <c r="J673" s="183">
        <f ca="1">IFERROR(__xludf.DUMMYFUNCTION("IMPORTRANGE(""https://docs.google.com/spreadsheets/d/1hKO5uv94SSRZWOvrh72HRcpyoEQF9TsE_Cvxl77XNU4/edit?usp=share_link"",""กาญจนบุรี!J673"")+IMPORTRANGE(""https://docs.google.com/spreadsheets/d/1njBaP_xXd-Uotvo2D9zb01TTCFkLJLDK97Tk1l9Qux0/edit?usp=share_li"&amp;"nk"",""จันทบุรี!J673"")+IMPORTRANGE(""https://docs.google.com/spreadsheets/d/14xp6qUzrGFnUk_qnc1eEmfiaNRd4_grkhpfQH_46fa8/edit?usp=share_link"",""ฉะเชิงเทรา!J673"")+IMPORTRANGE(""https://docs.google.com/spreadsheets/d/1_Zwps30dlVa-pZFsorjVf1Pil6WXwzCsJU0U"&amp;"2whO3NI/edit?usp=share_link"",""ชลบุรี!J673"")+IMPORTRANGE(""https://docs.google.com/spreadsheets/d/1xAsT4sUbBlom7l0acStESh_15nvjZcXjZM7fK5uZSq8/edit?usp=share_link"",""ชัยนาท!J673"")+IMPORTRANGE(""https://docs.google.com/spreadsheets/d/1vWPVBOAaZ6mHSI8yf"&amp;"95DNqHwTJ1cpeFsvqt6cxV34QA/edit?usp=share_link"",""ตราด!J673"")+IMPORTRANGE(""https://docs.google.com/spreadsheets/d/1phaeSb9lTGgzDpbvVqI9hfmOQQzUom07-HEvpbARzEg/edit?usp=share_link"",""นครนายก!J673"")+IMPORTRANGE(""https://docs.google.com/spreadsheets/d/"&amp;"1tpwhWwkqkBeiSWCcfB5f2fbwPRbM9hHOEDSDHpl2MIc/edit?usp=share_link"",""นครปฐม!J673"")+IMPORTRANGE(""https://docs.google.com/spreadsheets/d/1fJJCVBkBnhriyv0Cp5ZFMr0I_yrfdEITNpb4zILJgUQ/edit?usp=share_link"",""ปทุมธานี!J673"")+IMPORTRANGE(""https://docs.googl"&amp;"e.com/spreadsheets/d/1W5Jj_S0gYw6wSO7QcMI02YgyOBDKYgmm0NSUk-AQEac/edit?usp=share_link"",""ประจวบคีรีขันธ์!J673"")+IMPORTRANGE(""https://docs.google.com/spreadsheets/d/1nYxRXgnCfTXtqUY1otYuTlnrzE0Tn-Y0YRsW5pkRVqo/edit?usp=share_link"",""ปราจีนบุรี!J673"")+"&amp;"IMPORTRANGE(""https://docs.google.com/spreadsheets/d/1nNHCLO8ZAXOMfQvxux7cf_hrzPAh8FAvaHq_ClKbZNo/edit?usp=share_link"",""พระนครศรีอยุธยา!J673"")+IMPORTRANGE(""https://docs.google.com/spreadsheets/d/1CdNicvf3i6yt4tJlCePe3V1Va76wYqW0QzMzTsaGRrA/edit?usp=sh"&amp;"are_link"",""เพชรบุรี!J673"")+IMPORTRANGE(""https://docs.google.com/spreadsheets/d/1XiF77UIVHV0Kjc6xbXuOuJ10WgJYxd4p_22ngKVV5oM/edit?usp=share_link"",""ระยอง!J673"")+IMPORTRANGE(""https://docs.google.com/spreadsheets/d/1qU-W_9MCQD1pgIVXGEOjCFo9QqlmJywueby"&amp;"GgaN92r8/edit?usp=share_link"",""ราชบุรี!J673"")+IMPORTRANGE(""https://docs.google.com/spreadsheets/d/1xYFIxIM_CspAP5Q-5Zx_V0T_Ut3cjryrjd2hss28vGk/edit?usp=share_link"",""ลพบุรี!J673"")+IMPORTRANGE(""https://docs.google.com/spreadsheets/d/11s9m3tKsCBdPWq6"&amp;"syhZm27eBGbKneDLZc75co106bio/edit?usp=share_link"",""สระแก้ว!J673"")+IMPORTRANGE(""https://docs.google.com/spreadsheets/d/1Nn1EvsFPtXldgpgVb3Rcng2K2cls68LFQsBh2FyW0Bg/edit?usp=share_link"",""สระบุรี!J673"")+IMPORTRANGE(""https://docs.google.com/spreadshee"&amp;"ts/d/149xufxukrnEciK3WPbNpHwUK8BKEJxp3UcBG3Al6dA4/edit?usp=share_link"",""สิงห์บุรี!J673"")+IMPORTRANGE(""https://docs.google.com/spreadsheets/d/132g-zJpz2uMKimp17uOIx8A7o3w1Z25zwJyXnwsB56c/edit?usp=share_link"",""สุพรรณบุรี!J673"")+IMPORTRANGE(""https://"&amp;"docs.google.com/spreadsheets/d/12Q_U0nVnFdxDFwa0pej9xvx8ZvLC9Dpi_vRro_aiG5g/edit?usp=share_link"",""อ่างทอง!J673"")
"),0)</f>
        <v>0</v>
      </c>
      <c r="K673" s="38">
        <f t="shared" ca="1" si="320"/>
        <v>0</v>
      </c>
      <c r="L673" s="163"/>
      <c r="M673" s="163"/>
      <c r="N673" s="163"/>
      <c r="O673" s="163"/>
      <c r="P673" s="163"/>
      <c r="Q673" s="571"/>
      <c r="R673" s="571"/>
      <c r="S673" s="571"/>
      <c r="T673" s="571"/>
      <c r="U673" s="571"/>
      <c r="V673" s="571"/>
      <c r="W673" s="571"/>
      <c r="X673" s="571"/>
      <c r="Y673" s="571"/>
      <c r="Z673" s="571"/>
    </row>
    <row r="674" spans="1:26" ht="20.25" customHeight="1">
      <c r="A674" s="601"/>
      <c r="B674" s="602"/>
      <c r="C674" s="602"/>
      <c r="D674" s="602"/>
      <c r="E674" s="187" t="s">
        <v>285</v>
      </c>
      <c r="F674" s="612"/>
      <c r="G674" s="175"/>
      <c r="H674" s="182" t="s">
        <v>46</v>
      </c>
      <c r="I674" s="37"/>
      <c r="J674" s="183">
        <f ca="1">IFERROR(__xludf.DUMMYFUNCTION("IMPORTRANGE(""https://docs.google.com/spreadsheets/d/1hKO5uv94SSRZWOvrh72HRcpyoEQF9TsE_Cvxl77XNU4/edit?usp=share_link"",""กาญจนบุรี!J674"")+IMPORTRANGE(""https://docs.google.com/spreadsheets/d/1njBaP_xXd-Uotvo2D9zb01TTCFkLJLDK97Tk1l9Qux0/edit?usp=share_li"&amp;"nk"",""จันทบุรี!J674"")+IMPORTRANGE(""https://docs.google.com/spreadsheets/d/14xp6qUzrGFnUk_qnc1eEmfiaNRd4_grkhpfQH_46fa8/edit?usp=share_link"",""ฉะเชิงเทรา!J674"")+IMPORTRANGE(""https://docs.google.com/spreadsheets/d/1_Zwps30dlVa-pZFsorjVf1Pil6WXwzCsJU0U"&amp;"2whO3NI/edit?usp=share_link"",""ชลบุรี!J674"")+IMPORTRANGE(""https://docs.google.com/spreadsheets/d/1xAsT4sUbBlom7l0acStESh_15nvjZcXjZM7fK5uZSq8/edit?usp=share_link"",""ชัยนาท!J674"")+IMPORTRANGE(""https://docs.google.com/spreadsheets/d/1vWPVBOAaZ6mHSI8yf"&amp;"95DNqHwTJ1cpeFsvqt6cxV34QA/edit?usp=share_link"",""ตราด!J674"")+IMPORTRANGE(""https://docs.google.com/spreadsheets/d/1phaeSb9lTGgzDpbvVqI9hfmOQQzUom07-HEvpbARzEg/edit?usp=share_link"",""นครนายก!J674"")+IMPORTRANGE(""https://docs.google.com/spreadsheets/d/"&amp;"1tpwhWwkqkBeiSWCcfB5f2fbwPRbM9hHOEDSDHpl2MIc/edit?usp=share_link"",""นครปฐม!J674"")+IMPORTRANGE(""https://docs.google.com/spreadsheets/d/1fJJCVBkBnhriyv0Cp5ZFMr0I_yrfdEITNpb4zILJgUQ/edit?usp=share_link"",""ปทุมธานี!J674"")+IMPORTRANGE(""https://docs.googl"&amp;"e.com/spreadsheets/d/1W5Jj_S0gYw6wSO7QcMI02YgyOBDKYgmm0NSUk-AQEac/edit?usp=share_link"",""ประจวบคีรีขันธ์!J674"")+IMPORTRANGE(""https://docs.google.com/spreadsheets/d/1nYxRXgnCfTXtqUY1otYuTlnrzE0Tn-Y0YRsW5pkRVqo/edit?usp=share_link"",""ปราจีนบุรี!J674"")+"&amp;"IMPORTRANGE(""https://docs.google.com/spreadsheets/d/1nNHCLO8ZAXOMfQvxux7cf_hrzPAh8FAvaHq_ClKbZNo/edit?usp=share_link"",""พระนครศรีอยุธยา!J674"")+IMPORTRANGE(""https://docs.google.com/spreadsheets/d/1CdNicvf3i6yt4tJlCePe3V1Va76wYqW0QzMzTsaGRrA/edit?usp=sh"&amp;"are_link"",""เพชรบุรี!J674"")+IMPORTRANGE(""https://docs.google.com/spreadsheets/d/1XiF77UIVHV0Kjc6xbXuOuJ10WgJYxd4p_22ngKVV5oM/edit?usp=share_link"",""ระยอง!J674"")+IMPORTRANGE(""https://docs.google.com/spreadsheets/d/1qU-W_9MCQD1pgIVXGEOjCFo9QqlmJywueby"&amp;"GgaN92r8/edit?usp=share_link"",""ราชบุรี!J674"")+IMPORTRANGE(""https://docs.google.com/spreadsheets/d/1xYFIxIM_CspAP5Q-5Zx_V0T_Ut3cjryrjd2hss28vGk/edit?usp=share_link"",""ลพบุรี!J674"")+IMPORTRANGE(""https://docs.google.com/spreadsheets/d/11s9m3tKsCBdPWq6"&amp;"syhZm27eBGbKneDLZc75co106bio/edit?usp=share_link"",""สระแก้ว!J674"")+IMPORTRANGE(""https://docs.google.com/spreadsheets/d/1Nn1EvsFPtXldgpgVb3Rcng2K2cls68LFQsBh2FyW0Bg/edit?usp=share_link"",""สระบุรี!J674"")+IMPORTRANGE(""https://docs.google.com/spreadshee"&amp;"ts/d/149xufxukrnEciK3WPbNpHwUK8BKEJxp3UcBG3Al6dA4/edit?usp=share_link"",""สิงห์บุรี!J674"")+IMPORTRANGE(""https://docs.google.com/spreadsheets/d/132g-zJpz2uMKimp17uOIx8A7o3w1Z25zwJyXnwsB56c/edit?usp=share_link"",""สุพรรณบุรี!J674"")+IMPORTRANGE(""https://"&amp;"docs.google.com/spreadsheets/d/12Q_U0nVnFdxDFwa0pej9xvx8ZvLC9Dpi_vRro_aiG5g/edit?usp=share_link"",""อ่างทอง!J674"")
"),0)</f>
        <v>0</v>
      </c>
      <c r="K674" s="38">
        <f t="shared" ca="1" si="320"/>
        <v>0</v>
      </c>
      <c r="L674" s="163"/>
      <c r="M674" s="163"/>
      <c r="N674" s="163"/>
      <c r="O674" s="163"/>
      <c r="P674" s="163"/>
      <c r="Q674" s="571"/>
      <c r="R674" s="571"/>
      <c r="S674" s="571"/>
      <c r="T674" s="571"/>
      <c r="U674" s="571"/>
      <c r="V674" s="571"/>
      <c r="W674" s="571"/>
      <c r="X674" s="571"/>
      <c r="Y674" s="571"/>
      <c r="Z674" s="571"/>
    </row>
    <row r="675" spans="1:26" ht="20.25" customHeight="1">
      <c r="A675" s="601"/>
      <c r="B675" s="602"/>
      <c r="C675" s="602"/>
      <c r="D675" s="602"/>
      <c r="E675" s="187" t="s">
        <v>286</v>
      </c>
      <c r="F675" s="612"/>
      <c r="G675" s="175"/>
      <c r="H675" s="182" t="s">
        <v>46</v>
      </c>
      <c r="I675" s="37"/>
      <c r="J675" s="194">
        <f ca="1">J676+J677</f>
        <v>0</v>
      </c>
      <c r="K675" s="195">
        <f t="shared" ca="1" si="320"/>
        <v>0</v>
      </c>
      <c r="L675" s="163"/>
      <c r="M675" s="163"/>
      <c r="N675" s="163"/>
      <c r="O675" s="163"/>
      <c r="P675" s="163"/>
      <c r="Q675" s="571"/>
      <c r="R675" s="571"/>
      <c r="S675" s="571"/>
      <c r="T675" s="571"/>
      <c r="U675" s="571"/>
      <c r="V675" s="571"/>
      <c r="W675" s="571"/>
      <c r="X675" s="571"/>
      <c r="Y675" s="571"/>
      <c r="Z675" s="571"/>
    </row>
    <row r="676" spans="1:26" ht="20.25" customHeight="1">
      <c r="A676" s="601"/>
      <c r="B676" s="602"/>
      <c r="C676" s="602"/>
      <c r="D676" s="602"/>
      <c r="E676" s="612"/>
      <c r="F676" s="187" t="s">
        <v>287</v>
      </c>
      <c r="G676" s="175"/>
      <c r="H676" s="182" t="s">
        <v>46</v>
      </c>
      <c r="I676" s="37"/>
      <c r="J676" s="183">
        <f ca="1">IFERROR(__xludf.DUMMYFUNCTION("IMPORTRANGE(""https://docs.google.com/spreadsheets/d/1hKO5uv94SSRZWOvrh72HRcpyoEQF9TsE_Cvxl77XNU4/edit?usp=share_link"",""กาญจนบุรี!J676"")+IMPORTRANGE(""https://docs.google.com/spreadsheets/d/1njBaP_xXd-Uotvo2D9zb01TTCFkLJLDK97Tk1l9Qux0/edit?usp=share_li"&amp;"nk"",""จันทบุรี!J676"")+IMPORTRANGE(""https://docs.google.com/spreadsheets/d/14xp6qUzrGFnUk_qnc1eEmfiaNRd4_grkhpfQH_46fa8/edit?usp=share_link"",""ฉะเชิงเทรา!J676"")+IMPORTRANGE(""https://docs.google.com/spreadsheets/d/1_Zwps30dlVa-pZFsorjVf1Pil6WXwzCsJU0U"&amp;"2whO3NI/edit?usp=share_link"",""ชลบุรี!J676"")+IMPORTRANGE(""https://docs.google.com/spreadsheets/d/1xAsT4sUbBlom7l0acStESh_15nvjZcXjZM7fK5uZSq8/edit?usp=share_link"",""ชัยนาท!J676"")+IMPORTRANGE(""https://docs.google.com/spreadsheets/d/1vWPVBOAaZ6mHSI8yf"&amp;"95DNqHwTJ1cpeFsvqt6cxV34QA/edit?usp=share_link"",""ตราด!J676"")+IMPORTRANGE(""https://docs.google.com/spreadsheets/d/1phaeSb9lTGgzDpbvVqI9hfmOQQzUom07-HEvpbARzEg/edit?usp=share_link"",""นครนายก!J676"")+IMPORTRANGE(""https://docs.google.com/spreadsheets/d/"&amp;"1tpwhWwkqkBeiSWCcfB5f2fbwPRbM9hHOEDSDHpl2MIc/edit?usp=share_link"",""นครปฐม!J676"")+IMPORTRANGE(""https://docs.google.com/spreadsheets/d/1fJJCVBkBnhriyv0Cp5ZFMr0I_yrfdEITNpb4zILJgUQ/edit?usp=share_link"",""ปทุมธานี!J676"")+IMPORTRANGE(""https://docs.googl"&amp;"e.com/spreadsheets/d/1W5Jj_S0gYw6wSO7QcMI02YgyOBDKYgmm0NSUk-AQEac/edit?usp=share_link"",""ประจวบคีรีขันธ์!J676"")+IMPORTRANGE(""https://docs.google.com/spreadsheets/d/1nYxRXgnCfTXtqUY1otYuTlnrzE0Tn-Y0YRsW5pkRVqo/edit?usp=share_link"",""ปราจีนบุรี!J676"")+"&amp;"IMPORTRANGE(""https://docs.google.com/spreadsheets/d/1nNHCLO8ZAXOMfQvxux7cf_hrzPAh8FAvaHq_ClKbZNo/edit?usp=share_link"",""พระนครศรีอยุธยา!J676"")+IMPORTRANGE(""https://docs.google.com/spreadsheets/d/1CdNicvf3i6yt4tJlCePe3V1Va76wYqW0QzMzTsaGRrA/edit?usp=sh"&amp;"are_link"",""เพชรบุรี!J676"")+IMPORTRANGE(""https://docs.google.com/spreadsheets/d/1XiF77UIVHV0Kjc6xbXuOuJ10WgJYxd4p_22ngKVV5oM/edit?usp=share_link"",""ระยอง!J676"")+IMPORTRANGE(""https://docs.google.com/spreadsheets/d/1qU-W_9MCQD1pgIVXGEOjCFo9QqlmJywueby"&amp;"GgaN92r8/edit?usp=share_link"",""ราชบุรี!J676"")+IMPORTRANGE(""https://docs.google.com/spreadsheets/d/1xYFIxIM_CspAP5Q-5Zx_V0T_Ut3cjryrjd2hss28vGk/edit?usp=share_link"",""ลพบุรี!J676"")+IMPORTRANGE(""https://docs.google.com/spreadsheets/d/11s9m3tKsCBdPWq6"&amp;"syhZm27eBGbKneDLZc75co106bio/edit?usp=share_link"",""สระแก้ว!J676"")+IMPORTRANGE(""https://docs.google.com/spreadsheets/d/1Nn1EvsFPtXldgpgVb3Rcng2K2cls68LFQsBh2FyW0Bg/edit?usp=share_link"",""สระบุรี!J676"")+IMPORTRANGE(""https://docs.google.com/spreadshee"&amp;"ts/d/149xufxukrnEciK3WPbNpHwUK8BKEJxp3UcBG3Al6dA4/edit?usp=share_link"",""สิงห์บุรี!J676"")+IMPORTRANGE(""https://docs.google.com/spreadsheets/d/132g-zJpz2uMKimp17uOIx8A7o3w1Z25zwJyXnwsB56c/edit?usp=share_link"",""สุพรรณบุรี!J676"")+IMPORTRANGE(""https://"&amp;"docs.google.com/spreadsheets/d/12Q_U0nVnFdxDFwa0pej9xvx8ZvLC9Dpi_vRro_aiG5g/edit?usp=share_link"",""อ่างทอง!J676"")
"),0)</f>
        <v>0</v>
      </c>
      <c r="K676" s="38"/>
      <c r="L676" s="163"/>
      <c r="M676" s="163"/>
      <c r="N676" s="163"/>
      <c r="O676" s="163"/>
      <c r="P676" s="163"/>
      <c r="Q676" s="571"/>
      <c r="R676" s="571"/>
      <c r="S676" s="571"/>
      <c r="T676" s="571"/>
      <c r="U676" s="571"/>
      <c r="V676" s="571"/>
      <c r="W676" s="571"/>
      <c r="X676" s="571"/>
      <c r="Y676" s="571"/>
      <c r="Z676" s="571"/>
    </row>
    <row r="677" spans="1:26" ht="20.25" customHeight="1">
      <c r="A677" s="601"/>
      <c r="B677" s="602"/>
      <c r="C677" s="602"/>
      <c r="D677" s="602"/>
      <c r="E677" s="612"/>
      <c r="F677" s="187" t="s">
        <v>288</v>
      </c>
      <c r="G677" s="175"/>
      <c r="H677" s="182" t="s">
        <v>46</v>
      </c>
      <c r="I677" s="37"/>
      <c r="J677" s="183">
        <f ca="1">IFERROR(__xludf.DUMMYFUNCTION("IMPORTRANGE(""https://docs.google.com/spreadsheets/d/1hKO5uv94SSRZWOvrh72HRcpyoEQF9TsE_Cvxl77XNU4/edit?usp=share_link"",""กาญจนบุรี!J677"")+IMPORTRANGE(""https://docs.google.com/spreadsheets/d/1njBaP_xXd-Uotvo2D9zb01TTCFkLJLDK97Tk1l9Qux0/edit?usp=share_li"&amp;"nk"",""จันทบุรี!J677"")+IMPORTRANGE(""https://docs.google.com/spreadsheets/d/14xp6qUzrGFnUk_qnc1eEmfiaNRd4_grkhpfQH_46fa8/edit?usp=share_link"",""ฉะเชิงเทรา!J677"")+IMPORTRANGE(""https://docs.google.com/spreadsheets/d/1_Zwps30dlVa-pZFsorjVf1Pil6WXwzCsJU0U"&amp;"2whO3NI/edit?usp=share_link"",""ชลบุรี!J677"")+IMPORTRANGE(""https://docs.google.com/spreadsheets/d/1xAsT4sUbBlom7l0acStESh_15nvjZcXjZM7fK5uZSq8/edit?usp=share_link"",""ชัยนาท!J677"")+IMPORTRANGE(""https://docs.google.com/spreadsheets/d/1vWPVBOAaZ6mHSI8yf"&amp;"95DNqHwTJ1cpeFsvqt6cxV34QA/edit?usp=share_link"",""ตราด!J677"")+IMPORTRANGE(""https://docs.google.com/spreadsheets/d/1phaeSb9lTGgzDpbvVqI9hfmOQQzUom07-HEvpbARzEg/edit?usp=share_link"",""นครนายก!J677"")+IMPORTRANGE(""https://docs.google.com/spreadsheets/d/"&amp;"1tpwhWwkqkBeiSWCcfB5f2fbwPRbM9hHOEDSDHpl2MIc/edit?usp=share_link"",""นครปฐม!J677"")+IMPORTRANGE(""https://docs.google.com/spreadsheets/d/1fJJCVBkBnhriyv0Cp5ZFMr0I_yrfdEITNpb4zILJgUQ/edit?usp=share_link"",""ปทุมธานี!J677"")+IMPORTRANGE(""https://docs.googl"&amp;"e.com/spreadsheets/d/1W5Jj_S0gYw6wSO7QcMI02YgyOBDKYgmm0NSUk-AQEac/edit?usp=share_link"",""ประจวบคีรีขันธ์!J677"")+IMPORTRANGE(""https://docs.google.com/spreadsheets/d/1nYxRXgnCfTXtqUY1otYuTlnrzE0Tn-Y0YRsW5pkRVqo/edit?usp=share_link"",""ปราจีนบุรี!J677"")+"&amp;"IMPORTRANGE(""https://docs.google.com/spreadsheets/d/1nNHCLO8ZAXOMfQvxux7cf_hrzPAh8FAvaHq_ClKbZNo/edit?usp=share_link"",""พระนครศรีอยุธยา!J677"")+IMPORTRANGE(""https://docs.google.com/spreadsheets/d/1CdNicvf3i6yt4tJlCePe3V1Va76wYqW0QzMzTsaGRrA/edit?usp=sh"&amp;"are_link"",""เพชรบุรี!J677"")+IMPORTRANGE(""https://docs.google.com/spreadsheets/d/1XiF77UIVHV0Kjc6xbXuOuJ10WgJYxd4p_22ngKVV5oM/edit?usp=share_link"",""ระยอง!J677"")+IMPORTRANGE(""https://docs.google.com/spreadsheets/d/1qU-W_9MCQD1pgIVXGEOjCFo9QqlmJywueby"&amp;"GgaN92r8/edit?usp=share_link"",""ราชบุรี!J677"")+IMPORTRANGE(""https://docs.google.com/spreadsheets/d/1xYFIxIM_CspAP5Q-5Zx_V0T_Ut3cjryrjd2hss28vGk/edit?usp=share_link"",""ลพบุรี!J677"")+IMPORTRANGE(""https://docs.google.com/spreadsheets/d/11s9m3tKsCBdPWq6"&amp;"syhZm27eBGbKneDLZc75co106bio/edit?usp=share_link"",""สระแก้ว!J677"")+IMPORTRANGE(""https://docs.google.com/spreadsheets/d/1Nn1EvsFPtXldgpgVb3Rcng2K2cls68LFQsBh2FyW0Bg/edit?usp=share_link"",""สระบุรี!J677"")+IMPORTRANGE(""https://docs.google.com/spreadshee"&amp;"ts/d/149xufxukrnEciK3WPbNpHwUK8BKEJxp3UcBG3Al6dA4/edit?usp=share_link"",""สิงห์บุรี!J677"")+IMPORTRANGE(""https://docs.google.com/spreadsheets/d/132g-zJpz2uMKimp17uOIx8A7o3w1Z25zwJyXnwsB56c/edit?usp=share_link"",""สุพรรณบุรี!J677"")+IMPORTRANGE(""https://"&amp;"docs.google.com/spreadsheets/d/12Q_U0nVnFdxDFwa0pej9xvx8ZvLC9Dpi_vRro_aiG5g/edit?usp=share_link"",""อ่างทอง!J677"")
"),0)</f>
        <v>0</v>
      </c>
      <c r="K677" s="38"/>
      <c r="L677" s="163"/>
      <c r="M677" s="163"/>
      <c r="N677" s="163"/>
      <c r="O677" s="163"/>
      <c r="P677" s="163"/>
      <c r="Q677" s="571"/>
      <c r="R677" s="571"/>
      <c r="S677" s="571"/>
      <c r="T677" s="571"/>
      <c r="U677" s="571"/>
      <c r="V677" s="571"/>
      <c r="W677" s="571"/>
      <c r="X677" s="571"/>
      <c r="Y677" s="571"/>
      <c r="Z677" s="571"/>
    </row>
    <row r="678" spans="1:26" ht="20.25" customHeight="1">
      <c r="A678" s="601"/>
      <c r="B678" s="602"/>
      <c r="C678" s="602"/>
      <c r="D678" s="611" t="s">
        <v>289</v>
      </c>
      <c r="E678" s="612"/>
      <c r="F678" s="612"/>
      <c r="G678" s="175"/>
      <c r="H678" s="182" t="s">
        <v>46</v>
      </c>
      <c r="I678" s="194">
        <f ca="1">IFERROR(__xludf.DUMMYFUNCTION("IMPORTRANGE(""https://docs.google.com/spreadsheets/d/1hKO5uv94SSRZWOvrh72HRcpyoEQF9TsE_Cvxl77XNU4/edit?usp=share_link"",""กาญจนบุรี!I678"")+IMPORTRANGE(""https://docs.google.com/spreadsheets/d/1njBaP_xXd-Uotvo2D9zb01TTCFkLJLDK97Tk1l9Qux0/edit?usp=share_li"&amp;"nk"",""จันทบุรี!I678"")+IMPORTRANGE(""https://docs.google.com/spreadsheets/d/14xp6qUzrGFnUk_qnc1eEmfiaNRd4_grkhpfQH_46fa8/edit?usp=share_link"",""ฉะเชิงเทรา!I678"")+IMPORTRANGE(""https://docs.google.com/spreadsheets/d/1_Zwps30dlVa-pZFsorjVf1Pil6WXwzCsJU0U"&amp;"2whO3NI/edit?usp=share_link"",""ชลบุรี!I678"")+IMPORTRANGE(""https://docs.google.com/spreadsheets/d/1xAsT4sUbBlom7l0acStESh_15nvjZcXjZM7fK5uZSq8/edit?usp=share_link"",""ชัยนาท!I678"")+IMPORTRANGE(""https://docs.google.com/spreadsheets/d/1vWPVBOAaZ6mHSI8yf"&amp;"95DNqHwTJ1cpeFsvqt6cxV34QA/edit?usp=share_link"",""ตราด!I678"")+IMPORTRANGE(""https://docs.google.com/spreadsheets/d/1phaeSb9lTGgzDpbvVqI9hfmOQQzUom07-HEvpbARzEg/edit?usp=share_link"",""นครนายก!I678"")+IMPORTRANGE(""https://docs.google.com/spreadsheets/d/"&amp;"1tpwhWwkqkBeiSWCcfB5f2fbwPRbM9hHOEDSDHpl2MIc/edit?usp=share_link"",""นครปฐม!I678"")+IMPORTRANGE(""https://docs.google.com/spreadsheets/d/1fJJCVBkBnhriyv0Cp5ZFMr0I_yrfdEITNpb4zILJgUQ/edit?usp=share_link"",""ปทุมธานี!I678"")+IMPORTRANGE(""https://docs.googl"&amp;"e.com/spreadsheets/d/1W5Jj_S0gYw6wSO7QcMI02YgyOBDKYgmm0NSUk-AQEac/edit?usp=share_link"",""ประจวบคีรีขันธ์!I678"")+IMPORTRANGE(""https://docs.google.com/spreadsheets/d/1nYxRXgnCfTXtqUY1otYuTlnrzE0Tn-Y0YRsW5pkRVqo/edit?usp=share_link"",""ปราจีนบุรี!I678"")+"&amp;"IMPORTRANGE(""https://docs.google.com/spreadsheets/d/1nNHCLO8ZAXOMfQvxux7cf_hrzPAh8FAvaHq_ClKbZNo/edit?usp=share_link"",""พระนครศรีอยุธยา!I678"")+IMPORTRANGE(""https://docs.google.com/spreadsheets/d/1CdNicvf3i6yt4tJlCePe3V1Va76wYqW0QzMzTsaGRrA/edit?usp=sh"&amp;"are_link"",""เพชรบุรี!I678"")+IMPORTRANGE(""https://docs.google.com/spreadsheets/d/1XiF77UIVHV0Kjc6xbXuOuJ10WgJYxd4p_22ngKVV5oM/edit?usp=share_link"",""ระยอง!I678"")+IMPORTRANGE(""https://docs.google.com/spreadsheets/d/1qU-W_9MCQD1pgIVXGEOjCFo9QqlmJywueby"&amp;"GgaN92r8/edit?usp=share_link"",""ราชบุรี!I678"")+IMPORTRANGE(""https://docs.google.com/spreadsheets/d/1xYFIxIM_CspAP5Q-5Zx_V0T_Ut3cjryrjd2hss28vGk/edit?usp=share_link"",""ลพบุรี!I678"")+IMPORTRANGE(""https://docs.google.com/spreadsheets/d/11s9m3tKsCBdPWq6"&amp;"syhZm27eBGbKneDLZc75co106bio/edit?usp=share_link"",""สระแก้ว!I678"")+IMPORTRANGE(""https://docs.google.com/spreadsheets/d/1Nn1EvsFPtXldgpgVb3Rcng2K2cls68LFQsBh2FyW0Bg/edit?usp=share_link"",""สระบุรี!I678"")+IMPORTRANGE(""https://docs.google.com/spreadshee"&amp;"ts/d/149xufxukrnEciK3WPbNpHwUK8BKEJxp3UcBG3Al6dA4/edit?usp=share_link"",""สิงห์บุรี!I678"")+IMPORTRANGE(""https://docs.google.com/spreadsheets/d/132g-zJpz2uMKimp17uOIx8A7o3w1Z25zwJyXnwsB56c/edit?usp=share_link"",""สุพรรณบุรี!I678"")+IMPORTRANGE(""https://"&amp;"docs.google.com/spreadsheets/d/12Q_U0nVnFdxDFwa0pej9xvx8ZvLC9Dpi_vRro_aiG5g/edit?usp=share_link"",""อ่างทอง!I678"")
"),0)</f>
        <v>0</v>
      </c>
      <c r="J678" s="194">
        <f ca="1"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1"/>
      <c r="R678" s="571"/>
      <c r="S678" s="571"/>
      <c r="T678" s="571"/>
      <c r="U678" s="571"/>
      <c r="V678" s="571"/>
      <c r="W678" s="571"/>
      <c r="X678" s="571"/>
      <c r="Y678" s="571"/>
      <c r="Z678" s="571"/>
    </row>
    <row r="679" spans="1:26" ht="20.25" customHeight="1">
      <c r="A679" s="601"/>
      <c r="B679" s="602"/>
      <c r="C679" s="602"/>
      <c r="D679" s="602"/>
      <c r="E679" s="187" t="s">
        <v>290</v>
      </c>
      <c r="F679" s="612"/>
      <c r="G679" s="175"/>
      <c r="H679" s="182" t="s">
        <v>46</v>
      </c>
      <c r="I679" s="37"/>
      <c r="J679" s="37">
        <f ca="1">J680+J681</f>
        <v>0</v>
      </c>
      <c r="K679" s="38"/>
      <c r="L679" s="163"/>
      <c r="M679" s="163"/>
      <c r="N679" s="163"/>
      <c r="O679" s="163"/>
      <c r="P679" s="163"/>
      <c r="Q679" s="571"/>
      <c r="R679" s="571"/>
      <c r="S679" s="571"/>
      <c r="T679" s="571"/>
      <c r="U679" s="571"/>
      <c r="V679" s="571"/>
      <c r="W679" s="571"/>
      <c r="X679" s="571"/>
      <c r="Y679" s="571"/>
      <c r="Z679" s="571"/>
    </row>
    <row r="680" spans="1:26" ht="20.25" customHeight="1">
      <c r="A680" s="601"/>
      <c r="B680" s="602"/>
      <c r="C680" s="602"/>
      <c r="D680" s="602"/>
      <c r="E680" s="612"/>
      <c r="F680" s="187" t="s">
        <v>287</v>
      </c>
      <c r="G680" s="175"/>
      <c r="H680" s="182" t="s">
        <v>46</v>
      </c>
      <c r="I680" s="37"/>
      <c r="J680" s="183">
        <f ca="1">IFERROR(__xludf.DUMMYFUNCTION("IMPORTRANGE(""https://docs.google.com/spreadsheets/d/1hKO5uv94SSRZWOvrh72HRcpyoEQF9TsE_Cvxl77XNU4/edit?usp=share_link"",""กาญจนบุรี!J680"")+IMPORTRANGE(""https://docs.google.com/spreadsheets/d/1njBaP_xXd-Uotvo2D9zb01TTCFkLJLDK97Tk1l9Qux0/edit?usp=share_li"&amp;"nk"",""จันทบุรี!J680"")+IMPORTRANGE(""https://docs.google.com/spreadsheets/d/14xp6qUzrGFnUk_qnc1eEmfiaNRd4_grkhpfQH_46fa8/edit?usp=share_link"",""ฉะเชิงเทรา!J680"")+IMPORTRANGE(""https://docs.google.com/spreadsheets/d/1_Zwps30dlVa-pZFsorjVf1Pil6WXwzCsJU0U"&amp;"2whO3NI/edit?usp=share_link"",""ชลบุรี!J680"")+IMPORTRANGE(""https://docs.google.com/spreadsheets/d/1xAsT4sUbBlom7l0acStESh_15nvjZcXjZM7fK5uZSq8/edit?usp=share_link"",""ชัยนาท!J680"")+IMPORTRANGE(""https://docs.google.com/spreadsheets/d/1vWPVBOAaZ6mHSI8yf"&amp;"95DNqHwTJ1cpeFsvqt6cxV34QA/edit?usp=share_link"",""ตราด!J680"")+IMPORTRANGE(""https://docs.google.com/spreadsheets/d/1phaeSb9lTGgzDpbvVqI9hfmOQQzUom07-HEvpbARzEg/edit?usp=share_link"",""นครนายก!J680"")+IMPORTRANGE(""https://docs.google.com/spreadsheets/d/"&amp;"1tpwhWwkqkBeiSWCcfB5f2fbwPRbM9hHOEDSDHpl2MIc/edit?usp=share_link"",""นครปฐม!J680"")+IMPORTRANGE(""https://docs.google.com/spreadsheets/d/1fJJCVBkBnhriyv0Cp5ZFMr0I_yrfdEITNpb4zILJgUQ/edit?usp=share_link"",""ปทุมธานี!J680"")+IMPORTRANGE(""https://docs.googl"&amp;"e.com/spreadsheets/d/1W5Jj_S0gYw6wSO7QcMI02YgyOBDKYgmm0NSUk-AQEac/edit?usp=share_link"",""ประจวบคีรีขันธ์!J680"")+IMPORTRANGE(""https://docs.google.com/spreadsheets/d/1nYxRXgnCfTXtqUY1otYuTlnrzE0Tn-Y0YRsW5pkRVqo/edit?usp=share_link"",""ปราจีนบุรี!J680"")+"&amp;"IMPORTRANGE(""https://docs.google.com/spreadsheets/d/1nNHCLO8ZAXOMfQvxux7cf_hrzPAh8FAvaHq_ClKbZNo/edit?usp=share_link"",""พระนครศรีอยุธยา!J680"")+IMPORTRANGE(""https://docs.google.com/spreadsheets/d/1CdNicvf3i6yt4tJlCePe3V1Va76wYqW0QzMzTsaGRrA/edit?usp=sh"&amp;"are_link"",""เพชรบุรี!J680"")+IMPORTRANGE(""https://docs.google.com/spreadsheets/d/1XiF77UIVHV0Kjc6xbXuOuJ10WgJYxd4p_22ngKVV5oM/edit?usp=share_link"",""ระยอง!J680"")+IMPORTRANGE(""https://docs.google.com/spreadsheets/d/1qU-W_9MCQD1pgIVXGEOjCFo9QqlmJywueby"&amp;"GgaN92r8/edit?usp=share_link"",""ราชบุรี!J680"")+IMPORTRANGE(""https://docs.google.com/spreadsheets/d/1xYFIxIM_CspAP5Q-5Zx_V0T_Ut3cjryrjd2hss28vGk/edit?usp=share_link"",""ลพบุรี!J680"")+IMPORTRANGE(""https://docs.google.com/spreadsheets/d/11s9m3tKsCBdPWq6"&amp;"syhZm27eBGbKneDLZc75co106bio/edit?usp=share_link"",""สระแก้ว!J680"")+IMPORTRANGE(""https://docs.google.com/spreadsheets/d/1Nn1EvsFPtXldgpgVb3Rcng2K2cls68LFQsBh2FyW0Bg/edit?usp=share_link"",""สระบุรี!J680"")+IMPORTRANGE(""https://docs.google.com/spreadshee"&amp;"ts/d/149xufxukrnEciK3WPbNpHwUK8BKEJxp3UcBG3Al6dA4/edit?usp=share_link"",""สิงห์บุรี!J680"")+IMPORTRANGE(""https://docs.google.com/spreadsheets/d/132g-zJpz2uMKimp17uOIx8A7o3w1Z25zwJyXnwsB56c/edit?usp=share_link"",""สุพรรณบุรี!J680"")+IMPORTRANGE(""https://"&amp;"docs.google.com/spreadsheets/d/12Q_U0nVnFdxDFwa0pej9xvx8ZvLC9Dpi_vRro_aiG5g/edit?usp=share_link"",""อ่างทอง!J680"")
"),0)</f>
        <v>0</v>
      </c>
      <c r="K680" s="38"/>
      <c r="L680" s="163"/>
      <c r="M680" s="163"/>
      <c r="N680" s="163"/>
      <c r="O680" s="163"/>
      <c r="P680" s="163"/>
      <c r="Q680" s="571"/>
      <c r="R680" s="571"/>
      <c r="S680" s="571"/>
      <c r="T680" s="571"/>
      <c r="U680" s="571"/>
      <c r="V680" s="571"/>
      <c r="W680" s="571"/>
      <c r="X680" s="571"/>
      <c r="Y680" s="571"/>
      <c r="Z680" s="571"/>
    </row>
    <row r="681" spans="1:26" ht="20.25" customHeight="1">
      <c r="A681" s="601"/>
      <c r="B681" s="602"/>
      <c r="C681" s="602"/>
      <c r="D681" s="602"/>
      <c r="E681" s="612"/>
      <c r="F681" s="187" t="s">
        <v>288</v>
      </c>
      <c r="G681" s="175"/>
      <c r="H681" s="182" t="s">
        <v>46</v>
      </c>
      <c r="I681" s="37"/>
      <c r="J681" s="183">
        <f ca="1">IFERROR(__xludf.DUMMYFUNCTION("IMPORTRANGE(""https://docs.google.com/spreadsheets/d/1hKO5uv94SSRZWOvrh72HRcpyoEQF9TsE_Cvxl77XNU4/edit?usp=share_link"",""กาญจนบุรี!J681"")+IMPORTRANGE(""https://docs.google.com/spreadsheets/d/1njBaP_xXd-Uotvo2D9zb01TTCFkLJLDK97Tk1l9Qux0/edit?usp=share_li"&amp;"nk"",""จันทบุรี!J681"")+IMPORTRANGE(""https://docs.google.com/spreadsheets/d/14xp6qUzrGFnUk_qnc1eEmfiaNRd4_grkhpfQH_46fa8/edit?usp=share_link"",""ฉะเชิงเทรา!J681"")+IMPORTRANGE(""https://docs.google.com/spreadsheets/d/1_Zwps30dlVa-pZFsorjVf1Pil6WXwzCsJU0U"&amp;"2whO3NI/edit?usp=share_link"",""ชลบุรี!J681"")+IMPORTRANGE(""https://docs.google.com/spreadsheets/d/1xAsT4sUbBlom7l0acStESh_15nvjZcXjZM7fK5uZSq8/edit?usp=share_link"",""ชัยนาท!J681"")+IMPORTRANGE(""https://docs.google.com/spreadsheets/d/1vWPVBOAaZ6mHSI8yf"&amp;"95DNqHwTJ1cpeFsvqt6cxV34QA/edit?usp=share_link"",""ตราด!J681"")+IMPORTRANGE(""https://docs.google.com/spreadsheets/d/1phaeSb9lTGgzDpbvVqI9hfmOQQzUom07-HEvpbARzEg/edit?usp=share_link"",""นครนายก!J681"")+IMPORTRANGE(""https://docs.google.com/spreadsheets/d/"&amp;"1tpwhWwkqkBeiSWCcfB5f2fbwPRbM9hHOEDSDHpl2MIc/edit?usp=share_link"",""นครปฐม!J681"")+IMPORTRANGE(""https://docs.google.com/spreadsheets/d/1fJJCVBkBnhriyv0Cp5ZFMr0I_yrfdEITNpb4zILJgUQ/edit?usp=share_link"",""ปทุมธานี!J681"")+IMPORTRANGE(""https://docs.googl"&amp;"e.com/spreadsheets/d/1W5Jj_S0gYw6wSO7QcMI02YgyOBDKYgmm0NSUk-AQEac/edit?usp=share_link"",""ประจวบคีรีขันธ์!J681"")+IMPORTRANGE(""https://docs.google.com/spreadsheets/d/1nYxRXgnCfTXtqUY1otYuTlnrzE0Tn-Y0YRsW5pkRVqo/edit?usp=share_link"",""ปราจีนบุรี!J681"")+"&amp;"IMPORTRANGE(""https://docs.google.com/spreadsheets/d/1nNHCLO8ZAXOMfQvxux7cf_hrzPAh8FAvaHq_ClKbZNo/edit?usp=share_link"",""พระนครศรีอยุธยา!J681"")+IMPORTRANGE(""https://docs.google.com/spreadsheets/d/1CdNicvf3i6yt4tJlCePe3V1Va76wYqW0QzMzTsaGRrA/edit?usp=sh"&amp;"are_link"",""เพชรบุรี!J681"")+IMPORTRANGE(""https://docs.google.com/spreadsheets/d/1XiF77UIVHV0Kjc6xbXuOuJ10WgJYxd4p_22ngKVV5oM/edit?usp=share_link"",""ระยอง!J681"")+IMPORTRANGE(""https://docs.google.com/spreadsheets/d/1qU-W_9MCQD1pgIVXGEOjCFo9QqlmJywueby"&amp;"GgaN92r8/edit?usp=share_link"",""ราชบุรี!J681"")+IMPORTRANGE(""https://docs.google.com/spreadsheets/d/1xYFIxIM_CspAP5Q-5Zx_V0T_Ut3cjryrjd2hss28vGk/edit?usp=share_link"",""ลพบุรี!J681"")+IMPORTRANGE(""https://docs.google.com/spreadsheets/d/11s9m3tKsCBdPWq6"&amp;"syhZm27eBGbKneDLZc75co106bio/edit?usp=share_link"",""สระแก้ว!J681"")+IMPORTRANGE(""https://docs.google.com/spreadsheets/d/1Nn1EvsFPtXldgpgVb3Rcng2K2cls68LFQsBh2FyW0Bg/edit?usp=share_link"",""สระบุรี!J681"")+IMPORTRANGE(""https://docs.google.com/spreadshee"&amp;"ts/d/149xufxukrnEciK3WPbNpHwUK8BKEJxp3UcBG3Al6dA4/edit?usp=share_link"",""สิงห์บุรี!J681"")+IMPORTRANGE(""https://docs.google.com/spreadsheets/d/132g-zJpz2uMKimp17uOIx8A7o3w1Z25zwJyXnwsB56c/edit?usp=share_link"",""สุพรรณบุรี!J681"")+IMPORTRANGE(""https://"&amp;"docs.google.com/spreadsheets/d/12Q_U0nVnFdxDFwa0pej9xvx8ZvLC9Dpi_vRro_aiG5g/edit?usp=share_link"",""อ่างทอง!J681"")
"),0)</f>
        <v>0</v>
      </c>
      <c r="K681" s="38"/>
      <c r="L681" s="163"/>
      <c r="M681" s="163"/>
      <c r="N681" s="163"/>
      <c r="O681" s="163"/>
      <c r="P681" s="163"/>
      <c r="Q681" s="571"/>
      <c r="R681" s="571"/>
      <c r="S681" s="571"/>
      <c r="T681" s="571"/>
      <c r="U681" s="571"/>
      <c r="V681" s="571"/>
      <c r="W681" s="571"/>
      <c r="X681" s="571"/>
      <c r="Y681" s="571"/>
      <c r="Z681" s="571"/>
    </row>
    <row r="682" spans="1:26" ht="20.25" customHeight="1">
      <c r="A682" s="601"/>
      <c r="B682" s="602"/>
      <c r="C682" s="602"/>
      <c r="D682" s="602"/>
      <c r="E682" s="187" t="s">
        <v>291</v>
      </c>
      <c r="F682" s="612"/>
      <c r="G682" s="175"/>
      <c r="H682" s="182" t="s">
        <v>46</v>
      </c>
      <c r="I682" s="37"/>
      <c r="J682" s="183">
        <f ca="1">IFERROR(__xludf.DUMMYFUNCTION("IMPORTRANGE(""https://docs.google.com/spreadsheets/d/1hKO5uv94SSRZWOvrh72HRcpyoEQF9TsE_Cvxl77XNU4/edit?usp=share_link"",""กาญจนบุรี!J682"")+IMPORTRANGE(""https://docs.google.com/spreadsheets/d/1njBaP_xXd-Uotvo2D9zb01TTCFkLJLDK97Tk1l9Qux0/edit?usp=share_li"&amp;"nk"",""จันทบุรี!J682"")+IMPORTRANGE(""https://docs.google.com/spreadsheets/d/14xp6qUzrGFnUk_qnc1eEmfiaNRd4_grkhpfQH_46fa8/edit?usp=share_link"",""ฉะเชิงเทรา!J682"")+IMPORTRANGE(""https://docs.google.com/spreadsheets/d/1_Zwps30dlVa-pZFsorjVf1Pil6WXwzCsJU0U"&amp;"2whO3NI/edit?usp=share_link"",""ชลบุรี!J682"")+IMPORTRANGE(""https://docs.google.com/spreadsheets/d/1xAsT4sUbBlom7l0acStESh_15nvjZcXjZM7fK5uZSq8/edit?usp=share_link"",""ชัยนาท!J682"")+IMPORTRANGE(""https://docs.google.com/spreadsheets/d/1vWPVBOAaZ6mHSI8yf"&amp;"95DNqHwTJ1cpeFsvqt6cxV34QA/edit?usp=share_link"",""ตราด!J682"")+IMPORTRANGE(""https://docs.google.com/spreadsheets/d/1phaeSb9lTGgzDpbvVqI9hfmOQQzUom07-HEvpbARzEg/edit?usp=share_link"",""นครนายก!J682"")+IMPORTRANGE(""https://docs.google.com/spreadsheets/d/"&amp;"1tpwhWwkqkBeiSWCcfB5f2fbwPRbM9hHOEDSDHpl2MIc/edit?usp=share_link"",""นครปฐม!J682"")+IMPORTRANGE(""https://docs.google.com/spreadsheets/d/1fJJCVBkBnhriyv0Cp5ZFMr0I_yrfdEITNpb4zILJgUQ/edit?usp=share_link"",""ปทุมธานี!J682"")+IMPORTRANGE(""https://docs.googl"&amp;"e.com/spreadsheets/d/1W5Jj_S0gYw6wSO7QcMI02YgyOBDKYgmm0NSUk-AQEac/edit?usp=share_link"",""ประจวบคีรีขันธ์!J682"")+IMPORTRANGE(""https://docs.google.com/spreadsheets/d/1nYxRXgnCfTXtqUY1otYuTlnrzE0Tn-Y0YRsW5pkRVqo/edit?usp=share_link"",""ปราจีนบุรี!J682"")+"&amp;"IMPORTRANGE(""https://docs.google.com/spreadsheets/d/1nNHCLO8ZAXOMfQvxux7cf_hrzPAh8FAvaHq_ClKbZNo/edit?usp=share_link"",""พระนครศรีอยุธยา!J682"")+IMPORTRANGE(""https://docs.google.com/spreadsheets/d/1CdNicvf3i6yt4tJlCePe3V1Va76wYqW0QzMzTsaGRrA/edit?usp=sh"&amp;"are_link"",""เพชรบุรี!J682"")+IMPORTRANGE(""https://docs.google.com/spreadsheets/d/1XiF77UIVHV0Kjc6xbXuOuJ10WgJYxd4p_22ngKVV5oM/edit?usp=share_link"",""ระยอง!J682"")+IMPORTRANGE(""https://docs.google.com/spreadsheets/d/1qU-W_9MCQD1pgIVXGEOjCFo9QqlmJywueby"&amp;"GgaN92r8/edit?usp=share_link"",""ราชบุรี!J682"")+IMPORTRANGE(""https://docs.google.com/spreadsheets/d/1xYFIxIM_CspAP5Q-5Zx_V0T_Ut3cjryrjd2hss28vGk/edit?usp=share_link"",""ลพบุรี!J682"")+IMPORTRANGE(""https://docs.google.com/spreadsheets/d/11s9m3tKsCBdPWq6"&amp;"syhZm27eBGbKneDLZc75co106bio/edit?usp=share_link"",""สระแก้ว!J682"")+IMPORTRANGE(""https://docs.google.com/spreadsheets/d/1Nn1EvsFPtXldgpgVb3Rcng2K2cls68LFQsBh2FyW0Bg/edit?usp=share_link"",""สระบุรี!J682"")+IMPORTRANGE(""https://docs.google.com/spreadshee"&amp;"ts/d/149xufxukrnEciK3WPbNpHwUK8BKEJxp3UcBG3Al6dA4/edit?usp=share_link"",""สิงห์บุรี!J682"")+IMPORTRANGE(""https://docs.google.com/spreadsheets/d/132g-zJpz2uMKimp17uOIx8A7o3w1Z25zwJyXnwsB56c/edit?usp=share_link"",""สุพรรณบุรี!J682"")+IMPORTRANGE(""https://"&amp;"docs.google.com/spreadsheets/d/12Q_U0nVnFdxDFwa0pej9xvx8ZvLC9Dpi_vRro_aiG5g/edit?usp=share_link"",""อ่างทอง!J682"")
"),0)</f>
        <v>0</v>
      </c>
      <c r="K682" s="38"/>
      <c r="L682" s="163"/>
      <c r="M682" s="163"/>
      <c r="N682" s="163"/>
      <c r="O682" s="163"/>
      <c r="P682" s="163"/>
      <c r="Q682" s="571"/>
      <c r="R682" s="571"/>
      <c r="S682" s="571"/>
      <c r="T682" s="571"/>
      <c r="U682" s="571"/>
      <c r="V682" s="571"/>
      <c r="W682" s="571"/>
      <c r="X682" s="571"/>
      <c r="Y682" s="571"/>
      <c r="Z682" s="571"/>
    </row>
    <row r="683" spans="1:26" ht="20.25" customHeight="1">
      <c r="A683" s="601"/>
      <c r="B683" s="602"/>
      <c r="C683" s="602"/>
      <c r="D683" s="602"/>
      <c r="E683" s="612"/>
      <c r="F683" s="187" t="s">
        <v>292</v>
      </c>
      <c r="G683" s="175"/>
      <c r="H683" s="182" t="s">
        <v>46</v>
      </c>
      <c r="I683" s="37"/>
      <c r="J683" s="183">
        <f ca="1">IFERROR(__xludf.DUMMYFUNCTION("IMPORTRANGE(""https://docs.google.com/spreadsheets/d/1hKO5uv94SSRZWOvrh72HRcpyoEQF9TsE_Cvxl77XNU4/edit?usp=share_link"",""กาญจนบุรี!J683"")+IMPORTRANGE(""https://docs.google.com/spreadsheets/d/1njBaP_xXd-Uotvo2D9zb01TTCFkLJLDK97Tk1l9Qux0/edit?usp=share_li"&amp;"nk"",""จันทบุรี!J683"")+IMPORTRANGE(""https://docs.google.com/spreadsheets/d/14xp6qUzrGFnUk_qnc1eEmfiaNRd4_grkhpfQH_46fa8/edit?usp=share_link"",""ฉะเชิงเทรา!J683"")+IMPORTRANGE(""https://docs.google.com/spreadsheets/d/1_Zwps30dlVa-pZFsorjVf1Pil6WXwzCsJU0U"&amp;"2whO3NI/edit?usp=share_link"",""ชลบุรี!J683"")+IMPORTRANGE(""https://docs.google.com/spreadsheets/d/1xAsT4sUbBlom7l0acStESh_15nvjZcXjZM7fK5uZSq8/edit?usp=share_link"",""ชัยนาท!J683"")+IMPORTRANGE(""https://docs.google.com/spreadsheets/d/1vWPVBOAaZ6mHSI8yf"&amp;"95DNqHwTJ1cpeFsvqt6cxV34QA/edit?usp=share_link"",""ตราด!J683"")+IMPORTRANGE(""https://docs.google.com/spreadsheets/d/1phaeSb9lTGgzDpbvVqI9hfmOQQzUom07-HEvpbARzEg/edit?usp=share_link"",""นครนายก!J683"")+IMPORTRANGE(""https://docs.google.com/spreadsheets/d/"&amp;"1tpwhWwkqkBeiSWCcfB5f2fbwPRbM9hHOEDSDHpl2MIc/edit?usp=share_link"",""นครปฐม!J683"")+IMPORTRANGE(""https://docs.google.com/spreadsheets/d/1fJJCVBkBnhriyv0Cp5ZFMr0I_yrfdEITNpb4zILJgUQ/edit?usp=share_link"",""ปทุมธานี!J683"")+IMPORTRANGE(""https://docs.googl"&amp;"e.com/spreadsheets/d/1W5Jj_S0gYw6wSO7QcMI02YgyOBDKYgmm0NSUk-AQEac/edit?usp=share_link"",""ประจวบคีรีขันธ์!J683"")+IMPORTRANGE(""https://docs.google.com/spreadsheets/d/1nYxRXgnCfTXtqUY1otYuTlnrzE0Tn-Y0YRsW5pkRVqo/edit?usp=share_link"",""ปราจีนบุรี!J683"")+"&amp;"IMPORTRANGE(""https://docs.google.com/spreadsheets/d/1nNHCLO8ZAXOMfQvxux7cf_hrzPAh8FAvaHq_ClKbZNo/edit?usp=share_link"",""พระนครศรีอยุธยา!J683"")+IMPORTRANGE(""https://docs.google.com/spreadsheets/d/1CdNicvf3i6yt4tJlCePe3V1Va76wYqW0QzMzTsaGRrA/edit?usp=sh"&amp;"are_link"",""เพชรบุรี!J683"")+IMPORTRANGE(""https://docs.google.com/spreadsheets/d/1XiF77UIVHV0Kjc6xbXuOuJ10WgJYxd4p_22ngKVV5oM/edit?usp=share_link"",""ระยอง!J683"")+IMPORTRANGE(""https://docs.google.com/spreadsheets/d/1qU-W_9MCQD1pgIVXGEOjCFo9QqlmJywueby"&amp;"GgaN92r8/edit?usp=share_link"",""ราชบุรี!J683"")+IMPORTRANGE(""https://docs.google.com/spreadsheets/d/1xYFIxIM_CspAP5Q-5Zx_V0T_Ut3cjryrjd2hss28vGk/edit?usp=share_link"",""ลพบุรี!J683"")+IMPORTRANGE(""https://docs.google.com/spreadsheets/d/11s9m3tKsCBdPWq6"&amp;"syhZm27eBGbKneDLZc75co106bio/edit?usp=share_link"",""สระแก้ว!J683"")+IMPORTRANGE(""https://docs.google.com/spreadsheets/d/1Nn1EvsFPtXldgpgVb3Rcng2K2cls68LFQsBh2FyW0Bg/edit?usp=share_link"",""สระบุรี!J683"")+IMPORTRANGE(""https://docs.google.com/spreadshee"&amp;"ts/d/149xufxukrnEciK3WPbNpHwUK8BKEJxp3UcBG3Al6dA4/edit?usp=share_link"",""สิงห์บุรี!J683"")+IMPORTRANGE(""https://docs.google.com/spreadsheets/d/132g-zJpz2uMKimp17uOIx8A7o3w1Z25zwJyXnwsB56c/edit?usp=share_link"",""สุพรรณบุรี!J683"")+IMPORTRANGE(""https://"&amp;"docs.google.com/spreadsheets/d/12Q_U0nVnFdxDFwa0pej9xvx8ZvLC9Dpi_vRro_aiG5g/edit?usp=share_link"",""อ่างทอง!J683"")
"),0)</f>
        <v>0</v>
      </c>
      <c r="K683" s="38"/>
      <c r="L683" s="163"/>
      <c r="M683" s="163"/>
      <c r="N683" s="163"/>
      <c r="O683" s="163"/>
      <c r="P683" s="163"/>
      <c r="Q683" s="571"/>
      <c r="R683" s="571"/>
      <c r="S683" s="571"/>
      <c r="T683" s="571"/>
      <c r="U683" s="571"/>
      <c r="V683" s="571"/>
      <c r="W683" s="571"/>
      <c r="X683" s="571"/>
      <c r="Y683" s="571"/>
      <c r="Z683" s="571"/>
    </row>
    <row r="684" spans="1:26" ht="20.25" customHeight="1">
      <c r="A684" s="744"/>
      <c r="B684" s="745" t="s">
        <v>293</v>
      </c>
      <c r="C684" s="744"/>
      <c r="D684" s="744"/>
      <c r="E684" s="744"/>
      <c r="F684" s="744"/>
      <c r="G684" s="746"/>
      <c r="H684" s="746"/>
      <c r="I684" s="747"/>
      <c r="J684" s="747"/>
      <c r="K684" s="748"/>
      <c r="L684" s="748"/>
      <c r="M684" s="748"/>
      <c r="N684" s="748"/>
      <c r="O684" s="748"/>
      <c r="P684" s="748"/>
      <c r="Q684" s="571"/>
      <c r="R684" s="571"/>
      <c r="S684" s="571"/>
      <c r="T684" s="571"/>
      <c r="U684" s="571"/>
      <c r="V684" s="571"/>
      <c r="W684" s="571"/>
      <c r="X684" s="571"/>
      <c r="Y684" s="571"/>
      <c r="Z684" s="571"/>
    </row>
    <row r="685" spans="1:26" ht="20.25" customHeight="1">
      <c r="A685" s="590"/>
      <c r="B685" s="569"/>
      <c r="C685" s="569" t="s">
        <v>16</v>
      </c>
      <c r="D685" s="863" t="s">
        <v>17</v>
      </c>
      <c r="E685" s="857"/>
      <c r="F685" s="857"/>
      <c r="G685" s="189"/>
      <c r="H685" s="591" t="s">
        <v>12</v>
      </c>
      <c r="I685" s="37"/>
      <c r="J685" s="37"/>
      <c r="K685" s="38"/>
      <c r="L685" s="195">
        <f t="shared" ref="L685:N685" ca="1" si="321">L686+L687</f>
        <v>352810</v>
      </c>
      <c r="M685" s="195">
        <f t="shared" si="321"/>
        <v>0</v>
      </c>
      <c r="N685" s="195">
        <f t="shared" ca="1" si="321"/>
        <v>4040</v>
      </c>
      <c r="O685" s="195">
        <f t="shared" ref="O685:O688" ca="1" si="322">IF(L685&gt;0,N685*100/L685,0)</f>
        <v>1.1450922592897026</v>
      </c>
      <c r="P685" s="195">
        <f t="shared" ref="P685:P688" si="323">IF(M685&gt;0,N685*100/M685,0)</f>
        <v>0</v>
      </c>
      <c r="Q685" s="571"/>
      <c r="R685" s="571"/>
      <c r="S685" s="571"/>
      <c r="T685" s="571"/>
      <c r="U685" s="571"/>
      <c r="V685" s="571"/>
      <c r="W685" s="571"/>
      <c r="X685" s="571"/>
      <c r="Y685" s="571"/>
      <c r="Z685" s="571"/>
    </row>
    <row r="686" spans="1:26" ht="20.25" hidden="1" customHeight="1">
      <c r="A686" s="592"/>
      <c r="B686" s="593"/>
      <c r="C686" s="593"/>
      <c r="D686" s="594"/>
      <c r="E686" s="595" t="s">
        <v>184</v>
      </c>
      <c r="F686" s="593"/>
      <c r="G686" s="596"/>
      <c r="H686" s="165" t="s">
        <v>12</v>
      </c>
      <c r="I686" s="44"/>
      <c r="J686" s="44"/>
      <c r="K686" s="45"/>
      <c r="L686" s="45">
        <f t="shared" ref="L686:N686" si="324">L689+L696</f>
        <v>0</v>
      </c>
      <c r="M686" s="45">
        <f t="shared" si="324"/>
        <v>0</v>
      </c>
      <c r="N686" s="45">
        <f t="shared" si="324"/>
        <v>0</v>
      </c>
      <c r="O686" s="45">
        <f t="shared" si="322"/>
        <v>0</v>
      </c>
      <c r="P686" s="45">
        <f t="shared" si="323"/>
        <v>0</v>
      </c>
      <c r="Q686" s="597"/>
      <c r="R686" s="597"/>
      <c r="S686" s="597"/>
      <c r="T686" s="597"/>
      <c r="U686" s="597"/>
      <c r="V686" s="597"/>
      <c r="W686" s="597"/>
      <c r="X686" s="597"/>
      <c r="Y686" s="597"/>
      <c r="Z686" s="597"/>
    </row>
    <row r="687" spans="1:26" ht="20.25" hidden="1" customHeight="1">
      <c r="A687" s="592"/>
      <c r="B687" s="598"/>
      <c r="C687" s="593"/>
      <c r="D687" s="594"/>
      <c r="E687" s="595" t="s">
        <v>185</v>
      </c>
      <c r="F687" s="593"/>
      <c r="G687" s="596"/>
      <c r="H687" s="165" t="s">
        <v>12</v>
      </c>
      <c r="I687" s="44"/>
      <c r="J687" s="44"/>
      <c r="K687" s="45"/>
      <c r="L687" s="45">
        <f t="shared" ref="L687:N687" ca="1" si="325">L690+L697</f>
        <v>352810</v>
      </c>
      <c r="M687" s="45">
        <f t="shared" si="325"/>
        <v>0</v>
      </c>
      <c r="N687" s="45">
        <f t="shared" ca="1" si="325"/>
        <v>4040</v>
      </c>
      <c r="O687" s="45">
        <f t="shared" ca="1" si="322"/>
        <v>1.1450922592897026</v>
      </c>
      <c r="P687" s="45">
        <f t="shared" si="323"/>
        <v>0</v>
      </c>
      <c r="Q687" s="597"/>
      <c r="R687" s="597"/>
      <c r="S687" s="597"/>
      <c r="T687" s="597"/>
      <c r="U687" s="597"/>
      <c r="V687" s="597"/>
      <c r="W687" s="597"/>
      <c r="X687" s="597"/>
      <c r="Y687" s="597"/>
      <c r="Z687" s="597"/>
    </row>
    <row r="688" spans="1:26" ht="20.25" customHeight="1">
      <c r="A688" s="590"/>
      <c r="B688" s="568"/>
      <c r="C688" s="569"/>
      <c r="D688" s="599" t="s">
        <v>20</v>
      </c>
      <c r="E688" s="569"/>
      <c r="F688" s="569"/>
      <c r="G688" s="189"/>
      <c r="H688" s="161" t="s">
        <v>12</v>
      </c>
      <c r="I688" s="162"/>
      <c r="J688" s="162"/>
      <c r="K688" s="163"/>
      <c r="L688" s="38">
        <f t="shared" ref="L688:N688" ca="1" si="326">L689+L690</f>
        <v>352810</v>
      </c>
      <c r="M688" s="38">
        <f t="shared" si="326"/>
        <v>0</v>
      </c>
      <c r="N688" s="38">
        <f t="shared" ca="1" si="326"/>
        <v>4040</v>
      </c>
      <c r="O688" s="38">
        <f t="shared" ca="1" si="322"/>
        <v>1.1450922592897026</v>
      </c>
      <c r="P688" s="38">
        <f t="shared" si="323"/>
        <v>0</v>
      </c>
      <c r="Q688" s="571"/>
      <c r="R688" s="571"/>
      <c r="S688" s="571"/>
      <c r="T688" s="571"/>
      <c r="U688" s="571"/>
      <c r="V688" s="571"/>
      <c r="W688" s="571"/>
      <c r="X688" s="571"/>
      <c r="Y688" s="571"/>
      <c r="Z688" s="571"/>
    </row>
    <row r="689" spans="1:26" ht="20.25" hidden="1" customHeight="1">
      <c r="A689" s="592"/>
      <c r="B689" s="598"/>
      <c r="C689" s="593"/>
      <c r="D689" s="594"/>
      <c r="E689" s="595" t="s">
        <v>184</v>
      </c>
      <c r="F689" s="593"/>
      <c r="G689" s="596"/>
      <c r="H689" s="165" t="s">
        <v>12</v>
      </c>
      <c r="I689" s="44"/>
      <c r="J689" s="44"/>
      <c r="K689" s="45"/>
      <c r="L689" s="93">
        <v>0</v>
      </c>
      <c r="M689" s="93">
        <v>0</v>
      </c>
      <c r="N689" s="93">
        <v>0</v>
      </c>
      <c r="O689" s="45"/>
      <c r="P689" s="45"/>
      <c r="Q689" s="597"/>
      <c r="R689" s="597"/>
      <c r="S689" s="597"/>
      <c r="T689" s="597"/>
      <c r="U689" s="597"/>
      <c r="V689" s="597"/>
      <c r="W689" s="597"/>
      <c r="X689" s="597"/>
      <c r="Y689" s="597"/>
      <c r="Z689" s="597"/>
    </row>
    <row r="690" spans="1:26" ht="20.25" hidden="1" customHeight="1">
      <c r="A690" s="592"/>
      <c r="B690" s="598"/>
      <c r="C690" s="593"/>
      <c r="D690" s="594"/>
      <c r="E690" s="595" t="s">
        <v>185</v>
      </c>
      <c r="F690" s="593"/>
      <c r="G690" s="596"/>
      <c r="H690" s="165" t="s">
        <v>12</v>
      </c>
      <c r="I690" s="44"/>
      <c r="J690" s="44"/>
      <c r="K690" s="45"/>
      <c r="L690" s="45">
        <f ca="1">IFERROR(__xludf.DUMMYFUNCTION("IMPORTRANGE(""https://docs.google.com/spreadsheets/d/1hKO5uv94SSRZWOvrh72HRcpyoEQF9TsE_Cvxl77XNU4/edit?usp=share_link"",""กาญจนบุรี!L690"")+IMPORTRANGE(""https://docs.google.com/spreadsheets/d/1njBaP_xXd-Uotvo2D9zb01TTCFkLJLDK97Tk1l9Qux0/edit?usp=share_li"&amp;"nk"",""จันทบุรี!L690"")+IMPORTRANGE(""https://docs.google.com/spreadsheets/d/14xp6qUzrGFnUk_qnc1eEmfiaNRd4_grkhpfQH_46fa8/edit?usp=share_link"",""ฉะเชิงเทรา!L690"")+IMPORTRANGE(""https://docs.google.com/spreadsheets/d/1_Zwps30dlVa-pZFsorjVf1Pil6WXwzCsJU0U"&amp;"2whO3NI/edit?usp=share_link"",""ชลบุรี!L690"")+IMPORTRANGE(""https://docs.google.com/spreadsheets/d/1xAsT4sUbBlom7l0acStESh_15nvjZcXjZM7fK5uZSq8/edit?usp=share_link"",""ชัยนาท!L690"")+IMPORTRANGE(""https://docs.google.com/spreadsheets/d/1vWPVBOAaZ6mHSI8yf"&amp;"95DNqHwTJ1cpeFsvqt6cxV34QA/edit?usp=share_link"",""ตราด!L690"")+IMPORTRANGE(""https://docs.google.com/spreadsheets/d/1phaeSb9lTGgzDpbvVqI9hfmOQQzUom07-HEvpbARzEg/edit?usp=share_link"",""นครนายก!L690"")+IMPORTRANGE(""https://docs.google.com/spreadsheets/d/"&amp;"1tpwhWwkqkBeiSWCcfB5f2fbwPRbM9hHOEDSDHpl2MIc/edit?usp=share_link"",""นครปฐม!L690"")+IMPORTRANGE(""https://docs.google.com/spreadsheets/d/1fJJCVBkBnhriyv0Cp5ZFMr0I_yrfdEITNpb4zILJgUQ/edit?usp=share_link"",""ปทุมธานี!L690"")+IMPORTRANGE(""https://docs.googl"&amp;"e.com/spreadsheets/d/1W5Jj_S0gYw6wSO7QcMI02YgyOBDKYgmm0NSUk-AQEac/edit?usp=share_link"",""ประจวบคีรีขันธ์!L690"")+IMPORTRANGE(""https://docs.google.com/spreadsheets/d/1nYxRXgnCfTXtqUY1otYuTlnrzE0Tn-Y0YRsW5pkRVqo/edit?usp=share_link"",""ปราจีนบุรี!L690"")+"&amp;"IMPORTRANGE(""https://docs.google.com/spreadsheets/d/1nNHCLO8ZAXOMfQvxux7cf_hrzPAh8FAvaHq_ClKbZNo/edit?usp=share_link"",""พระนครศรีอยุธยา!L690"")+IMPORTRANGE(""https://docs.google.com/spreadsheets/d/1CdNicvf3i6yt4tJlCePe3V1Va76wYqW0QzMzTsaGRrA/edit?usp=sh"&amp;"are_link"",""เพชรบุรี!L690"")+IMPORTRANGE(""https://docs.google.com/spreadsheets/d/1XiF77UIVHV0Kjc6xbXuOuJ10WgJYxd4p_22ngKVV5oM/edit?usp=share_link"",""ระยอง!L690"")+IMPORTRANGE(""https://docs.google.com/spreadsheets/d/1qU-W_9MCQD1pgIVXGEOjCFo9QqlmJywueby"&amp;"GgaN92r8/edit?usp=share_link"",""ราชบุรี!L690"")+IMPORTRANGE(""https://docs.google.com/spreadsheets/d/1xYFIxIM_CspAP5Q-5Zx_V0T_Ut3cjryrjd2hss28vGk/edit?usp=share_link"",""ลพบุรี!L690"")+IMPORTRANGE(""https://docs.google.com/spreadsheets/d/11s9m3tKsCBdPWq6"&amp;"syhZm27eBGbKneDLZc75co106bio/edit?usp=share_link"",""สระแก้ว!L690"")+IMPORTRANGE(""https://docs.google.com/spreadsheets/d/1Nn1EvsFPtXldgpgVb3Rcng2K2cls68LFQsBh2FyW0Bg/edit?usp=share_link"",""สระบุรี!L690"")+IMPORTRANGE(""https://docs.google.com/spreadshee"&amp;"ts/d/149xufxukrnEciK3WPbNpHwUK8BKEJxp3UcBG3Al6dA4/edit?usp=share_link"",""สิงห์บุรี!L690"")+IMPORTRANGE(""https://docs.google.com/spreadsheets/d/132g-zJpz2uMKimp17uOIx8A7o3w1Z25zwJyXnwsB56c/edit?usp=share_link"",""สุพรรณบุรี!L690"")+IMPORTRANGE(""https://"&amp;"docs.google.com/spreadsheets/d/12Q_U0nVnFdxDFwa0pej9xvx8ZvLC9Dpi_vRro_aiG5g/edit?usp=share_link"",""อ่างทอง!L690"")
"),352810)</f>
        <v>352810</v>
      </c>
      <c r="M690" s="93">
        <v>0</v>
      </c>
      <c r="N690" s="45">
        <f ca="1">N691+N692+N693+N694</f>
        <v>4040</v>
      </c>
      <c r="O690" s="45">
        <f ca="1">IF(L690&gt;0,N690*100/L690,0)</f>
        <v>1.1450922592897026</v>
      </c>
      <c r="P690" s="45">
        <f>IF(M690&gt;0,N690*100/M690,0)</f>
        <v>0</v>
      </c>
      <c r="Q690" s="597"/>
      <c r="R690" s="597"/>
      <c r="S690" s="597"/>
      <c r="T690" s="597"/>
      <c r="U690" s="597"/>
      <c r="V690" s="597"/>
      <c r="W690" s="597"/>
      <c r="X690" s="597"/>
      <c r="Y690" s="597"/>
      <c r="Z690" s="597"/>
    </row>
    <row r="691" spans="1:26" ht="20.25" customHeight="1">
      <c r="A691" s="567"/>
      <c r="B691" s="568"/>
      <c r="C691" s="569"/>
      <c r="D691" s="569"/>
      <c r="E691" s="569"/>
      <c r="F691" s="570" t="s">
        <v>186</v>
      </c>
      <c r="G691" s="189"/>
      <c r="H691" s="161" t="s">
        <v>12</v>
      </c>
      <c r="I691" s="37"/>
      <c r="J691" s="37"/>
      <c r="K691" s="38"/>
      <c r="L691" s="38"/>
      <c r="M691" s="38"/>
      <c r="N691" s="283">
        <f ca="1">IFERROR(__xludf.DUMMYFUNCTION("IMPORTRANGE(""https://docs.google.com/spreadsheets/d/1hKO5uv94SSRZWOvrh72HRcpyoEQF9TsE_Cvxl77XNU4/edit?usp=share_link"",""กาญจนบุรี!n691"")+IMPORTRANGE(""https://docs.google.com/spreadsheets/d/1njBaP_xXd-Uotvo2D9zb01TTCFkLJLDK97Tk1l9Qux0/edit?usp=share_li"&amp;"nk"",""จันทบุรี!n691"")+IMPORTRANGE(""https://docs.google.com/spreadsheets/d/14xp6qUzrGFnUk_qnc1eEmfiaNRd4_grkhpfQH_46fa8/edit?usp=share_link"",""ฉะเชิงเทรา!n691"")+IMPORTRANGE(""https://docs.google.com/spreadsheets/d/1_Zwps30dlVa-pZFsorjVf1Pil6WXwzCsJU0U"&amp;"2whO3NI/edit?usp=share_link"",""ชลบุรี!n691"")+IMPORTRANGE(""https://docs.google.com/spreadsheets/d/1xAsT4sUbBlom7l0acStESh_15nvjZcXjZM7fK5uZSq8/edit?usp=share_link"",""ชัยนาท!n691"")+IMPORTRANGE(""https://docs.google.com/spreadsheets/d/1vWPVBOAaZ6mHSI8yf"&amp;"95DNqHwTJ1cpeFsvqt6cxV34QA/edit?usp=share_link"",""ตราด!n691"")+IMPORTRANGE(""https://docs.google.com/spreadsheets/d/1phaeSb9lTGgzDpbvVqI9hfmOQQzUom07-HEvpbARzEg/edit?usp=share_link"",""นครนายก!n691"")+IMPORTRANGE(""https://docs.google.com/spreadsheets/d/"&amp;"1tpwhWwkqkBeiSWCcfB5f2fbwPRbM9hHOEDSDHpl2MIc/edit?usp=share_link"",""นครปฐม!n691"")+IMPORTRANGE(""https://docs.google.com/spreadsheets/d/1fJJCVBkBnhriyv0Cp5ZFMr0I_yrfdEITNpb4zILJgUQ/edit?usp=share_link"",""ปทุมธานี!n691"")+IMPORTRANGE(""https://docs.googl"&amp;"e.com/spreadsheets/d/1W5Jj_S0gYw6wSO7QcMI02YgyOBDKYgmm0NSUk-AQEac/edit?usp=share_link"",""ประจวบคีรีขันธ์!n691"")+IMPORTRANGE(""https://docs.google.com/spreadsheets/d/1nYxRXgnCfTXtqUY1otYuTlnrzE0Tn-Y0YRsW5pkRVqo/edit?usp=share_link"",""ปราจีนบุรี!n691"")+"&amp;"IMPORTRANGE(""https://docs.google.com/spreadsheets/d/1nNHCLO8ZAXOMfQvxux7cf_hrzPAh8FAvaHq_ClKbZNo/edit?usp=share_link"",""พระนครศรีอยุธยา!n691"")+IMPORTRANGE(""https://docs.google.com/spreadsheets/d/1CdNicvf3i6yt4tJlCePe3V1Va76wYqW0QzMzTsaGRrA/edit?usp=sh"&amp;"are_link"",""เพชรบุรี!n691"")+IMPORTRANGE(""https://docs.google.com/spreadsheets/d/1XiF77UIVHV0Kjc6xbXuOuJ10WgJYxd4p_22ngKVV5oM/edit?usp=share_link"",""ระยอง!n691"")+IMPORTRANGE(""https://docs.google.com/spreadsheets/d/1qU-W_9MCQD1pgIVXGEOjCFo9QqlmJywueby"&amp;"GgaN92r8/edit?usp=share_link"",""ราชบุรี!n691"")+IMPORTRANGE(""https://docs.google.com/spreadsheets/d/1xYFIxIM_CspAP5Q-5Zx_V0T_Ut3cjryrjd2hss28vGk/edit?usp=share_link"",""ลพบุรี!n691"")+IMPORTRANGE(""https://docs.google.com/spreadsheets/d/11s9m3tKsCBdPWq6"&amp;"syhZm27eBGbKneDLZc75co106bio/edit?usp=share_link"",""สระแก้ว!n691"")+IMPORTRANGE(""https://docs.google.com/spreadsheets/d/1Nn1EvsFPtXldgpgVb3Rcng2K2cls68LFQsBh2FyW0Bg/edit?usp=share_link"",""สระบุรี!n691"")+IMPORTRANGE(""https://docs.google.com/spreadshee"&amp;"ts/d/149xufxukrnEciK3WPbNpHwUK8BKEJxp3UcBG3Al6dA4/edit?usp=share_link"",""สิงห์บุรี!n691"")+IMPORTRANGE(""https://docs.google.com/spreadsheets/d/132g-zJpz2uMKimp17uOIx8A7o3w1Z25zwJyXnwsB56c/edit?usp=share_link"",""สุพรรณบุรี!n691"")+IMPORTRANGE(""https://"&amp;"docs.google.com/spreadsheets/d/12Q_U0nVnFdxDFwa0pej9xvx8ZvLC9Dpi_vRro_aiG5g/edit?usp=share_link"",""อ่างทอง!n691"")
"),0)</f>
        <v>0</v>
      </c>
      <c r="O691" s="38"/>
      <c r="P691" s="38"/>
      <c r="Q691" s="571"/>
      <c r="R691" s="571"/>
      <c r="S691" s="571"/>
      <c r="T691" s="571"/>
      <c r="U691" s="571"/>
      <c r="V691" s="571"/>
      <c r="W691" s="571"/>
      <c r="X691" s="571"/>
      <c r="Y691" s="571"/>
      <c r="Z691" s="571"/>
    </row>
    <row r="692" spans="1:26" ht="20.25" customHeight="1">
      <c r="A692" s="567"/>
      <c r="B692" s="568"/>
      <c r="C692" s="569"/>
      <c r="D692" s="569"/>
      <c r="E692" s="569"/>
      <c r="F692" s="570" t="s">
        <v>187</v>
      </c>
      <c r="G692" s="189"/>
      <c r="H692" s="161" t="s">
        <v>12</v>
      </c>
      <c r="I692" s="37"/>
      <c r="J692" s="37"/>
      <c r="K692" s="38"/>
      <c r="L692" s="38"/>
      <c r="M692" s="38"/>
      <c r="N692" s="283">
        <f ca="1">IFERROR(__xludf.DUMMYFUNCTION("IMPORTRANGE(""https://docs.google.com/spreadsheets/d/1hKO5uv94SSRZWOvrh72HRcpyoEQF9TsE_Cvxl77XNU4/edit?usp=share_link"",""กาญจนบุรี!n692"")+IMPORTRANGE(""https://docs.google.com/spreadsheets/d/1njBaP_xXd-Uotvo2D9zb01TTCFkLJLDK97Tk1l9Qux0/edit?usp=share_li"&amp;"nk"",""จันทบุรี!n692"")+IMPORTRANGE(""https://docs.google.com/spreadsheets/d/14xp6qUzrGFnUk_qnc1eEmfiaNRd4_grkhpfQH_46fa8/edit?usp=share_link"",""ฉะเชิงเทรา!n692"")+IMPORTRANGE(""https://docs.google.com/spreadsheets/d/1_Zwps30dlVa-pZFsorjVf1Pil6WXwzCsJU0U"&amp;"2whO3NI/edit?usp=share_link"",""ชลบุรี!n692"")+IMPORTRANGE(""https://docs.google.com/spreadsheets/d/1xAsT4sUbBlom7l0acStESh_15nvjZcXjZM7fK5uZSq8/edit?usp=share_link"",""ชัยนาท!n692"")+IMPORTRANGE(""https://docs.google.com/spreadsheets/d/1vWPVBOAaZ6mHSI8yf"&amp;"95DNqHwTJ1cpeFsvqt6cxV34QA/edit?usp=share_link"",""ตราด!n692"")+IMPORTRANGE(""https://docs.google.com/spreadsheets/d/1phaeSb9lTGgzDpbvVqI9hfmOQQzUom07-HEvpbARzEg/edit?usp=share_link"",""นครนายก!n692"")+IMPORTRANGE(""https://docs.google.com/spreadsheets/d/"&amp;"1tpwhWwkqkBeiSWCcfB5f2fbwPRbM9hHOEDSDHpl2MIc/edit?usp=share_link"",""นครปฐม!n692"")+IMPORTRANGE(""https://docs.google.com/spreadsheets/d/1fJJCVBkBnhriyv0Cp5ZFMr0I_yrfdEITNpb4zILJgUQ/edit?usp=share_link"",""ปทุมธานี!n692"")+IMPORTRANGE(""https://docs.googl"&amp;"e.com/spreadsheets/d/1W5Jj_S0gYw6wSO7QcMI02YgyOBDKYgmm0NSUk-AQEac/edit?usp=share_link"",""ประจวบคีรีขันธ์!n692"")+IMPORTRANGE(""https://docs.google.com/spreadsheets/d/1nYxRXgnCfTXtqUY1otYuTlnrzE0Tn-Y0YRsW5pkRVqo/edit?usp=share_link"",""ปราจีนบุรี!n692"")+"&amp;"IMPORTRANGE(""https://docs.google.com/spreadsheets/d/1nNHCLO8ZAXOMfQvxux7cf_hrzPAh8FAvaHq_ClKbZNo/edit?usp=share_link"",""พระนครศรีอยุธยา!n692"")+IMPORTRANGE(""https://docs.google.com/spreadsheets/d/1CdNicvf3i6yt4tJlCePe3V1Va76wYqW0QzMzTsaGRrA/edit?usp=sh"&amp;"are_link"",""เพชรบุรี!n692"")+IMPORTRANGE(""https://docs.google.com/spreadsheets/d/1XiF77UIVHV0Kjc6xbXuOuJ10WgJYxd4p_22ngKVV5oM/edit?usp=share_link"",""ระยอง!n692"")+IMPORTRANGE(""https://docs.google.com/spreadsheets/d/1qU-W_9MCQD1pgIVXGEOjCFo9QqlmJywueby"&amp;"GgaN92r8/edit?usp=share_link"",""ราชบุรี!n692"")+IMPORTRANGE(""https://docs.google.com/spreadsheets/d/1xYFIxIM_CspAP5Q-5Zx_V0T_Ut3cjryrjd2hss28vGk/edit?usp=share_link"",""ลพบุรี!n692"")+IMPORTRANGE(""https://docs.google.com/spreadsheets/d/11s9m3tKsCBdPWq6"&amp;"syhZm27eBGbKneDLZc75co106bio/edit?usp=share_link"",""สระแก้ว!n692"")+IMPORTRANGE(""https://docs.google.com/spreadsheets/d/1Nn1EvsFPtXldgpgVb3Rcng2K2cls68LFQsBh2FyW0Bg/edit?usp=share_link"",""สระบุรี!n692"")+IMPORTRANGE(""https://docs.google.com/spreadshee"&amp;"ts/d/149xufxukrnEciK3WPbNpHwUK8BKEJxp3UcBG3Al6dA4/edit?usp=share_link"",""สิงห์บุรี!n692"")+IMPORTRANGE(""https://docs.google.com/spreadsheets/d/132g-zJpz2uMKimp17uOIx8A7o3w1Z25zwJyXnwsB56c/edit?usp=share_link"",""สุพรรณบุรี!n692"")+IMPORTRANGE(""https://"&amp;"docs.google.com/spreadsheets/d/12Q_U0nVnFdxDFwa0pej9xvx8ZvLC9Dpi_vRro_aiG5g/edit?usp=share_link"",""อ่างทอง!n692"")
"),0)</f>
        <v>0</v>
      </c>
      <c r="O692" s="38"/>
      <c r="P692" s="38"/>
      <c r="Q692" s="571"/>
      <c r="R692" s="571"/>
      <c r="S692" s="571"/>
      <c r="T692" s="571"/>
      <c r="U692" s="571"/>
      <c r="V692" s="571"/>
      <c r="W692" s="571"/>
      <c r="X692" s="571"/>
      <c r="Y692" s="571"/>
      <c r="Z692" s="571"/>
    </row>
    <row r="693" spans="1:26" ht="20.25" customHeight="1">
      <c r="A693" s="567"/>
      <c r="B693" s="568"/>
      <c r="C693" s="569"/>
      <c r="D693" s="569"/>
      <c r="E693" s="569"/>
      <c r="F693" s="570" t="s">
        <v>188</v>
      </c>
      <c r="G693" s="189"/>
      <c r="H693" s="161" t="s">
        <v>12</v>
      </c>
      <c r="I693" s="37"/>
      <c r="J693" s="37"/>
      <c r="K693" s="38"/>
      <c r="L693" s="38"/>
      <c r="M693" s="38"/>
      <c r="N693" s="283">
        <f ca="1">IFERROR(__xludf.DUMMYFUNCTION("IMPORTRANGE(""https://docs.google.com/spreadsheets/d/1hKO5uv94SSRZWOvrh72HRcpyoEQF9TsE_Cvxl77XNU4/edit?usp=share_link"",""กาญจนบุรี!n693"")+IMPORTRANGE(""https://docs.google.com/spreadsheets/d/1njBaP_xXd-Uotvo2D9zb01TTCFkLJLDK97Tk1l9Qux0/edit?usp=share_li"&amp;"nk"",""จันทบุรี!n693"")+IMPORTRANGE(""https://docs.google.com/spreadsheets/d/14xp6qUzrGFnUk_qnc1eEmfiaNRd4_grkhpfQH_46fa8/edit?usp=share_link"",""ฉะเชิงเทรา!n693"")+IMPORTRANGE(""https://docs.google.com/spreadsheets/d/1_Zwps30dlVa-pZFsorjVf1Pil6WXwzCsJU0U"&amp;"2whO3NI/edit?usp=share_link"",""ชลบุรี!n693"")+IMPORTRANGE(""https://docs.google.com/spreadsheets/d/1xAsT4sUbBlom7l0acStESh_15nvjZcXjZM7fK5uZSq8/edit?usp=share_link"",""ชัยนาท!n693"")+IMPORTRANGE(""https://docs.google.com/spreadsheets/d/1vWPVBOAaZ6mHSI8yf"&amp;"95DNqHwTJ1cpeFsvqt6cxV34QA/edit?usp=share_link"",""ตราด!n693"")+IMPORTRANGE(""https://docs.google.com/spreadsheets/d/1phaeSb9lTGgzDpbvVqI9hfmOQQzUom07-HEvpbARzEg/edit?usp=share_link"",""นครนายก!n693"")+IMPORTRANGE(""https://docs.google.com/spreadsheets/d/"&amp;"1tpwhWwkqkBeiSWCcfB5f2fbwPRbM9hHOEDSDHpl2MIc/edit?usp=share_link"",""นครปฐม!n693"")+IMPORTRANGE(""https://docs.google.com/spreadsheets/d/1fJJCVBkBnhriyv0Cp5ZFMr0I_yrfdEITNpb4zILJgUQ/edit?usp=share_link"",""ปทุมธานี!n693"")+IMPORTRANGE(""https://docs.googl"&amp;"e.com/spreadsheets/d/1W5Jj_S0gYw6wSO7QcMI02YgyOBDKYgmm0NSUk-AQEac/edit?usp=share_link"",""ประจวบคีรีขันธ์!n693"")+IMPORTRANGE(""https://docs.google.com/spreadsheets/d/1nYxRXgnCfTXtqUY1otYuTlnrzE0Tn-Y0YRsW5pkRVqo/edit?usp=share_link"",""ปราจีนบุรี!n693"")+"&amp;"IMPORTRANGE(""https://docs.google.com/spreadsheets/d/1nNHCLO8ZAXOMfQvxux7cf_hrzPAh8FAvaHq_ClKbZNo/edit?usp=share_link"",""พระนครศรีอยุธยา!n693"")+IMPORTRANGE(""https://docs.google.com/spreadsheets/d/1CdNicvf3i6yt4tJlCePe3V1Va76wYqW0QzMzTsaGRrA/edit?usp=sh"&amp;"are_link"",""เพชรบุรี!n693"")+IMPORTRANGE(""https://docs.google.com/spreadsheets/d/1XiF77UIVHV0Kjc6xbXuOuJ10WgJYxd4p_22ngKVV5oM/edit?usp=share_link"",""ระยอง!n693"")+IMPORTRANGE(""https://docs.google.com/spreadsheets/d/1qU-W_9MCQD1pgIVXGEOjCFo9QqlmJywueby"&amp;"GgaN92r8/edit?usp=share_link"",""ราชบุรี!n693"")+IMPORTRANGE(""https://docs.google.com/spreadsheets/d/1xYFIxIM_CspAP5Q-5Zx_V0T_Ut3cjryrjd2hss28vGk/edit?usp=share_link"",""ลพบุรี!n693"")+IMPORTRANGE(""https://docs.google.com/spreadsheets/d/11s9m3tKsCBdPWq6"&amp;"syhZm27eBGbKneDLZc75co106bio/edit?usp=share_link"",""สระแก้ว!n693"")+IMPORTRANGE(""https://docs.google.com/spreadsheets/d/1Nn1EvsFPtXldgpgVb3Rcng2K2cls68LFQsBh2FyW0Bg/edit?usp=share_link"",""สระบุรี!n693"")+IMPORTRANGE(""https://docs.google.com/spreadshee"&amp;"ts/d/149xufxukrnEciK3WPbNpHwUK8BKEJxp3UcBG3Al6dA4/edit?usp=share_link"",""สิงห์บุรี!n693"")+IMPORTRANGE(""https://docs.google.com/spreadsheets/d/132g-zJpz2uMKimp17uOIx8A7o3w1Z25zwJyXnwsB56c/edit?usp=share_link"",""สุพรรณบุรี!n693"")+IMPORTRANGE(""https://"&amp;"docs.google.com/spreadsheets/d/12Q_U0nVnFdxDFwa0pej9xvx8ZvLC9Dpi_vRro_aiG5g/edit?usp=share_link"",""อ่างทอง!n693"")
"),0)</f>
        <v>0</v>
      </c>
      <c r="O693" s="38"/>
      <c r="P693" s="38"/>
      <c r="Q693" s="571"/>
      <c r="R693" s="571"/>
      <c r="S693" s="571"/>
      <c r="T693" s="571"/>
      <c r="U693" s="571"/>
      <c r="V693" s="571"/>
      <c r="W693" s="571"/>
      <c r="X693" s="571"/>
      <c r="Y693" s="571"/>
      <c r="Z693" s="571"/>
    </row>
    <row r="694" spans="1:26" ht="20.25" customHeight="1">
      <c r="A694" s="567"/>
      <c r="B694" s="568"/>
      <c r="C694" s="569"/>
      <c r="D694" s="569"/>
      <c r="E694" s="569"/>
      <c r="F694" s="570" t="s">
        <v>189</v>
      </c>
      <c r="G694" s="189"/>
      <c r="H694" s="161" t="s">
        <v>12</v>
      </c>
      <c r="I694" s="37"/>
      <c r="J694" s="37"/>
      <c r="K694" s="38"/>
      <c r="L694" s="38"/>
      <c r="M694" s="38"/>
      <c r="N694" s="283">
        <f ca="1">IFERROR(__xludf.DUMMYFUNCTION("IMPORTRANGE(""https://docs.google.com/spreadsheets/d/1hKO5uv94SSRZWOvrh72HRcpyoEQF9TsE_Cvxl77XNU4/edit?usp=share_link"",""กาญจนบุรี!n694"")+IMPORTRANGE(""https://docs.google.com/spreadsheets/d/1njBaP_xXd-Uotvo2D9zb01TTCFkLJLDK97Tk1l9Qux0/edit?usp=share_li"&amp;"nk"",""จันทบุรี!n694"")+IMPORTRANGE(""https://docs.google.com/spreadsheets/d/14xp6qUzrGFnUk_qnc1eEmfiaNRd4_grkhpfQH_46fa8/edit?usp=share_link"",""ฉะเชิงเทรา!n694"")+IMPORTRANGE(""https://docs.google.com/spreadsheets/d/1_Zwps30dlVa-pZFsorjVf1Pil6WXwzCsJU0U"&amp;"2whO3NI/edit?usp=share_link"",""ชลบุรี!n694"")+IMPORTRANGE(""https://docs.google.com/spreadsheets/d/1xAsT4sUbBlom7l0acStESh_15nvjZcXjZM7fK5uZSq8/edit?usp=share_link"",""ชัยนาท!n694"")+IMPORTRANGE(""https://docs.google.com/spreadsheets/d/1vWPVBOAaZ6mHSI8yf"&amp;"95DNqHwTJ1cpeFsvqt6cxV34QA/edit?usp=share_link"",""ตราด!n694"")+IMPORTRANGE(""https://docs.google.com/spreadsheets/d/1phaeSb9lTGgzDpbvVqI9hfmOQQzUom07-HEvpbARzEg/edit?usp=share_link"",""นครนายก!n694"")+IMPORTRANGE(""https://docs.google.com/spreadsheets/d/"&amp;"1tpwhWwkqkBeiSWCcfB5f2fbwPRbM9hHOEDSDHpl2MIc/edit?usp=share_link"",""นครปฐม!n694"")+IMPORTRANGE(""https://docs.google.com/spreadsheets/d/1fJJCVBkBnhriyv0Cp5ZFMr0I_yrfdEITNpb4zILJgUQ/edit?usp=share_link"",""ปทุมธานี!n694"")+IMPORTRANGE(""https://docs.googl"&amp;"e.com/spreadsheets/d/1W5Jj_S0gYw6wSO7QcMI02YgyOBDKYgmm0NSUk-AQEac/edit?usp=share_link"",""ประจวบคีรีขันธ์!n694"")+IMPORTRANGE(""https://docs.google.com/spreadsheets/d/1nYxRXgnCfTXtqUY1otYuTlnrzE0Tn-Y0YRsW5pkRVqo/edit?usp=share_link"",""ปราจีนบุรี!n694"")+"&amp;"IMPORTRANGE(""https://docs.google.com/spreadsheets/d/1nNHCLO8ZAXOMfQvxux7cf_hrzPAh8FAvaHq_ClKbZNo/edit?usp=share_link"",""พระนครศรีอยุธยา!n694"")+IMPORTRANGE(""https://docs.google.com/spreadsheets/d/1CdNicvf3i6yt4tJlCePe3V1Va76wYqW0QzMzTsaGRrA/edit?usp=sh"&amp;"are_link"",""เพชรบุรี!n694"")+IMPORTRANGE(""https://docs.google.com/spreadsheets/d/1XiF77UIVHV0Kjc6xbXuOuJ10WgJYxd4p_22ngKVV5oM/edit?usp=share_link"",""ระยอง!n694"")+IMPORTRANGE(""https://docs.google.com/spreadsheets/d/1qU-W_9MCQD1pgIVXGEOjCFo9QqlmJywueby"&amp;"GgaN92r8/edit?usp=share_link"",""ราชบุรี!n694"")+IMPORTRANGE(""https://docs.google.com/spreadsheets/d/1xYFIxIM_CspAP5Q-5Zx_V0T_Ut3cjryrjd2hss28vGk/edit?usp=share_link"",""ลพบุรี!n694"")+IMPORTRANGE(""https://docs.google.com/spreadsheets/d/11s9m3tKsCBdPWq6"&amp;"syhZm27eBGbKneDLZc75co106bio/edit?usp=share_link"",""สระแก้ว!n694"")+IMPORTRANGE(""https://docs.google.com/spreadsheets/d/1Nn1EvsFPtXldgpgVb3Rcng2K2cls68LFQsBh2FyW0Bg/edit?usp=share_link"",""สระบุรี!n694"")+IMPORTRANGE(""https://docs.google.com/spreadshee"&amp;"ts/d/149xufxukrnEciK3WPbNpHwUK8BKEJxp3UcBG3Al6dA4/edit?usp=share_link"",""สิงห์บุรี!n694"")+IMPORTRANGE(""https://docs.google.com/spreadsheets/d/132g-zJpz2uMKimp17uOIx8A7o3w1Z25zwJyXnwsB56c/edit?usp=share_link"",""สุพรรณบุรี!n694"")+IMPORTRANGE(""https://"&amp;"docs.google.com/spreadsheets/d/12Q_U0nVnFdxDFwa0pej9xvx8ZvLC9Dpi_vRro_aiG5g/edit?usp=share_link"",""อ่างทอง!n694"")
"),4040)</f>
        <v>4040</v>
      </c>
      <c r="O694" s="38"/>
      <c r="P694" s="38"/>
      <c r="Q694" s="571"/>
      <c r="R694" s="571"/>
      <c r="S694" s="571"/>
      <c r="T694" s="571"/>
      <c r="U694" s="571"/>
      <c r="V694" s="571"/>
      <c r="W694" s="571"/>
      <c r="X694" s="571"/>
      <c r="Y694" s="571"/>
      <c r="Z694" s="571"/>
    </row>
    <row r="695" spans="1:26" ht="20.25" customHeight="1">
      <c r="A695" s="590"/>
      <c r="B695" s="568"/>
      <c r="C695" s="569"/>
      <c r="D695" s="749" t="s">
        <v>21</v>
      </c>
      <c r="E695" s="569"/>
      <c r="F695" s="569"/>
      <c r="G695" s="189"/>
      <c r="H695" s="168" t="s">
        <v>12</v>
      </c>
      <c r="I695" s="162"/>
      <c r="J695" s="162"/>
      <c r="K695" s="163"/>
      <c r="L695" s="38">
        <f t="shared" ref="L695:N695" si="327">L696+L697</f>
        <v>0</v>
      </c>
      <c r="M695" s="38">
        <f t="shared" si="327"/>
        <v>0</v>
      </c>
      <c r="N695" s="38">
        <f t="shared" si="327"/>
        <v>0</v>
      </c>
      <c r="O695" s="38">
        <f t="shared" ref="O695:O697" si="328">IF(L695&gt;0,N695*100/L695,0)</f>
        <v>0</v>
      </c>
      <c r="P695" s="38">
        <f t="shared" ref="P695:P697" si="329">IF(M695&gt;0,N695*100/M695,0)</f>
        <v>0</v>
      </c>
      <c r="Q695" s="571"/>
      <c r="R695" s="571"/>
      <c r="S695" s="571"/>
      <c r="T695" s="571"/>
      <c r="U695" s="571"/>
      <c r="V695" s="571"/>
      <c r="W695" s="571"/>
      <c r="X695" s="571"/>
      <c r="Y695" s="571"/>
      <c r="Z695" s="571"/>
    </row>
    <row r="696" spans="1:26" ht="20.25" hidden="1" customHeight="1">
      <c r="A696" s="592"/>
      <c r="B696" s="598"/>
      <c r="C696" s="593"/>
      <c r="D696" s="593"/>
      <c r="E696" s="750" t="s">
        <v>18</v>
      </c>
      <c r="F696" s="593"/>
      <c r="G696" s="596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45">
        <f t="shared" si="328"/>
        <v>0</v>
      </c>
      <c r="P696" s="45">
        <f t="shared" si="329"/>
        <v>0</v>
      </c>
      <c r="Q696" s="597"/>
      <c r="R696" s="597"/>
      <c r="S696" s="597"/>
      <c r="T696" s="597"/>
      <c r="U696" s="597"/>
      <c r="V696" s="597"/>
      <c r="W696" s="597"/>
      <c r="X696" s="597"/>
      <c r="Y696" s="597"/>
      <c r="Z696" s="597"/>
    </row>
    <row r="697" spans="1:26" ht="20.25" hidden="1" customHeight="1">
      <c r="A697" s="592"/>
      <c r="B697" s="598"/>
      <c r="C697" s="593"/>
      <c r="D697" s="593"/>
      <c r="E697" s="750" t="s">
        <v>19</v>
      </c>
      <c r="F697" s="593"/>
      <c r="G697" s="596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45">
        <f t="shared" si="328"/>
        <v>0</v>
      </c>
      <c r="P697" s="45">
        <f t="shared" si="329"/>
        <v>0</v>
      </c>
      <c r="Q697" s="597"/>
      <c r="R697" s="597"/>
      <c r="S697" s="597"/>
      <c r="T697" s="597"/>
      <c r="U697" s="597"/>
      <c r="V697" s="597"/>
      <c r="W697" s="597"/>
      <c r="X697" s="597"/>
      <c r="Y697" s="597"/>
      <c r="Z697" s="597"/>
    </row>
    <row r="698" spans="1:26" ht="20.25" customHeight="1">
      <c r="A698" s="601"/>
      <c r="B698" s="602"/>
      <c r="C698" s="569" t="s">
        <v>16</v>
      </c>
      <c r="D698" s="751" t="s">
        <v>38</v>
      </c>
      <c r="E698" s="752"/>
      <c r="F698" s="605"/>
      <c r="G698" s="606"/>
      <c r="H698" s="753"/>
      <c r="I698" s="162"/>
      <c r="J698" s="162"/>
      <c r="K698" s="163"/>
      <c r="L698" s="163"/>
      <c r="M698" s="163"/>
      <c r="N698" s="163"/>
      <c r="O698" s="163"/>
      <c r="P698" s="163"/>
      <c r="Q698" s="571"/>
      <c r="R698" s="571"/>
      <c r="S698" s="571"/>
      <c r="T698" s="571"/>
      <c r="U698" s="571"/>
      <c r="V698" s="571"/>
      <c r="W698" s="571"/>
      <c r="X698" s="571"/>
      <c r="Y698" s="571"/>
      <c r="Z698" s="571"/>
    </row>
    <row r="699" spans="1:26" ht="20.25" customHeight="1">
      <c r="A699" s="735"/>
      <c r="B699" s="569"/>
      <c r="C699" s="569"/>
      <c r="D699" s="570" t="s">
        <v>294</v>
      </c>
      <c r="E699" s="754"/>
      <c r="F699" s="569"/>
      <c r="G699" s="189"/>
      <c r="H699" s="755" t="s">
        <v>46</v>
      </c>
      <c r="I699" s="756">
        <f ca="1">IFERROR(__xludf.DUMMYFUNCTION("IMPORTRANGE(""https://docs.google.com/spreadsheets/d/1hKO5uv94SSRZWOvrh72HRcpyoEQF9TsE_Cvxl77XNU4/edit?usp=share_link"",""กาญจนบุรี!I699"")+IMPORTRANGE(""https://docs.google.com/spreadsheets/d/1njBaP_xXd-Uotvo2D9zb01TTCFkLJLDK97Tk1l9Qux0/edit?usp=share_li"&amp;"nk"",""จันทบุรี!I699"")+IMPORTRANGE(""https://docs.google.com/spreadsheets/d/14xp6qUzrGFnUk_qnc1eEmfiaNRd4_grkhpfQH_46fa8/edit?usp=share_link"",""ฉะเชิงเทรา!I699"")+IMPORTRANGE(""https://docs.google.com/spreadsheets/d/1_Zwps30dlVa-pZFsorjVf1Pil6WXwzCsJU0U"&amp;"2whO3NI/edit?usp=share_link"",""ชลบุรี!I699"")+IMPORTRANGE(""https://docs.google.com/spreadsheets/d/1xAsT4sUbBlom7l0acStESh_15nvjZcXjZM7fK5uZSq8/edit?usp=share_link"",""ชัยนาท!I699"")+IMPORTRANGE(""https://docs.google.com/spreadsheets/d/1vWPVBOAaZ6mHSI8yf"&amp;"95DNqHwTJ1cpeFsvqt6cxV34QA/edit?usp=share_link"",""ตราด!I699"")+IMPORTRANGE(""https://docs.google.com/spreadsheets/d/1phaeSb9lTGgzDpbvVqI9hfmOQQzUom07-HEvpbARzEg/edit?usp=share_link"",""นครนายก!I699"")+IMPORTRANGE(""https://docs.google.com/spreadsheets/d/"&amp;"1tpwhWwkqkBeiSWCcfB5f2fbwPRbM9hHOEDSDHpl2MIc/edit?usp=share_link"",""นครปฐม!I699"")+IMPORTRANGE(""https://docs.google.com/spreadsheets/d/1fJJCVBkBnhriyv0Cp5ZFMr0I_yrfdEITNpb4zILJgUQ/edit?usp=share_link"",""ปทุมธานี!I699"")+IMPORTRANGE(""https://docs.googl"&amp;"e.com/spreadsheets/d/1W5Jj_S0gYw6wSO7QcMI02YgyOBDKYgmm0NSUk-AQEac/edit?usp=share_link"",""ประจวบคีรีขันธ์!I699"")+IMPORTRANGE(""https://docs.google.com/spreadsheets/d/1nYxRXgnCfTXtqUY1otYuTlnrzE0Tn-Y0YRsW5pkRVqo/edit?usp=share_link"",""ปราจีนบุรี!I699"")+"&amp;"IMPORTRANGE(""https://docs.google.com/spreadsheets/d/1nNHCLO8ZAXOMfQvxux7cf_hrzPAh8FAvaHq_ClKbZNo/edit?usp=share_link"",""พระนครศรีอยุธยา!I699"")+IMPORTRANGE(""https://docs.google.com/spreadsheets/d/1CdNicvf3i6yt4tJlCePe3V1Va76wYqW0QzMzTsaGRrA/edit?usp=sh"&amp;"are_link"",""เพชรบุรี!I699"")+IMPORTRANGE(""https://docs.google.com/spreadsheets/d/1XiF77UIVHV0Kjc6xbXuOuJ10WgJYxd4p_22ngKVV5oM/edit?usp=share_link"",""ระยอง!I699"")+IMPORTRANGE(""https://docs.google.com/spreadsheets/d/1qU-W_9MCQD1pgIVXGEOjCFo9QqlmJywueby"&amp;"GgaN92r8/edit?usp=share_link"",""ราชบุรี!I699"")+IMPORTRANGE(""https://docs.google.com/spreadsheets/d/1xYFIxIM_CspAP5Q-5Zx_V0T_Ut3cjryrjd2hss28vGk/edit?usp=share_link"",""ลพบุรี!I699"")+IMPORTRANGE(""https://docs.google.com/spreadsheets/d/11s9m3tKsCBdPWq6"&amp;"syhZm27eBGbKneDLZc75co106bio/edit?usp=share_link"",""สระแก้ว!I699"")+IMPORTRANGE(""https://docs.google.com/spreadsheets/d/1Nn1EvsFPtXldgpgVb3Rcng2K2cls68LFQsBh2FyW0Bg/edit?usp=share_link"",""สระบุรี!I699"")+IMPORTRANGE(""https://docs.google.com/spreadshee"&amp;"ts/d/149xufxukrnEciK3WPbNpHwUK8BKEJxp3UcBG3Al6dA4/edit?usp=share_link"",""สิงห์บุรี!I699"")+IMPORTRANGE(""https://docs.google.com/spreadsheets/d/132g-zJpz2uMKimp17uOIx8A7o3w1Z25zwJyXnwsB56c/edit?usp=share_link"",""สุพรรณบุรี!I699"")+IMPORTRANGE(""https://"&amp;"docs.google.com/spreadsheets/d/12Q_U0nVnFdxDFwa0pej9xvx8ZvLC9Dpi_vRro_aiG5g/edit?usp=share_link"",""อ่างทอง!I699"")
"),175)</f>
        <v>175</v>
      </c>
      <c r="J699" s="37">
        <f ca="1">IFERROR(__xludf.DUMMYFUNCTION("IMPORTRANGE(""https://docs.google.com/spreadsheets/d/1hKO5uv94SSRZWOvrh72HRcpyoEQF9TsE_Cvxl77XNU4/edit?usp=share_link"",""กาญจนบุรี!J699"")+IMPORTRANGE(""https://docs.google.com/spreadsheets/d/1njBaP_xXd-Uotvo2D9zb01TTCFkLJLDK97Tk1l9Qux0/edit?usp=share_li"&amp;"nk"",""จันทบุรี!J699"")+IMPORTRANGE(""https://docs.google.com/spreadsheets/d/14xp6qUzrGFnUk_qnc1eEmfiaNRd4_grkhpfQH_46fa8/edit?usp=share_link"",""ฉะเชิงเทรา!J699"")+IMPORTRANGE(""https://docs.google.com/spreadsheets/d/1_Zwps30dlVa-pZFsorjVf1Pil6WXwzCsJU0U"&amp;"2whO3NI/edit?usp=share_link"",""ชลบุรี!J699"")+IMPORTRANGE(""https://docs.google.com/spreadsheets/d/1xAsT4sUbBlom7l0acStESh_15nvjZcXjZM7fK5uZSq8/edit?usp=share_link"",""ชัยนาท!J699"")+IMPORTRANGE(""https://docs.google.com/spreadsheets/d/1vWPVBOAaZ6mHSI8yf"&amp;"95DNqHwTJ1cpeFsvqt6cxV34QA/edit?usp=share_link"",""ตราด!J699"")+IMPORTRANGE(""https://docs.google.com/spreadsheets/d/1phaeSb9lTGgzDpbvVqI9hfmOQQzUom07-HEvpbARzEg/edit?usp=share_link"",""นครนายก!J699"")+IMPORTRANGE(""https://docs.google.com/spreadsheets/d/"&amp;"1tpwhWwkqkBeiSWCcfB5f2fbwPRbM9hHOEDSDHpl2MIc/edit?usp=share_link"",""นครปฐม!J699"")+IMPORTRANGE(""https://docs.google.com/spreadsheets/d/1fJJCVBkBnhriyv0Cp5ZFMr0I_yrfdEITNpb4zILJgUQ/edit?usp=share_link"",""ปทุมธานี!J699"")+IMPORTRANGE(""https://docs.googl"&amp;"e.com/spreadsheets/d/1W5Jj_S0gYw6wSO7QcMI02YgyOBDKYgmm0NSUk-AQEac/edit?usp=share_link"",""ประจวบคีรีขันธ์!J699"")+IMPORTRANGE(""https://docs.google.com/spreadsheets/d/1nYxRXgnCfTXtqUY1otYuTlnrzE0Tn-Y0YRsW5pkRVqo/edit?usp=share_link"",""ปราจีนบุรี!J699"")+"&amp;"IMPORTRANGE(""https://docs.google.com/spreadsheets/d/1nNHCLO8ZAXOMfQvxux7cf_hrzPAh8FAvaHq_ClKbZNo/edit?usp=share_link"",""พระนครศรีอยุธยา!J699"")+IMPORTRANGE(""https://docs.google.com/spreadsheets/d/1CdNicvf3i6yt4tJlCePe3V1Va76wYqW0QzMzTsaGRrA/edit?usp=sh"&amp;"are_link"",""เพชรบุรี!J699"")+IMPORTRANGE(""https://docs.google.com/spreadsheets/d/1XiF77UIVHV0Kjc6xbXuOuJ10WgJYxd4p_22ngKVV5oM/edit?usp=share_link"",""ระยอง!J699"")+IMPORTRANGE(""https://docs.google.com/spreadsheets/d/1qU-W_9MCQD1pgIVXGEOjCFo9QqlmJywueby"&amp;"GgaN92r8/edit?usp=share_link"",""ราชบุรี!J699"")+IMPORTRANGE(""https://docs.google.com/spreadsheets/d/1xYFIxIM_CspAP5Q-5Zx_V0T_Ut3cjryrjd2hss28vGk/edit?usp=share_link"",""ลพบุรี!J699"")+IMPORTRANGE(""https://docs.google.com/spreadsheets/d/11s9m3tKsCBdPWq6"&amp;"syhZm27eBGbKneDLZc75co106bio/edit?usp=share_link"",""สระแก้ว!J699"")+IMPORTRANGE(""https://docs.google.com/spreadsheets/d/1Nn1EvsFPtXldgpgVb3Rcng2K2cls68LFQsBh2FyW0Bg/edit?usp=share_link"",""สระบุรี!J699"")+IMPORTRANGE(""https://docs.google.com/spreadshee"&amp;"ts/d/149xufxukrnEciK3WPbNpHwUK8BKEJxp3UcBG3Al6dA4/edit?usp=share_link"",""สิงห์บุรี!J699"")+IMPORTRANGE(""https://docs.google.com/spreadsheets/d/132g-zJpz2uMKimp17uOIx8A7o3w1Z25zwJyXnwsB56c/edit?usp=share_link"",""สุพรรณบุรี!J699"")+IMPORTRANGE(""https://"&amp;"docs.google.com/spreadsheets/d/12Q_U0nVnFdxDFwa0pej9xvx8ZvLC9Dpi_vRro_aiG5g/edit?usp=share_link"",""อ่างทอง!J699"")
"),0)</f>
        <v>0</v>
      </c>
      <c r="K699" s="38">
        <f t="shared" ref="K699:K701" ca="1" si="330">IF(I699&gt;0,J699*100/I699,0)</f>
        <v>0</v>
      </c>
      <c r="L699" s="38"/>
      <c r="M699" s="189"/>
      <c r="N699" s="757"/>
      <c r="O699" s="38"/>
      <c r="P699" s="38"/>
      <c r="Q699" s="571"/>
      <c r="R699" s="571"/>
      <c r="S699" s="571"/>
      <c r="T699" s="571"/>
      <c r="U699" s="571"/>
      <c r="V699" s="571"/>
      <c r="W699" s="571"/>
      <c r="X699" s="571"/>
      <c r="Y699" s="571"/>
      <c r="Z699" s="571"/>
    </row>
    <row r="700" spans="1:26" ht="20.25" customHeight="1">
      <c r="A700" s="735"/>
      <c r="B700" s="569"/>
      <c r="C700" s="569"/>
      <c r="D700" s="570" t="s">
        <v>295</v>
      </c>
      <c r="E700" s="569"/>
      <c r="F700" s="569"/>
      <c r="G700" s="189"/>
      <c r="H700" s="755" t="s">
        <v>35</v>
      </c>
      <c r="I700" s="756">
        <f ca="1">IFERROR(__xludf.DUMMYFUNCTION("IMPORTRANGE(""https://docs.google.com/spreadsheets/d/1hKO5uv94SSRZWOvrh72HRcpyoEQF9TsE_Cvxl77XNU4/edit?usp=share_link"",""กาญจนบุรี!I700"")+IMPORTRANGE(""https://docs.google.com/spreadsheets/d/1njBaP_xXd-Uotvo2D9zb01TTCFkLJLDK97Tk1l9Qux0/edit?usp=share_li"&amp;"nk"",""จันทบุรี!I700"")+IMPORTRANGE(""https://docs.google.com/spreadsheets/d/14xp6qUzrGFnUk_qnc1eEmfiaNRd4_grkhpfQH_46fa8/edit?usp=share_link"",""ฉะเชิงเทรา!I700"")+IMPORTRANGE(""https://docs.google.com/spreadsheets/d/1_Zwps30dlVa-pZFsorjVf1Pil6WXwzCsJU0U"&amp;"2whO3NI/edit?usp=share_link"",""ชลบุรี!I700"")+IMPORTRANGE(""https://docs.google.com/spreadsheets/d/1xAsT4sUbBlom7l0acStESh_15nvjZcXjZM7fK5uZSq8/edit?usp=share_link"",""ชัยนาท!I700"")+IMPORTRANGE(""https://docs.google.com/spreadsheets/d/1vWPVBOAaZ6mHSI8yf"&amp;"95DNqHwTJ1cpeFsvqt6cxV34QA/edit?usp=share_link"",""ตราด!I700"")+IMPORTRANGE(""https://docs.google.com/spreadsheets/d/1phaeSb9lTGgzDpbvVqI9hfmOQQzUom07-HEvpbARzEg/edit?usp=share_link"",""นครนายก!I700"")+IMPORTRANGE(""https://docs.google.com/spreadsheets/d/"&amp;"1tpwhWwkqkBeiSWCcfB5f2fbwPRbM9hHOEDSDHpl2MIc/edit?usp=share_link"",""นครปฐม!I700"")+IMPORTRANGE(""https://docs.google.com/spreadsheets/d/1fJJCVBkBnhriyv0Cp5ZFMr0I_yrfdEITNpb4zILJgUQ/edit?usp=share_link"",""ปทุมธานี!I700"")+IMPORTRANGE(""https://docs.googl"&amp;"e.com/spreadsheets/d/1W5Jj_S0gYw6wSO7QcMI02YgyOBDKYgmm0NSUk-AQEac/edit?usp=share_link"",""ประจวบคีรีขันธ์!I700"")+IMPORTRANGE(""https://docs.google.com/spreadsheets/d/1nYxRXgnCfTXtqUY1otYuTlnrzE0Tn-Y0YRsW5pkRVqo/edit?usp=share_link"",""ปราจีนบุรี!I700"")+"&amp;"IMPORTRANGE(""https://docs.google.com/spreadsheets/d/1nNHCLO8ZAXOMfQvxux7cf_hrzPAh8FAvaHq_ClKbZNo/edit?usp=share_link"",""พระนครศรีอยุธยา!I700"")+IMPORTRANGE(""https://docs.google.com/spreadsheets/d/1CdNicvf3i6yt4tJlCePe3V1Va76wYqW0QzMzTsaGRrA/edit?usp=sh"&amp;"are_link"",""เพชรบุรี!I700"")+IMPORTRANGE(""https://docs.google.com/spreadsheets/d/1XiF77UIVHV0Kjc6xbXuOuJ10WgJYxd4p_22ngKVV5oM/edit?usp=share_link"",""ระยอง!I700"")+IMPORTRANGE(""https://docs.google.com/spreadsheets/d/1qU-W_9MCQD1pgIVXGEOjCFo9QqlmJywueby"&amp;"GgaN92r8/edit?usp=share_link"",""ราชบุรี!I700"")+IMPORTRANGE(""https://docs.google.com/spreadsheets/d/1xYFIxIM_CspAP5Q-5Zx_V0T_Ut3cjryrjd2hss28vGk/edit?usp=share_link"",""ลพบุรี!I700"")+IMPORTRANGE(""https://docs.google.com/spreadsheets/d/11s9m3tKsCBdPWq6"&amp;"syhZm27eBGbKneDLZc75co106bio/edit?usp=share_link"",""สระแก้ว!I700"")+IMPORTRANGE(""https://docs.google.com/spreadsheets/d/1Nn1EvsFPtXldgpgVb3Rcng2K2cls68LFQsBh2FyW0Bg/edit?usp=share_link"",""สระบุรี!I700"")+IMPORTRANGE(""https://docs.google.com/spreadshee"&amp;"ts/d/149xufxukrnEciK3WPbNpHwUK8BKEJxp3UcBG3Al6dA4/edit?usp=share_link"",""สิงห์บุรี!I700"")+IMPORTRANGE(""https://docs.google.com/spreadsheets/d/132g-zJpz2uMKimp17uOIx8A7o3w1Z25zwJyXnwsB56c/edit?usp=share_link"",""สุพรรณบุรี!I700"")+IMPORTRANGE(""https://"&amp;"docs.google.com/spreadsheets/d/12Q_U0nVnFdxDFwa0pej9xvx8ZvLC9Dpi_vRro_aiG5g/edit?usp=share_link"",""อ่างทอง!I700"")
"),138)</f>
        <v>138</v>
      </c>
      <c r="J700" s="37">
        <f ca="1">IFERROR(__xludf.DUMMYFUNCTION("IMPORTRANGE(""https://docs.google.com/spreadsheets/d/1hKO5uv94SSRZWOvrh72HRcpyoEQF9TsE_Cvxl77XNU4/edit?usp=share_link"",""กาญจนบุรี!J700"")+IMPORTRANGE(""https://docs.google.com/spreadsheets/d/1njBaP_xXd-Uotvo2D9zb01TTCFkLJLDK97Tk1l9Qux0/edit?usp=share_li"&amp;"nk"",""จันทบุรี!J700"")+IMPORTRANGE(""https://docs.google.com/spreadsheets/d/14xp6qUzrGFnUk_qnc1eEmfiaNRd4_grkhpfQH_46fa8/edit?usp=share_link"",""ฉะเชิงเทรา!J700"")+IMPORTRANGE(""https://docs.google.com/spreadsheets/d/1_Zwps30dlVa-pZFsorjVf1Pil6WXwzCsJU0U"&amp;"2whO3NI/edit?usp=share_link"",""ชลบุรี!J700"")+IMPORTRANGE(""https://docs.google.com/spreadsheets/d/1xAsT4sUbBlom7l0acStESh_15nvjZcXjZM7fK5uZSq8/edit?usp=share_link"",""ชัยนาท!J700"")+IMPORTRANGE(""https://docs.google.com/spreadsheets/d/1vWPVBOAaZ6mHSI8yf"&amp;"95DNqHwTJ1cpeFsvqt6cxV34QA/edit?usp=share_link"",""ตราด!J700"")+IMPORTRANGE(""https://docs.google.com/spreadsheets/d/1phaeSb9lTGgzDpbvVqI9hfmOQQzUom07-HEvpbARzEg/edit?usp=share_link"",""นครนายก!J700"")+IMPORTRANGE(""https://docs.google.com/spreadsheets/d/"&amp;"1tpwhWwkqkBeiSWCcfB5f2fbwPRbM9hHOEDSDHpl2MIc/edit?usp=share_link"",""นครปฐม!J700"")+IMPORTRANGE(""https://docs.google.com/spreadsheets/d/1fJJCVBkBnhriyv0Cp5ZFMr0I_yrfdEITNpb4zILJgUQ/edit?usp=share_link"",""ปทุมธานี!J700"")+IMPORTRANGE(""https://docs.googl"&amp;"e.com/spreadsheets/d/1W5Jj_S0gYw6wSO7QcMI02YgyOBDKYgmm0NSUk-AQEac/edit?usp=share_link"",""ประจวบคีรีขันธ์!J700"")+IMPORTRANGE(""https://docs.google.com/spreadsheets/d/1nYxRXgnCfTXtqUY1otYuTlnrzE0Tn-Y0YRsW5pkRVqo/edit?usp=share_link"",""ปราจีนบุรี!J700"")+"&amp;"IMPORTRANGE(""https://docs.google.com/spreadsheets/d/1nNHCLO8ZAXOMfQvxux7cf_hrzPAh8FAvaHq_ClKbZNo/edit?usp=share_link"",""พระนครศรีอยุธยา!J700"")+IMPORTRANGE(""https://docs.google.com/spreadsheets/d/1CdNicvf3i6yt4tJlCePe3V1Va76wYqW0QzMzTsaGRrA/edit?usp=sh"&amp;"are_link"",""เพชรบุรี!J700"")+IMPORTRANGE(""https://docs.google.com/spreadsheets/d/1XiF77UIVHV0Kjc6xbXuOuJ10WgJYxd4p_22ngKVV5oM/edit?usp=share_link"",""ระยอง!J700"")+IMPORTRANGE(""https://docs.google.com/spreadsheets/d/1qU-W_9MCQD1pgIVXGEOjCFo9QqlmJywueby"&amp;"GgaN92r8/edit?usp=share_link"",""ราชบุรี!J700"")+IMPORTRANGE(""https://docs.google.com/spreadsheets/d/1xYFIxIM_CspAP5Q-5Zx_V0T_Ut3cjryrjd2hss28vGk/edit?usp=share_link"",""ลพบุรี!J700"")+IMPORTRANGE(""https://docs.google.com/spreadsheets/d/11s9m3tKsCBdPWq6"&amp;"syhZm27eBGbKneDLZc75co106bio/edit?usp=share_link"",""สระแก้ว!J700"")+IMPORTRANGE(""https://docs.google.com/spreadsheets/d/1Nn1EvsFPtXldgpgVb3Rcng2K2cls68LFQsBh2FyW0Bg/edit?usp=share_link"",""สระบุรี!J700"")+IMPORTRANGE(""https://docs.google.com/spreadshee"&amp;"ts/d/149xufxukrnEciK3WPbNpHwUK8BKEJxp3UcBG3Al6dA4/edit?usp=share_link"",""สิงห์บุรี!J700"")+IMPORTRANGE(""https://docs.google.com/spreadsheets/d/132g-zJpz2uMKimp17uOIx8A7o3w1Z25zwJyXnwsB56c/edit?usp=share_link"",""สุพรรณบุรี!J700"")+IMPORTRANGE(""https://"&amp;"docs.google.com/spreadsheets/d/12Q_U0nVnFdxDFwa0pej9xvx8ZvLC9Dpi_vRro_aiG5g/edit?usp=share_link"",""อ่างทอง!J700"")
"),2)</f>
        <v>2</v>
      </c>
      <c r="K700" s="38">
        <f t="shared" ca="1" si="330"/>
        <v>1.4492753623188406</v>
      </c>
      <c r="L700" s="38"/>
      <c r="M700" s="189"/>
      <c r="N700" s="757"/>
      <c r="O700" s="38"/>
      <c r="P700" s="38"/>
      <c r="Q700" s="571"/>
      <c r="R700" s="571"/>
      <c r="S700" s="571"/>
      <c r="T700" s="571"/>
      <c r="U700" s="571"/>
      <c r="V700" s="571"/>
      <c r="W700" s="571"/>
      <c r="X700" s="571"/>
      <c r="Y700" s="571"/>
      <c r="Z700" s="571"/>
    </row>
    <row r="701" spans="1:26" ht="20.25" customHeight="1">
      <c r="A701" s="735"/>
      <c r="B701" s="569"/>
      <c r="C701" s="569"/>
      <c r="D701" s="570" t="s">
        <v>296</v>
      </c>
      <c r="E701" s="569"/>
      <c r="F701" s="569"/>
      <c r="G701" s="189"/>
      <c r="H701" s="758" t="s">
        <v>46</v>
      </c>
      <c r="I701" s="759">
        <f ca="1">IFERROR(__xludf.DUMMYFUNCTION("IMPORTRANGE(""https://docs.google.com/spreadsheets/d/1hKO5uv94SSRZWOvrh72HRcpyoEQF9TsE_Cvxl77XNU4/edit?usp=share_link"",""กาญจนบุรี!I701"")+IMPORTRANGE(""https://docs.google.com/spreadsheets/d/1njBaP_xXd-Uotvo2D9zb01TTCFkLJLDK97Tk1l9Qux0/edit?usp=share_li"&amp;"nk"",""จันทบุรี!I701"")+IMPORTRANGE(""https://docs.google.com/spreadsheets/d/14xp6qUzrGFnUk_qnc1eEmfiaNRd4_grkhpfQH_46fa8/edit?usp=share_link"",""ฉะเชิงเทรา!I701"")+IMPORTRANGE(""https://docs.google.com/spreadsheets/d/1_Zwps30dlVa-pZFsorjVf1Pil6WXwzCsJU0U"&amp;"2whO3NI/edit?usp=share_link"",""ชลบุรี!I701"")+IMPORTRANGE(""https://docs.google.com/spreadsheets/d/1xAsT4sUbBlom7l0acStESh_15nvjZcXjZM7fK5uZSq8/edit?usp=share_link"",""ชัยนาท!I701"")+IMPORTRANGE(""https://docs.google.com/spreadsheets/d/1vWPVBOAaZ6mHSI8yf"&amp;"95DNqHwTJ1cpeFsvqt6cxV34QA/edit?usp=share_link"",""ตราด!I701"")+IMPORTRANGE(""https://docs.google.com/spreadsheets/d/1phaeSb9lTGgzDpbvVqI9hfmOQQzUom07-HEvpbARzEg/edit?usp=share_link"",""นครนายก!I701"")+IMPORTRANGE(""https://docs.google.com/spreadsheets/d/"&amp;"1tpwhWwkqkBeiSWCcfB5f2fbwPRbM9hHOEDSDHpl2MIc/edit?usp=share_link"",""นครปฐม!I701"")+IMPORTRANGE(""https://docs.google.com/spreadsheets/d/1fJJCVBkBnhriyv0Cp5ZFMr0I_yrfdEITNpb4zILJgUQ/edit?usp=share_link"",""ปทุมธานี!I701"")+IMPORTRANGE(""https://docs.googl"&amp;"e.com/spreadsheets/d/1W5Jj_S0gYw6wSO7QcMI02YgyOBDKYgmm0NSUk-AQEac/edit?usp=share_link"",""ประจวบคีรีขันธ์!I701"")+IMPORTRANGE(""https://docs.google.com/spreadsheets/d/1nYxRXgnCfTXtqUY1otYuTlnrzE0Tn-Y0YRsW5pkRVqo/edit?usp=share_link"",""ปราจีนบุรี!I701"")+"&amp;"IMPORTRANGE(""https://docs.google.com/spreadsheets/d/1nNHCLO8ZAXOMfQvxux7cf_hrzPAh8FAvaHq_ClKbZNo/edit?usp=share_link"",""พระนครศรีอยุธยา!I701"")+IMPORTRANGE(""https://docs.google.com/spreadsheets/d/1CdNicvf3i6yt4tJlCePe3V1Va76wYqW0QzMzTsaGRrA/edit?usp=sh"&amp;"are_link"",""เพชรบุรี!I701"")+IMPORTRANGE(""https://docs.google.com/spreadsheets/d/1XiF77UIVHV0Kjc6xbXuOuJ10WgJYxd4p_22ngKVV5oM/edit?usp=share_link"",""ระยอง!I701"")+IMPORTRANGE(""https://docs.google.com/spreadsheets/d/1qU-W_9MCQD1pgIVXGEOjCFo9QqlmJywueby"&amp;"GgaN92r8/edit?usp=share_link"",""ราชบุรี!I701"")+IMPORTRANGE(""https://docs.google.com/spreadsheets/d/1xYFIxIM_CspAP5Q-5Zx_V0T_Ut3cjryrjd2hss28vGk/edit?usp=share_link"",""ลพบุรี!I701"")+IMPORTRANGE(""https://docs.google.com/spreadsheets/d/11s9m3tKsCBdPWq6"&amp;"syhZm27eBGbKneDLZc75co106bio/edit?usp=share_link"",""สระแก้ว!I701"")+IMPORTRANGE(""https://docs.google.com/spreadsheets/d/1Nn1EvsFPtXldgpgVb3Rcng2K2cls68LFQsBh2FyW0Bg/edit?usp=share_link"",""สระบุรี!I701"")+IMPORTRANGE(""https://docs.google.com/spreadshee"&amp;"ts/d/149xufxukrnEciK3WPbNpHwUK8BKEJxp3UcBG3Al6dA4/edit?usp=share_link"",""สิงห์บุรี!I701"")+IMPORTRANGE(""https://docs.google.com/spreadsheets/d/132g-zJpz2uMKimp17uOIx8A7o3w1Z25zwJyXnwsB56c/edit?usp=share_link"",""สุพรรณบุรี!I701"")+IMPORTRANGE(""https://"&amp;"docs.google.com/spreadsheets/d/12Q_U0nVnFdxDFwa0pej9xvx8ZvLC9Dpi_vRro_aiG5g/edit?usp=share_link"",""อ่างทอง!I701"")
"),1841)</f>
        <v>1841</v>
      </c>
      <c r="J701" s="194">
        <f ca="1">J704+J707</f>
        <v>0</v>
      </c>
      <c r="K701" s="195">
        <f t="shared" ca="1" si="330"/>
        <v>0</v>
      </c>
      <c r="L701" s="38"/>
      <c r="M701" s="189"/>
      <c r="N701" s="757"/>
      <c r="O701" s="38"/>
      <c r="P701" s="38"/>
      <c r="Q701" s="571"/>
      <c r="R701" s="571"/>
      <c r="S701" s="571"/>
      <c r="T701" s="571"/>
      <c r="U701" s="571"/>
      <c r="V701" s="571"/>
      <c r="W701" s="571"/>
      <c r="X701" s="571"/>
      <c r="Y701" s="571"/>
      <c r="Z701" s="571"/>
    </row>
    <row r="702" spans="1:26" ht="20.25" customHeight="1">
      <c r="A702" s="735"/>
      <c r="B702" s="569"/>
      <c r="C702" s="569"/>
      <c r="D702" s="569"/>
      <c r="E702" s="570" t="s">
        <v>297</v>
      </c>
      <c r="F702" s="569"/>
      <c r="G702" s="189"/>
      <c r="H702" s="182" t="s">
        <v>35</v>
      </c>
      <c r="I702" s="756"/>
      <c r="J702" s="183">
        <f ca="1">IFERROR(__xludf.DUMMYFUNCTION("IMPORTRANGE(""https://docs.google.com/spreadsheets/d/1hKO5uv94SSRZWOvrh72HRcpyoEQF9TsE_Cvxl77XNU4/edit?usp=share_link"",""กาญจนบุรี!J702"")+IMPORTRANGE(""https://docs.google.com/spreadsheets/d/1njBaP_xXd-Uotvo2D9zb01TTCFkLJLDK97Tk1l9Qux0/edit?usp=share_li"&amp;"nk"",""จันทบุรี!J702"")+IMPORTRANGE(""https://docs.google.com/spreadsheets/d/14xp6qUzrGFnUk_qnc1eEmfiaNRd4_grkhpfQH_46fa8/edit?usp=share_link"",""ฉะเชิงเทรา!J702"")+IMPORTRANGE(""https://docs.google.com/spreadsheets/d/1_Zwps30dlVa-pZFsorjVf1Pil6WXwzCsJU0U"&amp;"2whO3NI/edit?usp=share_link"",""ชลบุรี!J702"")+IMPORTRANGE(""https://docs.google.com/spreadsheets/d/1xAsT4sUbBlom7l0acStESh_15nvjZcXjZM7fK5uZSq8/edit?usp=share_link"",""ชัยนาท!J702"")+IMPORTRANGE(""https://docs.google.com/spreadsheets/d/1vWPVBOAaZ6mHSI8yf"&amp;"95DNqHwTJ1cpeFsvqt6cxV34QA/edit?usp=share_link"",""ตราด!J702"")+IMPORTRANGE(""https://docs.google.com/spreadsheets/d/1phaeSb9lTGgzDpbvVqI9hfmOQQzUom07-HEvpbARzEg/edit?usp=share_link"",""นครนายก!J702"")+IMPORTRANGE(""https://docs.google.com/spreadsheets/d/"&amp;"1tpwhWwkqkBeiSWCcfB5f2fbwPRbM9hHOEDSDHpl2MIc/edit?usp=share_link"",""นครปฐม!J702"")+IMPORTRANGE(""https://docs.google.com/spreadsheets/d/1fJJCVBkBnhriyv0Cp5ZFMr0I_yrfdEITNpb4zILJgUQ/edit?usp=share_link"",""ปทุมธานี!J702"")+IMPORTRANGE(""https://docs.googl"&amp;"e.com/spreadsheets/d/1W5Jj_S0gYw6wSO7QcMI02YgyOBDKYgmm0NSUk-AQEac/edit?usp=share_link"",""ประจวบคีรีขันธ์!J702"")+IMPORTRANGE(""https://docs.google.com/spreadsheets/d/1nYxRXgnCfTXtqUY1otYuTlnrzE0Tn-Y0YRsW5pkRVqo/edit?usp=share_link"",""ปราจีนบุรี!J702"")+"&amp;"IMPORTRANGE(""https://docs.google.com/spreadsheets/d/1nNHCLO8ZAXOMfQvxux7cf_hrzPAh8FAvaHq_ClKbZNo/edit?usp=share_link"",""พระนครศรีอยุธยา!J702"")+IMPORTRANGE(""https://docs.google.com/spreadsheets/d/1CdNicvf3i6yt4tJlCePe3V1Va76wYqW0QzMzTsaGRrA/edit?usp=sh"&amp;"are_link"",""เพชรบุรี!J702"")+IMPORTRANGE(""https://docs.google.com/spreadsheets/d/1XiF77UIVHV0Kjc6xbXuOuJ10WgJYxd4p_22ngKVV5oM/edit?usp=share_link"",""ระยอง!J702"")+IMPORTRANGE(""https://docs.google.com/spreadsheets/d/1qU-W_9MCQD1pgIVXGEOjCFo9QqlmJywueby"&amp;"GgaN92r8/edit?usp=share_link"",""ราชบุรี!J702"")+IMPORTRANGE(""https://docs.google.com/spreadsheets/d/1xYFIxIM_CspAP5Q-5Zx_V0T_Ut3cjryrjd2hss28vGk/edit?usp=share_link"",""ลพบุรี!J702"")+IMPORTRANGE(""https://docs.google.com/spreadsheets/d/11s9m3tKsCBdPWq6"&amp;"syhZm27eBGbKneDLZc75co106bio/edit?usp=share_link"",""สระแก้ว!J702"")+IMPORTRANGE(""https://docs.google.com/spreadsheets/d/1Nn1EvsFPtXldgpgVb3Rcng2K2cls68LFQsBh2FyW0Bg/edit?usp=share_link"",""สระบุรี!J702"")+IMPORTRANGE(""https://docs.google.com/spreadshee"&amp;"ts/d/149xufxukrnEciK3WPbNpHwUK8BKEJxp3UcBG3Al6dA4/edit?usp=share_link"",""สิงห์บุรี!J702"")+IMPORTRANGE(""https://docs.google.com/spreadsheets/d/132g-zJpz2uMKimp17uOIx8A7o3w1Z25zwJyXnwsB56c/edit?usp=share_link"",""สุพรรณบุรี!J702"")+IMPORTRANGE(""https://"&amp;"docs.google.com/spreadsheets/d/12Q_U0nVnFdxDFwa0pej9xvx8ZvLC9Dpi_vRro_aiG5g/edit?usp=share_link"",""อ่างทอง!J702"")
"),0)</f>
        <v>0</v>
      </c>
      <c r="K702" s="38"/>
      <c r="L702" s="38"/>
      <c r="M702" s="189"/>
      <c r="N702" s="757"/>
      <c r="O702" s="38"/>
      <c r="P702" s="38"/>
      <c r="Q702" s="571"/>
      <c r="R702" s="571"/>
      <c r="S702" s="571"/>
      <c r="T702" s="571"/>
      <c r="U702" s="571"/>
      <c r="V702" s="571"/>
      <c r="W702" s="571"/>
      <c r="X702" s="571"/>
      <c r="Y702" s="571"/>
      <c r="Z702" s="571"/>
    </row>
    <row r="703" spans="1:26" ht="20.25" customHeight="1">
      <c r="A703" s="735"/>
      <c r="B703" s="569"/>
      <c r="C703" s="569"/>
      <c r="D703" s="569"/>
      <c r="E703" s="569"/>
      <c r="F703" s="569"/>
      <c r="G703" s="189"/>
      <c r="H703" s="182" t="s">
        <v>34</v>
      </c>
      <c r="I703" s="756"/>
      <c r="J703" s="183">
        <f ca="1">IFERROR(__xludf.DUMMYFUNCTION("IMPORTRANGE(""https://docs.google.com/spreadsheets/d/1hKO5uv94SSRZWOvrh72HRcpyoEQF9TsE_Cvxl77XNU4/edit?usp=share_link"",""กาญจนบุรี!J703"")+IMPORTRANGE(""https://docs.google.com/spreadsheets/d/1njBaP_xXd-Uotvo2D9zb01TTCFkLJLDK97Tk1l9Qux0/edit?usp=share_li"&amp;"nk"",""จันทบุรี!J703"")+IMPORTRANGE(""https://docs.google.com/spreadsheets/d/14xp6qUzrGFnUk_qnc1eEmfiaNRd4_grkhpfQH_46fa8/edit?usp=share_link"",""ฉะเชิงเทรา!J703"")+IMPORTRANGE(""https://docs.google.com/spreadsheets/d/1_Zwps30dlVa-pZFsorjVf1Pil6WXwzCsJU0U"&amp;"2whO3NI/edit?usp=share_link"",""ชลบุรี!J703"")+IMPORTRANGE(""https://docs.google.com/spreadsheets/d/1xAsT4sUbBlom7l0acStESh_15nvjZcXjZM7fK5uZSq8/edit?usp=share_link"",""ชัยนาท!J703"")+IMPORTRANGE(""https://docs.google.com/spreadsheets/d/1vWPVBOAaZ6mHSI8yf"&amp;"95DNqHwTJ1cpeFsvqt6cxV34QA/edit?usp=share_link"",""ตราด!J703"")+IMPORTRANGE(""https://docs.google.com/spreadsheets/d/1phaeSb9lTGgzDpbvVqI9hfmOQQzUom07-HEvpbARzEg/edit?usp=share_link"",""นครนายก!J703"")+IMPORTRANGE(""https://docs.google.com/spreadsheets/d/"&amp;"1tpwhWwkqkBeiSWCcfB5f2fbwPRbM9hHOEDSDHpl2MIc/edit?usp=share_link"",""นครปฐม!J703"")+IMPORTRANGE(""https://docs.google.com/spreadsheets/d/1fJJCVBkBnhriyv0Cp5ZFMr0I_yrfdEITNpb4zILJgUQ/edit?usp=share_link"",""ปทุมธานี!J703"")+IMPORTRANGE(""https://docs.googl"&amp;"e.com/spreadsheets/d/1W5Jj_S0gYw6wSO7QcMI02YgyOBDKYgmm0NSUk-AQEac/edit?usp=share_link"",""ประจวบคีรีขันธ์!J703"")+IMPORTRANGE(""https://docs.google.com/spreadsheets/d/1nYxRXgnCfTXtqUY1otYuTlnrzE0Tn-Y0YRsW5pkRVqo/edit?usp=share_link"",""ปราจีนบุรี!J703"")+"&amp;"IMPORTRANGE(""https://docs.google.com/spreadsheets/d/1nNHCLO8ZAXOMfQvxux7cf_hrzPAh8FAvaHq_ClKbZNo/edit?usp=share_link"",""พระนครศรีอยุธยา!J703"")+IMPORTRANGE(""https://docs.google.com/spreadsheets/d/1CdNicvf3i6yt4tJlCePe3V1Va76wYqW0QzMzTsaGRrA/edit?usp=sh"&amp;"are_link"",""เพชรบุรี!J703"")+IMPORTRANGE(""https://docs.google.com/spreadsheets/d/1XiF77UIVHV0Kjc6xbXuOuJ10WgJYxd4p_22ngKVV5oM/edit?usp=share_link"",""ระยอง!J703"")+IMPORTRANGE(""https://docs.google.com/spreadsheets/d/1qU-W_9MCQD1pgIVXGEOjCFo9QqlmJywueby"&amp;"GgaN92r8/edit?usp=share_link"",""ราชบุรี!J703"")+IMPORTRANGE(""https://docs.google.com/spreadsheets/d/1xYFIxIM_CspAP5Q-5Zx_V0T_Ut3cjryrjd2hss28vGk/edit?usp=share_link"",""ลพบุรี!J703"")+IMPORTRANGE(""https://docs.google.com/spreadsheets/d/11s9m3tKsCBdPWq6"&amp;"syhZm27eBGbKneDLZc75co106bio/edit?usp=share_link"",""สระแก้ว!J703"")+IMPORTRANGE(""https://docs.google.com/spreadsheets/d/1Nn1EvsFPtXldgpgVb3Rcng2K2cls68LFQsBh2FyW0Bg/edit?usp=share_link"",""สระบุรี!J703"")+IMPORTRANGE(""https://docs.google.com/spreadshee"&amp;"ts/d/149xufxukrnEciK3WPbNpHwUK8BKEJxp3UcBG3Al6dA4/edit?usp=share_link"",""สิงห์บุรี!J703"")+IMPORTRANGE(""https://docs.google.com/spreadsheets/d/132g-zJpz2uMKimp17uOIx8A7o3w1Z25zwJyXnwsB56c/edit?usp=share_link"",""สุพรรณบุรี!J703"")+IMPORTRANGE(""https://"&amp;"docs.google.com/spreadsheets/d/12Q_U0nVnFdxDFwa0pej9xvx8ZvLC9Dpi_vRro_aiG5g/edit?usp=share_link"",""อ่างทอง!J703"")
"),0)</f>
        <v>0</v>
      </c>
      <c r="K703" s="38"/>
      <c r="L703" s="38"/>
      <c r="M703" s="189"/>
      <c r="N703" s="757"/>
      <c r="O703" s="38"/>
      <c r="P703" s="38"/>
      <c r="Q703" s="571"/>
      <c r="R703" s="571"/>
      <c r="S703" s="571"/>
      <c r="T703" s="571"/>
      <c r="U703" s="571"/>
      <c r="V703" s="571"/>
      <c r="W703" s="571"/>
      <c r="X703" s="571"/>
      <c r="Y703" s="571"/>
      <c r="Z703" s="571"/>
    </row>
    <row r="704" spans="1:26" ht="20.25" customHeight="1">
      <c r="A704" s="735"/>
      <c r="B704" s="569"/>
      <c r="C704" s="569"/>
      <c r="D704" s="569"/>
      <c r="E704" s="569"/>
      <c r="F704" s="569"/>
      <c r="G704" s="189"/>
      <c r="H704" s="182" t="s">
        <v>46</v>
      </c>
      <c r="I704" s="756">
        <f ca="1">IFERROR(__xludf.DUMMYFUNCTION("IMPORTRANGE(""https://docs.google.com/spreadsheets/d/1hKO5uv94SSRZWOvrh72HRcpyoEQF9TsE_Cvxl77XNU4/edit?usp=share_link"",""กาญจนบุรี!I704"")+IMPORTRANGE(""https://docs.google.com/spreadsheets/d/1njBaP_xXd-Uotvo2D9zb01TTCFkLJLDK97Tk1l9Qux0/edit?usp=share_li"&amp;"nk"",""จันทบุรี!I704"")+IMPORTRANGE(""https://docs.google.com/spreadsheets/d/14xp6qUzrGFnUk_qnc1eEmfiaNRd4_grkhpfQH_46fa8/edit?usp=share_link"",""ฉะเชิงเทรา!I704"")+IMPORTRANGE(""https://docs.google.com/spreadsheets/d/1_Zwps30dlVa-pZFsorjVf1Pil6WXwzCsJU0U"&amp;"2whO3NI/edit?usp=share_link"",""ชลบุรี!I704"")+IMPORTRANGE(""https://docs.google.com/spreadsheets/d/1xAsT4sUbBlom7l0acStESh_15nvjZcXjZM7fK5uZSq8/edit?usp=share_link"",""ชัยนาท!I704"")+IMPORTRANGE(""https://docs.google.com/spreadsheets/d/1vWPVBOAaZ6mHSI8yf"&amp;"95DNqHwTJ1cpeFsvqt6cxV34QA/edit?usp=share_link"",""ตราด!I704"")+IMPORTRANGE(""https://docs.google.com/spreadsheets/d/1phaeSb9lTGgzDpbvVqI9hfmOQQzUom07-HEvpbARzEg/edit?usp=share_link"",""นครนายก!I704"")+IMPORTRANGE(""https://docs.google.com/spreadsheets/d/"&amp;"1tpwhWwkqkBeiSWCcfB5f2fbwPRbM9hHOEDSDHpl2MIc/edit?usp=share_link"",""นครปฐม!I704"")+IMPORTRANGE(""https://docs.google.com/spreadsheets/d/1fJJCVBkBnhriyv0Cp5ZFMr0I_yrfdEITNpb4zILJgUQ/edit?usp=share_link"",""ปทุมธานี!I704"")+IMPORTRANGE(""https://docs.googl"&amp;"e.com/spreadsheets/d/1W5Jj_S0gYw6wSO7QcMI02YgyOBDKYgmm0NSUk-AQEac/edit?usp=share_link"",""ประจวบคีรีขันธ์!I704"")+IMPORTRANGE(""https://docs.google.com/spreadsheets/d/1nYxRXgnCfTXtqUY1otYuTlnrzE0Tn-Y0YRsW5pkRVqo/edit?usp=share_link"",""ปราจีนบุรี!I704"")+"&amp;"IMPORTRANGE(""https://docs.google.com/spreadsheets/d/1nNHCLO8ZAXOMfQvxux7cf_hrzPAh8FAvaHq_ClKbZNo/edit?usp=share_link"",""พระนครศรีอยุธยา!I704"")+IMPORTRANGE(""https://docs.google.com/spreadsheets/d/1CdNicvf3i6yt4tJlCePe3V1Va76wYqW0QzMzTsaGRrA/edit?usp=sh"&amp;"are_link"",""เพชรบุรี!I704"")+IMPORTRANGE(""https://docs.google.com/spreadsheets/d/1XiF77UIVHV0Kjc6xbXuOuJ10WgJYxd4p_22ngKVV5oM/edit?usp=share_link"",""ระยอง!I704"")+IMPORTRANGE(""https://docs.google.com/spreadsheets/d/1qU-W_9MCQD1pgIVXGEOjCFo9QqlmJywueby"&amp;"GgaN92r8/edit?usp=share_link"",""ราชบุรี!I704"")+IMPORTRANGE(""https://docs.google.com/spreadsheets/d/1xYFIxIM_CspAP5Q-5Zx_V0T_Ut3cjryrjd2hss28vGk/edit?usp=share_link"",""ลพบุรี!I704"")+IMPORTRANGE(""https://docs.google.com/spreadsheets/d/11s9m3tKsCBdPWq6"&amp;"syhZm27eBGbKneDLZc75co106bio/edit?usp=share_link"",""สระแก้ว!I704"")+IMPORTRANGE(""https://docs.google.com/spreadsheets/d/1Nn1EvsFPtXldgpgVb3Rcng2K2cls68LFQsBh2FyW0Bg/edit?usp=share_link"",""สระบุรี!I704"")+IMPORTRANGE(""https://docs.google.com/spreadshee"&amp;"ts/d/149xufxukrnEciK3WPbNpHwUK8BKEJxp3UcBG3Al6dA4/edit?usp=share_link"",""สิงห์บุรี!I704"")+IMPORTRANGE(""https://docs.google.com/spreadsheets/d/132g-zJpz2uMKimp17uOIx8A7o3w1Z25zwJyXnwsB56c/edit?usp=share_link"",""สุพรรณบุรี!I704"")+IMPORTRANGE(""https://"&amp;"docs.google.com/spreadsheets/d/12Q_U0nVnFdxDFwa0pej9xvx8ZvLC9Dpi_vRro_aiG5g/edit?usp=share_link"",""อ่างทอง!I704"")
"),1286)</f>
        <v>1286</v>
      </c>
      <c r="J704" s="183">
        <f ca="1">IFERROR(__xludf.DUMMYFUNCTION("IMPORTRANGE(""https://docs.google.com/spreadsheets/d/1hKO5uv94SSRZWOvrh72HRcpyoEQF9TsE_Cvxl77XNU4/edit?usp=share_link"",""กาญจนบุรี!J704"")+IMPORTRANGE(""https://docs.google.com/spreadsheets/d/1njBaP_xXd-Uotvo2D9zb01TTCFkLJLDK97Tk1l9Qux0/edit?usp=share_li"&amp;"nk"",""จันทบุรี!J704"")+IMPORTRANGE(""https://docs.google.com/spreadsheets/d/14xp6qUzrGFnUk_qnc1eEmfiaNRd4_grkhpfQH_46fa8/edit?usp=share_link"",""ฉะเชิงเทรา!J704"")+IMPORTRANGE(""https://docs.google.com/spreadsheets/d/1_Zwps30dlVa-pZFsorjVf1Pil6WXwzCsJU0U"&amp;"2whO3NI/edit?usp=share_link"",""ชลบุรี!J704"")+IMPORTRANGE(""https://docs.google.com/spreadsheets/d/1xAsT4sUbBlom7l0acStESh_15nvjZcXjZM7fK5uZSq8/edit?usp=share_link"",""ชัยนาท!J704"")+IMPORTRANGE(""https://docs.google.com/spreadsheets/d/1vWPVBOAaZ6mHSI8yf"&amp;"95DNqHwTJ1cpeFsvqt6cxV34QA/edit?usp=share_link"",""ตราด!J704"")+IMPORTRANGE(""https://docs.google.com/spreadsheets/d/1phaeSb9lTGgzDpbvVqI9hfmOQQzUom07-HEvpbARzEg/edit?usp=share_link"",""นครนายก!J704"")+IMPORTRANGE(""https://docs.google.com/spreadsheets/d/"&amp;"1tpwhWwkqkBeiSWCcfB5f2fbwPRbM9hHOEDSDHpl2MIc/edit?usp=share_link"",""นครปฐม!J704"")+IMPORTRANGE(""https://docs.google.com/spreadsheets/d/1fJJCVBkBnhriyv0Cp5ZFMr0I_yrfdEITNpb4zILJgUQ/edit?usp=share_link"",""ปทุมธานี!J704"")+IMPORTRANGE(""https://docs.googl"&amp;"e.com/spreadsheets/d/1W5Jj_S0gYw6wSO7QcMI02YgyOBDKYgmm0NSUk-AQEac/edit?usp=share_link"",""ประจวบคีรีขันธ์!J704"")+IMPORTRANGE(""https://docs.google.com/spreadsheets/d/1nYxRXgnCfTXtqUY1otYuTlnrzE0Tn-Y0YRsW5pkRVqo/edit?usp=share_link"",""ปราจีนบุรี!J704"")+"&amp;"IMPORTRANGE(""https://docs.google.com/spreadsheets/d/1nNHCLO8ZAXOMfQvxux7cf_hrzPAh8FAvaHq_ClKbZNo/edit?usp=share_link"",""พระนครศรีอยุธยา!J704"")+IMPORTRANGE(""https://docs.google.com/spreadsheets/d/1CdNicvf3i6yt4tJlCePe3V1Va76wYqW0QzMzTsaGRrA/edit?usp=sh"&amp;"are_link"",""เพชรบุรี!J704"")+IMPORTRANGE(""https://docs.google.com/spreadsheets/d/1XiF77UIVHV0Kjc6xbXuOuJ10WgJYxd4p_22ngKVV5oM/edit?usp=share_link"",""ระยอง!J704"")+IMPORTRANGE(""https://docs.google.com/spreadsheets/d/1qU-W_9MCQD1pgIVXGEOjCFo9QqlmJywueby"&amp;"GgaN92r8/edit?usp=share_link"",""ราชบุรี!J704"")+IMPORTRANGE(""https://docs.google.com/spreadsheets/d/1xYFIxIM_CspAP5Q-5Zx_V0T_Ut3cjryrjd2hss28vGk/edit?usp=share_link"",""ลพบุรี!J704"")+IMPORTRANGE(""https://docs.google.com/spreadsheets/d/11s9m3tKsCBdPWq6"&amp;"syhZm27eBGbKneDLZc75co106bio/edit?usp=share_link"",""สระแก้ว!J704"")+IMPORTRANGE(""https://docs.google.com/spreadsheets/d/1Nn1EvsFPtXldgpgVb3Rcng2K2cls68LFQsBh2FyW0Bg/edit?usp=share_link"",""สระบุรี!J704"")+IMPORTRANGE(""https://docs.google.com/spreadshee"&amp;"ts/d/149xufxukrnEciK3WPbNpHwUK8BKEJxp3UcBG3Al6dA4/edit?usp=share_link"",""สิงห์บุรี!J704"")+IMPORTRANGE(""https://docs.google.com/spreadsheets/d/132g-zJpz2uMKimp17uOIx8A7o3w1Z25zwJyXnwsB56c/edit?usp=share_link"",""สุพรรณบุรี!J704"")+IMPORTRANGE(""https://"&amp;"docs.google.com/spreadsheets/d/12Q_U0nVnFdxDFwa0pej9xvx8ZvLC9Dpi_vRro_aiG5g/edit?usp=share_link"",""อ่างทอง!J704"")
"),0)</f>
        <v>0</v>
      </c>
      <c r="K704" s="38"/>
      <c r="L704" s="38"/>
      <c r="M704" s="189"/>
      <c r="N704" s="757"/>
      <c r="O704" s="38"/>
      <c r="P704" s="38"/>
      <c r="Q704" s="571"/>
      <c r="R704" s="571"/>
      <c r="S704" s="571"/>
      <c r="T704" s="571"/>
      <c r="U704" s="571"/>
      <c r="V704" s="571"/>
      <c r="W704" s="571"/>
      <c r="X704" s="571"/>
      <c r="Y704" s="571"/>
      <c r="Z704" s="571"/>
    </row>
    <row r="705" spans="1:26" ht="20.25" customHeight="1">
      <c r="A705" s="735"/>
      <c r="B705" s="569"/>
      <c r="C705" s="569"/>
      <c r="D705" s="569"/>
      <c r="E705" s="570" t="s">
        <v>298</v>
      </c>
      <c r="F705" s="569"/>
      <c r="G705" s="189"/>
      <c r="H705" s="182" t="s">
        <v>35</v>
      </c>
      <c r="I705" s="756"/>
      <c r="J705" s="183">
        <f ca="1">IFERROR(__xludf.DUMMYFUNCTION("IMPORTRANGE(""https://docs.google.com/spreadsheets/d/1hKO5uv94SSRZWOvrh72HRcpyoEQF9TsE_Cvxl77XNU4/edit?usp=share_link"",""กาญจนบุรี!J705"")+IMPORTRANGE(""https://docs.google.com/spreadsheets/d/1njBaP_xXd-Uotvo2D9zb01TTCFkLJLDK97Tk1l9Qux0/edit?usp=share_li"&amp;"nk"",""จันทบุรี!J705"")+IMPORTRANGE(""https://docs.google.com/spreadsheets/d/14xp6qUzrGFnUk_qnc1eEmfiaNRd4_grkhpfQH_46fa8/edit?usp=share_link"",""ฉะเชิงเทรา!J705"")+IMPORTRANGE(""https://docs.google.com/spreadsheets/d/1_Zwps30dlVa-pZFsorjVf1Pil6WXwzCsJU0U"&amp;"2whO3NI/edit?usp=share_link"",""ชลบุรี!J705"")+IMPORTRANGE(""https://docs.google.com/spreadsheets/d/1xAsT4sUbBlom7l0acStESh_15nvjZcXjZM7fK5uZSq8/edit?usp=share_link"",""ชัยนาท!J705"")+IMPORTRANGE(""https://docs.google.com/spreadsheets/d/1vWPVBOAaZ6mHSI8yf"&amp;"95DNqHwTJ1cpeFsvqt6cxV34QA/edit?usp=share_link"",""ตราด!J705"")+IMPORTRANGE(""https://docs.google.com/spreadsheets/d/1phaeSb9lTGgzDpbvVqI9hfmOQQzUom07-HEvpbARzEg/edit?usp=share_link"",""นครนายก!J705"")+IMPORTRANGE(""https://docs.google.com/spreadsheets/d/"&amp;"1tpwhWwkqkBeiSWCcfB5f2fbwPRbM9hHOEDSDHpl2MIc/edit?usp=share_link"",""นครปฐม!J705"")+IMPORTRANGE(""https://docs.google.com/spreadsheets/d/1fJJCVBkBnhriyv0Cp5ZFMr0I_yrfdEITNpb4zILJgUQ/edit?usp=share_link"",""ปทุมธานี!J705"")+IMPORTRANGE(""https://docs.googl"&amp;"e.com/spreadsheets/d/1W5Jj_S0gYw6wSO7QcMI02YgyOBDKYgmm0NSUk-AQEac/edit?usp=share_link"",""ประจวบคีรีขันธ์!J705"")+IMPORTRANGE(""https://docs.google.com/spreadsheets/d/1nYxRXgnCfTXtqUY1otYuTlnrzE0Tn-Y0YRsW5pkRVqo/edit?usp=share_link"",""ปราจีนบุรี!J705"")+"&amp;"IMPORTRANGE(""https://docs.google.com/spreadsheets/d/1nNHCLO8ZAXOMfQvxux7cf_hrzPAh8FAvaHq_ClKbZNo/edit?usp=share_link"",""พระนครศรีอยุธยา!J705"")+IMPORTRANGE(""https://docs.google.com/spreadsheets/d/1CdNicvf3i6yt4tJlCePe3V1Va76wYqW0QzMzTsaGRrA/edit?usp=sh"&amp;"are_link"",""เพชรบุรี!J705"")+IMPORTRANGE(""https://docs.google.com/spreadsheets/d/1XiF77UIVHV0Kjc6xbXuOuJ10WgJYxd4p_22ngKVV5oM/edit?usp=share_link"",""ระยอง!J705"")+IMPORTRANGE(""https://docs.google.com/spreadsheets/d/1qU-W_9MCQD1pgIVXGEOjCFo9QqlmJywueby"&amp;"GgaN92r8/edit?usp=share_link"",""ราชบุรี!J705"")+IMPORTRANGE(""https://docs.google.com/spreadsheets/d/1xYFIxIM_CspAP5Q-5Zx_V0T_Ut3cjryrjd2hss28vGk/edit?usp=share_link"",""ลพบุรี!J705"")+IMPORTRANGE(""https://docs.google.com/spreadsheets/d/11s9m3tKsCBdPWq6"&amp;"syhZm27eBGbKneDLZc75co106bio/edit?usp=share_link"",""สระแก้ว!J705"")+IMPORTRANGE(""https://docs.google.com/spreadsheets/d/1Nn1EvsFPtXldgpgVb3Rcng2K2cls68LFQsBh2FyW0Bg/edit?usp=share_link"",""สระบุรี!J705"")+IMPORTRANGE(""https://docs.google.com/spreadshee"&amp;"ts/d/149xufxukrnEciK3WPbNpHwUK8BKEJxp3UcBG3Al6dA4/edit?usp=share_link"",""สิงห์บุรี!J705"")+IMPORTRANGE(""https://docs.google.com/spreadsheets/d/132g-zJpz2uMKimp17uOIx8A7o3w1Z25zwJyXnwsB56c/edit?usp=share_link"",""สุพรรณบุรี!J705"")+IMPORTRANGE(""https://"&amp;"docs.google.com/spreadsheets/d/12Q_U0nVnFdxDFwa0pej9xvx8ZvLC9Dpi_vRro_aiG5g/edit?usp=share_link"",""อ่างทอง!J705"")
"),0)</f>
        <v>0</v>
      </c>
      <c r="K705" s="38"/>
      <c r="L705" s="38"/>
      <c r="M705" s="189"/>
      <c r="N705" s="757"/>
      <c r="O705" s="38"/>
      <c r="P705" s="38"/>
      <c r="Q705" s="571"/>
      <c r="R705" s="571"/>
      <c r="S705" s="571"/>
      <c r="T705" s="571"/>
      <c r="U705" s="571"/>
      <c r="V705" s="571"/>
      <c r="W705" s="571"/>
      <c r="X705" s="571"/>
      <c r="Y705" s="571"/>
      <c r="Z705" s="571"/>
    </row>
    <row r="706" spans="1:26" ht="20.25" customHeight="1">
      <c r="A706" s="735"/>
      <c r="B706" s="569"/>
      <c r="C706" s="569"/>
      <c r="D706" s="569"/>
      <c r="E706" s="569"/>
      <c r="F706" s="569"/>
      <c r="G706" s="189"/>
      <c r="H706" s="182" t="s">
        <v>34</v>
      </c>
      <c r="I706" s="756"/>
      <c r="J706" s="183">
        <f ca="1">IFERROR(__xludf.DUMMYFUNCTION("IMPORTRANGE(""https://docs.google.com/spreadsheets/d/1hKO5uv94SSRZWOvrh72HRcpyoEQF9TsE_Cvxl77XNU4/edit?usp=share_link"",""กาญจนบุรี!J706"")+IMPORTRANGE(""https://docs.google.com/spreadsheets/d/1njBaP_xXd-Uotvo2D9zb01TTCFkLJLDK97Tk1l9Qux0/edit?usp=share_li"&amp;"nk"",""จันทบุรี!J706"")+IMPORTRANGE(""https://docs.google.com/spreadsheets/d/14xp6qUzrGFnUk_qnc1eEmfiaNRd4_grkhpfQH_46fa8/edit?usp=share_link"",""ฉะเชิงเทรา!J706"")+IMPORTRANGE(""https://docs.google.com/spreadsheets/d/1_Zwps30dlVa-pZFsorjVf1Pil6WXwzCsJU0U"&amp;"2whO3NI/edit?usp=share_link"",""ชลบุรี!J706"")+IMPORTRANGE(""https://docs.google.com/spreadsheets/d/1xAsT4sUbBlom7l0acStESh_15nvjZcXjZM7fK5uZSq8/edit?usp=share_link"",""ชัยนาท!J706"")+IMPORTRANGE(""https://docs.google.com/spreadsheets/d/1vWPVBOAaZ6mHSI8yf"&amp;"95DNqHwTJ1cpeFsvqt6cxV34QA/edit?usp=share_link"",""ตราด!J706"")+IMPORTRANGE(""https://docs.google.com/spreadsheets/d/1phaeSb9lTGgzDpbvVqI9hfmOQQzUom07-HEvpbARzEg/edit?usp=share_link"",""นครนายก!J706"")+IMPORTRANGE(""https://docs.google.com/spreadsheets/d/"&amp;"1tpwhWwkqkBeiSWCcfB5f2fbwPRbM9hHOEDSDHpl2MIc/edit?usp=share_link"",""นครปฐม!J706"")+IMPORTRANGE(""https://docs.google.com/spreadsheets/d/1fJJCVBkBnhriyv0Cp5ZFMr0I_yrfdEITNpb4zILJgUQ/edit?usp=share_link"",""ปทุมธานี!J706"")+IMPORTRANGE(""https://docs.googl"&amp;"e.com/spreadsheets/d/1W5Jj_S0gYw6wSO7QcMI02YgyOBDKYgmm0NSUk-AQEac/edit?usp=share_link"",""ประจวบคีรีขันธ์!J706"")+IMPORTRANGE(""https://docs.google.com/spreadsheets/d/1nYxRXgnCfTXtqUY1otYuTlnrzE0Tn-Y0YRsW5pkRVqo/edit?usp=share_link"",""ปราจีนบุรี!J706"")+"&amp;"IMPORTRANGE(""https://docs.google.com/spreadsheets/d/1nNHCLO8ZAXOMfQvxux7cf_hrzPAh8FAvaHq_ClKbZNo/edit?usp=share_link"",""พระนครศรีอยุธยา!J706"")+IMPORTRANGE(""https://docs.google.com/spreadsheets/d/1CdNicvf3i6yt4tJlCePe3V1Va76wYqW0QzMzTsaGRrA/edit?usp=sh"&amp;"are_link"",""เพชรบุรี!J706"")+IMPORTRANGE(""https://docs.google.com/spreadsheets/d/1XiF77UIVHV0Kjc6xbXuOuJ10WgJYxd4p_22ngKVV5oM/edit?usp=share_link"",""ระยอง!J706"")+IMPORTRANGE(""https://docs.google.com/spreadsheets/d/1qU-W_9MCQD1pgIVXGEOjCFo9QqlmJywueby"&amp;"GgaN92r8/edit?usp=share_link"",""ราชบุรี!J706"")+IMPORTRANGE(""https://docs.google.com/spreadsheets/d/1xYFIxIM_CspAP5Q-5Zx_V0T_Ut3cjryrjd2hss28vGk/edit?usp=share_link"",""ลพบุรี!J706"")+IMPORTRANGE(""https://docs.google.com/spreadsheets/d/11s9m3tKsCBdPWq6"&amp;"syhZm27eBGbKneDLZc75co106bio/edit?usp=share_link"",""สระแก้ว!J706"")+IMPORTRANGE(""https://docs.google.com/spreadsheets/d/1Nn1EvsFPtXldgpgVb3Rcng2K2cls68LFQsBh2FyW0Bg/edit?usp=share_link"",""สระบุรี!J706"")+IMPORTRANGE(""https://docs.google.com/spreadshee"&amp;"ts/d/149xufxukrnEciK3WPbNpHwUK8BKEJxp3UcBG3Al6dA4/edit?usp=share_link"",""สิงห์บุรี!J706"")+IMPORTRANGE(""https://docs.google.com/spreadsheets/d/132g-zJpz2uMKimp17uOIx8A7o3w1Z25zwJyXnwsB56c/edit?usp=share_link"",""สุพรรณบุรี!J706"")+IMPORTRANGE(""https://"&amp;"docs.google.com/spreadsheets/d/12Q_U0nVnFdxDFwa0pej9xvx8ZvLC9Dpi_vRro_aiG5g/edit?usp=share_link"",""อ่างทอง!J706"")
"),0)</f>
        <v>0</v>
      </c>
      <c r="K706" s="38"/>
      <c r="L706" s="38"/>
      <c r="M706" s="189"/>
      <c r="N706" s="757"/>
      <c r="O706" s="38"/>
      <c r="P706" s="38"/>
      <c r="Q706" s="571"/>
      <c r="R706" s="571"/>
      <c r="S706" s="571"/>
      <c r="T706" s="571"/>
      <c r="U706" s="571"/>
      <c r="V706" s="571"/>
      <c r="W706" s="571"/>
      <c r="X706" s="571"/>
      <c r="Y706" s="571"/>
      <c r="Z706" s="571"/>
    </row>
    <row r="707" spans="1:26" ht="20.25" customHeight="1">
      <c r="A707" s="735"/>
      <c r="B707" s="569"/>
      <c r="C707" s="569"/>
      <c r="D707" s="569"/>
      <c r="E707" s="569"/>
      <c r="F707" s="569"/>
      <c r="G707" s="189"/>
      <c r="H707" s="182" t="s">
        <v>46</v>
      </c>
      <c r="I707" s="756">
        <f ca="1">IFERROR(__xludf.DUMMYFUNCTION("IMPORTRANGE(""https://docs.google.com/spreadsheets/d/1hKO5uv94SSRZWOvrh72HRcpyoEQF9TsE_Cvxl77XNU4/edit?usp=share_link"",""กาญจนบุรี!I707"")+IMPORTRANGE(""https://docs.google.com/spreadsheets/d/1njBaP_xXd-Uotvo2D9zb01TTCFkLJLDK97Tk1l9Qux0/edit?usp=share_li"&amp;"nk"",""จันทบุรี!I707"")+IMPORTRANGE(""https://docs.google.com/spreadsheets/d/14xp6qUzrGFnUk_qnc1eEmfiaNRd4_grkhpfQH_46fa8/edit?usp=share_link"",""ฉะเชิงเทรา!I707"")+IMPORTRANGE(""https://docs.google.com/spreadsheets/d/1_Zwps30dlVa-pZFsorjVf1Pil6WXwzCsJU0U"&amp;"2whO3NI/edit?usp=share_link"",""ชลบุรี!I707"")+IMPORTRANGE(""https://docs.google.com/spreadsheets/d/1xAsT4sUbBlom7l0acStESh_15nvjZcXjZM7fK5uZSq8/edit?usp=share_link"",""ชัยนาท!I707"")+IMPORTRANGE(""https://docs.google.com/spreadsheets/d/1vWPVBOAaZ6mHSI8yf"&amp;"95DNqHwTJ1cpeFsvqt6cxV34QA/edit?usp=share_link"",""ตราด!I707"")+IMPORTRANGE(""https://docs.google.com/spreadsheets/d/1phaeSb9lTGgzDpbvVqI9hfmOQQzUom07-HEvpbARzEg/edit?usp=share_link"",""นครนายก!I707"")+IMPORTRANGE(""https://docs.google.com/spreadsheets/d/"&amp;"1tpwhWwkqkBeiSWCcfB5f2fbwPRbM9hHOEDSDHpl2MIc/edit?usp=share_link"",""นครปฐม!I707"")+IMPORTRANGE(""https://docs.google.com/spreadsheets/d/1fJJCVBkBnhriyv0Cp5ZFMr0I_yrfdEITNpb4zILJgUQ/edit?usp=share_link"",""ปทุมธานี!I707"")+IMPORTRANGE(""https://docs.googl"&amp;"e.com/spreadsheets/d/1W5Jj_S0gYw6wSO7QcMI02YgyOBDKYgmm0NSUk-AQEac/edit?usp=share_link"",""ประจวบคีรีขันธ์!I707"")+IMPORTRANGE(""https://docs.google.com/spreadsheets/d/1nYxRXgnCfTXtqUY1otYuTlnrzE0Tn-Y0YRsW5pkRVqo/edit?usp=share_link"",""ปราจีนบุรี!I707"")+"&amp;"IMPORTRANGE(""https://docs.google.com/spreadsheets/d/1nNHCLO8ZAXOMfQvxux7cf_hrzPAh8FAvaHq_ClKbZNo/edit?usp=share_link"",""พระนครศรีอยุธยา!I707"")+IMPORTRANGE(""https://docs.google.com/spreadsheets/d/1CdNicvf3i6yt4tJlCePe3V1Va76wYqW0QzMzTsaGRrA/edit?usp=sh"&amp;"are_link"",""เพชรบุรี!I707"")+IMPORTRANGE(""https://docs.google.com/spreadsheets/d/1XiF77UIVHV0Kjc6xbXuOuJ10WgJYxd4p_22ngKVV5oM/edit?usp=share_link"",""ระยอง!I707"")+IMPORTRANGE(""https://docs.google.com/spreadsheets/d/1qU-W_9MCQD1pgIVXGEOjCFo9QqlmJywueby"&amp;"GgaN92r8/edit?usp=share_link"",""ราชบุรี!I707"")+IMPORTRANGE(""https://docs.google.com/spreadsheets/d/1xYFIxIM_CspAP5Q-5Zx_V0T_Ut3cjryrjd2hss28vGk/edit?usp=share_link"",""ลพบุรี!I707"")+IMPORTRANGE(""https://docs.google.com/spreadsheets/d/11s9m3tKsCBdPWq6"&amp;"syhZm27eBGbKneDLZc75co106bio/edit?usp=share_link"",""สระแก้ว!I707"")+IMPORTRANGE(""https://docs.google.com/spreadsheets/d/1Nn1EvsFPtXldgpgVb3Rcng2K2cls68LFQsBh2FyW0Bg/edit?usp=share_link"",""สระบุรี!I707"")+IMPORTRANGE(""https://docs.google.com/spreadshee"&amp;"ts/d/149xufxukrnEciK3WPbNpHwUK8BKEJxp3UcBG3Al6dA4/edit?usp=share_link"",""สิงห์บุรี!I707"")+IMPORTRANGE(""https://docs.google.com/spreadsheets/d/132g-zJpz2uMKimp17uOIx8A7o3w1Z25zwJyXnwsB56c/edit?usp=share_link"",""สุพรรณบุรี!I707"")+IMPORTRANGE(""https://"&amp;"docs.google.com/spreadsheets/d/12Q_U0nVnFdxDFwa0pej9xvx8ZvLC9Dpi_vRro_aiG5g/edit?usp=share_link"",""อ่างทอง!I707"")
"),555)</f>
        <v>555</v>
      </c>
      <c r="J707" s="183">
        <f ca="1">IFERROR(__xludf.DUMMYFUNCTION("IMPORTRANGE(""https://docs.google.com/spreadsheets/d/1hKO5uv94SSRZWOvrh72HRcpyoEQF9TsE_Cvxl77XNU4/edit?usp=share_link"",""กาญจนบุรี!J707"")+IMPORTRANGE(""https://docs.google.com/spreadsheets/d/1njBaP_xXd-Uotvo2D9zb01TTCFkLJLDK97Tk1l9Qux0/edit?usp=share_li"&amp;"nk"",""จันทบุรี!J707"")+IMPORTRANGE(""https://docs.google.com/spreadsheets/d/14xp6qUzrGFnUk_qnc1eEmfiaNRd4_grkhpfQH_46fa8/edit?usp=share_link"",""ฉะเชิงเทรา!J707"")+IMPORTRANGE(""https://docs.google.com/spreadsheets/d/1_Zwps30dlVa-pZFsorjVf1Pil6WXwzCsJU0U"&amp;"2whO3NI/edit?usp=share_link"",""ชลบุรี!J707"")+IMPORTRANGE(""https://docs.google.com/spreadsheets/d/1xAsT4sUbBlom7l0acStESh_15nvjZcXjZM7fK5uZSq8/edit?usp=share_link"",""ชัยนาท!J707"")+IMPORTRANGE(""https://docs.google.com/spreadsheets/d/1vWPVBOAaZ6mHSI8yf"&amp;"95DNqHwTJ1cpeFsvqt6cxV34QA/edit?usp=share_link"",""ตราด!J707"")+IMPORTRANGE(""https://docs.google.com/spreadsheets/d/1phaeSb9lTGgzDpbvVqI9hfmOQQzUom07-HEvpbARzEg/edit?usp=share_link"",""นครนายก!J707"")+IMPORTRANGE(""https://docs.google.com/spreadsheets/d/"&amp;"1tpwhWwkqkBeiSWCcfB5f2fbwPRbM9hHOEDSDHpl2MIc/edit?usp=share_link"",""นครปฐม!J707"")+IMPORTRANGE(""https://docs.google.com/spreadsheets/d/1fJJCVBkBnhriyv0Cp5ZFMr0I_yrfdEITNpb4zILJgUQ/edit?usp=share_link"",""ปทุมธานี!J707"")+IMPORTRANGE(""https://docs.googl"&amp;"e.com/spreadsheets/d/1W5Jj_S0gYw6wSO7QcMI02YgyOBDKYgmm0NSUk-AQEac/edit?usp=share_link"",""ประจวบคีรีขันธ์!J707"")+IMPORTRANGE(""https://docs.google.com/spreadsheets/d/1nYxRXgnCfTXtqUY1otYuTlnrzE0Tn-Y0YRsW5pkRVqo/edit?usp=share_link"",""ปราจีนบุรี!J707"")+"&amp;"IMPORTRANGE(""https://docs.google.com/spreadsheets/d/1nNHCLO8ZAXOMfQvxux7cf_hrzPAh8FAvaHq_ClKbZNo/edit?usp=share_link"",""พระนครศรีอยุธยา!J707"")+IMPORTRANGE(""https://docs.google.com/spreadsheets/d/1CdNicvf3i6yt4tJlCePe3V1Va76wYqW0QzMzTsaGRrA/edit?usp=sh"&amp;"are_link"",""เพชรบุรี!J707"")+IMPORTRANGE(""https://docs.google.com/spreadsheets/d/1XiF77UIVHV0Kjc6xbXuOuJ10WgJYxd4p_22ngKVV5oM/edit?usp=share_link"",""ระยอง!J707"")+IMPORTRANGE(""https://docs.google.com/spreadsheets/d/1qU-W_9MCQD1pgIVXGEOjCFo9QqlmJywueby"&amp;"GgaN92r8/edit?usp=share_link"",""ราชบุรี!J707"")+IMPORTRANGE(""https://docs.google.com/spreadsheets/d/1xYFIxIM_CspAP5Q-5Zx_V0T_Ut3cjryrjd2hss28vGk/edit?usp=share_link"",""ลพบุรี!J707"")+IMPORTRANGE(""https://docs.google.com/spreadsheets/d/11s9m3tKsCBdPWq6"&amp;"syhZm27eBGbKneDLZc75co106bio/edit?usp=share_link"",""สระแก้ว!J707"")+IMPORTRANGE(""https://docs.google.com/spreadsheets/d/1Nn1EvsFPtXldgpgVb3Rcng2K2cls68LFQsBh2FyW0Bg/edit?usp=share_link"",""สระบุรี!J707"")+IMPORTRANGE(""https://docs.google.com/spreadshee"&amp;"ts/d/149xufxukrnEciK3WPbNpHwUK8BKEJxp3UcBG3Al6dA4/edit?usp=share_link"",""สิงห์บุรี!J707"")+IMPORTRANGE(""https://docs.google.com/spreadsheets/d/132g-zJpz2uMKimp17uOIx8A7o3w1Z25zwJyXnwsB56c/edit?usp=share_link"",""สุพรรณบุรี!J707"")+IMPORTRANGE(""https://"&amp;"docs.google.com/spreadsheets/d/12Q_U0nVnFdxDFwa0pej9xvx8ZvLC9Dpi_vRro_aiG5g/edit?usp=share_link"",""อ่างทอง!J707"")
"),0)</f>
        <v>0</v>
      </c>
      <c r="K707" s="38"/>
      <c r="L707" s="38"/>
      <c r="M707" s="189"/>
      <c r="N707" s="757"/>
      <c r="O707" s="38"/>
      <c r="P707" s="38"/>
      <c r="Q707" s="571"/>
      <c r="R707" s="571"/>
      <c r="S707" s="571"/>
      <c r="T707" s="571"/>
      <c r="U707" s="571"/>
      <c r="V707" s="571"/>
      <c r="W707" s="571"/>
      <c r="X707" s="571"/>
      <c r="Y707" s="571"/>
      <c r="Z707" s="571"/>
    </row>
    <row r="708" spans="1:26" ht="20.25" customHeight="1">
      <c r="A708" s="735"/>
      <c r="B708" s="569"/>
      <c r="C708" s="569"/>
      <c r="D708" s="760" t="s">
        <v>299</v>
      </c>
      <c r="E708" s="569"/>
      <c r="F708" s="569"/>
      <c r="G708" s="189"/>
      <c r="H708" s="192" t="s">
        <v>46</v>
      </c>
      <c r="I708" s="759">
        <f ca="1">IFERROR(__xludf.DUMMYFUNCTION("IMPORTRANGE(""https://docs.google.com/spreadsheets/d/1hKO5uv94SSRZWOvrh72HRcpyoEQF9TsE_Cvxl77XNU4/edit?usp=share_link"",""กาญจนบุรี!I708"")+IMPORTRANGE(""https://docs.google.com/spreadsheets/d/1njBaP_xXd-Uotvo2D9zb01TTCFkLJLDK97Tk1l9Qux0/edit?usp=share_li"&amp;"nk"",""จันทบุรี!I708"")+IMPORTRANGE(""https://docs.google.com/spreadsheets/d/14xp6qUzrGFnUk_qnc1eEmfiaNRd4_grkhpfQH_46fa8/edit?usp=share_link"",""ฉะเชิงเทรา!I708"")+IMPORTRANGE(""https://docs.google.com/spreadsheets/d/1_Zwps30dlVa-pZFsorjVf1Pil6WXwzCsJU0U"&amp;"2whO3NI/edit?usp=share_link"",""ชลบุรี!I708"")+IMPORTRANGE(""https://docs.google.com/spreadsheets/d/1xAsT4sUbBlom7l0acStESh_15nvjZcXjZM7fK5uZSq8/edit?usp=share_link"",""ชัยนาท!I708"")+IMPORTRANGE(""https://docs.google.com/spreadsheets/d/1vWPVBOAaZ6mHSI8yf"&amp;"95DNqHwTJ1cpeFsvqt6cxV34QA/edit?usp=share_link"",""ตราด!I708"")+IMPORTRANGE(""https://docs.google.com/spreadsheets/d/1phaeSb9lTGgzDpbvVqI9hfmOQQzUom07-HEvpbARzEg/edit?usp=share_link"",""นครนายก!I708"")+IMPORTRANGE(""https://docs.google.com/spreadsheets/d/"&amp;"1tpwhWwkqkBeiSWCcfB5f2fbwPRbM9hHOEDSDHpl2MIc/edit?usp=share_link"",""นครปฐม!I708"")+IMPORTRANGE(""https://docs.google.com/spreadsheets/d/1fJJCVBkBnhriyv0Cp5ZFMr0I_yrfdEITNpb4zILJgUQ/edit?usp=share_link"",""ปทุมธานี!I708"")+IMPORTRANGE(""https://docs.googl"&amp;"e.com/spreadsheets/d/1W5Jj_S0gYw6wSO7QcMI02YgyOBDKYgmm0NSUk-AQEac/edit?usp=share_link"",""ประจวบคีรีขันธ์!I708"")+IMPORTRANGE(""https://docs.google.com/spreadsheets/d/1nYxRXgnCfTXtqUY1otYuTlnrzE0Tn-Y0YRsW5pkRVqo/edit?usp=share_link"",""ปราจีนบุรี!I708"")+"&amp;"IMPORTRANGE(""https://docs.google.com/spreadsheets/d/1nNHCLO8ZAXOMfQvxux7cf_hrzPAh8FAvaHq_ClKbZNo/edit?usp=share_link"",""พระนครศรีอยุธยา!I708"")+IMPORTRANGE(""https://docs.google.com/spreadsheets/d/1CdNicvf3i6yt4tJlCePe3V1Va76wYqW0QzMzTsaGRrA/edit?usp=sh"&amp;"are_link"",""เพชรบุรี!I708"")+IMPORTRANGE(""https://docs.google.com/spreadsheets/d/1XiF77UIVHV0Kjc6xbXuOuJ10WgJYxd4p_22ngKVV5oM/edit?usp=share_link"",""ระยอง!I708"")+IMPORTRANGE(""https://docs.google.com/spreadsheets/d/1qU-W_9MCQD1pgIVXGEOjCFo9QqlmJywueby"&amp;"GgaN92r8/edit?usp=share_link"",""ราชบุรี!I708"")+IMPORTRANGE(""https://docs.google.com/spreadsheets/d/1xYFIxIM_CspAP5Q-5Zx_V0T_Ut3cjryrjd2hss28vGk/edit?usp=share_link"",""ลพบุรี!I708"")+IMPORTRANGE(""https://docs.google.com/spreadsheets/d/11s9m3tKsCBdPWq6"&amp;"syhZm27eBGbKneDLZc75co106bio/edit?usp=share_link"",""สระแก้ว!I708"")+IMPORTRANGE(""https://docs.google.com/spreadsheets/d/1Nn1EvsFPtXldgpgVb3Rcng2K2cls68LFQsBh2FyW0Bg/edit?usp=share_link"",""สระบุรี!I708"")+IMPORTRANGE(""https://docs.google.com/spreadshee"&amp;"ts/d/149xufxukrnEciK3WPbNpHwUK8BKEJxp3UcBG3Al6dA4/edit?usp=share_link"",""สิงห์บุรี!I708"")+IMPORTRANGE(""https://docs.google.com/spreadsheets/d/132g-zJpz2uMKimp17uOIx8A7o3w1Z25zwJyXnwsB56c/edit?usp=share_link"",""สุพรรณบุรี!I708"")+IMPORTRANGE(""https://"&amp;"docs.google.com/spreadsheets/d/12Q_U0nVnFdxDFwa0pej9xvx8ZvLC9Dpi_vRro_aiG5g/edit?usp=share_link"",""อ่างทอง!I708"")
"),2386)</f>
        <v>2386</v>
      </c>
      <c r="J708" s="194">
        <f ca="1">J714+J717</f>
        <v>0</v>
      </c>
      <c r="K708" s="195">
        <f ca="1">IF(I708&gt;0,J708*100/I708,0)</f>
        <v>0</v>
      </c>
      <c r="L708" s="38"/>
      <c r="M708" s="189"/>
      <c r="N708" s="757"/>
      <c r="O708" s="38"/>
      <c r="P708" s="38"/>
      <c r="Q708" s="571"/>
      <c r="R708" s="571"/>
      <c r="S708" s="571"/>
      <c r="T708" s="571"/>
      <c r="U708" s="571"/>
      <c r="V708" s="571"/>
      <c r="W708" s="571"/>
      <c r="X708" s="571"/>
      <c r="Y708" s="571"/>
      <c r="Z708" s="571"/>
    </row>
    <row r="709" spans="1:26" ht="20.25" customHeight="1">
      <c r="A709" s="735"/>
      <c r="B709" s="569"/>
      <c r="C709" s="569"/>
      <c r="D709" s="569"/>
      <c r="E709" s="570" t="s">
        <v>300</v>
      </c>
      <c r="F709" s="569"/>
      <c r="G709" s="189"/>
      <c r="H709" s="182" t="s">
        <v>34</v>
      </c>
      <c r="I709" s="756"/>
      <c r="J709" s="183">
        <f ca="1">IFERROR(__xludf.DUMMYFUNCTION("IMPORTRANGE(""https://docs.google.com/spreadsheets/d/1hKO5uv94SSRZWOvrh72HRcpyoEQF9TsE_Cvxl77XNU4/edit?usp=share_link"",""กาญจนบุรี!J709"")+IMPORTRANGE(""https://docs.google.com/spreadsheets/d/1njBaP_xXd-Uotvo2D9zb01TTCFkLJLDK97Tk1l9Qux0/edit?usp=share_li"&amp;"nk"",""จันทบุรี!J709"")+IMPORTRANGE(""https://docs.google.com/spreadsheets/d/14xp6qUzrGFnUk_qnc1eEmfiaNRd4_grkhpfQH_46fa8/edit?usp=share_link"",""ฉะเชิงเทรา!J709"")+IMPORTRANGE(""https://docs.google.com/spreadsheets/d/1_Zwps30dlVa-pZFsorjVf1Pil6WXwzCsJU0U"&amp;"2whO3NI/edit?usp=share_link"",""ชลบุรี!J709"")+IMPORTRANGE(""https://docs.google.com/spreadsheets/d/1xAsT4sUbBlom7l0acStESh_15nvjZcXjZM7fK5uZSq8/edit?usp=share_link"",""ชัยนาท!J709"")+IMPORTRANGE(""https://docs.google.com/spreadsheets/d/1vWPVBOAaZ6mHSI8yf"&amp;"95DNqHwTJ1cpeFsvqt6cxV34QA/edit?usp=share_link"",""ตราด!J709"")+IMPORTRANGE(""https://docs.google.com/spreadsheets/d/1phaeSb9lTGgzDpbvVqI9hfmOQQzUom07-HEvpbARzEg/edit?usp=share_link"",""นครนายก!J709"")+IMPORTRANGE(""https://docs.google.com/spreadsheets/d/"&amp;"1tpwhWwkqkBeiSWCcfB5f2fbwPRbM9hHOEDSDHpl2MIc/edit?usp=share_link"",""นครปฐม!J709"")+IMPORTRANGE(""https://docs.google.com/spreadsheets/d/1fJJCVBkBnhriyv0Cp5ZFMr0I_yrfdEITNpb4zILJgUQ/edit?usp=share_link"",""ปทุมธานี!J709"")+IMPORTRANGE(""https://docs.googl"&amp;"e.com/spreadsheets/d/1W5Jj_S0gYw6wSO7QcMI02YgyOBDKYgmm0NSUk-AQEac/edit?usp=share_link"",""ประจวบคีรีขันธ์!J709"")+IMPORTRANGE(""https://docs.google.com/spreadsheets/d/1nYxRXgnCfTXtqUY1otYuTlnrzE0Tn-Y0YRsW5pkRVqo/edit?usp=share_link"",""ปราจีนบุรี!J709"")+"&amp;"IMPORTRANGE(""https://docs.google.com/spreadsheets/d/1nNHCLO8ZAXOMfQvxux7cf_hrzPAh8FAvaHq_ClKbZNo/edit?usp=share_link"",""พระนครศรีอยุธยา!J709"")+IMPORTRANGE(""https://docs.google.com/spreadsheets/d/1CdNicvf3i6yt4tJlCePe3V1Va76wYqW0QzMzTsaGRrA/edit?usp=sh"&amp;"are_link"",""เพชรบุรี!J709"")+IMPORTRANGE(""https://docs.google.com/spreadsheets/d/1XiF77UIVHV0Kjc6xbXuOuJ10WgJYxd4p_22ngKVV5oM/edit?usp=share_link"",""ระยอง!J709"")+IMPORTRANGE(""https://docs.google.com/spreadsheets/d/1qU-W_9MCQD1pgIVXGEOjCFo9QqlmJywueby"&amp;"GgaN92r8/edit?usp=share_link"",""ราชบุรี!J709"")+IMPORTRANGE(""https://docs.google.com/spreadsheets/d/1xYFIxIM_CspAP5Q-5Zx_V0T_Ut3cjryrjd2hss28vGk/edit?usp=share_link"",""ลพบุรี!J709"")+IMPORTRANGE(""https://docs.google.com/spreadsheets/d/11s9m3tKsCBdPWq6"&amp;"syhZm27eBGbKneDLZc75co106bio/edit?usp=share_link"",""สระแก้ว!J709"")+IMPORTRANGE(""https://docs.google.com/spreadsheets/d/1Nn1EvsFPtXldgpgVb3Rcng2K2cls68LFQsBh2FyW0Bg/edit?usp=share_link"",""สระบุรี!J709"")+IMPORTRANGE(""https://docs.google.com/spreadshee"&amp;"ts/d/149xufxukrnEciK3WPbNpHwUK8BKEJxp3UcBG3Al6dA4/edit?usp=share_link"",""สิงห์บุรี!J709"")+IMPORTRANGE(""https://docs.google.com/spreadsheets/d/132g-zJpz2uMKimp17uOIx8A7o3w1Z25zwJyXnwsB56c/edit?usp=share_link"",""สุพรรณบุรี!J709"")+IMPORTRANGE(""https://"&amp;"docs.google.com/spreadsheets/d/12Q_U0nVnFdxDFwa0pej9xvx8ZvLC9Dpi_vRro_aiG5g/edit?usp=share_link"",""อ่างทอง!J709"")
"),0)</f>
        <v>0</v>
      </c>
      <c r="K709" s="38"/>
      <c r="L709" s="757"/>
      <c r="M709" s="189"/>
      <c r="N709" s="757"/>
      <c r="O709" s="38"/>
      <c r="P709" s="38"/>
      <c r="Q709" s="571"/>
      <c r="R709" s="571"/>
      <c r="S709" s="571"/>
      <c r="T709" s="571"/>
      <c r="U709" s="571"/>
      <c r="V709" s="571"/>
      <c r="W709" s="571"/>
      <c r="X709" s="571"/>
      <c r="Y709" s="571"/>
      <c r="Z709" s="571"/>
    </row>
    <row r="710" spans="1:26" ht="20.25" customHeight="1">
      <c r="A710" s="735"/>
      <c r="B710" s="569"/>
      <c r="C710" s="569"/>
      <c r="D710" s="569"/>
      <c r="E710" s="569"/>
      <c r="F710" s="569"/>
      <c r="G710" s="189"/>
      <c r="H710" s="182" t="s">
        <v>46</v>
      </c>
      <c r="I710" s="756"/>
      <c r="J710" s="183">
        <f ca="1">IFERROR(__xludf.DUMMYFUNCTION("IMPORTRANGE(""https://docs.google.com/spreadsheets/d/1hKO5uv94SSRZWOvrh72HRcpyoEQF9TsE_Cvxl77XNU4/edit?usp=share_link"",""กาญจนบุรี!J710"")+IMPORTRANGE(""https://docs.google.com/spreadsheets/d/1njBaP_xXd-Uotvo2D9zb01TTCFkLJLDK97Tk1l9Qux0/edit?usp=share_li"&amp;"nk"",""จันทบุรี!J710"")+IMPORTRANGE(""https://docs.google.com/spreadsheets/d/14xp6qUzrGFnUk_qnc1eEmfiaNRd4_grkhpfQH_46fa8/edit?usp=share_link"",""ฉะเชิงเทรา!J710"")+IMPORTRANGE(""https://docs.google.com/spreadsheets/d/1_Zwps30dlVa-pZFsorjVf1Pil6WXwzCsJU0U"&amp;"2whO3NI/edit?usp=share_link"",""ชลบุรี!J710"")+IMPORTRANGE(""https://docs.google.com/spreadsheets/d/1xAsT4sUbBlom7l0acStESh_15nvjZcXjZM7fK5uZSq8/edit?usp=share_link"",""ชัยนาท!J710"")+IMPORTRANGE(""https://docs.google.com/spreadsheets/d/1vWPVBOAaZ6mHSI8yf"&amp;"95DNqHwTJ1cpeFsvqt6cxV34QA/edit?usp=share_link"",""ตราด!J710"")+IMPORTRANGE(""https://docs.google.com/spreadsheets/d/1phaeSb9lTGgzDpbvVqI9hfmOQQzUom07-HEvpbARzEg/edit?usp=share_link"",""นครนายก!J710"")+IMPORTRANGE(""https://docs.google.com/spreadsheets/d/"&amp;"1tpwhWwkqkBeiSWCcfB5f2fbwPRbM9hHOEDSDHpl2MIc/edit?usp=share_link"",""นครปฐม!J710"")+IMPORTRANGE(""https://docs.google.com/spreadsheets/d/1fJJCVBkBnhriyv0Cp5ZFMr0I_yrfdEITNpb4zILJgUQ/edit?usp=share_link"",""ปทุมธานี!J710"")+IMPORTRANGE(""https://docs.googl"&amp;"e.com/spreadsheets/d/1W5Jj_S0gYw6wSO7QcMI02YgyOBDKYgmm0NSUk-AQEac/edit?usp=share_link"",""ประจวบคีรีขันธ์!J710"")+IMPORTRANGE(""https://docs.google.com/spreadsheets/d/1nYxRXgnCfTXtqUY1otYuTlnrzE0Tn-Y0YRsW5pkRVqo/edit?usp=share_link"",""ปราจีนบุรี!J710"")+"&amp;"IMPORTRANGE(""https://docs.google.com/spreadsheets/d/1nNHCLO8ZAXOMfQvxux7cf_hrzPAh8FAvaHq_ClKbZNo/edit?usp=share_link"",""พระนครศรีอยุธยา!J710"")+IMPORTRANGE(""https://docs.google.com/spreadsheets/d/1CdNicvf3i6yt4tJlCePe3V1Va76wYqW0QzMzTsaGRrA/edit?usp=sh"&amp;"are_link"",""เพชรบุรี!J710"")+IMPORTRANGE(""https://docs.google.com/spreadsheets/d/1XiF77UIVHV0Kjc6xbXuOuJ10WgJYxd4p_22ngKVV5oM/edit?usp=share_link"",""ระยอง!J710"")+IMPORTRANGE(""https://docs.google.com/spreadsheets/d/1qU-W_9MCQD1pgIVXGEOjCFo9QqlmJywueby"&amp;"GgaN92r8/edit?usp=share_link"",""ราชบุรี!J710"")+IMPORTRANGE(""https://docs.google.com/spreadsheets/d/1xYFIxIM_CspAP5Q-5Zx_V0T_Ut3cjryrjd2hss28vGk/edit?usp=share_link"",""ลพบุรี!J710"")+IMPORTRANGE(""https://docs.google.com/spreadsheets/d/11s9m3tKsCBdPWq6"&amp;"syhZm27eBGbKneDLZc75co106bio/edit?usp=share_link"",""สระแก้ว!J710"")+IMPORTRANGE(""https://docs.google.com/spreadsheets/d/1Nn1EvsFPtXldgpgVb3Rcng2K2cls68LFQsBh2FyW0Bg/edit?usp=share_link"",""สระบุรี!J710"")+IMPORTRANGE(""https://docs.google.com/spreadshee"&amp;"ts/d/149xufxukrnEciK3WPbNpHwUK8BKEJxp3UcBG3Al6dA4/edit?usp=share_link"",""สิงห์บุรี!J710"")+IMPORTRANGE(""https://docs.google.com/spreadsheets/d/132g-zJpz2uMKimp17uOIx8A7o3w1Z25zwJyXnwsB56c/edit?usp=share_link"",""สุพรรณบุรี!J710"")+IMPORTRANGE(""https://"&amp;"docs.google.com/spreadsheets/d/12Q_U0nVnFdxDFwa0pej9xvx8ZvLC9Dpi_vRro_aiG5g/edit?usp=share_link"",""อ่างทอง!J710"")
"),0)</f>
        <v>0</v>
      </c>
      <c r="K710" s="38"/>
      <c r="L710" s="757"/>
      <c r="M710" s="189"/>
      <c r="N710" s="757"/>
      <c r="O710" s="38"/>
      <c r="P710" s="38"/>
      <c r="Q710" s="571"/>
      <c r="R710" s="571"/>
      <c r="S710" s="571"/>
      <c r="T710" s="571"/>
      <c r="U710" s="571"/>
      <c r="V710" s="571"/>
      <c r="W710" s="571"/>
      <c r="X710" s="571"/>
      <c r="Y710" s="571"/>
      <c r="Z710" s="571"/>
    </row>
    <row r="711" spans="1:26" ht="20.25" customHeight="1">
      <c r="A711" s="735"/>
      <c r="B711" s="569"/>
      <c r="C711" s="569"/>
      <c r="D711" s="569"/>
      <c r="E711" s="570" t="s">
        <v>301</v>
      </c>
      <c r="F711" s="569"/>
      <c r="G711" s="189"/>
      <c r="H711" s="175"/>
      <c r="I711" s="756"/>
      <c r="J711" s="37"/>
      <c r="K711" s="38"/>
      <c r="L711" s="757"/>
      <c r="M711" s="189"/>
      <c r="N711" s="757"/>
      <c r="O711" s="38"/>
      <c r="P711" s="38"/>
      <c r="Q711" s="571"/>
      <c r="R711" s="571"/>
      <c r="S711" s="571"/>
      <c r="T711" s="571"/>
      <c r="U711" s="571"/>
      <c r="V711" s="571"/>
      <c r="W711" s="571"/>
      <c r="X711" s="571"/>
      <c r="Y711" s="571"/>
      <c r="Z711" s="571"/>
    </row>
    <row r="712" spans="1:26" ht="20.25" customHeight="1">
      <c r="A712" s="735"/>
      <c r="B712" s="569"/>
      <c r="C712" s="569"/>
      <c r="D712" s="569"/>
      <c r="E712" s="569"/>
      <c r="F712" s="570" t="s">
        <v>302</v>
      </c>
      <c r="G712" s="189"/>
      <c r="H712" s="182" t="s">
        <v>35</v>
      </c>
      <c r="I712" s="756"/>
      <c r="J712" s="183">
        <f ca="1">IFERROR(__xludf.DUMMYFUNCTION("IMPORTRANGE(""https://docs.google.com/spreadsheets/d/1hKO5uv94SSRZWOvrh72HRcpyoEQF9TsE_Cvxl77XNU4/edit?usp=share_link"",""กาญจนบุรี!J712"")+IMPORTRANGE(""https://docs.google.com/spreadsheets/d/1njBaP_xXd-Uotvo2D9zb01TTCFkLJLDK97Tk1l9Qux0/edit?usp=share_li"&amp;"nk"",""จันทบุรี!J712"")+IMPORTRANGE(""https://docs.google.com/spreadsheets/d/14xp6qUzrGFnUk_qnc1eEmfiaNRd4_grkhpfQH_46fa8/edit?usp=share_link"",""ฉะเชิงเทรา!J712"")+IMPORTRANGE(""https://docs.google.com/spreadsheets/d/1_Zwps30dlVa-pZFsorjVf1Pil6WXwzCsJU0U"&amp;"2whO3NI/edit?usp=share_link"",""ชลบุรี!J712"")+IMPORTRANGE(""https://docs.google.com/spreadsheets/d/1xAsT4sUbBlom7l0acStESh_15nvjZcXjZM7fK5uZSq8/edit?usp=share_link"",""ชัยนาท!J712"")+IMPORTRANGE(""https://docs.google.com/spreadsheets/d/1vWPVBOAaZ6mHSI8yf"&amp;"95DNqHwTJ1cpeFsvqt6cxV34QA/edit?usp=share_link"",""ตราด!J712"")+IMPORTRANGE(""https://docs.google.com/spreadsheets/d/1phaeSb9lTGgzDpbvVqI9hfmOQQzUom07-HEvpbARzEg/edit?usp=share_link"",""นครนายก!J712"")+IMPORTRANGE(""https://docs.google.com/spreadsheets/d/"&amp;"1tpwhWwkqkBeiSWCcfB5f2fbwPRbM9hHOEDSDHpl2MIc/edit?usp=share_link"",""นครปฐม!J712"")+IMPORTRANGE(""https://docs.google.com/spreadsheets/d/1fJJCVBkBnhriyv0Cp5ZFMr0I_yrfdEITNpb4zILJgUQ/edit?usp=share_link"",""ปทุมธานี!J712"")+IMPORTRANGE(""https://docs.googl"&amp;"e.com/spreadsheets/d/1W5Jj_S0gYw6wSO7QcMI02YgyOBDKYgmm0NSUk-AQEac/edit?usp=share_link"",""ประจวบคีรีขันธ์!J712"")+IMPORTRANGE(""https://docs.google.com/spreadsheets/d/1nYxRXgnCfTXtqUY1otYuTlnrzE0Tn-Y0YRsW5pkRVqo/edit?usp=share_link"",""ปราจีนบุรี!J712"")+"&amp;"IMPORTRANGE(""https://docs.google.com/spreadsheets/d/1nNHCLO8ZAXOMfQvxux7cf_hrzPAh8FAvaHq_ClKbZNo/edit?usp=share_link"",""พระนครศรีอยุธยา!J712"")+IMPORTRANGE(""https://docs.google.com/spreadsheets/d/1CdNicvf3i6yt4tJlCePe3V1Va76wYqW0QzMzTsaGRrA/edit?usp=sh"&amp;"are_link"",""เพชรบุรี!J712"")+IMPORTRANGE(""https://docs.google.com/spreadsheets/d/1XiF77UIVHV0Kjc6xbXuOuJ10WgJYxd4p_22ngKVV5oM/edit?usp=share_link"",""ระยอง!J712"")+IMPORTRANGE(""https://docs.google.com/spreadsheets/d/1qU-W_9MCQD1pgIVXGEOjCFo9QqlmJywueby"&amp;"GgaN92r8/edit?usp=share_link"",""ราชบุรี!J712"")+IMPORTRANGE(""https://docs.google.com/spreadsheets/d/1xYFIxIM_CspAP5Q-5Zx_V0T_Ut3cjryrjd2hss28vGk/edit?usp=share_link"",""ลพบุรี!J712"")+IMPORTRANGE(""https://docs.google.com/spreadsheets/d/11s9m3tKsCBdPWq6"&amp;"syhZm27eBGbKneDLZc75co106bio/edit?usp=share_link"",""สระแก้ว!J712"")+IMPORTRANGE(""https://docs.google.com/spreadsheets/d/1Nn1EvsFPtXldgpgVb3Rcng2K2cls68LFQsBh2FyW0Bg/edit?usp=share_link"",""สระบุรี!J712"")+IMPORTRANGE(""https://docs.google.com/spreadshee"&amp;"ts/d/149xufxukrnEciK3WPbNpHwUK8BKEJxp3UcBG3Al6dA4/edit?usp=share_link"",""สิงห์บุรี!J712"")+IMPORTRANGE(""https://docs.google.com/spreadsheets/d/132g-zJpz2uMKimp17uOIx8A7o3w1Z25zwJyXnwsB56c/edit?usp=share_link"",""สุพรรณบุรี!J712"")+IMPORTRANGE(""https://"&amp;"docs.google.com/spreadsheets/d/12Q_U0nVnFdxDFwa0pej9xvx8ZvLC9Dpi_vRro_aiG5g/edit?usp=share_link"",""อ่างทอง!J712"")
"),0)</f>
        <v>0</v>
      </c>
      <c r="K712" s="38"/>
      <c r="L712" s="757"/>
      <c r="M712" s="189"/>
      <c r="N712" s="757"/>
      <c r="O712" s="38"/>
      <c r="P712" s="38"/>
      <c r="Q712" s="571"/>
      <c r="R712" s="571"/>
      <c r="S712" s="571"/>
      <c r="T712" s="571"/>
      <c r="U712" s="571"/>
      <c r="V712" s="571"/>
      <c r="W712" s="571"/>
      <c r="X712" s="571"/>
      <c r="Y712" s="571"/>
      <c r="Z712" s="571"/>
    </row>
    <row r="713" spans="1:26" ht="20.25" customHeight="1">
      <c r="A713" s="735"/>
      <c r="B713" s="569"/>
      <c r="C713" s="569"/>
      <c r="D713" s="569"/>
      <c r="E713" s="569"/>
      <c r="F713" s="569"/>
      <c r="G713" s="189"/>
      <c r="H713" s="182" t="s">
        <v>34</v>
      </c>
      <c r="I713" s="756"/>
      <c r="J713" s="183">
        <f ca="1">IFERROR(__xludf.DUMMYFUNCTION("IMPORTRANGE(""https://docs.google.com/spreadsheets/d/1hKO5uv94SSRZWOvrh72HRcpyoEQF9TsE_Cvxl77XNU4/edit?usp=share_link"",""กาญจนบุรี!J713"")+IMPORTRANGE(""https://docs.google.com/spreadsheets/d/1njBaP_xXd-Uotvo2D9zb01TTCFkLJLDK97Tk1l9Qux0/edit?usp=share_li"&amp;"nk"",""จันทบุรี!J713"")+IMPORTRANGE(""https://docs.google.com/spreadsheets/d/14xp6qUzrGFnUk_qnc1eEmfiaNRd4_grkhpfQH_46fa8/edit?usp=share_link"",""ฉะเชิงเทรา!J713"")+IMPORTRANGE(""https://docs.google.com/spreadsheets/d/1_Zwps30dlVa-pZFsorjVf1Pil6WXwzCsJU0U"&amp;"2whO3NI/edit?usp=share_link"",""ชลบุรี!J713"")+IMPORTRANGE(""https://docs.google.com/spreadsheets/d/1xAsT4sUbBlom7l0acStESh_15nvjZcXjZM7fK5uZSq8/edit?usp=share_link"",""ชัยนาท!J713"")+IMPORTRANGE(""https://docs.google.com/spreadsheets/d/1vWPVBOAaZ6mHSI8yf"&amp;"95DNqHwTJ1cpeFsvqt6cxV34QA/edit?usp=share_link"",""ตราด!J713"")+IMPORTRANGE(""https://docs.google.com/spreadsheets/d/1phaeSb9lTGgzDpbvVqI9hfmOQQzUom07-HEvpbARzEg/edit?usp=share_link"",""นครนายก!J713"")+IMPORTRANGE(""https://docs.google.com/spreadsheets/d/"&amp;"1tpwhWwkqkBeiSWCcfB5f2fbwPRbM9hHOEDSDHpl2MIc/edit?usp=share_link"",""นครปฐม!J713"")+IMPORTRANGE(""https://docs.google.com/spreadsheets/d/1fJJCVBkBnhriyv0Cp5ZFMr0I_yrfdEITNpb4zILJgUQ/edit?usp=share_link"",""ปทุมธานี!J713"")+IMPORTRANGE(""https://docs.googl"&amp;"e.com/spreadsheets/d/1W5Jj_S0gYw6wSO7QcMI02YgyOBDKYgmm0NSUk-AQEac/edit?usp=share_link"",""ประจวบคีรีขันธ์!J713"")+IMPORTRANGE(""https://docs.google.com/spreadsheets/d/1nYxRXgnCfTXtqUY1otYuTlnrzE0Tn-Y0YRsW5pkRVqo/edit?usp=share_link"",""ปราจีนบุรี!J713"")+"&amp;"IMPORTRANGE(""https://docs.google.com/spreadsheets/d/1nNHCLO8ZAXOMfQvxux7cf_hrzPAh8FAvaHq_ClKbZNo/edit?usp=share_link"",""พระนครศรีอยุธยา!J713"")+IMPORTRANGE(""https://docs.google.com/spreadsheets/d/1CdNicvf3i6yt4tJlCePe3V1Va76wYqW0QzMzTsaGRrA/edit?usp=sh"&amp;"are_link"",""เพชรบุรี!J713"")+IMPORTRANGE(""https://docs.google.com/spreadsheets/d/1XiF77UIVHV0Kjc6xbXuOuJ10WgJYxd4p_22ngKVV5oM/edit?usp=share_link"",""ระยอง!J713"")+IMPORTRANGE(""https://docs.google.com/spreadsheets/d/1qU-W_9MCQD1pgIVXGEOjCFo9QqlmJywueby"&amp;"GgaN92r8/edit?usp=share_link"",""ราชบุรี!J713"")+IMPORTRANGE(""https://docs.google.com/spreadsheets/d/1xYFIxIM_CspAP5Q-5Zx_V0T_Ut3cjryrjd2hss28vGk/edit?usp=share_link"",""ลพบุรี!J713"")+IMPORTRANGE(""https://docs.google.com/spreadsheets/d/11s9m3tKsCBdPWq6"&amp;"syhZm27eBGbKneDLZc75co106bio/edit?usp=share_link"",""สระแก้ว!J713"")+IMPORTRANGE(""https://docs.google.com/spreadsheets/d/1Nn1EvsFPtXldgpgVb3Rcng2K2cls68LFQsBh2FyW0Bg/edit?usp=share_link"",""สระบุรี!J713"")+IMPORTRANGE(""https://docs.google.com/spreadshee"&amp;"ts/d/149xufxukrnEciK3WPbNpHwUK8BKEJxp3UcBG3Al6dA4/edit?usp=share_link"",""สิงห์บุรี!J713"")+IMPORTRANGE(""https://docs.google.com/spreadsheets/d/132g-zJpz2uMKimp17uOIx8A7o3w1Z25zwJyXnwsB56c/edit?usp=share_link"",""สุพรรณบุรี!J713"")+IMPORTRANGE(""https://"&amp;"docs.google.com/spreadsheets/d/12Q_U0nVnFdxDFwa0pej9xvx8ZvLC9Dpi_vRro_aiG5g/edit?usp=share_link"",""อ่างทอง!J713"")
"),0)</f>
        <v>0</v>
      </c>
      <c r="K713" s="38"/>
      <c r="L713" s="757"/>
      <c r="M713" s="189"/>
      <c r="N713" s="757"/>
      <c r="O713" s="38"/>
      <c r="P713" s="38"/>
      <c r="Q713" s="571"/>
      <c r="R713" s="571"/>
      <c r="S713" s="571"/>
      <c r="T713" s="571"/>
      <c r="U713" s="571"/>
      <c r="V713" s="571"/>
      <c r="W713" s="571"/>
      <c r="X713" s="571"/>
      <c r="Y713" s="571"/>
      <c r="Z713" s="571"/>
    </row>
    <row r="714" spans="1:26" ht="20.25" customHeight="1">
      <c r="A714" s="735"/>
      <c r="B714" s="569"/>
      <c r="C714" s="569"/>
      <c r="D714" s="569"/>
      <c r="E714" s="569"/>
      <c r="F714" s="569"/>
      <c r="G714" s="189"/>
      <c r="H714" s="182" t="s">
        <v>46</v>
      </c>
      <c r="I714" s="756"/>
      <c r="J714" s="183">
        <f ca="1">IFERROR(__xludf.DUMMYFUNCTION("IMPORTRANGE(""https://docs.google.com/spreadsheets/d/1hKO5uv94SSRZWOvrh72HRcpyoEQF9TsE_Cvxl77XNU4/edit?usp=share_link"",""กาญจนบุรี!J714"")+IMPORTRANGE(""https://docs.google.com/spreadsheets/d/1njBaP_xXd-Uotvo2D9zb01TTCFkLJLDK97Tk1l9Qux0/edit?usp=share_li"&amp;"nk"",""จันทบุรี!J714"")+IMPORTRANGE(""https://docs.google.com/spreadsheets/d/14xp6qUzrGFnUk_qnc1eEmfiaNRd4_grkhpfQH_46fa8/edit?usp=share_link"",""ฉะเชิงเทรา!J714"")+IMPORTRANGE(""https://docs.google.com/spreadsheets/d/1_Zwps30dlVa-pZFsorjVf1Pil6WXwzCsJU0U"&amp;"2whO3NI/edit?usp=share_link"",""ชลบุรี!J714"")+IMPORTRANGE(""https://docs.google.com/spreadsheets/d/1xAsT4sUbBlom7l0acStESh_15nvjZcXjZM7fK5uZSq8/edit?usp=share_link"",""ชัยนาท!J714"")+IMPORTRANGE(""https://docs.google.com/spreadsheets/d/1vWPVBOAaZ6mHSI8yf"&amp;"95DNqHwTJ1cpeFsvqt6cxV34QA/edit?usp=share_link"",""ตราด!J714"")+IMPORTRANGE(""https://docs.google.com/spreadsheets/d/1phaeSb9lTGgzDpbvVqI9hfmOQQzUom07-HEvpbARzEg/edit?usp=share_link"",""นครนายก!J714"")+IMPORTRANGE(""https://docs.google.com/spreadsheets/d/"&amp;"1tpwhWwkqkBeiSWCcfB5f2fbwPRbM9hHOEDSDHpl2MIc/edit?usp=share_link"",""นครปฐม!J714"")+IMPORTRANGE(""https://docs.google.com/spreadsheets/d/1fJJCVBkBnhriyv0Cp5ZFMr0I_yrfdEITNpb4zILJgUQ/edit?usp=share_link"",""ปทุมธานี!J714"")+IMPORTRANGE(""https://docs.googl"&amp;"e.com/spreadsheets/d/1W5Jj_S0gYw6wSO7QcMI02YgyOBDKYgmm0NSUk-AQEac/edit?usp=share_link"",""ประจวบคีรีขันธ์!J714"")+IMPORTRANGE(""https://docs.google.com/spreadsheets/d/1nYxRXgnCfTXtqUY1otYuTlnrzE0Tn-Y0YRsW5pkRVqo/edit?usp=share_link"",""ปราจีนบุรี!J714"")+"&amp;"IMPORTRANGE(""https://docs.google.com/spreadsheets/d/1nNHCLO8ZAXOMfQvxux7cf_hrzPAh8FAvaHq_ClKbZNo/edit?usp=share_link"",""พระนครศรีอยุธยา!J714"")+IMPORTRANGE(""https://docs.google.com/spreadsheets/d/1CdNicvf3i6yt4tJlCePe3V1Va76wYqW0QzMzTsaGRrA/edit?usp=sh"&amp;"are_link"",""เพชรบุรี!J714"")+IMPORTRANGE(""https://docs.google.com/spreadsheets/d/1XiF77UIVHV0Kjc6xbXuOuJ10WgJYxd4p_22ngKVV5oM/edit?usp=share_link"",""ระยอง!J714"")+IMPORTRANGE(""https://docs.google.com/spreadsheets/d/1qU-W_9MCQD1pgIVXGEOjCFo9QqlmJywueby"&amp;"GgaN92r8/edit?usp=share_link"",""ราชบุรี!J714"")+IMPORTRANGE(""https://docs.google.com/spreadsheets/d/1xYFIxIM_CspAP5Q-5Zx_V0T_Ut3cjryrjd2hss28vGk/edit?usp=share_link"",""ลพบุรี!J714"")+IMPORTRANGE(""https://docs.google.com/spreadsheets/d/11s9m3tKsCBdPWq6"&amp;"syhZm27eBGbKneDLZc75co106bio/edit?usp=share_link"",""สระแก้ว!J714"")+IMPORTRANGE(""https://docs.google.com/spreadsheets/d/1Nn1EvsFPtXldgpgVb3Rcng2K2cls68LFQsBh2FyW0Bg/edit?usp=share_link"",""สระบุรี!J714"")+IMPORTRANGE(""https://docs.google.com/spreadshee"&amp;"ts/d/149xufxukrnEciK3WPbNpHwUK8BKEJxp3UcBG3Al6dA4/edit?usp=share_link"",""สิงห์บุรี!J714"")+IMPORTRANGE(""https://docs.google.com/spreadsheets/d/132g-zJpz2uMKimp17uOIx8A7o3w1Z25zwJyXnwsB56c/edit?usp=share_link"",""สุพรรณบุรี!J714"")+IMPORTRANGE(""https://"&amp;"docs.google.com/spreadsheets/d/12Q_U0nVnFdxDFwa0pej9xvx8ZvLC9Dpi_vRro_aiG5g/edit?usp=share_link"",""อ่างทอง!J714"")
"),0)</f>
        <v>0</v>
      </c>
      <c r="K714" s="38"/>
      <c r="L714" s="757"/>
      <c r="M714" s="189"/>
      <c r="N714" s="757"/>
      <c r="O714" s="38"/>
      <c r="P714" s="38"/>
      <c r="Q714" s="571"/>
      <c r="R714" s="571"/>
      <c r="S714" s="571"/>
      <c r="T714" s="571"/>
      <c r="U714" s="571"/>
      <c r="V714" s="571"/>
      <c r="W714" s="571"/>
      <c r="X714" s="571"/>
      <c r="Y714" s="571"/>
      <c r="Z714" s="571"/>
    </row>
    <row r="715" spans="1:26" ht="20.25" customHeight="1">
      <c r="A715" s="735"/>
      <c r="B715" s="569"/>
      <c r="C715" s="569"/>
      <c r="D715" s="569"/>
      <c r="E715" s="569"/>
      <c r="F715" s="570" t="s">
        <v>303</v>
      </c>
      <c r="G715" s="189"/>
      <c r="H715" s="182" t="s">
        <v>35</v>
      </c>
      <c r="I715" s="756"/>
      <c r="J715" s="183">
        <f ca="1">IFERROR(__xludf.DUMMYFUNCTION("IMPORTRANGE(""https://docs.google.com/spreadsheets/d/1hKO5uv94SSRZWOvrh72HRcpyoEQF9TsE_Cvxl77XNU4/edit?usp=share_link"",""กาญจนบุรี!J715"")+IMPORTRANGE(""https://docs.google.com/spreadsheets/d/1njBaP_xXd-Uotvo2D9zb01TTCFkLJLDK97Tk1l9Qux0/edit?usp=share_li"&amp;"nk"",""จันทบุรี!J715"")+IMPORTRANGE(""https://docs.google.com/spreadsheets/d/14xp6qUzrGFnUk_qnc1eEmfiaNRd4_grkhpfQH_46fa8/edit?usp=share_link"",""ฉะเชิงเทรา!J715"")+IMPORTRANGE(""https://docs.google.com/spreadsheets/d/1_Zwps30dlVa-pZFsorjVf1Pil6WXwzCsJU0U"&amp;"2whO3NI/edit?usp=share_link"",""ชลบุรี!J715"")+IMPORTRANGE(""https://docs.google.com/spreadsheets/d/1xAsT4sUbBlom7l0acStESh_15nvjZcXjZM7fK5uZSq8/edit?usp=share_link"",""ชัยนาท!J715"")+IMPORTRANGE(""https://docs.google.com/spreadsheets/d/1vWPVBOAaZ6mHSI8yf"&amp;"95DNqHwTJ1cpeFsvqt6cxV34QA/edit?usp=share_link"",""ตราด!J715"")+IMPORTRANGE(""https://docs.google.com/spreadsheets/d/1phaeSb9lTGgzDpbvVqI9hfmOQQzUom07-HEvpbARzEg/edit?usp=share_link"",""นครนายก!J715"")+IMPORTRANGE(""https://docs.google.com/spreadsheets/d/"&amp;"1tpwhWwkqkBeiSWCcfB5f2fbwPRbM9hHOEDSDHpl2MIc/edit?usp=share_link"",""นครปฐม!J715"")+IMPORTRANGE(""https://docs.google.com/spreadsheets/d/1fJJCVBkBnhriyv0Cp5ZFMr0I_yrfdEITNpb4zILJgUQ/edit?usp=share_link"",""ปทุมธานี!J715"")+IMPORTRANGE(""https://docs.googl"&amp;"e.com/spreadsheets/d/1W5Jj_S0gYw6wSO7QcMI02YgyOBDKYgmm0NSUk-AQEac/edit?usp=share_link"",""ประจวบคีรีขันธ์!J715"")+IMPORTRANGE(""https://docs.google.com/spreadsheets/d/1nYxRXgnCfTXtqUY1otYuTlnrzE0Tn-Y0YRsW5pkRVqo/edit?usp=share_link"",""ปราจีนบุรี!J715"")+"&amp;"IMPORTRANGE(""https://docs.google.com/spreadsheets/d/1nNHCLO8ZAXOMfQvxux7cf_hrzPAh8FAvaHq_ClKbZNo/edit?usp=share_link"",""พระนครศรีอยุธยา!J715"")+IMPORTRANGE(""https://docs.google.com/spreadsheets/d/1CdNicvf3i6yt4tJlCePe3V1Va76wYqW0QzMzTsaGRrA/edit?usp=sh"&amp;"are_link"",""เพชรบุรี!J715"")+IMPORTRANGE(""https://docs.google.com/spreadsheets/d/1XiF77UIVHV0Kjc6xbXuOuJ10WgJYxd4p_22ngKVV5oM/edit?usp=share_link"",""ระยอง!J715"")+IMPORTRANGE(""https://docs.google.com/spreadsheets/d/1qU-W_9MCQD1pgIVXGEOjCFo9QqlmJywueby"&amp;"GgaN92r8/edit?usp=share_link"",""ราชบุรี!J715"")+IMPORTRANGE(""https://docs.google.com/spreadsheets/d/1xYFIxIM_CspAP5Q-5Zx_V0T_Ut3cjryrjd2hss28vGk/edit?usp=share_link"",""ลพบุรี!J715"")+IMPORTRANGE(""https://docs.google.com/spreadsheets/d/11s9m3tKsCBdPWq6"&amp;"syhZm27eBGbKneDLZc75co106bio/edit?usp=share_link"",""สระแก้ว!J715"")+IMPORTRANGE(""https://docs.google.com/spreadsheets/d/1Nn1EvsFPtXldgpgVb3Rcng2K2cls68LFQsBh2FyW0Bg/edit?usp=share_link"",""สระบุรี!J715"")+IMPORTRANGE(""https://docs.google.com/spreadshee"&amp;"ts/d/149xufxukrnEciK3WPbNpHwUK8BKEJxp3UcBG3Al6dA4/edit?usp=share_link"",""สิงห์บุรี!J715"")+IMPORTRANGE(""https://docs.google.com/spreadsheets/d/132g-zJpz2uMKimp17uOIx8A7o3w1Z25zwJyXnwsB56c/edit?usp=share_link"",""สุพรรณบุรี!J715"")+IMPORTRANGE(""https://"&amp;"docs.google.com/spreadsheets/d/12Q_U0nVnFdxDFwa0pej9xvx8ZvLC9Dpi_vRro_aiG5g/edit?usp=share_link"",""อ่างทอง!J715"")
"),0)</f>
        <v>0</v>
      </c>
      <c r="K715" s="38"/>
      <c r="L715" s="757"/>
      <c r="M715" s="189"/>
      <c r="N715" s="757"/>
      <c r="O715" s="38"/>
      <c r="P715" s="38"/>
      <c r="Q715" s="571"/>
      <c r="R715" s="571"/>
      <c r="S715" s="571"/>
      <c r="T715" s="571"/>
      <c r="U715" s="571"/>
      <c r="V715" s="571"/>
      <c r="W715" s="571"/>
      <c r="X715" s="571"/>
      <c r="Y715" s="571"/>
      <c r="Z715" s="571"/>
    </row>
    <row r="716" spans="1:26" ht="20.25" customHeight="1">
      <c r="A716" s="735"/>
      <c r="B716" s="569"/>
      <c r="C716" s="569"/>
      <c r="D716" s="569"/>
      <c r="E716" s="569"/>
      <c r="F716" s="569"/>
      <c r="G716" s="189"/>
      <c r="H716" s="182" t="s">
        <v>34</v>
      </c>
      <c r="I716" s="756"/>
      <c r="J716" s="183">
        <f ca="1">IFERROR(__xludf.DUMMYFUNCTION("IMPORTRANGE(""https://docs.google.com/spreadsheets/d/1hKO5uv94SSRZWOvrh72HRcpyoEQF9TsE_Cvxl77XNU4/edit?usp=share_link"",""กาญจนบุรี!J716"")+IMPORTRANGE(""https://docs.google.com/spreadsheets/d/1njBaP_xXd-Uotvo2D9zb01TTCFkLJLDK97Tk1l9Qux0/edit?usp=share_li"&amp;"nk"",""จันทบุรี!J716"")+IMPORTRANGE(""https://docs.google.com/spreadsheets/d/14xp6qUzrGFnUk_qnc1eEmfiaNRd4_grkhpfQH_46fa8/edit?usp=share_link"",""ฉะเชิงเทรา!J716"")+IMPORTRANGE(""https://docs.google.com/spreadsheets/d/1_Zwps30dlVa-pZFsorjVf1Pil6WXwzCsJU0U"&amp;"2whO3NI/edit?usp=share_link"",""ชลบุรี!J716"")+IMPORTRANGE(""https://docs.google.com/spreadsheets/d/1xAsT4sUbBlom7l0acStESh_15nvjZcXjZM7fK5uZSq8/edit?usp=share_link"",""ชัยนาท!J716"")+IMPORTRANGE(""https://docs.google.com/spreadsheets/d/1vWPVBOAaZ6mHSI8yf"&amp;"95DNqHwTJ1cpeFsvqt6cxV34QA/edit?usp=share_link"",""ตราด!J716"")+IMPORTRANGE(""https://docs.google.com/spreadsheets/d/1phaeSb9lTGgzDpbvVqI9hfmOQQzUom07-HEvpbARzEg/edit?usp=share_link"",""นครนายก!J716"")+IMPORTRANGE(""https://docs.google.com/spreadsheets/d/"&amp;"1tpwhWwkqkBeiSWCcfB5f2fbwPRbM9hHOEDSDHpl2MIc/edit?usp=share_link"",""นครปฐม!J716"")+IMPORTRANGE(""https://docs.google.com/spreadsheets/d/1fJJCVBkBnhriyv0Cp5ZFMr0I_yrfdEITNpb4zILJgUQ/edit?usp=share_link"",""ปทุมธานี!J716"")+IMPORTRANGE(""https://docs.googl"&amp;"e.com/spreadsheets/d/1W5Jj_S0gYw6wSO7QcMI02YgyOBDKYgmm0NSUk-AQEac/edit?usp=share_link"",""ประจวบคีรีขันธ์!J716"")+IMPORTRANGE(""https://docs.google.com/spreadsheets/d/1nYxRXgnCfTXtqUY1otYuTlnrzE0Tn-Y0YRsW5pkRVqo/edit?usp=share_link"",""ปราจีนบุรี!J716"")+"&amp;"IMPORTRANGE(""https://docs.google.com/spreadsheets/d/1nNHCLO8ZAXOMfQvxux7cf_hrzPAh8FAvaHq_ClKbZNo/edit?usp=share_link"",""พระนครศรีอยุธยา!J716"")+IMPORTRANGE(""https://docs.google.com/spreadsheets/d/1CdNicvf3i6yt4tJlCePe3V1Va76wYqW0QzMzTsaGRrA/edit?usp=sh"&amp;"are_link"",""เพชรบุรี!J716"")+IMPORTRANGE(""https://docs.google.com/spreadsheets/d/1XiF77UIVHV0Kjc6xbXuOuJ10WgJYxd4p_22ngKVV5oM/edit?usp=share_link"",""ระยอง!J716"")+IMPORTRANGE(""https://docs.google.com/spreadsheets/d/1qU-W_9MCQD1pgIVXGEOjCFo9QqlmJywueby"&amp;"GgaN92r8/edit?usp=share_link"",""ราชบุรี!J716"")+IMPORTRANGE(""https://docs.google.com/spreadsheets/d/1xYFIxIM_CspAP5Q-5Zx_V0T_Ut3cjryrjd2hss28vGk/edit?usp=share_link"",""ลพบุรี!J716"")+IMPORTRANGE(""https://docs.google.com/spreadsheets/d/11s9m3tKsCBdPWq6"&amp;"syhZm27eBGbKneDLZc75co106bio/edit?usp=share_link"",""สระแก้ว!J716"")+IMPORTRANGE(""https://docs.google.com/spreadsheets/d/1Nn1EvsFPtXldgpgVb3Rcng2K2cls68LFQsBh2FyW0Bg/edit?usp=share_link"",""สระบุรี!J716"")+IMPORTRANGE(""https://docs.google.com/spreadshee"&amp;"ts/d/149xufxukrnEciK3WPbNpHwUK8BKEJxp3UcBG3Al6dA4/edit?usp=share_link"",""สิงห์บุรี!J716"")+IMPORTRANGE(""https://docs.google.com/spreadsheets/d/132g-zJpz2uMKimp17uOIx8A7o3w1Z25zwJyXnwsB56c/edit?usp=share_link"",""สุพรรณบุรี!J716"")+IMPORTRANGE(""https://"&amp;"docs.google.com/spreadsheets/d/12Q_U0nVnFdxDFwa0pej9xvx8ZvLC9Dpi_vRro_aiG5g/edit?usp=share_link"",""อ่างทอง!J716"")
"),0)</f>
        <v>0</v>
      </c>
      <c r="K716" s="38"/>
      <c r="L716" s="757"/>
      <c r="M716" s="189"/>
      <c r="N716" s="757"/>
      <c r="O716" s="38"/>
      <c r="P716" s="38"/>
      <c r="Q716" s="571"/>
      <c r="R716" s="571"/>
      <c r="S716" s="571"/>
      <c r="T716" s="571"/>
      <c r="U716" s="571"/>
      <c r="V716" s="571"/>
      <c r="W716" s="571"/>
      <c r="X716" s="571"/>
      <c r="Y716" s="571"/>
      <c r="Z716" s="571"/>
    </row>
    <row r="717" spans="1:26" ht="20.25" customHeight="1">
      <c r="A717" s="735"/>
      <c r="B717" s="569"/>
      <c r="C717" s="569"/>
      <c r="D717" s="569"/>
      <c r="E717" s="569"/>
      <c r="F717" s="569"/>
      <c r="G717" s="189"/>
      <c r="H717" s="182" t="s">
        <v>46</v>
      </c>
      <c r="I717" s="756"/>
      <c r="J717" s="183">
        <f ca="1">IFERROR(__xludf.DUMMYFUNCTION("IMPORTRANGE(""https://docs.google.com/spreadsheets/d/1hKO5uv94SSRZWOvrh72HRcpyoEQF9TsE_Cvxl77XNU4/edit?usp=share_link"",""กาญจนบุรี!J717"")+IMPORTRANGE(""https://docs.google.com/spreadsheets/d/1njBaP_xXd-Uotvo2D9zb01TTCFkLJLDK97Tk1l9Qux0/edit?usp=share_li"&amp;"nk"",""จันทบุรี!J717"")+IMPORTRANGE(""https://docs.google.com/spreadsheets/d/14xp6qUzrGFnUk_qnc1eEmfiaNRd4_grkhpfQH_46fa8/edit?usp=share_link"",""ฉะเชิงเทรา!J717"")+IMPORTRANGE(""https://docs.google.com/spreadsheets/d/1_Zwps30dlVa-pZFsorjVf1Pil6WXwzCsJU0U"&amp;"2whO3NI/edit?usp=share_link"",""ชลบุรี!J717"")+IMPORTRANGE(""https://docs.google.com/spreadsheets/d/1xAsT4sUbBlom7l0acStESh_15nvjZcXjZM7fK5uZSq8/edit?usp=share_link"",""ชัยนาท!J717"")+IMPORTRANGE(""https://docs.google.com/spreadsheets/d/1vWPVBOAaZ6mHSI8yf"&amp;"95DNqHwTJ1cpeFsvqt6cxV34QA/edit?usp=share_link"",""ตราด!J717"")+IMPORTRANGE(""https://docs.google.com/spreadsheets/d/1phaeSb9lTGgzDpbvVqI9hfmOQQzUom07-HEvpbARzEg/edit?usp=share_link"",""นครนายก!J717"")+IMPORTRANGE(""https://docs.google.com/spreadsheets/d/"&amp;"1tpwhWwkqkBeiSWCcfB5f2fbwPRbM9hHOEDSDHpl2MIc/edit?usp=share_link"",""นครปฐม!J717"")+IMPORTRANGE(""https://docs.google.com/spreadsheets/d/1fJJCVBkBnhriyv0Cp5ZFMr0I_yrfdEITNpb4zILJgUQ/edit?usp=share_link"",""ปทุมธานี!J717"")+IMPORTRANGE(""https://docs.googl"&amp;"e.com/spreadsheets/d/1W5Jj_S0gYw6wSO7QcMI02YgyOBDKYgmm0NSUk-AQEac/edit?usp=share_link"",""ประจวบคีรีขันธ์!J717"")+IMPORTRANGE(""https://docs.google.com/spreadsheets/d/1nYxRXgnCfTXtqUY1otYuTlnrzE0Tn-Y0YRsW5pkRVqo/edit?usp=share_link"",""ปราจีนบุรี!J717"")+"&amp;"IMPORTRANGE(""https://docs.google.com/spreadsheets/d/1nNHCLO8ZAXOMfQvxux7cf_hrzPAh8FAvaHq_ClKbZNo/edit?usp=share_link"",""พระนครศรีอยุธยา!J717"")+IMPORTRANGE(""https://docs.google.com/spreadsheets/d/1CdNicvf3i6yt4tJlCePe3V1Va76wYqW0QzMzTsaGRrA/edit?usp=sh"&amp;"are_link"",""เพชรบุรี!J717"")+IMPORTRANGE(""https://docs.google.com/spreadsheets/d/1XiF77UIVHV0Kjc6xbXuOuJ10WgJYxd4p_22ngKVV5oM/edit?usp=share_link"",""ระยอง!J717"")+IMPORTRANGE(""https://docs.google.com/spreadsheets/d/1qU-W_9MCQD1pgIVXGEOjCFo9QqlmJywueby"&amp;"GgaN92r8/edit?usp=share_link"",""ราชบุรี!J717"")+IMPORTRANGE(""https://docs.google.com/spreadsheets/d/1xYFIxIM_CspAP5Q-5Zx_V0T_Ut3cjryrjd2hss28vGk/edit?usp=share_link"",""ลพบุรี!J717"")+IMPORTRANGE(""https://docs.google.com/spreadsheets/d/11s9m3tKsCBdPWq6"&amp;"syhZm27eBGbKneDLZc75co106bio/edit?usp=share_link"",""สระแก้ว!J717"")+IMPORTRANGE(""https://docs.google.com/spreadsheets/d/1Nn1EvsFPtXldgpgVb3Rcng2K2cls68LFQsBh2FyW0Bg/edit?usp=share_link"",""สระบุรี!J717"")+IMPORTRANGE(""https://docs.google.com/spreadshee"&amp;"ts/d/149xufxukrnEciK3WPbNpHwUK8BKEJxp3UcBG3Al6dA4/edit?usp=share_link"",""สิงห์บุรี!J717"")+IMPORTRANGE(""https://docs.google.com/spreadsheets/d/132g-zJpz2uMKimp17uOIx8A7o3w1Z25zwJyXnwsB56c/edit?usp=share_link"",""สุพรรณบุรี!J717"")+IMPORTRANGE(""https://"&amp;"docs.google.com/spreadsheets/d/12Q_U0nVnFdxDFwa0pej9xvx8ZvLC9Dpi_vRro_aiG5g/edit?usp=share_link"",""อ่างทอง!J717"")
"),0)</f>
        <v>0</v>
      </c>
      <c r="K717" s="38"/>
      <c r="L717" s="757"/>
      <c r="M717" s="189"/>
      <c r="N717" s="757"/>
      <c r="O717" s="38"/>
      <c r="P717" s="38"/>
      <c r="Q717" s="571"/>
      <c r="R717" s="571"/>
      <c r="S717" s="571"/>
      <c r="T717" s="571"/>
      <c r="U717" s="571"/>
      <c r="V717" s="571"/>
      <c r="W717" s="571"/>
      <c r="X717" s="571"/>
      <c r="Y717" s="571"/>
      <c r="Z717" s="571"/>
    </row>
    <row r="718" spans="1:26" ht="20.25" customHeight="1">
      <c r="A718" s="735"/>
      <c r="B718" s="569"/>
      <c r="C718" s="569"/>
      <c r="D718" s="570" t="s">
        <v>304</v>
      </c>
      <c r="E718" s="569"/>
      <c r="F718" s="569"/>
      <c r="G718" s="189"/>
      <c r="H718" s="182" t="s">
        <v>35</v>
      </c>
      <c r="I718" s="756"/>
      <c r="J718" s="37">
        <f ca="1">IFERROR(__xludf.DUMMYFUNCTION("IMPORTRANGE(""https://docs.google.com/spreadsheets/d/1hKO5uv94SSRZWOvrh72HRcpyoEQF9TsE_Cvxl77XNU4/edit?usp=share_link"",""กาญจนบุรี!J718"")+IMPORTRANGE(""https://docs.google.com/spreadsheets/d/1njBaP_xXd-Uotvo2D9zb01TTCFkLJLDK97Tk1l9Qux0/edit?usp=share_li"&amp;"nk"",""จันทบุรี!J718"")+IMPORTRANGE(""https://docs.google.com/spreadsheets/d/14xp6qUzrGFnUk_qnc1eEmfiaNRd4_grkhpfQH_46fa8/edit?usp=share_link"",""ฉะเชิงเทรา!J718"")+IMPORTRANGE(""https://docs.google.com/spreadsheets/d/1_Zwps30dlVa-pZFsorjVf1Pil6WXwzCsJU0U"&amp;"2whO3NI/edit?usp=share_link"",""ชลบุรี!J718"")+IMPORTRANGE(""https://docs.google.com/spreadsheets/d/1xAsT4sUbBlom7l0acStESh_15nvjZcXjZM7fK5uZSq8/edit?usp=share_link"",""ชัยนาท!J718"")+IMPORTRANGE(""https://docs.google.com/spreadsheets/d/1vWPVBOAaZ6mHSI8yf"&amp;"95DNqHwTJ1cpeFsvqt6cxV34QA/edit?usp=share_link"",""ตราด!J718"")+IMPORTRANGE(""https://docs.google.com/spreadsheets/d/1phaeSb9lTGgzDpbvVqI9hfmOQQzUom07-HEvpbARzEg/edit?usp=share_link"",""นครนายก!J718"")+IMPORTRANGE(""https://docs.google.com/spreadsheets/d/"&amp;"1tpwhWwkqkBeiSWCcfB5f2fbwPRbM9hHOEDSDHpl2MIc/edit?usp=share_link"",""นครปฐม!J718"")+IMPORTRANGE(""https://docs.google.com/spreadsheets/d/1fJJCVBkBnhriyv0Cp5ZFMr0I_yrfdEITNpb4zILJgUQ/edit?usp=share_link"",""ปทุมธานี!J718"")+IMPORTRANGE(""https://docs.googl"&amp;"e.com/spreadsheets/d/1W5Jj_S0gYw6wSO7QcMI02YgyOBDKYgmm0NSUk-AQEac/edit?usp=share_link"",""ประจวบคีรีขันธ์!J718"")+IMPORTRANGE(""https://docs.google.com/spreadsheets/d/1nYxRXgnCfTXtqUY1otYuTlnrzE0Tn-Y0YRsW5pkRVqo/edit?usp=share_link"",""ปราจีนบุรี!J718"")+"&amp;"IMPORTRANGE(""https://docs.google.com/spreadsheets/d/1nNHCLO8ZAXOMfQvxux7cf_hrzPAh8FAvaHq_ClKbZNo/edit?usp=share_link"",""พระนครศรีอยุธยา!J718"")+IMPORTRANGE(""https://docs.google.com/spreadsheets/d/1CdNicvf3i6yt4tJlCePe3V1Va76wYqW0QzMzTsaGRrA/edit?usp=sh"&amp;"are_link"",""เพชรบุรี!J718"")+IMPORTRANGE(""https://docs.google.com/spreadsheets/d/1XiF77UIVHV0Kjc6xbXuOuJ10WgJYxd4p_22ngKVV5oM/edit?usp=share_link"",""ระยอง!J718"")+IMPORTRANGE(""https://docs.google.com/spreadsheets/d/1qU-W_9MCQD1pgIVXGEOjCFo9QqlmJywueby"&amp;"GgaN92r8/edit?usp=share_link"",""ราชบุรี!J718"")+IMPORTRANGE(""https://docs.google.com/spreadsheets/d/1xYFIxIM_CspAP5Q-5Zx_V0T_Ut3cjryrjd2hss28vGk/edit?usp=share_link"",""ลพบุรี!J718"")+IMPORTRANGE(""https://docs.google.com/spreadsheets/d/11s9m3tKsCBdPWq6"&amp;"syhZm27eBGbKneDLZc75co106bio/edit?usp=share_link"",""สระแก้ว!J718"")+IMPORTRANGE(""https://docs.google.com/spreadsheets/d/1Nn1EvsFPtXldgpgVb3Rcng2K2cls68LFQsBh2FyW0Bg/edit?usp=share_link"",""สระบุรี!J718"")+IMPORTRANGE(""https://docs.google.com/spreadshee"&amp;"ts/d/149xufxukrnEciK3WPbNpHwUK8BKEJxp3UcBG3Al6dA4/edit?usp=share_link"",""สิงห์บุรี!J718"")+IMPORTRANGE(""https://docs.google.com/spreadsheets/d/132g-zJpz2uMKimp17uOIx8A7o3w1Z25zwJyXnwsB56c/edit?usp=share_link"",""สุพรรณบุรี!J718"")+IMPORTRANGE(""https://"&amp;"docs.google.com/spreadsheets/d/12Q_U0nVnFdxDFwa0pej9xvx8ZvLC9Dpi_vRro_aiG5g/edit?usp=share_link"",""อ่างทอง!J718"")
"),0)</f>
        <v>0</v>
      </c>
      <c r="K718" s="38"/>
      <c r="L718" s="38"/>
      <c r="M718" s="189"/>
      <c r="N718" s="757"/>
      <c r="O718" s="38"/>
      <c r="P718" s="38"/>
      <c r="Q718" s="571"/>
      <c r="R718" s="571"/>
      <c r="S718" s="571"/>
      <c r="T718" s="571"/>
      <c r="U718" s="571"/>
      <c r="V718" s="571"/>
      <c r="W718" s="571"/>
      <c r="X718" s="571"/>
      <c r="Y718" s="571"/>
      <c r="Z718" s="571"/>
    </row>
    <row r="719" spans="1:26" ht="20.25" customHeight="1">
      <c r="A719" s="735"/>
      <c r="B719" s="569"/>
      <c r="C719" s="569"/>
      <c r="D719" s="569"/>
      <c r="E719" s="569"/>
      <c r="F719" s="569"/>
      <c r="G719" s="189"/>
      <c r="H719" s="182" t="s">
        <v>34</v>
      </c>
      <c r="I719" s="756"/>
      <c r="J719" s="37">
        <f ca="1">IFERROR(__xludf.DUMMYFUNCTION("IMPORTRANGE(""https://docs.google.com/spreadsheets/d/1hKO5uv94SSRZWOvrh72HRcpyoEQF9TsE_Cvxl77XNU4/edit?usp=share_link"",""กาญจนบุรี!J719"")+IMPORTRANGE(""https://docs.google.com/spreadsheets/d/1njBaP_xXd-Uotvo2D9zb01TTCFkLJLDK97Tk1l9Qux0/edit?usp=share_li"&amp;"nk"",""จันทบุรี!J719"")+IMPORTRANGE(""https://docs.google.com/spreadsheets/d/14xp6qUzrGFnUk_qnc1eEmfiaNRd4_grkhpfQH_46fa8/edit?usp=share_link"",""ฉะเชิงเทรา!J719"")+IMPORTRANGE(""https://docs.google.com/spreadsheets/d/1_Zwps30dlVa-pZFsorjVf1Pil6WXwzCsJU0U"&amp;"2whO3NI/edit?usp=share_link"",""ชลบุรี!J719"")+IMPORTRANGE(""https://docs.google.com/spreadsheets/d/1xAsT4sUbBlom7l0acStESh_15nvjZcXjZM7fK5uZSq8/edit?usp=share_link"",""ชัยนาท!J719"")+IMPORTRANGE(""https://docs.google.com/spreadsheets/d/1vWPVBOAaZ6mHSI8yf"&amp;"95DNqHwTJ1cpeFsvqt6cxV34QA/edit?usp=share_link"",""ตราด!J719"")+IMPORTRANGE(""https://docs.google.com/spreadsheets/d/1phaeSb9lTGgzDpbvVqI9hfmOQQzUom07-HEvpbARzEg/edit?usp=share_link"",""นครนายก!J719"")+IMPORTRANGE(""https://docs.google.com/spreadsheets/d/"&amp;"1tpwhWwkqkBeiSWCcfB5f2fbwPRbM9hHOEDSDHpl2MIc/edit?usp=share_link"",""นครปฐม!J719"")+IMPORTRANGE(""https://docs.google.com/spreadsheets/d/1fJJCVBkBnhriyv0Cp5ZFMr0I_yrfdEITNpb4zILJgUQ/edit?usp=share_link"",""ปทุมธานี!J719"")+IMPORTRANGE(""https://docs.googl"&amp;"e.com/spreadsheets/d/1W5Jj_S0gYw6wSO7QcMI02YgyOBDKYgmm0NSUk-AQEac/edit?usp=share_link"",""ประจวบคีรีขันธ์!J719"")+IMPORTRANGE(""https://docs.google.com/spreadsheets/d/1nYxRXgnCfTXtqUY1otYuTlnrzE0Tn-Y0YRsW5pkRVqo/edit?usp=share_link"",""ปราจีนบุรี!J719"")+"&amp;"IMPORTRANGE(""https://docs.google.com/spreadsheets/d/1nNHCLO8ZAXOMfQvxux7cf_hrzPAh8FAvaHq_ClKbZNo/edit?usp=share_link"",""พระนครศรีอยุธยา!J719"")+IMPORTRANGE(""https://docs.google.com/spreadsheets/d/1CdNicvf3i6yt4tJlCePe3V1Va76wYqW0QzMzTsaGRrA/edit?usp=sh"&amp;"are_link"",""เพชรบุรี!J719"")+IMPORTRANGE(""https://docs.google.com/spreadsheets/d/1XiF77UIVHV0Kjc6xbXuOuJ10WgJYxd4p_22ngKVV5oM/edit?usp=share_link"",""ระยอง!J719"")+IMPORTRANGE(""https://docs.google.com/spreadsheets/d/1qU-W_9MCQD1pgIVXGEOjCFo9QqlmJywueby"&amp;"GgaN92r8/edit?usp=share_link"",""ราชบุรี!J719"")+IMPORTRANGE(""https://docs.google.com/spreadsheets/d/1xYFIxIM_CspAP5Q-5Zx_V0T_Ut3cjryrjd2hss28vGk/edit?usp=share_link"",""ลพบุรี!J719"")+IMPORTRANGE(""https://docs.google.com/spreadsheets/d/11s9m3tKsCBdPWq6"&amp;"syhZm27eBGbKneDLZc75co106bio/edit?usp=share_link"",""สระแก้ว!J719"")+IMPORTRANGE(""https://docs.google.com/spreadsheets/d/1Nn1EvsFPtXldgpgVb3Rcng2K2cls68LFQsBh2FyW0Bg/edit?usp=share_link"",""สระบุรี!J719"")+IMPORTRANGE(""https://docs.google.com/spreadshee"&amp;"ts/d/149xufxukrnEciK3WPbNpHwUK8BKEJxp3UcBG3Al6dA4/edit?usp=share_link"",""สิงห์บุรี!J719"")+IMPORTRANGE(""https://docs.google.com/spreadsheets/d/132g-zJpz2uMKimp17uOIx8A7o3w1Z25zwJyXnwsB56c/edit?usp=share_link"",""สุพรรณบุรี!J719"")+IMPORTRANGE(""https://"&amp;"docs.google.com/spreadsheets/d/12Q_U0nVnFdxDFwa0pej9xvx8ZvLC9Dpi_vRro_aiG5g/edit?usp=share_link"",""อ่างทอง!J719"")
"),0)</f>
        <v>0</v>
      </c>
      <c r="K719" s="38"/>
      <c r="L719" s="757"/>
      <c r="M719" s="189"/>
      <c r="N719" s="757"/>
      <c r="O719" s="38"/>
      <c r="P719" s="38"/>
      <c r="Q719" s="571"/>
      <c r="R719" s="571"/>
      <c r="S719" s="571"/>
      <c r="T719" s="571"/>
      <c r="U719" s="571"/>
      <c r="V719" s="571"/>
      <c r="W719" s="571"/>
      <c r="X719" s="571"/>
      <c r="Y719" s="571"/>
      <c r="Z719" s="571"/>
    </row>
    <row r="720" spans="1:26" ht="20.25" customHeight="1">
      <c r="A720" s="735"/>
      <c r="B720" s="569"/>
      <c r="C720" s="569"/>
      <c r="D720" s="569"/>
      <c r="E720" s="569"/>
      <c r="F720" s="569"/>
      <c r="G720" s="189"/>
      <c r="H720" s="182" t="s">
        <v>46</v>
      </c>
      <c r="I720" s="756">
        <f ca="1">IFERROR(__xludf.DUMMYFUNCTION("IMPORTRANGE(""https://docs.google.com/spreadsheets/d/1hKO5uv94SSRZWOvrh72HRcpyoEQF9TsE_Cvxl77XNU4/edit?usp=share_link"",""กาญจนบุรี!I720"")+IMPORTRANGE(""https://docs.google.com/spreadsheets/d/1njBaP_xXd-Uotvo2D9zb01TTCFkLJLDK97Tk1l9Qux0/edit?usp=share_li"&amp;"nk"",""จันทบุรี!I720"")+IMPORTRANGE(""https://docs.google.com/spreadsheets/d/14xp6qUzrGFnUk_qnc1eEmfiaNRd4_grkhpfQH_46fa8/edit?usp=share_link"",""ฉะเชิงเทรา!I720"")+IMPORTRANGE(""https://docs.google.com/spreadsheets/d/1_Zwps30dlVa-pZFsorjVf1Pil6WXwzCsJU0U"&amp;"2whO3NI/edit?usp=share_link"",""ชลบุรี!I720"")+IMPORTRANGE(""https://docs.google.com/spreadsheets/d/1xAsT4sUbBlom7l0acStESh_15nvjZcXjZM7fK5uZSq8/edit?usp=share_link"",""ชัยนาท!I720"")+IMPORTRANGE(""https://docs.google.com/spreadsheets/d/1vWPVBOAaZ6mHSI8yf"&amp;"95DNqHwTJ1cpeFsvqt6cxV34QA/edit?usp=share_link"",""ตราด!I720"")+IMPORTRANGE(""https://docs.google.com/spreadsheets/d/1phaeSb9lTGgzDpbvVqI9hfmOQQzUom07-HEvpbARzEg/edit?usp=share_link"",""นครนายก!I720"")+IMPORTRANGE(""https://docs.google.com/spreadsheets/d/"&amp;"1tpwhWwkqkBeiSWCcfB5f2fbwPRbM9hHOEDSDHpl2MIc/edit?usp=share_link"",""นครปฐม!I720"")+IMPORTRANGE(""https://docs.google.com/spreadsheets/d/1fJJCVBkBnhriyv0Cp5ZFMr0I_yrfdEITNpb4zILJgUQ/edit?usp=share_link"",""ปทุมธานี!I720"")+IMPORTRANGE(""https://docs.googl"&amp;"e.com/spreadsheets/d/1W5Jj_S0gYw6wSO7QcMI02YgyOBDKYgmm0NSUk-AQEac/edit?usp=share_link"",""ประจวบคีรีขันธ์!I720"")+IMPORTRANGE(""https://docs.google.com/spreadsheets/d/1nYxRXgnCfTXtqUY1otYuTlnrzE0Tn-Y0YRsW5pkRVqo/edit?usp=share_link"",""ปราจีนบุรี!I720"")+"&amp;"IMPORTRANGE(""https://docs.google.com/spreadsheets/d/1nNHCLO8ZAXOMfQvxux7cf_hrzPAh8FAvaHq_ClKbZNo/edit?usp=share_link"",""พระนครศรีอยุธยา!I720"")+IMPORTRANGE(""https://docs.google.com/spreadsheets/d/1CdNicvf3i6yt4tJlCePe3V1Va76wYqW0QzMzTsaGRrA/edit?usp=sh"&amp;"are_link"",""เพชรบุรี!I720"")+IMPORTRANGE(""https://docs.google.com/spreadsheets/d/1XiF77UIVHV0Kjc6xbXuOuJ10WgJYxd4p_22ngKVV5oM/edit?usp=share_link"",""ระยอง!I720"")+IMPORTRANGE(""https://docs.google.com/spreadsheets/d/1qU-W_9MCQD1pgIVXGEOjCFo9QqlmJywueby"&amp;"GgaN92r8/edit?usp=share_link"",""ราชบุรี!I720"")+IMPORTRANGE(""https://docs.google.com/spreadsheets/d/1xYFIxIM_CspAP5Q-5Zx_V0T_Ut3cjryrjd2hss28vGk/edit?usp=share_link"",""ลพบุรี!I720"")+IMPORTRANGE(""https://docs.google.com/spreadsheets/d/11s9m3tKsCBdPWq6"&amp;"syhZm27eBGbKneDLZc75co106bio/edit?usp=share_link"",""สระแก้ว!I720"")+IMPORTRANGE(""https://docs.google.com/spreadsheets/d/1Nn1EvsFPtXldgpgVb3Rcng2K2cls68LFQsBh2FyW0Bg/edit?usp=share_link"",""สระบุรี!I720"")+IMPORTRANGE(""https://docs.google.com/spreadshee"&amp;"ts/d/149xufxukrnEciK3WPbNpHwUK8BKEJxp3UcBG3Al6dA4/edit?usp=share_link"",""สิงห์บุรี!I720"")+IMPORTRANGE(""https://docs.google.com/spreadsheets/d/132g-zJpz2uMKimp17uOIx8A7o3w1Z25zwJyXnwsB56c/edit?usp=share_link"",""สุพรรณบุรี!I720"")+IMPORTRANGE(""https://"&amp;"docs.google.com/spreadsheets/d/12Q_U0nVnFdxDFwa0pej9xvx8ZvLC9Dpi_vRro_aiG5g/edit?usp=share_link"",""อ่างทอง!I720"")
"),2011)</f>
        <v>2011</v>
      </c>
      <c r="J720" s="37">
        <f ca="1">IFERROR(__xludf.DUMMYFUNCTION("IMPORTRANGE(""https://docs.google.com/spreadsheets/d/1hKO5uv94SSRZWOvrh72HRcpyoEQF9TsE_Cvxl77XNU4/edit?usp=share_link"",""กาญจนบุรี!J720"")+IMPORTRANGE(""https://docs.google.com/spreadsheets/d/1njBaP_xXd-Uotvo2D9zb01TTCFkLJLDK97Tk1l9Qux0/edit?usp=share_li"&amp;"nk"",""จันทบุรี!J720"")+IMPORTRANGE(""https://docs.google.com/spreadsheets/d/14xp6qUzrGFnUk_qnc1eEmfiaNRd4_grkhpfQH_46fa8/edit?usp=share_link"",""ฉะเชิงเทรา!J720"")+IMPORTRANGE(""https://docs.google.com/spreadsheets/d/1_Zwps30dlVa-pZFsorjVf1Pil6WXwzCsJU0U"&amp;"2whO3NI/edit?usp=share_link"",""ชลบุรี!J720"")+IMPORTRANGE(""https://docs.google.com/spreadsheets/d/1xAsT4sUbBlom7l0acStESh_15nvjZcXjZM7fK5uZSq8/edit?usp=share_link"",""ชัยนาท!J720"")+IMPORTRANGE(""https://docs.google.com/spreadsheets/d/1vWPVBOAaZ6mHSI8yf"&amp;"95DNqHwTJ1cpeFsvqt6cxV34QA/edit?usp=share_link"",""ตราด!J720"")+IMPORTRANGE(""https://docs.google.com/spreadsheets/d/1phaeSb9lTGgzDpbvVqI9hfmOQQzUom07-HEvpbARzEg/edit?usp=share_link"",""นครนายก!J720"")+IMPORTRANGE(""https://docs.google.com/spreadsheets/d/"&amp;"1tpwhWwkqkBeiSWCcfB5f2fbwPRbM9hHOEDSDHpl2MIc/edit?usp=share_link"",""นครปฐม!J720"")+IMPORTRANGE(""https://docs.google.com/spreadsheets/d/1fJJCVBkBnhriyv0Cp5ZFMr0I_yrfdEITNpb4zILJgUQ/edit?usp=share_link"",""ปทุมธานี!J720"")+IMPORTRANGE(""https://docs.googl"&amp;"e.com/spreadsheets/d/1W5Jj_S0gYw6wSO7QcMI02YgyOBDKYgmm0NSUk-AQEac/edit?usp=share_link"",""ประจวบคีรีขันธ์!J720"")+IMPORTRANGE(""https://docs.google.com/spreadsheets/d/1nYxRXgnCfTXtqUY1otYuTlnrzE0Tn-Y0YRsW5pkRVqo/edit?usp=share_link"",""ปราจีนบุรี!J720"")+"&amp;"IMPORTRANGE(""https://docs.google.com/spreadsheets/d/1nNHCLO8ZAXOMfQvxux7cf_hrzPAh8FAvaHq_ClKbZNo/edit?usp=share_link"",""พระนครศรีอยุธยา!J720"")+IMPORTRANGE(""https://docs.google.com/spreadsheets/d/1CdNicvf3i6yt4tJlCePe3V1Va76wYqW0QzMzTsaGRrA/edit?usp=sh"&amp;"are_link"",""เพชรบุรี!J720"")+IMPORTRANGE(""https://docs.google.com/spreadsheets/d/1XiF77UIVHV0Kjc6xbXuOuJ10WgJYxd4p_22ngKVV5oM/edit?usp=share_link"",""ระยอง!J720"")+IMPORTRANGE(""https://docs.google.com/spreadsheets/d/1qU-W_9MCQD1pgIVXGEOjCFo9QqlmJywueby"&amp;"GgaN92r8/edit?usp=share_link"",""ราชบุรี!J720"")+IMPORTRANGE(""https://docs.google.com/spreadsheets/d/1xYFIxIM_CspAP5Q-5Zx_V0T_Ut3cjryrjd2hss28vGk/edit?usp=share_link"",""ลพบุรี!J720"")+IMPORTRANGE(""https://docs.google.com/spreadsheets/d/11s9m3tKsCBdPWq6"&amp;"syhZm27eBGbKneDLZc75co106bio/edit?usp=share_link"",""สระแก้ว!J720"")+IMPORTRANGE(""https://docs.google.com/spreadsheets/d/1Nn1EvsFPtXldgpgVb3Rcng2K2cls68LFQsBh2FyW0Bg/edit?usp=share_link"",""สระบุรี!J720"")+IMPORTRANGE(""https://docs.google.com/spreadshee"&amp;"ts/d/149xufxukrnEciK3WPbNpHwUK8BKEJxp3UcBG3Al6dA4/edit?usp=share_link"",""สิงห์บุรี!J720"")+IMPORTRANGE(""https://docs.google.com/spreadsheets/d/132g-zJpz2uMKimp17uOIx8A7o3w1Z25zwJyXnwsB56c/edit?usp=share_link"",""สุพรรณบุรี!J720"")+IMPORTRANGE(""https://"&amp;"docs.google.com/spreadsheets/d/12Q_U0nVnFdxDFwa0pej9xvx8ZvLC9Dpi_vRro_aiG5g/edit?usp=share_link"",""อ่างทอง!J720"")
"),0)</f>
        <v>0</v>
      </c>
      <c r="K720" s="38">
        <f t="shared" ref="K720:K723" ca="1" si="331">IF(I720&gt;0,J720*100/I720,0)</f>
        <v>0</v>
      </c>
      <c r="L720" s="757"/>
      <c r="M720" s="189"/>
      <c r="N720" s="757"/>
      <c r="O720" s="38"/>
      <c r="P720" s="38"/>
      <c r="Q720" s="571"/>
      <c r="R720" s="571"/>
      <c r="S720" s="571"/>
      <c r="T720" s="571"/>
      <c r="U720" s="571"/>
      <c r="V720" s="571"/>
      <c r="W720" s="571"/>
      <c r="X720" s="571"/>
      <c r="Y720" s="571"/>
      <c r="Z720" s="571"/>
    </row>
    <row r="721" spans="1:26" ht="20.25" customHeight="1">
      <c r="A721" s="735"/>
      <c r="B721" s="569"/>
      <c r="C721" s="569"/>
      <c r="D721" s="570" t="s">
        <v>305</v>
      </c>
      <c r="E721" s="569"/>
      <c r="F721" s="569"/>
      <c r="G721" s="189"/>
      <c r="H721" s="743" t="s">
        <v>35</v>
      </c>
      <c r="I721" s="759">
        <f ca="1">IFERROR(__xludf.DUMMYFUNCTION("IMPORTRANGE(""https://docs.google.com/spreadsheets/d/1hKO5uv94SSRZWOvrh72HRcpyoEQF9TsE_Cvxl77XNU4/edit?usp=share_link"",""กาญจนบุรี!I721"")+IMPORTRANGE(""https://docs.google.com/spreadsheets/d/1njBaP_xXd-Uotvo2D9zb01TTCFkLJLDK97Tk1l9Qux0/edit?usp=share_li"&amp;"nk"",""จันทบุรี!I721"")+IMPORTRANGE(""https://docs.google.com/spreadsheets/d/14xp6qUzrGFnUk_qnc1eEmfiaNRd4_grkhpfQH_46fa8/edit?usp=share_link"",""ฉะเชิงเทรา!I721"")+IMPORTRANGE(""https://docs.google.com/spreadsheets/d/1_Zwps30dlVa-pZFsorjVf1Pil6WXwzCsJU0U"&amp;"2whO3NI/edit?usp=share_link"",""ชลบุรี!I721"")+IMPORTRANGE(""https://docs.google.com/spreadsheets/d/1xAsT4sUbBlom7l0acStESh_15nvjZcXjZM7fK5uZSq8/edit?usp=share_link"",""ชัยนาท!I721"")+IMPORTRANGE(""https://docs.google.com/spreadsheets/d/1vWPVBOAaZ6mHSI8yf"&amp;"95DNqHwTJ1cpeFsvqt6cxV34QA/edit?usp=share_link"",""ตราด!I721"")+IMPORTRANGE(""https://docs.google.com/spreadsheets/d/1phaeSb9lTGgzDpbvVqI9hfmOQQzUom07-HEvpbARzEg/edit?usp=share_link"",""นครนายก!I721"")+IMPORTRANGE(""https://docs.google.com/spreadsheets/d/"&amp;"1tpwhWwkqkBeiSWCcfB5f2fbwPRbM9hHOEDSDHpl2MIc/edit?usp=share_link"",""นครปฐม!I721"")+IMPORTRANGE(""https://docs.google.com/spreadsheets/d/1fJJCVBkBnhriyv0Cp5ZFMr0I_yrfdEITNpb4zILJgUQ/edit?usp=share_link"",""ปทุมธานี!I721"")+IMPORTRANGE(""https://docs.googl"&amp;"e.com/spreadsheets/d/1W5Jj_S0gYw6wSO7QcMI02YgyOBDKYgmm0NSUk-AQEac/edit?usp=share_link"",""ประจวบคีรีขันธ์!I721"")+IMPORTRANGE(""https://docs.google.com/spreadsheets/d/1nYxRXgnCfTXtqUY1otYuTlnrzE0Tn-Y0YRsW5pkRVqo/edit?usp=share_link"",""ปราจีนบุรี!I721"")+"&amp;"IMPORTRANGE(""https://docs.google.com/spreadsheets/d/1nNHCLO8ZAXOMfQvxux7cf_hrzPAh8FAvaHq_ClKbZNo/edit?usp=share_link"",""พระนครศรีอยุธยา!I721"")+IMPORTRANGE(""https://docs.google.com/spreadsheets/d/1CdNicvf3i6yt4tJlCePe3V1Va76wYqW0QzMzTsaGRrA/edit?usp=sh"&amp;"are_link"",""เพชรบุรี!I721"")+IMPORTRANGE(""https://docs.google.com/spreadsheets/d/1XiF77UIVHV0Kjc6xbXuOuJ10WgJYxd4p_22ngKVV5oM/edit?usp=share_link"",""ระยอง!I721"")+IMPORTRANGE(""https://docs.google.com/spreadsheets/d/1qU-W_9MCQD1pgIVXGEOjCFo9QqlmJywueby"&amp;"GgaN92r8/edit?usp=share_link"",""ราชบุรี!I721"")+IMPORTRANGE(""https://docs.google.com/spreadsheets/d/1xYFIxIM_CspAP5Q-5Zx_V0T_Ut3cjryrjd2hss28vGk/edit?usp=share_link"",""ลพบุรี!I721"")+IMPORTRANGE(""https://docs.google.com/spreadsheets/d/11s9m3tKsCBdPWq6"&amp;"syhZm27eBGbKneDLZc75co106bio/edit?usp=share_link"",""สระแก้ว!I721"")+IMPORTRANGE(""https://docs.google.com/spreadsheets/d/1Nn1EvsFPtXldgpgVb3Rcng2K2cls68LFQsBh2FyW0Bg/edit?usp=share_link"",""สระบุรี!I721"")+IMPORTRANGE(""https://docs.google.com/spreadshee"&amp;"ts/d/149xufxukrnEciK3WPbNpHwUK8BKEJxp3UcBG3Al6dA4/edit?usp=share_link"",""สิงห์บุรี!I721"")+IMPORTRANGE(""https://docs.google.com/spreadsheets/d/132g-zJpz2uMKimp17uOIx8A7o3w1Z25zwJyXnwsB56c/edit?usp=share_link"",""สุพรรณบุรี!I721"")+IMPORTRANGE(""https://"&amp;"docs.google.com/spreadsheets/d/12Q_U0nVnFdxDFwa0pej9xvx8ZvLC9Dpi_vRro_aiG5g/edit?usp=share_link"",""อ่างทอง!I721"")
"),274)</f>
        <v>274</v>
      </c>
      <c r="J721" s="194">
        <f ca="1">J723+J726</f>
        <v>11</v>
      </c>
      <c r="K721" s="195">
        <f t="shared" ca="1" si="331"/>
        <v>4.0145985401459852</v>
      </c>
      <c r="L721" s="757"/>
      <c r="M721" s="189"/>
      <c r="N721" s="757"/>
      <c r="O721" s="38"/>
      <c r="P721" s="38"/>
      <c r="Q721" s="571"/>
      <c r="R721" s="571"/>
      <c r="S721" s="571"/>
      <c r="T721" s="571"/>
      <c r="U721" s="571"/>
      <c r="V721" s="571"/>
      <c r="W721" s="571"/>
      <c r="X721" s="571"/>
      <c r="Y721" s="571"/>
      <c r="Z721" s="571"/>
    </row>
    <row r="722" spans="1:26" ht="20.25" customHeight="1">
      <c r="A722" s="735"/>
      <c r="B722" s="569"/>
      <c r="C722" s="569"/>
      <c r="D722" s="569"/>
      <c r="E722" s="570"/>
      <c r="F722" s="569"/>
      <c r="G722" s="189"/>
      <c r="H722" s="743" t="s">
        <v>46</v>
      </c>
      <c r="I722" s="759">
        <f ca="1">IFERROR(__xludf.DUMMYFUNCTION("IMPORTRANGE(""https://docs.google.com/spreadsheets/d/1hKO5uv94SSRZWOvrh72HRcpyoEQF9TsE_Cvxl77XNU4/edit?usp=share_link"",""กาญจนบุรี!I722"")+IMPORTRANGE(""https://docs.google.com/spreadsheets/d/1njBaP_xXd-Uotvo2D9zb01TTCFkLJLDK97Tk1l9Qux0/edit?usp=share_li"&amp;"nk"",""จันทบุรี!I722"")+IMPORTRANGE(""https://docs.google.com/spreadsheets/d/14xp6qUzrGFnUk_qnc1eEmfiaNRd4_grkhpfQH_46fa8/edit?usp=share_link"",""ฉะเชิงเทรา!I722"")+IMPORTRANGE(""https://docs.google.com/spreadsheets/d/1_Zwps30dlVa-pZFsorjVf1Pil6WXwzCsJU0U"&amp;"2whO3NI/edit?usp=share_link"",""ชลบุรี!I722"")+IMPORTRANGE(""https://docs.google.com/spreadsheets/d/1xAsT4sUbBlom7l0acStESh_15nvjZcXjZM7fK5uZSq8/edit?usp=share_link"",""ชัยนาท!I722"")+IMPORTRANGE(""https://docs.google.com/spreadsheets/d/1vWPVBOAaZ6mHSI8yf"&amp;"95DNqHwTJ1cpeFsvqt6cxV34QA/edit?usp=share_link"",""ตราด!I722"")+IMPORTRANGE(""https://docs.google.com/spreadsheets/d/1phaeSb9lTGgzDpbvVqI9hfmOQQzUom07-HEvpbARzEg/edit?usp=share_link"",""นครนายก!I722"")+IMPORTRANGE(""https://docs.google.com/spreadsheets/d/"&amp;"1tpwhWwkqkBeiSWCcfB5f2fbwPRbM9hHOEDSDHpl2MIc/edit?usp=share_link"",""นครปฐม!I722"")+IMPORTRANGE(""https://docs.google.com/spreadsheets/d/1fJJCVBkBnhriyv0Cp5ZFMr0I_yrfdEITNpb4zILJgUQ/edit?usp=share_link"",""ปทุมธานี!I722"")+IMPORTRANGE(""https://docs.googl"&amp;"e.com/spreadsheets/d/1W5Jj_S0gYw6wSO7QcMI02YgyOBDKYgmm0NSUk-AQEac/edit?usp=share_link"",""ประจวบคีรีขันธ์!I722"")+IMPORTRANGE(""https://docs.google.com/spreadsheets/d/1nYxRXgnCfTXtqUY1otYuTlnrzE0Tn-Y0YRsW5pkRVqo/edit?usp=share_link"",""ปราจีนบุรี!I722"")+"&amp;"IMPORTRANGE(""https://docs.google.com/spreadsheets/d/1nNHCLO8ZAXOMfQvxux7cf_hrzPAh8FAvaHq_ClKbZNo/edit?usp=share_link"",""พระนครศรีอยุธยา!I722"")+IMPORTRANGE(""https://docs.google.com/spreadsheets/d/1CdNicvf3i6yt4tJlCePe3V1Va76wYqW0QzMzTsaGRrA/edit?usp=sh"&amp;"are_link"",""เพชรบุรี!I722"")+IMPORTRANGE(""https://docs.google.com/spreadsheets/d/1XiF77UIVHV0Kjc6xbXuOuJ10WgJYxd4p_22ngKVV5oM/edit?usp=share_link"",""ระยอง!I722"")+IMPORTRANGE(""https://docs.google.com/spreadsheets/d/1qU-W_9MCQD1pgIVXGEOjCFo9QqlmJywueby"&amp;"GgaN92r8/edit?usp=share_link"",""ราชบุรี!I722"")+IMPORTRANGE(""https://docs.google.com/spreadsheets/d/1xYFIxIM_CspAP5Q-5Zx_V0T_Ut3cjryrjd2hss28vGk/edit?usp=share_link"",""ลพบุรี!I722"")+IMPORTRANGE(""https://docs.google.com/spreadsheets/d/11s9m3tKsCBdPWq6"&amp;"syhZm27eBGbKneDLZc75co106bio/edit?usp=share_link"",""สระแก้ว!I722"")+IMPORTRANGE(""https://docs.google.com/spreadsheets/d/1Nn1EvsFPtXldgpgVb3Rcng2K2cls68LFQsBh2FyW0Bg/edit?usp=share_link"",""สระบุรี!I722"")+IMPORTRANGE(""https://docs.google.com/spreadshee"&amp;"ts/d/149xufxukrnEciK3WPbNpHwUK8BKEJxp3UcBG3Al6dA4/edit?usp=share_link"",""สิงห์บุรี!I722"")+IMPORTRANGE(""https://docs.google.com/spreadsheets/d/132g-zJpz2uMKimp17uOIx8A7o3w1Z25zwJyXnwsB56c/edit?usp=share_link"",""สุพรรณบุรี!I722"")+IMPORTRANGE(""https://"&amp;"docs.google.com/spreadsheets/d/12Q_U0nVnFdxDFwa0pej9xvx8ZvLC9Dpi_vRro_aiG5g/edit?usp=share_link"",""อ่างทอง!I722"")
"),2871)</f>
        <v>2871</v>
      </c>
      <c r="J722" s="194">
        <f ca="1">J725+J728</f>
        <v>91.05</v>
      </c>
      <c r="K722" s="195">
        <f t="shared" ca="1" si="331"/>
        <v>3.1713688610240336</v>
      </c>
      <c r="L722" s="38"/>
      <c r="M722" s="189"/>
      <c r="N722" s="757"/>
      <c r="O722" s="38"/>
      <c r="P722" s="38"/>
      <c r="Q722" s="571"/>
      <c r="R722" s="571"/>
      <c r="S722" s="571"/>
      <c r="T722" s="571"/>
      <c r="U722" s="571"/>
      <c r="V722" s="571"/>
      <c r="W722" s="571"/>
      <c r="X722" s="571"/>
      <c r="Y722" s="571"/>
      <c r="Z722" s="571"/>
    </row>
    <row r="723" spans="1:26" ht="20.25" customHeight="1">
      <c r="A723" s="735"/>
      <c r="B723" s="569"/>
      <c r="C723" s="569"/>
      <c r="D723" s="569"/>
      <c r="E723" s="570" t="s">
        <v>306</v>
      </c>
      <c r="F723" s="569"/>
      <c r="G723" s="189"/>
      <c r="H723" s="182" t="s">
        <v>35</v>
      </c>
      <c r="I723" s="756">
        <f ca="1">IFERROR(__xludf.DUMMYFUNCTION("IMPORTRANGE(""https://docs.google.com/spreadsheets/d/1hKO5uv94SSRZWOvrh72HRcpyoEQF9TsE_Cvxl77XNU4/edit?usp=share_link"",""กาญจนบุรี!I723"")+IMPORTRANGE(""https://docs.google.com/spreadsheets/d/1njBaP_xXd-Uotvo2D9zb01TTCFkLJLDK97Tk1l9Qux0/edit?usp=share_li"&amp;"nk"",""จันทบุรี!I723"")+IMPORTRANGE(""https://docs.google.com/spreadsheets/d/14xp6qUzrGFnUk_qnc1eEmfiaNRd4_grkhpfQH_46fa8/edit?usp=share_link"",""ฉะเชิงเทรา!I723"")+IMPORTRANGE(""https://docs.google.com/spreadsheets/d/1_Zwps30dlVa-pZFsorjVf1Pil6WXwzCsJU0U"&amp;"2whO3NI/edit?usp=share_link"",""ชลบุรี!I723"")+IMPORTRANGE(""https://docs.google.com/spreadsheets/d/1xAsT4sUbBlom7l0acStESh_15nvjZcXjZM7fK5uZSq8/edit?usp=share_link"",""ชัยนาท!I723"")+IMPORTRANGE(""https://docs.google.com/spreadsheets/d/1vWPVBOAaZ6mHSI8yf"&amp;"95DNqHwTJ1cpeFsvqt6cxV34QA/edit?usp=share_link"",""ตราด!I723"")+IMPORTRANGE(""https://docs.google.com/spreadsheets/d/1phaeSb9lTGgzDpbvVqI9hfmOQQzUom07-HEvpbARzEg/edit?usp=share_link"",""นครนายก!I723"")+IMPORTRANGE(""https://docs.google.com/spreadsheets/d/"&amp;"1tpwhWwkqkBeiSWCcfB5f2fbwPRbM9hHOEDSDHpl2MIc/edit?usp=share_link"",""นครปฐม!I723"")+IMPORTRANGE(""https://docs.google.com/spreadsheets/d/1fJJCVBkBnhriyv0Cp5ZFMr0I_yrfdEITNpb4zILJgUQ/edit?usp=share_link"",""ปทุมธานี!I723"")+IMPORTRANGE(""https://docs.googl"&amp;"e.com/spreadsheets/d/1W5Jj_S0gYw6wSO7QcMI02YgyOBDKYgmm0NSUk-AQEac/edit?usp=share_link"",""ประจวบคีรีขันธ์!I723"")+IMPORTRANGE(""https://docs.google.com/spreadsheets/d/1nYxRXgnCfTXtqUY1otYuTlnrzE0Tn-Y0YRsW5pkRVqo/edit?usp=share_link"",""ปราจีนบุรี!I723"")+"&amp;"IMPORTRANGE(""https://docs.google.com/spreadsheets/d/1nNHCLO8ZAXOMfQvxux7cf_hrzPAh8FAvaHq_ClKbZNo/edit?usp=share_link"",""พระนครศรีอยุธยา!I723"")+IMPORTRANGE(""https://docs.google.com/spreadsheets/d/1CdNicvf3i6yt4tJlCePe3V1Va76wYqW0QzMzTsaGRrA/edit?usp=sh"&amp;"are_link"",""เพชรบุรี!I723"")+IMPORTRANGE(""https://docs.google.com/spreadsheets/d/1XiF77UIVHV0Kjc6xbXuOuJ10WgJYxd4p_22ngKVV5oM/edit?usp=share_link"",""ระยอง!I723"")+IMPORTRANGE(""https://docs.google.com/spreadsheets/d/1qU-W_9MCQD1pgIVXGEOjCFo9QqlmJywueby"&amp;"GgaN92r8/edit?usp=share_link"",""ราชบุรี!I723"")+IMPORTRANGE(""https://docs.google.com/spreadsheets/d/1xYFIxIM_CspAP5Q-5Zx_V0T_Ut3cjryrjd2hss28vGk/edit?usp=share_link"",""ลพบุรี!I723"")+IMPORTRANGE(""https://docs.google.com/spreadsheets/d/11s9m3tKsCBdPWq6"&amp;"syhZm27eBGbKneDLZc75co106bio/edit?usp=share_link"",""สระแก้ว!I723"")+IMPORTRANGE(""https://docs.google.com/spreadsheets/d/1Nn1EvsFPtXldgpgVb3Rcng2K2cls68LFQsBh2FyW0Bg/edit?usp=share_link"",""สระบุรี!I723"")+IMPORTRANGE(""https://docs.google.com/spreadshee"&amp;"ts/d/149xufxukrnEciK3WPbNpHwUK8BKEJxp3UcBG3Al6dA4/edit?usp=share_link"",""สิงห์บุรี!I723"")+IMPORTRANGE(""https://docs.google.com/spreadsheets/d/132g-zJpz2uMKimp17uOIx8A7o3w1Z25zwJyXnwsB56c/edit?usp=share_link"",""สุพรรณบุรี!I723"")+IMPORTRANGE(""https://"&amp;"docs.google.com/spreadsheets/d/12Q_U0nVnFdxDFwa0pej9xvx8ZvLC9Dpi_vRro_aiG5g/edit?usp=share_link"",""อ่างทอง!I723"")
"),202)</f>
        <v>202</v>
      </c>
      <c r="J723" s="37">
        <f ca="1">IFERROR(__xludf.DUMMYFUNCTION("IMPORTRANGE(""https://docs.google.com/spreadsheets/d/1hKO5uv94SSRZWOvrh72HRcpyoEQF9TsE_Cvxl77XNU4/edit?usp=share_link"",""กาญจนบุรี!J723"")+IMPORTRANGE(""https://docs.google.com/spreadsheets/d/1njBaP_xXd-Uotvo2D9zb01TTCFkLJLDK97Tk1l9Qux0/edit?usp=share_li"&amp;"nk"",""จันทบุรี!J723"")+IMPORTRANGE(""https://docs.google.com/spreadsheets/d/14xp6qUzrGFnUk_qnc1eEmfiaNRd4_grkhpfQH_46fa8/edit?usp=share_link"",""ฉะเชิงเทรา!J723"")+IMPORTRANGE(""https://docs.google.com/spreadsheets/d/1_Zwps30dlVa-pZFsorjVf1Pil6WXwzCsJU0U"&amp;"2whO3NI/edit?usp=share_link"",""ชลบุรี!J723"")+IMPORTRANGE(""https://docs.google.com/spreadsheets/d/1xAsT4sUbBlom7l0acStESh_15nvjZcXjZM7fK5uZSq8/edit?usp=share_link"",""ชัยนาท!J723"")+IMPORTRANGE(""https://docs.google.com/spreadsheets/d/1vWPVBOAaZ6mHSI8yf"&amp;"95DNqHwTJ1cpeFsvqt6cxV34QA/edit?usp=share_link"",""ตราด!J723"")+IMPORTRANGE(""https://docs.google.com/spreadsheets/d/1phaeSb9lTGgzDpbvVqI9hfmOQQzUom07-HEvpbARzEg/edit?usp=share_link"",""นครนายก!J723"")+IMPORTRANGE(""https://docs.google.com/spreadsheets/d/"&amp;"1tpwhWwkqkBeiSWCcfB5f2fbwPRbM9hHOEDSDHpl2MIc/edit?usp=share_link"",""นครปฐม!J723"")+IMPORTRANGE(""https://docs.google.com/spreadsheets/d/1fJJCVBkBnhriyv0Cp5ZFMr0I_yrfdEITNpb4zILJgUQ/edit?usp=share_link"",""ปทุมธานี!J723"")+IMPORTRANGE(""https://docs.googl"&amp;"e.com/spreadsheets/d/1W5Jj_S0gYw6wSO7QcMI02YgyOBDKYgmm0NSUk-AQEac/edit?usp=share_link"",""ประจวบคีรีขันธ์!J723"")+IMPORTRANGE(""https://docs.google.com/spreadsheets/d/1nYxRXgnCfTXtqUY1otYuTlnrzE0Tn-Y0YRsW5pkRVqo/edit?usp=share_link"",""ปราจีนบุรี!J723"")+"&amp;"IMPORTRANGE(""https://docs.google.com/spreadsheets/d/1nNHCLO8ZAXOMfQvxux7cf_hrzPAh8FAvaHq_ClKbZNo/edit?usp=share_link"",""พระนครศรีอยุธยา!J723"")+IMPORTRANGE(""https://docs.google.com/spreadsheets/d/1CdNicvf3i6yt4tJlCePe3V1Va76wYqW0QzMzTsaGRrA/edit?usp=sh"&amp;"are_link"",""เพชรบุรี!J723"")+IMPORTRANGE(""https://docs.google.com/spreadsheets/d/1XiF77UIVHV0Kjc6xbXuOuJ10WgJYxd4p_22ngKVV5oM/edit?usp=share_link"",""ระยอง!J723"")+IMPORTRANGE(""https://docs.google.com/spreadsheets/d/1qU-W_9MCQD1pgIVXGEOjCFo9QqlmJywueby"&amp;"GgaN92r8/edit?usp=share_link"",""ราชบุรี!J723"")+IMPORTRANGE(""https://docs.google.com/spreadsheets/d/1xYFIxIM_CspAP5Q-5Zx_V0T_Ut3cjryrjd2hss28vGk/edit?usp=share_link"",""ลพบุรี!J723"")+IMPORTRANGE(""https://docs.google.com/spreadsheets/d/11s9m3tKsCBdPWq6"&amp;"syhZm27eBGbKneDLZc75co106bio/edit?usp=share_link"",""สระแก้ว!J723"")+IMPORTRANGE(""https://docs.google.com/spreadsheets/d/1Nn1EvsFPtXldgpgVb3Rcng2K2cls68LFQsBh2FyW0Bg/edit?usp=share_link"",""สระบุรี!J723"")+IMPORTRANGE(""https://docs.google.com/spreadshee"&amp;"ts/d/149xufxukrnEciK3WPbNpHwUK8BKEJxp3UcBG3Al6dA4/edit?usp=share_link"",""สิงห์บุรี!J723"")+IMPORTRANGE(""https://docs.google.com/spreadsheets/d/132g-zJpz2uMKimp17uOIx8A7o3w1Z25zwJyXnwsB56c/edit?usp=share_link"",""สุพรรณบุรี!J723"")+IMPORTRANGE(""https://"&amp;"docs.google.com/spreadsheets/d/12Q_U0nVnFdxDFwa0pej9xvx8ZvLC9Dpi_vRro_aiG5g/edit?usp=share_link"",""อ่างทอง!J723"")
"),6)</f>
        <v>6</v>
      </c>
      <c r="K723" s="38">
        <f t="shared" ca="1" si="331"/>
        <v>2.9702970297029703</v>
      </c>
      <c r="L723" s="38"/>
      <c r="M723" s="189"/>
      <c r="N723" s="757"/>
      <c r="O723" s="38"/>
      <c r="P723" s="38"/>
      <c r="Q723" s="571"/>
      <c r="R723" s="571"/>
      <c r="S723" s="571"/>
      <c r="T723" s="571"/>
      <c r="U723" s="571"/>
      <c r="V723" s="571"/>
      <c r="W723" s="571"/>
      <c r="X723" s="571"/>
      <c r="Y723" s="571"/>
      <c r="Z723" s="571"/>
    </row>
    <row r="724" spans="1:26" ht="20.25" customHeight="1">
      <c r="A724" s="735"/>
      <c r="B724" s="569"/>
      <c r="C724" s="569"/>
      <c r="D724" s="569"/>
      <c r="E724" s="569"/>
      <c r="F724" s="569"/>
      <c r="G724" s="189"/>
      <c r="H724" s="182" t="s">
        <v>34</v>
      </c>
      <c r="I724" s="756"/>
      <c r="J724" s="37">
        <f ca="1">IFERROR(__xludf.DUMMYFUNCTION("IMPORTRANGE(""https://docs.google.com/spreadsheets/d/1hKO5uv94SSRZWOvrh72HRcpyoEQF9TsE_Cvxl77XNU4/edit?usp=share_link"",""กาญจนบุรี!J724"")+IMPORTRANGE(""https://docs.google.com/spreadsheets/d/1njBaP_xXd-Uotvo2D9zb01TTCFkLJLDK97Tk1l9Qux0/edit?usp=share_li"&amp;"nk"",""จันทบุรี!J724"")+IMPORTRANGE(""https://docs.google.com/spreadsheets/d/14xp6qUzrGFnUk_qnc1eEmfiaNRd4_grkhpfQH_46fa8/edit?usp=share_link"",""ฉะเชิงเทรา!J724"")+IMPORTRANGE(""https://docs.google.com/spreadsheets/d/1_Zwps30dlVa-pZFsorjVf1Pil6WXwzCsJU0U"&amp;"2whO3NI/edit?usp=share_link"",""ชลบุรี!J724"")+IMPORTRANGE(""https://docs.google.com/spreadsheets/d/1xAsT4sUbBlom7l0acStESh_15nvjZcXjZM7fK5uZSq8/edit?usp=share_link"",""ชัยนาท!J724"")+IMPORTRANGE(""https://docs.google.com/spreadsheets/d/1vWPVBOAaZ6mHSI8yf"&amp;"95DNqHwTJ1cpeFsvqt6cxV34QA/edit?usp=share_link"",""ตราด!J724"")+IMPORTRANGE(""https://docs.google.com/spreadsheets/d/1phaeSb9lTGgzDpbvVqI9hfmOQQzUom07-HEvpbARzEg/edit?usp=share_link"",""นครนายก!J724"")+IMPORTRANGE(""https://docs.google.com/spreadsheets/d/"&amp;"1tpwhWwkqkBeiSWCcfB5f2fbwPRbM9hHOEDSDHpl2MIc/edit?usp=share_link"",""นครปฐม!J724"")+IMPORTRANGE(""https://docs.google.com/spreadsheets/d/1fJJCVBkBnhriyv0Cp5ZFMr0I_yrfdEITNpb4zILJgUQ/edit?usp=share_link"",""ปทุมธานี!J724"")+IMPORTRANGE(""https://docs.googl"&amp;"e.com/spreadsheets/d/1W5Jj_S0gYw6wSO7QcMI02YgyOBDKYgmm0NSUk-AQEac/edit?usp=share_link"",""ประจวบคีรีขันธ์!J724"")+IMPORTRANGE(""https://docs.google.com/spreadsheets/d/1nYxRXgnCfTXtqUY1otYuTlnrzE0Tn-Y0YRsW5pkRVqo/edit?usp=share_link"",""ปราจีนบุรี!J724"")+"&amp;"IMPORTRANGE(""https://docs.google.com/spreadsheets/d/1nNHCLO8ZAXOMfQvxux7cf_hrzPAh8FAvaHq_ClKbZNo/edit?usp=share_link"",""พระนครศรีอยุธยา!J724"")+IMPORTRANGE(""https://docs.google.com/spreadsheets/d/1CdNicvf3i6yt4tJlCePe3V1Va76wYqW0QzMzTsaGRrA/edit?usp=sh"&amp;"are_link"",""เพชรบุรี!J724"")+IMPORTRANGE(""https://docs.google.com/spreadsheets/d/1XiF77UIVHV0Kjc6xbXuOuJ10WgJYxd4p_22ngKVV5oM/edit?usp=share_link"",""ระยอง!J724"")+IMPORTRANGE(""https://docs.google.com/spreadsheets/d/1qU-W_9MCQD1pgIVXGEOjCFo9QqlmJywueby"&amp;"GgaN92r8/edit?usp=share_link"",""ราชบุรี!J724"")+IMPORTRANGE(""https://docs.google.com/spreadsheets/d/1xYFIxIM_CspAP5Q-5Zx_V0T_Ut3cjryrjd2hss28vGk/edit?usp=share_link"",""ลพบุรี!J724"")+IMPORTRANGE(""https://docs.google.com/spreadsheets/d/11s9m3tKsCBdPWq6"&amp;"syhZm27eBGbKneDLZc75co106bio/edit?usp=share_link"",""สระแก้ว!J724"")+IMPORTRANGE(""https://docs.google.com/spreadsheets/d/1Nn1EvsFPtXldgpgVb3Rcng2K2cls68LFQsBh2FyW0Bg/edit?usp=share_link"",""สระบุรี!J724"")+IMPORTRANGE(""https://docs.google.com/spreadshee"&amp;"ts/d/149xufxukrnEciK3WPbNpHwUK8BKEJxp3UcBG3Al6dA4/edit?usp=share_link"",""สิงห์บุรี!J724"")+IMPORTRANGE(""https://docs.google.com/spreadsheets/d/132g-zJpz2uMKimp17uOIx8A7o3w1Z25zwJyXnwsB56c/edit?usp=share_link"",""สุพรรณบุรี!J724"")+IMPORTRANGE(""https://"&amp;"docs.google.com/spreadsheets/d/12Q_U0nVnFdxDFwa0pej9xvx8ZvLC9Dpi_vRro_aiG5g/edit?usp=share_link"",""อ่างทอง!J724"")
"),6)</f>
        <v>6</v>
      </c>
      <c r="K724" s="38"/>
      <c r="L724" s="757"/>
      <c r="M724" s="189"/>
      <c r="N724" s="757"/>
      <c r="O724" s="38"/>
      <c r="P724" s="38"/>
      <c r="Q724" s="571"/>
      <c r="R724" s="571"/>
      <c r="S724" s="571"/>
      <c r="T724" s="571"/>
      <c r="U724" s="571"/>
      <c r="V724" s="571"/>
      <c r="W724" s="571"/>
      <c r="X724" s="571"/>
      <c r="Y724" s="571"/>
      <c r="Z724" s="571"/>
    </row>
    <row r="725" spans="1:26" ht="20.25" customHeight="1">
      <c r="A725" s="735"/>
      <c r="B725" s="569"/>
      <c r="C725" s="569"/>
      <c r="D725" s="569"/>
      <c r="E725" s="569"/>
      <c r="F725" s="569"/>
      <c r="G725" s="189"/>
      <c r="H725" s="182" t="s">
        <v>46</v>
      </c>
      <c r="I725" s="756">
        <f ca="1">IFERROR(__xludf.DUMMYFUNCTION("IMPORTRANGE(""https://docs.google.com/spreadsheets/d/1hKO5uv94SSRZWOvrh72HRcpyoEQF9TsE_Cvxl77XNU4/edit?usp=share_link"",""กาญจนบุรี!I725"")+IMPORTRANGE(""https://docs.google.com/spreadsheets/d/1njBaP_xXd-Uotvo2D9zb01TTCFkLJLDK97Tk1l9Qux0/edit?usp=share_li"&amp;"nk"",""จันทบุรี!I725"")+IMPORTRANGE(""https://docs.google.com/spreadsheets/d/14xp6qUzrGFnUk_qnc1eEmfiaNRd4_grkhpfQH_46fa8/edit?usp=share_link"",""ฉะเชิงเทรา!I725"")+IMPORTRANGE(""https://docs.google.com/spreadsheets/d/1_Zwps30dlVa-pZFsorjVf1Pil6WXwzCsJU0U"&amp;"2whO3NI/edit?usp=share_link"",""ชลบุรี!I725"")+IMPORTRANGE(""https://docs.google.com/spreadsheets/d/1xAsT4sUbBlom7l0acStESh_15nvjZcXjZM7fK5uZSq8/edit?usp=share_link"",""ชัยนาท!I725"")+IMPORTRANGE(""https://docs.google.com/spreadsheets/d/1vWPVBOAaZ6mHSI8yf"&amp;"95DNqHwTJ1cpeFsvqt6cxV34QA/edit?usp=share_link"",""ตราด!I725"")+IMPORTRANGE(""https://docs.google.com/spreadsheets/d/1phaeSb9lTGgzDpbvVqI9hfmOQQzUom07-HEvpbARzEg/edit?usp=share_link"",""นครนายก!I725"")+IMPORTRANGE(""https://docs.google.com/spreadsheets/d/"&amp;"1tpwhWwkqkBeiSWCcfB5f2fbwPRbM9hHOEDSDHpl2MIc/edit?usp=share_link"",""นครปฐม!I725"")+IMPORTRANGE(""https://docs.google.com/spreadsheets/d/1fJJCVBkBnhriyv0Cp5ZFMr0I_yrfdEITNpb4zILJgUQ/edit?usp=share_link"",""ปทุมธานี!I725"")+IMPORTRANGE(""https://docs.googl"&amp;"e.com/spreadsheets/d/1W5Jj_S0gYw6wSO7QcMI02YgyOBDKYgmm0NSUk-AQEac/edit?usp=share_link"",""ประจวบคีรีขันธ์!I725"")+IMPORTRANGE(""https://docs.google.com/spreadsheets/d/1nYxRXgnCfTXtqUY1otYuTlnrzE0Tn-Y0YRsW5pkRVqo/edit?usp=share_link"",""ปราจีนบุรี!I725"")+"&amp;"IMPORTRANGE(""https://docs.google.com/spreadsheets/d/1nNHCLO8ZAXOMfQvxux7cf_hrzPAh8FAvaHq_ClKbZNo/edit?usp=share_link"",""พระนครศรีอยุธยา!I725"")+IMPORTRANGE(""https://docs.google.com/spreadsheets/d/1CdNicvf3i6yt4tJlCePe3V1Va76wYqW0QzMzTsaGRrA/edit?usp=sh"&amp;"are_link"",""เพชรบุรี!I725"")+IMPORTRANGE(""https://docs.google.com/spreadsheets/d/1XiF77UIVHV0Kjc6xbXuOuJ10WgJYxd4p_22ngKVV5oM/edit?usp=share_link"",""ระยอง!I725"")+IMPORTRANGE(""https://docs.google.com/spreadsheets/d/1qU-W_9MCQD1pgIVXGEOjCFo9QqlmJywueby"&amp;"GgaN92r8/edit?usp=share_link"",""ราชบุรี!I725"")+IMPORTRANGE(""https://docs.google.com/spreadsheets/d/1xYFIxIM_CspAP5Q-5Zx_V0T_Ut3cjryrjd2hss28vGk/edit?usp=share_link"",""ลพบุรี!I725"")+IMPORTRANGE(""https://docs.google.com/spreadsheets/d/11s9m3tKsCBdPWq6"&amp;"syhZm27eBGbKneDLZc75co106bio/edit?usp=share_link"",""สระแก้ว!I725"")+IMPORTRANGE(""https://docs.google.com/spreadsheets/d/1Nn1EvsFPtXldgpgVb3Rcng2K2cls68LFQsBh2FyW0Bg/edit?usp=share_link"",""สระบุรี!I725"")+IMPORTRANGE(""https://docs.google.com/spreadshee"&amp;"ts/d/149xufxukrnEciK3WPbNpHwUK8BKEJxp3UcBG3Al6dA4/edit?usp=share_link"",""สิงห์บุรี!I725"")+IMPORTRANGE(""https://docs.google.com/spreadsheets/d/132g-zJpz2uMKimp17uOIx8A7o3w1Z25zwJyXnwsB56c/edit?usp=share_link"",""สุพรรณบุรี!I725"")+IMPORTRANGE(""https://"&amp;"docs.google.com/spreadsheets/d/12Q_U0nVnFdxDFwa0pej9xvx8ZvLC9Dpi_vRro_aiG5g/edit?usp=share_link"",""อ่างทอง!I725"")
"),2168)</f>
        <v>2168</v>
      </c>
      <c r="J725" s="37">
        <f ca="1">IFERROR(__xludf.DUMMYFUNCTION("IMPORTRANGE(""https://docs.google.com/spreadsheets/d/1hKO5uv94SSRZWOvrh72HRcpyoEQF9TsE_Cvxl77XNU4/edit?usp=share_link"",""กาญจนบุรี!J725"")+IMPORTRANGE(""https://docs.google.com/spreadsheets/d/1njBaP_xXd-Uotvo2D9zb01TTCFkLJLDK97Tk1l9Qux0/edit?usp=share_li"&amp;"nk"",""จันทบุรี!J725"")+IMPORTRANGE(""https://docs.google.com/spreadsheets/d/14xp6qUzrGFnUk_qnc1eEmfiaNRd4_grkhpfQH_46fa8/edit?usp=share_link"",""ฉะเชิงเทรา!J725"")+IMPORTRANGE(""https://docs.google.com/spreadsheets/d/1_Zwps30dlVa-pZFsorjVf1Pil6WXwzCsJU0U"&amp;"2whO3NI/edit?usp=share_link"",""ชลบุรี!J725"")+IMPORTRANGE(""https://docs.google.com/spreadsheets/d/1xAsT4sUbBlom7l0acStESh_15nvjZcXjZM7fK5uZSq8/edit?usp=share_link"",""ชัยนาท!J725"")+IMPORTRANGE(""https://docs.google.com/spreadsheets/d/1vWPVBOAaZ6mHSI8yf"&amp;"95DNqHwTJ1cpeFsvqt6cxV34QA/edit?usp=share_link"",""ตราด!J725"")+IMPORTRANGE(""https://docs.google.com/spreadsheets/d/1phaeSb9lTGgzDpbvVqI9hfmOQQzUom07-HEvpbARzEg/edit?usp=share_link"",""นครนายก!J725"")+IMPORTRANGE(""https://docs.google.com/spreadsheets/d/"&amp;"1tpwhWwkqkBeiSWCcfB5f2fbwPRbM9hHOEDSDHpl2MIc/edit?usp=share_link"",""นครปฐม!J725"")+IMPORTRANGE(""https://docs.google.com/spreadsheets/d/1fJJCVBkBnhriyv0Cp5ZFMr0I_yrfdEITNpb4zILJgUQ/edit?usp=share_link"",""ปทุมธานี!J725"")+IMPORTRANGE(""https://docs.googl"&amp;"e.com/spreadsheets/d/1W5Jj_S0gYw6wSO7QcMI02YgyOBDKYgmm0NSUk-AQEac/edit?usp=share_link"",""ประจวบคีรีขันธ์!J725"")+IMPORTRANGE(""https://docs.google.com/spreadsheets/d/1nYxRXgnCfTXtqUY1otYuTlnrzE0Tn-Y0YRsW5pkRVqo/edit?usp=share_link"",""ปราจีนบุรี!J725"")+"&amp;"IMPORTRANGE(""https://docs.google.com/spreadsheets/d/1nNHCLO8ZAXOMfQvxux7cf_hrzPAh8FAvaHq_ClKbZNo/edit?usp=share_link"",""พระนครศรีอยุธยา!J725"")+IMPORTRANGE(""https://docs.google.com/spreadsheets/d/1CdNicvf3i6yt4tJlCePe3V1Va76wYqW0QzMzTsaGRrA/edit?usp=sh"&amp;"are_link"",""เพชรบุรี!J725"")+IMPORTRANGE(""https://docs.google.com/spreadsheets/d/1XiF77UIVHV0Kjc6xbXuOuJ10WgJYxd4p_22ngKVV5oM/edit?usp=share_link"",""ระยอง!J725"")+IMPORTRANGE(""https://docs.google.com/spreadsheets/d/1qU-W_9MCQD1pgIVXGEOjCFo9QqlmJywueby"&amp;"GgaN92r8/edit?usp=share_link"",""ราชบุรี!J725"")+IMPORTRANGE(""https://docs.google.com/spreadsheets/d/1xYFIxIM_CspAP5Q-5Zx_V0T_Ut3cjryrjd2hss28vGk/edit?usp=share_link"",""ลพบุรี!J725"")+IMPORTRANGE(""https://docs.google.com/spreadsheets/d/11s9m3tKsCBdPWq6"&amp;"syhZm27eBGbKneDLZc75co106bio/edit?usp=share_link"",""สระแก้ว!J725"")+IMPORTRANGE(""https://docs.google.com/spreadsheets/d/1Nn1EvsFPtXldgpgVb3Rcng2K2cls68LFQsBh2FyW0Bg/edit?usp=share_link"",""สระบุรี!J725"")+IMPORTRANGE(""https://docs.google.com/spreadshee"&amp;"ts/d/149xufxukrnEciK3WPbNpHwUK8BKEJxp3UcBG3Al6dA4/edit?usp=share_link"",""สิงห์บุรี!J725"")+IMPORTRANGE(""https://docs.google.com/spreadsheets/d/132g-zJpz2uMKimp17uOIx8A7o3w1Z25zwJyXnwsB56c/edit?usp=share_link"",""สุพรรณบุรี!J725"")+IMPORTRANGE(""https://"&amp;"docs.google.com/spreadsheets/d/12Q_U0nVnFdxDFwa0pej9xvx8ZvLC9Dpi_vRro_aiG5g/edit?usp=share_link"",""อ่างทอง!J725"")
"),81.35)</f>
        <v>81.349999999999994</v>
      </c>
      <c r="K725" s="38">
        <f t="shared" ref="K725:K726" ca="1" si="332">IF(I725&gt;0,J725*100/I725,0)</f>
        <v>3.7523062730627301</v>
      </c>
      <c r="L725" s="757"/>
      <c r="M725" s="189"/>
      <c r="N725" s="757"/>
      <c r="O725" s="38"/>
      <c r="P725" s="38"/>
      <c r="Q725" s="571"/>
      <c r="R725" s="571"/>
      <c r="S725" s="571"/>
      <c r="T725" s="571"/>
      <c r="U725" s="571"/>
      <c r="V725" s="571"/>
      <c r="W725" s="571"/>
      <c r="X725" s="571"/>
      <c r="Y725" s="571"/>
      <c r="Z725" s="571"/>
    </row>
    <row r="726" spans="1:26" ht="20.25" customHeight="1">
      <c r="A726" s="735"/>
      <c r="B726" s="569"/>
      <c r="C726" s="569"/>
      <c r="D726" s="569"/>
      <c r="E726" s="570" t="s">
        <v>307</v>
      </c>
      <c r="F726" s="569"/>
      <c r="G726" s="189"/>
      <c r="H726" s="182" t="s">
        <v>35</v>
      </c>
      <c r="I726" s="756">
        <f ca="1">IFERROR(__xludf.DUMMYFUNCTION("IMPORTRANGE(""https://docs.google.com/spreadsheets/d/1hKO5uv94SSRZWOvrh72HRcpyoEQF9TsE_Cvxl77XNU4/edit?usp=share_link"",""กาญจนบุรี!I726"")+IMPORTRANGE(""https://docs.google.com/spreadsheets/d/1njBaP_xXd-Uotvo2D9zb01TTCFkLJLDK97Tk1l9Qux0/edit?usp=share_li"&amp;"nk"",""จันทบุรี!I726"")+IMPORTRANGE(""https://docs.google.com/spreadsheets/d/14xp6qUzrGFnUk_qnc1eEmfiaNRd4_grkhpfQH_46fa8/edit?usp=share_link"",""ฉะเชิงเทรา!I726"")+IMPORTRANGE(""https://docs.google.com/spreadsheets/d/1_Zwps30dlVa-pZFsorjVf1Pil6WXwzCsJU0U"&amp;"2whO3NI/edit?usp=share_link"",""ชลบุรี!I726"")+IMPORTRANGE(""https://docs.google.com/spreadsheets/d/1xAsT4sUbBlom7l0acStESh_15nvjZcXjZM7fK5uZSq8/edit?usp=share_link"",""ชัยนาท!I726"")+IMPORTRANGE(""https://docs.google.com/spreadsheets/d/1vWPVBOAaZ6mHSI8yf"&amp;"95DNqHwTJ1cpeFsvqt6cxV34QA/edit?usp=share_link"",""ตราด!I726"")+IMPORTRANGE(""https://docs.google.com/spreadsheets/d/1phaeSb9lTGgzDpbvVqI9hfmOQQzUom07-HEvpbARzEg/edit?usp=share_link"",""นครนายก!I726"")+IMPORTRANGE(""https://docs.google.com/spreadsheets/d/"&amp;"1tpwhWwkqkBeiSWCcfB5f2fbwPRbM9hHOEDSDHpl2MIc/edit?usp=share_link"",""นครปฐม!I726"")+IMPORTRANGE(""https://docs.google.com/spreadsheets/d/1fJJCVBkBnhriyv0Cp5ZFMr0I_yrfdEITNpb4zILJgUQ/edit?usp=share_link"",""ปทุมธานี!I726"")+IMPORTRANGE(""https://docs.googl"&amp;"e.com/spreadsheets/d/1W5Jj_S0gYw6wSO7QcMI02YgyOBDKYgmm0NSUk-AQEac/edit?usp=share_link"",""ประจวบคีรีขันธ์!I726"")+IMPORTRANGE(""https://docs.google.com/spreadsheets/d/1nYxRXgnCfTXtqUY1otYuTlnrzE0Tn-Y0YRsW5pkRVqo/edit?usp=share_link"",""ปราจีนบุรี!I726"")+"&amp;"IMPORTRANGE(""https://docs.google.com/spreadsheets/d/1nNHCLO8ZAXOMfQvxux7cf_hrzPAh8FAvaHq_ClKbZNo/edit?usp=share_link"",""พระนครศรีอยุธยา!I726"")+IMPORTRANGE(""https://docs.google.com/spreadsheets/d/1CdNicvf3i6yt4tJlCePe3V1Va76wYqW0QzMzTsaGRrA/edit?usp=sh"&amp;"are_link"",""เพชรบุรี!I726"")+IMPORTRANGE(""https://docs.google.com/spreadsheets/d/1XiF77UIVHV0Kjc6xbXuOuJ10WgJYxd4p_22ngKVV5oM/edit?usp=share_link"",""ระยอง!I726"")+IMPORTRANGE(""https://docs.google.com/spreadsheets/d/1qU-W_9MCQD1pgIVXGEOjCFo9QqlmJywueby"&amp;"GgaN92r8/edit?usp=share_link"",""ราชบุรี!I726"")+IMPORTRANGE(""https://docs.google.com/spreadsheets/d/1xYFIxIM_CspAP5Q-5Zx_V0T_Ut3cjryrjd2hss28vGk/edit?usp=share_link"",""ลพบุรี!I726"")+IMPORTRANGE(""https://docs.google.com/spreadsheets/d/11s9m3tKsCBdPWq6"&amp;"syhZm27eBGbKneDLZc75co106bio/edit?usp=share_link"",""สระแก้ว!I726"")+IMPORTRANGE(""https://docs.google.com/spreadsheets/d/1Nn1EvsFPtXldgpgVb3Rcng2K2cls68LFQsBh2FyW0Bg/edit?usp=share_link"",""สระบุรี!I726"")+IMPORTRANGE(""https://docs.google.com/spreadshee"&amp;"ts/d/149xufxukrnEciK3WPbNpHwUK8BKEJxp3UcBG3Al6dA4/edit?usp=share_link"",""สิงห์บุรี!I726"")+IMPORTRANGE(""https://docs.google.com/spreadsheets/d/132g-zJpz2uMKimp17uOIx8A7o3w1Z25zwJyXnwsB56c/edit?usp=share_link"",""สุพรรณบุรี!I726"")+IMPORTRANGE(""https://"&amp;"docs.google.com/spreadsheets/d/12Q_U0nVnFdxDFwa0pej9xvx8ZvLC9Dpi_vRro_aiG5g/edit?usp=share_link"",""อ่างทอง!I726"")
"),72)</f>
        <v>72</v>
      </c>
      <c r="J726" s="37">
        <f ca="1">IFERROR(__xludf.DUMMYFUNCTION("IMPORTRANGE(""https://docs.google.com/spreadsheets/d/1hKO5uv94SSRZWOvrh72HRcpyoEQF9TsE_Cvxl77XNU4/edit?usp=share_link"",""กาญจนบุรี!J726"")+IMPORTRANGE(""https://docs.google.com/spreadsheets/d/1njBaP_xXd-Uotvo2D9zb01TTCFkLJLDK97Tk1l9Qux0/edit?usp=share_li"&amp;"nk"",""จันทบุรี!J726"")+IMPORTRANGE(""https://docs.google.com/spreadsheets/d/14xp6qUzrGFnUk_qnc1eEmfiaNRd4_grkhpfQH_46fa8/edit?usp=share_link"",""ฉะเชิงเทรา!J726"")+IMPORTRANGE(""https://docs.google.com/spreadsheets/d/1_Zwps30dlVa-pZFsorjVf1Pil6WXwzCsJU0U"&amp;"2whO3NI/edit?usp=share_link"",""ชลบุรี!J726"")+IMPORTRANGE(""https://docs.google.com/spreadsheets/d/1xAsT4sUbBlom7l0acStESh_15nvjZcXjZM7fK5uZSq8/edit?usp=share_link"",""ชัยนาท!J726"")+IMPORTRANGE(""https://docs.google.com/spreadsheets/d/1vWPVBOAaZ6mHSI8yf"&amp;"95DNqHwTJ1cpeFsvqt6cxV34QA/edit?usp=share_link"",""ตราด!J726"")+IMPORTRANGE(""https://docs.google.com/spreadsheets/d/1phaeSb9lTGgzDpbvVqI9hfmOQQzUom07-HEvpbARzEg/edit?usp=share_link"",""นครนายก!J726"")+IMPORTRANGE(""https://docs.google.com/spreadsheets/d/"&amp;"1tpwhWwkqkBeiSWCcfB5f2fbwPRbM9hHOEDSDHpl2MIc/edit?usp=share_link"",""นครปฐม!J726"")+IMPORTRANGE(""https://docs.google.com/spreadsheets/d/1fJJCVBkBnhriyv0Cp5ZFMr0I_yrfdEITNpb4zILJgUQ/edit?usp=share_link"",""ปทุมธานี!J726"")+IMPORTRANGE(""https://docs.googl"&amp;"e.com/spreadsheets/d/1W5Jj_S0gYw6wSO7QcMI02YgyOBDKYgmm0NSUk-AQEac/edit?usp=share_link"",""ประจวบคีรีขันธ์!J726"")+IMPORTRANGE(""https://docs.google.com/spreadsheets/d/1nYxRXgnCfTXtqUY1otYuTlnrzE0Tn-Y0YRsW5pkRVqo/edit?usp=share_link"",""ปราจีนบุรี!J726"")+"&amp;"IMPORTRANGE(""https://docs.google.com/spreadsheets/d/1nNHCLO8ZAXOMfQvxux7cf_hrzPAh8FAvaHq_ClKbZNo/edit?usp=share_link"",""พระนครศรีอยุธยา!J726"")+IMPORTRANGE(""https://docs.google.com/spreadsheets/d/1CdNicvf3i6yt4tJlCePe3V1Va76wYqW0QzMzTsaGRrA/edit?usp=sh"&amp;"are_link"",""เพชรบุรี!J726"")+IMPORTRANGE(""https://docs.google.com/spreadsheets/d/1XiF77UIVHV0Kjc6xbXuOuJ10WgJYxd4p_22ngKVV5oM/edit?usp=share_link"",""ระยอง!J726"")+IMPORTRANGE(""https://docs.google.com/spreadsheets/d/1qU-W_9MCQD1pgIVXGEOjCFo9QqlmJywueby"&amp;"GgaN92r8/edit?usp=share_link"",""ราชบุรี!J726"")+IMPORTRANGE(""https://docs.google.com/spreadsheets/d/1xYFIxIM_CspAP5Q-5Zx_V0T_Ut3cjryrjd2hss28vGk/edit?usp=share_link"",""ลพบุรี!J726"")+IMPORTRANGE(""https://docs.google.com/spreadsheets/d/11s9m3tKsCBdPWq6"&amp;"syhZm27eBGbKneDLZc75co106bio/edit?usp=share_link"",""สระแก้ว!J726"")+IMPORTRANGE(""https://docs.google.com/spreadsheets/d/1Nn1EvsFPtXldgpgVb3Rcng2K2cls68LFQsBh2FyW0Bg/edit?usp=share_link"",""สระบุรี!J726"")+IMPORTRANGE(""https://docs.google.com/spreadshee"&amp;"ts/d/149xufxukrnEciK3WPbNpHwUK8BKEJxp3UcBG3Al6dA4/edit?usp=share_link"",""สิงห์บุรี!J726"")+IMPORTRANGE(""https://docs.google.com/spreadsheets/d/132g-zJpz2uMKimp17uOIx8A7o3w1Z25zwJyXnwsB56c/edit?usp=share_link"",""สุพรรณบุรี!J726"")+IMPORTRANGE(""https://"&amp;"docs.google.com/spreadsheets/d/12Q_U0nVnFdxDFwa0pej9xvx8ZvLC9Dpi_vRro_aiG5g/edit?usp=share_link"",""อ่างทอง!J726"")
"),5)</f>
        <v>5</v>
      </c>
      <c r="K726" s="38">
        <f t="shared" ca="1" si="332"/>
        <v>6.9444444444444446</v>
      </c>
      <c r="L726" s="38"/>
      <c r="M726" s="189"/>
      <c r="N726" s="757"/>
      <c r="O726" s="38"/>
      <c r="P726" s="38"/>
      <c r="Q726" s="571"/>
      <c r="R726" s="571"/>
      <c r="S726" s="571"/>
      <c r="T726" s="571"/>
      <c r="U726" s="571"/>
      <c r="V726" s="571"/>
      <c r="W726" s="571"/>
      <c r="X726" s="571"/>
      <c r="Y726" s="571"/>
      <c r="Z726" s="571"/>
    </row>
    <row r="727" spans="1:26" ht="20.25" customHeight="1">
      <c r="A727" s="735"/>
      <c r="B727" s="569"/>
      <c r="C727" s="569"/>
      <c r="D727" s="569"/>
      <c r="E727" s="569"/>
      <c r="F727" s="569"/>
      <c r="G727" s="189"/>
      <c r="H727" s="182" t="s">
        <v>34</v>
      </c>
      <c r="I727" s="756"/>
      <c r="J727" s="37">
        <f ca="1">IFERROR(__xludf.DUMMYFUNCTION("IMPORTRANGE(""https://docs.google.com/spreadsheets/d/1hKO5uv94SSRZWOvrh72HRcpyoEQF9TsE_Cvxl77XNU4/edit?usp=share_link"",""กาญจนบุรี!J727"")+IMPORTRANGE(""https://docs.google.com/spreadsheets/d/1njBaP_xXd-Uotvo2D9zb01TTCFkLJLDK97Tk1l9Qux0/edit?usp=share_li"&amp;"nk"",""จันทบุรี!J727"")+IMPORTRANGE(""https://docs.google.com/spreadsheets/d/14xp6qUzrGFnUk_qnc1eEmfiaNRd4_grkhpfQH_46fa8/edit?usp=share_link"",""ฉะเชิงเทรา!J727"")+IMPORTRANGE(""https://docs.google.com/spreadsheets/d/1_Zwps30dlVa-pZFsorjVf1Pil6WXwzCsJU0U"&amp;"2whO3NI/edit?usp=share_link"",""ชลบุรี!J727"")+IMPORTRANGE(""https://docs.google.com/spreadsheets/d/1xAsT4sUbBlom7l0acStESh_15nvjZcXjZM7fK5uZSq8/edit?usp=share_link"",""ชัยนาท!J727"")+IMPORTRANGE(""https://docs.google.com/spreadsheets/d/1vWPVBOAaZ6mHSI8yf"&amp;"95DNqHwTJ1cpeFsvqt6cxV34QA/edit?usp=share_link"",""ตราด!J727"")+IMPORTRANGE(""https://docs.google.com/spreadsheets/d/1phaeSb9lTGgzDpbvVqI9hfmOQQzUom07-HEvpbARzEg/edit?usp=share_link"",""นครนายก!J727"")+IMPORTRANGE(""https://docs.google.com/spreadsheets/d/"&amp;"1tpwhWwkqkBeiSWCcfB5f2fbwPRbM9hHOEDSDHpl2MIc/edit?usp=share_link"",""นครปฐม!J727"")+IMPORTRANGE(""https://docs.google.com/spreadsheets/d/1fJJCVBkBnhriyv0Cp5ZFMr0I_yrfdEITNpb4zILJgUQ/edit?usp=share_link"",""ปทุมธานี!J727"")+IMPORTRANGE(""https://docs.googl"&amp;"e.com/spreadsheets/d/1W5Jj_S0gYw6wSO7QcMI02YgyOBDKYgmm0NSUk-AQEac/edit?usp=share_link"",""ประจวบคีรีขันธ์!J727"")+IMPORTRANGE(""https://docs.google.com/spreadsheets/d/1nYxRXgnCfTXtqUY1otYuTlnrzE0Tn-Y0YRsW5pkRVqo/edit?usp=share_link"",""ปราจีนบุรี!J727"")+"&amp;"IMPORTRANGE(""https://docs.google.com/spreadsheets/d/1nNHCLO8ZAXOMfQvxux7cf_hrzPAh8FAvaHq_ClKbZNo/edit?usp=share_link"",""พระนครศรีอยุธยา!J727"")+IMPORTRANGE(""https://docs.google.com/spreadsheets/d/1CdNicvf3i6yt4tJlCePe3V1Va76wYqW0QzMzTsaGRrA/edit?usp=sh"&amp;"are_link"",""เพชรบุรี!J727"")+IMPORTRANGE(""https://docs.google.com/spreadsheets/d/1XiF77UIVHV0Kjc6xbXuOuJ10WgJYxd4p_22ngKVV5oM/edit?usp=share_link"",""ระยอง!J727"")+IMPORTRANGE(""https://docs.google.com/spreadsheets/d/1qU-W_9MCQD1pgIVXGEOjCFo9QqlmJywueby"&amp;"GgaN92r8/edit?usp=share_link"",""ราชบุรี!J727"")+IMPORTRANGE(""https://docs.google.com/spreadsheets/d/1xYFIxIM_CspAP5Q-5Zx_V0T_Ut3cjryrjd2hss28vGk/edit?usp=share_link"",""ลพบุรี!J727"")+IMPORTRANGE(""https://docs.google.com/spreadsheets/d/11s9m3tKsCBdPWq6"&amp;"syhZm27eBGbKneDLZc75co106bio/edit?usp=share_link"",""สระแก้ว!J727"")+IMPORTRANGE(""https://docs.google.com/spreadsheets/d/1Nn1EvsFPtXldgpgVb3Rcng2K2cls68LFQsBh2FyW0Bg/edit?usp=share_link"",""สระบุรี!J727"")+IMPORTRANGE(""https://docs.google.com/spreadshee"&amp;"ts/d/149xufxukrnEciK3WPbNpHwUK8BKEJxp3UcBG3Al6dA4/edit?usp=share_link"",""สิงห์บุรี!J727"")+IMPORTRANGE(""https://docs.google.com/spreadsheets/d/132g-zJpz2uMKimp17uOIx8A7o3w1Z25zwJyXnwsB56c/edit?usp=share_link"",""สุพรรณบุรี!J727"")+IMPORTRANGE(""https://"&amp;"docs.google.com/spreadsheets/d/12Q_U0nVnFdxDFwa0pej9xvx8ZvLC9Dpi_vRro_aiG5g/edit?usp=share_link"",""อ่างทอง!J727"")
"),5)</f>
        <v>5</v>
      </c>
      <c r="K727" s="38"/>
      <c r="L727" s="757"/>
      <c r="M727" s="189"/>
      <c r="N727" s="757"/>
      <c r="O727" s="38"/>
      <c r="P727" s="38"/>
      <c r="Q727" s="571"/>
      <c r="R727" s="571"/>
      <c r="S727" s="571"/>
      <c r="T727" s="571"/>
      <c r="U727" s="571"/>
      <c r="V727" s="571"/>
      <c r="W727" s="571"/>
      <c r="X727" s="571"/>
      <c r="Y727" s="571"/>
      <c r="Z727" s="571"/>
    </row>
    <row r="728" spans="1:26" ht="20.25" customHeight="1">
      <c r="A728" s="735"/>
      <c r="B728" s="569"/>
      <c r="C728" s="569"/>
      <c r="D728" s="569"/>
      <c r="E728" s="569"/>
      <c r="F728" s="569"/>
      <c r="G728" s="189"/>
      <c r="H728" s="182" t="s">
        <v>46</v>
      </c>
      <c r="I728" s="756">
        <f ca="1">IFERROR(__xludf.DUMMYFUNCTION("IMPORTRANGE(""https://docs.google.com/spreadsheets/d/1hKO5uv94SSRZWOvrh72HRcpyoEQF9TsE_Cvxl77XNU4/edit?usp=share_link"",""กาญจนบุรี!I728"")+IMPORTRANGE(""https://docs.google.com/spreadsheets/d/1njBaP_xXd-Uotvo2D9zb01TTCFkLJLDK97Tk1l9Qux0/edit?usp=share_li"&amp;"nk"",""จันทบุรี!I728"")+IMPORTRANGE(""https://docs.google.com/spreadsheets/d/14xp6qUzrGFnUk_qnc1eEmfiaNRd4_grkhpfQH_46fa8/edit?usp=share_link"",""ฉะเชิงเทรา!I728"")+IMPORTRANGE(""https://docs.google.com/spreadsheets/d/1_Zwps30dlVa-pZFsorjVf1Pil6WXwzCsJU0U"&amp;"2whO3NI/edit?usp=share_link"",""ชลบุรี!I728"")+IMPORTRANGE(""https://docs.google.com/spreadsheets/d/1xAsT4sUbBlom7l0acStESh_15nvjZcXjZM7fK5uZSq8/edit?usp=share_link"",""ชัยนาท!I728"")+IMPORTRANGE(""https://docs.google.com/spreadsheets/d/1vWPVBOAaZ6mHSI8yf"&amp;"95DNqHwTJ1cpeFsvqt6cxV34QA/edit?usp=share_link"",""ตราด!I728"")+IMPORTRANGE(""https://docs.google.com/spreadsheets/d/1phaeSb9lTGgzDpbvVqI9hfmOQQzUom07-HEvpbARzEg/edit?usp=share_link"",""นครนายก!I728"")+IMPORTRANGE(""https://docs.google.com/spreadsheets/d/"&amp;"1tpwhWwkqkBeiSWCcfB5f2fbwPRbM9hHOEDSDHpl2MIc/edit?usp=share_link"",""นครปฐม!I728"")+IMPORTRANGE(""https://docs.google.com/spreadsheets/d/1fJJCVBkBnhriyv0Cp5ZFMr0I_yrfdEITNpb4zILJgUQ/edit?usp=share_link"",""ปทุมธานี!I728"")+IMPORTRANGE(""https://docs.googl"&amp;"e.com/spreadsheets/d/1W5Jj_S0gYw6wSO7QcMI02YgyOBDKYgmm0NSUk-AQEac/edit?usp=share_link"",""ประจวบคีรีขันธ์!I728"")+IMPORTRANGE(""https://docs.google.com/spreadsheets/d/1nYxRXgnCfTXtqUY1otYuTlnrzE0Tn-Y0YRsW5pkRVqo/edit?usp=share_link"",""ปราจีนบุรี!I728"")+"&amp;"IMPORTRANGE(""https://docs.google.com/spreadsheets/d/1nNHCLO8ZAXOMfQvxux7cf_hrzPAh8FAvaHq_ClKbZNo/edit?usp=share_link"",""พระนครศรีอยุธยา!I728"")+IMPORTRANGE(""https://docs.google.com/spreadsheets/d/1CdNicvf3i6yt4tJlCePe3V1Va76wYqW0QzMzTsaGRrA/edit?usp=sh"&amp;"are_link"",""เพชรบุรี!I728"")+IMPORTRANGE(""https://docs.google.com/spreadsheets/d/1XiF77UIVHV0Kjc6xbXuOuJ10WgJYxd4p_22ngKVV5oM/edit?usp=share_link"",""ระยอง!I728"")+IMPORTRANGE(""https://docs.google.com/spreadsheets/d/1qU-W_9MCQD1pgIVXGEOjCFo9QqlmJywueby"&amp;"GgaN92r8/edit?usp=share_link"",""ราชบุรี!I728"")+IMPORTRANGE(""https://docs.google.com/spreadsheets/d/1xYFIxIM_CspAP5Q-5Zx_V0T_Ut3cjryrjd2hss28vGk/edit?usp=share_link"",""ลพบุรี!I728"")+IMPORTRANGE(""https://docs.google.com/spreadsheets/d/11s9m3tKsCBdPWq6"&amp;"syhZm27eBGbKneDLZc75co106bio/edit?usp=share_link"",""สระแก้ว!I728"")+IMPORTRANGE(""https://docs.google.com/spreadsheets/d/1Nn1EvsFPtXldgpgVb3Rcng2K2cls68LFQsBh2FyW0Bg/edit?usp=share_link"",""สระบุรี!I728"")+IMPORTRANGE(""https://docs.google.com/spreadshee"&amp;"ts/d/149xufxukrnEciK3WPbNpHwUK8BKEJxp3UcBG3Al6dA4/edit?usp=share_link"",""สิงห์บุรี!I728"")+IMPORTRANGE(""https://docs.google.com/spreadsheets/d/132g-zJpz2uMKimp17uOIx8A7o3w1Z25zwJyXnwsB56c/edit?usp=share_link"",""สุพรรณบุรี!I728"")+IMPORTRANGE(""https://"&amp;"docs.google.com/spreadsheets/d/12Q_U0nVnFdxDFwa0pej9xvx8ZvLC9Dpi_vRro_aiG5g/edit?usp=share_link"",""อ่างทอง!I728"")
"),703)</f>
        <v>703</v>
      </c>
      <c r="J728" s="37">
        <f ca="1">IFERROR(__xludf.DUMMYFUNCTION("IMPORTRANGE(""https://docs.google.com/spreadsheets/d/1hKO5uv94SSRZWOvrh72HRcpyoEQF9TsE_Cvxl77XNU4/edit?usp=share_link"",""กาญจนบุรี!J728"")+IMPORTRANGE(""https://docs.google.com/spreadsheets/d/1njBaP_xXd-Uotvo2D9zb01TTCFkLJLDK97Tk1l9Qux0/edit?usp=share_li"&amp;"nk"",""จันทบุรี!J728"")+IMPORTRANGE(""https://docs.google.com/spreadsheets/d/14xp6qUzrGFnUk_qnc1eEmfiaNRd4_grkhpfQH_46fa8/edit?usp=share_link"",""ฉะเชิงเทรา!J728"")+IMPORTRANGE(""https://docs.google.com/spreadsheets/d/1_Zwps30dlVa-pZFsorjVf1Pil6WXwzCsJU0U"&amp;"2whO3NI/edit?usp=share_link"",""ชลบุรี!J728"")+IMPORTRANGE(""https://docs.google.com/spreadsheets/d/1xAsT4sUbBlom7l0acStESh_15nvjZcXjZM7fK5uZSq8/edit?usp=share_link"",""ชัยนาท!J728"")+IMPORTRANGE(""https://docs.google.com/spreadsheets/d/1vWPVBOAaZ6mHSI8yf"&amp;"95DNqHwTJ1cpeFsvqt6cxV34QA/edit?usp=share_link"",""ตราด!J728"")+IMPORTRANGE(""https://docs.google.com/spreadsheets/d/1phaeSb9lTGgzDpbvVqI9hfmOQQzUom07-HEvpbARzEg/edit?usp=share_link"",""นครนายก!J728"")+IMPORTRANGE(""https://docs.google.com/spreadsheets/d/"&amp;"1tpwhWwkqkBeiSWCcfB5f2fbwPRbM9hHOEDSDHpl2MIc/edit?usp=share_link"",""นครปฐม!J728"")+IMPORTRANGE(""https://docs.google.com/spreadsheets/d/1fJJCVBkBnhriyv0Cp5ZFMr0I_yrfdEITNpb4zILJgUQ/edit?usp=share_link"",""ปทุมธานี!J728"")+IMPORTRANGE(""https://docs.googl"&amp;"e.com/spreadsheets/d/1W5Jj_S0gYw6wSO7QcMI02YgyOBDKYgmm0NSUk-AQEac/edit?usp=share_link"",""ประจวบคีรีขันธ์!J728"")+IMPORTRANGE(""https://docs.google.com/spreadsheets/d/1nYxRXgnCfTXtqUY1otYuTlnrzE0Tn-Y0YRsW5pkRVqo/edit?usp=share_link"",""ปราจีนบุรี!J728"")+"&amp;"IMPORTRANGE(""https://docs.google.com/spreadsheets/d/1nNHCLO8ZAXOMfQvxux7cf_hrzPAh8FAvaHq_ClKbZNo/edit?usp=share_link"",""พระนครศรีอยุธยา!J728"")+IMPORTRANGE(""https://docs.google.com/spreadsheets/d/1CdNicvf3i6yt4tJlCePe3V1Va76wYqW0QzMzTsaGRrA/edit?usp=sh"&amp;"are_link"",""เพชรบุรี!J728"")+IMPORTRANGE(""https://docs.google.com/spreadsheets/d/1XiF77UIVHV0Kjc6xbXuOuJ10WgJYxd4p_22ngKVV5oM/edit?usp=share_link"",""ระยอง!J728"")+IMPORTRANGE(""https://docs.google.com/spreadsheets/d/1qU-W_9MCQD1pgIVXGEOjCFo9QqlmJywueby"&amp;"GgaN92r8/edit?usp=share_link"",""ราชบุรี!J728"")+IMPORTRANGE(""https://docs.google.com/spreadsheets/d/1xYFIxIM_CspAP5Q-5Zx_V0T_Ut3cjryrjd2hss28vGk/edit?usp=share_link"",""ลพบุรี!J728"")+IMPORTRANGE(""https://docs.google.com/spreadsheets/d/11s9m3tKsCBdPWq6"&amp;"syhZm27eBGbKneDLZc75co106bio/edit?usp=share_link"",""สระแก้ว!J728"")+IMPORTRANGE(""https://docs.google.com/spreadsheets/d/1Nn1EvsFPtXldgpgVb3Rcng2K2cls68LFQsBh2FyW0Bg/edit?usp=share_link"",""สระบุรี!J728"")+IMPORTRANGE(""https://docs.google.com/spreadshee"&amp;"ts/d/149xufxukrnEciK3WPbNpHwUK8BKEJxp3UcBG3Al6dA4/edit?usp=share_link"",""สิงห์บุรี!J728"")+IMPORTRANGE(""https://docs.google.com/spreadsheets/d/132g-zJpz2uMKimp17uOIx8A7o3w1Z25zwJyXnwsB56c/edit?usp=share_link"",""สุพรรณบุรี!J728"")+IMPORTRANGE(""https://"&amp;"docs.google.com/spreadsheets/d/12Q_U0nVnFdxDFwa0pej9xvx8ZvLC9Dpi_vRro_aiG5g/edit?usp=share_link"",""อ่างทอง!J728"")
"),9.7)</f>
        <v>9.6999999999999993</v>
      </c>
      <c r="K728" s="38">
        <f t="shared" ref="K728:K729" ca="1" si="333">IF(I728&gt;0,J728*100/I728,0)</f>
        <v>1.3798008534850639</v>
      </c>
      <c r="L728" s="757"/>
      <c r="M728" s="189"/>
      <c r="N728" s="757"/>
      <c r="O728" s="38"/>
      <c r="P728" s="38"/>
      <c r="Q728" s="571"/>
      <c r="R728" s="571"/>
      <c r="S728" s="571"/>
      <c r="T728" s="571"/>
      <c r="U728" s="571"/>
      <c r="V728" s="571"/>
      <c r="W728" s="571"/>
      <c r="X728" s="571"/>
      <c r="Y728" s="571"/>
      <c r="Z728" s="571"/>
    </row>
    <row r="729" spans="1:26" ht="20.25" customHeight="1">
      <c r="A729" s="735"/>
      <c r="B729" s="569"/>
      <c r="C729" s="569"/>
      <c r="D729" s="570" t="s">
        <v>308</v>
      </c>
      <c r="E729" s="569"/>
      <c r="F729" s="569"/>
      <c r="G729" s="189"/>
      <c r="H729" s="192" t="s">
        <v>46</v>
      </c>
      <c r="I729" s="759">
        <f ca="1">IFERROR(__xludf.DUMMYFUNCTION("IMPORTRANGE(""https://docs.google.com/spreadsheets/d/1hKO5uv94SSRZWOvrh72HRcpyoEQF9TsE_Cvxl77XNU4/edit?usp=share_link"",""กาญจนบุรี!I729"")+IMPORTRANGE(""https://docs.google.com/spreadsheets/d/1njBaP_xXd-Uotvo2D9zb01TTCFkLJLDK97Tk1l9Qux0/edit?usp=share_li"&amp;"nk"",""จันทบุรี!I729"")+IMPORTRANGE(""https://docs.google.com/spreadsheets/d/14xp6qUzrGFnUk_qnc1eEmfiaNRd4_grkhpfQH_46fa8/edit?usp=share_link"",""ฉะเชิงเทรา!I729"")+IMPORTRANGE(""https://docs.google.com/spreadsheets/d/1_Zwps30dlVa-pZFsorjVf1Pil6WXwzCsJU0U"&amp;"2whO3NI/edit?usp=share_link"",""ชลบุรี!I729"")+IMPORTRANGE(""https://docs.google.com/spreadsheets/d/1xAsT4sUbBlom7l0acStESh_15nvjZcXjZM7fK5uZSq8/edit?usp=share_link"",""ชัยนาท!I729"")+IMPORTRANGE(""https://docs.google.com/spreadsheets/d/1vWPVBOAaZ6mHSI8yf"&amp;"95DNqHwTJ1cpeFsvqt6cxV34QA/edit?usp=share_link"",""ตราด!I729"")+IMPORTRANGE(""https://docs.google.com/spreadsheets/d/1phaeSb9lTGgzDpbvVqI9hfmOQQzUom07-HEvpbARzEg/edit?usp=share_link"",""นครนายก!I729"")+IMPORTRANGE(""https://docs.google.com/spreadsheets/d/"&amp;"1tpwhWwkqkBeiSWCcfB5f2fbwPRbM9hHOEDSDHpl2MIc/edit?usp=share_link"",""นครปฐม!I729"")+IMPORTRANGE(""https://docs.google.com/spreadsheets/d/1fJJCVBkBnhriyv0Cp5ZFMr0I_yrfdEITNpb4zILJgUQ/edit?usp=share_link"",""ปทุมธานี!I729"")+IMPORTRANGE(""https://docs.googl"&amp;"e.com/spreadsheets/d/1W5Jj_S0gYw6wSO7QcMI02YgyOBDKYgmm0NSUk-AQEac/edit?usp=share_link"",""ประจวบคีรีขันธ์!I729"")+IMPORTRANGE(""https://docs.google.com/spreadsheets/d/1nYxRXgnCfTXtqUY1otYuTlnrzE0Tn-Y0YRsW5pkRVqo/edit?usp=share_link"",""ปราจีนบุรี!I729"")+"&amp;"IMPORTRANGE(""https://docs.google.com/spreadsheets/d/1nNHCLO8ZAXOMfQvxux7cf_hrzPAh8FAvaHq_ClKbZNo/edit?usp=share_link"",""พระนครศรีอยุธยา!I729"")+IMPORTRANGE(""https://docs.google.com/spreadsheets/d/1CdNicvf3i6yt4tJlCePe3V1Va76wYqW0QzMzTsaGRrA/edit?usp=sh"&amp;"are_link"",""เพชรบุรี!I729"")+IMPORTRANGE(""https://docs.google.com/spreadsheets/d/1XiF77UIVHV0Kjc6xbXuOuJ10WgJYxd4p_22ngKVV5oM/edit?usp=share_link"",""ระยอง!I729"")+IMPORTRANGE(""https://docs.google.com/spreadsheets/d/1qU-W_9MCQD1pgIVXGEOjCFo9QqlmJywueby"&amp;"GgaN92r8/edit?usp=share_link"",""ราชบุรี!I729"")+IMPORTRANGE(""https://docs.google.com/spreadsheets/d/1xYFIxIM_CspAP5Q-5Zx_V0T_Ut3cjryrjd2hss28vGk/edit?usp=share_link"",""ลพบุรี!I729"")+IMPORTRANGE(""https://docs.google.com/spreadsheets/d/11s9m3tKsCBdPWq6"&amp;"syhZm27eBGbKneDLZc75co106bio/edit?usp=share_link"",""สระแก้ว!I729"")+IMPORTRANGE(""https://docs.google.com/spreadsheets/d/1Nn1EvsFPtXldgpgVb3Rcng2K2cls68LFQsBh2FyW0Bg/edit?usp=share_link"",""สระบุรี!I729"")+IMPORTRANGE(""https://docs.google.com/spreadshee"&amp;"ts/d/149xufxukrnEciK3WPbNpHwUK8BKEJxp3UcBG3Al6dA4/edit?usp=share_link"",""สิงห์บุรี!I729"")+IMPORTRANGE(""https://docs.google.com/spreadsheets/d/132g-zJpz2uMKimp17uOIx8A7o3w1Z25zwJyXnwsB56c/edit?usp=share_link"",""สุพรรณบุรี!I729"")+IMPORTRANGE(""https://"&amp;"docs.google.com/spreadsheets/d/12Q_U0nVnFdxDFwa0pej9xvx8ZvLC9Dpi_vRro_aiG5g/edit?usp=share_link"",""อ่างทอง!I729"")
"),547)</f>
        <v>547</v>
      </c>
      <c r="J729" s="194">
        <f ca="1">J732+J735</f>
        <v>0</v>
      </c>
      <c r="K729" s="195">
        <f t="shared" ca="1" si="333"/>
        <v>0</v>
      </c>
      <c r="L729" s="38"/>
      <c r="M729" s="189"/>
      <c r="N729" s="757"/>
      <c r="O729" s="38"/>
      <c r="P729" s="38"/>
      <c r="Q729" s="571"/>
      <c r="R729" s="571"/>
      <c r="S729" s="571"/>
      <c r="T729" s="571"/>
      <c r="U729" s="571"/>
      <c r="V729" s="571"/>
      <c r="W729" s="571"/>
      <c r="X729" s="571"/>
      <c r="Y729" s="571"/>
      <c r="Z729" s="571"/>
    </row>
    <row r="730" spans="1:26" ht="20.25" customHeight="1">
      <c r="A730" s="735"/>
      <c r="B730" s="569"/>
      <c r="C730" s="569"/>
      <c r="D730" s="569"/>
      <c r="E730" s="570" t="s">
        <v>309</v>
      </c>
      <c r="F730" s="569"/>
      <c r="G730" s="189"/>
      <c r="H730" s="182" t="s">
        <v>35</v>
      </c>
      <c r="I730" s="756"/>
      <c r="J730" s="183">
        <f ca="1">IFERROR(__xludf.DUMMYFUNCTION("IMPORTRANGE(""https://docs.google.com/spreadsheets/d/1hKO5uv94SSRZWOvrh72HRcpyoEQF9TsE_Cvxl77XNU4/edit?usp=share_link"",""กาญจนบุรี!J730"")+IMPORTRANGE(""https://docs.google.com/spreadsheets/d/1njBaP_xXd-Uotvo2D9zb01TTCFkLJLDK97Tk1l9Qux0/edit?usp=share_li"&amp;"nk"",""จันทบุรี!J730"")+IMPORTRANGE(""https://docs.google.com/spreadsheets/d/14xp6qUzrGFnUk_qnc1eEmfiaNRd4_grkhpfQH_46fa8/edit?usp=share_link"",""ฉะเชิงเทรา!J730"")+IMPORTRANGE(""https://docs.google.com/spreadsheets/d/1_Zwps30dlVa-pZFsorjVf1Pil6WXwzCsJU0U"&amp;"2whO3NI/edit?usp=share_link"",""ชลบุรี!J730"")+IMPORTRANGE(""https://docs.google.com/spreadsheets/d/1xAsT4sUbBlom7l0acStESh_15nvjZcXjZM7fK5uZSq8/edit?usp=share_link"",""ชัยนาท!J730"")+IMPORTRANGE(""https://docs.google.com/spreadsheets/d/1vWPVBOAaZ6mHSI8yf"&amp;"95DNqHwTJ1cpeFsvqt6cxV34QA/edit?usp=share_link"",""ตราด!J730"")+IMPORTRANGE(""https://docs.google.com/spreadsheets/d/1phaeSb9lTGgzDpbvVqI9hfmOQQzUom07-HEvpbARzEg/edit?usp=share_link"",""นครนายก!J730"")+IMPORTRANGE(""https://docs.google.com/spreadsheets/d/"&amp;"1tpwhWwkqkBeiSWCcfB5f2fbwPRbM9hHOEDSDHpl2MIc/edit?usp=share_link"",""นครปฐม!J730"")+IMPORTRANGE(""https://docs.google.com/spreadsheets/d/1fJJCVBkBnhriyv0Cp5ZFMr0I_yrfdEITNpb4zILJgUQ/edit?usp=share_link"",""ปทุมธานี!J730"")+IMPORTRANGE(""https://docs.googl"&amp;"e.com/spreadsheets/d/1W5Jj_S0gYw6wSO7QcMI02YgyOBDKYgmm0NSUk-AQEac/edit?usp=share_link"",""ประจวบคีรีขันธ์!J730"")+IMPORTRANGE(""https://docs.google.com/spreadsheets/d/1nYxRXgnCfTXtqUY1otYuTlnrzE0Tn-Y0YRsW5pkRVqo/edit?usp=share_link"",""ปราจีนบุรี!J730"")+"&amp;"IMPORTRANGE(""https://docs.google.com/spreadsheets/d/1nNHCLO8ZAXOMfQvxux7cf_hrzPAh8FAvaHq_ClKbZNo/edit?usp=share_link"",""พระนครศรีอยุธยา!J730"")+IMPORTRANGE(""https://docs.google.com/spreadsheets/d/1CdNicvf3i6yt4tJlCePe3V1Va76wYqW0QzMzTsaGRrA/edit?usp=sh"&amp;"are_link"",""เพชรบุรี!J730"")+IMPORTRANGE(""https://docs.google.com/spreadsheets/d/1XiF77UIVHV0Kjc6xbXuOuJ10WgJYxd4p_22ngKVV5oM/edit?usp=share_link"",""ระยอง!J730"")+IMPORTRANGE(""https://docs.google.com/spreadsheets/d/1qU-W_9MCQD1pgIVXGEOjCFo9QqlmJywueby"&amp;"GgaN92r8/edit?usp=share_link"",""ราชบุรี!J730"")+IMPORTRANGE(""https://docs.google.com/spreadsheets/d/1xYFIxIM_CspAP5Q-5Zx_V0T_Ut3cjryrjd2hss28vGk/edit?usp=share_link"",""ลพบุรี!J730"")+IMPORTRANGE(""https://docs.google.com/spreadsheets/d/11s9m3tKsCBdPWq6"&amp;"syhZm27eBGbKneDLZc75co106bio/edit?usp=share_link"",""สระแก้ว!J730"")+IMPORTRANGE(""https://docs.google.com/spreadsheets/d/1Nn1EvsFPtXldgpgVb3Rcng2K2cls68LFQsBh2FyW0Bg/edit?usp=share_link"",""สระบุรี!J730"")+IMPORTRANGE(""https://docs.google.com/spreadshee"&amp;"ts/d/149xufxukrnEciK3WPbNpHwUK8BKEJxp3UcBG3Al6dA4/edit?usp=share_link"",""สิงห์บุรี!J730"")+IMPORTRANGE(""https://docs.google.com/spreadsheets/d/132g-zJpz2uMKimp17uOIx8A7o3w1Z25zwJyXnwsB56c/edit?usp=share_link"",""สุพรรณบุรี!J730"")+IMPORTRANGE(""https://"&amp;"docs.google.com/spreadsheets/d/12Q_U0nVnFdxDFwa0pej9xvx8ZvLC9Dpi_vRro_aiG5g/edit?usp=share_link"",""อ่างทอง!J730"")
"),0)</f>
        <v>0</v>
      </c>
      <c r="K730" s="38"/>
      <c r="L730" s="757"/>
      <c r="M730" s="38"/>
      <c r="N730" s="757"/>
      <c r="O730" s="38"/>
      <c r="P730" s="38"/>
      <c r="Q730" s="571"/>
      <c r="R730" s="571"/>
      <c r="S730" s="571"/>
      <c r="T730" s="571"/>
      <c r="U730" s="571"/>
      <c r="V730" s="571"/>
      <c r="W730" s="571"/>
      <c r="X730" s="571"/>
      <c r="Y730" s="571"/>
      <c r="Z730" s="571"/>
    </row>
    <row r="731" spans="1:26" ht="20.25" customHeight="1">
      <c r="A731" s="735"/>
      <c r="B731" s="569"/>
      <c r="C731" s="569"/>
      <c r="D731" s="569"/>
      <c r="E731" s="569"/>
      <c r="F731" s="569"/>
      <c r="G731" s="189"/>
      <c r="H731" s="182" t="s">
        <v>34</v>
      </c>
      <c r="I731" s="756"/>
      <c r="J731" s="183">
        <f ca="1">IFERROR(__xludf.DUMMYFUNCTION("IMPORTRANGE(""https://docs.google.com/spreadsheets/d/1hKO5uv94SSRZWOvrh72HRcpyoEQF9TsE_Cvxl77XNU4/edit?usp=share_link"",""กาญจนบุรี!J731"")+IMPORTRANGE(""https://docs.google.com/spreadsheets/d/1njBaP_xXd-Uotvo2D9zb01TTCFkLJLDK97Tk1l9Qux0/edit?usp=share_li"&amp;"nk"",""จันทบุรี!J731"")+IMPORTRANGE(""https://docs.google.com/spreadsheets/d/14xp6qUzrGFnUk_qnc1eEmfiaNRd4_grkhpfQH_46fa8/edit?usp=share_link"",""ฉะเชิงเทรา!J731"")+IMPORTRANGE(""https://docs.google.com/spreadsheets/d/1_Zwps30dlVa-pZFsorjVf1Pil6WXwzCsJU0U"&amp;"2whO3NI/edit?usp=share_link"",""ชลบุรี!J731"")+IMPORTRANGE(""https://docs.google.com/spreadsheets/d/1xAsT4sUbBlom7l0acStESh_15nvjZcXjZM7fK5uZSq8/edit?usp=share_link"",""ชัยนาท!J731"")+IMPORTRANGE(""https://docs.google.com/spreadsheets/d/1vWPVBOAaZ6mHSI8yf"&amp;"95DNqHwTJ1cpeFsvqt6cxV34QA/edit?usp=share_link"",""ตราด!J731"")+IMPORTRANGE(""https://docs.google.com/spreadsheets/d/1phaeSb9lTGgzDpbvVqI9hfmOQQzUom07-HEvpbARzEg/edit?usp=share_link"",""นครนายก!J731"")+IMPORTRANGE(""https://docs.google.com/spreadsheets/d/"&amp;"1tpwhWwkqkBeiSWCcfB5f2fbwPRbM9hHOEDSDHpl2MIc/edit?usp=share_link"",""นครปฐม!J731"")+IMPORTRANGE(""https://docs.google.com/spreadsheets/d/1fJJCVBkBnhriyv0Cp5ZFMr0I_yrfdEITNpb4zILJgUQ/edit?usp=share_link"",""ปทุมธานี!J731"")+IMPORTRANGE(""https://docs.googl"&amp;"e.com/spreadsheets/d/1W5Jj_S0gYw6wSO7QcMI02YgyOBDKYgmm0NSUk-AQEac/edit?usp=share_link"",""ประจวบคีรีขันธ์!J731"")+IMPORTRANGE(""https://docs.google.com/spreadsheets/d/1nYxRXgnCfTXtqUY1otYuTlnrzE0Tn-Y0YRsW5pkRVqo/edit?usp=share_link"",""ปราจีนบุรี!J731"")+"&amp;"IMPORTRANGE(""https://docs.google.com/spreadsheets/d/1nNHCLO8ZAXOMfQvxux7cf_hrzPAh8FAvaHq_ClKbZNo/edit?usp=share_link"",""พระนครศรีอยุธยา!J731"")+IMPORTRANGE(""https://docs.google.com/spreadsheets/d/1CdNicvf3i6yt4tJlCePe3V1Va76wYqW0QzMzTsaGRrA/edit?usp=sh"&amp;"are_link"",""เพชรบุรี!J731"")+IMPORTRANGE(""https://docs.google.com/spreadsheets/d/1XiF77UIVHV0Kjc6xbXuOuJ10WgJYxd4p_22ngKVV5oM/edit?usp=share_link"",""ระยอง!J731"")+IMPORTRANGE(""https://docs.google.com/spreadsheets/d/1qU-W_9MCQD1pgIVXGEOjCFo9QqlmJywueby"&amp;"GgaN92r8/edit?usp=share_link"",""ราชบุรี!J731"")+IMPORTRANGE(""https://docs.google.com/spreadsheets/d/1xYFIxIM_CspAP5Q-5Zx_V0T_Ut3cjryrjd2hss28vGk/edit?usp=share_link"",""ลพบุรี!J731"")+IMPORTRANGE(""https://docs.google.com/spreadsheets/d/11s9m3tKsCBdPWq6"&amp;"syhZm27eBGbKneDLZc75co106bio/edit?usp=share_link"",""สระแก้ว!J731"")+IMPORTRANGE(""https://docs.google.com/spreadsheets/d/1Nn1EvsFPtXldgpgVb3Rcng2K2cls68LFQsBh2FyW0Bg/edit?usp=share_link"",""สระบุรี!J731"")+IMPORTRANGE(""https://docs.google.com/spreadshee"&amp;"ts/d/149xufxukrnEciK3WPbNpHwUK8BKEJxp3UcBG3Al6dA4/edit?usp=share_link"",""สิงห์บุรี!J731"")+IMPORTRANGE(""https://docs.google.com/spreadsheets/d/132g-zJpz2uMKimp17uOIx8A7o3w1Z25zwJyXnwsB56c/edit?usp=share_link"",""สุพรรณบุรี!J731"")+IMPORTRANGE(""https://"&amp;"docs.google.com/spreadsheets/d/12Q_U0nVnFdxDFwa0pej9xvx8ZvLC9Dpi_vRro_aiG5g/edit?usp=share_link"",""อ่างทอง!J731"")
"),0)</f>
        <v>0</v>
      </c>
      <c r="K731" s="38"/>
      <c r="L731" s="757"/>
      <c r="M731" s="38"/>
      <c r="N731" s="757"/>
      <c r="O731" s="38"/>
      <c r="P731" s="38"/>
      <c r="Q731" s="571"/>
      <c r="R731" s="571"/>
      <c r="S731" s="571"/>
      <c r="T731" s="571"/>
      <c r="U731" s="571"/>
      <c r="V731" s="571"/>
      <c r="W731" s="571"/>
      <c r="X731" s="571"/>
      <c r="Y731" s="571"/>
      <c r="Z731" s="571"/>
    </row>
    <row r="732" spans="1:26" ht="20.25" customHeight="1">
      <c r="A732" s="735"/>
      <c r="B732" s="569"/>
      <c r="C732" s="569"/>
      <c r="D732" s="569"/>
      <c r="E732" s="569"/>
      <c r="F732" s="569"/>
      <c r="G732" s="189"/>
      <c r="H732" s="182" t="s">
        <v>46</v>
      </c>
      <c r="I732" s="756"/>
      <c r="J732" s="183">
        <f ca="1">IFERROR(__xludf.DUMMYFUNCTION("IMPORTRANGE(""https://docs.google.com/spreadsheets/d/1hKO5uv94SSRZWOvrh72HRcpyoEQF9TsE_Cvxl77XNU4/edit?usp=share_link"",""กาญจนบุรี!J732"")+IMPORTRANGE(""https://docs.google.com/spreadsheets/d/1njBaP_xXd-Uotvo2D9zb01TTCFkLJLDK97Tk1l9Qux0/edit?usp=share_li"&amp;"nk"",""จันทบุรี!J732"")+IMPORTRANGE(""https://docs.google.com/spreadsheets/d/14xp6qUzrGFnUk_qnc1eEmfiaNRd4_grkhpfQH_46fa8/edit?usp=share_link"",""ฉะเชิงเทรา!J732"")+IMPORTRANGE(""https://docs.google.com/spreadsheets/d/1_Zwps30dlVa-pZFsorjVf1Pil6WXwzCsJU0U"&amp;"2whO3NI/edit?usp=share_link"",""ชลบุรี!J732"")+IMPORTRANGE(""https://docs.google.com/spreadsheets/d/1xAsT4sUbBlom7l0acStESh_15nvjZcXjZM7fK5uZSq8/edit?usp=share_link"",""ชัยนาท!J732"")+IMPORTRANGE(""https://docs.google.com/spreadsheets/d/1vWPVBOAaZ6mHSI8yf"&amp;"95DNqHwTJ1cpeFsvqt6cxV34QA/edit?usp=share_link"",""ตราด!J732"")+IMPORTRANGE(""https://docs.google.com/spreadsheets/d/1phaeSb9lTGgzDpbvVqI9hfmOQQzUom07-HEvpbARzEg/edit?usp=share_link"",""นครนายก!J732"")+IMPORTRANGE(""https://docs.google.com/spreadsheets/d/"&amp;"1tpwhWwkqkBeiSWCcfB5f2fbwPRbM9hHOEDSDHpl2MIc/edit?usp=share_link"",""นครปฐม!J732"")+IMPORTRANGE(""https://docs.google.com/spreadsheets/d/1fJJCVBkBnhriyv0Cp5ZFMr0I_yrfdEITNpb4zILJgUQ/edit?usp=share_link"",""ปทุมธานี!J732"")+IMPORTRANGE(""https://docs.googl"&amp;"e.com/spreadsheets/d/1W5Jj_S0gYw6wSO7QcMI02YgyOBDKYgmm0NSUk-AQEac/edit?usp=share_link"",""ประจวบคีรีขันธ์!J732"")+IMPORTRANGE(""https://docs.google.com/spreadsheets/d/1nYxRXgnCfTXtqUY1otYuTlnrzE0Tn-Y0YRsW5pkRVqo/edit?usp=share_link"",""ปราจีนบุรี!J732"")+"&amp;"IMPORTRANGE(""https://docs.google.com/spreadsheets/d/1nNHCLO8ZAXOMfQvxux7cf_hrzPAh8FAvaHq_ClKbZNo/edit?usp=share_link"",""พระนครศรีอยุธยา!J732"")+IMPORTRANGE(""https://docs.google.com/spreadsheets/d/1CdNicvf3i6yt4tJlCePe3V1Va76wYqW0QzMzTsaGRrA/edit?usp=sh"&amp;"are_link"",""เพชรบุรี!J732"")+IMPORTRANGE(""https://docs.google.com/spreadsheets/d/1XiF77UIVHV0Kjc6xbXuOuJ10WgJYxd4p_22ngKVV5oM/edit?usp=share_link"",""ระยอง!J732"")+IMPORTRANGE(""https://docs.google.com/spreadsheets/d/1qU-W_9MCQD1pgIVXGEOjCFo9QqlmJywueby"&amp;"GgaN92r8/edit?usp=share_link"",""ราชบุรี!J732"")+IMPORTRANGE(""https://docs.google.com/spreadsheets/d/1xYFIxIM_CspAP5Q-5Zx_V0T_Ut3cjryrjd2hss28vGk/edit?usp=share_link"",""ลพบุรี!J732"")+IMPORTRANGE(""https://docs.google.com/spreadsheets/d/11s9m3tKsCBdPWq6"&amp;"syhZm27eBGbKneDLZc75co106bio/edit?usp=share_link"",""สระแก้ว!J732"")+IMPORTRANGE(""https://docs.google.com/spreadsheets/d/1Nn1EvsFPtXldgpgVb3Rcng2K2cls68LFQsBh2FyW0Bg/edit?usp=share_link"",""สระบุรี!J732"")+IMPORTRANGE(""https://docs.google.com/spreadshee"&amp;"ts/d/149xufxukrnEciK3WPbNpHwUK8BKEJxp3UcBG3Al6dA4/edit?usp=share_link"",""สิงห์บุรี!J732"")+IMPORTRANGE(""https://docs.google.com/spreadsheets/d/132g-zJpz2uMKimp17uOIx8A7o3w1Z25zwJyXnwsB56c/edit?usp=share_link"",""สุพรรณบุรี!J732"")+IMPORTRANGE(""https://"&amp;"docs.google.com/spreadsheets/d/12Q_U0nVnFdxDFwa0pej9xvx8ZvLC9Dpi_vRro_aiG5g/edit?usp=share_link"",""อ่างทอง!J732"")
"),0)</f>
        <v>0</v>
      </c>
      <c r="K732" s="38"/>
      <c r="L732" s="757"/>
      <c r="M732" s="38"/>
      <c r="N732" s="757"/>
      <c r="O732" s="38"/>
      <c r="P732" s="38"/>
      <c r="Q732" s="571"/>
      <c r="R732" s="571"/>
      <c r="S732" s="571"/>
      <c r="T732" s="571"/>
      <c r="U732" s="571"/>
      <c r="V732" s="571"/>
      <c r="W732" s="571"/>
      <c r="X732" s="571"/>
      <c r="Y732" s="571"/>
      <c r="Z732" s="571"/>
    </row>
    <row r="733" spans="1:26" ht="20.25" customHeight="1">
      <c r="A733" s="735"/>
      <c r="B733" s="569"/>
      <c r="C733" s="569"/>
      <c r="D733" s="569"/>
      <c r="E733" s="570" t="s">
        <v>310</v>
      </c>
      <c r="F733" s="569"/>
      <c r="G733" s="189"/>
      <c r="H733" s="182" t="s">
        <v>35</v>
      </c>
      <c r="I733" s="756"/>
      <c r="J733" s="183">
        <f ca="1">IFERROR(__xludf.DUMMYFUNCTION("IMPORTRANGE(""https://docs.google.com/spreadsheets/d/1hKO5uv94SSRZWOvrh72HRcpyoEQF9TsE_Cvxl77XNU4/edit?usp=share_link"",""กาญจนบุรี!J733"")+IMPORTRANGE(""https://docs.google.com/spreadsheets/d/1njBaP_xXd-Uotvo2D9zb01TTCFkLJLDK97Tk1l9Qux0/edit?usp=share_li"&amp;"nk"",""จันทบุรี!J733"")+IMPORTRANGE(""https://docs.google.com/spreadsheets/d/14xp6qUzrGFnUk_qnc1eEmfiaNRd4_grkhpfQH_46fa8/edit?usp=share_link"",""ฉะเชิงเทรา!J733"")+IMPORTRANGE(""https://docs.google.com/spreadsheets/d/1_Zwps30dlVa-pZFsorjVf1Pil6WXwzCsJU0U"&amp;"2whO3NI/edit?usp=share_link"",""ชลบุรี!J733"")+IMPORTRANGE(""https://docs.google.com/spreadsheets/d/1xAsT4sUbBlom7l0acStESh_15nvjZcXjZM7fK5uZSq8/edit?usp=share_link"",""ชัยนาท!J733"")+IMPORTRANGE(""https://docs.google.com/spreadsheets/d/1vWPVBOAaZ6mHSI8yf"&amp;"95DNqHwTJ1cpeFsvqt6cxV34QA/edit?usp=share_link"",""ตราด!J733"")+IMPORTRANGE(""https://docs.google.com/spreadsheets/d/1phaeSb9lTGgzDpbvVqI9hfmOQQzUom07-HEvpbARzEg/edit?usp=share_link"",""นครนายก!J733"")+IMPORTRANGE(""https://docs.google.com/spreadsheets/d/"&amp;"1tpwhWwkqkBeiSWCcfB5f2fbwPRbM9hHOEDSDHpl2MIc/edit?usp=share_link"",""นครปฐม!J733"")+IMPORTRANGE(""https://docs.google.com/spreadsheets/d/1fJJCVBkBnhriyv0Cp5ZFMr0I_yrfdEITNpb4zILJgUQ/edit?usp=share_link"",""ปทุมธานี!J733"")+IMPORTRANGE(""https://docs.googl"&amp;"e.com/spreadsheets/d/1W5Jj_S0gYw6wSO7QcMI02YgyOBDKYgmm0NSUk-AQEac/edit?usp=share_link"",""ประจวบคีรีขันธ์!J733"")+IMPORTRANGE(""https://docs.google.com/spreadsheets/d/1nYxRXgnCfTXtqUY1otYuTlnrzE0Tn-Y0YRsW5pkRVqo/edit?usp=share_link"",""ปราจีนบุรี!J733"")+"&amp;"IMPORTRANGE(""https://docs.google.com/spreadsheets/d/1nNHCLO8ZAXOMfQvxux7cf_hrzPAh8FAvaHq_ClKbZNo/edit?usp=share_link"",""พระนครศรีอยุธยา!J733"")+IMPORTRANGE(""https://docs.google.com/spreadsheets/d/1CdNicvf3i6yt4tJlCePe3V1Va76wYqW0QzMzTsaGRrA/edit?usp=sh"&amp;"are_link"",""เพชรบุรี!J733"")+IMPORTRANGE(""https://docs.google.com/spreadsheets/d/1XiF77UIVHV0Kjc6xbXuOuJ10WgJYxd4p_22ngKVV5oM/edit?usp=share_link"",""ระยอง!J733"")+IMPORTRANGE(""https://docs.google.com/spreadsheets/d/1qU-W_9MCQD1pgIVXGEOjCFo9QqlmJywueby"&amp;"GgaN92r8/edit?usp=share_link"",""ราชบุรี!J733"")+IMPORTRANGE(""https://docs.google.com/spreadsheets/d/1xYFIxIM_CspAP5Q-5Zx_V0T_Ut3cjryrjd2hss28vGk/edit?usp=share_link"",""ลพบุรี!J733"")+IMPORTRANGE(""https://docs.google.com/spreadsheets/d/11s9m3tKsCBdPWq6"&amp;"syhZm27eBGbKneDLZc75co106bio/edit?usp=share_link"",""สระแก้ว!J733"")+IMPORTRANGE(""https://docs.google.com/spreadsheets/d/1Nn1EvsFPtXldgpgVb3Rcng2K2cls68LFQsBh2FyW0Bg/edit?usp=share_link"",""สระบุรี!J733"")+IMPORTRANGE(""https://docs.google.com/spreadshee"&amp;"ts/d/149xufxukrnEciK3WPbNpHwUK8BKEJxp3UcBG3Al6dA4/edit?usp=share_link"",""สิงห์บุรี!J733"")+IMPORTRANGE(""https://docs.google.com/spreadsheets/d/132g-zJpz2uMKimp17uOIx8A7o3w1Z25zwJyXnwsB56c/edit?usp=share_link"",""สุพรรณบุรี!J733"")+IMPORTRANGE(""https://"&amp;"docs.google.com/spreadsheets/d/12Q_U0nVnFdxDFwa0pej9xvx8ZvLC9Dpi_vRro_aiG5g/edit?usp=share_link"",""อ่างทอง!J733"")
"),0)</f>
        <v>0</v>
      </c>
      <c r="K733" s="38"/>
      <c r="L733" s="757"/>
      <c r="M733" s="38"/>
      <c r="N733" s="757"/>
      <c r="O733" s="38"/>
      <c r="P733" s="38"/>
      <c r="Q733" s="571"/>
      <c r="R733" s="571"/>
      <c r="S733" s="571"/>
      <c r="T733" s="571"/>
      <c r="U733" s="571"/>
      <c r="V733" s="571"/>
      <c r="W733" s="571"/>
      <c r="X733" s="571"/>
      <c r="Y733" s="571"/>
      <c r="Z733" s="571"/>
    </row>
    <row r="734" spans="1:26" ht="20.25" customHeight="1">
      <c r="A734" s="735"/>
      <c r="B734" s="569"/>
      <c r="C734" s="569"/>
      <c r="D734" s="569"/>
      <c r="E734" s="569"/>
      <c r="F734" s="569"/>
      <c r="G734" s="189"/>
      <c r="H734" s="182" t="s">
        <v>34</v>
      </c>
      <c r="I734" s="756"/>
      <c r="J734" s="183">
        <f ca="1">IFERROR(__xludf.DUMMYFUNCTION("IMPORTRANGE(""https://docs.google.com/spreadsheets/d/1hKO5uv94SSRZWOvrh72HRcpyoEQF9TsE_Cvxl77XNU4/edit?usp=share_link"",""กาญจนบุรี!J734"")+IMPORTRANGE(""https://docs.google.com/spreadsheets/d/1njBaP_xXd-Uotvo2D9zb01TTCFkLJLDK97Tk1l9Qux0/edit?usp=share_li"&amp;"nk"",""จันทบุรี!J734"")+IMPORTRANGE(""https://docs.google.com/spreadsheets/d/14xp6qUzrGFnUk_qnc1eEmfiaNRd4_grkhpfQH_46fa8/edit?usp=share_link"",""ฉะเชิงเทรา!J734"")+IMPORTRANGE(""https://docs.google.com/spreadsheets/d/1_Zwps30dlVa-pZFsorjVf1Pil6WXwzCsJU0U"&amp;"2whO3NI/edit?usp=share_link"",""ชลบุรี!J734"")+IMPORTRANGE(""https://docs.google.com/spreadsheets/d/1xAsT4sUbBlom7l0acStESh_15nvjZcXjZM7fK5uZSq8/edit?usp=share_link"",""ชัยนาท!J734"")+IMPORTRANGE(""https://docs.google.com/spreadsheets/d/1vWPVBOAaZ6mHSI8yf"&amp;"95DNqHwTJ1cpeFsvqt6cxV34QA/edit?usp=share_link"",""ตราด!J734"")+IMPORTRANGE(""https://docs.google.com/spreadsheets/d/1phaeSb9lTGgzDpbvVqI9hfmOQQzUom07-HEvpbARzEg/edit?usp=share_link"",""นครนายก!J734"")+IMPORTRANGE(""https://docs.google.com/spreadsheets/d/"&amp;"1tpwhWwkqkBeiSWCcfB5f2fbwPRbM9hHOEDSDHpl2MIc/edit?usp=share_link"",""นครปฐม!J734"")+IMPORTRANGE(""https://docs.google.com/spreadsheets/d/1fJJCVBkBnhriyv0Cp5ZFMr0I_yrfdEITNpb4zILJgUQ/edit?usp=share_link"",""ปทุมธานี!J734"")+IMPORTRANGE(""https://docs.googl"&amp;"e.com/spreadsheets/d/1W5Jj_S0gYw6wSO7QcMI02YgyOBDKYgmm0NSUk-AQEac/edit?usp=share_link"",""ประจวบคีรีขันธ์!J734"")+IMPORTRANGE(""https://docs.google.com/spreadsheets/d/1nYxRXgnCfTXtqUY1otYuTlnrzE0Tn-Y0YRsW5pkRVqo/edit?usp=share_link"",""ปราจีนบุรี!J734"")+"&amp;"IMPORTRANGE(""https://docs.google.com/spreadsheets/d/1nNHCLO8ZAXOMfQvxux7cf_hrzPAh8FAvaHq_ClKbZNo/edit?usp=share_link"",""พระนครศรีอยุธยา!J734"")+IMPORTRANGE(""https://docs.google.com/spreadsheets/d/1CdNicvf3i6yt4tJlCePe3V1Va76wYqW0QzMzTsaGRrA/edit?usp=sh"&amp;"are_link"",""เพชรบุรี!J734"")+IMPORTRANGE(""https://docs.google.com/spreadsheets/d/1XiF77UIVHV0Kjc6xbXuOuJ10WgJYxd4p_22ngKVV5oM/edit?usp=share_link"",""ระยอง!J734"")+IMPORTRANGE(""https://docs.google.com/spreadsheets/d/1qU-W_9MCQD1pgIVXGEOjCFo9QqlmJywueby"&amp;"GgaN92r8/edit?usp=share_link"",""ราชบุรี!J734"")+IMPORTRANGE(""https://docs.google.com/spreadsheets/d/1xYFIxIM_CspAP5Q-5Zx_V0T_Ut3cjryrjd2hss28vGk/edit?usp=share_link"",""ลพบุรี!J734"")+IMPORTRANGE(""https://docs.google.com/spreadsheets/d/11s9m3tKsCBdPWq6"&amp;"syhZm27eBGbKneDLZc75co106bio/edit?usp=share_link"",""สระแก้ว!J734"")+IMPORTRANGE(""https://docs.google.com/spreadsheets/d/1Nn1EvsFPtXldgpgVb3Rcng2K2cls68LFQsBh2FyW0Bg/edit?usp=share_link"",""สระบุรี!J734"")+IMPORTRANGE(""https://docs.google.com/spreadshee"&amp;"ts/d/149xufxukrnEciK3WPbNpHwUK8BKEJxp3UcBG3Al6dA4/edit?usp=share_link"",""สิงห์บุรี!J734"")+IMPORTRANGE(""https://docs.google.com/spreadsheets/d/132g-zJpz2uMKimp17uOIx8A7o3w1Z25zwJyXnwsB56c/edit?usp=share_link"",""สุพรรณบุรี!J734"")+IMPORTRANGE(""https://"&amp;"docs.google.com/spreadsheets/d/12Q_U0nVnFdxDFwa0pej9xvx8ZvLC9Dpi_vRro_aiG5g/edit?usp=share_link"",""อ่างทอง!J734"")
"),0)</f>
        <v>0</v>
      </c>
      <c r="K734" s="38"/>
      <c r="L734" s="757"/>
      <c r="M734" s="38"/>
      <c r="N734" s="757"/>
      <c r="O734" s="38"/>
      <c r="P734" s="38"/>
      <c r="Q734" s="571"/>
      <c r="R734" s="571"/>
      <c r="S734" s="571"/>
      <c r="T734" s="571"/>
      <c r="U734" s="571"/>
      <c r="V734" s="571"/>
      <c r="W734" s="571"/>
      <c r="X734" s="571"/>
      <c r="Y734" s="571"/>
      <c r="Z734" s="571"/>
    </row>
    <row r="735" spans="1:26" ht="20.25" customHeight="1">
      <c r="A735" s="761"/>
      <c r="B735" s="762" t="s">
        <v>311</v>
      </c>
      <c r="C735" s="725"/>
      <c r="D735" s="725"/>
      <c r="E735" s="725"/>
      <c r="F735" s="725"/>
      <c r="G735" s="726"/>
      <c r="H735" s="421" t="s">
        <v>46</v>
      </c>
      <c r="I735" s="763"/>
      <c r="J735" s="423">
        <f ca="1">IFERROR(__xludf.DUMMYFUNCTION("IMPORTRANGE(""https://docs.google.com/spreadsheets/d/1hKO5uv94SSRZWOvrh72HRcpyoEQF9TsE_Cvxl77XNU4/edit?usp=share_link"",""กาญจนบุรี!J735"")+IMPORTRANGE(""https://docs.google.com/spreadsheets/d/1njBaP_xXd-Uotvo2D9zb01TTCFkLJLDK97Tk1l9Qux0/edit?usp=share_li"&amp;"nk"",""จันทบุรี!J735"")+IMPORTRANGE(""https://docs.google.com/spreadsheets/d/14xp6qUzrGFnUk_qnc1eEmfiaNRd4_grkhpfQH_46fa8/edit?usp=share_link"",""ฉะเชิงเทรา!J735"")+IMPORTRANGE(""https://docs.google.com/spreadsheets/d/1_Zwps30dlVa-pZFsorjVf1Pil6WXwzCsJU0U"&amp;"2whO3NI/edit?usp=share_link"",""ชลบุรี!J735"")+IMPORTRANGE(""https://docs.google.com/spreadsheets/d/1xAsT4sUbBlom7l0acStESh_15nvjZcXjZM7fK5uZSq8/edit?usp=share_link"",""ชัยนาท!J735"")+IMPORTRANGE(""https://docs.google.com/spreadsheets/d/1vWPVBOAaZ6mHSI8yf"&amp;"95DNqHwTJ1cpeFsvqt6cxV34QA/edit?usp=share_link"",""ตราด!J735"")+IMPORTRANGE(""https://docs.google.com/spreadsheets/d/1phaeSb9lTGgzDpbvVqI9hfmOQQzUom07-HEvpbARzEg/edit?usp=share_link"",""นครนายก!J735"")+IMPORTRANGE(""https://docs.google.com/spreadsheets/d/"&amp;"1tpwhWwkqkBeiSWCcfB5f2fbwPRbM9hHOEDSDHpl2MIc/edit?usp=share_link"",""นครปฐม!J735"")+IMPORTRANGE(""https://docs.google.com/spreadsheets/d/1fJJCVBkBnhriyv0Cp5ZFMr0I_yrfdEITNpb4zILJgUQ/edit?usp=share_link"",""ปทุมธานี!J735"")+IMPORTRANGE(""https://docs.googl"&amp;"e.com/spreadsheets/d/1W5Jj_S0gYw6wSO7QcMI02YgyOBDKYgmm0NSUk-AQEac/edit?usp=share_link"",""ประจวบคีรีขันธ์!J735"")+IMPORTRANGE(""https://docs.google.com/spreadsheets/d/1nYxRXgnCfTXtqUY1otYuTlnrzE0Tn-Y0YRsW5pkRVqo/edit?usp=share_link"",""ปราจีนบุรี!J735"")+"&amp;"IMPORTRANGE(""https://docs.google.com/spreadsheets/d/1nNHCLO8ZAXOMfQvxux7cf_hrzPAh8FAvaHq_ClKbZNo/edit?usp=share_link"",""พระนครศรีอยุธยา!J735"")+IMPORTRANGE(""https://docs.google.com/spreadsheets/d/1CdNicvf3i6yt4tJlCePe3V1Va76wYqW0QzMzTsaGRrA/edit?usp=sh"&amp;"are_link"",""เพชรบุรี!J735"")+IMPORTRANGE(""https://docs.google.com/spreadsheets/d/1XiF77UIVHV0Kjc6xbXuOuJ10WgJYxd4p_22ngKVV5oM/edit?usp=share_link"",""ระยอง!J735"")+IMPORTRANGE(""https://docs.google.com/spreadsheets/d/1qU-W_9MCQD1pgIVXGEOjCFo9QqlmJywueby"&amp;"GgaN92r8/edit?usp=share_link"",""ราชบุรี!J735"")+IMPORTRANGE(""https://docs.google.com/spreadsheets/d/1xYFIxIM_CspAP5Q-5Zx_V0T_Ut3cjryrjd2hss28vGk/edit?usp=share_link"",""ลพบุรี!J735"")+IMPORTRANGE(""https://docs.google.com/spreadsheets/d/11s9m3tKsCBdPWq6"&amp;"syhZm27eBGbKneDLZc75co106bio/edit?usp=share_link"",""สระแก้ว!J735"")+IMPORTRANGE(""https://docs.google.com/spreadsheets/d/1Nn1EvsFPtXldgpgVb3Rcng2K2cls68LFQsBh2FyW0Bg/edit?usp=share_link"",""สระบุรี!J735"")+IMPORTRANGE(""https://docs.google.com/spreadshee"&amp;"ts/d/149xufxukrnEciK3WPbNpHwUK8BKEJxp3UcBG3Al6dA4/edit?usp=share_link"",""สิงห์บุรี!J735"")+IMPORTRANGE(""https://docs.google.com/spreadsheets/d/132g-zJpz2uMKimp17uOIx8A7o3w1Z25zwJyXnwsB56c/edit?usp=share_link"",""สุพรรณบุรี!J735"")+IMPORTRANGE(""https://"&amp;"docs.google.com/spreadsheets/d/12Q_U0nVnFdxDFwa0pej9xvx8ZvLC9Dpi_vRro_aiG5g/edit?usp=share_link"",""อ่างทอง!J735"")
"),0)</f>
        <v>0</v>
      </c>
      <c r="K735" s="500"/>
      <c r="L735" s="764"/>
      <c r="M735" s="500"/>
      <c r="N735" s="764"/>
      <c r="O735" s="500"/>
      <c r="P735" s="500"/>
      <c r="Q735" s="571"/>
      <c r="R735" s="571"/>
      <c r="S735" s="571"/>
      <c r="T735" s="571"/>
      <c r="U735" s="571"/>
      <c r="V735" s="571"/>
      <c r="W735" s="571"/>
      <c r="X735" s="571"/>
      <c r="Y735" s="571"/>
      <c r="Z735" s="571"/>
    </row>
    <row r="736" spans="1:26" ht="20.25" hidden="1" customHeight="1">
      <c r="A736" s="765">
        <v>9</v>
      </c>
      <c r="B736" s="766" t="s">
        <v>312</v>
      </c>
      <c r="C736" s="767"/>
      <c r="D736" s="767"/>
      <c r="E736" s="767"/>
      <c r="F736" s="767"/>
      <c r="G736" s="768"/>
      <c r="H736" s="769" t="s">
        <v>46</v>
      </c>
      <c r="I736" s="770"/>
      <c r="J736" s="770">
        <f>J751</f>
        <v>0</v>
      </c>
      <c r="K736" s="771">
        <f>IF(I736&gt;0,J736*100/I736,0)</f>
        <v>0</v>
      </c>
      <c r="L736" s="772"/>
      <c r="M736" s="772"/>
      <c r="N736" s="772"/>
      <c r="O736" s="772"/>
      <c r="P736" s="772"/>
      <c r="Q736" s="597"/>
      <c r="R736" s="597"/>
      <c r="S736" s="597"/>
      <c r="T736" s="597"/>
      <c r="U736" s="597"/>
      <c r="V736" s="597"/>
      <c r="W736" s="597"/>
      <c r="X736" s="597"/>
      <c r="Y736" s="597"/>
      <c r="Z736" s="597"/>
    </row>
    <row r="737" spans="1:26" ht="20.25" hidden="1" customHeight="1">
      <c r="A737" s="592"/>
      <c r="B737" s="593"/>
      <c r="C737" s="593" t="s">
        <v>16</v>
      </c>
      <c r="D737" s="864" t="s">
        <v>17</v>
      </c>
      <c r="E737" s="857"/>
      <c r="F737" s="857"/>
      <c r="G737" s="596"/>
      <c r="H737" s="639" t="s">
        <v>12</v>
      </c>
      <c r="I737" s="44"/>
      <c r="J737" s="44"/>
      <c r="K737" s="45"/>
      <c r="L737" s="640">
        <f t="shared" ref="L737:N737" si="334">L738+L739</f>
        <v>0</v>
      </c>
      <c r="M737" s="640">
        <f t="shared" si="334"/>
        <v>0</v>
      </c>
      <c r="N737" s="640">
        <f t="shared" si="334"/>
        <v>0</v>
      </c>
      <c r="O737" s="640">
        <f t="shared" ref="O737:O742" si="335">IF(L737&gt;0,N737*100/L737,0)</f>
        <v>0</v>
      </c>
      <c r="P737" s="640">
        <f t="shared" ref="P737:P742" si="336">IF(M737&gt;0,N737*100/M737,0)</f>
        <v>0</v>
      </c>
      <c r="Q737" s="597"/>
      <c r="R737" s="597"/>
      <c r="S737" s="597"/>
      <c r="T737" s="597"/>
      <c r="U737" s="597"/>
      <c r="V737" s="597"/>
      <c r="W737" s="597"/>
      <c r="X737" s="597"/>
      <c r="Y737" s="597"/>
      <c r="Z737" s="597"/>
    </row>
    <row r="738" spans="1:26" ht="20.25" hidden="1" customHeight="1">
      <c r="A738" s="592"/>
      <c r="B738" s="593"/>
      <c r="C738" s="593"/>
      <c r="D738" s="594"/>
      <c r="E738" s="595" t="s">
        <v>184</v>
      </c>
      <c r="F738" s="593"/>
      <c r="G738" s="596"/>
      <c r="H738" s="165" t="s">
        <v>12</v>
      </c>
      <c r="I738" s="44"/>
      <c r="J738" s="44"/>
      <c r="K738" s="45"/>
      <c r="L738" s="45">
        <f t="shared" ref="L738:N738" si="337">L741+L748</f>
        <v>0</v>
      </c>
      <c r="M738" s="45">
        <f t="shared" si="337"/>
        <v>0</v>
      </c>
      <c r="N738" s="45">
        <f t="shared" si="337"/>
        <v>0</v>
      </c>
      <c r="O738" s="45">
        <f t="shared" si="335"/>
        <v>0</v>
      </c>
      <c r="P738" s="45">
        <f t="shared" si="336"/>
        <v>0</v>
      </c>
      <c r="Q738" s="597"/>
      <c r="R738" s="597"/>
      <c r="S738" s="597"/>
      <c r="T738" s="597"/>
      <c r="U738" s="597"/>
      <c r="V738" s="597"/>
      <c r="W738" s="597"/>
      <c r="X738" s="597"/>
      <c r="Y738" s="597"/>
      <c r="Z738" s="597"/>
    </row>
    <row r="739" spans="1:26" ht="20.25" hidden="1" customHeight="1">
      <c r="A739" s="592"/>
      <c r="B739" s="598"/>
      <c r="C739" s="593"/>
      <c r="D739" s="594"/>
      <c r="E739" s="595" t="s">
        <v>185</v>
      </c>
      <c r="F739" s="593"/>
      <c r="G739" s="596"/>
      <c r="H739" s="165" t="s">
        <v>12</v>
      </c>
      <c r="I739" s="44"/>
      <c r="J739" s="44"/>
      <c r="K739" s="45"/>
      <c r="L739" s="45">
        <f t="shared" ref="L739:N739" si="338">L742+L749</f>
        <v>0</v>
      </c>
      <c r="M739" s="45">
        <f t="shared" si="338"/>
        <v>0</v>
      </c>
      <c r="N739" s="45">
        <f t="shared" si="338"/>
        <v>0</v>
      </c>
      <c r="O739" s="45">
        <f t="shared" si="335"/>
        <v>0</v>
      </c>
      <c r="P739" s="45">
        <f t="shared" si="336"/>
        <v>0</v>
      </c>
      <c r="Q739" s="597"/>
      <c r="R739" s="597"/>
      <c r="S739" s="597"/>
      <c r="T739" s="597"/>
      <c r="U739" s="597"/>
      <c r="V739" s="597"/>
      <c r="W739" s="597"/>
      <c r="X739" s="597"/>
      <c r="Y739" s="597"/>
      <c r="Z739" s="597"/>
    </row>
    <row r="740" spans="1:26" ht="20.25" hidden="1" customHeight="1">
      <c r="A740" s="592"/>
      <c r="B740" s="598"/>
      <c r="C740" s="593"/>
      <c r="D740" s="773" t="s">
        <v>20</v>
      </c>
      <c r="E740" s="593"/>
      <c r="F740" s="593"/>
      <c r="G740" s="596"/>
      <c r="H740" s="639" t="s">
        <v>12</v>
      </c>
      <c r="I740" s="166"/>
      <c r="J740" s="166"/>
      <c r="K740" s="167"/>
      <c r="L740" s="640">
        <f t="shared" ref="L740:N740" si="339">L741+L742</f>
        <v>0</v>
      </c>
      <c r="M740" s="640">
        <f t="shared" si="339"/>
        <v>0</v>
      </c>
      <c r="N740" s="640">
        <f t="shared" si="339"/>
        <v>0</v>
      </c>
      <c r="O740" s="640">
        <f t="shared" si="335"/>
        <v>0</v>
      </c>
      <c r="P740" s="640">
        <f t="shared" si="336"/>
        <v>0</v>
      </c>
      <c r="Q740" s="597"/>
      <c r="R740" s="597"/>
      <c r="S740" s="597"/>
      <c r="T740" s="597"/>
      <c r="U740" s="597"/>
      <c r="V740" s="597"/>
      <c r="W740" s="597"/>
      <c r="X740" s="597"/>
      <c r="Y740" s="597"/>
      <c r="Z740" s="597"/>
    </row>
    <row r="741" spans="1:26" ht="20.25" hidden="1" customHeight="1">
      <c r="A741" s="592"/>
      <c r="B741" s="598"/>
      <c r="C741" s="593"/>
      <c r="D741" s="594"/>
      <c r="E741" s="595" t="s">
        <v>184</v>
      </c>
      <c r="F741" s="593"/>
      <c r="G741" s="596"/>
      <c r="H741" s="165" t="s">
        <v>12</v>
      </c>
      <c r="I741" s="44"/>
      <c r="J741" s="44"/>
      <c r="K741" s="45"/>
      <c r="L741" s="93">
        <v>0</v>
      </c>
      <c r="M741" s="93">
        <v>0</v>
      </c>
      <c r="N741" s="93">
        <v>0</v>
      </c>
      <c r="O741" s="45">
        <f t="shared" si="335"/>
        <v>0</v>
      </c>
      <c r="P741" s="45">
        <f t="shared" si="336"/>
        <v>0</v>
      </c>
      <c r="Q741" s="597"/>
      <c r="R741" s="597"/>
      <c r="S741" s="597"/>
      <c r="T741" s="597"/>
      <c r="U741" s="597"/>
      <c r="V741" s="597"/>
      <c r="W741" s="597"/>
      <c r="X741" s="597"/>
      <c r="Y741" s="597"/>
      <c r="Z741" s="597"/>
    </row>
    <row r="742" spans="1:26" ht="20.25" hidden="1" customHeight="1">
      <c r="A742" s="592"/>
      <c r="B742" s="598"/>
      <c r="C742" s="593"/>
      <c r="D742" s="594"/>
      <c r="E742" s="595" t="s">
        <v>185</v>
      </c>
      <c r="F742" s="593"/>
      <c r="G742" s="596"/>
      <c r="H742" s="165" t="s">
        <v>12</v>
      </c>
      <c r="I742" s="44"/>
      <c r="J742" s="44"/>
      <c r="K742" s="45"/>
      <c r="L742" s="93">
        <v>0</v>
      </c>
      <c r="M742" s="93">
        <v>0</v>
      </c>
      <c r="N742" s="45">
        <f>N743+N744+N745+N746</f>
        <v>0</v>
      </c>
      <c r="O742" s="45">
        <f t="shared" si="335"/>
        <v>0</v>
      </c>
      <c r="P742" s="45">
        <f t="shared" si="336"/>
        <v>0</v>
      </c>
      <c r="Q742" s="597"/>
      <c r="R742" s="597"/>
      <c r="S742" s="597"/>
      <c r="T742" s="597"/>
      <c r="U742" s="597"/>
      <c r="V742" s="597"/>
      <c r="W742" s="597"/>
      <c r="X742" s="597"/>
      <c r="Y742" s="597"/>
      <c r="Z742" s="597"/>
    </row>
    <row r="743" spans="1:26" ht="20.25" hidden="1" customHeight="1">
      <c r="A743" s="642"/>
      <c r="B743" s="598"/>
      <c r="C743" s="593"/>
      <c r="D743" s="593"/>
      <c r="E743" s="593"/>
      <c r="F743" s="595" t="s">
        <v>186</v>
      </c>
      <c r="G743" s="596"/>
      <c r="H743" s="165" t="s">
        <v>12</v>
      </c>
      <c r="I743" s="44"/>
      <c r="J743" s="44"/>
      <c r="K743" s="45"/>
      <c r="L743" s="45"/>
      <c r="M743" s="45"/>
      <c r="N743" s="45"/>
      <c r="O743" s="45"/>
      <c r="P743" s="45"/>
      <c r="Q743" s="597"/>
      <c r="R743" s="597"/>
      <c r="S743" s="597"/>
      <c r="T743" s="597"/>
      <c r="U743" s="597"/>
      <c r="V743" s="597"/>
      <c r="W743" s="597"/>
      <c r="X743" s="597"/>
      <c r="Y743" s="597"/>
      <c r="Z743" s="597"/>
    </row>
    <row r="744" spans="1:26" ht="20.25" hidden="1" customHeight="1">
      <c r="A744" s="642"/>
      <c r="B744" s="598"/>
      <c r="C744" s="593"/>
      <c r="D744" s="593"/>
      <c r="E744" s="593"/>
      <c r="F744" s="595" t="s">
        <v>187</v>
      </c>
      <c r="G744" s="596"/>
      <c r="H744" s="165" t="s">
        <v>12</v>
      </c>
      <c r="I744" s="44"/>
      <c r="J744" s="44"/>
      <c r="K744" s="45"/>
      <c r="L744" s="45"/>
      <c r="M744" s="45"/>
      <c r="N744" s="45"/>
      <c r="O744" s="45"/>
      <c r="P744" s="45"/>
      <c r="Q744" s="597"/>
      <c r="R744" s="597"/>
      <c r="S744" s="597"/>
      <c r="T744" s="597"/>
      <c r="U744" s="597"/>
      <c r="V744" s="597"/>
      <c r="W744" s="597"/>
      <c r="X744" s="597"/>
      <c r="Y744" s="597"/>
      <c r="Z744" s="597"/>
    </row>
    <row r="745" spans="1:26" ht="20.25" hidden="1" customHeight="1">
      <c r="A745" s="642"/>
      <c r="B745" s="598"/>
      <c r="C745" s="593"/>
      <c r="D745" s="593"/>
      <c r="E745" s="593"/>
      <c r="F745" s="595" t="s">
        <v>188</v>
      </c>
      <c r="G745" s="596"/>
      <c r="H745" s="165" t="s">
        <v>12</v>
      </c>
      <c r="I745" s="44"/>
      <c r="J745" s="44"/>
      <c r="K745" s="45"/>
      <c r="L745" s="45"/>
      <c r="M745" s="45"/>
      <c r="N745" s="45"/>
      <c r="O745" s="45"/>
      <c r="P745" s="45"/>
      <c r="Q745" s="597"/>
      <c r="R745" s="597"/>
      <c r="S745" s="597"/>
      <c r="T745" s="597"/>
      <c r="U745" s="597"/>
      <c r="V745" s="597"/>
      <c r="W745" s="597"/>
      <c r="X745" s="597"/>
      <c r="Y745" s="597"/>
      <c r="Z745" s="597"/>
    </row>
    <row r="746" spans="1:26" ht="20.25" hidden="1" customHeight="1">
      <c r="A746" s="642"/>
      <c r="B746" s="598"/>
      <c r="C746" s="593"/>
      <c r="D746" s="593"/>
      <c r="E746" s="593"/>
      <c r="F746" s="595" t="s">
        <v>189</v>
      </c>
      <c r="G746" s="596"/>
      <c r="H746" s="165" t="s">
        <v>12</v>
      </c>
      <c r="I746" s="44"/>
      <c r="J746" s="44"/>
      <c r="K746" s="45"/>
      <c r="L746" s="45"/>
      <c r="M746" s="45"/>
      <c r="N746" s="45"/>
      <c r="O746" s="45"/>
      <c r="P746" s="45"/>
      <c r="Q746" s="597"/>
      <c r="R746" s="597"/>
      <c r="S746" s="597"/>
      <c r="T746" s="597"/>
      <c r="U746" s="597"/>
      <c r="V746" s="597"/>
      <c r="W746" s="597"/>
      <c r="X746" s="597"/>
      <c r="Y746" s="597"/>
      <c r="Z746" s="597"/>
    </row>
    <row r="747" spans="1:26" ht="20.25" hidden="1" customHeight="1">
      <c r="A747" s="592"/>
      <c r="B747" s="598"/>
      <c r="C747" s="593"/>
      <c r="D747" s="773" t="s">
        <v>21</v>
      </c>
      <c r="E747" s="593"/>
      <c r="F747" s="593"/>
      <c r="G747" s="596"/>
      <c r="H747" s="774" t="s">
        <v>12</v>
      </c>
      <c r="I747" s="166"/>
      <c r="J747" s="166"/>
      <c r="K747" s="167"/>
      <c r="L747" s="640">
        <f t="shared" ref="L747:N747" si="340">L748+L749</f>
        <v>0</v>
      </c>
      <c r="M747" s="640">
        <f t="shared" si="340"/>
        <v>0</v>
      </c>
      <c r="N747" s="640">
        <f t="shared" si="340"/>
        <v>0</v>
      </c>
      <c r="O747" s="640">
        <f t="shared" ref="O747:O749" si="341">IF(L747&gt;0,N747*100/L747,0)</f>
        <v>0</v>
      </c>
      <c r="P747" s="640">
        <f t="shared" ref="P747:P749" si="342">IF(M747&gt;0,N747*100/M747,0)</f>
        <v>0</v>
      </c>
      <c r="Q747" s="597"/>
      <c r="R747" s="597"/>
      <c r="S747" s="597"/>
      <c r="T747" s="597"/>
      <c r="U747" s="597"/>
      <c r="V747" s="597"/>
      <c r="W747" s="597"/>
      <c r="X747" s="597"/>
      <c r="Y747" s="597"/>
      <c r="Z747" s="597"/>
    </row>
    <row r="748" spans="1:26" ht="20.25" hidden="1" customHeight="1">
      <c r="A748" s="592"/>
      <c r="B748" s="598"/>
      <c r="C748" s="593"/>
      <c r="D748" s="593"/>
      <c r="E748" s="595" t="s">
        <v>18</v>
      </c>
      <c r="F748" s="593"/>
      <c r="G748" s="596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45">
        <f t="shared" si="341"/>
        <v>0</v>
      </c>
      <c r="P748" s="45">
        <f t="shared" si="342"/>
        <v>0</v>
      </c>
      <c r="Q748" s="597"/>
      <c r="R748" s="597"/>
      <c r="S748" s="597"/>
      <c r="T748" s="597"/>
      <c r="U748" s="597"/>
      <c r="V748" s="597"/>
      <c r="W748" s="597"/>
      <c r="X748" s="597"/>
      <c r="Y748" s="597"/>
      <c r="Z748" s="597"/>
    </row>
    <row r="749" spans="1:26" ht="20.25" hidden="1" customHeight="1">
      <c r="A749" s="592"/>
      <c r="B749" s="598"/>
      <c r="C749" s="593"/>
      <c r="D749" s="593"/>
      <c r="E749" s="595" t="s">
        <v>19</v>
      </c>
      <c r="F749" s="593"/>
      <c r="G749" s="596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45">
        <f t="shared" si="341"/>
        <v>0</v>
      </c>
      <c r="P749" s="45">
        <f t="shared" si="342"/>
        <v>0</v>
      </c>
      <c r="Q749" s="597"/>
      <c r="R749" s="597"/>
      <c r="S749" s="597"/>
      <c r="T749" s="597"/>
      <c r="U749" s="597"/>
      <c r="V749" s="597"/>
      <c r="W749" s="597"/>
      <c r="X749" s="597"/>
      <c r="Y749" s="597"/>
      <c r="Z749" s="597"/>
    </row>
    <row r="750" spans="1:26" ht="20.25" hidden="1" customHeight="1">
      <c r="A750" s="607"/>
      <c r="B750" s="608"/>
      <c r="C750" s="593" t="s">
        <v>16</v>
      </c>
      <c r="D750" s="775" t="s">
        <v>38</v>
      </c>
      <c r="E750" s="644"/>
      <c r="F750" s="644"/>
      <c r="G750" s="645"/>
      <c r="H750" s="365"/>
      <c r="I750" s="166"/>
      <c r="J750" s="166"/>
      <c r="K750" s="167"/>
      <c r="L750" s="167"/>
      <c r="M750" s="167"/>
      <c r="N750" s="167"/>
      <c r="O750" s="167"/>
      <c r="P750" s="167"/>
      <c r="Q750" s="597"/>
      <c r="R750" s="597"/>
      <c r="S750" s="597"/>
      <c r="T750" s="597"/>
      <c r="U750" s="597"/>
      <c r="V750" s="597"/>
      <c r="W750" s="597"/>
      <c r="X750" s="597"/>
      <c r="Y750" s="597"/>
      <c r="Z750" s="597"/>
    </row>
    <row r="751" spans="1:26" ht="20.25" hidden="1" customHeight="1">
      <c r="A751" s="642"/>
      <c r="B751" s="598"/>
      <c r="C751" s="593"/>
      <c r="D751" s="593"/>
      <c r="E751" s="595" t="s">
        <v>313</v>
      </c>
      <c r="F751" s="593"/>
      <c r="G751" s="596"/>
      <c r="H751" s="165" t="s">
        <v>46</v>
      </c>
      <c r="I751" s="44"/>
      <c r="J751" s="44"/>
      <c r="K751" s="45"/>
      <c r="L751" s="45"/>
      <c r="M751" s="45"/>
      <c r="N751" s="45"/>
      <c r="O751" s="45"/>
      <c r="P751" s="45"/>
      <c r="Q751" s="597"/>
      <c r="R751" s="597"/>
      <c r="S751" s="597"/>
      <c r="T751" s="597"/>
      <c r="U751" s="597"/>
      <c r="V751" s="597"/>
      <c r="W751" s="597"/>
      <c r="X751" s="597"/>
      <c r="Y751" s="597"/>
      <c r="Z751" s="597"/>
    </row>
    <row r="752" spans="1:26" ht="20.25" hidden="1" customHeight="1">
      <c r="A752" s="642"/>
      <c r="B752" s="598"/>
      <c r="C752" s="593"/>
      <c r="D752" s="593"/>
      <c r="E752" s="593"/>
      <c r="F752" s="593"/>
      <c r="G752" s="596"/>
      <c r="H752" s="165" t="s">
        <v>314</v>
      </c>
      <c r="I752" s="44"/>
      <c r="J752" s="44"/>
      <c r="K752" s="45"/>
      <c r="L752" s="45"/>
      <c r="M752" s="45"/>
      <c r="N752" s="45"/>
      <c r="O752" s="45"/>
      <c r="P752" s="45"/>
      <c r="Q752" s="597"/>
      <c r="R752" s="597"/>
      <c r="S752" s="597"/>
      <c r="T752" s="597"/>
      <c r="U752" s="597"/>
      <c r="V752" s="597"/>
      <c r="W752" s="597"/>
      <c r="X752" s="597"/>
      <c r="Y752" s="597"/>
      <c r="Z752" s="597"/>
    </row>
    <row r="753" spans="1:26" ht="20.25" hidden="1" customHeight="1">
      <c r="A753" s="776">
        <v>10</v>
      </c>
      <c r="B753" s="777" t="s">
        <v>315</v>
      </c>
      <c r="C753" s="778"/>
      <c r="D753" s="778"/>
      <c r="E753" s="778"/>
      <c r="F753" s="778"/>
      <c r="G753" s="779"/>
      <c r="H753" s="780" t="s">
        <v>46</v>
      </c>
      <c r="I753" s="781"/>
      <c r="J753" s="781">
        <f>J768</f>
        <v>0</v>
      </c>
      <c r="K753" s="782">
        <f>IF(I753&gt;0,J753*100/I753,0)</f>
        <v>0</v>
      </c>
      <c r="L753" s="783"/>
      <c r="M753" s="783"/>
      <c r="N753" s="783"/>
      <c r="O753" s="783"/>
      <c r="P753" s="783"/>
      <c r="Q753" s="597"/>
      <c r="R753" s="597"/>
      <c r="S753" s="597"/>
      <c r="T753" s="597"/>
      <c r="U753" s="597"/>
      <c r="V753" s="597"/>
      <c r="W753" s="597"/>
      <c r="X753" s="597"/>
      <c r="Y753" s="597"/>
      <c r="Z753" s="597"/>
    </row>
    <row r="754" spans="1:26" ht="20.25" hidden="1" customHeight="1">
      <c r="A754" s="592"/>
      <c r="B754" s="593"/>
      <c r="C754" s="593" t="s">
        <v>16</v>
      </c>
      <c r="D754" s="864" t="s">
        <v>17</v>
      </c>
      <c r="E754" s="857"/>
      <c r="F754" s="857"/>
      <c r="G754" s="596"/>
      <c r="H754" s="639" t="s">
        <v>12</v>
      </c>
      <c r="I754" s="44"/>
      <c r="J754" s="44"/>
      <c r="K754" s="45"/>
      <c r="L754" s="640">
        <f t="shared" ref="L754:N754" si="343">L755+L756</f>
        <v>0</v>
      </c>
      <c r="M754" s="640">
        <f t="shared" si="343"/>
        <v>0</v>
      </c>
      <c r="N754" s="640">
        <f t="shared" si="343"/>
        <v>0</v>
      </c>
      <c r="O754" s="640">
        <f t="shared" ref="O754:O759" si="344">IF(L754&gt;0,N754*100/L754,0)</f>
        <v>0</v>
      </c>
      <c r="P754" s="640">
        <f t="shared" ref="P754:P759" si="345">IF(M754&gt;0,N754*100/M754,0)</f>
        <v>0</v>
      </c>
      <c r="Q754" s="597"/>
      <c r="R754" s="597"/>
      <c r="S754" s="597"/>
      <c r="T754" s="597"/>
      <c r="U754" s="597"/>
      <c r="V754" s="597"/>
      <c r="W754" s="597"/>
      <c r="X754" s="597"/>
      <c r="Y754" s="597"/>
      <c r="Z754" s="597"/>
    </row>
    <row r="755" spans="1:26" ht="20.25" hidden="1" customHeight="1">
      <c r="A755" s="592"/>
      <c r="B755" s="593"/>
      <c r="C755" s="593"/>
      <c r="D755" s="594"/>
      <c r="E755" s="595" t="s">
        <v>184</v>
      </c>
      <c r="F755" s="593"/>
      <c r="G755" s="596"/>
      <c r="H755" s="165" t="s">
        <v>12</v>
      </c>
      <c r="I755" s="44"/>
      <c r="J755" s="44"/>
      <c r="K755" s="45"/>
      <c r="L755" s="45">
        <f t="shared" ref="L755:N755" si="346">L758+L765</f>
        <v>0</v>
      </c>
      <c r="M755" s="45">
        <f t="shared" si="346"/>
        <v>0</v>
      </c>
      <c r="N755" s="45">
        <f t="shared" si="346"/>
        <v>0</v>
      </c>
      <c r="O755" s="45">
        <f t="shared" si="344"/>
        <v>0</v>
      </c>
      <c r="P755" s="45">
        <f t="shared" si="345"/>
        <v>0</v>
      </c>
      <c r="Q755" s="597"/>
      <c r="R755" s="597"/>
      <c r="S755" s="597"/>
      <c r="T755" s="597"/>
      <c r="U755" s="597"/>
      <c r="V755" s="597"/>
      <c r="W755" s="597"/>
      <c r="X755" s="597"/>
      <c r="Y755" s="597"/>
      <c r="Z755" s="597"/>
    </row>
    <row r="756" spans="1:26" ht="20.25" hidden="1" customHeight="1">
      <c r="A756" s="592"/>
      <c r="B756" s="598"/>
      <c r="C756" s="593"/>
      <c r="D756" s="594"/>
      <c r="E756" s="595" t="s">
        <v>185</v>
      </c>
      <c r="F756" s="593"/>
      <c r="G756" s="596"/>
      <c r="H756" s="165" t="s">
        <v>12</v>
      </c>
      <c r="I756" s="44"/>
      <c r="J756" s="44"/>
      <c r="K756" s="45"/>
      <c r="L756" s="45">
        <f t="shared" ref="L756:N756" si="347">L759+L766</f>
        <v>0</v>
      </c>
      <c r="M756" s="45">
        <f t="shared" si="347"/>
        <v>0</v>
      </c>
      <c r="N756" s="45">
        <f t="shared" si="347"/>
        <v>0</v>
      </c>
      <c r="O756" s="45">
        <f t="shared" si="344"/>
        <v>0</v>
      </c>
      <c r="P756" s="45">
        <f t="shared" si="345"/>
        <v>0</v>
      </c>
      <c r="Q756" s="597"/>
      <c r="R756" s="597"/>
      <c r="S756" s="597"/>
      <c r="T756" s="597"/>
      <c r="U756" s="597"/>
      <c r="V756" s="597"/>
      <c r="W756" s="597"/>
      <c r="X756" s="597"/>
      <c r="Y756" s="597"/>
      <c r="Z756" s="597"/>
    </row>
    <row r="757" spans="1:26" ht="20.25" hidden="1" customHeight="1">
      <c r="A757" s="592"/>
      <c r="B757" s="598"/>
      <c r="C757" s="593"/>
      <c r="D757" s="773" t="s">
        <v>20</v>
      </c>
      <c r="E757" s="593"/>
      <c r="F757" s="593"/>
      <c r="G757" s="596"/>
      <c r="H757" s="639" t="s">
        <v>12</v>
      </c>
      <c r="I757" s="166"/>
      <c r="J757" s="166"/>
      <c r="K757" s="167"/>
      <c r="L757" s="640">
        <f t="shared" ref="L757:N757" si="348">L758+L759</f>
        <v>0</v>
      </c>
      <c r="M757" s="640">
        <f t="shared" si="348"/>
        <v>0</v>
      </c>
      <c r="N757" s="640">
        <f t="shared" si="348"/>
        <v>0</v>
      </c>
      <c r="O757" s="640">
        <f t="shared" si="344"/>
        <v>0</v>
      </c>
      <c r="P757" s="640">
        <f t="shared" si="345"/>
        <v>0</v>
      </c>
      <c r="Q757" s="597"/>
      <c r="R757" s="597"/>
      <c r="S757" s="597"/>
      <c r="T757" s="597"/>
      <c r="U757" s="597"/>
      <c r="V757" s="597"/>
      <c r="W757" s="597"/>
      <c r="X757" s="597"/>
      <c r="Y757" s="597"/>
      <c r="Z757" s="597"/>
    </row>
    <row r="758" spans="1:26" ht="20.25" hidden="1" customHeight="1">
      <c r="A758" s="592"/>
      <c r="B758" s="598"/>
      <c r="C758" s="593"/>
      <c r="D758" s="594"/>
      <c r="E758" s="595" t="s">
        <v>184</v>
      </c>
      <c r="F758" s="593"/>
      <c r="G758" s="596"/>
      <c r="H758" s="165" t="s">
        <v>12</v>
      </c>
      <c r="I758" s="44"/>
      <c r="J758" s="44"/>
      <c r="K758" s="45"/>
      <c r="L758" s="93">
        <v>0</v>
      </c>
      <c r="M758" s="93">
        <v>0</v>
      </c>
      <c r="N758" s="93">
        <v>0</v>
      </c>
      <c r="O758" s="45">
        <f t="shared" si="344"/>
        <v>0</v>
      </c>
      <c r="P758" s="45">
        <f t="shared" si="345"/>
        <v>0</v>
      </c>
      <c r="Q758" s="597"/>
      <c r="R758" s="597"/>
      <c r="S758" s="597"/>
      <c r="T758" s="597"/>
      <c r="U758" s="597"/>
      <c r="V758" s="597"/>
      <c r="W758" s="597"/>
      <c r="X758" s="597"/>
      <c r="Y758" s="597"/>
      <c r="Z758" s="597"/>
    </row>
    <row r="759" spans="1:26" ht="20.25" hidden="1" customHeight="1">
      <c r="A759" s="592"/>
      <c r="B759" s="598"/>
      <c r="C759" s="593"/>
      <c r="D759" s="594"/>
      <c r="E759" s="595" t="s">
        <v>185</v>
      </c>
      <c r="F759" s="593"/>
      <c r="G759" s="596"/>
      <c r="H759" s="165" t="s">
        <v>12</v>
      </c>
      <c r="I759" s="44"/>
      <c r="J759" s="44"/>
      <c r="K759" s="45"/>
      <c r="L759" s="93">
        <v>0</v>
      </c>
      <c r="M759" s="93">
        <v>0</v>
      </c>
      <c r="N759" s="45">
        <f>N760+N761+N762+N763</f>
        <v>0</v>
      </c>
      <c r="O759" s="45">
        <f t="shared" si="344"/>
        <v>0</v>
      </c>
      <c r="P759" s="45">
        <f t="shared" si="345"/>
        <v>0</v>
      </c>
      <c r="Q759" s="597"/>
      <c r="R759" s="597"/>
      <c r="S759" s="597"/>
      <c r="T759" s="597"/>
      <c r="U759" s="597"/>
      <c r="V759" s="597"/>
      <c r="W759" s="597"/>
      <c r="X759" s="597"/>
      <c r="Y759" s="597"/>
      <c r="Z759" s="597"/>
    </row>
    <row r="760" spans="1:26" ht="20.25" hidden="1" customHeight="1">
      <c r="A760" s="642"/>
      <c r="B760" s="598"/>
      <c r="C760" s="593"/>
      <c r="D760" s="593"/>
      <c r="E760" s="593"/>
      <c r="F760" s="595" t="s">
        <v>186</v>
      </c>
      <c r="G760" s="596"/>
      <c r="H760" s="165" t="s">
        <v>12</v>
      </c>
      <c r="I760" s="44"/>
      <c r="J760" s="44"/>
      <c r="K760" s="45"/>
      <c r="L760" s="93"/>
      <c r="M760" s="45"/>
      <c r="N760" s="45"/>
      <c r="O760" s="45"/>
      <c r="P760" s="45"/>
      <c r="Q760" s="597"/>
      <c r="R760" s="597"/>
      <c r="S760" s="597"/>
      <c r="T760" s="597"/>
      <c r="U760" s="597"/>
      <c r="V760" s="597"/>
      <c r="W760" s="597"/>
      <c r="X760" s="597"/>
      <c r="Y760" s="597"/>
      <c r="Z760" s="597"/>
    </row>
    <row r="761" spans="1:26" ht="20.25" hidden="1" customHeight="1">
      <c r="A761" s="642"/>
      <c r="B761" s="598"/>
      <c r="C761" s="593"/>
      <c r="D761" s="593"/>
      <c r="E761" s="593"/>
      <c r="F761" s="595" t="s">
        <v>187</v>
      </c>
      <c r="G761" s="596"/>
      <c r="H761" s="165" t="s">
        <v>12</v>
      </c>
      <c r="I761" s="44"/>
      <c r="J761" s="44"/>
      <c r="K761" s="45"/>
      <c r="L761" s="45"/>
      <c r="M761" s="45"/>
      <c r="N761" s="45"/>
      <c r="O761" s="45"/>
      <c r="P761" s="45"/>
      <c r="Q761" s="597"/>
      <c r="R761" s="597"/>
      <c r="S761" s="597"/>
      <c r="T761" s="597"/>
      <c r="U761" s="597"/>
      <c r="V761" s="597"/>
      <c r="W761" s="597"/>
      <c r="X761" s="597"/>
      <c r="Y761" s="597"/>
      <c r="Z761" s="597"/>
    </row>
    <row r="762" spans="1:26" ht="20.25" hidden="1" customHeight="1">
      <c r="A762" s="642"/>
      <c r="B762" s="598"/>
      <c r="C762" s="593"/>
      <c r="D762" s="593"/>
      <c r="E762" s="593"/>
      <c r="F762" s="595" t="s">
        <v>188</v>
      </c>
      <c r="G762" s="596"/>
      <c r="H762" s="165" t="s">
        <v>12</v>
      </c>
      <c r="I762" s="44"/>
      <c r="J762" s="44"/>
      <c r="K762" s="45"/>
      <c r="L762" s="45"/>
      <c r="M762" s="45"/>
      <c r="N762" s="45"/>
      <c r="O762" s="45"/>
      <c r="P762" s="45"/>
      <c r="Q762" s="597"/>
      <c r="R762" s="597"/>
      <c r="S762" s="597"/>
      <c r="T762" s="597"/>
      <c r="U762" s="597"/>
      <c r="V762" s="597"/>
      <c r="W762" s="597"/>
      <c r="X762" s="597"/>
      <c r="Y762" s="597"/>
      <c r="Z762" s="597"/>
    </row>
    <row r="763" spans="1:26" ht="20.25" hidden="1" customHeight="1">
      <c r="A763" s="642"/>
      <c r="B763" s="598"/>
      <c r="C763" s="593"/>
      <c r="D763" s="593"/>
      <c r="E763" s="593"/>
      <c r="F763" s="595" t="s">
        <v>189</v>
      </c>
      <c r="G763" s="596"/>
      <c r="H763" s="165" t="s">
        <v>12</v>
      </c>
      <c r="I763" s="44"/>
      <c r="J763" s="44"/>
      <c r="K763" s="45"/>
      <c r="L763" s="45"/>
      <c r="M763" s="45"/>
      <c r="N763" s="45"/>
      <c r="O763" s="45"/>
      <c r="P763" s="45"/>
      <c r="Q763" s="597"/>
      <c r="R763" s="597"/>
      <c r="S763" s="597"/>
      <c r="T763" s="597"/>
      <c r="U763" s="597"/>
      <c r="V763" s="597"/>
      <c r="W763" s="597"/>
      <c r="X763" s="597"/>
      <c r="Y763" s="597"/>
      <c r="Z763" s="597"/>
    </row>
    <row r="764" spans="1:26" ht="20.25" hidden="1" customHeight="1">
      <c r="A764" s="592"/>
      <c r="B764" s="598"/>
      <c r="C764" s="593"/>
      <c r="D764" s="773" t="s">
        <v>21</v>
      </c>
      <c r="E764" s="593"/>
      <c r="F764" s="593"/>
      <c r="G764" s="596"/>
      <c r="H764" s="774" t="s">
        <v>12</v>
      </c>
      <c r="I764" s="166"/>
      <c r="J764" s="166"/>
      <c r="K764" s="167"/>
      <c r="L764" s="640">
        <f t="shared" ref="L764:N764" si="349">L765+L766</f>
        <v>0</v>
      </c>
      <c r="M764" s="640">
        <f t="shared" si="349"/>
        <v>0</v>
      </c>
      <c r="N764" s="640">
        <f t="shared" si="349"/>
        <v>0</v>
      </c>
      <c r="O764" s="640">
        <f t="shared" ref="O764:O766" si="350">IF(L764&gt;0,N764*100/L764,0)</f>
        <v>0</v>
      </c>
      <c r="P764" s="640">
        <f t="shared" ref="P764:P766" si="351">IF(M764&gt;0,N764*100/M764,0)</f>
        <v>0</v>
      </c>
      <c r="Q764" s="597"/>
      <c r="R764" s="597"/>
      <c r="S764" s="597"/>
      <c r="T764" s="597"/>
      <c r="U764" s="597"/>
      <c r="V764" s="597"/>
      <c r="W764" s="597"/>
      <c r="X764" s="597"/>
      <c r="Y764" s="597"/>
      <c r="Z764" s="597"/>
    </row>
    <row r="765" spans="1:26" ht="20.25" hidden="1" customHeight="1">
      <c r="A765" s="592"/>
      <c r="B765" s="598"/>
      <c r="C765" s="593"/>
      <c r="D765" s="593"/>
      <c r="E765" s="595" t="s">
        <v>18</v>
      </c>
      <c r="F765" s="593"/>
      <c r="G765" s="596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45">
        <f t="shared" si="350"/>
        <v>0</v>
      </c>
      <c r="P765" s="45">
        <f t="shared" si="351"/>
        <v>0</v>
      </c>
      <c r="Q765" s="597"/>
      <c r="R765" s="597"/>
      <c r="S765" s="597"/>
      <c r="T765" s="597"/>
      <c r="U765" s="597"/>
      <c r="V765" s="597"/>
      <c r="W765" s="597"/>
      <c r="X765" s="597"/>
      <c r="Y765" s="597"/>
      <c r="Z765" s="597"/>
    </row>
    <row r="766" spans="1:26" ht="20.25" hidden="1" customHeight="1">
      <c r="A766" s="592"/>
      <c r="B766" s="598"/>
      <c r="C766" s="593"/>
      <c r="D766" s="593"/>
      <c r="E766" s="595" t="s">
        <v>19</v>
      </c>
      <c r="F766" s="593"/>
      <c r="G766" s="596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45">
        <f t="shared" si="350"/>
        <v>0</v>
      </c>
      <c r="P766" s="45">
        <f t="shared" si="351"/>
        <v>0</v>
      </c>
      <c r="Q766" s="597"/>
      <c r="R766" s="597"/>
      <c r="S766" s="597"/>
      <c r="T766" s="597"/>
      <c r="U766" s="597"/>
      <c r="V766" s="597"/>
      <c r="W766" s="597"/>
      <c r="X766" s="597"/>
      <c r="Y766" s="597"/>
      <c r="Z766" s="597"/>
    </row>
    <row r="767" spans="1:26" ht="20.25" hidden="1" customHeight="1">
      <c r="A767" s="607"/>
      <c r="B767" s="608"/>
      <c r="C767" s="593" t="s">
        <v>16</v>
      </c>
      <c r="D767" s="775" t="s">
        <v>38</v>
      </c>
      <c r="E767" s="644"/>
      <c r="F767" s="644"/>
      <c r="G767" s="645"/>
      <c r="H767" s="365"/>
      <c r="I767" s="166"/>
      <c r="J767" s="166"/>
      <c r="K767" s="167"/>
      <c r="L767" s="167"/>
      <c r="M767" s="167"/>
      <c r="N767" s="167"/>
      <c r="O767" s="167"/>
      <c r="P767" s="167"/>
      <c r="Q767" s="597"/>
      <c r="R767" s="597"/>
      <c r="S767" s="597"/>
      <c r="T767" s="597"/>
      <c r="U767" s="597"/>
      <c r="V767" s="597"/>
      <c r="W767" s="597"/>
      <c r="X767" s="597"/>
      <c r="Y767" s="597"/>
      <c r="Z767" s="597"/>
    </row>
    <row r="768" spans="1:26" ht="20.25" hidden="1" customHeight="1">
      <c r="A768" s="642"/>
      <c r="B768" s="598"/>
      <c r="C768" s="593"/>
      <c r="D768" s="593"/>
      <c r="E768" s="595" t="s">
        <v>316</v>
      </c>
      <c r="F768" s="593"/>
      <c r="G768" s="596"/>
      <c r="H768" s="165" t="s">
        <v>46</v>
      </c>
      <c r="I768" s="44"/>
      <c r="J768" s="44"/>
      <c r="K768" s="45"/>
      <c r="L768" s="45"/>
      <c r="M768" s="45"/>
      <c r="N768" s="45"/>
      <c r="O768" s="45"/>
      <c r="P768" s="45"/>
      <c r="Q768" s="597"/>
      <c r="R768" s="597"/>
      <c r="S768" s="597"/>
      <c r="T768" s="597"/>
      <c r="U768" s="597"/>
      <c r="V768" s="597"/>
      <c r="W768" s="597"/>
      <c r="X768" s="597"/>
      <c r="Y768" s="597"/>
      <c r="Z768" s="597"/>
    </row>
    <row r="769" spans="1:26" ht="20.25" hidden="1" customHeight="1">
      <c r="A769" s="784">
        <v>11</v>
      </c>
      <c r="B769" s="785" t="s">
        <v>317</v>
      </c>
      <c r="C769" s="786"/>
      <c r="D769" s="786"/>
      <c r="E769" s="786"/>
      <c r="F769" s="786"/>
      <c r="G769" s="787"/>
      <c r="H769" s="788" t="s">
        <v>46</v>
      </c>
      <c r="I769" s="789"/>
      <c r="J769" s="789">
        <f>J784</f>
        <v>0</v>
      </c>
      <c r="K769" s="790">
        <f>IF(I769&gt;0,J769*100/I769,0)</f>
        <v>0</v>
      </c>
      <c r="L769" s="791"/>
      <c r="M769" s="791"/>
      <c r="N769" s="791"/>
      <c r="O769" s="791"/>
      <c r="P769" s="791"/>
      <c r="Q769" s="597"/>
      <c r="R769" s="597"/>
      <c r="S769" s="597"/>
      <c r="T769" s="597"/>
      <c r="U769" s="597"/>
      <c r="V769" s="597"/>
      <c r="W769" s="597"/>
      <c r="X769" s="597"/>
      <c r="Y769" s="597"/>
      <c r="Z769" s="597"/>
    </row>
    <row r="770" spans="1:26" ht="20.25" hidden="1" customHeight="1">
      <c r="A770" s="592"/>
      <c r="B770" s="593"/>
      <c r="C770" s="593" t="s">
        <v>16</v>
      </c>
      <c r="D770" s="864" t="s">
        <v>17</v>
      </c>
      <c r="E770" s="857"/>
      <c r="F770" s="857"/>
      <c r="G770" s="596"/>
      <c r="H770" s="639" t="s">
        <v>12</v>
      </c>
      <c r="I770" s="44"/>
      <c r="J770" s="44"/>
      <c r="K770" s="45"/>
      <c r="L770" s="640">
        <f t="shared" ref="L770:N770" si="352">L771+L772</f>
        <v>0</v>
      </c>
      <c r="M770" s="640">
        <f t="shared" si="352"/>
        <v>0</v>
      </c>
      <c r="N770" s="640">
        <f t="shared" si="352"/>
        <v>0</v>
      </c>
      <c r="O770" s="640">
        <f t="shared" ref="O770:O775" si="353">IF(L770&gt;0,N770*100/L770,0)</f>
        <v>0</v>
      </c>
      <c r="P770" s="640">
        <f t="shared" ref="P770:P775" si="354">IF(M770&gt;0,N770*100/M770,0)</f>
        <v>0</v>
      </c>
      <c r="Q770" s="597"/>
      <c r="R770" s="597"/>
      <c r="S770" s="597"/>
      <c r="T770" s="597"/>
      <c r="U770" s="597"/>
      <c r="V770" s="597"/>
      <c r="W770" s="597"/>
      <c r="X770" s="597"/>
      <c r="Y770" s="597"/>
      <c r="Z770" s="597"/>
    </row>
    <row r="771" spans="1:26" ht="20.25" hidden="1" customHeight="1">
      <c r="A771" s="592"/>
      <c r="B771" s="593"/>
      <c r="C771" s="593"/>
      <c r="D771" s="594"/>
      <c r="E771" s="595" t="s">
        <v>184</v>
      </c>
      <c r="F771" s="593"/>
      <c r="G771" s="596"/>
      <c r="H771" s="165" t="s">
        <v>12</v>
      </c>
      <c r="I771" s="44"/>
      <c r="J771" s="44"/>
      <c r="K771" s="45"/>
      <c r="L771" s="45">
        <f t="shared" ref="L771:N771" si="355">L774+L781</f>
        <v>0</v>
      </c>
      <c r="M771" s="45">
        <f t="shared" si="355"/>
        <v>0</v>
      </c>
      <c r="N771" s="45">
        <f t="shared" si="355"/>
        <v>0</v>
      </c>
      <c r="O771" s="45">
        <f t="shared" si="353"/>
        <v>0</v>
      </c>
      <c r="P771" s="45">
        <f t="shared" si="354"/>
        <v>0</v>
      </c>
      <c r="Q771" s="597"/>
      <c r="R771" s="597"/>
      <c r="S771" s="597"/>
      <c r="T771" s="597"/>
      <c r="U771" s="597"/>
      <c r="V771" s="597"/>
      <c r="W771" s="597"/>
      <c r="X771" s="597"/>
      <c r="Y771" s="597"/>
      <c r="Z771" s="597"/>
    </row>
    <row r="772" spans="1:26" ht="20.25" hidden="1" customHeight="1">
      <c r="A772" s="592"/>
      <c r="B772" s="598"/>
      <c r="C772" s="593"/>
      <c r="D772" s="594"/>
      <c r="E772" s="595" t="s">
        <v>185</v>
      </c>
      <c r="F772" s="593"/>
      <c r="G772" s="596"/>
      <c r="H772" s="165" t="s">
        <v>12</v>
      </c>
      <c r="I772" s="44"/>
      <c r="J772" s="44"/>
      <c r="K772" s="45"/>
      <c r="L772" s="45">
        <f t="shared" ref="L772:N772" si="356">L775+L782</f>
        <v>0</v>
      </c>
      <c r="M772" s="45">
        <f t="shared" si="356"/>
        <v>0</v>
      </c>
      <c r="N772" s="45">
        <f t="shared" si="356"/>
        <v>0</v>
      </c>
      <c r="O772" s="45">
        <f t="shared" si="353"/>
        <v>0</v>
      </c>
      <c r="P772" s="45">
        <f t="shared" si="354"/>
        <v>0</v>
      </c>
      <c r="Q772" s="597"/>
      <c r="R772" s="597"/>
      <c r="S772" s="597"/>
      <c r="T772" s="597"/>
      <c r="U772" s="597"/>
      <c r="V772" s="597"/>
      <c r="W772" s="597"/>
      <c r="X772" s="597"/>
      <c r="Y772" s="597"/>
      <c r="Z772" s="597"/>
    </row>
    <row r="773" spans="1:26" ht="20.25" hidden="1" customHeight="1">
      <c r="A773" s="592"/>
      <c r="B773" s="598"/>
      <c r="C773" s="593"/>
      <c r="D773" s="773" t="s">
        <v>20</v>
      </c>
      <c r="E773" s="593"/>
      <c r="F773" s="593"/>
      <c r="G773" s="596"/>
      <c r="H773" s="639" t="s">
        <v>12</v>
      </c>
      <c r="I773" s="166"/>
      <c r="J773" s="166"/>
      <c r="K773" s="167"/>
      <c r="L773" s="640">
        <f t="shared" ref="L773:N773" si="357">L774+L775</f>
        <v>0</v>
      </c>
      <c r="M773" s="640">
        <f t="shared" si="357"/>
        <v>0</v>
      </c>
      <c r="N773" s="640">
        <f t="shared" si="357"/>
        <v>0</v>
      </c>
      <c r="O773" s="640">
        <f t="shared" si="353"/>
        <v>0</v>
      </c>
      <c r="P773" s="640">
        <f t="shared" si="354"/>
        <v>0</v>
      </c>
      <c r="Q773" s="597"/>
      <c r="R773" s="597"/>
      <c r="S773" s="597"/>
      <c r="T773" s="597"/>
      <c r="U773" s="597"/>
      <c r="V773" s="597"/>
      <c r="W773" s="597"/>
      <c r="X773" s="597"/>
      <c r="Y773" s="597"/>
      <c r="Z773" s="597"/>
    </row>
    <row r="774" spans="1:26" ht="20.25" hidden="1" customHeight="1">
      <c r="A774" s="592"/>
      <c r="B774" s="598"/>
      <c r="C774" s="593"/>
      <c r="D774" s="594"/>
      <c r="E774" s="595" t="s">
        <v>184</v>
      </c>
      <c r="F774" s="593"/>
      <c r="G774" s="596"/>
      <c r="H774" s="165" t="s">
        <v>12</v>
      </c>
      <c r="I774" s="44"/>
      <c r="J774" s="44"/>
      <c r="K774" s="45"/>
      <c r="L774" s="93">
        <v>0</v>
      </c>
      <c r="M774" s="93">
        <v>0</v>
      </c>
      <c r="N774" s="93">
        <v>0</v>
      </c>
      <c r="O774" s="45">
        <f t="shared" si="353"/>
        <v>0</v>
      </c>
      <c r="P774" s="45">
        <f t="shared" si="354"/>
        <v>0</v>
      </c>
      <c r="Q774" s="597"/>
      <c r="R774" s="597"/>
      <c r="S774" s="597"/>
      <c r="T774" s="597"/>
      <c r="U774" s="597"/>
      <c r="V774" s="597"/>
      <c r="W774" s="597"/>
      <c r="X774" s="597"/>
      <c r="Y774" s="597"/>
      <c r="Z774" s="597"/>
    </row>
    <row r="775" spans="1:26" ht="20.25" hidden="1" customHeight="1">
      <c r="A775" s="592"/>
      <c r="B775" s="598"/>
      <c r="C775" s="593"/>
      <c r="D775" s="594"/>
      <c r="E775" s="595" t="s">
        <v>185</v>
      </c>
      <c r="F775" s="593"/>
      <c r="G775" s="596"/>
      <c r="H775" s="165" t="s">
        <v>12</v>
      </c>
      <c r="I775" s="44"/>
      <c r="J775" s="44"/>
      <c r="K775" s="45"/>
      <c r="L775" s="93">
        <v>0</v>
      </c>
      <c r="M775" s="93">
        <v>0</v>
      </c>
      <c r="N775" s="45">
        <f>N776+N777+N778+N779</f>
        <v>0</v>
      </c>
      <c r="O775" s="45">
        <f t="shared" si="353"/>
        <v>0</v>
      </c>
      <c r="P775" s="45">
        <f t="shared" si="354"/>
        <v>0</v>
      </c>
      <c r="Q775" s="597"/>
      <c r="R775" s="597"/>
      <c r="S775" s="597"/>
      <c r="T775" s="597"/>
      <c r="U775" s="597"/>
      <c r="V775" s="597"/>
      <c r="W775" s="597"/>
      <c r="X775" s="597"/>
      <c r="Y775" s="597"/>
      <c r="Z775" s="597"/>
    </row>
    <row r="776" spans="1:26" ht="20.25" hidden="1" customHeight="1">
      <c r="A776" s="642"/>
      <c r="B776" s="598"/>
      <c r="C776" s="593"/>
      <c r="D776" s="593"/>
      <c r="E776" s="593"/>
      <c r="F776" s="595" t="s">
        <v>186</v>
      </c>
      <c r="G776" s="596"/>
      <c r="H776" s="165" t="s">
        <v>12</v>
      </c>
      <c r="I776" s="44"/>
      <c r="J776" s="44"/>
      <c r="K776" s="45"/>
      <c r="L776" s="45"/>
      <c r="M776" s="45"/>
      <c r="N776" s="45"/>
      <c r="O776" s="45"/>
      <c r="P776" s="45"/>
      <c r="Q776" s="597"/>
      <c r="R776" s="597"/>
      <c r="S776" s="597"/>
      <c r="T776" s="597"/>
      <c r="U776" s="597"/>
      <c r="V776" s="597"/>
      <c r="W776" s="597"/>
      <c r="X776" s="597"/>
      <c r="Y776" s="597"/>
      <c r="Z776" s="597"/>
    </row>
    <row r="777" spans="1:26" ht="20.25" hidden="1" customHeight="1">
      <c r="A777" s="642"/>
      <c r="B777" s="598"/>
      <c r="C777" s="593"/>
      <c r="D777" s="593"/>
      <c r="E777" s="593"/>
      <c r="F777" s="595" t="s">
        <v>187</v>
      </c>
      <c r="G777" s="596"/>
      <c r="H777" s="165" t="s">
        <v>12</v>
      </c>
      <c r="I777" s="44"/>
      <c r="J777" s="44"/>
      <c r="K777" s="45"/>
      <c r="L777" s="45"/>
      <c r="M777" s="45"/>
      <c r="N777" s="45"/>
      <c r="O777" s="45"/>
      <c r="P777" s="45"/>
      <c r="Q777" s="597"/>
      <c r="R777" s="597"/>
      <c r="S777" s="597"/>
      <c r="T777" s="597"/>
      <c r="U777" s="597"/>
      <c r="V777" s="597"/>
      <c r="W777" s="597"/>
      <c r="X777" s="597"/>
      <c r="Y777" s="597"/>
      <c r="Z777" s="597"/>
    </row>
    <row r="778" spans="1:26" ht="20.25" hidden="1" customHeight="1">
      <c r="A778" s="642"/>
      <c r="B778" s="598"/>
      <c r="C778" s="593"/>
      <c r="D778" s="593"/>
      <c r="E778" s="593"/>
      <c r="F778" s="595" t="s">
        <v>188</v>
      </c>
      <c r="G778" s="596"/>
      <c r="H778" s="165" t="s">
        <v>12</v>
      </c>
      <c r="I778" s="44"/>
      <c r="J778" s="44"/>
      <c r="K778" s="45"/>
      <c r="L778" s="45"/>
      <c r="M778" s="45"/>
      <c r="N778" s="45"/>
      <c r="O778" s="45"/>
      <c r="P778" s="45"/>
      <c r="Q778" s="597"/>
      <c r="R778" s="597"/>
      <c r="S778" s="597"/>
      <c r="T778" s="597"/>
      <c r="U778" s="597"/>
      <c r="V778" s="597"/>
      <c r="W778" s="597"/>
      <c r="X778" s="597"/>
      <c r="Y778" s="597"/>
      <c r="Z778" s="597"/>
    </row>
    <row r="779" spans="1:26" ht="20.25" hidden="1" customHeight="1">
      <c r="A779" s="642"/>
      <c r="B779" s="598"/>
      <c r="C779" s="593"/>
      <c r="D779" s="593"/>
      <c r="E779" s="593"/>
      <c r="F779" s="595" t="s">
        <v>189</v>
      </c>
      <c r="G779" s="596"/>
      <c r="H779" s="165" t="s">
        <v>12</v>
      </c>
      <c r="I779" s="44"/>
      <c r="J779" s="44"/>
      <c r="K779" s="45"/>
      <c r="L779" s="45"/>
      <c r="M779" s="45"/>
      <c r="N779" s="45"/>
      <c r="O779" s="45"/>
      <c r="P779" s="45"/>
      <c r="Q779" s="597"/>
      <c r="R779" s="597"/>
      <c r="S779" s="597"/>
      <c r="T779" s="597"/>
      <c r="U779" s="597"/>
      <c r="V779" s="597"/>
      <c r="W779" s="597"/>
      <c r="X779" s="597"/>
      <c r="Y779" s="597"/>
      <c r="Z779" s="597"/>
    </row>
    <row r="780" spans="1:26" ht="20.25" hidden="1" customHeight="1">
      <c r="A780" s="592"/>
      <c r="B780" s="598"/>
      <c r="C780" s="593"/>
      <c r="D780" s="773" t="s">
        <v>21</v>
      </c>
      <c r="E780" s="593"/>
      <c r="F780" s="593"/>
      <c r="G780" s="596"/>
      <c r="H780" s="774" t="s">
        <v>12</v>
      </c>
      <c r="I780" s="166"/>
      <c r="J780" s="166"/>
      <c r="K780" s="167"/>
      <c r="L780" s="640">
        <f t="shared" ref="L780:N780" si="358">L781+L782</f>
        <v>0</v>
      </c>
      <c r="M780" s="640">
        <f t="shared" si="358"/>
        <v>0</v>
      </c>
      <c r="N780" s="640">
        <f t="shared" si="358"/>
        <v>0</v>
      </c>
      <c r="O780" s="640">
        <f t="shared" ref="O780:O782" si="359">IF(L780&gt;0,N780*100/L780,0)</f>
        <v>0</v>
      </c>
      <c r="P780" s="640">
        <f t="shared" ref="P780:P782" si="360">IF(M780&gt;0,N780*100/M780,0)</f>
        <v>0</v>
      </c>
      <c r="Q780" s="597"/>
      <c r="R780" s="597"/>
      <c r="S780" s="597"/>
      <c r="T780" s="597"/>
      <c r="U780" s="597"/>
      <c r="V780" s="597"/>
      <c r="W780" s="597"/>
      <c r="X780" s="597"/>
      <c r="Y780" s="597"/>
      <c r="Z780" s="597"/>
    </row>
    <row r="781" spans="1:26" ht="20.25" hidden="1" customHeight="1">
      <c r="A781" s="592"/>
      <c r="B781" s="598"/>
      <c r="C781" s="593"/>
      <c r="D781" s="593"/>
      <c r="E781" s="595" t="s">
        <v>18</v>
      </c>
      <c r="F781" s="593"/>
      <c r="G781" s="596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45">
        <f t="shared" si="359"/>
        <v>0</v>
      </c>
      <c r="P781" s="45">
        <f t="shared" si="360"/>
        <v>0</v>
      </c>
      <c r="Q781" s="597"/>
      <c r="R781" s="597"/>
      <c r="S781" s="597"/>
      <c r="T781" s="597"/>
      <c r="U781" s="597"/>
      <c r="V781" s="597"/>
      <c r="W781" s="597"/>
      <c r="X781" s="597"/>
      <c r="Y781" s="597"/>
      <c r="Z781" s="597"/>
    </row>
    <row r="782" spans="1:26" ht="20.25" hidden="1" customHeight="1">
      <c r="A782" s="592"/>
      <c r="B782" s="598"/>
      <c r="C782" s="593"/>
      <c r="D782" s="593"/>
      <c r="E782" s="595" t="s">
        <v>19</v>
      </c>
      <c r="F782" s="593"/>
      <c r="G782" s="596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45">
        <f t="shared" si="359"/>
        <v>0</v>
      </c>
      <c r="P782" s="45">
        <f t="shared" si="360"/>
        <v>0</v>
      </c>
      <c r="Q782" s="597"/>
      <c r="R782" s="597"/>
      <c r="S782" s="597"/>
      <c r="T782" s="597"/>
      <c r="U782" s="597"/>
      <c r="V782" s="597"/>
      <c r="W782" s="597"/>
      <c r="X782" s="597"/>
      <c r="Y782" s="597"/>
      <c r="Z782" s="597"/>
    </row>
    <row r="783" spans="1:26" ht="20.25" hidden="1" customHeight="1">
      <c r="A783" s="607"/>
      <c r="B783" s="608"/>
      <c r="C783" s="593" t="s">
        <v>16</v>
      </c>
      <c r="D783" s="775" t="s">
        <v>38</v>
      </c>
      <c r="E783" s="644"/>
      <c r="F783" s="644"/>
      <c r="G783" s="645"/>
      <c r="H783" s="792"/>
      <c r="I783" s="166"/>
      <c r="J783" s="166"/>
      <c r="K783" s="167"/>
      <c r="L783" s="167"/>
      <c r="M783" s="167"/>
      <c r="N783" s="167"/>
      <c r="O783" s="167"/>
      <c r="P783" s="167"/>
      <c r="Q783" s="597"/>
      <c r="R783" s="597"/>
      <c r="S783" s="597"/>
      <c r="T783" s="597"/>
      <c r="U783" s="597"/>
      <c r="V783" s="597"/>
      <c r="W783" s="597"/>
      <c r="X783" s="597"/>
      <c r="Y783" s="597"/>
      <c r="Z783" s="597"/>
    </row>
    <row r="784" spans="1:26" ht="20.25" hidden="1" customHeight="1">
      <c r="A784" s="642"/>
      <c r="B784" s="598"/>
      <c r="C784" s="593"/>
      <c r="D784" s="593"/>
      <c r="E784" s="595" t="s">
        <v>318</v>
      </c>
      <c r="F784" s="593"/>
      <c r="G784" s="596"/>
      <c r="H784" s="165" t="s">
        <v>46</v>
      </c>
      <c r="I784" s="44"/>
      <c r="J784" s="44"/>
      <c r="K784" s="45"/>
      <c r="L784" s="45"/>
      <c r="M784" s="45"/>
      <c r="N784" s="45"/>
      <c r="O784" s="45"/>
      <c r="P784" s="45"/>
      <c r="Q784" s="597"/>
      <c r="R784" s="597"/>
      <c r="S784" s="597"/>
      <c r="T784" s="597"/>
      <c r="U784" s="597"/>
      <c r="V784" s="597"/>
      <c r="W784" s="597"/>
      <c r="X784" s="597"/>
      <c r="Y784" s="597"/>
      <c r="Z784" s="597"/>
    </row>
    <row r="785" spans="1:26" ht="20.25" customHeight="1">
      <c r="A785" s="793">
        <v>12</v>
      </c>
      <c r="B785" s="794" t="s">
        <v>319</v>
      </c>
      <c r="C785" s="795"/>
      <c r="D785" s="795"/>
      <c r="E785" s="795"/>
      <c r="F785" s="795"/>
      <c r="G785" s="796"/>
      <c r="H785" s="797" t="s">
        <v>46</v>
      </c>
      <c r="I785" s="798">
        <f t="shared" ref="I785:J785" ca="1" si="361">I800</f>
        <v>5000</v>
      </c>
      <c r="J785" s="799">
        <f t="shared" ca="1" si="361"/>
        <v>0</v>
      </c>
      <c r="K785" s="800">
        <f ca="1">IF(I785&gt;0,J785*100/I785,0)</f>
        <v>0</v>
      </c>
      <c r="L785" s="801"/>
      <c r="M785" s="801"/>
      <c r="N785" s="801"/>
      <c r="O785" s="801"/>
      <c r="P785" s="801"/>
      <c r="Q785" s="571"/>
      <c r="R785" s="571"/>
      <c r="S785" s="571"/>
      <c r="T785" s="571"/>
      <c r="U785" s="571"/>
      <c r="V785" s="571"/>
      <c r="W785" s="571"/>
      <c r="X785" s="571"/>
      <c r="Y785" s="571"/>
      <c r="Z785" s="571"/>
    </row>
    <row r="786" spans="1:26" ht="20.25" customHeight="1">
      <c r="A786" s="590"/>
      <c r="B786" s="568"/>
      <c r="C786" s="569" t="s">
        <v>16</v>
      </c>
      <c r="D786" s="863" t="s">
        <v>17</v>
      </c>
      <c r="E786" s="857"/>
      <c r="F786" s="857"/>
      <c r="G786" s="189"/>
      <c r="H786" s="591" t="s">
        <v>12</v>
      </c>
      <c r="I786" s="37"/>
      <c r="J786" s="37"/>
      <c r="K786" s="38"/>
      <c r="L786" s="195">
        <f t="shared" ref="L786:N786" ca="1" si="362">L787+L788</f>
        <v>335200</v>
      </c>
      <c r="M786" s="195">
        <f t="shared" si="362"/>
        <v>0</v>
      </c>
      <c r="N786" s="195">
        <f t="shared" ca="1" si="362"/>
        <v>26000</v>
      </c>
      <c r="O786" s="195">
        <f t="shared" ref="O786:O791" ca="1" si="363">IF(L786&gt;0,N786*100/L786,0)</f>
        <v>7.7565632458233891</v>
      </c>
      <c r="P786" s="195">
        <f t="shared" ref="P786:P791" si="364">IF(M786&gt;0,N786*100/M786,0)</f>
        <v>0</v>
      </c>
      <c r="Q786" s="571"/>
      <c r="R786" s="571"/>
      <c r="S786" s="571"/>
      <c r="T786" s="571"/>
      <c r="U786" s="571"/>
      <c r="V786" s="571"/>
      <c r="W786" s="571"/>
      <c r="X786" s="571"/>
      <c r="Y786" s="571"/>
      <c r="Z786" s="571"/>
    </row>
    <row r="787" spans="1:26" ht="20.25" hidden="1" customHeight="1">
      <c r="A787" s="592"/>
      <c r="B787" s="598"/>
      <c r="C787" s="593"/>
      <c r="D787" s="594"/>
      <c r="E787" s="595" t="s">
        <v>184</v>
      </c>
      <c r="F787" s="593"/>
      <c r="G787" s="596"/>
      <c r="H787" s="165" t="s">
        <v>12</v>
      </c>
      <c r="I787" s="44"/>
      <c r="J787" s="44"/>
      <c r="K787" s="45"/>
      <c r="L787" s="45">
        <f t="shared" ref="L787:N787" si="365">L790+L797</f>
        <v>0</v>
      </c>
      <c r="M787" s="45">
        <f t="shared" si="365"/>
        <v>0</v>
      </c>
      <c r="N787" s="45">
        <f t="shared" si="365"/>
        <v>0</v>
      </c>
      <c r="O787" s="45">
        <f t="shared" si="363"/>
        <v>0</v>
      </c>
      <c r="P787" s="45">
        <f t="shared" si="364"/>
        <v>0</v>
      </c>
      <c r="Q787" s="597"/>
      <c r="R787" s="597"/>
      <c r="S787" s="597"/>
      <c r="T787" s="597"/>
      <c r="U787" s="597"/>
      <c r="V787" s="597"/>
      <c r="W787" s="597"/>
      <c r="X787" s="597"/>
      <c r="Y787" s="597"/>
      <c r="Z787" s="597"/>
    </row>
    <row r="788" spans="1:26" ht="20.25" hidden="1" customHeight="1">
      <c r="A788" s="592"/>
      <c r="B788" s="598"/>
      <c r="C788" s="598"/>
      <c r="D788" s="608"/>
      <c r="E788" s="595" t="s">
        <v>185</v>
      </c>
      <c r="F788" s="593"/>
      <c r="G788" s="596"/>
      <c r="H788" s="165" t="s">
        <v>12</v>
      </c>
      <c r="I788" s="44"/>
      <c r="J788" s="44"/>
      <c r="K788" s="45"/>
      <c r="L788" s="45">
        <f t="shared" ref="L788:N788" ca="1" si="366">L791+L798</f>
        <v>335200</v>
      </c>
      <c r="M788" s="45">
        <f t="shared" si="366"/>
        <v>0</v>
      </c>
      <c r="N788" s="45">
        <f t="shared" ca="1" si="366"/>
        <v>26000</v>
      </c>
      <c r="O788" s="45">
        <f t="shared" ca="1" si="363"/>
        <v>7.7565632458233891</v>
      </c>
      <c r="P788" s="45">
        <f t="shared" si="364"/>
        <v>0</v>
      </c>
      <c r="Q788" s="597"/>
      <c r="R788" s="597"/>
      <c r="S788" s="597"/>
      <c r="T788" s="597"/>
      <c r="U788" s="597"/>
      <c r="V788" s="597"/>
      <c r="W788" s="597"/>
      <c r="X788" s="597"/>
      <c r="Y788" s="597"/>
      <c r="Z788" s="597"/>
    </row>
    <row r="789" spans="1:26" ht="20.25" customHeight="1">
      <c r="A789" s="590"/>
      <c r="B789" s="568"/>
      <c r="C789" s="568"/>
      <c r="D789" s="599" t="s">
        <v>20</v>
      </c>
      <c r="E789" s="569"/>
      <c r="F789" s="569"/>
      <c r="G789" s="189"/>
      <c r="H789" s="161" t="s">
        <v>12</v>
      </c>
      <c r="I789" s="162"/>
      <c r="J789" s="162"/>
      <c r="K789" s="163"/>
      <c r="L789" s="38">
        <f t="shared" ref="L789:N789" ca="1" si="367">L790+L791</f>
        <v>335200</v>
      </c>
      <c r="M789" s="38">
        <f t="shared" si="367"/>
        <v>0</v>
      </c>
      <c r="N789" s="38">
        <f t="shared" ca="1" si="367"/>
        <v>26000</v>
      </c>
      <c r="O789" s="38">
        <f t="shared" ca="1" si="363"/>
        <v>7.7565632458233891</v>
      </c>
      <c r="P789" s="38">
        <f t="shared" si="364"/>
        <v>0</v>
      </c>
      <c r="Q789" s="571"/>
      <c r="R789" s="571"/>
      <c r="S789" s="571"/>
      <c r="T789" s="571"/>
      <c r="U789" s="571"/>
      <c r="V789" s="571"/>
      <c r="W789" s="571"/>
      <c r="X789" s="571"/>
      <c r="Y789" s="571"/>
      <c r="Z789" s="571"/>
    </row>
    <row r="790" spans="1:26" ht="20.25" hidden="1" customHeight="1">
      <c r="A790" s="592"/>
      <c r="B790" s="598"/>
      <c r="C790" s="598"/>
      <c r="D790" s="608"/>
      <c r="E790" s="595" t="s">
        <v>184</v>
      </c>
      <c r="F790" s="593"/>
      <c r="G790" s="596"/>
      <c r="H790" s="165" t="s">
        <v>12</v>
      </c>
      <c r="I790" s="44"/>
      <c r="J790" s="44"/>
      <c r="K790" s="45"/>
      <c r="L790" s="93">
        <v>0</v>
      </c>
      <c r="M790" s="93">
        <v>0</v>
      </c>
      <c r="N790" s="93">
        <v>0</v>
      </c>
      <c r="O790" s="45">
        <f t="shared" si="363"/>
        <v>0</v>
      </c>
      <c r="P790" s="45">
        <f t="shared" si="364"/>
        <v>0</v>
      </c>
      <c r="Q790" s="597"/>
      <c r="R790" s="597"/>
      <c r="S790" s="597"/>
      <c r="T790" s="597"/>
      <c r="U790" s="597"/>
      <c r="V790" s="597"/>
      <c r="W790" s="597"/>
      <c r="X790" s="597"/>
      <c r="Y790" s="597"/>
      <c r="Z790" s="597"/>
    </row>
    <row r="791" spans="1:26" ht="20.25" hidden="1" customHeight="1">
      <c r="A791" s="592"/>
      <c r="B791" s="598"/>
      <c r="C791" s="598"/>
      <c r="D791" s="608"/>
      <c r="E791" s="595" t="s">
        <v>185</v>
      </c>
      <c r="F791" s="593"/>
      <c r="G791" s="596"/>
      <c r="H791" s="165" t="s">
        <v>12</v>
      </c>
      <c r="I791" s="44"/>
      <c r="J791" s="44"/>
      <c r="K791" s="45"/>
      <c r="L791" s="45">
        <f ca="1">IFERROR(__xludf.DUMMYFUNCTION("IMPORTRANGE(""https://docs.google.com/spreadsheets/d/1hKO5uv94SSRZWOvrh72HRcpyoEQF9TsE_Cvxl77XNU4/edit?usp=share_link"",""กาญจนบุรี!L791"")+IMPORTRANGE(""https://docs.google.com/spreadsheets/d/1njBaP_xXd-Uotvo2D9zb01TTCFkLJLDK97Tk1l9Qux0/edit?usp=share_li"&amp;"nk"",""จันทบุรี!L791"")+IMPORTRANGE(""https://docs.google.com/spreadsheets/d/14xp6qUzrGFnUk_qnc1eEmfiaNRd4_grkhpfQH_46fa8/edit?usp=share_link"",""ฉะเชิงเทรา!L791"")+IMPORTRANGE(""https://docs.google.com/spreadsheets/d/1_Zwps30dlVa-pZFsorjVf1Pil6WXwzCsJU0U"&amp;"2whO3NI/edit?usp=share_link"",""ชลบุรี!L791"")+IMPORTRANGE(""https://docs.google.com/spreadsheets/d/1xAsT4sUbBlom7l0acStESh_15nvjZcXjZM7fK5uZSq8/edit?usp=share_link"",""ชัยนาท!L791"")+IMPORTRANGE(""https://docs.google.com/spreadsheets/d/1vWPVBOAaZ6mHSI8yf"&amp;"95DNqHwTJ1cpeFsvqt6cxV34QA/edit?usp=share_link"",""ตราด!L791"")+IMPORTRANGE(""https://docs.google.com/spreadsheets/d/1phaeSb9lTGgzDpbvVqI9hfmOQQzUom07-HEvpbARzEg/edit?usp=share_link"",""นครนายก!L791"")+IMPORTRANGE(""https://docs.google.com/spreadsheets/d/"&amp;"1tpwhWwkqkBeiSWCcfB5f2fbwPRbM9hHOEDSDHpl2MIc/edit?usp=share_link"",""นครปฐม!L791"")+IMPORTRANGE(""https://docs.google.com/spreadsheets/d/1fJJCVBkBnhriyv0Cp5ZFMr0I_yrfdEITNpb4zILJgUQ/edit?usp=share_link"",""ปทุมธานี!L791"")+IMPORTRANGE(""https://docs.googl"&amp;"e.com/spreadsheets/d/1W5Jj_S0gYw6wSO7QcMI02YgyOBDKYgmm0NSUk-AQEac/edit?usp=share_link"",""ประจวบคีรีขันธ์!L791"")+IMPORTRANGE(""https://docs.google.com/spreadsheets/d/1nYxRXgnCfTXtqUY1otYuTlnrzE0Tn-Y0YRsW5pkRVqo/edit?usp=share_link"",""ปราจีนบุรี!L791"")+"&amp;"IMPORTRANGE(""https://docs.google.com/spreadsheets/d/1nNHCLO8ZAXOMfQvxux7cf_hrzPAh8FAvaHq_ClKbZNo/edit?usp=share_link"",""พระนครศรีอยุธยา!L791"")+IMPORTRANGE(""https://docs.google.com/spreadsheets/d/1CdNicvf3i6yt4tJlCePe3V1Va76wYqW0QzMzTsaGRrA/edit?usp=sh"&amp;"are_link"",""เพชรบุรี!L791"")+IMPORTRANGE(""https://docs.google.com/spreadsheets/d/1XiF77UIVHV0Kjc6xbXuOuJ10WgJYxd4p_22ngKVV5oM/edit?usp=share_link"",""ระยอง!L791"")+IMPORTRANGE(""https://docs.google.com/spreadsheets/d/1qU-W_9MCQD1pgIVXGEOjCFo9QqlmJywueby"&amp;"GgaN92r8/edit?usp=share_link"",""ราชบุรี!L791"")+IMPORTRANGE(""https://docs.google.com/spreadsheets/d/1xYFIxIM_CspAP5Q-5Zx_V0T_Ut3cjryrjd2hss28vGk/edit?usp=share_link"",""ลพบุรี!L791"")+IMPORTRANGE(""https://docs.google.com/spreadsheets/d/11s9m3tKsCBdPWq6"&amp;"syhZm27eBGbKneDLZc75co106bio/edit?usp=share_link"",""สระแก้ว!L791"")+IMPORTRANGE(""https://docs.google.com/spreadsheets/d/1Nn1EvsFPtXldgpgVb3Rcng2K2cls68LFQsBh2FyW0Bg/edit?usp=share_link"",""สระบุรี!L791"")+IMPORTRANGE(""https://docs.google.com/spreadshee"&amp;"ts/d/149xufxukrnEciK3WPbNpHwUK8BKEJxp3UcBG3Al6dA4/edit?usp=share_link"",""สิงห์บุรี!L791"")+IMPORTRANGE(""https://docs.google.com/spreadsheets/d/132g-zJpz2uMKimp17uOIx8A7o3w1Z25zwJyXnwsB56c/edit?usp=share_link"",""สุพรรณบุรี!L791"")+IMPORTRANGE(""https://"&amp;"docs.google.com/spreadsheets/d/12Q_U0nVnFdxDFwa0pej9xvx8ZvLC9Dpi_vRro_aiG5g/edit?usp=share_link"",""อ่างทอง!L791"")
"),335200)</f>
        <v>335200</v>
      </c>
      <c r="M791" s="93">
        <v>0</v>
      </c>
      <c r="N791" s="45">
        <f ca="1">N792+N793+N794+N795</f>
        <v>26000</v>
      </c>
      <c r="O791" s="45">
        <f t="shared" ca="1" si="363"/>
        <v>7.7565632458233891</v>
      </c>
      <c r="P791" s="45">
        <f t="shared" si="364"/>
        <v>0</v>
      </c>
      <c r="Q791" s="597"/>
      <c r="R791" s="597"/>
      <c r="S791" s="597"/>
      <c r="T791" s="597"/>
      <c r="U791" s="597"/>
      <c r="V791" s="597"/>
      <c r="W791" s="597"/>
      <c r="X791" s="597"/>
      <c r="Y791" s="597"/>
      <c r="Z791" s="597"/>
    </row>
    <row r="792" spans="1:26" ht="20.25" customHeight="1">
      <c r="A792" s="567"/>
      <c r="B792" s="568"/>
      <c r="C792" s="569"/>
      <c r="D792" s="569"/>
      <c r="E792" s="569"/>
      <c r="F792" s="570" t="s">
        <v>186</v>
      </c>
      <c r="G792" s="189"/>
      <c r="H792" s="161" t="s">
        <v>12</v>
      </c>
      <c r="I792" s="37"/>
      <c r="J792" s="37"/>
      <c r="K792" s="38"/>
      <c r="L792" s="38"/>
      <c r="M792" s="38"/>
      <c r="N792" s="283">
        <f ca="1">IFERROR(__xludf.DUMMYFUNCTION("IMPORTRANGE(""https://docs.google.com/spreadsheets/d/1hKO5uv94SSRZWOvrh72HRcpyoEQF9TsE_Cvxl77XNU4/edit?usp=share_link"",""กาญจนบุรี!n792"")+IMPORTRANGE(""https://docs.google.com/spreadsheets/d/1njBaP_xXd-Uotvo2D9zb01TTCFkLJLDK97Tk1l9Qux0/edit?usp=share_li"&amp;"nk"",""จันทบุรี!n792"")+IMPORTRANGE(""https://docs.google.com/spreadsheets/d/14xp6qUzrGFnUk_qnc1eEmfiaNRd4_grkhpfQH_46fa8/edit?usp=share_link"",""ฉะเชิงเทรา!n792"")+IMPORTRANGE(""https://docs.google.com/spreadsheets/d/1_Zwps30dlVa-pZFsorjVf1Pil6WXwzCsJU0U"&amp;"2whO3NI/edit?usp=share_link"",""ชลบุรี!n792"")+IMPORTRANGE(""https://docs.google.com/spreadsheets/d/1xAsT4sUbBlom7l0acStESh_15nvjZcXjZM7fK5uZSq8/edit?usp=share_link"",""ชัยนาท!n792"")+IMPORTRANGE(""https://docs.google.com/spreadsheets/d/1vWPVBOAaZ6mHSI8yf"&amp;"95DNqHwTJ1cpeFsvqt6cxV34QA/edit?usp=share_link"",""ตราด!n792"")+IMPORTRANGE(""https://docs.google.com/spreadsheets/d/1phaeSb9lTGgzDpbvVqI9hfmOQQzUom07-HEvpbARzEg/edit?usp=share_link"",""นครนายก!n792"")+IMPORTRANGE(""https://docs.google.com/spreadsheets/d/"&amp;"1tpwhWwkqkBeiSWCcfB5f2fbwPRbM9hHOEDSDHpl2MIc/edit?usp=share_link"",""นครปฐม!n792"")+IMPORTRANGE(""https://docs.google.com/spreadsheets/d/1fJJCVBkBnhriyv0Cp5ZFMr0I_yrfdEITNpb4zILJgUQ/edit?usp=share_link"",""ปทุมธานี!n792"")+IMPORTRANGE(""https://docs.googl"&amp;"e.com/spreadsheets/d/1W5Jj_S0gYw6wSO7QcMI02YgyOBDKYgmm0NSUk-AQEac/edit?usp=share_link"",""ประจวบคีรีขันธ์!n792"")+IMPORTRANGE(""https://docs.google.com/spreadsheets/d/1nYxRXgnCfTXtqUY1otYuTlnrzE0Tn-Y0YRsW5pkRVqo/edit?usp=share_link"",""ปราจีนบุรี!n792"")+"&amp;"IMPORTRANGE(""https://docs.google.com/spreadsheets/d/1nNHCLO8ZAXOMfQvxux7cf_hrzPAh8FAvaHq_ClKbZNo/edit?usp=share_link"",""พระนครศรีอยุธยา!n792"")+IMPORTRANGE(""https://docs.google.com/spreadsheets/d/1CdNicvf3i6yt4tJlCePe3V1Va76wYqW0QzMzTsaGRrA/edit?usp=sh"&amp;"are_link"",""เพชรบุรี!n792"")+IMPORTRANGE(""https://docs.google.com/spreadsheets/d/1XiF77UIVHV0Kjc6xbXuOuJ10WgJYxd4p_22ngKVV5oM/edit?usp=share_link"",""ระยอง!n792"")+IMPORTRANGE(""https://docs.google.com/spreadsheets/d/1qU-W_9MCQD1pgIVXGEOjCFo9QqlmJywueby"&amp;"GgaN92r8/edit?usp=share_link"",""ราชบุรี!n792"")+IMPORTRANGE(""https://docs.google.com/spreadsheets/d/1xYFIxIM_CspAP5Q-5Zx_V0T_Ut3cjryrjd2hss28vGk/edit?usp=share_link"",""ลพบุรี!n792"")+IMPORTRANGE(""https://docs.google.com/spreadsheets/d/11s9m3tKsCBdPWq6"&amp;"syhZm27eBGbKneDLZc75co106bio/edit?usp=share_link"",""สระแก้ว!n792"")+IMPORTRANGE(""https://docs.google.com/spreadsheets/d/1Nn1EvsFPtXldgpgVb3Rcng2K2cls68LFQsBh2FyW0Bg/edit?usp=share_link"",""สระบุรี!n792"")+IMPORTRANGE(""https://docs.google.com/spreadshee"&amp;"ts/d/149xufxukrnEciK3WPbNpHwUK8BKEJxp3UcBG3Al6dA4/edit?usp=share_link"",""สิงห์บุรี!n792"")+IMPORTRANGE(""https://docs.google.com/spreadsheets/d/132g-zJpz2uMKimp17uOIx8A7o3w1Z25zwJyXnwsB56c/edit?usp=share_link"",""สุพรรณบุรี!n792"")+IMPORTRANGE(""https://"&amp;"docs.google.com/spreadsheets/d/12Q_U0nVnFdxDFwa0pej9xvx8ZvLC9Dpi_vRro_aiG5g/edit?usp=share_link"",""อ่างทอง!n792"")
"),0)</f>
        <v>0</v>
      </c>
      <c r="O792" s="38"/>
      <c r="P792" s="38"/>
      <c r="Q792" s="571"/>
      <c r="R792" s="571"/>
      <c r="S792" s="571"/>
      <c r="T792" s="571"/>
      <c r="U792" s="571"/>
      <c r="V792" s="571"/>
      <c r="W792" s="571"/>
      <c r="X792" s="571"/>
      <c r="Y792" s="571"/>
      <c r="Z792" s="571"/>
    </row>
    <row r="793" spans="1:26" ht="20.25" customHeight="1">
      <c r="A793" s="567"/>
      <c r="B793" s="568"/>
      <c r="C793" s="569"/>
      <c r="D793" s="569"/>
      <c r="E793" s="569"/>
      <c r="F793" s="570" t="s">
        <v>187</v>
      </c>
      <c r="G793" s="189"/>
      <c r="H793" s="161" t="s">
        <v>12</v>
      </c>
      <c r="I793" s="37"/>
      <c r="J793" s="37"/>
      <c r="K793" s="38"/>
      <c r="L793" s="38"/>
      <c r="M793" s="38"/>
      <c r="N793" s="283">
        <f ca="1">IFERROR(__xludf.DUMMYFUNCTION("IMPORTRANGE(""https://docs.google.com/spreadsheets/d/1hKO5uv94SSRZWOvrh72HRcpyoEQF9TsE_Cvxl77XNU4/edit?usp=share_link"",""กาญจนบุรี!n793"")+IMPORTRANGE(""https://docs.google.com/spreadsheets/d/1njBaP_xXd-Uotvo2D9zb01TTCFkLJLDK97Tk1l9Qux0/edit?usp=share_li"&amp;"nk"",""จันทบุรี!n793"")+IMPORTRANGE(""https://docs.google.com/spreadsheets/d/14xp6qUzrGFnUk_qnc1eEmfiaNRd4_grkhpfQH_46fa8/edit?usp=share_link"",""ฉะเชิงเทรา!n793"")+IMPORTRANGE(""https://docs.google.com/spreadsheets/d/1_Zwps30dlVa-pZFsorjVf1Pil6WXwzCsJU0U"&amp;"2whO3NI/edit?usp=share_link"",""ชลบุรี!n793"")+IMPORTRANGE(""https://docs.google.com/spreadsheets/d/1xAsT4sUbBlom7l0acStESh_15nvjZcXjZM7fK5uZSq8/edit?usp=share_link"",""ชัยนาท!n793"")+IMPORTRANGE(""https://docs.google.com/spreadsheets/d/1vWPVBOAaZ6mHSI8yf"&amp;"95DNqHwTJ1cpeFsvqt6cxV34QA/edit?usp=share_link"",""ตราด!n793"")+IMPORTRANGE(""https://docs.google.com/spreadsheets/d/1phaeSb9lTGgzDpbvVqI9hfmOQQzUom07-HEvpbARzEg/edit?usp=share_link"",""นครนายก!n793"")+IMPORTRANGE(""https://docs.google.com/spreadsheets/d/"&amp;"1tpwhWwkqkBeiSWCcfB5f2fbwPRbM9hHOEDSDHpl2MIc/edit?usp=share_link"",""นครปฐม!n793"")+IMPORTRANGE(""https://docs.google.com/spreadsheets/d/1fJJCVBkBnhriyv0Cp5ZFMr0I_yrfdEITNpb4zILJgUQ/edit?usp=share_link"",""ปทุมธานี!n793"")+IMPORTRANGE(""https://docs.googl"&amp;"e.com/spreadsheets/d/1W5Jj_S0gYw6wSO7QcMI02YgyOBDKYgmm0NSUk-AQEac/edit?usp=share_link"",""ประจวบคีรีขันธ์!n793"")+IMPORTRANGE(""https://docs.google.com/spreadsheets/d/1nYxRXgnCfTXtqUY1otYuTlnrzE0Tn-Y0YRsW5pkRVqo/edit?usp=share_link"",""ปราจีนบุรี!n793"")+"&amp;"IMPORTRANGE(""https://docs.google.com/spreadsheets/d/1nNHCLO8ZAXOMfQvxux7cf_hrzPAh8FAvaHq_ClKbZNo/edit?usp=share_link"",""พระนครศรีอยุธยา!n793"")+IMPORTRANGE(""https://docs.google.com/spreadsheets/d/1CdNicvf3i6yt4tJlCePe3V1Va76wYqW0QzMzTsaGRrA/edit?usp=sh"&amp;"are_link"",""เพชรบุรี!n793"")+IMPORTRANGE(""https://docs.google.com/spreadsheets/d/1XiF77UIVHV0Kjc6xbXuOuJ10WgJYxd4p_22ngKVV5oM/edit?usp=share_link"",""ระยอง!n793"")+IMPORTRANGE(""https://docs.google.com/spreadsheets/d/1qU-W_9MCQD1pgIVXGEOjCFo9QqlmJywueby"&amp;"GgaN92r8/edit?usp=share_link"",""ราชบุรี!n793"")+IMPORTRANGE(""https://docs.google.com/spreadsheets/d/1xYFIxIM_CspAP5Q-5Zx_V0T_Ut3cjryrjd2hss28vGk/edit?usp=share_link"",""ลพบุรี!n793"")+IMPORTRANGE(""https://docs.google.com/spreadsheets/d/11s9m3tKsCBdPWq6"&amp;"syhZm27eBGbKneDLZc75co106bio/edit?usp=share_link"",""สระแก้ว!n793"")+IMPORTRANGE(""https://docs.google.com/spreadsheets/d/1Nn1EvsFPtXldgpgVb3Rcng2K2cls68LFQsBh2FyW0Bg/edit?usp=share_link"",""สระบุรี!n793"")+IMPORTRANGE(""https://docs.google.com/spreadshee"&amp;"ts/d/149xufxukrnEciK3WPbNpHwUK8BKEJxp3UcBG3Al6dA4/edit?usp=share_link"",""สิงห์บุรี!n793"")+IMPORTRANGE(""https://docs.google.com/spreadsheets/d/132g-zJpz2uMKimp17uOIx8A7o3w1Z25zwJyXnwsB56c/edit?usp=share_link"",""สุพรรณบุรี!n793"")+IMPORTRANGE(""https://"&amp;"docs.google.com/spreadsheets/d/12Q_U0nVnFdxDFwa0pej9xvx8ZvLC9Dpi_vRro_aiG5g/edit?usp=share_link"",""อ่างทอง!n793"")
"),0)</f>
        <v>0</v>
      </c>
      <c r="O793" s="38"/>
      <c r="P793" s="38"/>
      <c r="Q793" s="571"/>
      <c r="R793" s="571"/>
      <c r="S793" s="571"/>
      <c r="T793" s="571"/>
      <c r="U793" s="571"/>
      <c r="V793" s="571"/>
      <c r="W793" s="571"/>
      <c r="X793" s="571"/>
      <c r="Y793" s="571"/>
      <c r="Z793" s="571"/>
    </row>
    <row r="794" spans="1:26" ht="20.25" customHeight="1">
      <c r="A794" s="567"/>
      <c r="B794" s="568"/>
      <c r="C794" s="569"/>
      <c r="D794" s="569"/>
      <c r="E794" s="569"/>
      <c r="F794" s="570" t="s">
        <v>188</v>
      </c>
      <c r="G794" s="189"/>
      <c r="H794" s="161" t="s">
        <v>12</v>
      </c>
      <c r="I794" s="37"/>
      <c r="J794" s="37"/>
      <c r="K794" s="38"/>
      <c r="L794" s="38"/>
      <c r="M794" s="38"/>
      <c r="N794" s="283">
        <f ca="1">IFERROR(__xludf.DUMMYFUNCTION("IMPORTRANGE(""https://docs.google.com/spreadsheets/d/1hKO5uv94SSRZWOvrh72HRcpyoEQF9TsE_Cvxl77XNU4/edit?usp=share_link"",""กาญจนบุรี!n794"")+IMPORTRANGE(""https://docs.google.com/spreadsheets/d/1njBaP_xXd-Uotvo2D9zb01TTCFkLJLDK97Tk1l9Qux0/edit?usp=share_li"&amp;"nk"",""จันทบุรี!n794"")+IMPORTRANGE(""https://docs.google.com/spreadsheets/d/14xp6qUzrGFnUk_qnc1eEmfiaNRd4_grkhpfQH_46fa8/edit?usp=share_link"",""ฉะเชิงเทรา!n794"")+IMPORTRANGE(""https://docs.google.com/spreadsheets/d/1_Zwps30dlVa-pZFsorjVf1Pil6WXwzCsJU0U"&amp;"2whO3NI/edit?usp=share_link"",""ชลบุรี!n794"")+IMPORTRANGE(""https://docs.google.com/spreadsheets/d/1xAsT4sUbBlom7l0acStESh_15nvjZcXjZM7fK5uZSq8/edit?usp=share_link"",""ชัยนาท!n794"")+IMPORTRANGE(""https://docs.google.com/spreadsheets/d/1vWPVBOAaZ6mHSI8yf"&amp;"95DNqHwTJ1cpeFsvqt6cxV34QA/edit?usp=share_link"",""ตราด!n794"")+IMPORTRANGE(""https://docs.google.com/spreadsheets/d/1phaeSb9lTGgzDpbvVqI9hfmOQQzUom07-HEvpbARzEg/edit?usp=share_link"",""นครนายก!n794"")+IMPORTRANGE(""https://docs.google.com/spreadsheets/d/"&amp;"1tpwhWwkqkBeiSWCcfB5f2fbwPRbM9hHOEDSDHpl2MIc/edit?usp=share_link"",""นครปฐม!n794"")+IMPORTRANGE(""https://docs.google.com/spreadsheets/d/1fJJCVBkBnhriyv0Cp5ZFMr0I_yrfdEITNpb4zILJgUQ/edit?usp=share_link"",""ปทุมธานี!n794"")+IMPORTRANGE(""https://docs.googl"&amp;"e.com/spreadsheets/d/1W5Jj_S0gYw6wSO7QcMI02YgyOBDKYgmm0NSUk-AQEac/edit?usp=share_link"",""ประจวบคีรีขันธ์!n794"")+IMPORTRANGE(""https://docs.google.com/spreadsheets/d/1nYxRXgnCfTXtqUY1otYuTlnrzE0Tn-Y0YRsW5pkRVqo/edit?usp=share_link"",""ปราจีนบุรี!n794"")+"&amp;"IMPORTRANGE(""https://docs.google.com/spreadsheets/d/1nNHCLO8ZAXOMfQvxux7cf_hrzPAh8FAvaHq_ClKbZNo/edit?usp=share_link"",""พระนครศรีอยุธยา!n794"")+IMPORTRANGE(""https://docs.google.com/spreadsheets/d/1CdNicvf3i6yt4tJlCePe3V1Va76wYqW0QzMzTsaGRrA/edit?usp=sh"&amp;"are_link"",""เพชรบุรี!n794"")+IMPORTRANGE(""https://docs.google.com/spreadsheets/d/1XiF77UIVHV0Kjc6xbXuOuJ10WgJYxd4p_22ngKVV5oM/edit?usp=share_link"",""ระยอง!n794"")+IMPORTRANGE(""https://docs.google.com/spreadsheets/d/1qU-W_9MCQD1pgIVXGEOjCFo9QqlmJywueby"&amp;"GgaN92r8/edit?usp=share_link"",""ราชบุรี!n794"")+IMPORTRANGE(""https://docs.google.com/spreadsheets/d/1xYFIxIM_CspAP5Q-5Zx_V0T_Ut3cjryrjd2hss28vGk/edit?usp=share_link"",""ลพบุรี!n794"")+IMPORTRANGE(""https://docs.google.com/spreadsheets/d/11s9m3tKsCBdPWq6"&amp;"syhZm27eBGbKneDLZc75co106bio/edit?usp=share_link"",""สระแก้ว!n794"")+IMPORTRANGE(""https://docs.google.com/spreadsheets/d/1Nn1EvsFPtXldgpgVb3Rcng2K2cls68LFQsBh2FyW0Bg/edit?usp=share_link"",""สระบุรี!n794"")+IMPORTRANGE(""https://docs.google.com/spreadshee"&amp;"ts/d/149xufxukrnEciK3WPbNpHwUK8BKEJxp3UcBG3Al6dA4/edit?usp=share_link"",""สิงห์บุรี!n794"")+IMPORTRANGE(""https://docs.google.com/spreadsheets/d/132g-zJpz2uMKimp17uOIx8A7o3w1Z25zwJyXnwsB56c/edit?usp=share_link"",""สุพรรณบุรี!n794"")+IMPORTRANGE(""https://"&amp;"docs.google.com/spreadsheets/d/12Q_U0nVnFdxDFwa0pej9xvx8ZvLC9Dpi_vRro_aiG5g/edit?usp=share_link"",""อ่างทอง!n794"")
"),26000)</f>
        <v>26000</v>
      </c>
      <c r="O794" s="38"/>
      <c r="P794" s="38"/>
      <c r="Q794" s="571"/>
      <c r="R794" s="571"/>
      <c r="S794" s="571"/>
      <c r="T794" s="571"/>
      <c r="U794" s="571"/>
      <c r="V794" s="571"/>
      <c r="W794" s="571"/>
      <c r="X794" s="571"/>
      <c r="Y794" s="571"/>
      <c r="Z794" s="571"/>
    </row>
    <row r="795" spans="1:26" ht="20.25" customHeight="1">
      <c r="A795" s="567"/>
      <c r="B795" s="568"/>
      <c r="C795" s="569"/>
      <c r="D795" s="569"/>
      <c r="E795" s="569"/>
      <c r="F795" s="570" t="s">
        <v>189</v>
      </c>
      <c r="G795" s="189"/>
      <c r="H795" s="161" t="s">
        <v>12</v>
      </c>
      <c r="I795" s="37"/>
      <c r="J795" s="37"/>
      <c r="K795" s="38"/>
      <c r="L795" s="38"/>
      <c r="M795" s="38"/>
      <c r="N795" s="283">
        <f ca="1">IFERROR(__xludf.DUMMYFUNCTION("IMPORTRANGE(""https://docs.google.com/spreadsheets/d/1hKO5uv94SSRZWOvrh72HRcpyoEQF9TsE_Cvxl77XNU4/edit?usp=share_link"",""กาญจนบุรี!n795"")+IMPORTRANGE(""https://docs.google.com/spreadsheets/d/1njBaP_xXd-Uotvo2D9zb01TTCFkLJLDK97Tk1l9Qux0/edit?usp=share_li"&amp;"nk"",""จันทบุรี!n795"")+IMPORTRANGE(""https://docs.google.com/spreadsheets/d/14xp6qUzrGFnUk_qnc1eEmfiaNRd4_grkhpfQH_46fa8/edit?usp=share_link"",""ฉะเชิงเทรา!n795"")+IMPORTRANGE(""https://docs.google.com/spreadsheets/d/1_Zwps30dlVa-pZFsorjVf1Pil6WXwzCsJU0U"&amp;"2whO3NI/edit?usp=share_link"",""ชลบุรี!n795"")+IMPORTRANGE(""https://docs.google.com/spreadsheets/d/1xAsT4sUbBlom7l0acStESh_15nvjZcXjZM7fK5uZSq8/edit?usp=share_link"",""ชัยนาท!n795"")+IMPORTRANGE(""https://docs.google.com/spreadsheets/d/1vWPVBOAaZ6mHSI8yf"&amp;"95DNqHwTJ1cpeFsvqt6cxV34QA/edit?usp=share_link"",""ตราด!n795"")+IMPORTRANGE(""https://docs.google.com/spreadsheets/d/1phaeSb9lTGgzDpbvVqI9hfmOQQzUom07-HEvpbARzEg/edit?usp=share_link"",""นครนายก!n795"")+IMPORTRANGE(""https://docs.google.com/spreadsheets/d/"&amp;"1tpwhWwkqkBeiSWCcfB5f2fbwPRbM9hHOEDSDHpl2MIc/edit?usp=share_link"",""นครปฐม!n795"")+IMPORTRANGE(""https://docs.google.com/spreadsheets/d/1fJJCVBkBnhriyv0Cp5ZFMr0I_yrfdEITNpb4zILJgUQ/edit?usp=share_link"",""ปทุมธานี!n795"")+IMPORTRANGE(""https://docs.googl"&amp;"e.com/spreadsheets/d/1W5Jj_S0gYw6wSO7QcMI02YgyOBDKYgmm0NSUk-AQEac/edit?usp=share_link"",""ประจวบคีรีขันธ์!n795"")+IMPORTRANGE(""https://docs.google.com/spreadsheets/d/1nYxRXgnCfTXtqUY1otYuTlnrzE0Tn-Y0YRsW5pkRVqo/edit?usp=share_link"",""ปราจีนบุรี!n795"")+"&amp;"IMPORTRANGE(""https://docs.google.com/spreadsheets/d/1nNHCLO8ZAXOMfQvxux7cf_hrzPAh8FAvaHq_ClKbZNo/edit?usp=share_link"",""พระนครศรีอยุธยา!n795"")+IMPORTRANGE(""https://docs.google.com/spreadsheets/d/1CdNicvf3i6yt4tJlCePe3V1Va76wYqW0QzMzTsaGRrA/edit?usp=sh"&amp;"are_link"",""เพชรบุรี!n795"")+IMPORTRANGE(""https://docs.google.com/spreadsheets/d/1XiF77UIVHV0Kjc6xbXuOuJ10WgJYxd4p_22ngKVV5oM/edit?usp=share_link"",""ระยอง!n795"")+IMPORTRANGE(""https://docs.google.com/spreadsheets/d/1qU-W_9MCQD1pgIVXGEOjCFo9QqlmJywueby"&amp;"GgaN92r8/edit?usp=share_link"",""ราชบุรี!n795"")+IMPORTRANGE(""https://docs.google.com/spreadsheets/d/1xYFIxIM_CspAP5Q-5Zx_V0T_Ut3cjryrjd2hss28vGk/edit?usp=share_link"",""ลพบุรี!n795"")+IMPORTRANGE(""https://docs.google.com/spreadsheets/d/11s9m3tKsCBdPWq6"&amp;"syhZm27eBGbKneDLZc75co106bio/edit?usp=share_link"",""สระแก้ว!n795"")+IMPORTRANGE(""https://docs.google.com/spreadsheets/d/1Nn1EvsFPtXldgpgVb3Rcng2K2cls68LFQsBh2FyW0Bg/edit?usp=share_link"",""สระบุรี!n795"")+IMPORTRANGE(""https://docs.google.com/spreadshee"&amp;"ts/d/149xufxukrnEciK3WPbNpHwUK8BKEJxp3UcBG3Al6dA4/edit?usp=share_link"",""สิงห์บุรี!n795"")+IMPORTRANGE(""https://docs.google.com/spreadsheets/d/132g-zJpz2uMKimp17uOIx8A7o3w1Z25zwJyXnwsB56c/edit?usp=share_link"",""สุพรรณบุรี!n795"")+IMPORTRANGE(""https://"&amp;"docs.google.com/spreadsheets/d/12Q_U0nVnFdxDFwa0pej9xvx8ZvLC9Dpi_vRro_aiG5g/edit?usp=share_link"",""อ่างทอง!n795"")
"),0)</f>
        <v>0</v>
      </c>
      <c r="O795" s="38"/>
      <c r="P795" s="38"/>
      <c r="Q795" s="571"/>
      <c r="R795" s="571"/>
      <c r="S795" s="571"/>
      <c r="T795" s="571"/>
      <c r="U795" s="571"/>
      <c r="V795" s="571"/>
      <c r="W795" s="571"/>
      <c r="X795" s="571"/>
      <c r="Y795" s="571"/>
      <c r="Z795" s="571"/>
    </row>
    <row r="796" spans="1:26" ht="20.25" customHeight="1">
      <c r="A796" s="590"/>
      <c r="B796" s="568"/>
      <c r="C796" s="569"/>
      <c r="D796" s="599" t="s">
        <v>21</v>
      </c>
      <c r="E796" s="569"/>
      <c r="F796" s="569"/>
      <c r="G796" s="189"/>
      <c r="H796" s="168" t="s">
        <v>12</v>
      </c>
      <c r="I796" s="162"/>
      <c r="J796" s="162"/>
      <c r="K796" s="163"/>
      <c r="L796" s="38">
        <f t="shared" ref="L796:N796" si="368">L797+L798</f>
        <v>0</v>
      </c>
      <c r="M796" s="38">
        <f t="shared" si="368"/>
        <v>0</v>
      </c>
      <c r="N796" s="38">
        <f t="shared" si="368"/>
        <v>0</v>
      </c>
      <c r="O796" s="38">
        <f t="shared" ref="O796:O798" si="369">IF(L796&gt;0,N796*100/L796,0)</f>
        <v>0</v>
      </c>
      <c r="P796" s="38">
        <f t="shared" ref="P796:P798" si="370">IF(M796&gt;0,N796*100/M796,0)</f>
        <v>0</v>
      </c>
      <c r="Q796" s="571"/>
      <c r="R796" s="571"/>
      <c r="S796" s="571"/>
      <c r="T796" s="571"/>
      <c r="U796" s="571"/>
      <c r="V796" s="571"/>
      <c r="W796" s="571"/>
      <c r="X796" s="571"/>
      <c r="Y796" s="571"/>
      <c r="Z796" s="571"/>
    </row>
    <row r="797" spans="1:26" ht="20.25" hidden="1" customHeight="1">
      <c r="A797" s="592"/>
      <c r="B797" s="598"/>
      <c r="C797" s="593"/>
      <c r="D797" s="593"/>
      <c r="E797" s="595" t="s">
        <v>18</v>
      </c>
      <c r="F797" s="593"/>
      <c r="G797" s="596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45">
        <f t="shared" si="369"/>
        <v>0</v>
      </c>
      <c r="P797" s="45">
        <f t="shared" si="370"/>
        <v>0</v>
      </c>
      <c r="Q797" s="597"/>
      <c r="R797" s="597"/>
      <c r="S797" s="597"/>
      <c r="T797" s="597"/>
      <c r="U797" s="597"/>
      <c r="V797" s="597"/>
      <c r="W797" s="597"/>
      <c r="X797" s="597"/>
      <c r="Y797" s="597"/>
      <c r="Z797" s="597"/>
    </row>
    <row r="798" spans="1:26" ht="20.25" hidden="1" customHeight="1">
      <c r="A798" s="592"/>
      <c r="B798" s="598"/>
      <c r="C798" s="593"/>
      <c r="D798" s="593"/>
      <c r="E798" s="595" t="s">
        <v>19</v>
      </c>
      <c r="F798" s="593"/>
      <c r="G798" s="596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45">
        <f t="shared" si="369"/>
        <v>0</v>
      </c>
      <c r="P798" s="45">
        <f t="shared" si="370"/>
        <v>0</v>
      </c>
      <c r="Q798" s="597"/>
      <c r="R798" s="597"/>
      <c r="S798" s="597"/>
      <c r="T798" s="597"/>
      <c r="U798" s="597"/>
      <c r="V798" s="597"/>
      <c r="W798" s="597"/>
      <c r="X798" s="597"/>
      <c r="Y798" s="597"/>
      <c r="Z798" s="597"/>
    </row>
    <row r="799" spans="1:26" ht="20.25" customHeight="1">
      <c r="A799" s="601"/>
      <c r="B799" s="602"/>
      <c r="C799" s="569" t="s">
        <v>16</v>
      </c>
      <c r="D799" s="751" t="s">
        <v>38</v>
      </c>
      <c r="E799" s="605"/>
      <c r="F799" s="605"/>
      <c r="G799" s="606"/>
      <c r="H799" s="802"/>
      <c r="I799" s="162"/>
      <c r="J799" s="162"/>
      <c r="K799" s="163"/>
      <c r="L799" s="163"/>
      <c r="M799" s="163"/>
      <c r="N799" s="163"/>
      <c r="O799" s="163"/>
      <c r="P799" s="163"/>
      <c r="Q799" s="571"/>
      <c r="R799" s="571"/>
      <c r="S799" s="571"/>
      <c r="T799" s="571"/>
      <c r="U799" s="571"/>
      <c r="V799" s="571"/>
      <c r="W799" s="571"/>
      <c r="X799" s="571"/>
      <c r="Y799" s="571"/>
      <c r="Z799" s="571"/>
    </row>
    <row r="800" spans="1:26" ht="20.25" customHeight="1">
      <c r="A800" s="601"/>
      <c r="B800" s="602"/>
      <c r="C800" s="602"/>
      <c r="D800" s="602"/>
      <c r="E800" s="612"/>
      <c r="F800" s="187" t="s">
        <v>320</v>
      </c>
      <c r="G800" s="175"/>
      <c r="H800" s="185" t="s">
        <v>46</v>
      </c>
      <c r="I800" s="162">
        <f ca="1">IFERROR(__xludf.DUMMYFUNCTION("IMPORTRANGE(""https://docs.google.com/spreadsheets/d/1hKO5uv94SSRZWOvrh72HRcpyoEQF9TsE_Cvxl77XNU4/edit?usp=share_link"",""กาญจนบุรี!I800"")+IMPORTRANGE(""https://docs.google.com/spreadsheets/d/1njBaP_xXd-Uotvo2D9zb01TTCFkLJLDK97Tk1l9Qux0/edit?usp=share_li"&amp;"nk"",""จันทบุรี!I800"")+IMPORTRANGE(""https://docs.google.com/spreadsheets/d/14xp6qUzrGFnUk_qnc1eEmfiaNRd4_grkhpfQH_46fa8/edit?usp=share_link"",""ฉะเชิงเทรา!I800"")+IMPORTRANGE(""https://docs.google.com/spreadsheets/d/1_Zwps30dlVa-pZFsorjVf1Pil6WXwzCsJU0U"&amp;"2whO3NI/edit?usp=share_link"",""ชลบุรี!I800"")+IMPORTRANGE(""https://docs.google.com/spreadsheets/d/1xAsT4sUbBlom7l0acStESh_15nvjZcXjZM7fK5uZSq8/edit?usp=share_link"",""ชัยนาท!I800"")+IMPORTRANGE(""https://docs.google.com/spreadsheets/d/1vWPVBOAaZ6mHSI8yf"&amp;"95DNqHwTJ1cpeFsvqt6cxV34QA/edit?usp=share_link"",""ตราด!I800"")+IMPORTRANGE(""https://docs.google.com/spreadsheets/d/1phaeSb9lTGgzDpbvVqI9hfmOQQzUom07-HEvpbARzEg/edit?usp=share_link"",""นครนายก!I800"")+IMPORTRANGE(""https://docs.google.com/spreadsheets/d/"&amp;"1tpwhWwkqkBeiSWCcfB5f2fbwPRbM9hHOEDSDHpl2MIc/edit?usp=share_link"",""นครปฐม!I800"")+IMPORTRANGE(""https://docs.google.com/spreadsheets/d/1fJJCVBkBnhriyv0Cp5ZFMr0I_yrfdEITNpb4zILJgUQ/edit?usp=share_link"",""ปทุมธานี!I800"")+IMPORTRANGE(""https://docs.googl"&amp;"e.com/spreadsheets/d/1W5Jj_S0gYw6wSO7QcMI02YgyOBDKYgmm0NSUk-AQEac/edit?usp=share_link"",""ประจวบคีรีขันธ์!I800"")+IMPORTRANGE(""https://docs.google.com/spreadsheets/d/1nYxRXgnCfTXtqUY1otYuTlnrzE0Tn-Y0YRsW5pkRVqo/edit?usp=share_link"",""ปราจีนบุรี!I800"")+"&amp;"IMPORTRANGE(""https://docs.google.com/spreadsheets/d/1nNHCLO8ZAXOMfQvxux7cf_hrzPAh8FAvaHq_ClKbZNo/edit?usp=share_link"",""พระนครศรีอยุธยา!I800"")+IMPORTRANGE(""https://docs.google.com/spreadsheets/d/1CdNicvf3i6yt4tJlCePe3V1Va76wYqW0QzMzTsaGRrA/edit?usp=sh"&amp;"are_link"",""เพชรบุรี!I800"")+IMPORTRANGE(""https://docs.google.com/spreadsheets/d/1XiF77UIVHV0Kjc6xbXuOuJ10WgJYxd4p_22ngKVV5oM/edit?usp=share_link"",""ระยอง!I800"")+IMPORTRANGE(""https://docs.google.com/spreadsheets/d/1qU-W_9MCQD1pgIVXGEOjCFo9QqlmJywueby"&amp;"GgaN92r8/edit?usp=share_link"",""ราชบุรี!I800"")+IMPORTRANGE(""https://docs.google.com/spreadsheets/d/1xYFIxIM_CspAP5Q-5Zx_V0T_Ut3cjryrjd2hss28vGk/edit?usp=share_link"",""ลพบุรี!I800"")+IMPORTRANGE(""https://docs.google.com/spreadsheets/d/11s9m3tKsCBdPWq6"&amp;"syhZm27eBGbKneDLZc75co106bio/edit?usp=share_link"",""สระแก้ว!I800"")+IMPORTRANGE(""https://docs.google.com/spreadsheets/d/1Nn1EvsFPtXldgpgVb3Rcng2K2cls68LFQsBh2FyW0Bg/edit?usp=share_link"",""สระบุรี!I800"")+IMPORTRANGE(""https://docs.google.com/spreadshee"&amp;"ts/d/149xufxukrnEciK3WPbNpHwUK8BKEJxp3UcBG3Al6dA4/edit?usp=share_link"",""สิงห์บุรี!I800"")+IMPORTRANGE(""https://docs.google.com/spreadsheets/d/132g-zJpz2uMKimp17uOIx8A7o3w1Z25zwJyXnwsB56c/edit?usp=share_link"",""สุพรรณบุรี!I800"")+IMPORTRANGE(""https://"&amp;"docs.google.com/spreadsheets/d/12Q_U0nVnFdxDFwa0pej9xvx8ZvLC9Dpi_vRro_aiG5g/edit?usp=share_link"",""อ่างทอง!I800"")
"),5000)</f>
        <v>5000</v>
      </c>
      <c r="J800" s="184">
        <f ca="1">IFERROR(__xludf.DUMMYFUNCTION("IMPORTRANGE(""https://docs.google.com/spreadsheets/d/1hKO5uv94SSRZWOvrh72HRcpyoEQF9TsE_Cvxl77XNU4/edit?usp=share_link"",""กาญจนบุรี!J800"")+IMPORTRANGE(""https://docs.google.com/spreadsheets/d/1njBaP_xXd-Uotvo2D9zb01TTCFkLJLDK97Tk1l9Qux0/edit?usp=share_li"&amp;"nk"",""จันทบุรี!J800"")+IMPORTRANGE(""https://docs.google.com/spreadsheets/d/14xp6qUzrGFnUk_qnc1eEmfiaNRd4_grkhpfQH_46fa8/edit?usp=share_link"",""ฉะเชิงเทรา!J800"")+IMPORTRANGE(""https://docs.google.com/spreadsheets/d/1_Zwps30dlVa-pZFsorjVf1Pil6WXwzCsJU0U"&amp;"2whO3NI/edit?usp=share_link"",""ชลบุรี!J800"")+IMPORTRANGE(""https://docs.google.com/spreadsheets/d/1xAsT4sUbBlom7l0acStESh_15nvjZcXjZM7fK5uZSq8/edit?usp=share_link"",""ชัยนาท!J800"")+IMPORTRANGE(""https://docs.google.com/spreadsheets/d/1vWPVBOAaZ6mHSI8yf"&amp;"95DNqHwTJ1cpeFsvqt6cxV34QA/edit?usp=share_link"",""ตราด!J800"")+IMPORTRANGE(""https://docs.google.com/spreadsheets/d/1phaeSb9lTGgzDpbvVqI9hfmOQQzUom07-HEvpbARzEg/edit?usp=share_link"",""นครนายก!J800"")+IMPORTRANGE(""https://docs.google.com/spreadsheets/d/"&amp;"1tpwhWwkqkBeiSWCcfB5f2fbwPRbM9hHOEDSDHpl2MIc/edit?usp=share_link"",""นครปฐม!J800"")+IMPORTRANGE(""https://docs.google.com/spreadsheets/d/1fJJCVBkBnhriyv0Cp5ZFMr0I_yrfdEITNpb4zILJgUQ/edit?usp=share_link"",""ปทุมธานี!J800"")+IMPORTRANGE(""https://docs.googl"&amp;"e.com/spreadsheets/d/1W5Jj_S0gYw6wSO7QcMI02YgyOBDKYgmm0NSUk-AQEac/edit?usp=share_link"",""ประจวบคีรีขันธ์!J800"")+IMPORTRANGE(""https://docs.google.com/spreadsheets/d/1nYxRXgnCfTXtqUY1otYuTlnrzE0Tn-Y0YRsW5pkRVqo/edit?usp=share_link"",""ปราจีนบุรี!J800"")+"&amp;"IMPORTRANGE(""https://docs.google.com/spreadsheets/d/1nNHCLO8ZAXOMfQvxux7cf_hrzPAh8FAvaHq_ClKbZNo/edit?usp=share_link"",""พระนครศรีอยุธยา!J800"")+IMPORTRANGE(""https://docs.google.com/spreadsheets/d/1CdNicvf3i6yt4tJlCePe3V1Va76wYqW0QzMzTsaGRrA/edit?usp=sh"&amp;"are_link"",""เพชรบุรี!J800"")+IMPORTRANGE(""https://docs.google.com/spreadsheets/d/1XiF77UIVHV0Kjc6xbXuOuJ10WgJYxd4p_22ngKVV5oM/edit?usp=share_link"",""ระยอง!J800"")+IMPORTRANGE(""https://docs.google.com/spreadsheets/d/1qU-W_9MCQD1pgIVXGEOjCFo9QqlmJywueby"&amp;"GgaN92r8/edit?usp=share_link"",""ราชบุรี!J800"")+IMPORTRANGE(""https://docs.google.com/spreadsheets/d/1xYFIxIM_CspAP5Q-5Zx_V0T_Ut3cjryrjd2hss28vGk/edit?usp=share_link"",""ลพบุรี!J800"")+IMPORTRANGE(""https://docs.google.com/spreadsheets/d/11s9m3tKsCBdPWq6"&amp;"syhZm27eBGbKneDLZc75co106bio/edit?usp=share_link"",""สระแก้ว!J800"")+IMPORTRANGE(""https://docs.google.com/spreadsheets/d/1Nn1EvsFPtXldgpgVb3Rcng2K2cls68LFQsBh2FyW0Bg/edit?usp=share_link"",""สระบุรี!J800"")+IMPORTRANGE(""https://docs.google.com/spreadshee"&amp;"ts/d/149xufxukrnEciK3WPbNpHwUK8BKEJxp3UcBG3Al6dA4/edit?usp=share_link"",""สิงห์บุรี!J800"")+IMPORTRANGE(""https://docs.google.com/spreadsheets/d/132g-zJpz2uMKimp17uOIx8A7o3w1Z25zwJyXnwsB56c/edit?usp=share_link"",""สุพรรณบุรี!J800"")+IMPORTRANGE(""https://"&amp;"docs.google.com/spreadsheets/d/12Q_U0nVnFdxDFwa0pej9xvx8ZvLC9Dpi_vRro_aiG5g/edit?usp=share_link"",""อ่างทอง!J800"")
"),0)</f>
        <v>0</v>
      </c>
      <c r="K800" s="38">
        <f ca="1">IF(I800&gt;0,J800*100/I800,0)</f>
        <v>0</v>
      </c>
      <c r="L800" s="38"/>
      <c r="M800" s="38"/>
      <c r="N800" s="38"/>
      <c r="O800" s="163"/>
      <c r="P800" s="163"/>
      <c r="Q800" s="571"/>
      <c r="R800" s="571"/>
      <c r="S800" s="571"/>
      <c r="T800" s="571"/>
      <c r="U800" s="571"/>
      <c r="V800" s="571"/>
      <c r="W800" s="571"/>
      <c r="X800" s="571"/>
      <c r="Y800" s="571"/>
      <c r="Z800" s="571"/>
    </row>
    <row r="801" spans="1:26" ht="20.25" customHeight="1">
      <c r="A801" s="601"/>
      <c r="B801" s="602"/>
      <c r="C801" s="602"/>
      <c r="D801" s="602"/>
      <c r="E801" s="612"/>
      <c r="F801" s="612"/>
      <c r="G801" s="175"/>
      <c r="H801" s="161" t="s">
        <v>34</v>
      </c>
      <c r="I801" s="162"/>
      <c r="J801" s="37">
        <f ca="1">IFERROR(__xludf.DUMMYFUNCTION("IMPORTRANGE(""https://docs.google.com/spreadsheets/d/1hKO5uv94SSRZWOvrh72HRcpyoEQF9TsE_Cvxl77XNU4/edit?usp=share_link"",""กาญจนบุรี!J801"")+IMPORTRANGE(""https://docs.google.com/spreadsheets/d/1njBaP_xXd-Uotvo2D9zb01TTCFkLJLDK97Tk1l9Qux0/edit?usp=share_li"&amp;"nk"",""จันทบุรี!J801"")+IMPORTRANGE(""https://docs.google.com/spreadsheets/d/14xp6qUzrGFnUk_qnc1eEmfiaNRd4_grkhpfQH_46fa8/edit?usp=share_link"",""ฉะเชิงเทรา!J801"")+IMPORTRANGE(""https://docs.google.com/spreadsheets/d/1_Zwps30dlVa-pZFsorjVf1Pil6WXwzCsJU0U"&amp;"2whO3NI/edit?usp=share_link"",""ชลบุรี!J801"")+IMPORTRANGE(""https://docs.google.com/spreadsheets/d/1xAsT4sUbBlom7l0acStESh_15nvjZcXjZM7fK5uZSq8/edit?usp=share_link"",""ชัยนาท!J801"")+IMPORTRANGE(""https://docs.google.com/spreadsheets/d/1vWPVBOAaZ6mHSI8yf"&amp;"95DNqHwTJ1cpeFsvqt6cxV34QA/edit?usp=share_link"",""ตราด!J801"")+IMPORTRANGE(""https://docs.google.com/spreadsheets/d/1phaeSb9lTGgzDpbvVqI9hfmOQQzUom07-HEvpbARzEg/edit?usp=share_link"",""นครนายก!J801"")+IMPORTRANGE(""https://docs.google.com/spreadsheets/d/"&amp;"1tpwhWwkqkBeiSWCcfB5f2fbwPRbM9hHOEDSDHpl2MIc/edit?usp=share_link"",""นครปฐม!J801"")+IMPORTRANGE(""https://docs.google.com/spreadsheets/d/1fJJCVBkBnhriyv0Cp5ZFMr0I_yrfdEITNpb4zILJgUQ/edit?usp=share_link"",""ปทุมธานี!J801"")+IMPORTRANGE(""https://docs.googl"&amp;"e.com/spreadsheets/d/1W5Jj_S0gYw6wSO7QcMI02YgyOBDKYgmm0NSUk-AQEac/edit?usp=share_link"",""ประจวบคีรีขันธ์!J801"")+IMPORTRANGE(""https://docs.google.com/spreadsheets/d/1nYxRXgnCfTXtqUY1otYuTlnrzE0Tn-Y0YRsW5pkRVqo/edit?usp=share_link"",""ปราจีนบุรี!J801"")+"&amp;"IMPORTRANGE(""https://docs.google.com/spreadsheets/d/1nNHCLO8ZAXOMfQvxux7cf_hrzPAh8FAvaHq_ClKbZNo/edit?usp=share_link"",""พระนครศรีอยุธยา!J801"")+IMPORTRANGE(""https://docs.google.com/spreadsheets/d/1CdNicvf3i6yt4tJlCePe3V1Va76wYqW0QzMzTsaGRrA/edit?usp=sh"&amp;"are_link"",""เพชรบุรี!J801"")+IMPORTRANGE(""https://docs.google.com/spreadsheets/d/1XiF77UIVHV0Kjc6xbXuOuJ10WgJYxd4p_22ngKVV5oM/edit?usp=share_link"",""ระยอง!J801"")+IMPORTRANGE(""https://docs.google.com/spreadsheets/d/1qU-W_9MCQD1pgIVXGEOjCFo9QqlmJywueby"&amp;"GgaN92r8/edit?usp=share_link"",""ราชบุรี!J801"")+IMPORTRANGE(""https://docs.google.com/spreadsheets/d/1xYFIxIM_CspAP5Q-5Zx_V0T_Ut3cjryrjd2hss28vGk/edit?usp=share_link"",""ลพบุรี!J801"")+IMPORTRANGE(""https://docs.google.com/spreadsheets/d/11s9m3tKsCBdPWq6"&amp;"syhZm27eBGbKneDLZc75co106bio/edit?usp=share_link"",""สระแก้ว!J801"")+IMPORTRANGE(""https://docs.google.com/spreadsheets/d/1Nn1EvsFPtXldgpgVb3Rcng2K2cls68LFQsBh2FyW0Bg/edit?usp=share_link"",""สระบุรี!J801"")+IMPORTRANGE(""https://docs.google.com/spreadshee"&amp;"ts/d/149xufxukrnEciK3WPbNpHwUK8BKEJxp3UcBG3Al6dA4/edit?usp=share_link"",""สิงห์บุรี!J801"")+IMPORTRANGE(""https://docs.google.com/spreadsheets/d/132g-zJpz2uMKimp17uOIx8A7o3w1Z25zwJyXnwsB56c/edit?usp=share_link"",""สุพรรณบุรี!J801"")+IMPORTRANGE(""https://"&amp;"docs.google.com/spreadsheets/d/12Q_U0nVnFdxDFwa0pej9xvx8ZvLC9Dpi_vRro_aiG5g/edit?usp=share_link"",""อ่างทอง!J801"")
"),0)</f>
        <v>0</v>
      </c>
      <c r="K801" s="38"/>
      <c r="L801" s="38"/>
      <c r="M801" s="38"/>
      <c r="N801" s="38"/>
      <c r="O801" s="163"/>
      <c r="P801" s="163"/>
      <c r="Q801" s="571"/>
      <c r="R801" s="571"/>
      <c r="S801" s="571"/>
      <c r="T801" s="571"/>
      <c r="U801" s="571"/>
      <c r="V801" s="571"/>
      <c r="W801" s="571"/>
      <c r="X801" s="571"/>
      <c r="Y801" s="571"/>
      <c r="Z801" s="571"/>
    </row>
    <row r="802" spans="1:26" ht="20.25" hidden="1" customHeight="1">
      <c r="A802" s="607"/>
      <c r="B802" s="608"/>
      <c r="C802" s="608"/>
      <c r="D802" s="608"/>
      <c r="E802" s="594"/>
      <c r="F802" s="711" t="s">
        <v>321</v>
      </c>
      <c r="G802" s="365"/>
      <c r="H802" s="646" t="s">
        <v>46</v>
      </c>
      <c r="I802" s="166"/>
      <c r="J802" s="44"/>
      <c r="K802" s="167">
        <f>IF(I802&gt;0,J802*100/I802,0)</f>
        <v>0</v>
      </c>
      <c r="L802" s="167"/>
      <c r="M802" s="167"/>
      <c r="N802" s="167"/>
      <c r="O802" s="167"/>
      <c r="P802" s="167"/>
      <c r="Q802" s="597"/>
      <c r="R802" s="597"/>
      <c r="S802" s="597"/>
      <c r="T802" s="597"/>
      <c r="U802" s="597"/>
      <c r="V802" s="597"/>
      <c r="W802" s="597"/>
      <c r="X802" s="597"/>
      <c r="Y802" s="597"/>
      <c r="Z802" s="597"/>
    </row>
    <row r="803" spans="1:26" ht="20.25" hidden="1" customHeight="1">
      <c r="A803" s="607"/>
      <c r="B803" s="608"/>
      <c r="C803" s="608"/>
      <c r="D803" s="608"/>
      <c r="E803" s="594"/>
      <c r="F803" s="594"/>
      <c r="G803" s="365"/>
      <c r="H803" s="646" t="s">
        <v>34</v>
      </c>
      <c r="I803" s="166"/>
      <c r="J803" s="44"/>
      <c r="K803" s="167"/>
      <c r="L803" s="167"/>
      <c r="M803" s="167"/>
      <c r="N803" s="167"/>
      <c r="O803" s="167"/>
      <c r="P803" s="167"/>
      <c r="Q803" s="597"/>
      <c r="R803" s="597"/>
      <c r="S803" s="597"/>
      <c r="T803" s="597"/>
      <c r="U803" s="597"/>
      <c r="V803" s="597"/>
      <c r="W803" s="597"/>
      <c r="X803" s="597"/>
      <c r="Y803" s="597"/>
      <c r="Z803" s="597"/>
    </row>
    <row r="804" spans="1:26" ht="20.25" hidden="1" customHeight="1">
      <c r="A804" s="784">
        <v>13</v>
      </c>
      <c r="B804" s="785" t="s">
        <v>322</v>
      </c>
      <c r="C804" s="786"/>
      <c r="D804" s="803"/>
      <c r="E804" s="786"/>
      <c r="F804" s="786"/>
      <c r="G804" s="787"/>
      <c r="H804" s="788" t="s">
        <v>46</v>
      </c>
      <c r="I804" s="789"/>
      <c r="J804" s="789">
        <f>J819</f>
        <v>0</v>
      </c>
      <c r="K804" s="790">
        <f>IF(I804&gt;0,J804*100/I804,0)</f>
        <v>0</v>
      </c>
      <c r="L804" s="791"/>
      <c r="M804" s="791"/>
      <c r="N804" s="791"/>
      <c r="O804" s="791"/>
      <c r="P804" s="791"/>
      <c r="Q804" s="597"/>
      <c r="R804" s="597"/>
      <c r="S804" s="597"/>
      <c r="T804" s="597"/>
      <c r="U804" s="597"/>
      <c r="V804" s="597"/>
      <c r="W804" s="597"/>
      <c r="X804" s="597"/>
      <c r="Y804" s="597"/>
      <c r="Z804" s="597"/>
    </row>
    <row r="805" spans="1:26" ht="20.25" hidden="1" customHeight="1">
      <c r="A805" s="592"/>
      <c r="B805" s="593"/>
      <c r="C805" s="593" t="s">
        <v>16</v>
      </c>
      <c r="D805" s="864" t="s">
        <v>17</v>
      </c>
      <c r="E805" s="857"/>
      <c r="F805" s="857"/>
      <c r="G805" s="596"/>
      <c r="H805" s="639" t="s">
        <v>12</v>
      </c>
      <c r="I805" s="44"/>
      <c r="J805" s="44"/>
      <c r="K805" s="45"/>
      <c r="L805" s="640">
        <f t="shared" ref="L805:N805" si="371">L806+L807</f>
        <v>0</v>
      </c>
      <c r="M805" s="640">
        <f t="shared" si="371"/>
        <v>0</v>
      </c>
      <c r="N805" s="640">
        <f t="shared" si="371"/>
        <v>0</v>
      </c>
      <c r="O805" s="640">
        <f t="shared" ref="O805:O810" si="372">IF(L805&gt;0,N805*100/L805,0)</f>
        <v>0</v>
      </c>
      <c r="P805" s="640">
        <f t="shared" ref="P805:P810" si="373">IF(M805&gt;0,N805*100/M805,0)</f>
        <v>0</v>
      </c>
      <c r="Q805" s="597"/>
      <c r="R805" s="597"/>
      <c r="S805" s="597"/>
      <c r="T805" s="597"/>
      <c r="U805" s="597"/>
      <c r="V805" s="597"/>
      <c r="W805" s="597"/>
      <c r="X805" s="597"/>
      <c r="Y805" s="597"/>
      <c r="Z805" s="597"/>
    </row>
    <row r="806" spans="1:26" ht="20.25" hidden="1" customHeight="1">
      <c r="A806" s="592"/>
      <c r="B806" s="593"/>
      <c r="C806" s="593"/>
      <c r="D806" s="608"/>
      <c r="E806" s="595" t="s">
        <v>184</v>
      </c>
      <c r="F806" s="593"/>
      <c r="G806" s="596"/>
      <c r="H806" s="165" t="s">
        <v>12</v>
      </c>
      <c r="I806" s="44"/>
      <c r="J806" s="44"/>
      <c r="K806" s="45"/>
      <c r="L806" s="45">
        <f t="shared" ref="L806:N806" si="374">L809+L816</f>
        <v>0</v>
      </c>
      <c r="M806" s="45">
        <f t="shared" si="374"/>
        <v>0</v>
      </c>
      <c r="N806" s="45">
        <f t="shared" si="374"/>
        <v>0</v>
      </c>
      <c r="O806" s="45">
        <f t="shared" si="372"/>
        <v>0</v>
      </c>
      <c r="P806" s="45">
        <f t="shared" si="373"/>
        <v>0</v>
      </c>
      <c r="Q806" s="597"/>
      <c r="R806" s="597"/>
      <c r="S806" s="597"/>
      <c r="T806" s="597"/>
      <c r="U806" s="597"/>
      <c r="V806" s="597"/>
      <c r="W806" s="597"/>
      <c r="X806" s="597"/>
      <c r="Y806" s="597"/>
      <c r="Z806" s="597"/>
    </row>
    <row r="807" spans="1:26" ht="20.25" hidden="1" customHeight="1">
      <c r="A807" s="592"/>
      <c r="B807" s="593"/>
      <c r="C807" s="593"/>
      <c r="D807" s="608"/>
      <c r="E807" s="595" t="s">
        <v>185</v>
      </c>
      <c r="F807" s="593"/>
      <c r="G807" s="596"/>
      <c r="H807" s="165" t="s">
        <v>12</v>
      </c>
      <c r="I807" s="44"/>
      <c r="J807" s="44"/>
      <c r="K807" s="45"/>
      <c r="L807" s="45">
        <f t="shared" ref="L807:N807" si="375">L810+L817</f>
        <v>0</v>
      </c>
      <c r="M807" s="45">
        <f t="shared" si="375"/>
        <v>0</v>
      </c>
      <c r="N807" s="45">
        <f t="shared" si="375"/>
        <v>0</v>
      </c>
      <c r="O807" s="45">
        <f t="shared" si="372"/>
        <v>0</v>
      </c>
      <c r="P807" s="45">
        <f t="shared" si="373"/>
        <v>0</v>
      </c>
      <c r="Q807" s="597"/>
      <c r="R807" s="597"/>
      <c r="S807" s="597"/>
      <c r="T807" s="597"/>
      <c r="U807" s="597"/>
      <c r="V807" s="597"/>
      <c r="W807" s="597"/>
      <c r="X807" s="597"/>
      <c r="Y807" s="597"/>
      <c r="Z807" s="597"/>
    </row>
    <row r="808" spans="1:26" ht="20.25" hidden="1" customHeight="1">
      <c r="A808" s="592"/>
      <c r="B808" s="598"/>
      <c r="C808" s="593"/>
      <c r="D808" s="866" t="s">
        <v>20</v>
      </c>
      <c r="E808" s="857"/>
      <c r="F808" s="857"/>
      <c r="G808" s="596"/>
      <c r="H808" s="639" t="s">
        <v>12</v>
      </c>
      <c r="I808" s="166"/>
      <c r="J808" s="166"/>
      <c r="K808" s="167"/>
      <c r="L808" s="640">
        <f t="shared" ref="L808:N808" si="376">L809+L810</f>
        <v>0</v>
      </c>
      <c r="M808" s="640">
        <f t="shared" si="376"/>
        <v>0</v>
      </c>
      <c r="N808" s="640">
        <f t="shared" si="376"/>
        <v>0</v>
      </c>
      <c r="O808" s="640">
        <f t="shared" si="372"/>
        <v>0</v>
      </c>
      <c r="P808" s="640">
        <f t="shared" si="373"/>
        <v>0</v>
      </c>
      <c r="Q808" s="597"/>
      <c r="R808" s="597"/>
      <c r="S808" s="597"/>
      <c r="T808" s="597"/>
      <c r="U808" s="597"/>
      <c r="V808" s="597"/>
      <c r="W808" s="597"/>
      <c r="X808" s="597"/>
      <c r="Y808" s="597"/>
      <c r="Z808" s="597"/>
    </row>
    <row r="809" spans="1:26" ht="20.25" hidden="1" customHeight="1">
      <c r="A809" s="592"/>
      <c r="B809" s="593"/>
      <c r="C809" s="593"/>
      <c r="D809" s="608"/>
      <c r="E809" s="595" t="s">
        <v>184</v>
      </c>
      <c r="F809" s="593"/>
      <c r="G809" s="596"/>
      <c r="H809" s="165" t="s">
        <v>12</v>
      </c>
      <c r="I809" s="44"/>
      <c r="J809" s="44"/>
      <c r="K809" s="45"/>
      <c r="L809" s="93">
        <v>0</v>
      </c>
      <c r="M809" s="93">
        <v>0</v>
      </c>
      <c r="N809" s="93">
        <v>0</v>
      </c>
      <c r="O809" s="45">
        <f t="shared" si="372"/>
        <v>0</v>
      </c>
      <c r="P809" s="45">
        <f t="shared" si="373"/>
        <v>0</v>
      </c>
      <c r="Q809" s="597"/>
      <c r="R809" s="597"/>
      <c r="S809" s="597"/>
      <c r="T809" s="597"/>
      <c r="U809" s="597"/>
      <c r="V809" s="597"/>
      <c r="W809" s="597"/>
      <c r="X809" s="597"/>
      <c r="Y809" s="597"/>
      <c r="Z809" s="597"/>
    </row>
    <row r="810" spans="1:26" ht="20.25" hidden="1" customHeight="1">
      <c r="A810" s="592"/>
      <c r="B810" s="593"/>
      <c r="C810" s="593"/>
      <c r="D810" s="608"/>
      <c r="E810" s="595" t="s">
        <v>185</v>
      </c>
      <c r="F810" s="593"/>
      <c r="G810" s="596"/>
      <c r="H810" s="165" t="s">
        <v>12</v>
      </c>
      <c r="I810" s="44"/>
      <c r="J810" s="44"/>
      <c r="K810" s="45"/>
      <c r="L810" s="93">
        <v>0</v>
      </c>
      <c r="M810" s="93">
        <v>0</v>
      </c>
      <c r="N810" s="45">
        <f>N811+N812+N813+N814</f>
        <v>0</v>
      </c>
      <c r="O810" s="45">
        <f t="shared" si="372"/>
        <v>0</v>
      </c>
      <c r="P810" s="45">
        <f t="shared" si="373"/>
        <v>0</v>
      </c>
      <c r="Q810" s="597"/>
      <c r="R810" s="597"/>
      <c r="S810" s="597"/>
      <c r="T810" s="597"/>
      <c r="U810" s="597"/>
      <c r="V810" s="597"/>
      <c r="W810" s="597"/>
      <c r="X810" s="597"/>
      <c r="Y810" s="597"/>
      <c r="Z810" s="597"/>
    </row>
    <row r="811" spans="1:26" ht="20.25" hidden="1" customHeight="1">
      <c r="A811" s="642"/>
      <c r="B811" s="598"/>
      <c r="C811" s="593"/>
      <c r="D811" s="598"/>
      <c r="E811" s="593"/>
      <c r="F811" s="595" t="s">
        <v>186</v>
      </c>
      <c r="G811" s="596"/>
      <c r="H811" s="165" t="s">
        <v>12</v>
      </c>
      <c r="I811" s="44"/>
      <c r="J811" s="44"/>
      <c r="K811" s="45"/>
      <c r="L811" s="45"/>
      <c r="M811" s="45"/>
      <c r="N811" s="45"/>
      <c r="O811" s="45"/>
      <c r="P811" s="45"/>
      <c r="Q811" s="597"/>
      <c r="R811" s="597"/>
      <c r="S811" s="597"/>
      <c r="T811" s="597"/>
      <c r="U811" s="597"/>
      <c r="V811" s="597"/>
      <c r="W811" s="597"/>
      <c r="X811" s="597"/>
      <c r="Y811" s="597"/>
      <c r="Z811" s="597"/>
    </row>
    <row r="812" spans="1:26" ht="20.25" hidden="1" customHeight="1">
      <c r="A812" s="642"/>
      <c r="B812" s="598"/>
      <c r="C812" s="593"/>
      <c r="D812" s="598"/>
      <c r="E812" s="593"/>
      <c r="F812" s="595" t="s">
        <v>187</v>
      </c>
      <c r="G812" s="596"/>
      <c r="H812" s="165" t="s">
        <v>12</v>
      </c>
      <c r="I812" s="44"/>
      <c r="J812" s="44"/>
      <c r="K812" s="45"/>
      <c r="L812" s="45"/>
      <c r="M812" s="45"/>
      <c r="N812" s="45"/>
      <c r="O812" s="45"/>
      <c r="P812" s="45"/>
      <c r="Q812" s="597"/>
      <c r="R812" s="597"/>
      <c r="S812" s="597"/>
      <c r="T812" s="597"/>
      <c r="U812" s="597"/>
      <c r="V812" s="597"/>
      <c r="W812" s="597"/>
      <c r="X812" s="597"/>
      <c r="Y812" s="597"/>
      <c r="Z812" s="597"/>
    </row>
    <row r="813" spans="1:26" ht="20.25" hidden="1" customHeight="1">
      <c r="A813" s="642"/>
      <c r="B813" s="598"/>
      <c r="C813" s="593"/>
      <c r="D813" s="598"/>
      <c r="E813" s="593"/>
      <c r="F813" s="595" t="s">
        <v>188</v>
      </c>
      <c r="G813" s="596"/>
      <c r="H813" s="165" t="s">
        <v>12</v>
      </c>
      <c r="I813" s="44"/>
      <c r="J813" s="44"/>
      <c r="K813" s="45"/>
      <c r="L813" s="45"/>
      <c r="M813" s="45"/>
      <c r="N813" s="45"/>
      <c r="O813" s="45"/>
      <c r="P813" s="45"/>
      <c r="Q813" s="597"/>
      <c r="R813" s="597"/>
      <c r="S813" s="597"/>
      <c r="T813" s="597"/>
      <c r="U813" s="597"/>
      <c r="V813" s="597"/>
      <c r="W813" s="597"/>
      <c r="X813" s="597"/>
      <c r="Y813" s="597"/>
      <c r="Z813" s="597"/>
    </row>
    <row r="814" spans="1:26" ht="20.25" hidden="1" customHeight="1">
      <c r="A814" s="642"/>
      <c r="B814" s="598"/>
      <c r="C814" s="593"/>
      <c r="D814" s="598"/>
      <c r="E814" s="593"/>
      <c r="F814" s="595" t="s">
        <v>189</v>
      </c>
      <c r="G814" s="596"/>
      <c r="H814" s="165" t="s">
        <v>12</v>
      </c>
      <c r="I814" s="44"/>
      <c r="J814" s="44"/>
      <c r="K814" s="45"/>
      <c r="L814" s="45"/>
      <c r="M814" s="45"/>
      <c r="N814" s="45"/>
      <c r="O814" s="45"/>
      <c r="P814" s="45"/>
      <c r="Q814" s="597"/>
      <c r="R814" s="597"/>
      <c r="S814" s="597"/>
      <c r="T814" s="597"/>
      <c r="U814" s="597"/>
      <c r="V814" s="597"/>
      <c r="W814" s="597"/>
      <c r="X814" s="597"/>
      <c r="Y814" s="597"/>
      <c r="Z814" s="597"/>
    </row>
    <row r="815" spans="1:26" ht="20.25" hidden="1" customHeight="1">
      <c r="A815" s="592"/>
      <c r="B815" s="598"/>
      <c r="C815" s="593"/>
      <c r="D815" s="866" t="s">
        <v>21</v>
      </c>
      <c r="E815" s="857"/>
      <c r="F815" s="857"/>
      <c r="G815" s="596"/>
      <c r="H815" s="774" t="s">
        <v>12</v>
      </c>
      <c r="I815" s="166"/>
      <c r="J815" s="166"/>
      <c r="K815" s="167"/>
      <c r="L815" s="640">
        <f t="shared" ref="L815:N815" si="377">L816+L817</f>
        <v>0</v>
      </c>
      <c r="M815" s="640">
        <f t="shared" si="377"/>
        <v>0</v>
      </c>
      <c r="N815" s="640">
        <f t="shared" si="377"/>
        <v>0</v>
      </c>
      <c r="O815" s="640">
        <f t="shared" ref="O815:O817" si="378">IF(L815&gt;0,N815*100/L815,0)</f>
        <v>0</v>
      </c>
      <c r="P815" s="640">
        <f t="shared" ref="P815:P817" si="379">IF(M815&gt;0,N815*100/M815,0)</f>
        <v>0</v>
      </c>
      <c r="Q815" s="597"/>
      <c r="R815" s="597"/>
      <c r="S815" s="597"/>
      <c r="T815" s="597"/>
      <c r="U815" s="597"/>
      <c r="V815" s="597"/>
      <c r="W815" s="597"/>
      <c r="X815" s="597"/>
      <c r="Y815" s="597"/>
      <c r="Z815" s="597"/>
    </row>
    <row r="816" spans="1:26" ht="20.25" hidden="1" customHeight="1">
      <c r="A816" s="592"/>
      <c r="B816" s="598"/>
      <c r="C816" s="593"/>
      <c r="D816" s="598"/>
      <c r="E816" s="595" t="s">
        <v>18</v>
      </c>
      <c r="F816" s="593"/>
      <c r="G816" s="596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45">
        <f t="shared" si="378"/>
        <v>0</v>
      </c>
      <c r="P816" s="45">
        <f t="shared" si="379"/>
        <v>0</v>
      </c>
      <c r="Q816" s="597"/>
      <c r="R816" s="597"/>
      <c r="S816" s="597"/>
      <c r="T816" s="597"/>
      <c r="U816" s="597"/>
      <c r="V816" s="597"/>
      <c r="W816" s="597"/>
      <c r="X816" s="597"/>
      <c r="Y816" s="597"/>
      <c r="Z816" s="597"/>
    </row>
    <row r="817" spans="1:26" ht="20.25" hidden="1" customHeight="1">
      <c r="A817" s="592"/>
      <c r="B817" s="598"/>
      <c r="C817" s="593"/>
      <c r="D817" s="598"/>
      <c r="E817" s="595" t="s">
        <v>19</v>
      </c>
      <c r="F817" s="593"/>
      <c r="G817" s="596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45">
        <f t="shared" si="378"/>
        <v>0</v>
      </c>
      <c r="P817" s="45">
        <f t="shared" si="379"/>
        <v>0</v>
      </c>
      <c r="Q817" s="597"/>
      <c r="R817" s="597"/>
      <c r="S817" s="597"/>
      <c r="T817" s="597"/>
      <c r="U817" s="597"/>
      <c r="V817" s="597"/>
      <c r="W817" s="597"/>
      <c r="X817" s="597"/>
      <c r="Y817" s="597"/>
      <c r="Z817" s="597"/>
    </row>
    <row r="818" spans="1:26" ht="20.25" hidden="1" customHeight="1">
      <c r="A818" s="607"/>
      <c r="B818" s="608"/>
      <c r="C818" s="593" t="s">
        <v>16</v>
      </c>
      <c r="D818" s="804" t="s">
        <v>38</v>
      </c>
      <c r="E818" s="644"/>
      <c r="F818" s="644"/>
      <c r="G818" s="645"/>
      <c r="H818" s="365"/>
      <c r="I818" s="166"/>
      <c r="J818" s="166"/>
      <c r="K818" s="167"/>
      <c r="L818" s="167"/>
      <c r="M818" s="167"/>
      <c r="N818" s="167"/>
      <c r="O818" s="167"/>
      <c r="P818" s="167"/>
      <c r="Q818" s="597"/>
      <c r="R818" s="597"/>
      <c r="S818" s="597"/>
      <c r="T818" s="597"/>
      <c r="U818" s="597"/>
      <c r="V818" s="597"/>
      <c r="W818" s="597"/>
      <c r="X818" s="597"/>
      <c r="Y818" s="597"/>
      <c r="Z818" s="597"/>
    </row>
    <row r="819" spans="1:26" ht="20.25" hidden="1" customHeight="1">
      <c r="A819" s="805"/>
      <c r="B819" s="806"/>
      <c r="C819" s="807"/>
      <c r="D819" s="806"/>
      <c r="E819" s="808" t="s">
        <v>323</v>
      </c>
      <c r="F819" s="807"/>
      <c r="G819" s="809"/>
      <c r="H819" s="810" t="s">
        <v>46</v>
      </c>
      <c r="I819" s="811"/>
      <c r="J819" s="811"/>
      <c r="K819" s="812"/>
      <c r="L819" s="812"/>
      <c r="M819" s="812"/>
      <c r="N819" s="812"/>
      <c r="O819" s="812"/>
      <c r="P819" s="812"/>
      <c r="Q819" s="597"/>
      <c r="R819" s="597"/>
      <c r="S819" s="597"/>
      <c r="T819" s="597"/>
      <c r="U819" s="597"/>
      <c r="V819" s="597"/>
      <c r="W819" s="597"/>
      <c r="X819" s="597"/>
      <c r="Y819" s="597"/>
      <c r="Z819" s="597"/>
    </row>
    <row r="820" spans="1:26" ht="20.25" customHeight="1">
      <c r="A820" s="813" t="s">
        <v>324</v>
      </c>
      <c r="B820" s="814"/>
      <c r="C820" s="814"/>
      <c r="D820" s="815"/>
      <c r="E820" s="814"/>
      <c r="F820" s="814"/>
      <c r="G820" s="816"/>
      <c r="H820" s="816"/>
      <c r="I820" s="214"/>
      <c r="J820" s="214"/>
      <c r="K820" s="817"/>
      <c r="L820" s="817"/>
      <c r="M820" s="817"/>
      <c r="N820" s="817"/>
      <c r="O820" s="817"/>
      <c r="P820" s="817"/>
      <c r="Q820" s="571"/>
      <c r="R820" s="571"/>
      <c r="S820" s="571"/>
      <c r="T820" s="571"/>
      <c r="U820" s="571"/>
      <c r="V820" s="571"/>
      <c r="W820" s="571"/>
      <c r="X820" s="571"/>
      <c r="Y820" s="571"/>
      <c r="Z820" s="571"/>
    </row>
    <row r="821" spans="1:26" ht="20.25" customHeight="1">
      <c r="A821" s="735"/>
      <c r="B821" s="570" t="s">
        <v>325</v>
      </c>
      <c r="C821" s="569"/>
      <c r="D821" s="568"/>
      <c r="E821" s="569"/>
      <c r="F821" s="569"/>
      <c r="G821" s="189"/>
      <c r="H821" s="36" t="s">
        <v>12</v>
      </c>
      <c r="I821" s="37">
        <f ca="1">IFERROR(__xludf.DUMMYFUNCTION("IMPORTRANGE(""https://docs.google.com/spreadsheets/d/1hKO5uv94SSRZWOvrh72HRcpyoEQF9TsE_Cvxl77XNU4/edit?usp=share_link"",""กาญจนบุรี!I821"")+IMPORTRANGE(""https://docs.google.com/spreadsheets/d/1njBaP_xXd-Uotvo2D9zb01TTCFkLJLDK97Tk1l9Qux0/edit?usp=share_li"&amp;"nk"",""จันทบุรี!I821"")+IMPORTRANGE(""https://docs.google.com/spreadsheets/d/14xp6qUzrGFnUk_qnc1eEmfiaNRd4_grkhpfQH_46fa8/edit?usp=share_link"",""ฉะเชิงเทรา!I821"")+IMPORTRANGE(""https://docs.google.com/spreadsheets/d/1_Zwps30dlVa-pZFsorjVf1Pil6WXwzCsJU0U"&amp;"2whO3NI/edit?usp=share_link"",""ชลบุรี!I821"")+IMPORTRANGE(""https://docs.google.com/spreadsheets/d/1xAsT4sUbBlom7l0acStESh_15nvjZcXjZM7fK5uZSq8/edit?usp=share_link"",""ชัยนาท!I821"")+IMPORTRANGE(""https://docs.google.com/spreadsheets/d/1vWPVBOAaZ6mHSI8yf"&amp;"95DNqHwTJ1cpeFsvqt6cxV34QA/edit?usp=share_link"",""ตราด!I821"")+IMPORTRANGE(""https://docs.google.com/spreadsheets/d/1phaeSb9lTGgzDpbvVqI9hfmOQQzUom07-HEvpbARzEg/edit?usp=share_link"",""นครนายก!I821"")+IMPORTRANGE(""https://docs.google.com/spreadsheets/d/"&amp;"1tpwhWwkqkBeiSWCcfB5f2fbwPRbM9hHOEDSDHpl2MIc/edit?usp=share_link"",""นครปฐม!I821"")+IMPORTRANGE(""https://docs.google.com/spreadsheets/d/1fJJCVBkBnhriyv0Cp5ZFMr0I_yrfdEITNpb4zILJgUQ/edit?usp=share_link"",""ปทุมธานี!I821"")+IMPORTRANGE(""https://docs.googl"&amp;"e.com/spreadsheets/d/1W5Jj_S0gYw6wSO7QcMI02YgyOBDKYgmm0NSUk-AQEac/edit?usp=share_link"",""ประจวบคีรีขันธ์!I821"")+IMPORTRANGE(""https://docs.google.com/spreadsheets/d/1nYxRXgnCfTXtqUY1otYuTlnrzE0Tn-Y0YRsW5pkRVqo/edit?usp=share_link"",""ปราจีนบุรี!I821"")+"&amp;"IMPORTRANGE(""https://docs.google.com/spreadsheets/d/1nNHCLO8ZAXOMfQvxux7cf_hrzPAh8FAvaHq_ClKbZNo/edit?usp=share_link"",""พระนครศรีอยุธยา!I821"")+IMPORTRANGE(""https://docs.google.com/spreadsheets/d/1CdNicvf3i6yt4tJlCePe3V1Va76wYqW0QzMzTsaGRrA/edit?usp=sh"&amp;"are_link"",""เพชรบุรี!I821"")+IMPORTRANGE(""https://docs.google.com/spreadsheets/d/1XiF77UIVHV0Kjc6xbXuOuJ10WgJYxd4p_22ngKVV5oM/edit?usp=share_link"",""ระยอง!I821"")+IMPORTRANGE(""https://docs.google.com/spreadsheets/d/1qU-W_9MCQD1pgIVXGEOjCFo9QqlmJywueby"&amp;"GgaN92r8/edit?usp=share_link"",""ราชบุรี!I821"")+IMPORTRANGE(""https://docs.google.com/spreadsheets/d/1xYFIxIM_CspAP5Q-5Zx_V0T_Ut3cjryrjd2hss28vGk/edit?usp=share_link"",""ลพบุรี!I821"")+IMPORTRANGE(""https://docs.google.com/spreadsheets/d/11s9m3tKsCBdPWq6"&amp;"syhZm27eBGbKneDLZc75co106bio/edit?usp=share_link"",""สระแก้ว!I821"")+IMPORTRANGE(""https://docs.google.com/spreadsheets/d/1Nn1EvsFPtXldgpgVb3Rcng2K2cls68LFQsBh2FyW0Bg/edit?usp=share_link"",""สระบุรี!I821"")+IMPORTRANGE(""https://docs.google.com/spreadshee"&amp;"ts/d/149xufxukrnEciK3WPbNpHwUK8BKEJxp3UcBG3Al6dA4/edit?usp=share_link"",""สิงห์บุรี!I821"")+IMPORTRANGE(""https://docs.google.com/spreadsheets/d/132g-zJpz2uMKimp17uOIx8A7o3w1Z25zwJyXnwsB56c/edit?usp=share_link"",""สุพรรณบุรี!I821"")+IMPORTRANGE(""https://"&amp;"docs.google.com/spreadsheets/d/12Q_U0nVnFdxDFwa0pej9xvx8ZvLC9Dpi_vRro_aiG5g/edit?usp=share_link"",""อ่างทอง!I821"")
"),103928764.29)</f>
        <v>103928764.29000001</v>
      </c>
      <c r="J821" s="37">
        <f ca="1">IFERROR(__xludf.DUMMYFUNCTION("IMPORTRANGE(""https://docs.google.com/spreadsheets/d/1hKO5uv94SSRZWOvrh72HRcpyoEQF9TsE_Cvxl77XNU4/edit?usp=share_link"",""กาญจนบุรี!J821"")+IMPORTRANGE(""https://docs.google.com/spreadsheets/d/1njBaP_xXd-Uotvo2D9zb01TTCFkLJLDK97Tk1l9Qux0/edit?usp=share_li"&amp;"nk"",""จันทบุรี!J821"")+IMPORTRANGE(""https://docs.google.com/spreadsheets/d/14xp6qUzrGFnUk_qnc1eEmfiaNRd4_grkhpfQH_46fa8/edit?usp=share_link"",""ฉะเชิงเทรา!J821"")+IMPORTRANGE(""https://docs.google.com/spreadsheets/d/1_Zwps30dlVa-pZFsorjVf1Pil6WXwzCsJU0U"&amp;"2whO3NI/edit?usp=share_link"",""ชลบุรี!J821"")+IMPORTRANGE(""https://docs.google.com/spreadsheets/d/1xAsT4sUbBlom7l0acStESh_15nvjZcXjZM7fK5uZSq8/edit?usp=share_link"",""ชัยนาท!J821"")+IMPORTRANGE(""https://docs.google.com/spreadsheets/d/1vWPVBOAaZ6mHSI8yf"&amp;"95DNqHwTJ1cpeFsvqt6cxV34QA/edit?usp=share_link"",""ตราด!J821"")+IMPORTRANGE(""https://docs.google.com/spreadsheets/d/1phaeSb9lTGgzDpbvVqI9hfmOQQzUom07-HEvpbARzEg/edit?usp=share_link"",""นครนายก!J821"")+IMPORTRANGE(""https://docs.google.com/spreadsheets/d/"&amp;"1tpwhWwkqkBeiSWCcfB5f2fbwPRbM9hHOEDSDHpl2MIc/edit?usp=share_link"",""นครปฐม!J821"")+IMPORTRANGE(""https://docs.google.com/spreadsheets/d/1fJJCVBkBnhriyv0Cp5ZFMr0I_yrfdEITNpb4zILJgUQ/edit?usp=share_link"",""ปทุมธานี!J821"")+IMPORTRANGE(""https://docs.googl"&amp;"e.com/spreadsheets/d/1W5Jj_S0gYw6wSO7QcMI02YgyOBDKYgmm0NSUk-AQEac/edit?usp=share_link"",""ประจวบคีรีขันธ์!J821"")+IMPORTRANGE(""https://docs.google.com/spreadsheets/d/1nYxRXgnCfTXtqUY1otYuTlnrzE0Tn-Y0YRsW5pkRVqo/edit?usp=share_link"",""ปราจีนบุรี!J821"")+"&amp;"IMPORTRANGE(""https://docs.google.com/spreadsheets/d/1nNHCLO8ZAXOMfQvxux7cf_hrzPAh8FAvaHq_ClKbZNo/edit?usp=share_link"",""พระนครศรีอยุธยา!J821"")+IMPORTRANGE(""https://docs.google.com/spreadsheets/d/1CdNicvf3i6yt4tJlCePe3V1Va76wYqW0QzMzTsaGRrA/edit?usp=sh"&amp;"are_link"",""เพชรบุรี!J821"")+IMPORTRANGE(""https://docs.google.com/spreadsheets/d/1XiF77UIVHV0Kjc6xbXuOuJ10WgJYxd4p_22ngKVV5oM/edit?usp=share_link"",""ระยอง!J821"")+IMPORTRANGE(""https://docs.google.com/spreadsheets/d/1qU-W_9MCQD1pgIVXGEOjCFo9QqlmJywueby"&amp;"GgaN92r8/edit?usp=share_link"",""ราชบุรี!J821"")+IMPORTRANGE(""https://docs.google.com/spreadsheets/d/1xYFIxIM_CspAP5Q-5Zx_V0T_Ut3cjryrjd2hss28vGk/edit?usp=share_link"",""ลพบุรี!J821"")+IMPORTRANGE(""https://docs.google.com/spreadsheets/d/11s9m3tKsCBdPWq6"&amp;"syhZm27eBGbKneDLZc75co106bio/edit?usp=share_link"",""สระแก้ว!J821"")+IMPORTRANGE(""https://docs.google.com/spreadsheets/d/1Nn1EvsFPtXldgpgVb3Rcng2K2cls68LFQsBh2FyW0Bg/edit?usp=share_link"",""สระบุรี!J821"")+IMPORTRANGE(""https://docs.google.com/spreadshee"&amp;"ts/d/149xufxukrnEciK3WPbNpHwUK8BKEJxp3UcBG3Al6dA4/edit?usp=share_link"",""สิงห์บุรี!J821"")+IMPORTRANGE(""https://docs.google.com/spreadsheets/d/132g-zJpz2uMKimp17uOIx8A7o3w1Z25zwJyXnwsB56c/edit?usp=share_link"",""สุพรรณบุรี!J821"")+IMPORTRANGE(""https://"&amp;"docs.google.com/spreadsheets/d/12Q_U0nVnFdxDFwa0pej9xvx8ZvLC9Dpi_vRro_aiG5g/edit?usp=share_link"",""อ่างทอง!J821"")
"),3748416.44999999)</f>
        <v>3748416.4499999899</v>
      </c>
      <c r="K821" s="38">
        <f t="shared" ref="K821:K828" ca="1" si="380">IF(I821&gt;0,J821*100/I821,0)</f>
        <v>3.6067170389330427</v>
      </c>
      <c r="L821" s="38"/>
      <c r="M821" s="38"/>
      <c r="N821" s="38"/>
      <c r="O821" s="38"/>
      <c r="P821" s="38"/>
      <c r="Q821" s="571"/>
      <c r="R821" s="571"/>
      <c r="S821" s="571"/>
      <c r="T821" s="571"/>
      <c r="U821" s="571"/>
      <c r="V821" s="571"/>
      <c r="W821" s="571"/>
      <c r="X821" s="571"/>
      <c r="Y821" s="571"/>
      <c r="Z821" s="571"/>
    </row>
    <row r="822" spans="1:26" ht="20.25" customHeight="1">
      <c r="A822" s="735"/>
      <c r="B822" s="569"/>
      <c r="C822" s="569"/>
      <c r="D822" s="568"/>
      <c r="E822" s="569"/>
      <c r="F822" s="569"/>
      <c r="G822" s="189"/>
      <c r="H822" s="36" t="s">
        <v>35</v>
      </c>
      <c r="I822" s="37">
        <f ca="1">IFERROR(__xludf.DUMMYFUNCTION("IMPORTRANGE(""https://docs.google.com/spreadsheets/d/1hKO5uv94SSRZWOvrh72HRcpyoEQF9TsE_Cvxl77XNU4/edit?usp=share_link"",""กาญจนบุรี!I822"")+IMPORTRANGE(""https://docs.google.com/spreadsheets/d/1njBaP_xXd-Uotvo2D9zb01TTCFkLJLDK97Tk1l9Qux0/edit?usp=share_li"&amp;"nk"",""จันทบุรี!I822"")+IMPORTRANGE(""https://docs.google.com/spreadsheets/d/14xp6qUzrGFnUk_qnc1eEmfiaNRd4_grkhpfQH_46fa8/edit?usp=share_link"",""ฉะเชิงเทรา!I822"")+IMPORTRANGE(""https://docs.google.com/spreadsheets/d/1_Zwps30dlVa-pZFsorjVf1Pil6WXwzCsJU0U"&amp;"2whO3NI/edit?usp=share_link"",""ชลบุรี!I822"")+IMPORTRANGE(""https://docs.google.com/spreadsheets/d/1xAsT4sUbBlom7l0acStESh_15nvjZcXjZM7fK5uZSq8/edit?usp=share_link"",""ชัยนาท!I822"")+IMPORTRANGE(""https://docs.google.com/spreadsheets/d/1vWPVBOAaZ6mHSI8yf"&amp;"95DNqHwTJ1cpeFsvqt6cxV34QA/edit?usp=share_link"",""ตราด!I822"")+IMPORTRANGE(""https://docs.google.com/spreadsheets/d/1phaeSb9lTGgzDpbvVqI9hfmOQQzUom07-HEvpbARzEg/edit?usp=share_link"",""นครนายก!I822"")+IMPORTRANGE(""https://docs.google.com/spreadsheets/d/"&amp;"1tpwhWwkqkBeiSWCcfB5f2fbwPRbM9hHOEDSDHpl2MIc/edit?usp=share_link"",""นครปฐม!I822"")+IMPORTRANGE(""https://docs.google.com/spreadsheets/d/1fJJCVBkBnhriyv0Cp5ZFMr0I_yrfdEITNpb4zILJgUQ/edit?usp=share_link"",""ปทุมธานี!I822"")+IMPORTRANGE(""https://docs.googl"&amp;"e.com/spreadsheets/d/1W5Jj_S0gYw6wSO7QcMI02YgyOBDKYgmm0NSUk-AQEac/edit?usp=share_link"",""ประจวบคีรีขันธ์!I822"")+IMPORTRANGE(""https://docs.google.com/spreadsheets/d/1nYxRXgnCfTXtqUY1otYuTlnrzE0Tn-Y0YRsW5pkRVqo/edit?usp=share_link"",""ปราจีนบุรี!I822"")+"&amp;"IMPORTRANGE(""https://docs.google.com/spreadsheets/d/1nNHCLO8ZAXOMfQvxux7cf_hrzPAh8FAvaHq_ClKbZNo/edit?usp=share_link"",""พระนครศรีอยุธยา!I822"")+IMPORTRANGE(""https://docs.google.com/spreadsheets/d/1CdNicvf3i6yt4tJlCePe3V1Va76wYqW0QzMzTsaGRrA/edit?usp=sh"&amp;"are_link"",""เพชรบุรี!I822"")+IMPORTRANGE(""https://docs.google.com/spreadsheets/d/1XiF77UIVHV0Kjc6xbXuOuJ10WgJYxd4p_22ngKVV5oM/edit?usp=share_link"",""ระยอง!I822"")+IMPORTRANGE(""https://docs.google.com/spreadsheets/d/1qU-W_9MCQD1pgIVXGEOjCFo9QqlmJywueby"&amp;"GgaN92r8/edit?usp=share_link"",""ราชบุรี!I822"")+IMPORTRANGE(""https://docs.google.com/spreadsheets/d/1xYFIxIM_CspAP5Q-5Zx_V0T_Ut3cjryrjd2hss28vGk/edit?usp=share_link"",""ลพบุรี!I822"")+IMPORTRANGE(""https://docs.google.com/spreadsheets/d/11s9m3tKsCBdPWq6"&amp;"syhZm27eBGbKneDLZc75co106bio/edit?usp=share_link"",""สระแก้ว!I822"")+IMPORTRANGE(""https://docs.google.com/spreadsheets/d/1Nn1EvsFPtXldgpgVb3Rcng2K2cls68LFQsBh2FyW0Bg/edit?usp=share_link"",""สระบุรี!I822"")+IMPORTRANGE(""https://docs.google.com/spreadshee"&amp;"ts/d/149xufxukrnEciK3WPbNpHwUK8BKEJxp3UcBG3Al6dA4/edit?usp=share_link"",""สิงห์บุรี!I822"")+IMPORTRANGE(""https://docs.google.com/spreadsheets/d/132g-zJpz2uMKimp17uOIx8A7o3w1Z25zwJyXnwsB56c/edit?usp=share_link"",""สุพรรณบุรี!I822"")+IMPORTRANGE(""https://"&amp;"docs.google.com/spreadsheets/d/12Q_U0nVnFdxDFwa0pej9xvx8ZvLC9Dpi_vRro_aiG5g/edit?usp=share_link"",""อ่างทอง!I822"")
"),3954)</f>
        <v>3954</v>
      </c>
      <c r="J822" s="37">
        <f ca="1">IFERROR(__xludf.DUMMYFUNCTION("IMPORTRANGE(""https://docs.google.com/spreadsheets/d/1hKO5uv94SSRZWOvrh72HRcpyoEQF9TsE_Cvxl77XNU4/edit?usp=share_link"",""กาญจนบุรี!J822"")+IMPORTRANGE(""https://docs.google.com/spreadsheets/d/1njBaP_xXd-Uotvo2D9zb01TTCFkLJLDK97Tk1l9Qux0/edit?usp=share_li"&amp;"nk"",""จันทบุรี!J822"")+IMPORTRANGE(""https://docs.google.com/spreadsheets/d/14xp6qUzrGFnUk_qnc1eEmfiaNRd4_grkhpfQH_46fa8/edit?usp=share_link"",""ฉะเชิงเทรา!J822"")+IMPORTRANGE(""https://docs.google.com/spreadsheets/d/1_Zwps30dlVa-pZFsorjVf1Pil6WXwzCsJU0U"&amp;"2whO3NI/edit?usp=share_link"",""ชลบุรี!J822"")+IMPORTRANGE(""https://docs.google.com/spreadsheets/d/1xAsT4sUbBlom7l0acStESh_15nvjZcXjZM7fK5uZSq8/edit?usp=share_link"",""ชัยนาท!J822"")+IMPORTRANGE(""https://docs.google.com/spreadsheets/d/1vWPVBOAaZ6mHSI8yf"&amp;"95DNqHwTJ1cpeFsvqt6cxV34QA/edit?usp=share_link"",""ตราด!J822"")+IMPORTRANGE(""https://docs.google.com/spreadsheets/d/1phaeSb9lTGgzDpbvVqI9hfmOQQzUom07-HEvpbARzEg/edit?usp=share_link"",""นครนายก!J822"")+IMPORTRANGE(""https://docs.google.com/spreadsheets/d/"&amp;"1tpwhWwkqkBeiSWCcfB5f2fbwPRbM9hHOEDSDHpl2MIc/edit?usp=share_link"",""นครปฐม!J822"")+IMPORTRANGE(""https://docs.google.com/spreadsheets/d/1fJJCVBkBnhriyv0Cp5ZFMr0I_yrfdEITNpb4zILJgUQ/edit?usp=share_link"",""ปทุมธานี!J822"")+IMPORTRANGE(""https://docs.googl"&amp;"e.com/spreadsheets/d/1W5Jj_S0gYw6wSO7QcMI02YgyOBDKYgmm0NSUk-AQEac/edit?usp=share_link"",""ประจวบคีรีขันธ์!J822"")+IMPORTRANGE(""https://docs.google.com/spreadsheets/d/1nYxRXgnCfTXtqUY1otYuTlnrzE0Tn-Y0YRsW5pkRVqo/edit?usp=share_link"",""ปราจีนบุรี!J822"")+"&amp;"IMPORTRANGE(""https://docs.google.com/spreadsheets/d/1nNHCLO8ZAXOMfQvxux7cf_hrzPAh8FAvaHq_ClKbZNo/edit?usp=share_link"",""พระนครศรีอยุธยา!J822"")+IMPORTRANGE(""https://docs.google.com/spreadsheets/d/1CdNicvf3i6yt4tJlCePe3V1Va76wYqW0QzMzTsaGRrA/edit?usp=sh"&amp;"are_link"",""เพชรบุรี!J822"")+IMPORTRANGE(""https://docs.google.com/spreadsheets/d/1XiF77UIVHV0Kjc6xbXuOuJ10WgJYxd4p_22ngKVV5oM/edit?usp=share_link"",""ระยอง!J822"")+IMPORTRANGE(""https://docs.google.com/spreadsheets/d/1qU-W_9MCQD1pgIVXGEOjCFo9QqlmJywueby"&amp;"GgaN92r8/edit?usp=share_link"",""ราชบุรี!J822"")+IMPORTRANGE(""https://docs.google.com/spreadsheets/d/1xYFIxIM_CspAP5Q-5Zx_V0T_Ut3cjryrjd2hss28vGk/edit?usp=share_link"",""ลพบุรี!J822"")+IMPORTRANGE(""https://docs.google.com/spreadsheets/d/11s9m3tKsCBdPWq6"&amp;"syhZm27eBGbKneDLZc75co106bio/edit?usp=share_link"",""สระแก้ว!J822"")+IMPORTRANGE(""https://docs.google.com/spreadsheets/d/1Nn1EvsFPtXldgpgVb3Rcng2K2cls68LFQsBh2FyW0Bg/edit?usp=share_link"",""สระบุรี!J822"")+IMPORTRANGE(""https://docs.google.com/spreadshee"&amp;"ts/d/149xufxukrnEciK3WPbNpHwUK8BKEJxp3UcBG3Al6dA4/edit?usp=share_link"",""สิงห์บุรี!J822"")+IMPORTRANGE(""https://docs.google.com/spreadsheets/d/132g-zJpz2uMKimp17uOIx8A7o3w1Z25zwJyXnwsB56c/edit?usp=share_link"",""สุพรรณบุรี!J822"")+IMPORTRANGE(""https://"&amp;"docs.google.com/spreadsheets/d/12Q_U0nVnFdxDFwa0pej9xvx8ZvLC9Dpi_vRro_aiG5g/edit?usp=share_link"",""อ่างทอง!J822"")
"),159)</f>
        <v>159</v>
      </c>
      <c r="K822" s="38">
        <f t="shared" ca="1" si="380"/>
        <v>4.0212443095599397</v>
      </c>
      <c r="L822" s="38"/>
      <c r="M822" s="38"/>
      <c r="N822" s="38"/>
      <c r="O822" s="38"/>
      <c r="P822" s="38"/>
      <c r="Q822" s="571"/>
      <c r="R822" s="571"/>
      <c r="S822" s="571"/>
      <c r="T822" s="571"/>
      <c r="U822" s="571"/>
      <c r="V822" s="571"/>
      <c r="W822" s="571"/>
      <c r="X822" s="571"/>
      <c r="Y822" s="571"/>
      <c r="Z822" s="571"/>
    </row>
    <row r="823" spans="1:26" ht="20.25" customHeight="1">
      <c r="A823" s="735"/>
      <c r="B823" s="570" t="s">
        <v>326</v>
      </c>
      <c r="C823" s="569"/>
      <c r="D823" s="568"/>
      <c r="E823" s="569"/>
      <c r="F823" s="569"/>
      <c r="G823" s="189"/>
      <c r="H823" s="36" t="s">
        <v>12</v>
      </c>
      <c r="I823" s="37">
        <f ca="1">IFERROR(__xludf.DUMMYFUNCTION("IMPORTRANGE(""https://docs.google.com/spreadsheets/d/1hKO5uv94SSRZWOvrh72HRcpyoEQF9TsE_Cvxl77XNU4/edit?usp=share_link"",""กาญจนบุรี!I823"")+IMPORTRANGE(""https://docs.google.com/spreadsheets/d/1njBaP_xXd-Uotvo2D9zb01TTCFkLJLDK97Tk1l9Qux0/edit?usp=share_li"&amp;"nk"",""จันทบุรี!I823"")+IMPORTRANGE(""https://docs.google.com/spreadsheets/d/14xp6qUzrGFnUk_qnc1eEmfiaNRd4_grkhpfQH_46fa8/edit?usp=share_link"",""ฉะเชิงเทรา!I823"")+IMPORTRANGE(""https://docs.google.com/spreadsheets/d/1_Zwps30dlVa-pZFsorjVf1Pil6WXwzCsJU0U"&amp;"2whO3NI/edit?usp=share_link"",""ชลบุรี!I823"")+IMPORTRANGE(""https://docs.google.com/spreadsheets/d/1xAsT4sUbBlom7l0acStESh_15nvjZcXjZM7fK5uZSq8/edit?usp=share_link"",""ชัยนาท!I823"")+IMPORTRANGE(""https://docs.google.com/spreadsheets/d/1vWPVBOAaZ6mHSI8yf"&amp;"95DNqHwTJ1cpeFsvqt6cxV34QA/edit?usp=share_link"",""ตราด!I823"")+IMPORTRANGE(""https://docs.google.com/spreadsheets/d/1phaeSb9lTGgzDpbvVqI9hfmOQQzUom07-HEvpbARzEg/edit?usp=share_link"",""นครนายก!I823"")+IMPORTRANGE(""https://docs.google.com/spreadsheets/d/"&amp;"1tpwhWwkqkBeiSWCcfB5f2fbwPRbM9hHOEDSDHpl2MIc/edit?usp=share_link"",""นครปฐม!I823"")+IMPORTRANGE(""https://docs.google.com/spreadsheets/d/1fJJCVBkBnhriyv0Cp5ZFMr0I_yrfdEITNpb4zILJgUQ/edit?usp=share_link"",""ปทุมธานี!I823"")+IMPORTRANGE(""https://docs.googl"&amp;"e.com/spreadsheets/d/1W5Jj_S0gYw6wSO7QcMI02YgyOBDKYgmm0NSUk-AQEac/edit?usp=share_link"",""ประจวบคีรีขันธ์!I823"")+IMPORTRANGE(""https://docs.google.com/spreadsheets/d/1nYxRXgnCfTXtqUY1otYuTlnrzE0Tn-Y0YRsW5pkRVqo/edit?usp=share_link"",""ปราจีนบุรี!I823"")+"&amp;"IMPORTRANGE(""https://docs.google.com/spreadsheets/d/1nNHCLO8ZAXOMfQvxux7cf_hrzPAh8FAvaHq_ClKbZNo/edit?usp=share_link"",""พระนครศรีอยุธยา!I823"")+IMPORTRANGE(""https://docs.google.com/spreadsheets/d/1CdNicvf3i6yt4tJlCePe3V1Va76wYqW0QzMzTsaGRrA/edit?usp=sh"&amp;"are_link"",""เพชรบุรี!I823"")+IMPORTRANGE(""https://docs.google.com/spreadsheets/d/1XiF77UIVHV0Kjc6xbXuOuJ10WgJYxd4p_22ngKVV5oM/edit?usp=share_link"",""ระยอง!I823"")+IMPORTRANGE(""https://docs.google.com/spreadsheets/d/1qU-W_9MCQD1pgIVXGEOjCFo9QqlmJywueby"&amp;"GgaN92r8/edit?usp=share_link"",""ราชบุรี!I823"")+IMPORTRANGE(""https://docs.google.com/spreadsheets/d/1xYFIxIM_CspAP5Q-5Zx_V0T_Ut3cjryrjd2hss28vGk/edit?usp=share_link"",""ลพบุรี!I823"")+IMPORTRANGE(""https://docs.google.com/spreadsheets/d/11s9m3tKsCBdPWq6"&amp;"syhZm27eBGbKneDLZc75co106bio/edit?usp=share_link"",""สระแก้ว!I823"")+IMPORTRANGE(""https://docs.google.com/spreadsheets/d/1Nn1EvsFPtXldgpgVb3Rcng2K2cls68LFQsBh2FyW0Bg/edit?usp=share_link"",""สระบุรี!I823"")+IMPORTRANGE(""https://docs.google.com/spreadshee"&amp;"ts/d/149xufxukrnEciK3WPbNpHwUK8BKEJxp3UcBG3Al6dA4/edit?usp=share_link"",""สิงห์บุรี!I823"")+IMPORTRANGE(""https://docs.google.com/spreadsheets/d/132g-zJpz2uMKimp17uOIx8A7o3w1Z25zwJyXnwsB56c/edit?usp=share_link"",""สุพรรณบุรี!I823"")+IMPORTRANGE(""https://"&amp;"docs.google.com/spreadsheets/d/12Q_U0nVnFdxDFwa0pej9xvx8ZvLC9Dpi_vRro_aiG5g/edit?usp=share_link"",""อ่างทอง!I823"")
"),105104987.07)</f>
        <v>105104987.06999999</v>
      </c>
      <c r="J823" s="37">
        <f ca="1">IFERROR(__xludf.DUMMYFUNCTION("IMPORTRANGE(""https://docs.google.com/spreadsheets/d/1hKO5uv94SSRZWOvrh72HRcpyoEQF9TsE_Cvxl77XNU4/edit?usp=share_link"",""กาญจนบุรี!J823"")+IMPORTRANGE(""https://docs.google.com/spreadsheets/d/1njBaP_xXd-Uotvo2D9zb01TTCFkLJLDK97Tk1l9Qux0/edit?usp=share_li"&amp;"nk"",""จันทบุรี!J823"")+IMPORTRANGE(""https://docs.google.com/spreadsheets/d/14xp6qUzrGFnUk_qnc1eEmfiaNRd4_grkhpfQH_46fa8/edit?usp=share_link"",""ฉะเชิงเทรา!J823"")+IMPORTRANGE(""https://docs.google.com/spreadsheets/d/1_Zwps30dlVa-pZFsorjVf1Pil6WXwzCsJU0U"&amp;"2whO3NI/edit?usp=share_link"",""ชลบุรี!J823"")+IMPORTRANGE(""https://docs.google.com/spreadsheets/d/1xAsT4sUbBlom7l0acStESh_15nvjZcXjZM7fK5uZSq8/edit?usp=share_link"",""ชัยนาท!J823"")+IMPORTRANGE(""https://docs.google.com/spreadsheets/d/1vWPVBOAaZ6mHSI8yf"&amp;"95DNqHwTJ1cpeFsvqt6cxV34QA/edit?usp=share_link"",""ตราด!J823"")+IMPORTRANGE(""https://docs.google.com/spreadsheets/d/1phaeSb9lTGgzDpbvVqI9hfmOQQzUom07-HEvpbARzEg/edit?usp=share_link"",""นครนายก!J823"")+IMPORTRANGE(""https://docs.google.com/spreadsheets/d/"&amp;"1tpwhWwkqkBeiSWCcfB5f2fbwPRbM9hHOEDSDHpl2MIc/edit?usp=share_link"",""นครปฐม!J823"")+IMPORTRANGE(""https://docs.google.com/spreadsheets/d/1fJJCVBkBnhriyv0Cp5ZFMr0I_yrfdEITNpb4zILJgUQ/edit?usp=share_link"",""ปทุมธานี!J823"")+IMPORTRANGE(""https://docs.googl"&amp;"e.com/spreadsheets/d/1W5Jj_S0gYw6wSO7QcMI02YgyOBDKYgmm0NSUk-AQEac/edit?usp=share_link"",""ประจวบคีรีขันธ์!J823"")+IMPORTRANGE(""https://docs.google.com/spreadsheets/d/1nYxRXgnCfTXtqUY1otYuTlnrzE0Tn-Y0YRsW5pkRVqo/edit?usp=share_link"",""ปราจีนบุรี!J823"")+"&amp;"IMPORTRANGE(""https://docs.google.com/spreadsheets/d/1nNHCLO8ZAXOMfQvxux7cf_hrzPAh8FAvaHq_ClKbZNo/edit?usp=share_link"",""พระนครศรีอยุธยา!J823"")+IMPORTRANGE(""https://docs.google.com/spreadsheets/d/1CdNicvf3i6yt4tJlCePe3V1Va76wYqW0QzMzTsaGRrA/edit?usp=sh"&amp;"are_link"",""เพชรบุรี!J823"")+IMPORTRANGE(""https://docs.google.com/spreadsheets/d/1XiF77UIVHV0Kjc6xbXuOuJ10WgJYxd4p_22ngKVV5oM/edit?usp=share_link"",""ระยอง!J823"")+IMPORTRANGE(""https://docs.google.com/spreadsheets/d/1qU-W_9MCQD1pgIVXGEOjCFo9QqlmJywueby"&amp;"GgaN92r8/edit?usp=share_link"",""ราชบุรี!J823"")+IMPORTRANGE(""https://docs.google.com/spreadsheets/d/1xYFIxIM_CspAP5Q-5Zx_V0T_Ut3cjryrjd2hss28vGk/edit?usp=share_link"",""ลพบุรี!J823"")+IMPORTRANGE(""https://docs.google.com/spreadsheets/d/11s9m3tKsCBdPWq6"&amp;"syhZm27eBGbKneDLZc75co106bio/edit?usp=share_link"",""สระแก้ว!J823"")+IMPORTRANGE(""https://docs.google.com/spreadsheets/d/1Nn1EvsFPtXldgpgVb3Rcng2K2cls68LFQsBh2FyW0Bg/edit?usp=share_link"",""สระบุรี!J823"")+IMPORTRANGE(""https://docs.google.com/spreadshee"&amp;"ts/d/149xufxukrnEciK3WPbNpHwUK8BKEJxp3UcBG3Al6dA4/edit?usp=share_link"",""สิงห์บุรี!J823"")+IMPORTRANGE(""https://docs.google.com/spreadsheets/d/132g-zJpz2uMKimp17uOIx8A7o3w1Z25zwJyXnwsB56c/edit?usp=share_link"",""สุพรรณบุรี!J823"")+IMPORTRANGE(""https://"&amp;"docs.google.com/spreadsheets/d/12Q_U0nVnFdxDFwa0pej9xvx8ZvLC9Dpi_vRro_aiG5g/edit?usp=share_link"",""อ่างทอง!J823"")
"),2021907.35)</f>
        <v>2021907.35</v>
      </c>
      <c r="K823" s="38">
        <f t="shared" ca="1" si="380"/>
        <v>1.9237025819273526</v>
      </c>
      <c r="L823" s="38"/>
      <c r="M823" s="38"/>
      <c r="N823" s="38"/>
      <c r="O823" s="38"/>
      <c r="P823" s="38"/>
      <c r="Q823" s="571"/>
      <c r="R823" s="571"/>
      <c r="S823" s="571"/>
      <c r="T823" s="571"/>
      <c r="U823" s="571"/>
      <c r="V823" s="571"/>
      <c r="W823" s="571"/>
      <c r="X823" s="571"/>
      <c r="Y823" s="571"/>
      <c r="Z823" s="571"/>
    </row>
    <row r="824" spans="1:26" ht="20.25" customHeight="1">
      <c r="A824" s="735"/>
      <c r="B824" s="569"/>
      <c r="C824" s="569"/>
      <c r="D824" s="568"/>
      <c r="E824" s="569"/>
      <c r="F824" s="569"/>
      <c r="G824" s="189"/>
      <c r="H824" s="36" t="s">
        <v>35</v>
      </c>
      <c r="I824" s="37">
        <f ca="1">IFERROR(__xludf.DUMMYFUNCTION("IMPORTRANGE(""https://docs.google.com/spreadsheets/d/1hKO5uv94SSRZWOvrh72HRcpyoEQF9TsE_Cvxl77XNU4/edit?usp=share_link"",""กาญจนบุรี!I824"")+IMPORTRANGE(""https://docs.google.com/spreadsheets/d/1njBaP_xXd-Uotvo2D9zb01TTCFkLJLDK97Tk1l9Qux0/edit?usp=share_li"&amp;"nk"",""จันทบุรี!I824"")+IMPORTRANGE(""https://docs.google.com/spreadsheets/d/14xp6qUzrGFnUk_qnc1eEmfiaNRd4_grkhpfQH_46fa8/edit?usp=share_link"",""ฉะเชิงเทรา!I824"")+IMPORTRANGE(""https://docs.google.com/spreadsheets/d/1_Zwps30dlVa-pZFsorjVf1Pil6WXwzCsJU0U"&amp;"2whO3NI/edit?usp=share_link"",""ชลบุรี!I824"")+IMPORTRANGE(""https://docs.google.com/spreadsheets/d/1xAsT4sUbBlom7l0acStESh_15nvjZcXjZM7fK5uZSq8/edit?usp=share_link"",""ชัยนาท!I824"")+IMPORTRANGE(""https://docs.google.com/spreadsheets/d/1vWPVBOAaZ6mHSI8yf"&amp;"95DNqHwTJ1cpeFsvqt6cxV34QA/edit?usp=share_link"",""ตราด!I824"")+IMPORTRANGE(""https://docs.google.com/spreadsheets/d/1phaeSb9lTGgzDpbvVqI9hfmOQQzUom07-HEvpbARzEg/edit?usp=share_link"",""นครนายก!I824"")+IMPORTRANGE(""https://docs.google.com/spreadsheets/d/"&amp;"1tpwhWwkqkBeiSWCcfB5f2fbwPRbM9hHOEDSDHpl2MIc/edit?usp=share_link"",""นครปฐม!I824"")+IMPORTRANGE(""https://docs.google.com/spreadsheets/d/1fJJCVBkBnhriyv0Cp5ZFMr0I_yrfdEITNpb4zILJgUQ/edit?usp=share_link"",""ปทุมธานี!I824"")+IMPORTRANGE(""https://docs.googl"&amp;"e.com/spreadsheets/d/1W5Jj_S0gYw6wSO7QcMI02YgyOBDKYgmm0NSUk-AQEac/edit?usp=share_link"",""ประจวบคีรีขันธ์!I824"")+IMPORTRANGE(""https://docs.google.com/spreadsheets/d/1nYxRXgnCfTXtqUY1otYuTlnrzE0Tn-Y0YRsW5pkRVqo/edit?usp=share_link"",""ปราจีนบุรี!I824"")+"&amp;"IMPORTRANGE(""https://docs.google.com/spreadsheets/d/1nNHCLO8ZAXOMfQvxux7cf_hrzPAh8FAvaHq_ClKbZNo/edit?usp=share_link"",""พระนครศรีอยุธยา!I824"")+IMPORTRANGE(""https://docs.google.com/spreadsheets/d/1CdNicvf3i6yt4tJlCePe3V1Va76wYqW0QzMzTsaGRrA/edit?usp=sh"&amp;"are_link"",""เพชรบุรี!I824"")+IMPORTRANGE(""https://docs.google.com/spreadsheets/d/1XiF77UIVHV0Kjc6xbXuOuJ10WgJYxd4p_22ngKVV5oM/edit?usp=share_link"",""ระยอง!I824"")+IMPORTRANGE(""https://docs.google.com/spreadsheets/d/1qU-W_9MCQD1pgIVXGEOjCFo9QqlmJywueby"&amp;"GgaN92r8/edit?usp=share_link"",""ราชบุรี!I824"")+IMPORTRANGE(""https://docs.google.com/spreadsheets/d/1xYFIxIM_CspAP5Q-5Zx_V0T_Ut3cjryrjd2hss28vGk/edit?usp=share_link"",""ลพบุรี!I824"")+IMPORTRANGE(""https://docs.google.com/spreadsheets/d/11s9m3tKsCBdPWq6"&amp;"syhZm27eBGbKneDLZc75co106bio/edit?usp=share_link"",""สระแก้ว!I824"")+IMPORTRANGE(""https://docs.google.com/spreadsheets/d/1Nn1EvsFPtXldgpgVb3Rcng2K2cls68LFQsBh2FyW0Bg/edit?usp=share_link"",""สระบุรี!I824"")+IMPORTRANGE(""https://docs.google.com/spreadshee"&amp;"ts/d/149xufxukrnEciK3WPbNpHwUK8BKEJxp3UcBG3Al6dA4/edit?usp=share_link"",""สิงห์บุรี!I824"")+IMPORTRANGE(""https://docs.google.com/spreadsheets/d/132g-zJpz2uMKimp17uOIx8A7o3w1Z25zwJyXnwsB56c/edit?usp=share_link"",""สุพรรณบุรี!I824"")+IMPORTRANGE(""https://"&amp;"docs.google.com/spreadsheets/d/12Q_U0nVnFdxDFwa0pej9xvx8ZvLC9Dpi_vRro_aiG5g/edit?usp=share_link"",""อ่างทอง!I824"")
"),3099)</f>
        <v>3099</v>
      </c>
      <c r="J824" s="37">
        <f ca="1">IFERROR(__xludf.DUMMYFUNCTION("IMPORTRANGE(""https://docs.google.com/spreadsheets/d/1hKO5uv94SSRZWOvrh72HRcpyoEQF9TsE_Cvxl77XNU4/edit?usp=share_link"",""กาญจนบุรี!J824"")+IMPORTRANGE(""https://docs.google.com/spreadsheets/d/1njBaP_xXd-Uotvo2D9zb01TTCFkLJLDK97Tk1l9Qux0/edit?usp=share_li"&amp;"nk"",""จันทบุรี!J824"")+IMPORTRANGE(""https://docs.google.com/spreadsheets/d/14xp6qUzrGFnUk_qnc1eEmfiaNRd4_grkhpfQH_46fa8/edit?usp=share_link"",""ฉะเชิงเทรา!J824"")+IMPORTRANGE(""https://docs.google.com/spreadsheets/d/1_Zwps30dlVa-pZFsorjVf1Pil6WXwzCsJU0U"&amp;"2whO3NI/edit?usp=share_link"",""ชลบุรี!J824"")+IMPORTRANGE(""https://docs.google.com/spreadsheets/d/1xAsT4sUbBlom7l0acStESh_15nvjZcXjZM7fK5uZSq8/edit?usp=share_link"",""ชัยนาท!J824"")+IMPORTRANGE(""https://docs.google.com/spreadsheets/d/1vWPVBOAaZ6mHSI8yf"&amp;"95DNqHwTJ1cpeFsvqt6cxV34QA/edit?usp=share_link"",""ตราด!J824"")+IMPORTRANGE(""https://docs.google.com/spreadsheets/d/1phaeSb9lTGgzDpbvVqI9hfmOQQzUom07-HEvpbARzEg/edit?usp=share_link"",""นครนายก!J824"")+IMPORTRANGE(""https://docs.google.com/spreadsheets/d/"&amp;"1tpwhWwkqkBeiSWCcfB5f2fbwPRbM9hHOEDSDHpl2MIc/edit?usp=share_link"",""นครปฐม!J824"")+IMPORTRANGE(""https://docs.google.com/spreadsheets/d/1fJJCVBkBnhriyv0Cp5ZFMr0I_yrfdEITNpb4zILJgUQ/edit?usp=share_link"",""ปทุมธานี!J824"")+IMPORTRANGE(""https://docs.googl"&amp;"e.com/spreadsheets/d/1W5Jj_S0gYw6wSO7QcMI02YgyOBDKYgmm0NSUk-AQEac/edit?usp=share_link"",""ประจวบคีรีขันธ์!J824"")+IMPORTRANGE(""https://docs.google.com/spreadsheets/d/1nYxRXgnCfTXtqUY1otYuTlnrzE0Tn-Y0YRsW5pkRVqo/edit?usp=share_link"",""ปราจีนบุรี!J824"")+"&amp;"IMPORTRANGE(""https://docs.google.com/spreadsheets/d/1nNHCLO8ZAXOMfQvxux7cf_hrzPAh8FAvaHq_ClKbZNo/edit?usp=share_link"",""พระนครศรีอยุธยา!J824"")+IMPORTRANGE(""https://docs.google.com/spreadsheets/d/1CdNicvf3i6yt4tJlCePe3V1Va76wYqW0QzMzTsaGRrA/edit?usp=sh"&amp;"are_link"",""เพชรบุรี!J824"")+IMPORTRANGE(""https://docs.google.com/spreadsheets/d/1XiF77UIVHV0Kjc6xbXuOuJ10WgJYxd4p_22ngKVV5oM/edit?usp=share_link"",""ระยอง!J824"")+IMPORTRANGE(""https://docs.google.com/spreadsheets/d/1qU-W_9MCQD1pgIVXGEOjCFo9QqlmJywueby"&amp;"GgaN92r8/edit?usp=share_link"",""ราชบุรี!J824"")+IMPORTRANGE(""https://docs.google.com/spreadsheets/d/1xYFIxIM_CspAP5Q-5Zx_V0T_Ut3cjryrjd2hss28vGk/edit?usp=share_link"",""ลพบุรี!J824"")+IMPORTRANGE(""https://docs.google.com/spreadsheets/d/11s9m3tKsCBdPWq6"&amp;"syhZm27eBGbKneDLZc75co106bio/edit?usp=share_link"",""สระแก้ว!J824"")+IMPORTRANGE(""https://docs.google.com/spreadsheets/d/1Nn1EvsFPtXldgpgVb3Rcng2K2cls68LFQsBh2FyW0Bg/edit?usp=share_link"",""สระบุรี!J824"")+IMPORTRANGE(""https://docs.google.com/spreadshee"&amp;"ts/d/149xufxukrnEciK3WPbNpHwUK8BKEJxp3UcBG3Al6dA4/edit?usp=share_link"",""สิงห์บุรี!J824"")+IMPORTRANGE(""https://docs.google.com/spreadsheets/d/132g-zJpz2uMKimp17uOIx8A7o3w1Z25zwJyXnwsB56c/edit?usp=share_link"",""สุพรรณบุรี!J824"")+IMPORTRANGE(""https://"&amp;"docs.google.com/spreadsheets/d/12Q_U0nVnFdxDFwa0pej9xvx8ZvLC9Dpi_vRro_aiG5g/edit?usp=share_link"",""อ่างทอง!J824"")
"),490)</f>
        <v>490</v>
      </c>
      <c r="K824" s="38">
        <f t="shared" ca="1" si="380"/>
        <v>15.811552113585027</v>
      </c>
      <c r="L824" s="38"/>
      <c r="M824" s="38"/>
      <c r="N824" s="38"/>
      <c r="O824" s="38"/>
      <c r="P824" s="38"/>
      <c r="Q824" s="571"/>
      <c r="R824" s="571"/>
      <c r="S824" s="571"/>
      <c r="T824" s="571"/>
      <c r="U824" s="571"/>
      <c r="V824" s="571"/>
      <c r="W824" s="571"/>
      <c r="X824" s="571"/>
      <c r="Y824" s="571"/>
      <c r="Z824" s="571"/>
    </row>
    <row r="825" spans="1:26" ht="20.25" customHeight="1">
      <c r="A825" s="735"/>
      <c r="B825" s="570" t="s">
        <v>327</v>
      </c>
      <c r="C825" s="569"/>
      <c r="D825" s="568"/>
      <c r="E825" s="569"/>
      <c r="F825" s="569"/>
      <c r="G825" s="189"/>
      <c r="H825" s="36" t="s">
        <v>12</v>
      </c>
      <c r="I825" s="37">
        <f ca="1">IFERROR(__xludf.DUMMYFUNCTION("IMPORTRANGE(""https://docs.google.com/spreadsheets/d/1hKO5uv94SSRZWOvrh72HRcpyoEQF9TsE_Cvxl77XNU4/edit?usp=share_link"",""กาญจนบุรี!I825"")+IMPORTRANGE(""https://docs.google.com/spreadsheets/d/1njBaP_xXd-Uotvo2D9zb01TTCFkLJLDK97Tk1l9Qux0/edit?usp=share_li"&amp;"nk"",""จันทบุรี!I825"")+IMPORTRANGE(""https://docs.google.com/spreadsheets/d/14xp6qUzrGFnUk_qnc1eEmfiaNRd4_grkhpfQH_46fa8/edit?usp=share_link"",""ฉะเชิงเทรา!I825"")+IMPORTRANGE(""https://docs.google.com/spreadsheets/d/1_Zwps30dlVa-pZFsorjVf1Pil6WXwzCsJU0U"&amp;"2whO3NI/edit?usp=share_link"",""ชลบุรี!I825"")+IMPORTRANGE(""https://docs.google.com/spreadsheets/d/1xAsT4sUbBlom7l0acStESh_15nvjZcXjZM7fK5uZSq8/edit?usp=share_link"",""ชัยนาท!I825"")+IMPORTRANGE(""https://docs.google.com/spreadsheets/d/1vWPVBOAaZ6mHSI8yf"&amp;"95DNqHwTJ1cpeFsvqt6cxV34QA/edit?usp=share_link"",""ตราด!I825"")+IMPORTRANGE(""https://docs.google.com/spreadsheets/d/1phaeSb9lTGgzDpbvVqI9hfmOQQzUom07-HEvpbARzEg/edit?usp=share_link"",""นครนายก!I825"")+IMPORTRANGE(""https://docs.google.com/spreadsheets/d/"&amp;"1tpwhWwkqkBeiSWCcfB5f2fbwPRbM9hHOEDSDHpl2MIc/edit?usp=share_link"",""นครปฐม!I825"")+IMPORTRANGE(""https://docs.google.com/spreadsheets/d/1fJJCVBkBnhriyv0Cp5ZFMr0I_yrfdEITNpb4zILJgUQ/edit?usp=share_link"",""ปทุมธานี!I825"")+IMPORTRANGE(""https://docs.googl"&amp;"e.com/spreadsheets/d/1W5Jj_S0gYw6wSO7QcMI02YgyOBDKYgmm0NSUk-AQEac/edit?usp=share_link"",""ประจวบคีรีขันธ์!I825"")+IMPORTRANGE(""https://docs.google.com/spreadsheets/d/1nYxRXgnCfTXtqUY1otYuTlnrzE0Tn-Y0YRsW5pkRVqo/edit?usp=share_link"",""ปราจีนบุรี!I825"")+"&amp;"IMPORTRANGE(""https://docs.google.com/spreadsheets/d/1nNHCLO8ZAXOMfQvxux7cf_hrzPAh8FAvaHq_ClKbZNo/edit?usp=share_link"",""พระนครศรีอยุธยา!I825"")+IMPORTRANGE(""https://docs.google.com/spreadsheets/d/1CdNicvf3i6yt4tJlCePe3V1Va76wYqW0QzMzTsaGRrA/edit?usp=sh"&amp;"are_link"",""เพชรบุรี!I825"")+IMPORTRANGE(""https://docs.google.com/spreadsheets/d/1XiF77UIVHV0Kjc6xbXuOuJ10WgJYxd4p_22ngKVV5oM/edit?usp=share_link"",""ระยอง!I825"")+IMPORTRANGE(""https://docs.google.com/spreadsheets/d/1qU-W_9MCQD1pgIVXGEOjCFo9QqlmJywueby"&amp;"GgaN92r8/edit?usp=share_link"",""ราชบุรี!I825"")+IMPORTRANGE(""https://docs.google.com/spreadsheets/d/1xYFIxIM_CspAP5Q-5Zx_V0T_Ut3cjryrjd2hss28vGk/edit?usp=share_link"",""ลพบุรี!I825"")+IMPORTRANGE(""https://docs.google.com/spreadsheets/d/11s9m3tKsCBdPWq6"&amp;"syhZm27eBGbKneDLZc75co106bio/edit?usp=share_link"",""สระแก้ว!I825"")+IMPORTRANGE(""https://docs.google.com/spreadsheets/d/1Nn1EvsFPtXldgpgVb3Rcng2K2cls68LFQsBh2FyW0Bg/edit?usp=share_link"",""สระบุรี!I825"")+IMPORTRANGE(""https://docs.google.com/spreadshee"&amp;"ts/d/149xufxukrnEciK3WPbNpHwUK8BKEJxp3UcBG3Al6dA4/edit?usp=share_link"",""สิงห์บุรี!I825"")+IMPORTRANGE(""https://docs.google.com/spreadsheets/d/132g-zJpz2uMKimp17uOIx8A7o3w1Z25zwJyXnwsB56c/edit?usp=share_link"",""สุพรรณบุรี!I825"")+IMPORTRANGE(""https://"&amp;"docs.google.com/spreadsheets/d/12Q_U0nVnFdxDFwa0pej9xvx8ZvLC9Dpi_vRro_aiG5g/edit?usp=share_link"",""อ่างทอง!I825"")
"),40680099.98)</f>
        <v>40680099.979999997</v>
      </c>
      <c r="J825" s="37">
        <f ca="1">IFERROR(__xludf.DUMMYFUNCTION("IMPORTRANGE(""https://docs.google.com/spreadsheets/d/1hKO5uv94SSRZWOvrh72HRcpyoEQF9TsE_Cvxl77XNU4/edit?usp=share_link"",""กาญจนบุรี!J825"")+IMPORTRANGE(""https://docs.google.com/spreadsheets/d/1njBaP_xXd-Uotvo2D9zb01TTCFkLJLDK97Tk1l9Qux0/edit?usp=share_li"&amp;"nk"",""จันทบุรี!J825"")+IMPORTRANGE(""https://docs.google.com/spreadsheets/d/14xp6qUzrGFnUk_qnc1eEmfiaNRd4_grkhpfQH_46fa8/edit?usp=share_link"",""ฉะเชิงเทรา!J825"")+IMPORTRANGE(""https://docs.google.com/spreadsheets/d/1_Zwps30dlVa-pZFsorjVf1Pil6WXwzCsJU0U"&amp;"2whO3NI/edit?usp=share_link"",""ชลบุรี!J825"")+IMPORTRANGE(""https://docs.google.com/spreadsheets/d/1xAsT4sUbBlom7l0acStESh_15nvjZcXjZM7fK5uZSq8/edit?usp=share_link"",""ชัยนาท!J825"")+IMPORTRANGE(""https://docs.google.com/spreadsheets/d/1vWPVBOAaZ6mHSI8yf"&amp;"95DNqHwTJ1cpeFsvqt6cxV34QA/edit?usp=share_link"",""ตราด!J825"")+IMPORTRANGE(""https://docs.google.com/spreadsheets/d/1phaeSb9lTGgzDpbvVqI9hfmOQQzUom07-HEvpbARzEg/edit?usp=share_link"",""นครนายก!J825"")+IMPORTRANGE(""https://docs.google.com/spreadsheets/d/"&amp;"1tpwhWwkqkBeiSWCcfB5f2fbwPRbM9hHOEDSDHpl2MIc/edit?usp=share_link"",""นครปฐม!J825"")+IMPORTRANGE(""https://docs.google.com/spreadsheets/d/1fJJCVBkBnhriyv0Cp5ZFMr0I_yrfdEITNpb4zILJgUQ/edit?usp=share_link"",""ปทุมธานี!J825"")+IMPORTRANGE(""https://docs.googl"&amp;"e.com/spreadsheets/d/1W5Jj_S0gYw6wSO7QcMI02YgyOBDKYgmm0NSUk-AQEac/edit?usp=share_link"",""ประจวบคีรีขันธ์!J825"")+IMPORTRANGE(""https://docs.google.com/spreadsheets/d/1nYxRXgnCfTXtqUY1otYuTlnrzE0Tn-Y0YRsW5pkRVqo/edit?usp=share_link"",""ปราจีนบุรี!J825"")+"&amp;"IMPORTRANGE(""https://docs.google.com/spreadsheets/d/1nNHCLO8ZAXOMfQvxux7cf_hrzPAh8FAvaHq_ClKbZNo/edit?usp=share_link"",""พระนครศรีอยุธยา!J825"")+IMPORTRANGE(""https://docs.google.com/spreadsheets/d/1CdNicvf3i6yt4tJlCePe3V1Va76wYqW0QzMzTsaGRrA/edit?usp=sh"&amp;"are_link"",""เพชรบุรี!J825"")+IMPORTRANGE(""https://docs.google.com/spreadsheets/d/1XiF77UIVHV0Kjc6xbXuOuJ10WgJYxd4p_22ngKVV5oM/edit?usp=share_link"",""ระยอง!J825"")+IMPORTRANGE(""https://docs.google.com/spreadsheets/d/1qU-W_9MCQD1pgIVXGEOjCFo9QqlmJywueby"&amp;"GgaN92r8/edit?usp=share_link"",""ราชบุรี!J825"")+IMPORTRANGE(""https://docs.google.com/spreadsheets/d/1xYFIxIM_CspAP5Q-5Zx_V0T_Ut3cjryrjd2hss28vGk/edit?usp=share_link"",""ลพบุรี!J825"")+IMPORTRANGE(""https://docs.google.com/spreadsheets/d/11s9m3tKsCBdPWq6"&amp;"syhZm27eBGbKneDLZc75co106bio/edit?usp=share_link"",""สระแก้ว!J825"")+IMPORTRANGE(""https://docs.google.com/spreadsheets/d/1Nn1EvsFPtXldgpgVb3Rcng2K2cls68LFQsBh2FyW0Bg/edit?usp=share_link"",""สระบุรี!J825"")+IMPORTRANGE(""https://docs.google.com/spreadshee"&amp;"ts/d/149xufxukrnEciK3WPbNpHwUK8BKEJxp3UcBG3Al6dA4/edit?usp=share_link"",""สิงห์บุรี!J825"")+IMPORTRANGE(""https://docs.google.com/spreadsheets/d/132g-zJpz2uMKimp17uOIx8A7o3w1Z25zwJyXnwsB56c/edit?usp=share_link"",""สุพรรณบุรี!J825"")+IMPORTRANGE(""https://"&amp;"docs.google.com/spreadsheets/d/12Q_U0nVnFdxDFwa0pej9xvx8ZvLC9Dpi_vRro_aiG5g/edit?usp=share_link"",""อ่างทอง!J825"")
"),1762019.54999999)</f>
        <v>1762019.54999999</v>
      </c>
      <c r="K825" s="38">
        <f t="shared" ca="1" si="380"/>
        <v>4.3314041776354317</v>
      </c>
      <c r="L825" s="38"/>
      <c r="M825" s="38"/>
      <c r="N825" s="38"/>
      <c r="O825" s="38"/>
      <c r="P825" s="38"/>
      <c r="Q825" s="571"/>
      <c r="R825" s="571"/>
      <c r="S825" s="571"/>
      <c r="T825" s="571"/>
      <c r="U825" s="571"/>
      <c r="V825" s="571"/>
      <c r="W825" s="571"/>
      <c r="X825" s="571"/>
      <c r="Y825" s="571"/>
      <c r="Z825" s="571"/>
    </row>
    <row r="826" spans="1:26" ht="20.25" customHeight="1">
      <c r="A826" s="735"/>
      <c r="B826" s="569"/>
      <c r="C826" s="569"/>
      <c r="D826" s="568"/>
      <c r="E826" s="569"/>
      <c r="F826" s="569"/>
      <c r="G826" s="189"/>
      <c r="H826" s="36" t="s">
        <v>35</v>
      </c>
      <c r="I826" s="37">
        <f ca="1">IFERROR(__xludf.DUMMYFUNCTION("IMPORTRANGE(""https://docs.google.com/spreadsheets/d/1hKO5uv94SSRZWOvrh72HRcpyoEQF9TsE_Cvxl77XNU4/edit?usp=share_link"",""กาญจนบุรี!I826"")+IMPORTRANGE(""https://docs.google.com/spreadsheets/d/1njBaP_xXd-Uotvo2D9zb01TTCFkLJLDK97Tk1l9Qux0/edit?usp=share_li"&amp;"nk"",""จันทบุรี!I826"")+IMPORTRANGE(""https://docs.google.com/spreadsheets/d/14xp6qUzrGFnUk_qnc1eEmfiaNRd4_grkhpfQH_46fa8/edit?usp=share_link"",""ฉะเชิงเทรา!I826"")+IMPORTRANGE(""https://docs.google.com/spreadsheets/d/1_Zwps30dlVa-pZFsorjVf1Pil6WXwzCsJU0U"&amp;"2whO3NI/edit?usp=share_link"",""ชลบุรี!I826"")+IMPORTRANGE(""https://docs.google.com/spreadsheets/d/1xAsT4sUbBlom7l0acStESh_15nvjZcXjZM7fK5uZSq8/edit?usp=share_link"",""ชัยนาท!I826"")+IMPORTRANGE(""https://docs.google.com/spreadsheets/d/1vWPVBOAaZ6mHSI8yf"&amp;"95DNqHwTJ1cpeFsvqt6cxV34QA/edit?usp=share_link"",""ตราด!I826"")+IMPORTRANGE(""https://docs.google.com/spreadsheets/d/1phaeSb9lTGgzDpbvVqI9hfmOQQzUom07-HEvpbARzEg/edit?usp=share_link"",""นครนายก!I826"")+IMPORTRANGE(""https://docs.google.com/spreadsheets/d/"&amp;"1tpwhWwkqkBeiSWCcfB5f2fbwPRbM9hHOEDSDHpl2MIc/edit?usp=share_link"",""นครปฐม!I826"")+IMPORTRANGE(""https://docs.google.com/spreadsheets/d/1fJJCVBkBnhriyv0Cp5ZFMr0I_yrfdEITNpb4zILJgUQ/edit?usp=share_link"",""ปทุมธานี!I826"")+IMPORTRANGE(""https://docs.googl"&amp;"e.com/spreadsheets/d/1W5Jj_S0gYw6wSO7QcMI02YgyOBDKYgmm0NSUk-AQEac/edit?usp=share_link"",""ประจวบคีรีขันธ์!I826"")+IMPORTRANGE(""https://docs.google.com/spreadsheets/d/1nYxRXgnCfTXtqUY1otYuTlnrzE0Tn-Y0YRsW5pkRVqo/edit?usp=share_link"",""ปราจีนบุรี!I826"")+"&amp;"IMPORTRANGE(""https://docs.google.com/spreadsheets/d/1nNHCLO8ZAXOMfQvxux7cf_hrzPAh8FAvaHq_ClKbZNo/edit?usp=share_link"",""พระนครศรีอยุธยา!I826"")+IMPORTRANGE(""https://docs.google.com/spreadsheets/d/1CdNicvf3i6yt4tJlCePe3V1Va76wYqW0QzMzTsaGRrA/edit?usp=sh"&amp;"are_link"",""เพชรบุรี!I826"")+IMPORTRANGE(""https://docs.google.com/spreadsheets/d/1XiF77UIVHV0Kjc6xbXuOuJ10WgJYxd4p_22ngKVV5oM/edit?usp=share_link"",""ระยอง!I826"")+IMPORTRANGE(""https://docs.google.com/spreadsheets/d/1qU-W_9MCQD1pgIVXGEOjCFo9QqlmJywueby"&amp;"GgaN92r8/edit?usp=share_link"",""ราชบุรี!I826"")+IMPORTRANGE(""https://docs.google.com/spreadsheets/d/1xYFIxIM_CspAP5Q-5Zx_V0T_Ut3cjryrjd2hss28vGk/edit?usp=share_link"",""ลพบุรี!I826"")+IMPORTRANGE(""https://docs.google.com/spreadsheets/d/11s9m3tKsCBdPWq6"&amp;"syhZm27eBGbKneDLZc75co106bio/edit?usp=share_link"",""สระแก้ว!I826"")+IMPORTRANGE(""https://docs.google.com/spreadsheets/d/1Nn1EvsFPtXldgpgVb3Rcng2K2cls68LFQsBh2FyW0Bg/edit?usp=share_link"",""สระบุรี!I826"")+IMPORTRANGE(""https://docs.google.com/spreadshee"&amp;"ts/d/149xufxukrnEciK3WPbNpHwUK8BKEJxp3UcBG3Al6dA4/edit?usp=share_link"",""สิงห์บุรี!I826"")+IMPORTRANGE(""https://docs.google.com/spreadsheets/d/132g-zJpz2uMKimp17uOIx8A7o3w1Z25zwJyXnwsB56c/edit?usp=share_link"",""สุพรรณบุรี!I826"")+IMPORTRANGE(""https://"&amp;"docs.google.com/spreadsheets/d/12Q_U0nVnFdxDFwa0pej9xvx8ZvLC9Dpi_vRro_aiG5g/edit?usp=share_link"",""อ่างทอง!I826"")
"),8017)</f>
        <v>8017</v>
      </c>
      <c r="J826" s="37">
        <f ca="1">IFERROR(__xludf.DUMMYFUNCTION("IMPORTRANGE(""https://docs.google.com/spreadsheets/d/1hKO5uv94SSRZWOvrh72HRcpyoEQF9TsE_Cvxl77XNU4/edit?usp=share_link"",""กาญจนบุรี!J826"")+IMPORTRANGE(""https://docs.google.com/spreadsheets/d/1njBaP_xXd-Uotvo2D9zb01TTCFkLJLDK97Tk1l9Qux0/edit?usp=share_li"&amp;"nk"",""จันทบุรี!J826"")+IMPORTRANGE(""https://docs.google.com/spreadsheets/d/14xp6qUzrGFnUk_qnc1eEmfiaNRd4_grkhpfQH_46fa8/edit?usp=share_link"",""ฉะเชิงเทรา!J826"")+IMPORTRANGE(""https://docs.google.com/spreadsheets/d/1_Zwps30dlVa-pZFsorjVf1Pil6WXwzCsJU0U"&amp;"2whO3NI/edit?usp=share_link"",""ชลบุรี!J826"")+IMPORTRANGE(""https://docs.google.com/spreadsheets/d/1xAsT4sUbBlom7l0acStESh_15nvjZcXjZM7fK5uZSq8/edit?usp=share_link"",""ชัยนาท!J826"")+IMPORTRANGE(""https://docs.google.com/spreadsheets/d/1vWPVBOAaZ6mHSI8yf"&amp;"95DNqHwTJ1cpeFsvqt6cxV34QA/edit?usp=share_link"",""ตราด!J826"")+IMPORTRANGE(""https://docs.google.com/spreadsheets/d/1phaeSb9lTGgzDpbvVqI9hfmOQQzUom07-HEvpbARzEg/edit?usp=share_link"",""นครนายก!J826"")+IMPORTRANGE(""https://docs.google.com/spreadsheets/d/"&amp;"1tpwhWwkqkBeiSWCcfB5f2fbwPRbM9hHOEDSDHpl2MIc/edit?usp=share_link"",""นครปฐม!J826"")+IMPORTRANGE(""https://docs.google.com/spreadsheets/d/1fJJCVBkBnhriyv0Cp5ZFMr0I_yrfdEITNpb4zILJgUQ/edit?usp=share_link"",""ปทุมธานี!J826"")+IMPORTRANGE(""https://docs.googl"&amp;"e.com/spreadsheets/d/1W5Jj_S0gYw6wSO7QcMI02YgyOBDKYgmm0NSUk-AQEac/edit?usp=share_link"",""ประจวบคีรีขันธ์!J826"")+IMPORTRANGE(""https://docs.google.com/spreadsheets/d/1nYxRXgnCfTXtqUY1otYuTlnrzE0Tn-Y0YRsW5pkRVqo/edit?usp=share_link"",""ปราจีนบุรี!J826"")+"&amp;"IMPORTRANGE(""https://docs.google.com/spreadsheets/d/1nNHCLO8ZAXOMfQvxux7cf_hrzPAh8FAvaHq_ClKbZNo/edit?usp=share_link"",""พระนครศรีอยุธยา!J826"")+IMPORTRANGE(""https://docs.google.com/spreadsheets/d/1CdNicvf3i6yt4tJlCePe3V1Va76wYqW0QzMzTsaGRrA/edit?usp=sh"&amp;"are_link"",""เพชรบุรี!J826"")+IMPORTRANGE(""https://docs.google.com/spreadsheets/d/1XiF77UIVHV0Kjc6xbXuOuJ10WgJYxd4p_22ngKVV5oM/edit?usp=share_link"",""ระยอง!J826"")+IMPORTRANGE(""https://docs.google.com/spreadsheets/d/1qU-W_9MCQD1pgIVXGEOjCFo9QqlmJywueby"&amp;"GgaN92r8/edit?usp=share_link"",""ราชบุรี!J826"")+IMPORTRANGE(""https://docs.google.com/spreadsheets/d/1xYFIxIM_CspAP5Q-5Zx_V0T_Ut3cjryrjd2hss28vGk/edit?usp=share_link"",""ลพบุรี!J826"")+IMPORTRANGE(""https://docs.google.com/spreadsheets/d/11s9m3tKsCBdPWq6"&amp;"syhZm27eBGbKneDLZc75co106bio/edit?usp=share_link"",""สระแก้ว!J826"")+IMPORTRANGE(""https://docs.google.com/spreadsheets/d/1Nn1EvsFPtXldgpgVb3Rcng2K2cls68LFQsBh2FyW0Bg/edit?usp=share_link"",""สระบุรี!J826"")+IMPORTRANGE(""https://docs.google.com/spreadshee"&amp;"ts/d/149xufxukrnEciK3WPbNpHwUK8BKEJxp3UcBG3Al6dA4/edit?usp=share_link"",""สิงห์บุรี!J826"")+IMPORTRANGE(""https://docs.google.com/spreadsheets/d/132g-zJpz2uMKimp17uOIx8A7o3w1Z25zwJyXnwsB56c/edit?usp=share_link"",""สุพรรณบุรี!J826"")+IMPORTRANGE(""https://"&amp;"docs.google.com/spreadsheets/d/12Q_U0nVnFdxDFwa0pej9xvx8ZvLC9Dpi_vRro_aiG5g/edit?usp=share_link"",""อ่างทอง!J826"")
"),341)</f>
        <v>341</v>
      </c>
      <c r="K826" s="38">
        <f t="shared" ca="1" si="380"/>
        <v>4.2534613945366093</v>
      </c>
      <c r="L826" s="38"/>
      <c r="M826" s="38"/>
      <c r="N826" s="38"/>
      <c r="O826" s="38"/>
      <c r="P826" s="38"/>
      <c r="Q826" s="571"/>
      <c r="R826" s="571"/>
      <c r="S826" s="571"/>
      <c r="T826" s="571"/>
      <c r="U826" s="571"/>
      <c r="V826" s="571"/>
      <c r="W826" s="571"/>
      <c r="X826" s="571"/>
      <c r="Y826" s="571"/>
      <c r="Z826" s="571"/>
    </row>
    <row r="827" spans="1:26" ht="20.25" customHeight="1">
      <c r="A827" s="735"/>
      <c r="B827" s="570" t="s">
        <v>328</v>
      </c>
      <c r="C827" s="569"/>
      <c r="D827" s="568"/>
      <c r="E827" s="569"/>
      <c r="F827" s="569"/>
      <c r="G827" s="189"/>
      <c r="H827" s="36" t="s">
        <v>12</v>
      </c>
      <c r="I827" s="37">
        <f ca="1">IFERROR(__xludf.DUMMYFUNCTION("IMPORTRANGE(""https://docs.google.com/spreadsheets/d/1hKO5uv94SSRZWOvrh72HRcpyoEQF9TsE_Cvxl77XNU4/edit?usp=share_link"",""กาญจนบุรี!I827"")+IMPORTRANGE(""https://docs.google.com/spreadsheets/d/1njBaP_xXd-Uotvo2D9zb01TTCFkLJLDK97Tk1l9Qux0/edit?usp=share_li"&amp;"nk"",""จันทบุรี!I827"")+IMPORTRANGE(""https://docs.google.com/spreadsheets/d/14xp6qUzrGFnUk_qnc1eEmfiaNRd4_grkhpfQH_46fa8/edit?usp=share_link"",""ฉะเชิงเทรา!I827"")+IMPORTRANGE(""https://docs.google.com/spreadsheets/d/1_Zwps30dlVa-pZFsorjVf1Pil6WXwzCsJU0U"&amp;"2whO3NI/edit?usp=share_link"",""ชลบุรี!I827"")+IMPORTRANGE(""https://docs.google.com/spreadsheets/d/1xAsT4sUbBlom7l0acStESh_15nvjZcXjZM7fK5uZSq8/edit?usp=share_link"",""ชัยนาท!I827"")+IMPORTRANGE(""https://docs.google.com/spreadsheets/d/1vWPVBOAaZ6mHSI8yf"&amp;"95DNqHwTJ1cpeFsvqt6cxV34QA/edit?usp=share_link"",""ตราด!I827"")+IMPORTRANGE(""https://docs.google.com/spreadsheets/d/1phaeSb9lTGgzDpbvVqI9hfmOQQzUom07-HEvpbARzEg/edit?usp=share_link"",""นครนายก!I827"")+IMPORTRANGE(""https://docs.google.com/spreadsheets/d/"&amp;"1tpwhWwkqkBeiSWCcfB5f2fbwPRbM9hHOEDSDHpl2MIc/edit?usp=share_link"",""นครปฐม!I827"")+IMPORTRANGE(""https://docs.google.com/spreadsheets/d/1fJJCVBkBnhriyv0Cp5ZFMr0I_yrfdEITNpb4zILJgUQ/edit?usp=share_link"",""ปทุมธานี!I827"")+IMPORTRANGE(""https://docs.googl"&amp;"e.com/spreadsheets/d/1W5Jj_S0gYw6wSO7QcMI02YgyOBDKYgmm0NSUk-AQEac/edit?usp=share_link"",""ประจวบคีรีขันธ์!I827"")+IMPORTRANGE(""https://docs.google.com/spreadsheets/d/1nYxRXgnCfTXtqUY1otYuTlnrzE0Tn-Y0YRsW5pkRVqo/edit?usp=share_link"",""ปราจีนบุรี!I827"")+"&amp;"IMPORTRANGE(""https://docs.google.com/spreadsheets/d/1nNHCLO8ZAXOMfQvxux7cf_hrzPAh8FAvaHq_ClKbZNo/edit?usp=share_link"",""พระนครศรีอยุธยา!I827"")+IMPORTRANGE(""https://docs.google.com/spreadsheets/d/1CdNicvf3i6yt4tJlCePe3V1Va76wYqW0QzMzTsaGRrA/edit?usp=sh"&amp;"are_link"",""เพชรบุรี!I827"")+IMPORTRANGE(""https://docs.google.com/spreadsheets/d/1XiF77UIVHV0Kjc6xbXuOuJ10WgJYxd4p_22ngKVV5oM/edit?usp=share_link"",""ระยอง!I827"")+IMPORTRANGE(""https://docs.google.com/spreadsheets/d/1qU-W_9MCQD1pgIVXGEOjCFo9QqlmJywueby"&amp;"GgaN92r8/edit?usp=share_link"",""ราชบุรี!I827"")+IMPORTRANGE(""https://docs.google.com/spreadsheets/d/1xYFIxIM_CspAP5Q-5Zx_V0T_Ut3cjryrjd2hss28vGk/edit?usp=share_link"",""ลพบุรี!I827"")+IMPORTRANGE(""https://docs.google.com/spreadsheets/d/11s9m3tKsCBdPWq6"&amp;"syhZm27eBGbKneDLZc75co106bio/edit?usp=share_link"",""สระแก้ว!I827"")+IMPORTRANGE(""https://docs.google.com/spreadsheets/d/1Nn1EvsFPtXldgpgVb3Rcng2K2cls68LFQsBh2FyW0Bg/edit?usp=share_link"",""สระบุรี!I827"")+IMPORTRANGE(""https://docs.google.com/spreadshee"&amp;"ts/d/149xufxukrnEciK3WPbNpHwUK8BKEJxp3UcBG3Al6dA4/edit?usp=share_link"",""สิงห์บุรี!I827"")+IMPORTRANGE(""https://docs.google.com/spreadsheets/d/132g-zJpz2uMKimp17uOIx8A7o3w1Z25zwJyXnwsB56c/edit?usp=share_link"",""สุพรรณบุรี!I827"")+IMPORTRANGE(""https://"&amp;"docs.google.com/spreadsheets/d/12Q_U0nVnFdxDFwa0pej9xvx8ZvLC9Dpi_vRro_aiG5g/edit?usp=share_link"",""อ่างทอง!I827"")
"),112420000)</f>
        <v>112420000</v>
      </c>
      <c r="J827" s="37">
        <f ca="1">IFERROR(__xludf.DUMMYFUNCTION("IMPORTRANGE(""https://docs.google.com/spreadsheets/d/1hKO5uv94SSRZWOvrh72HRcpyoEQF9TsE_Cvxl77XNU4/edit?usp=share_link"",""กาญจนบุรี!J827"")+IMPORTRANGE(""https://docs.google.com/spreadsheets/d/1njBaP_xXd-Uotvo2D9zb01TTCFkLJLDK97Tk1l9Qux0/edit?usp=share_li"&amp;"nk"",""จันทบุรี!J827"")+IMPORTRANGE(""https://docs.google.com/spreadsheets/d/14xp6qUzrGFnUk_qnc1eEmfiaNRd4_grkhpfQH_46fa8/edit?usp=share_link"",""ฉะเชิงเทรา!J827"")+IMPORTRANGE(""https://docs.google.com/spreadsheets/d/1_Zwps30dlVa-pZFsorjVf1Pil6WXwzCsJU0U"&amp;"2whO3NI/edit?usp=share_link"",""ชลบุรี!J827"")+IMPORTRANGE(""https://docs.google.com/spreadsheets/d/1xAsT4sUbBlom7l0acStESh_15nvjZcXjZM7fK5uZSq8/edit?usp=share_link"",""ชัยนาท!J827"")+IMPORTRANGE(""https://docs.google.com/spreadsheets/d/1vWPVBOAaZ6mHSI8yf"&amp;"95DNqHwTJ1cpeFsvqt6cxV34QA/edit?usp=share_link"",""ตราด!J827"")+IMPORTRANGE(""https://docs.google.com/spreadsheets/d/1phaeSb9lTGgzDpbvVqI9hfmOQQzUom07-HEvpbARzEg/edit?usp=share_link"",""นครนายก!J827"")+IMPORTRANGE(""https://docs.google.com/spreadsheets/d/"&amp;"1tpwhWwkqkBeiSWCcfB5f2fbwPRbM9hHOEDSDHpl2MIc/edit?usp=share_link"",""นครปฐม!J827"")+IMPORTRANGE(""https://docs.google.com/spreadsheets/d/1fJJCVBkBnhriyv0Cp5ZFMr0I_yrfdEITNpb4zILJgUQ/edit?usp=share_link"",""ปทุมธานี!J827"")+IMPORTRANGE(""https://docs.googl"&amp;"e.com/spreadsheets/d/1W5Jj_S0gYw6wSO7QcMI02YgyOBDKYgmm0NSUk-AQEac/edit?usp=share_link"",""ประจวบคีรีขันธ์!J827"")+IMPORTRANGE(""https://docs.google.com/spreadsheets/d/1nYxRXgnCfTXtqUY1otYuTlnrzE0Tn-Y0YRsW5pkRVqo/edit?usp=share_link"",""ปราจีนบุรี!J827"")+"&amp;"IMPORTRANGE(""https://docs.google.com/spreadsheets/d/1nNHCLO8ZAXOMfQvxux7cf_hrzPAh8FAvaHq_ClKbZNo/edit?usp=share_link"",""พระนครศรีอยุธยา!J827"")+IMPORTRANGE(""https://docs.google.com/spreadsheets/d/1CdNicvf3i6yt4tJlCePe3V1Va76wYqW0QzMzTsaGRrA/edit?usp=sh"&amp;"are_link"",""เพชรบุรี!J827"")+IMPORTRANGE(""https://docs.google.com/spreadsheets/d/1XiF77UIVHV0Kjc6xbXuOuJ10WgJYxd4p_22ngKVV5oM/edit?usp=share_link"",""ระยอง!J827"")+IMPORTRANGE(""https://docs.google.com/spreadsheets/d/1qU-W_9MCQD1pgIVXGEOjCFo9QqlmJywueby"&amp;"GgaN92r8/edit?usp=share_link"",""ราชบุรี!J827"")+IMPORTRANGE(""https://docs.google.com/spreadsheets/d/1xYFIxIM_CspAP5Q-5Zx_V0T_Ut3cjryrjd2hss28vGk/edit?usp=share_link"",""ลพบุรี!J827"")+IMPORTRANGE(""https://docs.google.com/spreadsheets/d/11s9m3tKsCBdPWq6"&amp;"syhZm27eBGbKneDLZc75co106bio/edit?usp=share_link"",""สระแก้ว!J827"")+IMPORTRANGE(""https://docs.google.com/spreadsheets/d/1Nn1EvsFPtXldgpgVb3Rcng2K2cls68LFQsBh2FyW0Bg/edit?usp=share_link"",""สระบุรี!J827"")+IMPORTRANGE(""https://docs.google.com/spreadshee"&amp;"ts/d/149xufxukrnEciK3WPbNpHwUK8BKEJxp3UcBG3Al6dA4/edit?usp=share_link"",""สิงห์บุรี!J827"")+IMPORTRANGE(""https://docs.google.com/spreadsheets/d/132g-zJpz2uMKimp17uOIx8A7o3w1Z25zwJyXnwsB56c/edit?usp=share_link"",""สุพรรณบุรี!J827"")+IMPORTRANGE(""https://"&amp;"docs.google.com/spreadsheets/d/12Q_U0nVnFdxDFwa0pej9xvx8ZvLC9Dpi_vRro_aiG5g/edit?usp=share_link"",""อ่างทอง!J827"")
"),2415000)</f>
        <v>2415000</v>
      </c>
      <c r="K827" s="38">
        <f t="shared" ca="1" si="380"/>
        <v>2.1481942714819429</v>
      </c>
      <c r="L827" s="38"/>
      <c r="M827" s="38"/>
      <c r="N827" s="38"/>
      <c r="O827" s="38"/>
      <c r="P827" s="38"/>
      <c r="Q827" s="571"/>
      <c r="R827" s="571"/>
      <c r="S827" s="571"/>
      <c r="T827" s="571"/>
      <c r="U827" s="571"/>
      <c r="V827" s="571"/>
      <c r="W827" s="571"/>
      <c r="X827" s="571"/>
      <c r="Y827" s="571"/>
      <c r="Z827" s="571"/>
    </row>
    <row r="828" spans="1:26" ht="20.25" customHeight="1">
      <c r="A828" s="738"/>
      <c r="B828" s="740"/>
      <c r="C828" s="740"/>
      <c r="D828" s="739"/>
      <c r="E828" s="740"/>
      <c r="F828" s="740"/>
      <c r="G828" s="818"/>
      <c r="H828" s="819" t="s">
        <v>35</v>
      </c>
      <c r="I828" s="499">
        <f ca="1">IFERROR(__xludf.DUMMYFUNCTION("IMPORTRANGE(""https://docs.google.com/spreadsheets/d/1hKO5uv94SSRZWOvrh72HRcpyoEQF9TsE_Cvxl77XNU4/edit?usp=share_link"",""กาญจนบุรี!I828"")+IMPORTRANGE(""https://docs.google.com/spreadsheets/d/1njBaP_xXd-Uotvo2D9zb01TTCFkLJLDK97Tk1l9Qux0/edit?usp=share_li"&amp;"nk"",""จันทบุรี!I828"")+IMPORTRANGE(""https://docs.google.com/spreadsheets/d/14xp6qUzrGFnUk_qnc1eEmfiaNRd4_grkhpfQH_46fa8/edit?usp=share_link"",""ฉะเชิงเทรา!I828"")+IMPORTRANGE(""https://docs.google.com/spreadsheets/d/1_Zwps30dlVa-pZFsorjVf1Pil6WXwzCsJU0U"&amp;"2whO3NI/edit?usp=share_link"",""ชลบุรี!I828"")+IMPORTRANGE(""https://docs.google.com/spreadsheets/d/1xAsT4sUbBlom7l0acStESh_15nvjZcXjZM7fK5uZSq8/edit?usp=share_link"",""ชัยนาท!I828"")+IMPORTRANGE(""https://docs.google.com/spreadsheets/d/1vWPVBOAaZ6mHSI8yf"&amp;"95DNqHwTJ1cpeFsvqt6cxV34QA/edit?usp=share_link"",""ตราด!I828"")+IMPORTRANGE(""https://docs.google.com/spreadsheets/d/1phaeSb9lTGgzDpbvVqI9hfmOQQzUom07-HEvpbARzEg/edit?usp=share_link"",""นครนายก!I828"")+IMPORTRANGE(""https://docs.google.com/spreadsheets/d/"&amp;"1tpwhWwkqkBeiSWCcfB5f2fbwPRbM9hHOEDSDHpl2MIc/edit?usp=share_link"",""นครปฐม!I828"")+IMPORTRANGE(""https://docs.google.com/spreadsheets/d/1fJJCVBkBnhriyv0Cp5ZFMr0I_yrfdEITNpb4zILJgUQ/edit?usp=share_link"",""ปทุมธานี!I828"")+IMPORTRANGE(""https://docs.googl"&amp;"e.com/spreadsheets/d/1W5Jj_S0gYw6wSO7QcMI02YgyOBDKYgmm0NSUk-AQEac/edit?usp=share_link"",""ประจวบคีรีขันธ์!I828"")+IMPORTRANGE(""https://docs.google.com/spreadsheets/d/1nYxRXgnCfTXtqUY1otYuTlnrzE0Tn-Y0YRsW5pkRVqo/edit?usp=share_link"",""ปราจีนบุรี!I828"")+"&amp;"IMPORTRANGE(""https://docs.google.com/spreadsheets/d/1nNHCLO8ZAXOMfQvxux7cf_hrzPAh8FAvaHq_ClKbZNo/edit?usp=share_link"",""พระนครศรีอยุธยา!I828"")+IMPORTRANGE(""https://docs.google.com/spreadsheets/d/1CdNicvf3i6yt4tJlCePe3V1Va76wYqW0QzMzTsaGRrA/edit?usp=sh"&amp;"are_link"",""เพชรบุรี!I828"")+IMPORTRANGE(""https://docs.google.com/spreadsheets/d/1XiF77UIVHV0Kjc6xbXuOuJ10WgJYxd4p_22ngKVV5oM/edit?usp=share_link"",""ระยอง!I828"")+IMPORTRANGE(""https://docs.google.com/spreadsheets/d/1qU-W_9MCQD1pgIVXGEOjCFo9QqlmJywueby"&amp;"GgaN92r8/edit?usp=share_link"",""ราชบุรี!I828"")+IMPORTRANGE(""https://docs.google.com/spreadsheets/d/1xYFIxIM_CspAP5Q-5Zx_V0T_Ut3cjryrjd2hss28vGk/edit?usp=share_link"",""ลพบุรี!I828"")+IMPORTRANGE(""https://docs.google.com/spreadsheets/d/11s9m3tKsCBdPWq6"&amp;"syhZm27eBGbKneDLZc75co106bio/edit?usp=share_link"",""สระแก้ว!I828"")+IMPORTRANGE(""https://docs.google.com/spreadsheets/d/1Nn1EvsFPtXldgpgVb3Rcng2K2cls68LFQsBh2FyW0Bg/edit?usp=share_link"",""สระบุรี!I828"")+IMPORTRANGE(""https://docs.google.com/spreadshee"&amp;"ts/d/149xufxukrnEciK3WPbNpHwUK8BKEJxp3UcBG3Al6dA4/edit?usp=share_link"",""สิงห์บุรี!I828"")+IMPORTRANGE(""https://docs.google.com/spreadsheets/d/132g-zJpz2uMKimp17uOIx8A7o3w1Z25zwJyXnwsB56c/edit?usp=share_link"",""สุพรรณบุรี!I828"")+IMPORTRANGE(""https://"&amp;"docs.google.com/spreadsheets/d/12Q_U0nVnFdxDFwa0pej9xvx8ZvLC9Dpi_vRro_aiG5g/edit?usp=share_link"",""อ่างทอง!I828"")
"),3913)</f>
        <v>3913</v>
      </c>
      <c r="J828" s="499">
        <f ca="1">IFERROR(__xludf.DUMMYFUNCTION("IMPORTRANGE(""https://docs.google.com/spreadsheets/d/1hKO5uv94SSRZWOvrh72HRcpyoEQF9TsE_Cvxl77XNU4/edit?usp=share_link"",""กาญจนบุรี!J828"")+IMPORTRANGE(""https://docs.google.com/spreadsheets/d/1njBaP_xXd-Uotvo2D9zb01TTCFkLJLDK97Tk1l9Qux0/edit?usp=share_li"&amp;"nk"",""จันทบุรี!J828"")+IMPORTRANGE(""https://docs.google.com/spreadsheets/d/14xp6qUzrGFnUk_qnc1eEmfiaNRd4_grkhpfQH_46fa8/edit?usp=share_link"",""ฉะเชิงเทรา!J828"")+IMPORTRANGE(""https://docs.google.com/spreadsheets/d/1_Zwps30dlVa-pZFsorjVf1Pil6WXwzCsJU0U"&amp;"2whO3NI/edit?usp=share_link"",""ชลบุรี!J828"")+IMPORTRANGE(""https://docs.google.com/spreadsheets/d/1xAsT4sUbBlom7l0acStESh_15nvjZcXjZM7fK5uZSq8/edit?usp=share_link"",""ชัยนาท!J828"")+IMPORTRANGE(""https://docs.google.com/spreadsheets/d/1vWPVBOAaZ6mHSI8yf"&amp;"95DNqHwTJ1cpeFsvqt6cxV34QA/edit?usp=share_link"",""ตราด!J828"")+IMPORTRANGE(""https://docs.google.com/spreadsheets/d/1phaeSb9lTGgzDpbvVqI9hfmOQQzUom07-HEvpbARzEg/edit?usp=share_link"",""นครนายก!J828"")+IMPORTRANGE(""https://docs.google.com/spreadsheets/d/"&amp;"1tpwhWwkqkBeiSWCcfB5f2fbwPRbM9hHOEDSDHpl2MIc/edit?usp=share_link"",""นครปฐม!J828"")+IMPORTRANGE(""https://docs.google.com/spreadsheets/d/1fJJCVBkBnhriyv0Cp5ZFMr0I_yrfdEITNpb4zILJgUQ/edit?usp=share_link"",""ปทุมธานี!J828"")+IMPORTRANGE(""https://docs.googl"&amp;"e.com/spreadsheets/d/1W5Jj_S0gYw6wSO7QcMI02YgyOBDKYgmm0NSUk-AQEac/edit?usp=share_link"",""ประจวบคีรีขันธ์!J828"")+IMPORTRANGE(""https://docs.google.com/spreadsheets/d/1nYxRXgnCfTXtqUY1otYuTlnrzE0Tn-Y0YRsW5pkRVqo/edit?usp=share_link"",""ปราจีนบุรี!J828"")+"&amp;"IMPORTRANGE(""https://docs.google.com/spreadsheets/d/1nNHCLO8ZAXOMfQvxux7cf_hrzPAh8FAvaHq_ClKbZNo/edit?usp=share_link"",""พระนครศรีอยุธยา!J828"")+IMPORTRANGE(""https://docs.google.com/spreadsheets/d/1CdNicvf3i6yt4tJlCePe3V1Va76wYqW0QzMzTsaGRrA/edit?usp=sh"&amp;"are_link"",""เพชรบุรี!J828"")+IMPORTRANGE(""https://docs.google.com/spreadsheets/d/1XiF77UIVHV0Kjc6xbXuOuJ10WgJYxd4p_22ngKVV5oM/edit?usp=share_link"",""ระยอง!J828"")+IMPORTRANGE(""https://docs.google.com/spreadsheets/d/1qU-W_9MCQD1pgIVXGEOjCFo9QqlmJywueby"&amp;"GgaN92r8/edit?usp=share_link"",""ราชบุรี!J828"")+IMPORTRANGE(""https://docs.google.com/spreadsheets/d/1xYFIxIM_CspAP5Q-5Zx_V0T_Ut3cjryrjd2hss28vGk/edit?usp=share_link"",""ลพบุรี!J828"")+IMPORTRANGE(""https://docs.google.com/spreadsheets/d/11s9m3tKsCBdPWq6"&amp;"syhZm27eBGbKneDLZc75co106bio/edit?usp=share_link"",""สระแก้ว!J828"")+IMPORTRANGE(""https://docs.google.com/spreadsheets/d/1Nn1EvsFPtXldgpgVb3Rcng2K2cls68LFQsBh2FyW0Bg/edit?usp=share_link"",""สระบุรี!J828"")+IMPORTRANGE(""https://docs.google.com/spreadshee"&amp;"ts/d/149xufxukrnEciK3WPbNpHwUK8BKEJxp3UcBG3Al6dA4/edit?usp=share_link"",""สิงห์บุรี!J828"")+IMPORTRANGE(""https://docs.google.com/spreadsheets/d/132g-zJpz2uMKimp17uOIx8A7o3w1Z25zwJyXnwsB56c/edit?usp=share_link"",""สุพรรณบุรี!J828"")+IMPORTRANGE(""https://"&amp;"docs.google.com/spreadsheets/d/12Q_U0nVnFdxDFwa0pej9xvx8ZvLC9Dpi_vRro_aiG5g/edit?usp=share_link"",""อ่างทอง!J828"")
"),63)</f>
        <v>63</v>
      </c>
      <c r="K828" s="500">
        <f t="shared" ca="1" si="380"/>
        <v>1.6100178890876566</v>
      </c>
      <c r="L828" s="500"/>
      <c r="M828" s="500"/>
      <c r="N828" s="500"/>
      <c r="O828" s="500"/>
      <c r="P828" s="500"/>
      <c r="Q828" s="571"/>
      <c r="R828" s="571"/>
      <c r="S828" s="571"/>
      <c r="T828" s="571"/>
      <c r="U828" s="571"/>
      <c r="V828" s="571"/>
      <c r="W828" s="571"/>
      <c r="X828" s="571"/>
      <c r="Y828" s="571"/>
      <c r="Z828" s="571"/>
    </row>
  </sheetData>
  <mergeCells count="30">
    <mergeCell ref="D523:F523"/>
    <mergeCell ref="D544:F544"/>
    <mergeCell ref="D629:F629"/>
    <mergeCell ref="D808:F808"/>
    <mergeCell ref="D815:F815"/>
    <mergeCell ref="D655:F655"/>
    <mergeCell ref="D685:F685"/>
    <mergeCell ref="D737:F737"/>
    <mergeCell ref="D754:F754"/>
    <mergeCell ref="D770:F770"/>
    <mergeCell ref="D786:F786"/>
    <mergeCell ref="D805:F805"/>
    <mergeCell ref="B51:G51"/>
    <mergeCell ref="D419:F419"/>
    <mergeCell ref="D444:F444"/>
    <mergeCell ref="D467:F467"/>
    <mergeCell ref="D502:F502"/>
    <mergeCell ref="A7:G7"/>
    <mergeCell ref="A17:G17"/>
    <mergeCell ref="A27:G27"/>
    <mergeCell ref="B40:G40"/>
    <mergeCell ref="A50:G50"/>
    <mergeCell ref="A1:P1"/>
    <mergeCell ref="A2:P2"/>
    <mergeCell ref="A3:P3"/>
    <mergeCell ref="H5:H6"/>
    <mergeCell ref="I5:K5"/>
    <mergeCell ref="L5:M5"/>
    <mergeCell ref="N5:P5"/>
    <mergeCell ref="A5:G6"/>
  </mergeCells>
  <printOptions horizontalCentered="1" gridLines="1"/>
  <pageMargins left="0.23622047244094491" right="0.23622047244094491" top="0.74803149606299213" bottom="0.74803149606299213" header="0" footer="0"/>
  <pageSetup paperSize="9" scale="41" fitToHeight="0" pageOrder="overThenDown" orientation="portrait" cellComments="atEnd" r:id="rId1"/>
  <headerFooter>
    <oddFooter>&amp;Cหน้า &amp;P/&amp;N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6E53E3-37DF-4E9F-A312-7682DD0E8F6E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activeCell="A2" sqref="A2:P2"/>
      <selection pane="bottomLeft" activeCell="A2" sqref="A2:P2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9" width="16.85546875" bestFit="1" customWidth="1"/>
    <col min="10" max="10" width="14.42578125" bestFit="1" customWidth="1"/>
    <col min="11" max="11" width="12.5703125" customWidth="1"/>
    <col min="12" max="13" width="21.28515625" bestFit="1" customWidth="1"/>
    <col min="14" max="14" width="18.7109375" bestFit="1" customWidth="1"/>
    <col min="15" max="16" width="17.5703125" customWidth="1"/>
  </cols>
  <sheetData>
    <row r="1" spans="1:26" ht="19.5">
      <c r="A1" s="844" t="s">
        <v>0</v>
      </c>
      <c r="B1" s="845"/>
      <c r="C1" s="845"/>
      <c r="D1" s="845"/>
      <c r="E1" s="845"/>
      <c r="F1" s="845"/>
      <c r="G1" s="845"/>
      <c r="H1" s="845"/>
      <c r="I1" s="845"/>
      <c r="J1" s="845"/>
      <c r="K1" s="845"/>
      <c r="L1" s="845"/>
      <c r="M1" s="845"/>
      <c r="N1" s="845"/>
      <c r="O1" s="845"/>
      <c r="P1" s="845"/>
    </row>
    <row r="2" spans="1:26" ht="19.5">
      <c r="A2" s="844" t="s">
        <v>345</v>
      </c>
      <c r="B2" s="845"/>
      <c r="C2" s="845"/>
      <c r="D2" s="845"/>
      <c r="E2" s="845"/>
      <c r="F2" s="845"/>
      <c r="G2" s="845"/>
      <c r="H2" s="845"/>
      <c r="I2" s="845"/>
      <c r="J2" s="845"/>
      <c r="K2" s="845"/>
      <c r="L2" s="845"/>
      <c r="M2" s="845"/>
      <c r="N2" s="845"/>
      <c r="O2" s="845"/>
      <c r="P2" s="845"/>
    </row>
    <row r="3" spans="1:26" ht="19.5">
      <c r="A3" s="844" t="s">
        <v>347</v>
      </c>
      <c r="B3" s="845"/>
      <c r="C3" s="845"/>
      <c r="D3" s="845"/>
      <c r="E3" s="845"/>
      <c r="F3" s="845"/>
      <c r="G3" s="845"/>
      <c r="H3" s="845"/>
      <c r="I3" s="845"/>
      <c r="J3" s="845"/>
      <c r="K3" s="845"/>
      <c r="L3" s="845"/>
      <c r="M3" s="845"/>
      <c r="N3" s="845"/>
      <c r="O3" s="845"/>
      <c r="P3" s="845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52" t="s">
        <v>2</v>
      </c>
      <c r="B5" s="845"/>
      <c r="C5" s="845"/>
      <c r="D5" s="845"/>
      <c r="E5" s="845"/>
      <c r="F5" s="845"/>
      <c r="G5" s="853"/>
      <c r="H5" s="846" t="s">
        <v>3</v>
      </c>
      <c r="I5" s="848" t="s">
        <v>4</v>
      </c>
      <c r="J5" s="849"/>
      <c r="K5" s="847"/>
      <c r="L5" s="850" t="s">
        <v>5</v>
      </c>
      <c r="M5" s="847"/>
      <c r="N5" s="851" t="s">
        <v>6</v>
      </c>
      <c r="O5" s="849"/>
      <c r="P5" s="847"/>
    </row>
    <row r="6" spans="1:26" ht="19.5">
      <c r="A6" s="854"/>
      <c r="B6" s="849"/>
      <c r="C6" s="849"/>
      <c r="D6" s="849"/>
      <c r="E6" s="849"/>
      <c r="F6" s="849"/>
      <c r="G6" s="847"/>
      <c r="H6" s="847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55" t="s">
        <v>15</v>
      </c>
      <c r="B7" s="849"/>
      <c r="C7" s="849"/>
      <c r="D7" s="849"/>
      <c r="E7" s="849"/>
      <c r="F7" s="849"/>
      <c r="G7" s="847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3101840</v>
      </c>
      <c r="M8" s="22">
        <f t="shared" ca="1" si="0"/>
        <v>1416680</v>
      </c>
      <c r="N8" s="22">
        <f t="shared" ca="1" si="0"/>
        <v>841665.97</v>
      </c>
      <c r="O8" s="22">
        <f t="shared" ref="O8:O16" ca="1" si="1">IF(L8&gt;0,N8*100/L8,0)</f>
        <v>27.134409576251514</v>
      </c>
      <c r="P8" s="22">
        <f t="shared" ref="P8:P16" ca="1" si="2">IF(M8&gt;0,N8*100/M8,0)</f>
        <v>59.411156365587146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3101840</v>
      </c>
      <c r="M10" s="30">
        <f t="shared" ca="1" si="3"/>
        <v>1416680</v>
      </c>
      <c r="N10" s="30">
        <f t="shared" ca="1" si="3"/>
        <v>841665.97</v>
      </c>
      <c r="O10" s="30">
        <f t="shared" ca="1" si="1"/>
        <v>27.134409576251514</v>
      </c>
      <c r="P10" s="30">
        <f t="shared" ca="1" si="2"/>
        <v>59.411156365587146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16" t="s">
        <v>12</v>
      </c>
      <c r="I11" s="269"/>
      <c r="J11" s="269"/>
      <c r="K11" s="496"/>
      <c r="L11" s="496">
        <f t="shared" ref="L11:N11" ca="1" si="4">L12+L13</f>
        <v>2988040</v>
      </c>
      <c r="M11" s="496">
        <f t="shared" ca="1" si="4"/>
        <v>1302880</v>
      </c>
      <c r="N11" s="496">
        <f t="shared" ca="1" si="4"/>
        <v>727865.97</v>
      </c>
      <c r="O11" s="496">
        <f t="shared" ca="1" si="1"/>
        <v>24.359311455000601</v>
      </c>
      <c r="P11" s="496">
        <f t="shared" ca="1" si="2"/>
        <v>55.86592548814933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2" t="s">
        <v>18</v>
      </c>
      <c r="F12" s="40"/>
      <c r="G12" s="42"/>
      <c r="H12" s="43" t="s">
        <v>12</v>
      </c>
      <c r="I12" s="610"/>
      <c r="J12" s="610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2" t="s">
        <v>19</v>
      </c>
      <c r="F13" s="40"/>
      <c r="G13" s="42"/>
      <c r="H13" s="43" t="s">
        <v>12</v>
      </c>
      <c r="I13" s="610"/>
      <c r="J13" s="610"/>
      <c r="K13" s="93"/>
      <c r="L13" s="93">
        <f t="shared" ca="1" si="5"/>
        <v>2988040</v>
      </c>
      <c r="M13" s="93">
        <f t="shared" ca="1" si="5"/>
        <v>1302880</v>
      </c>
      <c r="N13" s="93">
        <f t="shared" ca="1" si="5"/>
        <v>727865.97</v>
      </c>
      <c r="O13" s="93">
        <f t="shared" ca="1" si="1"/>
        <v>24.359311455000601</v>
      </c>
      <c r="P13" s="93">
        <f t="shared" ca="1" si="2"/>
        <v>55.86592548814933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16" t="s">
        <v>12</v>
      </c>
      <c r="I14" s="269"/>
      <c r="J14" s="269"/>
      <c r="K14" s="496"/>
      <c r="L14" s="496">
        <f t="shared" ref="L14:N14" ca="1" si="6">L15+L16</f>
        <v>113800</v>
      </c>
      <c r="M14" s="496">
        <f t="shared" ca="1" si="6"/>
        <v>113800</v>
      </c>
      <c r="N14" s="496">
        <f t="shared" ca="1" si="6"/>
        <v>113800</v>
      </c>
      <c r="O14" s="496">
        <f t="shared" ca="1" si="1"/>
        <v>100</v>
      </c>
      <c r="P14" s="496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2" t="s">
        <v>18</v>
      </c>
      <c r="F15" s="40"/>
      <c r="G15" s="42"/>
      <c r="H15" s="43" t="s">
        <v>12</v>
      </c>
      <c r="I15" s="610"/>
      <c r="J15" s="610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113800</v>
      </c>
      <c r="M16" s="52">
        <f t="shared" ca="1" si="7"/>
        <v>113800</v>
      </c>
      <c r="N16" s="52">
        <f t="shared" ca="1" si="7"/>
        <v>113800</v>
      </c>
      <c r="O16" s="52">
        <f t="shared" ca="1" si="1"/>
        <v>100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55" t="s">
        <v>22</v>
      </c>
      <c r="B17" s="849"/>
      <c r="C17" s="849"/>
      <c r="D17" s="849"/>
      <c r="E17" s="849"/>
      <c r="F17" s="849"/>
      <c r="G17" s="847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2819170</v>
      </c>
      <c r="M18" s="22">
        <f t="shared" ca="1" si="8"/>
        <v>1416680</v>
      </c>
      <c r="N18" s="22">
        <f t="shared" ca="1" si="8"/>
        <v>820125.97</v>
      </c>
      <c r="O18" s="22">
        <f t="shared" ref="O18:O26" ca="1" si="9">IF(L18&gt;0,N18*100/L18,0)</f>
        <v>29.091043463146956</v>
      </c>
      <c r="P18" s="22">
        <f t="shared" ref="P18:P26" ca="1" si="10">IF(M18&gt;0,N18*100/M18,0)</f>
        <v>57.890700087528586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2819170</v>
      </c>
      <c r="M20" s="30">
        <f t="shared" ca="1" si="11"/>
        <v>1416680</v>
      </c>
      <c r="N20" s="30">
        <f t="shared" ca="1" si="11"/>
        <v>820125.97</v>
      </c>
      <c r="O20" s="30">
        <f t="shared" ca="1" si="9"/>
        <v>29.091043463146956</v>
      </c>
      <c r="P20" s="30">
        <f t="shared" ca="1" si="10"/>
        <v>57.890700087528586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16" t="s">
        <v>12</v>
      </c>
      <c r="I21" s="269"/>
      <c r="J21" s="269"/>
      <c r="K21" s="496"/>
      <c r="L21" s="496">
        <f t="shared" ref="L21:N21" ca="1" si="12">L22+L23</f>
        <v>2705370</v>
      </c>
      <c r="M21" s="496">
        <f t="shared" ca="1" si="12"/>
        <v>1302880</v>
      </c>
      <c r="N21" s="496">
        <f t="shared" ca="1" si="12"/>
        <v>706325.97</v>
      </c>
      <c r="O21" s="496">
        <f t="shared" ca="1" si="9"/>
        <v>26.108294614045398</v>
      </c>
      <c r="P21" s="496">
        <f t="shared" ca="1" si="10"/>
        <v>54.212665019034752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2" t="s">
        <v>18</v>
      </c>
      <c r="F22" s="40"/>
      <c r="G22" s="42"/>
      <c r="H22" s="43" t="s">
        <v>12</v>
      </c>
      <c r="I22" s="610"/>
      <c r="J22" s="610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2" t="s">
        <v>19</v>
      </c>
      <c r="F23" s="40"/>
      <c r="G23" s="42"/>
      <c r="H23" s="43" t="s">
        <v>12</v>
      </c>
      <c r="I23" s="610"/>
      <c r="J23" s="610"/>
      <c r="K23" s="93"/>
      <c r="L23" s="93">
        <f t="shared" ca="1" si="13"/>
        <v>2705370</v>
      </c>
      <c r="M23" s="93">
        <f t="shared" ca="1" si="13"/>
        <v>1302880</v>
      </c>
      <c r="N23" s="93">
        <f t="shared" ca="1" si="13"/>
        <v>706325.97</v>
      </c>
      <c r="O23" s="93">
        <f t="shared" ca="1" si="9"/>
        <v>26.108294614045398</v>
      </c>
      <c r="P23" s="93">
        <f t="shared" ca="1" si="10"/>
        <v>54.212665019034752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16" t="s">
        <v>12</v>
      </c>
      <c r="I24" s="269"/>
      <c r="J24" s="269"/>
      <c r="K24" s="496"/>
      <c r="L24" s="496">
        <f t="shared" ref="L24:N24" ca="1" si="14">L25+L26</f>
        <v>113800</v>
      </c>
      <c r="M24" s="496">
        <f t="shared" ca="1" si="14"/>
        <v>113800</v>
      </c>
      <c r="N24" s="496">
        <f t="shared" ca="1" si="14"/>
        <v>113800</v>
      </c>
      <c r="O24" s="496">
        <f t="shared" ca="1" si="9"/>
        <v>100</v>
      </c>
      <c r="P24" s="496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2" t="s">
        <v>18</v>
      </c>
      <c r="F25" s="40"/>
      <c r="G25" s="42"/>
      <c r="H25" s="43" t="s">
        <v>12</v>
      </c>
      <c r="I25" s="610"/>
      <c r="J25" s="610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113800</v>
      </c>
      <c r="M26" s="52">
        <f t="shared" ca="1" si="15"/>
        <v>113800</v>
      </c>
      <c r="N26" s="52">
        <f t="shared" ca="1" si="15"/>
        <v>113800</v>
      </c>
      <c r="O26" s="52">
        <f t="shared" ca="1" si="9"/>
        <v>100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55" t="s">
        <v>23</v>
      </c>
      <c r="B27" s="849"/>
      <c r="C27" s="849"/>
      <c r="D27" s="849"/>
      <c r="E27" s="849"/>
      <c r="F27" s="849"/>
      <c r="G27" s="847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282670</v>
      </c>
      <c r="M28" s="22">
        <f t="shared" si="16"/>
        <v>0</v>
      </c>
      <c r="N28" s="22">
        <f t="shared" si="16"/>
        <v>21540</v>
      </c>
      <c r="O28" s="22">
        <f t="shared" ref="O28:O37" ca="1" si="17">IF(L28&gt;0,N28*100/L28,0)</f>
        <v>7.6201931580995508</v>
      </c>
      <c r="P28" s="22">
        <f t="shared" ref="P28:P37" si="18">IF(M28&gt;0,N28*100/M28,0)</f>
        <v>0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282670</v>
      </c>
      <c r="M30" s="30">
        <f t="shared" si="19"/>
        <v>0</v>
      </c>
      <c r="N30" s="30">
        <f t="shared" si="19"/>
        <v>21540</v>
      </c>
      <c r="O30" s="30">
        <f t="shared" ca="1" si="17"/>
        <v>7.6201931580995508</v>
      </c>
      <c r="P30" s="30">
        <f t="shared" si="18"/>
        <v>0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16" t="s">
        <v>12</v>
      </c>
      <c r="I31" s="269"/>
      <c r="J31" s="269"/>
      <c r="K31" s="496"/>
      <c r="L31" s="496">
        <f t="shared" ref="L31:N31" ca="1" si="20">L32+L33</f>
        <v>282670</v>
      </c>
      <c r="M31" s="496">
        <f t="shared" si="20"/>
        <v>0</v>
      </c>
      <c r="N31" s="496">
        <f t="shared" si="20"/>
        <v>21540</v>
      </c>
      <c r="O31" s="496">
        <f t="shared" ca="1" si="17"/>
        <v>7.6201931580995508</v>
      </c>
      <c r="P31" s="496">
        <f t="shared" si="18"/>
        <v>0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2" t="s">
        <v>18</v>
      </c>
      <c r="F32" s="40"/>
      <c r="G32" s="42"/>
      <c r="H32" s="43" t="s">
        <v>12</v>
      </c>
      <c r="I32" s="610"/>
      <c r="J32" s="610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2" t="s">
        <v>19</v>
      </c>
      <c r="F33" s="40"/>
      <c r="G33" s="42"/>
      <c r="H33" s="43" t="s">
        <v>12</v>
      </c>
      <c r="I33" s="610"/>
      <c r="J33" s="610"/>
      <c r="K33" s="93"/>
      <c r="L33" s="93">
        <f t="shared" ca="1" si="21"/>
        <v>282670</v>
      </c>
      <c r="M33" s="93">
        <f t="shared" si="21"/>
        <v>0</v>
      </c>
      <c r="N33" s="93">
        <f t="shared" si="21"/>
        <v>21540</v>
      </c>
      <c r="O33" s="93">
        <f t="shared" ca="1" si="17"/>
        <v>7.6201931580995508</v>
      </c>
      <c r="P33" s="93">
        <f t="shared" si="18"/>
        <v>0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16" t="s">
        <v>12</v>
      </c>
      <c r="I34" s="269"/>
      <c r="J34" s="269"/>
      <c r="K34" s="496"/>
      <c r="L34" s="496">
        <f t="shared" ref="L34:N34" ca="1" si="22">L35+L36</f>
        <v>0</v>
      </c>
      <c r="M34" s="496">
        <f t="shared" si="22"/>
        <v>0</v>
      </c>
      <c r="N34" s="496">
        <f t="shared" si="22"/>
        <v>0</v>
      </c>
      <c r="O34" s="496">
        <f t="shared" ca="1" si="17"/>
        <v>0</v>
      </c>
      <c r="P34" s="496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2" t="s">
        <v>18</v>
      </c>
      <c r="F35" s="40"/>
      <c r="G35" s="42"/>
      <c r="H35" s="43" t="s">
        <v>12</v>
      </c>
      <c r="I35" s="610"/>
      <c r="J35" s="610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53" t="s">
        <v>24</v>
      </c>
      <c r="B37" s="54"/>
      <c r="C37" s="54"/>
      <c r="D37" s="54"/>
      <c r="E37" s="54"/>
      <c r="F37" s="54"/>
      <c r="G37" s="55"/>
      <c r="H37" s="56"/>
      <c r="I37" s="423"/>
      <c r="J37" s="423"/>
      <c r="K37" s="58"/>
      <c r="L37" s="59">
        <f t="shared" ref="L37:N37" ca="1" si="24">L41+L53+L66+L88+L119+L132+L149+L165+L181+L261+L277+L298+L315+L328+L345+L389+L402</f>
        <v>2819170</v>
      </c>
      <c r="M37" s="59">
        <f t="shared" ca="1" si="24"/>
        <v>1416680</v>
      </c>
      <c r="N37" s="59">
        <f t="shared" ca="1" si="24"/>
        <v>820125.97</v>
      </c>
      <c r="O37" s="59">
        <f t="shared" ca="1" si="17"/>
        <v>29.091043463146956</v>
      </c>
      <c r="P37" s="59">
        <f t="shared" ca="1" si="18"/>
        <v>57.890700087528586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56" t="s">
        <v>27</v>
      </c>
      <c r="C40" s="857"/>
      <c r="D40" s="857"/>
      <c r="E40" s="857"/>
      <c r="F40" s="857"/>
      <c r="G40" s="858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20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457800</v>
      </c>
      <c r="M41" s="85">
        <f t="shared" ca="1" si="25"/>
        <v>234750</v>
      </c>
      <c r="N41" s="85">
        <f t="shared" ca="1" si="25"/>
        <v>138532.67000000001</v>
      </c>
      <c r="O41" s="85">
        <f t="shared" ref="O41:O49" ca="1" si="26">IF(L41&gt;0,N41*100/L41,0)</f>
        <v>30.260522062035829</v>
      </c>
      <c r="P41" s="85">
        <f t="shared" ref="P41:P49" ca="1" si="27">IF(M41&gt;0,N41*100/M41,0)</f>
        <v>59.012851970181053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457800</v>
      </c>
      <c r="M43" s="92">
        <f t="shared" ca="1" si="28"/>
        <v>234750</v>
      </c>
      <c r="N43" s="92">
        <f t="shared" ca="1" si="28"/>
        <v>138532.67000000001</v>
      </c>
      <c r="O43" s="92">
        <f t="shared" ca="1" si="26"/>
        <v>30.260522062035829</v>
      </c>
      <c r="P43" s="92">
        <f t="shared" ca="1" si="27"/>
        <v>59.012851970181053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16" t="s">
        <v>12</v>
      </c>
      <c r="I44" s="269"/>
      <c r="J44" s="269"/>
      <c r="K44" s="496"/>
      <c r="L44" s="496">
        <f t="shared" ref="L44:N44" ca="1" si="29">L45+L46</f>
        <v>457800</v>
      </c>
      <c r="M44" s="496">
        <f t="shared" ca="1" si="29"/>
        <v>234750</v>
      </c>
      <c r="N44" s="496">
        <f t="shared" ca="1" si="29"/>
        <v>138532.67000000001</v>
      </c>
      <c r="O44" s="496">
        <f t="shared" ca="1" si="26"/>
        <v>30.260522062035829</v>
      </c>
      <c r="P44" s="496">
        <f t="shared" ca="1" si="27"/>
        <v>59.012851970181053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2" t="s">
        <v>18</v>
      </c>
      <c r="F45" s="40"/>
      <c r="G45" s="42"/>
      <c r="H45" s="43" t="s">
        <v>12</v>
      </c>
      <c r="I45" s="610"/>
      <c r="J45" s="610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2" t="s">
        <v>19</v>
      </c>
      <c r="F46" s="40"/>
      <c r="G46" s="42"/>
      <c r="H46" s="43" t="s">
        <v>12</v>
      </c>
      <c r="I46" s="610"/>
      <c r="J46" s="610"/>
      <c r="K46" s="93"/>
      <c r="L46" s="93">
        <f ca="1">IFERROR(__xludf.DUMMYFUNCTION("IMPORTRANGE(""https://docs.google.com/spreadsheets/d/1MeEWN-I1oV_STSDYn1IFDPWt_1FKiwhDph83XaGc0o0/edit?usp=sharing"",""งบพรบ!M61"")"),457800)</f>
        <v>457800</v>
      </c>
      <c r="M46" s="93">
        <f ca="1">IFERROR(__xludf.DUMMYFUNCTION("IMPORTRANGE(""https://docs.google.com/spreadsheets/d/1MeEWN-I1oV_STSDYn1IFDPWt_1FKiwhDph83XaGc0o0/edit?usp=sharing"",""งบพรบ!R61"")"),234750)</f>
        <v>234750</v>
      </c>
      <c r="N46" s="93">
        <f ca="1">IFERROR(__xludf.DUMMYFUNCTION("IMPORTRANGE(""https://docs.google.com/spreadsheets/d/1MeEWN-I1oV_STSDYn1IFDPWt_1FKiwhDph83XaGc0o0/edit?usp=sharing"",""งบพรบ!T61"")"),138532.67)</f>
        <v>138532.67000000001</v>
      </c>
      <c r="O46" s="93">
        <f t="shared" ca="1" si="26"/>
        <v>30.260522062035829</v>
      </c>
      <c r="P46" s="93">
        <f t="shared" ca="1" si="27"/>
        <v>59.012851970181053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16" t="s">
        <v>12</v>
      </c>
      <c r="I47" s="269"/>
      <c r="J47" s="269"/>
      <c r="K47" s="496"/>
      <c r="L47" s="496">
        <f t="shared" ref="L47:N47" ca="1" si="30">L48+L49</f>
        <v>0</v>
      </c>
      <c r="M47" s="496">
        <f t="shared" ca="1" si="30"/>
        <v>0</v>
      </c>
      <c r="N47" s="496">
        <f t="shared" ca="1" si="30"/>
        <v>0</v>
      </c>
      <c r="O47" s="496">
        <f t="shared" ca="1" si="26"/>
        <v>0</v>
      </c>
      <c r="P47" s="496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2" t="s">
        <v>18</v>
      </c>
      <c r="F48" s="40"/>
      <c r="G48" s="42"/>
      <c r="H48" s="43" t="s">
        <v>12</v>
      </c>
      <c r="I48" s="610"/>
      <c r="J48" s="610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IFERROR(__xludf.DUMMYFUNCTION("IMPORTRANGE(""https://docs.google.com/spreadsheets/d/1MeEWN-I1oV_STSDYn1IFDPWt_1FKiwhDph83XaGc0o0/edit?usp=sharing"",""งบพรบ!P61"")"),0)</f>
        <v>0</v>
      </c>
      <c r="M49" s="52">
        <f ca="1">IFERROR(__xludf.DUMMYFUNCTION("IMPORTRANGE(""https://docs.google.com/spreadsheets/d/1MeEWN-I1oV_STSDYn1IFDPWt_1FKiwhDph83XaGc0o0/edit?usp=sharing"",""งบพรบ!S61"")"),0)</f>
        <v>0</v>
      </c>
      <c r="N49" s="52">
        <f ca="1">IFERROR(__xludf.DUMMYFUNCTION("IMPORTRANGE(""https://docs.google.com/spreadsheets/d/1MeEWN-I1oV_STSDYn1IFDPWt_1FKiwhDph83XaGc0o0/edit?usp=sharing"",""งบพรบ!U61"")"),0)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59" t="s">
        <v>28</v>
      </c>
      <c r="B50" s="849"/>
      <c r="C50" s="849"/>
      <c r="D50" s="849"/>
      <c r="E50" s="849"/>
      <c r="F50" s="849"/>
      <c r="G50" s="847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60" t="s">
        <v>29</v>
      </c>
      <c r="C51" s="857"/>
      <c r="D51" s="857"/>
      <c r="E51" s="857"/>
      <c r="F51" s="857"/>
      <c r="G51" s="858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21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663500</v>
      </c>
      <c r="M53" s="116">
        <f t="shared" ca="1" si="31"/>
        <v>331750</v>
      </c>
      <c r="N53" s="116">
        <f t="shared" ca="1" si="31"/>
        <v>245141.45</v>
      </c>
      <c r="O53" s="116">
        <f t="shared" ref="O53:O61" ca="1" si="32">IF(L53&gt;0,N53*100/L53,0)</f>
        <v>36.946714393368502</v>
      </c>
      <c r="P53" s="116">
        <f t="shared" ref="P53:P61" ca="1" si="33">IF(M53&gt;0,N53*100/M53,0)</f>
        <v>73.893428786737005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663500</v>
      </c>
      <c r="M55" s="123">
        <f t="shared" ca="1" si="34"/>
        <v>331750</v>
      </c>
      <c r="N55" s="123">
        <f t="shared" ca="1" si="34"/>
        <v>245141.45</v>
      </c>
      <c r="O55" s="123">
        <f t="shared" ca="1" si="32"/>
        <v>36.946714393368502</v>
      </c>
      <c r="P55" s="123">
        <f t="shared" ca="1" si="33"/>
        <v>73.893428786737005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16" t="s">
        <v>12</v>
      </c>
      <c r="I56" s="269"/>
      <c r="J56" s="269"/>
      <c r="K56" s="496"/>
      <c r="L56" s="496">
        <f t="shared" ref="L56:N56" ca="1" si="35">L57+L58</f>
        <v>663500</v>
      </c>
      <c r="M56" s="496">
        <f t="shared" ca="1" si="35"/>
        <v>331750</v>
      </c>
      <c r="N56" s="496">
        <f t="shared" ca="1" si="35"/>
        <v>245141.45</v>
      </c>
      <c r="O56" s="496">
        <f t="shared" ca="1" si="32"/>
        <v>36.946714393368502</v>
      </c>
      <c r="P56" s="496">
        <f t="shared" ca="1" si="33"/>
        <v>73.893428786737005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2" t="s">
        <v>18</v>
      </c>
      <c r="F57" s="40"/>
      <c r="G57" s="42"/>
      <c r="H57" s="43" t="s">
        <v>12</v>
      </c>
      <c r="I57" s="610"/>
      <c r="J57" s="610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2" t="s">
        <v>19</v>
      </c>
      <c r="F58" s="40"/>
      <c r="G58" s="42"/>
      <c r="H58" s="43" t="s">
        <v>12</v>
      </c>
      <c r="I58" s="610"/>
      <c r="J58" s="610"/>
      <c r="K58" s="93"/>
      <c r="L58" s="93">
        <f ca="1">IFERROR(__xludf.DUMMYFUNCTION("IMPORTRANGE(""https://docs.google.com/spreadsheets/d/1MeEWN-I1oV_STSDYn1IFDPWt_1FKiwhDph83XaGc0o0/edit?usp=sharing"",""งบพรบ!W61"")"),663500)</f>
        <v>663500</v>
      </c>
      <c r="M58" s="93">
        <f ca="1">IFERROR(__xludf.DUMMYFUNCTION("IMPORTRANGE(""https://docs.google.com/spreadsheets/d/1MeEWN-I1oV_STSDYn1IFDPWt_1FKiwhDph83XaGc0o0/edit?usp=sharing"",""งบพรบ!AB61"")"),331750)</f>
        <v>331750</v>
      </c>
      <c r="N58" s="93">
        <f ca="1">IFERROR(__xludf.DUMMYFUNCTION("IMPORTRANGE(""https://docs.google.com/spreadsheets/d/1MeEWN-I1oV_STSDYn1IFDPWt_1FKiwhDph83XaGc0o0/edit?usp=sharing"",""งบพรบ!AD61"")"),245141.45)</f>
        <v>245141.45</v>
      </c>
      <c r="O58" s="93">
        <f t="shared" ca="1" si="32"/>
        <v>36.946714393368502</v>
      </c>
      <c r="P58" s="93">
        <f t="shared" ca="1" si="33"/>
        <v>73.893428786737005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16" t="s">
        <v>12</v>
      </c>
      <c r="I59" s="269"/>
      <c r="J59" s="269"/>
      <c r="K59" s="496"/>
      <c r="L59" s="496">
        <f t="shared" ref="L59:N59" ca="1" si="36">L60+L61</f>
        <v>0</v>
      </c>
      <c r="M59" s="496">
        <f t="shared" ca="1" si="36"/>
        <v>0</v>
      </c>
      <c r="N59" s="496">
        <f t="shared" ca="1" si="36"/>
        <v>0</v>
      </c>
      <c r="O59" s="496">
        <f t="shared" ca="1" si="32"/>
        <v>0</v>
      </c>
      <c r="P59" s="496">
        <f t="shared" ca="1" si="33"/>
        <v>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2" t="s">
        <v>18</v>
      </c>
      <c r="F60" s="40"/>
      <c r="G60" s="42"/>
      <c r="H60" s="43" t="s">
        <v>12</v>
      </c>
      <c r="I60" s="610"/>
      <c r="J60" s="610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IFERROR(__xludf.DUMMYFUNCTION("IMPORTRANGE(""https://docs.google.com/spreadsheets/d/1MeEWN-I1oV_STSDYn1IFDPWt_1FKiwhDph83XaGc0o0/edit?usp=sharing"",""งบพรบ!Z61"")"),0)</f>
        <v>0</v>
      </c>
      <c r="M61" s="52">
        <f ca="1">IFERROR(__xludf.DUMMYFUNCTION("IMPORTRANGE(""https://docs.google.com/spreadsheets/d/1MeEWN-I1oV_STSDYn1IFDPWt_1FKiwhDph83XaGc0o0/edit?usp=sharing"",""งบพรบ!AC61"")"),0)</f>
        <v>0</v>
      </c>
      <c r="N61" s="52">
        <f ca="1">IFERROR(__xludf.DUMMYFUNCTION("IMPORTRANGE(""https://docs.google.com/spreadsheets/d/1MeEWN-I1oV_STSDYn1IFDPWt_1FKiwhDph83XaGc0o0/edit?usp=sharing"",""งบพรบ!AE61"")"),0)</f>
        <v>0</v>
      </c>
      <c r="O61" s="52">
        <f t="shared" ca="1" si="32"/>
        <v>0</v>
      </c>
      <c r="P61" s="52">
        <f t="shared" ca="1" si="33"/>
        <v>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 hidden="1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 hidden="1">
      <c r="A64" s="138"/>
      <c r="B64" s="208" t="s">
        <v>33</v>
      </c>
      <c r="C64" s="140"/>
      <c r="D64" s="141"/>
      <c r="E64" s="140"/>
      <c r="F64" s="140"/>
      <c r="G64" s="142"/>
      <c r="H64" s="143" t="s">
        <v>34</v>
      </c>
      <c r="I64" s="144">
        <f t="shared" ref="I64:J65" ca="1" si="37">I76</f>
        <v>0</v>
      </c>
      <c r="J64" s="144">
        <f t="shared" si="37"/>
        <v>0</v>
      </c>
      <c r="K64" s="145">
        <f t="shared" ref="K64:K65" ca="1" si="38">IF(I64&gt;0,J64*100/I64,0)</f>
        <v>0</v>
      </c>
      <c r="L64" s="146"/>
      <c r="M64" s="146"/>
      <c r="N64" s="146"/>
      <c r="O64" s="146"/>
      <c r="P64" s="146"/>
    </row>
    <row r="65" spans="1:26" ht="19.5" hidden="1">
      <c r="A65" s="138"/>
      <c r="B65" s="140"/>
      <c r="C65" s="140"/>
      <c r="D65" s="141"/>
      <c r="E65" s="140"/>
      <c r="F65" s="140"/>
      <c r="G65" s="142"/>
      <c r="H65" s="143" t="s">
        <v>35</v>
      </c>
      <c r="I65" s="144">
        <f t="shared" ca="1" si="37"/>
        <v>0</v>
      </c>
      <c r="J65" s="144">
        <f t="shared" si="37"/>
        <v>0</v>
      </c>
      <c r="K65" s="145">
        <f t="shared" ca="1" si="38"/>
        <v>0</v>
      </c>
      <c r="L65" s="146"/>
      <c r="M65" s="146"/>
      <c r="N65" s="146"/>
      <c r="O65" s="146"/>
      <c r="P65" s="146"/>
    </row>
    <row r="66" spans="1:26" ht="19.5" hidden="1">
      <c r="A66" s="147"/>
      <c r="B66" s="148"/>
      <c r="C66" s="149" t="s">
        <v>16</v>
      </c>
      <c r="D66" s="822" t="s">
        <v>17</v>
      </c>
      <c r="E66" s="148"/>
      <c r="F66" s="148"/>
      <c r="G66" s="151"/>
      <c r="H66" s="152" t="s">
        <v>12</v>
      </c>
      <c r="I66" s="419"/>
      <c r="J66" s="419"/>
      <c r="K66" s="154"/>
      <c r="L66" s="155">
        <f t="shared" ref="L66:N66" ca="1" si="39">L67+L68</f>
        <v>0</v>
      </c>
      <c r="M66" s="155">
        <f t="shared" ca="1" si="39"/>
        <v>0</v>
      </c>
      <c r="N66" s="155">
        <f t="shared" ca="1" si="39"/>
        <v>0</v>
      </c>
      <c r="O66" s="155">
        <f t="shared" ref="O66:O74" ca="1" si="40">IF(L66&gt;0,N66*100/L66,0)</f>
        <v>0</v>
      </c>
      <c r="P66" s="155">
        <f t="shared" ref="P66:P74" ca="1" si="41">IF(M66&gt;0,N66*100/M66,0)</f>
        <v>0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2" t="s">
        <v>18</v>
      </c>
      <c r="F67" s="40"/>
      <c r="G67" s="157"/>
      <c r="H67" s="158" t="s">
        <v>12</v>
      </c>
      <c r="I67" s="610"/>
      <c r="J67" s="610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2" t="s">
        <v>19</v>
      </c>
      <c r="F68" s="40"/>
      <c r="G68" s="157"/>
      <c r="H68" s="158" t="s">
        <v>12</v>
      </c>
      <c r="I68" s="610"/>
      <c r="J68" s="610"/>
      <c r="K68" s="93"/>
      <c r="L68" s="93">
        <f t="shared" ca="1" si="42"/>
        <v>0</v>
      </c>
      <c r="M68" s="93">
        <f t="shared" ca="1" si="42"/>
        <v>0</v>
      </c>
      <c r="N68" s="93">
        <f t="shared" ca="1" si="42"/>
        <v>0</v>
      </c>
      <c r="O68" s="93">
        <f t="shared" ca="1" si="40"/>
        <v>0</v>
      </c>
      <c r="P68" s="93">
        <f t="shared" ca="1" si="41"/>
        <v>0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 hidden="1">
      <c r="A69" s="159"/>
      <c r="B69" s="33"/>
      <c r="C69" s="281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6">
        <f t="shared" ref="L69:N69" ca="1" si="43">L70+L71</f>
        <v>0</v>
      </c>
      <c r="M69" s="496">
        <f t="shared" ca="1" si="43"/>
        <v>0</v>
      </c>
      <c r="N69" s="496">
        <f t="shared" ca="1" si="43"/>
        <v>0</v>
      </c>
      <c r="O69" s="496">
        <f t="shared" ca="1" si="40"/>
        <v>0</v>
      </c>
      <c r="P69" s="496">
        <f t="shared" ca="1" si="41"/>
        <v>0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2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2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IFERROR(__xludf.DUMMYFUNCTION("IMPORTRANGE(""https://docs.google.com/spreadsheets/d/1MeEWN-I1oV_STSDYn1IFDPWt_1FKiwhDph83XaGc0o0/edit?usp=sharing"",""งบพรบ!AG61"")"),0)</f>
        <v>0</v>
      </c>
      <c r="M71" s="93">
        <f ca="1">IFERROR(__xludf.DUMMYFUNCTION("IMPORTRANGE(""https://docs.google.com/spreadsheets/d/1MeEWN-I1oV_STSDYn1IFDPWt_1FKiwhDph83XaGc0o0/edit?usp=sharing"",""งบพรบ!AL61"")"),0)</f>
        <v>0</v>
      </c>
      <c r="N71" s="93">
        <f ca="1">IFERROR(__xludf.DUMMYFUNCTION("IMPORTRANGE(""https://docs.google.com/spreadsheets/d/1MeEWN-I1oV_STSDYn1IFDPWt_1FKiwhDph83XaGc0o0/edit?usp=sharing"",""งบพรบ!AN61"")"),0)</f>
        <v>0</v>
      </c>
      <c r="O71" s="93">
        <f t="shared" ca="1" si="40"/>
        <v>0</v>
      </c>
      <c r="P71" s="93">
        <f t="shared" ca="1" si="41"/>
        <v>0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 hidden="1">
      <c r="A72" s="159"/>
      <c r="B72" s="33"/>
      <c r="C72" s="281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6">
        <f t="shared" ref="L72:N72" ca="1" si="44">L73+L74</f>
        <v>0</v>
      </c>
      <c r="M72" s="496">
        <f t="shared" ca="1" si="44"/>
        <v>0</v>
      </c>
      <c r="N72" s="496">
        <f t="shared" ca="1" si="44"/>
        <v>0</v>
      </c>
      <c r="O72" s="496">
        <f t="shared" ca="1" si="40"/>
        <v>0</v>
      </c>
      <c r="P72" s="496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2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2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IFERROR(__xludf.DUMMYFUNCTION("IMPORTRANGE(""https://docs.google.com/spreadsheets/d/1MeEWN-I1oV_STSDYn1IFDPWt_1FKiwhDph83XaGc0o0/edit?usp=sharing"",""งบพรบ!AJ61"")"),0)</f>
        <v>0</v>
      </c>
      <c r="M74" s="93">
        <f ca="1">IFERROR(__xludf.DUMMYFUNCTION("IMPORTRANGE(""https://docs.google.com/spreadsheets/d/1MeEWN-I1oV_STSDYn1IFDPWt_1FKiwhDph83XaGc0o0/edit?usp=sharing"",""งบพรบ!AM61"")"),0)</f>
        <v>0</v>
      </c>
      <c r="N74" s="93">
        <f ca="1">IFERROR(__xludf.DUMMYFUNCTION("IMPORTRANGE(""https://docs.google.com/spreadsheets/d/1MeEWN-I1oV_STSDYn1IFDPWt_1FKiwhDph83XaGc0o0/edit?usp=sharing"",""งบพรบ!AO61"")"),0)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 hidden="1">
      <c r="A75" s="170"/>
      <c r="B75" s="171"/>
      <c r="C75" s="164" t="s">
        <v>16</v>
      </c>
      <c r="D75" s="823" t="s">
        <v>38</v>
      </c>
      <c r="E75" s="173"/>
      <c r="F75" s="173"/>
      <c r="G75" s="174"/>
      <c r="H75" s="753"/>
      <c r="I75" s="184"/>
      <c r="J75" s="184"/>
      <c r="K75" s="163"/>
      <c r="L75" s="163"/>
      <c r="M75" s="163"/>
      <c r="N75" s="163"/>
      <c r="O75" s="163"/>
      <c r="P75" s="163"/>
    </row>
    <row r="76" spans="1:26" ht="19.5" hidden="1">
      <c r="A76" s="170"/>
      <c r="B76" s="171"/>
      <c r="C76" s="171"/>
      <c r="D76" s="176" t="s">
        <v>39</v>
      </c>
      <c r="E76" s="446"/>
      <c r="F76" s="178"/>
      <c r="G76" s="179"/>
      <c r="H76" s="180" t="s">
        <v>34</v>
      </c>
      <c r="I76" s="269">
        <f t="shared" ref="I76:J77" ca="1" si="45">I78+I80+I82</f>
        <v>0</v>
      </c>
      <c r="J76" s="269">
        <f t="shared" si="45"/>
        <v>0</v>
      </c>
      <c r="K76" s="163">
        <f t="shared" ref="K76:K84" ca="1" si="46">IF(I76&gt;0,J76*100/I76,0)</f>
        <v>0</v>
      </c>
      <c r="L76" s="163"/>
      <c r="M76" s="163"/>
      <c r="N76" s="163"/>
      <c r="O76" s="163"/>
      <c r="P76" s="163"/>
    </row>
    <row r="77" spans="1:26" ht="19.5" hidden="1">
      <c r="A77" s="170"/>
      <c r="B77" s="171"/>
      <c r="C77" s="171"/>
      <c r="D77" s="171"/>
      <c r="E77" s="178"/>
      <c r="F77" s="178"/>
      <c r="G77" s="179"/>
      <c r="H77" s="180" t="s">
        <v>35</v>
      </c>
      <c r="I77" s="269">
        <f t="shared" ca="1" si="45"/>
        <v>0</v>
      </c>
      <c r="J77" s="269">
        <f t="shared" si="45"/>
        <v>0</v>
      </c>
      <c r="K77" s="163">
        <f t="shared" ca="1" si="46"/>
        <v>0</v>
      </c>
      <c r="L77" s="163"/>
      <c r="M77" s="163"/>
      <c r="N77" s="163"/>
      <c r="O77" s="163"/>
      <c r="P77" s="163"/>
    </row>
    <row r="78" spans="1:26" ht="18.75" hidden="1">
      <c r="A78" s="170"/>
      <c r="B78" s="171"/>
      <c r="C78" s="171"/>
      <c r="D78" s="171"/>
      <c r="E78" s="446" t="s">
        <v>40</v>
      </c>
      <c r="F78" s="446"/>
      <c r="G78" s="179"/>
      <c r="H78" s="755" t="s">
        <v>34</v>
      </c>
      <c r="I78" s="184">
        <f ca="1">IFERROR(__xludf.DUMMYFUNCTION("IMPORTRANGE(""https://docs.google.com/spreadsheets/d/1QqKyyYR6Q21VydFLVH3TRQUabQu_ym0Zz7PgGX0-kHA/edit?usp=sharing"",""แผน!H61"")"),0)</f>
        <v>0</v>
      </c>
      <c r="J78" s="214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 hidden="1">
      <c r="A79" s="170"/>
      <c r="B79" s="171"/>
      <c r="C79" s="171"/>
      <c r="D79" s="171"/>
      <c r="E79" s="178"/>
      <c r="F79" s="178"/>
      <c r="G79" s="179"/>
      <c r="H79" s="755" t="s">
        <v>35</v>
      </c>
      <c r="I79" s="184">
        <f ca="1">IFERROR(__xludf.DUMMYFUNCTION("IMPORTRANGE(""https://docs.google.com/spreadsheets/d/1QqKyyYR6Q21VydFLVH3TRQUabQu_ym0Zz7PgGX0-kHA/edit?usp=sharing"",""แผน!I61"")"),0)</f>
        <v>0</v>
      </c>
      <c r="J79" s="214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 hidden="1">
      <c r="A80" s="170"/>
      <c r="B80" s="171"/>
      <c r="C80" s="171"/>
      <c r="D80" s="171"/>
      <c r="E80" s="446" t="s">
        <v>41</v>
      </c>
      <c r="F80" s="446"/>
      <c r="G80" s="179"/>
      <c r="H80" s="755" t="s">
        <v>34</v>
      </c>
      <c r="I80" s="184">
        <f ca="1">IFERROR(__xludf.DUMMYFUNCTION("IMPORTRANGE(""https://docs.google.com/spreadsheets/d/1QqKyyYR6Q21VydFLVH3TRQUabQu_ym0Zz7PgGX0-kHA/edit?usp=sharing"",""แผน!F61"")"),0)</f>
        <v>0</v>
      </c>
      <c r="J80" s="214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 hidden="1">
      <c r="A81" s="170"/>
      <c r="B81" s="171"/>
      <c r="C81" s="171"/>
      <c r="D81" s="171"/>
      <c r="E81" s="178"/>
      <c r="F81" s="178"/>
      <c r="G81" s="179"/>
      <c r="H81" s="755" t="s">
        <v>35</v>
      </c>
      <c r="I81" s="184">
        <f ca="1">IFERROR(__xludf.DUMMYFUNCTION("IMPORTRANGE(""https://docs.google.com/spreadsheets/d/1QqKyyYR6Q21VydFLVH3TRQUabQu_ym0Zz7PgGX0-kHA/edit?usp=sharing"",""แผน!G61"")"),0)</f>
        <v>0</v>
      </c>
      <c r="J81" s="214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 hidden="1">
      <c r="A82" s="170"/>
      <c r="B82" s="171"/>
      <c r="C82" s="171"/>
      <c r="D82" s="171"/>
      <c r="E82" s="446" t="s">
        <v>42</v>
      </c>
      <c r="F82" s="446"/>
      <c r="G82" s="179"/>
      <c r="H82" s="755" t="s">
        <v>34</v>
      </c>
      <c r="I82" s="184">
        <f ca="1">IFERROR(__xludf.DUMMYFUNCTION("IMPORTRANGE(""https://docs.google.com/spreadsheets/d/1QqKyyYR6Q21VydFLVH3TRQUabQu_ym0Zz7PgGX0-kHA/edit?usp=sharing"",""แผน!D61"")"),0)</f>
        <v>0</v>
      </c>
      <c r="J82" s="214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 hidden="1">
      <c r="A83" s="170"/>
      <c r="B83" s="171"/>
      <c r="C83" s="171"/>
      <c r="D83" s="171"/>
      <c r="E83" s="178"/>
      <c r="F83" s="178"/>
      <c r="G83" s="179"/>
      <c r="H83" s="755" t="s">
        <v>35</v>
      </c>
      <c r="I83" s="184">
        <f ca="1">IFERROR(__xludf.DUMMYFUNCTION("IMPORTRANGE(""https://docs.google.com/spreadsheets/d/1QqKyyYR6Q21VydFLVH3TRQUabQu_ym0Zz7PgGX0-kHA/edit?usp=sharing"",""แผน!E61"")"),0)</f>
        <v>0</v>
      </c>
      <c r="J83" s="214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 hidden="1">
      <c r="A84" s="170"/>
      <c r="B84" s="171"/>
      <c r="C84" s="171"/>
      <c r="D84" s="176" t="s">
        <v>43</v>
      </c>
      <c r="E84" s="446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IFERROR(__xludf.DUMMYFUNCTION("IMPORTRANGE(""https://docs.google.com/spreadsheets/d/1QqKyyYR6Q21VydFLVH3TRQUabQu_ym0Zz7PgGX0-kHA/edit?usp=sharing"",""แผน!J61"")"),0)</f>
        <v>0</v>
      </c>
      <c r="J84" s="214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8" t="s">
        <v>45</v>
      </c>
      <c r="C86" s="140"/>
      <c r="D86" s="141"/>
      <c r="E86" s="140"/>
      <c r="F86" s="140"/>
      <c r="G86" s="142"/>
      <c r="H86" s="143" t="s">
        <v>46</v>
      </c>
      <c r="I86" s="144">
        <f t="shared" ref="I86:J87" ca="1" si="47">I98</f>
        <v>30</v>
      </c>
      <c r="J86" s="144">
        <f t="shared" si="47"/>
        <v>30</v>
      </c>
      <c r="K86" s="145">
        <f t="shared" ref="K86:K87" ca="1" si="48">IF(I86&gt;0,J86*100/I86,0)</f>
        <v>100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143" t="s">
        <v>35</v>
      </c>
      <c r="I87" s="144">
        <f t="shared" ca="1" si="47"/>
        <v>10</v>
      </c>
      <c r="J87" s="144">
        <f t="shared" si="47"/>
        <v>10</v>
      </c>
      <c r="K87" s="145">
        <f t="shared" ca="1" si="48"/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22" t="s">
        <v>17</v>
      </c>
      <c r="E88" s="148"/>
      <c r="F88" s="148"/>
      <c r="G88" s="151"/>
      <c r="H88" s="152" t="s">
        <v>12</v>
      </c>
      <c r="I88" s="419"/>
      <c r="J88" s="419"/>
      <c r="K88" s="154"/>
      <c r="L88" s="155">
        <f ca="1">L89+L90</f>
        <v>86040</v>
      </c>
      <c r="M88" s="155">
        <f t="shared" ref="M88:N88" ca="1" si="49">M89+M90</f>
        <v>21840</v>
      </c>
      <c r="N88" s="155">
        <f t="shared" ca="1" si="49"/>
        <v>8370</v>
      </c>
      <c r="O88" s="155">
        <f t="shared" ref="O88:O96" ca="1" si="50">IF(L88&gt;0,N88*100/L88,0)</f>
        <v>9.7280334728033466</v>
      </c>
      <c r="P88" s="155">
        <f t="shared" ref="P88:P96" ca="1" si="51">IF(M88&gt;0,N88*100/M88,0)</f>
        <v>38.324175824175825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2" t="s">
        <v>18</v>
      </c>
      <c r="F89" s="40"/>
      <c r="G89" s="157"/>
      <c r="H89" s="158" t="s">
        <v>12</v>
      </c>
      <c r="I89" s="610"/>
      <c r="J89" s="610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2" t="s">
        <v>19</v>
      </c>
      <c r="F90" s="40"/>
      <c r="G90" s="157"/>
      <c r="H90" s="158" t="s">
        <v>12</v>
      </c>
      <c r="I90" s="610"/>
      <c r="J90" s="610"/>
      <c r="K90" s="93"/>
      <c r="L90" s="93">
        <f t="shared" ca="1" si="52"/>
        <v>86040</v>
      </c>
      <c r="M90" s="93">
        <f t="shared" ca="1" si="52"/>
        <v>21840</v>
      </c>
      <c r="N90" s="93">
        <f t="shared" ca="1" si="52"/>
        <v>8370</v>
      </c>
      <c r="O90" s="93">
        <f t="shared" ca="1" si="50"/>
        <v>9.7280334728033466</v>
      </c>
      <c r="P90" s="93">
        <f t="shared" ca="1" si="51"/>
        <v>38.324175824175825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1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6">
        <f t="shared" ref="L91:N91" ca="1" si="53">L92+L93</f>
        <v>86040</v>
      </c>
      <c r="M91" s="496">
        <f t="shared" ca="1" si="53"/>
        <v>21840</v>
      </c>
      <c r="N91" s="496">
        <f t="shared" ca="1" si="53"/>
        <v>8370</v>
      </c>
      <c r="O91" s="496">
        <f t="shared" ca="1" si="50"/>
        <v>9.7280334728033466</v>
      </c>
      <c r="P91" s="496">
        <f t="shared" ca="1" si="51"/>
        <v>38.324175824175825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2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2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IFERROR(__xludf.DUMMYFUNCTION("IMPORTRANGE(""https://docs.google.com/spreadsheets/d/1MeEWN-I1oV_STSDYn1IFDPWt_1FKiwhDph83XaGc0o0/edit?usp=sharing"",""งบพรบ!AQ61"")"),86040)</f>
        <v>86040</v>
      </c>
      <c r="M93" s="93">
        <f ca="1">IFERROR(__xludf.DUMMYFUNCTION("IMPORTRANGE(""https://docs.google.com/spreadsheets/d/1MeEWN-I1oV_STSDYn1IFDPWt_1FKiwhDph83XaGc0o0/edit?usp=sharing"",""งบพรบ!AV61"")"),21840)</f>
        <v>21840</v>
      </c>
      <c r="N93" s="93">
        <f ca="1">IFERROR(__xludf.DUMMYFUNCTION("IMPORTRANGE(""https://docs.google.com/spreadsheets/d/1MeEWN-I1oV_STSDYn1IFDPWt_1FKiwhDph83XaGc0o0/edit?usp=sharing"",""งบพรบ!AX61"")"),8370)</f>
        <v>8370</v>
      </c>
      <c r="O93" s="93">
        <f t="shared" ca="1" si="50"/>
        <v>9.7280334728033466</v>
      </c>
      <c r="P93" s="93">
        <f t="shared" ca="1" si="51"/>
        <v>38.324175824175825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1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6">
        <f t="shared" ref="L94:N94" ca="1" si="54">L95+L96</f>
        <v>0</v>
      </c>
      <c r="M94" s="496">
        <f t="shared" ca="1" si="54"/>
        <v>0</v>
      </c>
      <c r="N94" s="496">
        <f t="shared" ca="1" si="54"/>
        <v>0</v>
      </c>
      <c r="O94" s="496">
        <f t="shared" ca="1" si="50"/>
        <v>0</v>
      </c>
      <c r="P94" s="496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2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2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IFERROR(__xludf.DUMMYFUNCTION("IMPORTRANGE(""https://docs.google.com/spreadsheets/d/1MeEWN-I1oV_STSDYn1IFDPWt_1FKiwhDph83XaGc0o0/edit?usp=sharing"",""งบพรบ!AT61"")"),0)</f>
        <v>0</v>
      </c>
      <c r="M96" s="93">
        <f ca="1">IFERROR(__xludf.DUMMYFUNCTION("IMPORTRANGE(""https://docs.google.com/spreadsheets/d/1MeEWN-I1oV_STSDYn1IFDPWt_1FKiwhDph83XaGc0o0/edit?usp=sharing"",""งบพรบ!AW61"")"),0)</f>
        <v>0</v>
      </c>
      <c r="N96" s="93">
        <f ca="1">IFERROR(__xludf.DUMMYFUNCTION("IMPORTRANGE(""https://docs.google.com/spreadsheets/d/1MeEWN-I1oV_STSDYn1IFDPWt_1FKiwhDph83XaGc0o0/edit?usp=sharing"",""งบพรบ!AY61"")"),0)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23" t="s">
        <v>38</v>
      </c>
      <c r="E97" s="173"/>
      <c r="F97" s="173"/>
      <c r="G97" s="174"/>
      <c r="H97" s="753"/>
      <c r="I97" s="184"/>
      <c r="J97" s="269"/>
      <c r="K97" s="496"/>
      <c r="L97" s="496"/>
      <c r="M97" s="496"/>
      <c r="N97" s="496"/>
      <c r="O97" s="163"/>
      <c r="P97" s="163"/>
    </row>
    <row r="98" spans="1:16" ht="18.75">
      <c r="A98" s="170"/>
      <c r="B98" s="171"/>
      <c r="C98" s="171"/>
      <c r="D98" s="446" t="s">
        <v>47</v>
      </c>
      <c r="E98" s="446"/>
      <c r="F98" s="178"/>
      <c r="G98" s="179"/>
      <c r="H98" s="616" t="s">
        <v>46</v>
      </c>
      <c r="I98" s="269">
        <f ca="1">IFERROR(__xludf.DUMMYFUNCTION("IMPORTRANGE(""https://docs.google.com/spreadsheets/d/1QqKyyYR6Q21VydFLVH3TRQUabQu_ym0Zz7PgGX0-kHA/edit?usp=sharing"",""แผน!K61"")"),30)</f>
        <v>30</v>
      </c>
      <c r="J98" s="269">
        <f>J102</f>
        <v>30</v>
      </c>
      <c r="K98" s="496">
        <f t="shared" ref="K98:K100" ca="1" si="55">IF(I98&gt;0,J98*100/I98,0)</f>
        <v>100</v>
      </c>
      <c r="L98" s="496"/>
      <c r="M98" s="496"/>
      <c r="N98" s="496"/>
      <c r="O98" s="163"/>
      <c r="P98" s="163"/>
    </row>
    <row r="99" spans="1:16" ht="18.75">
      <c r="A99" s="170"/>
      <c r="B99" s="171"/>
      <c r="C99" s="171"/>
      <c r="D99" s="446" t="s">
        <v>48</v>
      </c>
      <c r="E99" s="446"/>
      <c r="F99" s="178"/>
      <c r="G99" s="179"/>
      <c r="H99" s="616" t="s">
        <v>35</v>
      </c>
      <c r="I99" s="269">
        <f ca="1">IFERROR(__xludf.DUMMYFUNCTION("IMPORTRANGE(""https://docs.google.com/spreadsheets/d/1QqKyyYR6Q21VydFLVH3TRQUabQu_ym0Zz7PgGX0-kHA/edit?usp=sharing"",""แผน!L61"")"),10)</f>
        <v>10</v>
      </c>
      <c r="J99" s="269">
        <f>J104</f>
        <v>10</v>
      </c>
      <c r="K99" s="496">
        <f t="shared" ca="1" si="55"/>
        <v>100</v>
      </c>
      <c r="L99" s="496"/>
      <c r="M99" s="496"/>
      <c r="N99" s="496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16" t="s">
        <v>49</v>
      </c>
      <c r="I100" s="269">
        <f ca="1">IFERROR(__xludf.DUMMYFUNCTION("IMPORTRANGE(""https://docs.google.com/spreadsheets/d/1QqKyyYR6Q21VydFLVH3TRQUabQu_ym0Zz7PgGX0-kHA/edit?usp=sharing"",""แผน!M61"")"),2)</f>
        <v>2</v>
      </c>
      <c r="J100" s="269">
        <f>J107+J110</f>
        <v>0</v>
      </c>
      <c r="K100" s="496">
        <f t="shared" ca="1" si="55"/>
        <v>0</v>
      </c>
      <c r="L100" s="496"/>
      <c r="M100" s="496"/>
      <c r="N100" s="496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16"/>
      <c r="I101" s="269"/>
      <c r="J101" s="269"/>
      <c r="K101" s="496"/>
      <c r="L101" s="496"/>
      <c r="M101" s="496"/>
      <c r="N101" s="496"/>
      <c r="O101" s="163"/>
      <c r="P101" s="163"/>
    </row>
    <row r="102" spans="1:16" ht="18.75">
      <c r="A102" s="170"/>
      <c r="B102" s="171"/>
      <c r="C102" s="171"/>
      <c r="D102" s="178"/>
      <c r="E102" s="619" t="s">
        <v>47</v>
      </c>
      <c r="F102" s="178"/>
      <c r="G102" s="179"/>
      <c r="H102" s="616" t="s">
        <v>46</v>
      </c>
      <c r="I102" s="269">
        <f ca="1">IFERROR(__xludf.DUMMYFUNCTION("IMPORTRANGE(""https://docs.google.com/spreadsheets/d/1QqKyyYR6Q21VydFLVH3TRQUabQu_ym0Zz7PgGX0-kHA/edit?usp=sharing"",""แผน!N61"")"),30)</f>
        <v>30</v>
      </c>
      <c r="J102" s="214">
        <v>30</v>
      </c>
      <c r="K102" s="496">
        <f t="shared" ref="K102:K104" ca="1" si="56">IF(I102&gt;0,J102*100/I102,0)</f>
        <v>100</v>
      </c>
      <c r="L102" s="496"/>
      <c r="M102" s="496"/>
      <c r="N102" s="496"/>
      <c r="O102" s="163"/>
      <c r="P102" s="163"/>
    </row>
    <row r="103" spans="1:16" ht="19.5" hidden="1">
      <c r="A103" s="170"/>
      <c r="B103" s="171"/>
      <c r="C103" s="171"/>
      <c r="D103" s="178"/>
      <c r="E103" s="446" t="s">
        <v>51</v>
      </c>
      <c r="F103" s="178"/>
      <c r="G103" s="179"/>
      <c r="H103" s="616" t="s">
        <v>35</v>
      </c>
      <c r="I103" s="269">
        <f ca="1">IFERROR(__xludf.DUMMYFUNCTION("IMPORTRANGE(""https://docs.google.com/spreadsheets/d/1QqKyyYR6Q21VydFLVH3TRQUabQu_ym0Zz7PgGX0-kHA/edit?usp=sharing"",""แผน!O61"")"),10)</f>
        <v>10</v>
      </c>
      <c r="J103" s="214">
        <v>10</v>
      </c>
      <c r="K103" s="496">
        <f t="shared" ca="1" si="56"/>
        <v>100</v>
      </c>
      <c r="L103" s="496"/>
      <c r="M103" s="496"/>
      <c r="N103" s="496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16" t="s">
        <v>35</v>
      </c>
      <c r="I104" s="269">
        <f ca="1">IFERROR(__xludf.DUMMYFUNCTION("IMPORTRANGE(""https://docs.google.com/spreadsheets/d/1QqKyyYR6Q21VydFLVH3TRQUabQu_ym0Zz7PgGX0-kHA/edit?usp=sharing"",""แผน!O61"")"),10)</f>
        <v>10</v>
      </c>
      <c r="J104" s="214">
        <v>10</v>
      </c>
      <c r="K104" s="496">
        <f t="shared" ca="1" si="56"/>
        <v>100</v>
      </c>
      <c r="L104" s="496"/>
      <c r="M104" s="496"/>
      <c r="N104" s="496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69"/>
      <c r="J105" s="269"/>
      <c r="K105" s="496"/>
      <c r="L105" s="496"/>
      <c r="M105" s="496"/>
      <c r="N105" s="496"/>
      <c r="O105" s="163"/>
      <c r="P105" s="163"/>
    </row>
    <row r="106" spans="1:16" ht="19.5">
      <c r="A106" s="170"/>
      <c r="B106" s="171"/>
      <c r="C106" s="171"/>
      <c r="D106" s="178"/>
      <c r="E106" s="446" t="s">
        <v>54</v>
      </c>
      <c r="F106" s="178"/>
      <c r="G106" s="179"/>
      <c r="H106" s="616" t="s">
        <v>49</v>
      </c>
      <c r="I106" s="269">
        <f ca="1">IFERROR(__xludf.DUMMYFUNCTION("IMPORTRANGE(""https://docs.google.com/spreadsheets/d/1QqKyyYR6Q21VydFLVH3TRQUabQu_ym0Zz7PgGX0-kHA/edit?usp=sharing"",""แผน!P61"")"),1)</f>
        <v>1</v>
      </c>
      <c r="J106" s="214">
        <v>0</v>
      </c>
      <c r="K106" s="496">
        <f t="shared" ref="K106:K107" ca="1" si="57">IF(I106&gt;0,J106*100/I106,0)</f>
        <v>0</v>
      </c>
      <c r="L106" s="496"/>
      <c r="M106" s="496"/>
      <c r="N106" s="496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16" t="s">
        <v>49</v>
      </c>
      <c r="I107" s="269">
        <f ca="1">IFERROR(__xludf.DUMMYFUNCTION("IMPORTRANGE(""https://docs.google.com/spreadsheets/d/1QqKyyYR6Q21VydFLVH3TRQUabQu_ym0Zz7PgGX0-kHA/edit?usp=sharing"",""แผน!P61"")"),1)</f>
        <v>1</v>
      </c>
      <c r="J107" s="214">
        <v>0</v>
      </c>
      <c r="K107" s="496">
        <f t="shared" ca="1" si="57"/>
        <v>0</v>
      </c>
      <c r="L107" s="496"/>
      <c r="M107" s="496"/>
      <c r="N107" s="496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69"/>
      <c r="J108" s="269"/>
      <c r="K108" s="496"/>
      <c r="L108" s="496"/>
      <c r="M108" s="496"/>
      <c r="N108" s="496"/>
      <c r="O108" s="163"/>
      <c r="P108" s="163"/>
    </row>
    <row r="109" spans="1:16" ht="19.5">
      <c r="A109" s="170"/>
      <c r="B109" s="171"/>
      <c r="C109" s="171"/>
      <c r="D109" s="178"/>
      <c r="E109" s="446" t="s">
        <v>57</v>
      </c>
      <c r="F109" s="178"/>
      <c r="G109" s="179"/>
      <c r="H109" s="616" t="s">
        <v>49</v>
      </c>
      <c r="I109" s="269">
        <f ca="1">IFERROR(__xludf.DUMMYFUNCTION("IMPORTRANGE(""https://docs.google.com/spreadsheets/d/1QqKyyYR6Q21VydFLVH3TRQUabQu_ym0Zz7PgGX0-kHA/edit?usp=sharing"",""แผน!Q61"")"),1)</f>
        <v>1</v>
      </c>
      <c r="J109" s="214">
        <v>0</v>
      </c>
      <c r="K109" s="496">
        <f t="shared" ref="K109:K116" ca="1" si="58">IF(I109&gt;0,J109*100/I109,0)</f>
        <v>0</v>
      </c>
      <c r="L109" s="496"/>
      <c r="M109" s="496"/>
      <c r="N109" s="496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16" t="s">
        <v>49</v>
      </c>
      <c r="I110" s="269">
        <f ca="1">IFERROR(__xludf.DUMMYFUNCTION("IMPORTRANGE(""https://docs.google.com/spreadsheets/d/1QqKyyYR6Q21VydFLVH3TRQUabQu_ym0Zz7PgGX0-kHA/edit?usp=sharing"",""แผน!Q61"")"),1)</f>
        <v>1</v>
      </c>
      <c r="J110" s="214">
        <v>0</v>
      </c>
      <c r="K110" s="496">
        <f t="shared" ca="1" si="58"/>
        <v>0</v>
      </c>
      <c r="L110" s="496"/>
      <c r="M110" s="496"/>
      <c r="N110" s="496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58" t="s">
        <v>35</v>
      </c>
      <c r="I111" s="193">
        <f ca="1">IFERROR(__xludf.DUMMYFUNCTION("IMPORTRANGE(""https://docs.google.com/spreadsheets/d/1QqKyyYR6Q21VydFLVH3TRQUabQu_ym0Zz7PgGX0-kHA/edit?usp=sharing"",""แผน!R61"")"),10)</f>
        <v>10</v>
      </c>
      <c r="J111" s="674">
        <f>J114</f>
        <v>0</v>
      </c>
      <c r="K111" s="195">
        <f t="shared" ca="1" si="58"/>
        <v>0</v>
      </c>
      <c r="L111" s="496"/>
      <c r="M111" s="496"/>
      <c r="N111" s="496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2</v>
      </c>
      <c r="J112" s="674">
        <f t="shared" si="59"/>
        <v>0</v>
      </c>
      <c r="K112" s="195">
        <f t="shared" ca="1" si="58"/>
        <v>0</v>
      </c>
      <c r="L112" s="496"/>
      <c r="M112" s="496"/>
      <c r="N112" s="496"/>
      <c r="O112" s="163"/>
      <c r="P112" s="163"/>
    </row>
    <row r="113" spans="1:26" ht="19.5">
      <c r="A113" s="170"/>
      <c r="B113" s="171"/>
      <c r="C113" s="171"/>
      <c r="D113" s="171"/>
      <c r="E113" s="525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IFERROR(__xludf.DUMMYFUNCTION("IMPORTRANGE(""https://docs.google.com/spreadsheets/d/1QqKyyYR6Q21VydFLVH3TRQUabQu_ym0Zz7PgGX0-kHA/edit?usp=sharing"",""แผน!R61"")"),10)</f>
        <v>10</v>
      </c>
      <c r="J113" s="214">
        <v>0</v>
      </c>
      <c r="K113" s="496">
        <f t="shared" ca="1" si="58"/>
        <v>0</v>
      </c>
      <c r="L113" s="496"/>
      <c r="M113" s="496"/>
      <c r="N113" s="496"/>
      <c r="O113" s="163"/>
      <c r="P113" s="163"/>
    </row>
    <row r="114" spans="1:26" ht="19.5">
      <c r="A114" s="170"/>
      <c r="B114" s="171"/>
      <c r="C114" s="171"/>
      <c r="D114" s="171"/>
      <c r="E114" s="446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IFERROR(__xludf.DUMMYFUNCTION("IMPORTRANGE(""https://docs.google.com/spreadsheets/d/1QqKyyYR6Q21VydFLVH3TRQUabQu_ym0Zz7PgGX0-kHA/edit?usp=sharing"",""แผน!R61"")"),10)</f>
        <v>10</v>
      </c>
      <c r="J114" s="214">
        <v>0</v>
      </c>
      <c r="K114" s="496">
        <f t="shared" ca="1" si="58"/>
        <v>0</v>
      </c>
      <c r="L114" s="496"/>
      <c r="M114" s="496"/>
      <c r="N114" s="496"/>
      <c r="O114" s="163"/>
      <c r="P114" s="163"/>
    </row>
    <row r="115" spans="1:26" ht="18.75">
      <c r="A115" s="170"/>
      <c r="B115" s="171"/>
      <c r="C115" s="171"/>
      <c r="D115" s="171"/>
      <c r="E115" s="446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IFERROR(__xludf.DUMMYFUNCTION("IMPORTRANGE(""https://docs.google.com/spreadsheets/d/1QqKyyYR6Q21VydFLVH3TRQUabQu_ym0Zz7PgGX0-kHA/edit?usp=sharing"",""แผน!S61"")"),1)</f>
        <v>1</v>
      </c>
      <c r="J115" s="214">
        <v>0</v>
      </c>
      <c r="K115" s="496">
        <f t="shared" ca="1" si="58"/>
        <v>0</v>
      </c>
      <c r="L115" s="496"/>
      <c r="M115" s="496"/>
      <c r="N115" s="496"/>
      <c r="O115" s="163"/>
      <c r="P115" s="163"/>
    </row>
    <row r="116" spans="1:26" ht="18.75">
      <c r="A116" s="170"/>
      <c r="B116" s="171"/>
      <c r="C116" s="171"/>
      <c r="D116" s="171"/>
      <c r="E116" s="446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IFERROR(__xludf.DUMMYFUNCTION("IMPORTRANGE(""https://docs.google.com/spreadsheets/d/1QqKyyYR6Q21VydFLVH3TRQUabQu_ym0Zz7PgGX0-kHA/edit?usp=sharing"",""แผน!T61"")"),1)</f>
        <v>1</v>
      </c>
      <c r="J116" s="214">
        <v>0</v>
      </c>
      <c r="K116" s="496">
        <f t="shared" ca="1" si="58"/>
        <v>0</v>
      </c>
      <c r="L116" s="496"/>
      <c r="M116" s="496"/>
      <c r="N116" s="496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8" t="s">
        <v>65</v>
      </c>
      <c r="C118" s="204"/>
      <c r="D118" s="141"/>
      <c r="E118" s="140"/>
      <c r="F118" s="140"/>
      <c r="G118" s="142"/>
      <c r="H118" s="143"/>
      <c r="I118" s="205"/>
      <c r="J118" s="205"/>
      <c r="K118" s="146"/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22" t="s">
        <v>17</v>
      </c>
      <c r="E119" s="148"/>
      <c r="F119" s="148"/>
      <c r="G119" s="151"/>
      <c r="H119" s="152" t="s">
        <v>12</v>
      </c>
      <c r="I119" s="419"/>
      <c r="J119" s="419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2" t="s">
        <v>18</v>
      </c>
      <c r="F120" s="40"/>
      <c r="G120" s="157"/>
      <c r="H120" s="158" t="s">
        <v>12</v>
      </c>
      <c r="I120" s="610"/>
      <c r="J120" s="610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2" t="s">
        <v>19</v>
      </c>
      <c r="F121" s="40"/>
      <c r="G121" s="157"/>
      <c r="H121" s="158" t="s">
        <v>12</v>
      </c>
      <c r="I121" s="610"/>
      <c r="J121" s="610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1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6">
        <f t="shared" ref="L122:N122" ca="1" si="64">L123+L124</f>
        <v>0</v>
      </c>
      <c r="M122" s="496">
        <f t="shared" ca="1" si="64"/>
        <v>0</v>
      </c>
      <c r="N122" s="496">
        <f t="shared" ca="1" si="64"/>
        <v>0</v>
      </c>
      <c r="O122" s="496">
        <f t="shared" ca="1" si="61"/>
        <v>0</v>
      </c>
      <c r="P122" s="496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2"/>
      <c r="D123" s="40"/>
      <c r="E123" s="222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2"/>
      <c r="D124" s="40"/>
      <c r="E124" s="222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IFERROR(__xludf.DUMMYFUNCTION("IMPORTRANGE(""https://docs.google.com/spreadsheets/d/1MeEWN-I1oV_STSDYn1IFDPWt_1FKiwhDph83XaGc0o0/edit?usp=sharing"",""งบพรบ!BA61"")"),0)</f>
        <v>0</v>
      </c>
      <c r="M124" s="93">
        <f ca="1">IFERROR(__xludf.DUMMYFUNCTION("IMPORTRANGE(""https://docs.google.com/spreadsheets/d/1MeEWN-I1oV_STSDYn1IFDPWt_1FKiwhDph83XaGc0o0/edit?usp=sharing"",""งบพรบ!BF61"")"),0)</f>
        <v>0</v>
      </c>
      <c r="N124" s="93">
        <f ca="1">IFERROR(__xludf.DUMMYFUNCTION("IMPORTRANGE(""https://docs.google.com/spreadsheets/d/1MeEWN-I1oV_STSDYn1IFDPWt_1FKiwhDph83XaGc0o0/edit?usp=sharing"",""งบพรบ!BH61"")"),0)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1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6">
        <f t="shared" ref="L125:N125" ca="1" si="65">L126+L127</f>
        <v>0</v>
      </c>
      <c r="M125" s="496">
        <f t="shared" ca="1" si="65"/>
        <v>0</v>
      </c>
      <c r="N125" s="496">
        <f t="shared" ca="1" si="65"/>
        <v>0</v>
      </c>
      <c r="O125" s="496">
        <f t="shared" ca="1" si="61"/>
        <v>0</v>
      </c>
      <c r="P125" s="496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2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2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IFERROR(__xludf.DUMMYFUNCTION("IMPORTRANGE(""https://docs.google.com/spreadsheets/d/1MeEWN-I1oV_STSDYn1IFDPWt_1FKiwhDph83XaGc0o0/edit?usp=sharing"",""งบพรบ!BD61"")"),0)</f>
        <v>0</v>
      </c>
      <c r="M127" s="93">
        <f ca="1">IFERROR(__xludf.DUMMYFUNCTION("IMPORTRANGE(""https://docs.google.com/spreadsheets/d/1MeEWN-I1oV_STSDYn1IFDPWt_1FKiwhDph83XaGc0o0/edit?usp=sharing"",""งบพรบ!BG61"")"),0)</f>
        <v>0</v>
      </c>
      <c r="N127" s="93">
        <f ca="1">IFERROR(__xludf.DUMMYFUNCTION("IMPORTRANGE(""https://docs.google.com/spreadsheets/d/1MeEWN-I1oV_STSDYn1IFDPWt_1FKiwhDph83XaGc0o0/edit?usp=sharing"",""งบพรบ!BI61"")"),0)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66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8" t="s">
        <v>67</v>
      </c>
      <c r="C129" s="204"/>
      <c r="D129" s="141"/>
      <c r="E129" s="140"/>
      <c r="F129" s="140"/>
      <c r="G129" s="140"/>
      <c r="H129" s="207"/>
      <c r="I129" s="205"/>
      <c r="J129" s="205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8"/>
      <c r="C130" s="209" t="s">
        <v>68</v>
      </c>
      <c r="D130" s="141"/>
      <c r="E130" s="140"/>
      <c r="F130" s="140"/>
      <c r="G130" s="142"/>
      <c r="H130" s="143" t="s">
        <v>69</v>
      </c>
      <c r="I130" s="144">
        <f t="shared" ref="I130:J130" ca="1" si="66">I146</f>
        <v>0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8"/>
      <c r="C131" s="209" t="s">
        <v>70</v>
      </c>
      <c r="D131" s="141"/>
      <c r="E131" s="140"/>
      <c r="F131" s="140"/>
      <c r="G131" s="142"/>
      <c r="H131" s="143" t="s">
        <v>35</v>
      </c>
      <c r="I131" s="144">
        <f t="shared" ref="I131:J131" ca="1" si="68">I143</f>
        <v>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822" t="s">
        <v>17</v>
      </c>
      <c r="E132" s="148"/>
      <c r="F132" s="148"/>
      <c r="G132" s="151"/>
      <c r="H132" s="152" t="s">
        <v>12</v>
      </c>
      <c r="I132" s="419"/>
      <c r="J132" s="419"/>
      <c r="K132" s="154"/>
      <c r="L132" s="155">
        <f t="shared" ref="L132:N132" ca="1" si="69">L133+L134</f>
        <v>0</v>
      </c>
      <c r="M132" s="155">
        <f t="shared" ca="1" si="69"/>
        <v>0</v>
      </c>
      <c r="N132" s="155">
        <f t="shared" ca="1" si="69"/>
        <v>0</v>
      </c>
      <c r="O132" s="155">
        <f t="shared" ref="O132:O140" ca="1" si="70">IF(L132&gt;0,N132*100/L132,0)</f>
        <v>0</v>
      </c>
      <c r="P132" s="155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2" t="s">
        <v>18</v>
      </c>
      <c r="F133" s="40"/>
      <c r="G133" s="157"/>
      <c r="H133" s="158" t="s">
        <v>12</v>
      </c>
      <c r="I133" s="610"/>
      <c r="J133" s="610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2" t="s">
        <v>19</v>
      </c>
      <c r="F134" s="40"/>
      <c r="G134" s="157"/>
      <c r="H134" s="158" t="s">
        <v>12</v>
      </c>
      <c r="I134" s="610"/>
      <c r="J134" s="610"/>
      <c r="K134" s="93"/>
      <c r="L134" s="93">
        <f t="shared" ca="1" si="72"/>
        <v>0</v>
      </c>
      <c r="M134" s="93">
        <f t="shared" ca="1" si="72"/>
        <v>0</v>
      </c>
      <c r="N134" s="93">
        <f t="shared" ca="1" si="72"/>
        <v>0</v>
      </c>
      <c r="O134" s="93">
        <f t="shared" ca="1" si="70"/>
        <v>0</v>
      </c>
      <c r="P134" s="93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1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6">
        <f t="shared" ref="L135:N135" ca="1" si="73">L136+L137</f>
        <v>0</v>
      </c>
      <c r="M135" s="496">
        <f t="shared" ca="1" si="73"/>
        <v>0</v>
      </c>
      <c r="N135" s="496">
        <f t="shared" ca="1" si="73"/>
        <v>0</v>
      </c>
      <c r="O135" s="496">
        <f t="shared" ca="1" si="70"/>
        <v>0</v>
      </c>
      <c r="P135" s="496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2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2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IFERROR(__xludf.DUMMYFUNCTION("IMPORTRANGE(""https://docs.google.com/spreadsheets/d/1MeEWN-I1oV_STSDYn1IFDPWt_1FKiwhDph83XaGc0o0/edit?usp=sharing"",""งบพรบ!BK61"")"),0)</f>
        <v>0</v>
      </c>
      <c r="M137" s="93">
        <f ca="1">IFERROR(__xludf.DUMMYFUNCTION("IMPORTRANGE(""https://docs.google.com/spreadsheets/d/1MeEWN-I1oV_STSDYn1IFDPWt_1FKiwhDph83XaGc0o0/edit?usp=sharing"",""งบพรบ!BP61"")"),0)</f>
        <v>0</v>
      </c>
      <c r="N137" s="93">
        <f ca="1">IFERROR(__xludf.DUMMYFUNCTION("IMPORTRANGE(""https://docs.google.com/spreadsheets/d/1MeEWN-I1oV_STSDYn1IFDPWt_1FKiwhDph83XaGc0o0/edit?usp=sharing"",""งบพรบ!BR61"")"),0)</f>
        <v>0</v>
      </c>
      <c r="O137" s="93">
        <f t="shared" ca="1" si="70"/>
        <v>0</v>
      </c>
      <c r="P137" s="93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1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6">
        <f t="shared" ref="L138:N138" ca="1" si="74">L139+L140</f>
        <v>0</v>
      </c>
      <c r="M138" s="496">
        <f t="shared" ca="1" si="74"/>
        <v>0</v>
      </c>
      <c r="N138" s="496">
        <f t="shared" ca="1" si="74"/>
        <v>0</v>
      </c>
      <c r="O138" s="496">
        <f t="shared" ca="1" si="70"/>
        <v>0</v>
      </c>
      <c r="P138" s="496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2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2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IFERROR(__xludf.DUMMYFUNCTION("IMPORTRANGE(""https://docs.google.com/spreadsheets/d/1MeEWN-I1oV_STSDYn1IFDPWt_1FKiwhDph83XaGc0o0/edit?usp=sharing"",""งบพรบ!BN61"")"),0)</f>
        <v>0</v>
      </c>
      <c r="M140" s="93">
        <f ca="1">IFERROR(__xludf.DUMMYFUNCTION("IMPORTRANGE(""https://docs.google.com/spreadsheets/d/1MeEWN-I1oV_STSDYn1IFDPWt_1FKiwhDph83XaGc0o0/edit?usp=sharing"",""งบพรบ!BQ61"")"),0)</f>
        <v>0</v>
      </c>
      <c r="N140" s="93">
        <f ca="1">IFERROR(__xludf.DUMMYFUNCTION("IMPORTRANGE(""https://docs.google.com/spreadsheets/d/1MeEWN-I1oV_STSDYn1IFDPWt_1FKiwhDph83XaGc0o0/edit?usp=sharing"",""งบพรบ!BS61"")"),0)</f>
        <v>0</v>
      </c>
      <c r="O140" s="93">
        <f t="shared" ca="1" si="70"/>
        <v>0</v>
      </c>
      <c r="P140" s="93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823" t="s">
        <v>38</v>
      </c>
      <c r="E141" s="173"/>
      <c r="F141" s="173"/>
      <c r="G141" s="174"/>
      <c r="H141" s="168"/>
      <c r="I141" s="269"/>
      <c r="J141" s="269"/>
      <c r="K141" s="496"/>
      <c r="L141" s="496"/>
      <c r="M141" s="496"/>
      <c r="N141" s="496"/>
      <c r="O141" s="496"/>
      <c r="P141" s="496"/>
    </row>
    <row r="142" spans="1:26" ht="19.5" hidden="1">
      <c r="A142" s="159"/>
      <c r="B142" s="33"/>
      <c r="C142" s="210"/>
      <c r="D142" s="281" t="s">
        <v>71</v>
      </c>
      <c r="E142" s="34"/>
      <c r="F142" s="33"/>
      <c r="G142" s="213"/>
      <c r="H142" s="168"/>
      <c r="I142" s="269"/>
      <c r="J142" s="214">
        <v>0</v>
      </c>
      <c r="K142" s="496"/>
      <c r="L142" s="496"/>
      <c r="M142" s="496"/>
      <c r="N142" s="496"/>
      <c r="O142" s="496"/>
      <c r="P142" s="496"/>
    </row>
    <row r="143" spans="1:26" ht="19.5" hidden="1">
      <c r="A143" s="159"/>
      <c r="B143" s="33"/>
      <c r="C143" s="210"/>
      <c r="D143" s="281" t="s">
        <v>72</v>
      </c>
      <c r="E143" s="34"/>
      <c r="F143" s="33"/>
      <c r="G143" s="213"/>
      <c r="H143" s="168" t="s">
        <v>35</v>
      </c>
      <c r="I143" s="269">
        <f ca="1">I145</f>
        <v>0</v>
      </c>
      <c r="J143" s="269">
        <f ca="1">IF(AND(J144&gt;=I144,J145&gt;=I145),J145,0)</f>
        <v>0</v>
      </c>
      <c r="K143" s="496">
        <f t="shared" ref="K143:K146" ca="1" si="75">IF(I143&gt;0,J143*100/I143,0)</f>
        <v>0</v>
      </c>
      <c r="L143" s="496"/>
      <c r="M143" s="496"/>
      <c r="N143" s="496"/>
      <c r="O143" s="496"/>
      <c r="P143" s="496"/>
    </row>
    <row r="144" spans="1:26" ht="19.5" hidden="1">
      <c r="A144" s="159"/>
      <c r="B144" s="33"/>
      <c r="C144" s="210"/>
      <c r="D144" s="178"/>
      <c r="E144" s="281" t="s">
        <v>73</v>
      </c>
      <c r="F144" s="33"/>
      <c r="G144" s="213"/>
      <c r="H144" s="168" t="s">
        <v>35</v>
      </c>
      <c r="I144" s="269">
        <f ca="1">IFERROR(__xludf.DUMMYFUNCTION("IMPORTRANGE(""https://docs.google.com/spreadsheets/d/1QqKyyYR6Q21VydFLVH3TRQUabQu_ym0Zz7PgGX0-kHA/edit?usp=sharing"",""แผน!U61"")"),0)</f>
        <v>0</v>
      </c>
      <c r="J144" s="214">
        <v>0</v>
      </c>
      <c r="K144" s="496">
        <f t="shared" ca="1" si="75"/>
        <v>0</v>
      </c>
      <c r="L144" s="496"/>
      <c r="M144" s="496"/>
      <c r="N144" s="496"/>
      <c r="O144" s="496"/>
      <c r="P144" s="496"/>
    </row>
    <row r="145" spans="1:26" ht="19.5" hidden="1">
      <c r="A145" s="159"/>
      <c r="B145" s="33"/>
      <c r="C145" s="210"/>
      <c r="D145" s="178"/>
      <c r="E145" s="281" t="s">
        <v>74</v>
      </c>
      <c r="F145" s="33"/>
      <c r="G145" s="213"/>
      <c r="H145" s="168" t="s">
        <v>35</v>
      </c>
      <c r="I145" s="269">
        <f ca="1">IFERROR(__xludf.DUMMYFUNCTION("IMPORTRANGE(""https://docs.google.com/spreadsheets/d/1QqKyyYR6Q21VydFLVH3TRQUabQu_ym0Zz7PgGX0-kHA/edit?usp=sharing"",""แผน!V61"")"),0)</f>
        <v>0</v>
      </c>
      <c r="J145" s="214">
        <v>0</v>
      </c>
      <c r="K145" s="496">
        <f t="shared" ca="1" si="75"/>
        <v>0</v>
      </c>
      <c r="L145" s="496"/>
      <c r="M145" s="496"/>
      <c r="N145" s="496"/>
      <c r="O145" s="496"/>
      <c r="P145" s="496"/>
    </row>
    <row r="146" spans="1:26" ht="19.5" hidden="1">
      <c r="A146" s="159"/>
      <c r="B146" s="33"/>
      <c r="C146" s="210"/>
      <c r="D146" s="281" t="s">
        <v>75</v>
      </c>
      <c r="E146" s="34"/>
      <c r="F146" s="33"/>
      <c r="G146" s="213"/>
      <c r="H146" s="168" t="s">
        <v>69</v>
      </c>
      <c r="I146" s="269">
        <f ca="1">IFERROR(__xludf.DUMMYFUNCTION("IMPORTRANGE(""https://docs.google.com/spreadsheets/d/1QqKyyYR6Q21VydFLVH3TRQUabQu_ym0Zz7PgGX0-kHA/edit?usp=sharing"",""แผน!W61"")"),0)</f>
        <v>0</v>
      </c>
      <c r="J146" s="214">
        <v>0</v>
      </c>
      <c r="K146" s="496">
        <f t="shared" ca="1" si="75"/>
        <v>0</v>
      </c>
      <c r="L146" s="496"/>
      <c r="M146" s="496"/>
      <c r="N146" s="496"/>
      <c r="O146" s="496"/>
      <c r="P146" s="496"/>
    </row>
    <row r="147" spans="1:26" ht="19.5" hidden="1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 hidden="1">
      <c r="A148" s="216"/>
      <c r="B148" s="208" t="s">
        <v>77</v>
      </c>
      <c r="C148" s="208"/>
      <c r="D148" s="208"/>
      <c r="E148" s="824"/>
      <c r="F148" s="218"/>
      <c r="G148" s="219"/>
      <c r="H148" s="220" t="s">
        <v>35</v>
      </c>
      <c r="I148" s="144">
        <f t="shared" ref="I148:J148" ca="1" si="76">I159</f>
        <v>0</v>
      </c>
      <c r="J148" s="144">
        <f t="shared" si="76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1"/>
      <c r="R148" s="221"/>
      <c r="S148" s="221"/>
      <c r="T148" s="221"/>
      <c r="U148" s="221"/>
      <c r="V148" s="221"/>
      <c r="W148" s="221"/>
      <c r="X148" s="221"/>
      <c r="Y148" s="221"/>
      <c r="Z148" s="221"/>
    </row>
    <row r="149" spans="1:26" ht="19.5" hidden="1">
      <c r="A149" s="147"/>
      <c r="B149" s="148"/>
      <c r="C149" s="149" t="s">
        <v>16</v>
      </c>
      <c r="D149" s="822" t="s">
        <v>17</v>
      </c>
      <c r="E149" s="148"/>
      <c r="F149" s="148"/>
      <c r="G149" s="151"/>
      <c r="H149" s="152" t="s">
        <v>12</v>
      </c>
      <c r="I149" s="419"/>
      <c r="J149" s="419"/>
      <c r="K149" s="154"/>
      <c r="L149" s="155">
        <f t="shared" ref="L149:N149" ca="1" si="77">L150+L151</f>
        <v>0</v>
      </c>
      <c r="M149" s="155">
        <f t="shared" ca="1" si="77"/>
        <v>0</v>
      </c>
      <c r="N149" s="155">
        <f t="shared" ca="1" si="77"/>
        <v>0</v>
      </c>
      <c r="O149" s="155">
        <f t="shared" ref="O149:O157" ca="1" si="78">IF(L149&gt;0,N149*100/L149,0)</f>
        <v>0</v>
      </c>
      <c r="P149" s="155">
        <f t="shared" ref="P149:P157" ca="1" si="79">IF(M149&gt;0,N149*100/M149,0)</f>
        <v>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2" t="s">
        <v>18</v>
      </c>
      <c r="F150" s="40"/>
      <c r="G150" s="157"/>
      <c r="H150" s="158" t="s">
        <v>12</v>
      </c>
      <c r="I150" s="610"/>
      <c r="J150" s="610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2" t="s">
        <v>19</v>
      </c>
      <c r="F151" s="40"/>
      <c r="G151" s="157"/>
      <c r="H151" s="158" t="s">
        <v>12</v>
      </c>
      <c r="I151" s="610"/>
      <c r="J151" s="610"/>
      <c r="K151" s="93"/>
      <c r="L151" s="93">
        <f t="shared" ca="1" si="80"/>
        <v>0</v>
      </c>
      <c r="M151" s="93">
        <f t="shared" ca="1" si="80"/>
        <v>0</v>
      </c>
      <c r="N151" s="93">
        <f t="shared" ca="1" si="80"/>
        <v>0</v>
      </c>
      <c r="O151" s="93">
        <f t="shared" ca="1" si="78"/>
        <v>0</v>
      </c>
      <c r="P151" s="93">
        <f t="shared" ca="1" si="79"/>
        <v>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 hidden="1">
      <c r="A152" s="159"/>
      <c r="B152" s="33"/>
      <c r="C152" s="281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6">
        <f t="shared" ref="L152:N152" ca="1" si="81">L153+L154</f>
        <v>0</v>
      </c>
      <c r="M152" s="496">
        <f t="shared" ca="1" si="81"/>
        <v>0</v>
      </c>
      <c r="N152" s="496">
        <f t="shared" ca="1" si="81"/>
        <v>0</v>
      </c>
      <c r="O152" s="496">
        <f t="shared" ca="1" si="78"/>
        <v>0</v>
      </c>
      <c r="P152" s="496">
        <f t="shared" ca="1" si="79"/>
        <v>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2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2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IFERROR(__xludf.DUMMYFUNCTION("IMPORTRANGE(""https://docs.google.com/spreadsheets/d/1MeEWN-I1oV_STSDYn1IFDPWt_1FKiwhDph83XaGc0o0/edit?usp=sharing"",""งบพรบ!BU61"")"),0)</f>
        <v>0</v>
      </c>
      <c r="M154" s="93">
        <f ca="1">IFERROR(__xludf.DUMMYFUNCTION("IMPORTRANGE(""https://docs.google.com/spreadsheets/d/1MeEWN-I1oV_STSDYn1IFDPWt_1FKiwhDph83XaGc0o0/edit?usp=sharing"",""งบพรบ!BZ61"")"),0)</f>
        <v>0</v>
      </c>
      <c r="N154" s="93">
        <f ca="1">IFERROR(__xludf.DUMMYFUNCTION("IMPORTRANGE(""https://docs.google.com/spreadsheets/d/1MeEWN-I1oV_STSDYn1IFDPWt_1FKiwhDph83XaGc0o0/edit?usp=sharing"",""งบพรบ!CB61"")"),0)</f>
        <v>0</v>
      </c>
      <c r="O154" s="93">
        <f t="shared" ca="1" si="78"/>
        <v>0</v>
      </c>
      <c r="P154" s="93">
        <f t="shared" ca="1" si="79"/>
        <v>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 hidden="1">
      <c r="A155" s="159"/>
      <c r="B155" s="33"/>
      <c r="C155" s="281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6">
        <f t="shared" ref="L155:N155" ca="1" si="82">L156+L157</f>
        <v>0</v>
      </c>
      <c r="M155" s="496">
        <f t="shared" ca="1" si="82"/>
        <v>0</v>
      </c>
      <c r="N155" s="496">
        <f t="shared" ca="1" si="82"/>
        <v>0</v>
      </c>
      <c r="O155" s="496">
        <f t="shared" ca="1" si="78"/>
        <v>0</v>
      </c>
      <c r="P155" s="496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2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2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IFERROR(__xludf.DUMMYFUNCTION("IMPORTRANGE(""https://docs.google.com/spreadsheets/d/1MeEWN-I1oV_STSDYn1IFDPWt_1FKiwhDph83XaGc0o0/edit?usp=sharing"",""งบพรบ!BX61"")"),0)</f>
        <v>0</v>
      </c>
      <c r="M157" s="93">
        <f ca="1">IFERROR(__xludf.DUMMYFUNCTION("IMPORTRANGE(""https://docs.google.com/spreadsheets/d/1MeEWN-I1oV_STSDYn1IFDPWt_1FKiwhDph83XaGc0o0/edit?usp=sharing"",""งบพรบ!CA61"")"),0)</f>
        <v>0</v>
      </c>
      <c r="N157" s="93">
        <f ca="1">IFERROR(__xludf.DUMMYFUNCTION("IMPORTRANGE(""https://docs.google.com/spreadsheets/d/1MeEWN-I1oV_STSDYn1IFDPWt_1FKiwhDph83XaGc0o0/edit?usp=sharing"",""งบพรบ!CC61"")"),0)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 hidden="1">
      <c r="A158" s="170"/>
      <c r="B158" s="171"/>
      <c r="C158" s="164" t="s">
        <v>16</v>
      </c>
      <c r="D158" s="823" t="s">
        <v>38</v>
      </c>
      <c r="E158" s="173"/>
      <c r="F158" s="173"/>
      <c r="G158" s="174"/>
      <c r="H158" s="168"/>
      <c r="I158" s="269"/>
      <c r="J158" s="269"/>
      <c r="K158" s="496"/>
      <c r="L158" s="496"/>
      <c r="M158" s="496"/>
      <c r="N158" s="496"/>
      <c r="O158" s="496"/>
      <c r="P158" s="496"/>
    </row>
    <row r="159" spans="1:26" ht="19.5" hidden="1">
      <c r="A159" s="159"/>
      <c r="B159" s="33"/>
      <c r="C159" s="210"/>
      <c r="D159" s="281" t="s">
        <v>78</v>
      </c>
      <c r="E159" s="34"/>
      <c r="F159" s="33"/>
      <c r="G159" s="213"/>
      <c r="H159" s="168" t="s">
        <v>35</v>
      </c>
      <c r="I159" s="269">
        <f ca="1">IFERROR(__xludf.DUMMYFUNCTION("IMPORTRANGE(""https://docs.google.com/spreadsheets/d/1QqKyyYR6Q21VydFLVH3TRQUabQu_ym0Zz7PgGX0-kHA/edit?usp=sharing"",""แผน!X61"")"),0)</f>
        <v>0</v>
      </c>
      <c r="J159" s="214">
        <v>0</v>
      </c>
      <c r="K159" s="496">
        <f ca="1">IF(I159&gt;0,J159*100/I159,0)</f>
        <v>0</v>
      </c>
      <c r="L159" s="496"/>
      <c r="M159" s="496"/>
      <c r="N159" s="496"/>
      <c r="O159" s="496"/>
      <c r="P159" s="496"/>
    </row>
    <row r="160" spans="1:26" ht="19.5" hidden="1">
      <c r="A160" s="156"/>
      <c r="B160" s="40"/>
      <c r="C160" s="164"/>
      <c r="D160" s="222" t="s">
        <v>79</v>
      </c>
      <c r="E160" s="223"/>
      <c r="F160" s="40"/>
      <c r="G160" s="157"/>
      <c r="H160" s="169" t="s">
        <v>35</v>
      </c>
      <c r="I160" s="610"/>
      <c r="J160" s="610"/>
      <c r="K160" s="93"/>
      <c r="L160" s="93"/>
      <c r="M160" s="93"/>
      <c r="N160" s="93"/>
      <c r="O160" s="93"/>
      <c r="P160" s="93"/>
      <c r="Q160" s="224"/>
      <c r="R160" s="224"/>
      <c r="S160" s="224"/>
      <c r="T160" s="224"/>
      <c r="U160" s="224"/>
      <c r="V160" s="224"/>
      <c r="W160" s="224"/>
      <c r="X160" s="224"/>
      <c r="Y160" s="224"/>
      <c r="Z160" s="224"/>
    </row>
    <row r="161" spans="1:26" ht="19.5" hidden="1">
      <c r="A161" s="225"/>
      <c r="B161" s="226"/>
      <c r="C161" s="227"/>
      <c r="D161" s="228" t="s">
        <v>80</v>
      </c>
      <c r="E161" s="825"/>
      <c r="F161" s="226"/>
      <c r="G161" s="230"/>
      <c r="H161" s="231" t="s">
        <v>35</v>
      </c>
      <c r="I161" s="232"/>
      <c r="J161" s="232"/>
      <c r="K161" s="233"/>
      <c r="L161" s="233"/>
      <c r="M161" s="233"/>
      <c r="N161" s="233"/>
      <c r="O161" s="233"/>
      <c r="P161" s="233"/>
      <c r="Q161" s="224"/>
      <c r="R161" s="224"/>
      <c r="S161" s="224"/>
      <c r="T161" s="224"/>
      <c r="U161" s="224"/>
      <c r="V161" s="224"/>
      <c r="W161" s="224"/>
      <c r="X161" s="224"/>
      <c r="Y161" s="224"/>
      <c r="Z161" s="224"/>
    </row>
    <row r="162" spans="1:26" ht="19.5">
      <c r="A162" s="234" t="s">
        <v>81</v>
      </c>
      <c r="B162" s="235"/>
      <c r="C162" s="235"/>
      <c r="D162" s="235"/>
      <c r="E162" s="236"/>
      <c r="F162" s="236"/>
      <c r="G162" s="237"/>
      <c r="H162" s="238"/>
      <c r="I162" s="239"/>
      <c r="J162" s="239"/>
      <c r="K162" s="240"/>
      <c r="L162" s="240"/>
      <c r="M162" s="240"/>
      <c r="N162" s="240"/>
      <c r="O162" s="240"/>
      <c r="P162" s="240"/>
    </row>
    <row r="163" spans="1:26" ht="19.5">
      <c r="A163" s="241" t="s">
        <v>82</v>
      </c>
      <c r="B163" s="242"/>
      <c r="C163" s="242"/>
      <c r="D163" s="243"/>
      <c r="E163" s="243"/>
      <c r="F163" s="243"/>
      <c r="G163" s="244"/>
      <c r="H163" s="245"/>
      <c r="I163" s="246"/>
      <c r="J163" s="246"/>
      <c r="K163" s="247"/>
      <c r="L163" s="247"/>
      <c r="M163" s="247"/>
      <c r="N163" s="247"/>
      <c r="O163" s="247"/>
      <c r="P163" s="247"/>
    </row>
    <row r="164" spans="1:26" ht="19.5">
      <c r="A164" s="248"/>
      <c r="B164" s="249" t="s">
        <v>83</v>
      </c>
      <c r="C164" s="250"/>
      <c r="D164" s="173"/>
      <c r="E164" s="173"/>
      <c r="F164" s="173"/>
      <c r="G164" s="174"/>
      <c r="H164" s="251" t="s">
        <v>35</v>
      </c>
      <c r="I164" s="252">
        <f t="shared" ref="I164:J164" ca="1" si="83">I174+I177</f>
        <v>10</v>
      </c>
      <c r="J164" s="252">
        <f t="shared" si="83"/>
        <v>10</v>
      </c>
      <c r="K164" s="253">
        <f ca="1">IF(I164&gt;0,J164*100/I164,0)</f>
        <v>100</v>
      </c>
      <c r="L164" s="254"/>
      <c r="M164" s="254"/>
      <c r="N164" s="254"/>
      <c r="O164" s="254"/>
      <c r="P164" s="254"/>
    </row>
    <row r="165" spans="1:26" ht="19.5">
      <c r="A165" s="147"/>
      <c r="B165" s="148"/>
      <c r="C165" s="149" t="s">
        <v>16</v>
      </c>
      <c r="D165" s="822" t="s">
        <v>17</v>
      </c>
      <c r="E165" s="148"/>
      <c r="F165" s="148"/>
      <c r="G165" s="151"/>
      <c r="H165" s="152" t="s">
        <v>12</v>
      </c>
      <c r="I165" s="419"/>
      <c r="J165" s="419"/>
      <c r="K165" s="154"/>
      <c r="L165" s="155">
        <f t="shared" ref="L165:N165" ca="1" si="84">L166+L167</f>
        <v>21050</v>
      </c>
      <c r="M165" s="155">
        <f t="shared" ca="1" si="84"/>
        <v>21050</v>
      </c>
      <c r="N165" s="155">
        <f t="shared" ca="1" si="84"/>
        <v>21050</v>
      </c>
      <c r="O165" s="155">
        <f t="shared" ref="O165:O173" ca="1" si="85">IF(L165&gt;0,N165*100/L165,0)</f>
        <v>100</v>
      </c>
      <c r="P165" s="155">
        <f t="shared" ref="P165:P173" ca="1" si="86">IF(M165&gt;0,N165*100/M165,0)</f>
        <v>100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2" t="s">
        <v>18</v>
      </c>
      <c r="F166" s="40"/>
      <c r="G166" s="157"/>
      <c r="H166" s="158" t="s">
        <v>12</v>
      </c>
      <c r="I166" s="610"/>
      <c r="J166" s="610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2" t="s">
        <v>19</v>
      </c>
      <c r="F167" s="40"/>
      <c r="G167" s="157"/>
      <c r="H167" s="158" t="s">
        <v>12</v>
      </c>
      <c r="I167" s="610"/>
      <c r="J167" s="610"/>
      <c r="K167" s="93"/>
      <c r="L167" s="93">
        <f t="shared" ca="1" si="87"/>
        <v>21050</v>
      </c>
      <c r="M167" s="93">
        <f t="shared" ca="1" si="87"/>
        <v>21050</v>
      </c>
      <c r="N167" s="93">
        <f t="shared" ca="1" si="87"/>
        <v>21050</v>
      </c>
      <c r="O167" s="93">
        <f t="shared" ca="1" si="85"/>
        <v>100</v>
      </c>
      <c r="P167" s="93">
        <f t="shared" ca="1" si="86"/>
        <v>100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1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6">
        <f t="shared" ref="L168:N168" ca="1" si="88">L169+L170</f>
        <v>21050</v>
      </c>
      <c r="M168" s="496">
        <f t="shared" ca="1" si="88"/>
        <v>21050</v>
      </c>
      <c r="N168" s="496">
        <f t="shared" ca="1" si="88"/>
        <v>21050</v>
      </c>
      <c r="O168" s="496">
        <f t="shared" ca="1" si="85"/>
        <v>100</v>
      </c>
      <c r="P168" s="496">
        <f t="shared" ca="1" si="86"/>
        <v>100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2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2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IFERROR(__xludf.DUMMYFUNCTION("IMPORTRANGE(""https://docs.google.com/spreadsheets/d/1MeEWN-I1oV_STSDYn1IFDPWt_1FKiwhDph83XaGc0o0/edit?usp=sharing"",""งบพรบ!CE61"")"),21050)</f>
        <v>21050</v>
      </c>
      <c r="M170" s="93">
        <f ca="1">IFERROR(__xludf.DUMMYFUNCTION("IMPORTRANGE(""https://docs.google.com/spreadsheets/d/1MeEWN-I1oV_STSDYn1IFDPWt_1FKiwhDph83XaGc0o0/edit?usp=sharing"",""งบพรบ!CJ61"")"),21050)</f>
        <v>21050</v>
      </c>
      <c r="N170" s="93">
        <f ca="1">IFERROR(__xludf.DUMMYFUNCTION("IMPORTRANGE(""https://docs.google.com/spreadsheets/d/1MeEWN-I1oV_STSDYn1IFDPWt_1FKiwhDph83XaGc0o0/edit?usp=sharing"",""งบพรบ!CL61"")"),21050)</f>
        <v>21050</v>
      </c>
      <c r="O170" s="93">
        <f t="shared" ca="1" si="85"/>
        <v>100</v>
      </c>
      <c r="P170" s="93">
        <f t="shared" ca="1" si="86"/>
        <v>100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1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6">
        <f t="shared" ref="L171:N171" ca="1" si="89">L172+L173</f>
        <v>0</v>
      </c>
      <c r="M171" s="496">
        <f t="shared" ca="1" si="89"/>
        <v>0</v>
      </c>
      <c r="N171" s="496">
        <f t="shared" ca="1" si="89"/>
        <v>0</v>
      </c>
      <c r="O171" s="496">
        <f t="shared" ca="1" si="85"/>
        <v>0</v>
      </c>
      <c r="P171" s="496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2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2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IFERROR(__xludf.DUMMYFUNCTION("IMPORTRANGE(""https://docs.google.com/spreadsheets/d/1MeEWN-I1oV_STSDYn1IFDPWt_1FKiwhDph83XaGc0o0/edit?usp=sharing"",""งบพรบ!CH61"")"),0)</f>
        <v>0</v>
      </c>
      <c r="M173" s="93">
        <f ca="1">IFERROR(__xludf.DUMMYFUNCTION("IMPORTRANGE(""https://docs.google.com/spreadsheets/d/1MeEWN-I1oV_STSDYn1IFDPWt_1FKiwhDph83XaGc0o0/edit?usp=sharing"",""งบพรบ!CK61"")"),0)</f>
        <v>0</v>
      </c>
      <c r="N173" s="93">
        <f ca="1">IFERROR(__xludf.DUMMYFUNCTION("IMPORTRANGE(""https://docs.google.com/spreadsheets/d/1MeEWN-I1oV_STSDYn1IFDPWt_1FKiwhDph83XaGc0o0/edit?usp=sharing"",""งบพรบ!CM61"")"),0)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5"/>
      <c r="B174" s="256"/>
      <c r="C174" s="257" t="s">
        <v>84</v>
      </c>
      <c r="D174" s="256"/>
      <c r="E174" s="256"/>
      <c r="F174" s="256"/>
      <c r="G174" s="258"/>
      <c r="H174" s="259" t="s">
        <v>35</v>
      </c>
      <c r="I174" s="260">
        <f t="shared" ref="I174:J174" ca="1" si="90">I176</f>
        <v>10</v>
      </c>
      <c r="J174" s="260">
        <f t="shared" si="90"/>
        <v>10</v>
      </c>
      <c r="K174" s="261">
        <f ca="1">IF(I174&gt;0,J174*100/I174,0)</f>
        <v>100</v>
      </c>
      <c r="L174" s="261"/>
      <c r="M174" s="261"/>
      <c r="N174" s="261"/>
      <c r="O174" s="261"/>
      <c r="P174" s="261"/>
    </row>
    <row r="175" spans="1:26" ht="19.5">
      <c r="A175" s="170"/>
      <c r="B175" s="171"/>
      <c r="C175" s="164" t="s">
        <v>16</v>
      </c>
      <c r="D175" s="823" t="s">
        <v>38</v>
      </c>
      <c r="E175" s="173"/>
      <c r="F175" s="173"/>
      <c r="G175" s="174"/>
      <c r="H175" s="753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37" t="s">
        <v>85</v>
      </c>
      <c r="E176" s="178"/>
      <c r="F176" s="178"/>
      <c r="G176" s="179"/>
      <c r="H176" s="616" t="s">
        <v>35</v>
      </c>
      <c r="I176" s="269">
        <f ca="1">IFERROR(__xludf.DUMMYFUNCTION("IMPORTRANGE(""https://docs.google.com/spreadsheets/d/1QqKyyYR6Q21VydFLVH3TRQUabQu_ym0Zz7PgGX0-kHA/edit?usp=sharing"",""แผน!Y61"")"),10)</f>
        <v>10</v>
      </c>
      <c r="J176" s="214">
        <v>10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5"/>
      <c r="B177" s="263"/>
      <c r="C177" s="264" t="s">
        <v>86</v>
      </c>
      <c r="D177" s="263"/>
      <c r="E177" s="256"/>
      <c r="F177" s="256"/>
      <c r="G177" s="258"/>
      <c r="H177" s="265" t="s">
        <v>35</v>
      </c>
      <c r="I177" s="260"/>
      <c r="J177" s="260">
        <f>J179</f>
        <v>0</v>
      </c>
      <c r="K177" s="261"/>
      <c r="L177" s="261"/>
      <c r="M177" s="261"/>
      <c r="N177" s="261"/>
      <c r="O177" s="261"/>
      <c r="P177" s="261"/>
    </row>
    <row r="178" spans="1:26" ht="19.5" hidden="1">
      <c r="A178" s="170"/>
      <c r="B178" s="171"/>
      <c r="C178" s="164" t="s">
        <v>16</v>
      </c>
      <c r="D178" s="266" t="s">
        <v>38</v>
      </c>
      <c r="E178" s="173"/>
      <c r="F178" s="173"/>
      <c r="G178" s="174"/>
      <c r="H178" s="753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3" t="s">
        <v>87</v>
      </c>
      <c r="E179" s="178"/>
      <c r="F179" s="366"/>
      <c r="G179" s="179"/>
      <c r="H179" s="43" t="s">
        <v>35</v>
      </c>
      <c r="I179" s="269"/>
      <c r="J179" s="269"/>
      <c r="K179" s="163"/>
      <c r="L179" s="163"/>
      <c r="M179" s="163"/>
      <c r="N179" s="163"/>
      <c r="O179" s="163"/>
      <c r="P179" s="163"/>
    </row>
    <row r="180" spans="1:26" ht="19.5">
      <c r="A180" s="248"/>
      <c r="B180" s="249" t="s">
        <v>88</v>
      </c>
      <c r="C180" s="250"/>
      <c r="D180" s="173"/>
      <c r="E180" s="173"/>
      <c r="F180" s="173"/>
      <c r="G180" s="174"/>
      <c r="H180" s="251" t="s">
        <v>35</v>
      </c>
      <c r="I180" s="252">
        <f t="shared" ref="I180:J180" ca="1" si="91">I225+I226</f>
        <v>30</v>
      </c>
      <c r="J180" s="252">
        <f t="shared" si="91"/>
        <v>30</v>
      </c>
      <c r="K180" s="253">
        <f ca="1">IF(I180&gt;0,J180*100/I180,0)</f>
        <v>100</v>
      </c>
      <c r="L180" s="254"/>
      <c r="M180" s="254"/>
      <c r="N180" s="254"/>
      <c r="O180" s="254"/>
      <c r="P180" s="254"/>
    </row>
    <row r="181" spans="1:26" ht="19.5">
      <c r="A181" s="147"/>
      <c r="B181" s="148"/>
      <c r="C181" s="149" t="s">
        <v>16</v>
      </c>
      <c r="D181" s="822" t="s">
        <v>17</v>
      </c>
      <c r="E181" s="148"/>
      <c r="F181" s="148"/>
      <c r="G181" s="151"/>
      <c r="H181" s="152" t="s">
        <v>12</v>
      </c>
      <c r="I181" s="419"/>
      <c r="J181" s="419"/>
      <c r="K181" s="154"/>
      <c r="L181" s="155">
        <f t="shared" ref="L181:N181" ca="1" si="92">L182+L183</f>
        <v>919700</v>
      </c>
      <c r="M181" s="155">
        <f t="shared" ca="1" si="92"/>
        <v>428300</v>
      </c>
      <c r="N181" s="155">
        <f t="shared" ca="1" si="92"/>
        <v>197548.51</v>
      </c>
      <c r="O181" s="155">
        <f t="shared" ref="O181:O189" ca="1" si="93">IF(L181&gt;0,N181*100/L181,0)</f>
        <v>21.479668370120692</v>
      </c>
      <c r="P181" s="155">
        <f t="shared" ref="P181:P189" ca="1" si="94">IF(M181&gt;0,N181*100/M181,0)</f>
        <v>46.123864113938829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2" t="s">
        <v>18</v>
      </c>
      <c r="F182" s="40"/>
      <c r="G182" s="157"/>
      <c r="H182" s="158" t="s">
        <v>12</v>
      </c>
      <c r="I182" s="610"/>
      <c r="J182" s="610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2" t="s">
        <v>19</v>
      </c>
      <c r="F183" s="40"/>
      <c r="G183" s="157"/>
      <c r="H183" s="158" t="s">
        <v>12</v>
      </c>
      <c r="I183" s="610"/>
      <c r="J183" s="610"/>
      <c r="K183" s="93"/>
      <c r="L183" s="93">
        <f t="shared" ca="1" si="95"/>
        <v>919700</v>
      </c>
      <c r="M183" s="93">
        <f t="shared" ca="1" si="95"/>
        <v>428300</v>
      </c>
      <c r="N183" s="93">
        <f t="shared" ca="1" si="95"/>
        <v>197548.51</v>
      </c>
      <c r="O183" s="93">
        <f t="shared" ca="1" si="93"/>
        <v>21.479668370120692</v>
      </c>
      <c r="P183" s="93">
        <f t="shared" ca="1" si="94"/>
        <v>46.123864113938829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1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6">
        <f t="shared" ref="L184:N184" ca="1" si="96">L185+L186</f>
        <v>919700</v>
      </c>
      <c r="M184" s="496">
        <f t="shared" ca="1" si="96"/>
        <v>428300</v>
      </c>
      <c r="N184" s="496">
        <f t="shared" ca="1" si="96"/>
        <v>197548.51</v>
      </c>
      <c r="O184" s="496">
        <f t="shared" ca="1" si="93"/>
        <v>21.479668370120692</v>
      </c>
      <c r="P184" s="496">
        <f t="shared" ca="1" si="94"/>
        <v>46.123864113938829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2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2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IFERROR(__xludf.DUMMYFUNCTION("IMPORTRANGE(""https://docs.google.com/spreadsheets/d/1MeEWN-I1oV_STSDYn1IFDPWt_1FKiwhDph83XaGc0o0/edit?usp=sharing"",""งบพรบ!CO61"")"),919700)</f>
        <v>919700</v>
      </c>
      <c r="M186" s="93">
        <f ca="1">IFERROR(__xludf.DUMMYFUNCTION("IMPORTRANGE(""https://docs.google.com/spreadsheets/d/1MeEWN-I1oV_STSDYn1IFDPWt_1FKiwhDph83XaGc0o0/edit?usp=sharing"",""งบพรบ!CT61"")"),428300)</f>
        <v>428300</v>
      </c>
      <c r="N186" s="93">
        <f ca="1">IFERROR(__xludf.DUMMYFUNCTION("IMPORTRANGE(""https://docs.google.com/spreadsheets/d/1MeEWN-I1oV_STSDYn1IFDPWt_1FKiwhDph83XaGc0o0/edit?usp=sharing"",""งบพรบ!CV61"")"),197548.51)</f>
        <v>197548.51</v>
      </c>
      <c r="O186" s="93">
        <f t="shared" ca="1" si="93"/>
        <v>21.479668370120692</v>
      </c>
      <c r="P186" s="93">
        <f t="shared" ca="1" si="94"/>
        <v>46.123864113938829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1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6">
        <f t="shared" ref="L187:N187" ca="1" si="97">L188+L189</f>
        <v>0</v>
      </c>
      <c r="M187" s="496">
        <f t="shared" ca="1" si="97"/>
        <v>0</v>
      </c>
      <c r="N187" s="496">
        <f t="shared" ca="1" si="97"/>
        <v>0</v>
      </c>
      <c r="O187" s="496">
        <f t="shared" ca="1" si="93"/>
        <v>0</v>
      </c>
      <c r="P187" s="496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2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2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IFERROR(__xludf.DUMMYFUNCTION("IMPORTRANGE(""https://docs.google.com/spreadsheets/d/1MeEWN-I1oV_STSDYn1IFDPWt_1FKiwhDph83XaGc0o0/edit?usp=sharing"",""งบพรบ!CR61"")"),0)</f>
        <v>0</v>
      </c>
      <c r="M189" s="93">
        <f ca="1">IFERROR(__xludf.DUMMYFUNCTION("IMPORTRANGE(""https://docs.google.com/spreadsheets/d/1MeEWN-I1oV_STSDYn1IFDPWt_1FKiwhDph83XaGc0o0/edit?usp=sharing"",""งบพรบ!CU61"")"),0)</f>
        <v>0</v>
      </c>
      <c r="N189" s="93">
        <f ca="1">IFERROR(__xludf.DUMMYFUNCTION("IMPORTRANGE(""https://docs.google.com/spreadsheets/d/1MeEWN-I1oV_STSDYn1IFDPWt_1FKiwhDph83XaGc0o0/edit?usp=sharing"",""งบพรบ!CW61"")"),0)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5"/>
      <c r="B190" s="263"/>
      <c r="C190" s="270" t="s">
        <v>89</v>
      </c>
      <c r="D190" s="256"/>
      <c r="E190" s="256"/>
      <c r="F190" s="256"/>
      <c r="G190" s="258"/>
      <c r="H190" s="259" t="s">
        <v>90</v>
      </c>
      <c r="I190" s="271">
        <f t="shared" ref="I190:J190" ca="1" si="98">I193</f>
        <v>4</v>
      </c>
      <c r="J190" s="271">
        <f t="shared" si="98"/>
        <v>0</v>
      </c>
      <c r="K190" s="272">
        <f ca="1">IF(I190&gt;0,J190*100/I190,0)</f>
        <v>0</v>
      </c>
      <c r="L190" s="261"/>
      <c r="M190" s="261"/>
      <c r="N190" s="261"/>
      <c r="O190" s="261"/>
      <c r="P190" s="261"/>
    </row>
    <row r="191" spans="1:26" ht="19.5">
      <c r="A191" s="147"/>
      <c r="B191" s="148"/>
      <c r="C191" s="149" t="s">
        <v>16</v>
      </c>
      <c r="D191" s="826" t="s">
        <v>17</v>
      </c>
      <c r="E191" s="148"/>
      <c r="F191" s="148"/>
      <c r="G191" s="151"/>
      <c r="H191" s="274" t="s">
        <v>12</v>
      </c>
      <c r="I191" s="419"/>
      <c r="J191" s="419"/>
      <c r="K191" s="154"/>
      <c r="L191" s="155">
        <f ca="1">IFERROR(__xludf.DUMMYFUNCTION("IMPORTRANGE(""https://docs.google.com/spreadsheets/d/1QqKyyYR6Q21VydFLVH3TRQUabQu_ym0Zz7PgGX0-kHA/edit?usp=sharing"",""แผน!Z61"")"),6000)</f>
        <v>6000</v>
      </c>
      <c r="M191" s="155"/>
      <c r="N191" s="275">
        <v>0</v>
      </c>
      <c r="O191" s="155">
        <f ca="1">IF(L191&gt;0,N191*100/L191,0)</f>
        <v>0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0" t="s">
        <v>16</v>
      </c>
      <c r="D192" s="823" t="s">
        <v>38</v>
      </c>
      <c r="E192" s="173"/>
      <c r="F192" s="173"/>
      <c r="G192" s="174"/>
      <c r="H192" s="753"/>
      <c r="I192" s="269"/>
      <c r="J192" s="269"/>
      <c r="K192" s="496"/>
      <c r="L192" s="496"/>
      <c r="M192" s="496"/>
      <c r="N192" s="496"/>
      <c r="O192" s="496"/>
      <c r="P192" s="496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6" t="s">
        <v>91</v>
      </c>
      <c r="E193" s="178"/>
      <c r="F193" s="178"/>
      <c r="G193" s="179"/>
      <c r="H193" s="755" t="s">
        <v>90</v>
      </c>
      <c r="I193" s="269">
        <f ca="1">IFERROR(__xludf.DUMMYFUNCTION("IMPORTRANGE(""https://docs.google.com/spreadsheets/d/1QqKyyYR6Q21VydFLVH3TRQUabQu_ym0Zz7PgGX0-kHA/edit?usp=sharing"",""แผน!AC61"")"),4)</f>
        <v>4</v>
      </c>
      <c r="J193" s="214">
        <v>0</v>
      </c>
      <c r="K193" s="496">
        <f ca="1">IF(I193&gt;0,J193*100/I193,0)</f>
        <v>0</v>
      </c>
      <c r="L193" s="496"/>
      <c r="M193" s="496"/>
      <c r="N193" s="496"/>
      <c r="O193" s="496"/>
      <c r="P193" s="496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6" t="s">
        <v>92</v>
      </c>
      <c r="E194" s="178"/>
      <c r="F194" s="178"/>
      <c r="G194" s="179"/>
      <c r="H194" s="276" t="s">
        <v>35</v>
      </c>
      <c r="I194" s="269"/>
      <c r="J194" s="269">
        <f>J195+J196</f>
        <v>0</v>
      </c>
      <c r="K194" s="496"/>
      <c r="L194" s="496"/>
      <c r="M194" s="496"/>
      <c r="N194" s="496"/>
      <c r="O194" s="496"/>
      <c r="P194" s="496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6" t="s">
        <v>93</v>
      </c>
      <c r="F195" s="178"/>
      <c r="G195" s="179"/>
      <c r="H195" s="276" t="s">
        <v>35</v>
      </c>
      <c r="I195" s="269"/>
      <c r="J195" s="214">
        <v>0</v>
      </c>
      <c r="K195" s="496"/>
      <c r="L195" s="496"/>
      <c r="M195" s="496"/>
      <c r="N195" s="496"/>
      <c r="O195" s="496"/>
      <c r="P195" s="496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6" t="s">
        <v>94</v>
      </c>
      <c r="F196" s="178"/>
      <c r="G196" s="179"/>
      <c r="H196" s="276" t="s">
        <v>35</v>
      </c>
      <c r="I196" s="269"/>
      <c r="J196" s="214">
        <v>0</v>
      </c>
      <c r="K196" s="496"/>
      <c r="L196" s="496"/>
      <c r="M196" s="496"/>
      <c r="N196" s="496"/>
      <c r="O196" s="496"/>
      <c r="P196" s="496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5"/>
      <c r="B197" s="263"/>
      <c r="C197" s="270" t="s">
        <v>95</v>
      </c>
      <c r="D197" s="256"/>
      <c r="E197" s="256"/>
      <c r="F197" s="256"/>
      <c r="G197" s="258"/>
      <c r="H197" s="277" t="s">
        <v>96</v>
      </c>
      <c r="I197" s="271">
        <f t="shared" ref="I197:J197" ca="1" si="99">I204</f>
        <v>1</v>
      </c>
      <c r="J197" s="271">
        <f t="shared" si="99"/>
        <v>0</v>
      </c>
      <c r="K197" s="272">
        <f ca="1">IF(I197&gt;0,J197*100/I197,0)</f>
        <v>0</v>
      </c>
      <c r="L197" s="261"/>
      <c r="M197" s="261"/>
      <c r="N197" s="261"/>
      <c r="O197" s="261"/>
      <c r="P197" s="261"/>
    </row>
    <row r="198" spans="1:26" ht="19.5">
      <c r="A198" s="147"/>
      <c r="B198" s="148"/>
      <c r="C198" s="149" t="s">
        <v>16</v>
      </c>
      <c r="D198" s="826" t="s">
        <v>17</v>
      </c>
      <c r="E198" s="148"/>
      <c r="F198" s="148"/>
      <c r="G198" s="151"/>
      <c r="H198" s="274" t="s">
        <v>12</v>
      </c>
      <c r="I198" s="418"/>
      <c r="J198" s="418"/>
      <c r="K198" s="279"/>
      <c r="L198" s="155">
        <f ca="1">L199+L200+L201+L202</f>
        <v>13000</v>
      </c>
      <c r="M198" s="155"/>
      <c r="N198" s="155">
        <f>N199+N200+N201+N202</f>
        <v>0</v>
      </c>
      <c r="O198" s="155">
        <f ca="1">IF(L198&gt;0,N198*100/L198,0)</f>
        <v>0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0"/>
      <c r="C199" s="33"/>
      <c r="D199" s="281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6">
        <f ca="1">IFERROR(__xludf.DUMMYFUNCTION("IMPORTRANGE(""https://docs.google.com/spreadsheets/d/1QqKyyYR6Q21VydFLVH3TRQUabQu_ym0Zz7PgGX0-kHA/edit?usp=sharing"",""แผน!AE61"")"),1000)</f>
        <v>1000</v>
      </c>
      <c r="M199" s="496"/>
      <c r="N199" s="817">
        <v>0</v>
      </c>
      <c r="O199" s="496"/>
      <c r="P199" s="496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4"/>
      <c r="B200" s="280"/>
      <c r="C200" s="210"/>
      <c r="D200" s="281" t="s">
        <v>98</v>
      </c>
      <c r="E200" s="33"/>
      <c r="F200" s="33"/>
      <c r="G200" s="35"/>
      <c r="H200" s="616" t="s">
        <v>12</v>
      </c>
      <c r="I200" s="269"/>
      <c r="J200" s="269"/>
      <c r="K200" s="496"/>
      <c r="L200" s="496">
        <f ca="1">IFERROR(__xludf.DUMMYFUNCTION("IMPORTRANGE(""https://docs.google.com/spreadsheets/d/1QqKyyYR6Q21VydFLVH3TRQUabQu_ym0Zz7PgGX0-kHA/edit?usp=sharing"",""แผน!AF61"")"),8000)</f>
        <v>8000</v>
      </c>
      <c r="M200" s="496"/>
      <c r="N200" s="817">
        <v>0</v>
      </c>
      <c r="O200" s="496"/>
      <c r="P200" s="496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>
      <c r="A201" s="284"/>
      <c r="B201" s="280"/>
      <c r="C201" s="210"/>
      <c r="D201" s="281" t="s">
        <v>99</v>
      </c>
      <c r="E201" s="33"/>
      <c r="F201" s="33"/>
      <c r="G201" s="35"/>
      <c r="H201" s="616" t="s">
        <v>12</v>
      </c>
      <c r="I201" s="269"/>
      <c r="J201" s="269"/>
      <c r="K201" s="496"/>
      <c r="L201" s="496">
        <f ca="1">IFERROR(__xludf.DUMMYFUNCTION("IMPORTRANGE(""https://docs.google.com/spreadsheets/d/1QqKyyYR6Q21VydFLVH3TRQUabQu_ym0Zz7PgGX0-kHA/edit?usp=sharing"",""แผน!AG61"")"),4000)</f>
        <v>4000</v>
      </c>
      <c r="M201" s="496"/>
      <c r="N201" s="817">
        <v>0</v>
      </c>
      <c r="O201" s="496"/>
      <c r="P201" s="496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>
      <c r="A202" s="284"/>
      <c r="B202" s="280"/>
      <c r="C202" s="210"/>
      <c r="D202" s="281" t="s">
        <v>100</v>
      </c>
      <c r="E202" s="33"/>
      <c r="F202" s="33"/>
      <c r="G202" s="35"/>
      <c r="H202" s="616" t="s">
        <v>12</v>
      </c>
      <c r="I202" s="269"/>
      <c r="J202" s="269"/>
      <c r="K202" s="496"/>
      <c r="L202" s="496">
        <f ca="1">IFERROR(__xludf.DUMMYFUNCTION("IMPORTRANGE(""https://docs.google.com/spreadsheets/d/1QqKyyYR6Q21VydFLVH3TRQUabQu_ym0Zz7PgGX0-kHA/edit?usp=sharing"",""แผน!AH61"")"),0)</f>
        <v>0</v>
      </c>
      <c r="M202" s="496"/>
      <c r="N202" s="817">
        <v>0</v>
      </c>
      <c r="O202" s="496"/>
      <c r="P202" s="496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>
      <c r="A203" s="170"/>
      <c r="B203" s="171"/>
      <c r="C203" s="210" t="s">
        <v>16</v>
      </c>
      <c r="D203" s="823" t="s">
        <v>38</v>
      </c>
      <c r="E203" s="173"/>
      <c r="F203" s="173"/>
      <c r="G203" s="174"/>
      <c r="H203" s="753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53" t="s">
        <v>96</v>
      </c>
      <c r="I204" s="269">
        <f ca="1">IFERROR(__xludf.DUMMYFUNCTION("IMPORTRANGE(""https://docs.google.com/spreadsheets/d/1QqKyyYR6Q21VydFLVH3TRQUabQu_ym0Zz7PgGX0-kHA/edit?usp=sharing"",""แผน!AI61"")"),1)</f>
        <v>1</v>
      </c>
      <c r="J204" s="214">
        <v>0</v>
      </c>
      <c r="K204" s="163">
        <f ca="1">IF(I204&gt;0,J204*100/I204,0)</f>
        <v>0</v>
      </c>
      <c r="L204" s="496"/>
      <c r="M204" s="496"/>
      <c r="N204" s="496"/>
      <c r="O204" s="496"/>
      <c r="P204" s="496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6" t="s">
        <v>59</v>
      </c>
      <c r="E205" s="178"/>
      <c r="F205" s="178"/>
      <c r="G205" s="179"/>
      <c r="H205" s="753"/>
      <c r="I205" s="269"/>
      <c r="J205" s="269"/>
      <c r="K205" s="163"/>
      <c r="L205" s="496"/>
      <c r="M205" s="496"/>
      <c r="N205" s="496"/>
      <c r="O205" s="496"/>
      <c r="P205" s="496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25" t="s">
        <v>102</v>
      </c>
      <c r="F206" s="287"/>
      <c r="G206" s="288"/>
      <c r="H206" s="289" t="s">
        <v>96</v>
      </c>
      <c r="I206" s="269">
        <v>1</v>
      </c>
      <c r="J206" s="214">
        <v>0</v>
      </c>
      <c r="K206" s="163">
        <f t="shared" ref="K206:K208" si="100">IF(I206&gt;0,J206*100/I206,0)</f>
        <v>0</v>
      </c>
      <c r="L206" s="496"/>
      <c r="M206" s="496"/>
      <c r="N206" s="496"/>
      <c r="O206" s="496"/>
      <c r="P206" s="496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6"/>
      <c r="E207" s="446" t="s">
        <v>103</v>
      </c>
      <c r="F207" s="178"/>
      <c r="G207" s="178"/>
      <c r="H207" s="290" t="s">
        <v>104</v>
      </c>
      <c r="I207" s="269">
        <v>0</v>
      </c>
      <c r="J207" s="214">
        <v>0</v>
      </c>
      <c r="K207" s="163">
        <f t="shared" si="100"/>
        <v>0</v>
      </c>
      <c r="L207" s="496"/>
      <c r="M207" s="496"/>
      <c r="N207" s="496"/>
      <c r="O207" s="496"/>
      <c r="P207" s="496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 hidden="1">
      <c r="A208" s="255"/>
      <c r="B208" s="263"/>
      <c r="C208" s="270" t="s">
        <v>105</v>
      </c>
      <c r="D208" s="256"/>
      <c r="E208" s="256"/>
      <c r="F208" s="291"/>
      <c r="G208" s="258"/>
      <c r="H208" s="277" t="s">
        <v>96</v>
      </c>
      <c r="I208" s="271">
        <f t="shared" ref="I208:J208" ca="1" si="101">I215</f>
        <v>0</v>
      </c>
      <c r="J208" s="271">
        <f t="shared" si="101"/>
        <v>0</v>
      </c>
      <c r="K208" s="272">
        <f t="shared" ca="1" si="100"/>
        <v>0</v>
      </c>
      <c r="L208" s="261"/>
      <c r="M208" s="261"/>
      <c r="N208" s="261"/>
      <c r="O208" s="261"/>
      <c r="P208" s="261"/>
    </row>
    <row r="209" spans="1:26" ht="19.5" hidden="1">
      <c r="A209" s="147"/>
      <c r="B209" s="148"/>
      <c r="C209" s="149" t="s">
        <v>16</v>
      </c>
      <c r="D209" s="826" t="s">
        <v>17</v>
      </c>
      <c r="E209" s="148"/>
      <c r="F209" s="148"/>
      <c r="G209" s="151"/>
      <c r="H209" s="274" t="s">
        <v>12</v>
      </c>
      <c r="I209" s="418"/>
      <c r="J209" s="418"/>
      <c r="K209" s="279"/>
      <c r="L209" s="155">
        <f ca="1">L210+L211+L212</f>
        <v>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 hidden="1">
      <c r="A210" s="159"/>
      <c r="B210" s="280"/>
      <c r="C210" s="33"/>
      <c r="D210" s="281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6">
        <f ca="1">IFERROR(__xludf.DUMMYFUNCTION("IMPORTRANGE(""https://docs.google.com/spreadsheets/d/1QqKyyYR6Q21VydFLVH3TRQUabQu_ym0Zz7PgGX0-kHA/edit?usp=sharing"",""แผน!AK61"")"),0)</f>
        <v>0</v>
      </c>
      <c r="M210" s="496"/>
      <c r="N210" s="817">
        <v>0</v>
      </c>
      <c r="O210" s="496"/>
      <c r="P210" s="496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 hidden="1">
      <c r="A211" s="284"/>
      <c r="B211" s="280"/>
      <c r="C211" s="292"/>
      <c r="D211" s="281" t="s">
        <v>99</v>
      </c>
      <c r="E211" s="33"/>
      <c r="F211" s="33"/>
      <c r="G211" s="35"/>
      <c r="H211" s="161" t="s">
        <v>12</v>
      </c>
      <c r="I211" s="269"/>
      <c r="J211" s="269"/>
      <c r="K211" s="496"/>
      <c r="L211" s="496">
        <f ca="1">IFERROR(__xludf.DUMMYFUNCTION("IMPORTRANGE(""https://docs.google.com/spreadsheets/d/1QqKyyYR6Q21VydFLVH3TRQUabQu_ym0Zz7PgGX0-kHA/edit?usp=sharing"",""แผน!AL61"")"),0)</f>
        <v>0</v>
      </c>
      <c r="M211" s="496"/>
      <c r="N211" s="817">
        <v>0</v>
      </c>
      <c r="O211" s="496"/>
      <c r="P211" s="496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 hidden="1">
      <c r="A212" s="284"/>
      <c r="B212" s="280"/>
      <c r="C212" s="292"/>
      <c r="D212" s="281" t="s">
        <v>98</v>
      </c>
      <c r="E212" s="33"/>
      <c r="F212" s="33"/>
      <c r="G212" s="35"/>
      <c r="H212" s="161" t="s">
        <v>12</v>
      </c>
      <c r="I212" s="269"/>
      <c r="J212" s="269"/>
      <c r="K212" s="496"/>
      <c r="L212" s="496">
        <f ca="1">IFERROR(__xludf.DUMMYFUNCTION("IMPORTRANGE(""https://docs.google.com/spreadsheets/d/1QqKyyYR6Q21VydFLVH3TRQUabQu_ym0Zz7PgGX0-kHA/edit?usp=sharing"",""แผน!AM61"")"),0)</f>
        <v>0</v>
      </c>
      <c r="M212" s="496"/>
      <c r="N212" s="817">
        <v>0</v>
      </c>
      <c r="O212" s="496"/>
      <c r="P212" s="496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 hidden="1">
      <c r="A213" s="170"/>
      <c r="B213" s="171"/>
      <c r="C213" s="292" t="s">
        <v>16</v>
      </c>
      <c r="D213" s="823" t="s">
        <v>38</v>
      </c>
      <c r="E213" s="173"/>
      <c r="F213" s="173"/>
      <c r="G213" s="174"/>
      <c r="H213" s="753"/>
      <c r="I213" s="184"/>
      <c r="J213" s="269"/>
      <c r="K213" s="496"/>
      <c r="L213" s="496"/>
      <c r="M213" s="496"/>
      <c r="N213" s="496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 hidden="1">
      <c r="A214" s="170"/>
      <c r="B214" s="171"/>
      <c r="C214" s="171"/>
      <c r="D214" s="176" t="s">
        <v>106</v>
      </c>
      <c r="E214" s="178"/>
      <c r="F214" s="178"/>
      <c r="G214" s="179"/>
      <c r="H214" s="753" t="s">
        <v>96</v>
      </c>
      <c r="I214" s="269">
        <f ca="1">IFERROR(__xludf.DUMMYFUNCTION("IMPORTRANGE(""https://docs.google.com/spreadsheets/d/1QqKyyYR6Q21VydFLVH3TRQUabQu_ym0Zz7PgGX0-kHA/edit?usp=sharing"",""แผน!AN61"")"),0)</f>
        <v>0</v>
      </c>
      <c r="J214" s="214">
        <v>0</v>
      </c>
      <c r="K214" s="496">
        <f t="shared" ref="K214:K216" ca="1" si="102">IF(I214&gt;0,J214*100/I214,0)</f>
        <v>0</v>
      </c>
      <c r="L214" s="496"/>
      <c r="M214" s="496"/>
      <c r="N214" s="496"/>
      <c r="O214" s="496"/>
      <c r="P214" s="496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 hidden="1">
      <c r="A215" s="170"/>
      <c r="B215" s="171"/>
      <c r="C215" s="171"/>
      <c r="D215" s="176" t="s">
        <v>107</v>
      </c>
      <c r="E215" s="178"/>
      <c r="F215" s="178"/>
      <c r="G215" s="179"/>
      <c r="H215" s="753" t="s">
        <v>96</v>
      </c>
      <c r="I215" s="269">
        <f ca="1">IFERROR(__xludf.DUMMYFUNCTION("IMPORTRANGE(""https://docs.google.com/spreadsheets/d/1QqKyyYR6Q21VydFLVH3TRQUabQu_ym0Zz7PgGX0-kHA/edit?usp=sharing"",""แผน!AN61"")"),0)</f>
        <v>0</v>
      </c>
      <c r="J215" s="214">
        <v>0</v>
      </c>
      <c r="K215" s="496">
        <f t="shared" ca="1" si="102"/>
        <v>0</v>
      </c>
      <c r="L215" s="496"/>
      <c r="M215" s="496"/>
      <c r="N215" s="496"/>
      <c r="O215" s="496"/>
      <c r="P215" s="496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5"/>
      <c r="B216" s="263"/>
      <c r="C216" s="270" t="s">
        <v>108</v>
      </c>
      <c r="D216" s="256"/>
      <c r="E216" s="256"/>
      <c r="F216" s="291"/>
      <c r="G216" s="258"/>
      <c r="H216" s="259" t="s">
        <v>109</v>
      </c>
      <c r="I216" s="271">
        <f t="shared" ref="I216:J216" ca="1" si="103">I224</f>
        <v>20000</v>
      </c>
      <c r="J216" s="271">
        <f t="shared" si="103"/>
        <v>0</v>
      </c>
      <c r="K216" s="272">
        <f t="shared" ca="1" si="102"/>
        <v>0</v>
      </c>
      <c r="L216" s="261"/>
      <c r="M216" s="261"/>
      <c r="N216" s="261"/>
      <c r="O216" s="261"/>
      <c r="P216" s="261"/>
    </row>
    <row r="217" spans="1:26" ht="19.5">
      <c r="A217" s="147"/>
      <c r="B217" s="148"/>
      <c r="C217" s="149" t="s">
        <v>16</v>
      </c>
      <c r="D217" s="826" t="s">
        <v>17</v>
      </c>
      <c r="E217" s="148"/>
      <c r="F217" s="148"/>
      <c r="G217" s="151"/>
      <c r="H217" s="274" t="s">
        <v>12</v>
      </c>
      <c r="I217" s="418"/>
      <c r="J217" s="418"/>
      <c r="K217" s="279"/>
      <c r="L217" s="155">
        <f ca="1">L218+L219+L220</f>
        <v>8000</v>
      </c>
      <c r="M217" s="155"/>
      <c r="N217" s="155">
        <f>N218+N219+N220</f>
        <v>0</v>
      </c>
      <c r="O217" s="155">
        <f ca="1">IF(L217&gt;0,N217*100/L217,0)</f>
        <v>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0"/>
      <c r="C218" s="33"/>
      <c r="D218" s="281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6">
        <f ca="1">IFERROR(__xludf.DUMMYFUNCTION("IMPORTRANGE(""https://docs.google.com/spreadsheets/d/1QqKyyYR6Q21VydFLVH3TRQUabQu_ym0Zz7PgGX0-kHA/edit?usp=sharing"",""แผน!AP61"")"),3000)</f>
        <v>3000</v>
      </c>
      <c r="M218" s="496"/>
      <c r="N218" s="817">
        <v>0</v>
      </c>
      <c r="O218" s="496"/>
      <c r="P218" s="496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4"/>
      <c r="B219" s="280"/>
      <c r="C219" s="292"/>
      <c r="D219" s="281" t="s">
        <v>110</v>
      </c>
      <c r="E219" s="33"/>
      <c r="F219" s="33"/>
      <c r="G219" s="35"/>
      <c r="H219" s="161" t="s">
        <v>12</v>
      </c>
      <c r="I219" s="269"/>
      <c r="J219" s="269"/>
      <c r="K219" s="496"/>
      <c r="L219" s="496">
        <f ca="1">IFERROR(__xludf.DUMMYFUNCTION("IMPORTRANGE(""https://docs.google.com/spreadsheets/d/1QqKyyYR6Q21VydFLVH3TRQUabQu_ym0Zz7PgGX0-kHA/edit?usp=sharing"",""แผน!AQ61"")"),5000)</f>
        <v>5000</v>
      </c>
      <c r="M219" s="496"/>
      <c r="N219" s="817">
        <v>0</v>
      </c>
      <c r="O219" s="496"/>
      <c r="P219" s="496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0"/>
      <c r="C220" s="292"/>
      <c r="D220" s="281" t="s">
        <v>98</v>
      </c>
      <c r="E220" s="33"/>
      <c r="F220" s="33"/>
      <c r="G220" s="35"/>
      <c r="H220" s="161" t="s">
        <v>12</v>
      </c>
      <c r="I220" s="269"/>
      <c r="J220" s="269"/>
      <c r="K220" s="496"/>
      <c r="L220" s="496">
        <f ca="1">IFERROR(__xludf.DUMMYFUNCTION("IMPORTRANGE(""https://docs.google.com/spreadsheets/d/1QqKyyYR6Q21VydFLVH3TRQUabQu_ym0Zz7PgGX0-kHA/edit?usp=sharing"",""แผน!AR61"")"),0)</f>
        <v>0</v>
      </c>
      <c r="M220" s="496"/>
      <c r="N220" s="817">
        <v>0</v>
      </c>
      <c r="O220" s="496"/>
      <c r="P220" s="496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70"/>
      <c r="B221" s="171"/>
      <c r="C221" s="292" t="s">
        <v>16</v>
      </c>
      <c r="D221" s="823" t="s">
        <v>38</v>
      </c>
      <c r="E221" s="173"/>
      <c r="F221" s="173"/>
      <c r="G221" s="174"/>
      <c r="H221" s="753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1" t="s">
        <v>111</v>
      </c>
      <c r="E222" s="178"/>
      <c r="F222" s="178"/>
      <c r="G222" s="179"/>
      <c r="H222" s="753"/>
      <c r="I222" s="269"/>
      <c r="J222" s="269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55" t="s">
        <v>109</v>
      </c>
      <c r="I223" s="269">
        <f ca="1">IFERROR(__xludf.DUMMYFUNCTION("IMPORTRANGE(""https://docs.google.com/spreadsheets/d/1QqKyyYR6Q21VydFLVH3TRQUabQu_ym0Zz7PgGX0-kHA/edit?usp=sharing"",""แผน!AT61"")"),20000)</f>
        <v>20000</v>
      </c>
      <c r="J223" s="214">
        <v>0</v>
      </c>
      <c r="K223" s="163">
        <f t="shared" ref="K223:K226" ca="1" si="104">IF(I223&gt;0,J223*100/I223,0)</f>
        <v>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55" t="s">
        <v>109</v>
      </c>
      <c r="I224" s="269">
        <f ca="1">IFERROR(__xludf.DUMMYFUNCTION("IMPORTRANGE(""https://docs.google.com/spreadsheets/d/1QqKyyYR6Q21VydFLVH3TRQUabQu_ym0Zz7PgGX0-kHA/edit?usp=sharing"",""แผน!AT61"")"),20000)</f>
        <v>20000</v>
      </c>
      <c r="J224" s="214">
        <v>0</v>
      </c>
      <c r="K224" s="163">
        <f t="shared" ca="1" si="104"/>
        <v>0</v>
      </c>
      <c r="L224" s="496"/>
      <c r="M224" s="496"/>
      <c r="N224" s="496"/>
      <c r="O224" s="496"/>
      <c r="P224" s="496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1" t="s">
        <v>114</v>
      </c>
      <c r="E225" s="178"/>
      <c r="F225" s="178"/>
      <c r="G225" s="179"/>
      <c r="H225" s="755" t="s">
        <v>35</v>
      </c>
      <c r="I225" s="269">
        <f ca="1">IFERROR(__xludf.DUMMYFUNCTION("IMPORTRANGE(""https://docs.google.com/spreadsheets/d/1QqKyyYR6Q21VydFLVH3TRQUabQu_ym0Zz7PgGX0-kHA/edit?usp=sharing"",""แผน!AS61"")"),0)</f>
        <v>0</v>
      </c>
      <c r="J225" s="214">
        <v>0</v>
      </c>
      <c r="K225" s="163">
        <f t="shared" ca="1" si="104"/>
        <v>0</v>
      </c>
      <c r="L225" s="496"/>
      <c r="M225" s="496"/>
      <c r="N225" s="496"/>
      <c r="O225" s="496"/>
      <c r="P225" s="496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5"/>
      <c r="B226" s="263"/>
      <c r="C226" s="341" t="s">
        <v>115</v>
      </c>
      <c r="D226" s="256"/>
      <c r="E226" s="256"/>
      <c r="F226" s="256"/>
      <c r="G226" s="258"/>
      <c r="H226" s="265" t="s">
        <v>35</v>
      </c>
      <c r="I226" s="344">
        <f t="shared" ref="I226:J226" ca="1" si="105">I237+I248</f>
        <v>30</v>
      </c>
      <c r="J226" s="344">
        <f t="shared" si="105"/>
        <v>30</v>
      </c>
      <c r="K226" s="345">
        <f t="shared" ca="1" si="104"/>
        <v>100</v>
      </c>
      <c r="L226" s="261"/>
      <c r="M226" s="261"/>
      <c r="N226" s="261"/>
      <c r="O226" s="261"/>
      <c r="P226" s="261"/>
    </row>
    <row r="227" spans="1:26" ht="19.5" hidden="1">
      <c r="A227" s="347"/>
      <c r="B227" s="348"/>
      <c r="C227" s="349" t="s">
        <v>16</v>
      </c>
      <c r="D227" s="827" t="s">
        <v>17</v>
      </c>
      <c r="E227" s="348"/>
      <c r="F227" s="348"/>
      <c r="G227" s="351"/>
      <c r="H227" s="352" t="s">
        <v>12</v>
      </c>
      <c r="I227" s="353"/>
      <c r="J227" s="353"/>
      <c r="K227" s="354"/>
      <c r="L227" s="355">
        <f t="shared" ref="L227:L231" ca="1" si="106">L238+L249</f>
        <v>220900</v>
      </c>
      <c r="M227" s="355"/>
      <c r="N227" s="355">
        <f t="shared" ref="N227:N231" si="107">N238+N249</f>
        <v>53643.33</v>
      </c>
      <c r="O227" s="828"/>
      <c r="P227" s="828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6"/>
      <c r="C228" s="40"/>
      <c r="D228" s="222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163000</v>
      </c>
      <c r="M228" s="93"/>
      <c r="N228" s="93">
        <f t="shared" si="107"/>
        <v>26133.33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8"/>
      <c r="B229" s="356"/>
      <c r="C229" s="359"/>
      <c r="D229" s="222" t="s">
        <v>98</v>
      </c>
      <c r="E229" s="40"/>
      <c r="F229" s="40"/>
      <c r="G229" s="42"/>
      <c r="H229" s="165" t="s">
        <v>12</v>
      </c>
      <c r="I229" s="610"/>
      <c r="J229" s="610"/>
      <c r="K229" s="93"/>
      <c r="L229" s="93">
        <f t="shared" ca="1" si="106"/>
        <v>32900</v>
      </c>
      <c r="M229" s="93"/>
      <c r="N229" s="93">
        <f t="shared" si="107"/>
        <v>27510</v>
      </c>
      <c r="O229" s="93"/>
      <c r="P229" s="93"/>
      <c r="Q229" s="360"/>
      <c r="R229" s="360"/>
      <c r="S229" s="360"/>
      <c r="T229" s="360"/>
      <c r="U229" s="360"/>
      <c r="V229" s="360"/>
      <c r="W229" s="360"/>
      <c r="X229" s="360"/>
      <c r="Y229" s="360"/>
      <c r="Z229" s="360"/>
    </row>
    <row r="230" spans="1:26" ht="19.5" hidden="1">
      <c r="A230" s="358"/>
      <c r="B230" s="356"/>
      <c r="C230" s="359"/>
      <c r="D230" s="222" t="s">
        <v>116</v>
      </c>
      <c r="E230" s="40"/>
      <c r="F230" s="40"/>
      <c r="G230" s="42"/>
      <c r="H230" s="165" t="s">
        <v>12</v>
      </c>
      <c r="I230" s="610"/>
      <c r="J230" s="610"/>
      <c r="K230" s="93"/>
      <c r="L230" s="93">
        <f t="shared" ca="1" si="106"/>
        <v>15000</v>
      </c>
      <c r="M230" s="93"/>
      <c r="N230" s="93">
        <f t="shared" si="107"/>
        <v>0</v>
      </c>
      <c r="O230" s="93"/>
      <c r="P230" s="93"/>
      <c r="Q230" s="360"/>
      <c r="R230" s="360"/>
      <c r="S230" s="360"/>
      <c r="T230" s="360"/>
      <c r="U230" s="360"/>
      <c r="V230" s="360"/>
      <c r="W230" s="360"/>
      <c r="X230" s="360"/>
      <c r="Y230" s="360"/>
      <c r="Z230" s="360"/>
    </row>
    <row r="231" spans="1:26" ht="19.5" hidden="1">
      <c r="A231" s="358"/>
      <c r="B231" s="356"/>
      <c r="C231" s="359"/>
      <c r="D231" s="222" t="s">
        <v>100</v>
      </c>
      <c r="E231" s="40"/>
      <c r="F231" s="40"/>
      <c r="G231" s="42"/>
      <c r="H231" s="165" t="s">
        <v>12</v>
      </c>
      <c r="I231" s="610"/>
      <c r="J231" s="610"/>
      <c r="K231" s="93"/>
      <c r="L231" s="93">
        <f t="shared" ca="1" si="106"/>
        <v>10000</v>
      </c>
      <c r="M231" s="93"/>
      <c r="N231" s="93">
        <f t="shared" si="107"/>
        <v>0</v>
      </c>
      <c r="O231" s="93"/>
      <c r="P231" s="93"/>
      <c r="Q231" s="360"/>
      <c r="R231" s="360"/>
      <c r="S231" s="360"/>
      <c r="T231" s="360"/>
      <c r="U231" s="360"/>
      <c r="V231" s="360"/>
      <c r="W231" s="360"/>
      <c r="X231" s="360"/>
      <c r="Y231" s="360"/>
      <c r="Z231" s="360"/>
    </row>
    <row r="232" spans="1:26" ht="19.5" hidden="1">
      <c r="A232" s="361"/>
      <c r="B232" s="362"/>
      <c r="C232" s="359" t="s">
        <v>16</v>
      </c>
      <c r="D232" s="266" t="s">
        <v>38</v>
      </c>
      <c r="E232" s="363"/>
      <c r="F232" s="363"/>
      <c r="G232" s="364"/>
      <c r="H232" s="365"/>
      <c r="I232" s="166"/>
      <c r="J232" s="610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1"/>
      <c r="B233" s="362"/>
      <c r="C233" s="362"/>
      <c r="D233" s="366" t="s">
        <v>117</v>
      </c>
      <c r="E233" s="372"/>
      <c r="F233" s="372"/>
      <c r="G233" s="368"/>
      <c r="H233" s="369" t="s">
        <v>35</v>
      </c>
      <c r="I233" s="610">
        <f t="shared" ref="I233:J233" ca="1" si="108">I244+I255</f>
        <v>30</v>
      </c>
      <c r="J233" s="610">
        <f t="shared" si="108"/>
        <v>30</v>
      </c>
      <c r="K233" s="93">
        <f ca="1">IF(I233&gt;0,J233*100/I233,0)</f>
        <v>100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1"/>
      <c r="B234" s="362"/>
      <c r="C234" s="362"/>
      <c r="D234" s="371" t="s">
        <v>43</v>
      </c>
      <c r="E234" s="372"/>
      <c r="F234" s="372"/>
      <c r="G234" s="368"/>
      <c r="H234" s="369"/>
      <c r="I234" s="610"/>
      <c r="J234" s="610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1"/>
      <c r="B235" s="362"/>
      <c r="C235" s="362"/>
      <c r="D235" s="362"/>
      <c r="E235" s="373" t="s">
        <v>118</v>
      </c>
      <c r="F235" s="372"/>
      <c r="G235" s="368"/>
      <c r="H235" s="369" t="s">
        <v>35</v>
      </c>
      <c r="I235" s="610">
        <f t="shared" ref="I235:J236" si="109">I246+I257</f>
        <v>30</v>
      </c>
      <c r="J235" s="610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1"/>
      <c r="B236" s="362"/>
      <c r="C236" s="362"/>
      <c r="D236" s="362"/>
      <c r="E236" s="373" t="s">
        <v>119</v>
      </c>
      <c r="F236" s="372"/>
      <c r="G236" s="368"/>
      <c r="H236" s="369" t="s">
        <v>69</v>
      </c>
      <c r="I236" s="610">
        <f t="shared" si="109"/>
        <v>1</v>
      </c>
      <c r="J236" s="610">
        <f t="shared" si="109"/>
        <v>0</v>
      </c>
      <c r="K236" s="93">
        <f t="shared" si="110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>
      <c r="A237" s="255"/>
      <c r="B237" s="263"/>
      <c r="C237" s="270" t="s">
        <v>341</v>
      </c>
      <c r="D237" s="256"/>
      <c r="E237" s="256"/>
      <c r="F237" s="256"/>
      <c r="G237" s="258"/>
      <c r="H237" s="259" t="s">
        <v>35</v>
      </c>
      <c r="I237" s="271">
        <f t="shared" ref="I237:J237" ca="1" si="111">I244</f>
        <v>30</v>
      </c>
      <c r="J237" s="271">
        <f t="shared" si="111"/>
        <v>30</v>
      </c>
      <c r="K237" s="272">
        <f t="shared" ca="1" si="110"/>
        <v>100</v>
      </c>
      <c r="L237" s="261"/>
      <c r="M237" s="261"/>
      <c r="N237" s="261"/>
      <c r="O237" s="261"/>
      <c r="P237" s="261"/>
    </row>
    <row r="238" spans="1:26" ht="19.5">
      <c r="A238" s="147"/>
      <c r="B238" s="148"/>
      <c r="C238" s="149" t="s">
        <v>16</v>
      </c>
      <c r="D238" s="822" t="s">
        <v>17</v>
      </c>
      <c r="E238" s="148"/>
      <c r="F238" s="148"/>
      <c r="G238" s="151"/>
      <c r="H238" s="274" t="s">
        <v>12</v>
      </c>
      <c r="I238" s="418"/>
      <c r="J238" s="418"/>
      <c r="K238" s="279"/>
      <c r="L238" s="155">
        <f ca="1">L239+L240+L241+L242</f>
        <v>220900</v>
      </c>
      <c r="M238" s="155"/>
      <c r="N238" s="155">
        <f>N239+N240+N241+N242</f>
        <v>53643.33</v>
      </c>
      <c r="O238" s="155">
        <f ca="1">IF(L238&gt;0,N238*100/L238,0)</f>
        <v>24.283988229968312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>
      <c r="A239" s="314"/>
      <c r="B239" s="315"/>
      <c r="C239" s="316"/>
      <c r="D239" s="324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282">
        <f ca="1">IFERROR(__xludf.DUMMYFUNCTION("IMPORTRANGE(""https://docs.google.com/spreadsheets/d/1QqKyyYR6Q21VydFLVH3TRQUabQu_ym0Zz7PgGX0-kHA/edit?usp=sharing"",""แผน!AV61"")"),163000)</f>
        <v>163000</v>
      </c>
      <c r="M239" s="282"/>
      <c r="N239" s="829">
        <v>26133.33</v>
      </c>
      <c r="O239" s="282"/>
      <c r="P239" s="28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>
      <c r="A240" s="322"/>
      <c r="B240" s="315"/>
      <c r="C240" s="323"/>
      <c r="D240" s="324" t="s">
        <v>98</v>
      </c>
      <c r="E240" s="316"/>
      <c r="F240" s="316"/>
      <c r="G240" s="318"/>
      <c r="H240" s="319" t="s">
        <v>12</v>
      </c>
      <c r="I240" s="325"/>
      <c r="J240" s="325"/>
      <c r="K240" s="282"/>
      <c r="L240" s="282">
        <f ca="1">IFERROR(__xludf.DUMMYFUNCTION("IMPORTRANGE(""https://docs.google.com/spreadsheets/d/1QqKyyYR6Q21VydFLVH3TRQUabQu_ym0Zz7PgGX0-kHA/edit?usp=sharing"",""แผน!AW61"")"),32900)</f>
        <v>32900</v>
      </c>
      <c r="M240" s="282"/>
      <c r="N240" s="829">
        <v>27510</v>
      </c>
      <c r="O240" s="282"/>
      <c r="P240" s="282"/>
      <c r="Q240" s="326"/>
      <c r="R240" s="326"/>
      <c r="S240" s="326"/>
      <c r="T240" s="326"/>
      <c r="U240" s="326"/>
      <c r="V240" s="326"/>
      <c r="W240" s="326"/>
      <c r="X240" s="326"/>
      <c r="Y240" s="326"/>
      <c r="Z240" s="326"/>
    </row>
    <row r="241" spans="1:26" ht="19.5">
      <c r="A241" s="322"/>
      <c r="B241" s="315"/>
      <c r="C241" s="323"/>
      <c r="D241" s="324" t="s">
        <v>116</v>
      </c>
      <c r="E241" s="316"/>
      <c r="F241" s="316"/>
      <c r="G241" s="318"/>
      <c r="H241" s="319" t="s">
        <v>12</v>
      </c>
      <c r="I241" s="325"/>
      <c r="J241" s="325"/>
      <c r="K241" s="282"/>
      <c r="L241" s="282">
        <f ca="1">IFERROR(__xludf.DUMMYFUNCTION("IMPORTRANGE(""https://docs.google.com/spreadsheets/d/1QqKyyYR6Q21VydFLVH3TRQUabQu_ym0Zz7PgGX0-kHA/edit?usp=sharing"",""แผน!AX61"")"),15000)</f>
        <v>15000</v>
      </c>
      <c r="M241" s="282"/>
      <c r="N241" s="829">
        <v>0</v>
      </c>
      <c r="O241" s="282"/>
      <c r="P241" s="282"/>
      <c r="Q241" s="326"/>
      <c r="R241" s="326"/>
      <c r="S241" s="326"/>
      <c r="T241" s="326"/>
      <c r="U241" s="326"/>
      <c r="V241" s="326"/>
      <c r="W241" s="326"/>
      <c r="X241" s="326"/>
      <c r="Y241" s="326"/>
      <c r="Z241" s="326"/>
    </row>
    <row r="242" spans="1:26" ht="19.5">
      <c r="A242" s="322"/>
      <c r="B242" s="315"/>
      <c r="C242" s="323"/>
      <c r="D242" s="324" t="s">
        <v>100</v>
      </c>
      <c r="E242" s="316"/>
      <c r="F242" s="316"/>
      <c r="G242" s="318"/>
      <c r="H242" s="319" t="s">
        <v>12</v>
      </c>
      <c r="I242" s="325"/>
      <c r="J242" s="325"/>
      <c r="K242" s="282"/>
      <c r="L242" s="282">
        <f ca="1">IFERROR(__xludf.DUMMYFUNCTION("IMPORTRANGE(""https://docs.google.com/spreadsheets/d/1QqKyyYR6Q21VydFLVH3TRQUabQu_ym0Zz7PgGX0-kHA/edit?usp=sharing"",""แผน!AY61"")"),10000)</f>
        <v>10000</v>
      </c>
      <c r="M242" s="282"/>
      <c r="N242" s="829">
        <v>0</v>
      </c>
      <c r="O242" s="282"/>
      <c r="P242" s="282"/>
      <c r="Q242" s="326"/>
      <c r="R242" s="326"/>
      <c r="S242" s="326"/>
      <c r="T242" s="326"/>
      <c r="U242" s="326"/>
      <c r="V242" s="326"/>
      <c r="W242" s="326"/>
      <c r="X242" s="326"/>
      <c r="Y242" s="326"/>
      <c r="Z242" s="326"/>
    </row>
    <row r="243" spans="1:26" ht="19.5">
      <c r="A243" s="170"/>
      <c r="B243" s="171"/>
      <c r="C243" s="292" t="s">
        <v>16</v>
      </c>
      <c r="D243" s="823" t="s">
        <v>38</v>
      </c>
      <c r="E243" s="173"/>
      <c r="F243" s="173"/>
      <c r="G243" s="174"/>
      <c r="H243" s="753"/>
      <c r="I243" s="184"/>
      <c r="J243" s="269"/>
      <c r="K243" s="496"/>
      <c r="L243" s="496"/>
      <c r="M243" s="496"/>
      <c r="N243" s="496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>
      <c r="A244" s="170"/>
      <c r="B244" s="171"/>
      <c r="C244" s="171"/>
      <c r="D244" s="446" t="s">
        <v>117</v>
      </c>
      <c r="E244" s="178"/>
      <c r="F244" s="178"/>
      <c r="G244" s="179"/>
      <c r="H244" s="755" t="s">
        <v>35</v>
      </c>
      <c r="I244" s="269">
        <f ca="1">IFERROR(__xludf.DUMMYFUNCTION("IMPORTRANGE(""https://docs.google.com/spreadsheets/d/1QqKyyYR6Q21VydFLVH3TRQUabQu_ym0Zz7PgGX0-kHA/edit?usp=sharing"",""แผน!BE61"")"),30)</f>
        <v>30</v>
      </c>
      <c r="J244" s="214">
        <v>30</v>
      </c>
      <c r="K244" s="496">
        <f ca="1">IF(I244&gt;0,J244*100/I244,0)</f>
        <v>100</v>
      </c>
      <c r="L244" s="496"/>
      <c r="M244" s="496"/>
      <c r="N244" s="496"/>
      <c r="O244" s="496"/>
      <c r="P244" s="496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>
      <c r="A245" s="170"/>
      <c r="B245" s="171"/>
      <c r="C245" s="171"/>
      <c r="D245" s="830" t="s">
        <v>43</v>
      </c>
      <c r="E245" s="178"/>
      <c r="F245" s="178"/>
      <c r="G245" s="179"/>
      <c r="H245" s="755"/>
      <c r="I245" s="269"/>
      <c r="J245" s="269"/>
      <c r="K245" s="496"/>
      <c r="L245" s="496"/>
      <c r="M245" s="496"/>
      <c r="N245" s="496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>
      <c r="A246" s="170"/>
      <c r="B246" s="171"/>
      <c r="C246" s="171"/>
      <c r="D246" s="171"/>
      <c r="E246" s="176" t="s">
        <v>118</v>
      </c>
      <c r="F246" s="178"/>
      <c r="G246" s="179"/>
      <c r="H246" s="755" t="s">
        <v>35</v>
      </c>
      <c r="I246" s="269">
        <v>30</v>
      </c>
      <c r="J246" s="214">
        <v>0</v>
      </c>
      <c r="K246" s="496">
        <f t="shared" ref="K246:K248" si="112">IF(I246&gt;0,J246*100/I246,0)</f>
        <v>0</v>
      </c>
      <c r="L246" s="496"/>
      <c r="M246" s="496"/>
      <c r="N246" s="496"/>
      <c r="O246" s="496"/>
      <c r="P246" s="496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>
      <c r="A247" s="170"/>
      <c r="B247" s="171"/>
      <c r="C247" s="171"/>
      <c r="D247" s="171"/>
      <c r="E247" s="176" t="s">
        <v>119</v>
      </c>
      <c r="F247" s="178"/>
      <c r="G247" s="179"/>
      <c r="H247" s="755" t="s">
        <v>69</v>
      </c>
      <c r="I247" s="269">
        <v>1</v>
      </c>
      <c r="J247" s="214">
        <v>0</v>
      </c>
      <c r="K247" s="496">
        <f t="shared" si="112"/>
        <v>0</v>
      </c>
      <c r="L247" s="496"/>
      <c r="M247" s="496"/>
      <c r="N247" s="496"/>
      <c r="O247" s="496"/>
      <c r="P247" s="496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5"/>
      <c r="B248" s="263"/>
      <c r="C248" s="270" t="s">
        <v>121</v>
      </c>
      <c r="D248" s="256"/>
      <c r="E248" s="256"/>
      <c r="F248" s="256"/>
      <c r="G248" s="258"/>
      <c r="H248" s="259" t="s">
        <v>35</v>
      </c>
      <c r="I248" s="271">
        <f t="shared" ref="I248:J248" ca="1" si="113">I255</f>
        <v>0</v>
      </c>
      <c r="J248" s="271">
        <f t="shared" si="113"/>
        <v>0</v>
      </c>
      <c r="K248" s="272">
        <f t="shared" ca="1" si="112"/>
        <v>0</v>
      </c>
      <c r="L248" s="261"/>
      <c r="M248" s="261"/>
      <c r="N248" s="261"/>
      <c r="O248" s="261"/>
      <c r="P248" s="261"/>
    </row>
    <row r="249" spans="1:26" ht="19.5" hidden="1">
      <c r="A249" s="147"/>
      <c r="B249" s="148"/>
      <c r="C249" s="149" t="s">
        <v>16</v>
      </c>
      <c r="D249" s="826" t="s">
        <v>17</v>
      </c>
      <c r="E249" s="148"/>
      <c r="F249" s="148"/>
      <c r="G249" s="151"/>
      <c r="H249" s="274" t="s">
        <v>12</v>
      </c>
      <c r="I249" s="418"/>
      <c r="J249" s="418"/>
      <c r="K249" s="279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4"/>
      <c r="B250" s="315"/>
      <c r="C250" s="316"/>
      <c r="D250" s="324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282">
        <f ca="1">IFERROR(__xludf.DUMMYFUNCTION("IMPORTRANGE(""https://docs.google.com/spreadsheets/d/1QqKyyYR6Q21VydFLVH3TRQUabQu_ym0Zz7PgGX0-kHA/edit?usp=sharing"",""แผน!AZ61"")"),0)</f>
        <v>0</v>
      </c>
      <c r="M250" s="282"/>
      <c r="N250" s="829">
        <v>0</v>
      </c>
      <c r="O250" s="282"/>
      <c r="P250" s="282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9.5" hidden="1">
      <c r="A251" s="322"/>
      <c r="B251" s="315"/>
      <c r="C251" s="323"/>
      <c r="D251" s="324" t="s">
        <v>98</v>
      </c>
      <c r="E251" s="316"/>
      <c r="F251" s="316"/>
      <c r="G251" s="318"/>
      <c r="H251" s="319" t="s">
        <v>12</v>
      </c>
      <c r="I251" s="325"/>
      <c r="J251" s="325"/>
      <c r="K251" s="282"/>
      <c r="L251" s="282">
        <f ca="1">IFERROR(__xludf.DUMMYFUNCTION("IMPORTRANGE(""https://docs.google.com/spreadsheets/d/1QqKyyYR6Q21VydFLVH3TRQUabQu_ym0Zz7PgGX0-kHA/edit?usp=sharing"",""แผน!BA61"")"),0)</f>
        <v>0</v>
      </c>
      <c r="M251" s="282"/>
      <c r="N251" s="829">
        <v>0</v>
      </c>
      <c r="O251" s="282"/>
      <c r="P251" s="282"/>
      <c r="Q251" s="326"/>
      <c r="R251" s="326"/>
      <c r="S251" s="326"/>
      <c r="T251" s="326"/>
      <c r="U251" s="326"/>
      <c r="V251" s="326"/>
      <c r="W251" s="326"/>
      <c r="X251" s="326"/>
      <c r="Y251" s="326"/>
      <c r="Z251" s="326"/>
    </row>
    <row r="252" spans="1:26" ht="19.5" hidden="1">
      <c r="A252" s="322"/>
      <c r="B252" s="315"/>
      <c r="C252" s="323"/>
      <c r="D252" s="324" t="s">
        <v>116</v>
      </c>
      <c r="E252" s="316"/>
      <c r="F252" s="316"/>
      <c r="G252" s="318"/>
      <c r="H252" s="319" t="s">
        <v>12</v>
      </c>
      <c r="I252" s="325"/>
      <c r="J252" s="325"/>
      <c r="K252" s="282"/>
      <c r="L252" s="282">
        <f ca="1">IFERROR(__xludf.DUMMYFUNCTION("IMPORTRANGE(""https://docs.google.com/spreadsheets/d/1QqKyyYR6Q21VydFLVH3TRQUabQu_ym0Zz7PgGX0-kHA/edit?usp=sharing"",""แผน!BB61"")"),0)</f>
        <v>0</v>
      </c>
      <c r="M252" s="282"/>
      <c r="N252" s="829">
        <v>0</v>
      </c>
      <c r="O252" s="282"/>
      <c r="P252" s="282"/>
      <c r="Q252" s="326"/>
      <c r="R252" s="326"/>
      <c r="S252" s="326"/>
      <c r="T252" s="326"/>
      <c r="U252" s="326"/>
      <c r="V252" s="326"/>
      <c r="W252" s="326"/>
      <c r="X252" s="326"/>
      <c r="Y252" s="326"/>
      <c r="Z252" s="326"/>
    </row>
    <row r="253" spans="1:26" ht="19.5" hidden="1">
      <c r="A253" s="322"/>
      <c r="B253" s="315"/>
      <c r="C253" s="323"/>
      <c r="D253" s="324" t="s">
        <v>100</v>
      </c>
      <c r="E253" s="316"/>
      <c r="F253" s="316"/>
      <c r="G253" s="318"/>
      <c r="H253" s="319" t="s">
        <v>12</v>
      </c>
      <c r="I253" s="325"/>
      <c r="J253" s="325"/>
      <c r="K253" s="282"/>
      <c r="L253" s="282">
        <f ca="1">IFERROR(__xludf.DUMMYFUNCTION("IMPORTRANGE(""https://docs.google.com/spreadsheets/d/1QqKyyYR6Q21VydFLVH3TRQUabQu_ym0Zz7PgGX0-kHA/edit?usp=sharing"",""แผน!BC61"")"),0)</f>
        <v>0</v>
      </c>
      <c r="M253" s="282"/>
      <c r="N253" s="829">
        <v>0</v>
      </c>
      <c r="O253" s="282"/>
      <c r="P253" s="282"/>
      <c r="Q253" s="326"/>
      <c r="R253" s="326"/>
      <c r="S253" s="326"/>
      <c r="T253" s="326"/>
      <c r="U253" s="326"/>
      <c r="V253" s="326"/>
      <c r="W253" s="326"/>
      <c r="X253" s="326"/>
      <c r="Y253" s="326"/>
      <c r="Z253" s="326"/>
    </row>
    <row r="254" spans="1:26" ht="19.5" hidden="1">
      <c r="A254" s="170"/>
      <c r="B254" s="171"/>
      <c r="C254" s="292" t="s">
        <v>16</v>
      </c>
      <c r="D254" s="823" t="s">
        <v>38</v>
      </c>
      <c r="E254" s="173"/>
      <c r="F254" s="173"/>
      <c r="G254" s="174"/>
      <c r="H254" s="753"/>
      <c r="I254" s="184"/>
      <c r="J254" s="269"/>
      <c r="K254" s="496"/>
      <c r="L254" s="496"/>
      <c r="M254" s="496"/>
      <c r="N254" s="496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6" t="s">
        <v>117</v>
      </c>
      <c r="E255" s="178"/>
      <c r="F255" s="178"/>
      <c r="G255" s="179"/>
      <c r="H255" s="755" t="s">
        <v>35</v>
      </c>
      <c r="I255" s="269">
        <f ca="1">IFERROR(__xludf.DUMMYFUNCTION("IMPORTRANGE(""https://docs.google.com/spreadsheets/d/1QqKyyYR6Q21VydFLVH3TRQUabQu_ym0Zz7PgGX0-kHA/edit?usp=sharing"",""แผน!BF61"")"),0)</f>
        <v>0</v>
      </c>
      <c r="J255" s="214">
        <v>0</v>
      </c>
      <c r="K255" s="496">
        <f ca="1">IF(I255&gt;0,J255*100/I255,0)</f>
        <v>0</v>
      </c>
      <c r="L255" s="496"/>
      <c r="M255" s="496"/>
      <c r="N255" s="496"/>
      <c r="O255" s="496"/>
      <c r="P255" s="496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30" t="s">
        <v>43</v>
      </c>
      <c r="E256" s="178"/>
      <c r="F256" s="178"/>
      <c r="G256" s="179"/>
      <c r="H256" s="755"/>
      <c r="I256" s="269"/>
      <c r="J256" s="269"/>
      <c r="K256" s="496"/>
      <c r="L256" s="496"/>
      <c r="M256" s="496"/>
      <c r="N256" s="496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55" t="s">
        <v>35</v>
      </c>
      <c r="I257" s="269"/>
      <c r="J257" s="214">
        <v>0</v>
      </c>
      <c r="K257" s="496">
        <f t="shared" ref="K257:K258" si="114">IF(I257&gt;0,J257*100/I257,0)</f>
        <v>0</v>
      </c>
      <c r="L257" s="496"/>
      <c r="M257" s="496"/>
      <c r="N257" s="496"/>
      <c r="O257" s="496"/>
      <c r="P257" s="496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55" t="s">
        <v>69</v>
      </c>
      <c r="I258" s="269"/>
      <c r="J258" s="214">
        <v>0</v>
      </c>
      <c r="K258" s="496">
        <f t="shared" si="114"/>
        <v>0</v>
      </c>
      <c r="L258" s="496"/>
      <c r="M258" s="496"/>
      <c r="N258" s="496"/>
      <c r="O258" s="496"/>
      <c r="P258" s="496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1" t="s">
        <v>122</v>
      </c>
      <c r="B259" s="242"/>
      <c r="C259" s="242"/>
      <c r="D259" s="243"/>
      <c r="E259" s="243"/>
      <c r="F259" s="243"/>
      <c r="G259" s="244"/>
      <c r="H259" s="245"/>
      <c r="I259" s="246"/>
      <c r="J259" s="246"/>
      <c r="K259" s="247"/>
      <c r="L259" s="247"/>
      <c r="M259" s="247"/>
      <c r="N259" s="247"/>
      <c r="O259" s="247"/>
      <c r="P259" s="247"/>
    </row>
    <row r="260" spans="1:26" ht="19.5">
      <c r="A260" s="248"/>
      <c r="B260" s="249" t="s">
        <v>123</v>
      </c>
      <c r="C260" s="250"/>
      <c r="D260" s="173"/>
      <c r="E260" s="173"/>
      <c r="F260" s="173"/>
      <c r="G260" s="174"/>
      <c r="H260" s="251" t="s">
        <v>35</v>
      </c>
      <c r="I260" s="252">
        <f t="shared" ref="I260:J260" ca="1" si="115">I271</f>
        <v>22</v>
      </c>
      <c r="J260" s="252">
        <f t="shared" si="115"/>
        <v>0</v>
      </c>
      <c r="K260" s="253">
        <f ca="1">IF(I260&gt;0,J260*100/I260,0)</f>
        <v>0</v>
      </c>
      <c r="L260" s="254"/>
      <c r="M260" s="254"/>
      <c r="N260" s="254"/>
      <c r="O260" s="254"/>
      <c r="P260" s="254"/>
    </row>
    <row r="261" spans="1:26" ht="19.5">
      <c r="A261" s="147"/>
      <c r="B261" s="148"/>
      <c r="C261" s="149" t="s">
        <v>16</v>
      </c>
      <c r="D261" s="822" t="s">
        <v>17</v>
      </c>
      <c r="E261" s="148"/>
      <c r="F261" s="148"/>
      <c r="G261" s="151"/>
      <c r="H261" s="152" t="s">
        <v>12</v>
      </c>
      <c r="I261" s="419"/>
      <c r="J261" s="419"/>
      <c r="K261" s="154"/>
      <c r="L261" s="155">
        <f t="shared" ref="L261:N261" ca="1" si="116">L262+L263</f>
        <v>26900</v>
      </c>
      <c r="M261" s="155">
        <f t="shared" ca="1" si="116"/>
        <v>0</v>
      </c>
      <c r="N261" s="155">
        <f t="shared" ca="1" si="116"/>
        <v>0</v>
      </c>
      <c r="O261" s="155">
        <f t="shared" ref="O261:O269" ca="1" si="117">IF(L261&gt;0,N261*100/L261,0)</f>
        <v>0</v>
      </c>
      <c r="P261" s="155">
        <f t="shared" ref="P261:P269" ca="1" si="118">IF(M261&gt;0,N261*100/M261,0)</f>
        <v>0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2" t="s">
        <v>18</v>
      </c>
      <c r="F262" s="40"/>
      <c r="G262" s="157"/>
      <c r="H262" s="158" t="s">
        <v>12</v>
      </c>
      <c r="I262" s="610"/>
      <c r="J262" s="610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2" t="s">
        <v>19</v>
      </c>
      <c r="F263" s="40"/>
      <c r="G263" s="157"/>
      <c r="H263" s="158" t="s">
        <v>12</v>
      </c>
      <c r="I263" s="610"/>
      <c r="J263" s="610"/>
      <c r="K263" s="93"/>
      <c r="L263" s="93">
        <f t="shared" ca="1" si="119"/>
        <v>26900</v>
      </c>
      <c r="M263" s="93">
        <f t="shared" ca="1" si="119"/>
        <v>0</v>
      </c>
      <c r="N263" s="93">
        <f t="shared" ca="1" si="119"/>
        <v>0</v>
      </c>
      <c r="O263" s="93">
        <f t="shared" ca="1" si="117"/>
        <v>0</v>
      </c>
      <c r="P263" s="93">
        <f t="shared" ca="1" si="118"/>
        <v>0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1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6">
        <f t="shared" ref="L264:N264" ca="1" si="120">L265+L266</f>
        <v>26900</v>
      </c>
      <c r="M264" s="496">
        <f t="shared" ca="1" si="120"/>
        <v>0</v>
      </c>
      <c r="N264" s="496">
        <f t="shared" ca="1" si="120"/>
        <v>0</v>
      </c>
      <c r="O264" s="496">
        <f t="shared" ca="1" si="117"/>
        <v>0</v>
      </c>
      <c r="P264" s="496">
        <f t="shared" ca="1" si="118"/>
        <v>0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2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2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IFERROR(__xludf.DUMMYFUNCTION("IMPORTRANGE(""https://docs.google.com/spreadsheets/d/1MeEWN-I1oV_STSDYn1IFDPWt_1FKiwhDph83XaGc0o0/edit?usp=sharing"",""งบพรบ!CY61"")"),26900)</f>
        <v>26900</v>
      </c>
      <c r="M266" s="93">
        <f ca="1">IFERROR(__xludf.DUMMYFUNCTION("IMPORTRANGE(""https://docs.google.com/spreadsheets/d/1MeEWN-I1oV_STSDYn1IFDPWt_1FKiwhDph83XaGc0o0/edit?usp=sharing"",""งบพรบ!DD61"")"),0)</f>
        <v>0</v>
      </c>
      <c r="N266" s="93">
        <f ca="1">IFERROR(__xludf.DUMMYFUNCTION("IMPORTRANGE(""https://docs.google.com/spreadsheets/d/1MeEWN-I1oV_STSDYn1IFDPWt_1FKiwhDph83XaGc0o0/edit?usp=sharing"",""งบพรบ!DF61"")"),0)</f>
        <v>0</v>
      </c>
      <c r="O266" s="93">
        <f t="shared" ca="1" si="117"/>
        <v>0</v>
      </c>
      <c r="P266" s="93">
        <f t="shared" ca="1" si="118"/>
        <v>0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1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6">
        <f t="shared" ref="L267:N267" ca="1" si="121">L268+L269</f>
        <v>0</v>
      </c>
      <c r="M267" s="496">
        <f t="shared" ca="1" si="121"/>
        <v>0</v>
      </c>
      <c r="N267" s="496">
        <f t="shared" ca="1" si="121"/>
        <v>0</v>
      </c>
      <c r="O267" s="496">
        <f t="shared" ca="1" si="117"/>
        <v>0</v>
      </c>
      <c r="P267" s="496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2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2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IFERROR(__xludf.DUMMYFUNCTION("IMPORTRANGE(""https://docs.google.com/spreadsheets/d/1MeEWN-I1oV_STSDYn1IFDPWt_1FKiwhDph83XaGc0o0/edit?usp=sharing"",""งบพรบ!DB61"")"),0)</f>
        <v>0</v>
      </c>
      <c r="M269" s="93">
        <f ca="1">IFERROR(__xludf.DUMMYFUNCTION("IMPORTRANGE(""https://docs.google.com/spreadsheets/d/1MeEWN-I1oV_STSDYn1IFDPWt_1FKiwhDph83XaGc0o0/edit?usp=sharing"",""งบพรบ!DE61"")"),0)</f>
        <v>0</v>
      </c>
      <c r="N269" s="93">
        <f ca="1">IFERROR(__xludf.DUMMYFUNCTION("IMPORTRANGE(""https://docs.google.com/spreadsheets/d/1MeEWN-I1oV_STSDYn1IFDPWt_1FKiwhDph83XaGc0o0/edit?usp=sharing"",""งบพรบ!DG61"")"),0)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1" t="s">
        <v>16</v>
      </c>
      <c r="D270" s="823" t="s">
        <v>38</v>
      </c>
      <c r="E270" s="173"/>
      <c r="F270" s="173"/>
      <c r="G270" s="174"/>
      <c r="H270" s="753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5" t="s">
        <v>124</v>
      </c>
      <c r="E271" s="178"/>
      <c r="F271" s="366"/>
      <c r="G271" s="179"/>
      <c r="H271" s="376" t="s">
        <v>35</v>
      </c>
      <c r="I271" s="269">
        <f ca="1">IFERROR(__xludf.DUMMYFUNCTION("IMPORTRANGE(""https://docs.google.com/spreadsheets/d/1QqKyyYR6Q21VydFLVH3TRQUabQu_ym0Zz7PgGX0-kHA/edit?usp=sharing"",""แผน!EA61"")"),22)</f>
        <v>22</v>
      </c>
      <c r="J271" s="214">
        <v>0</v>
      </c>
      <c r="K271" s="163">
        <f ca="1">IF(I271&gt;0,J271*100/I271,0)</f>
        <v>0</v>
      </c>
      <c r="L271" s="163"/>
      <c r="M271" s="163"/>
      <c r="N271" s="163"/>
      <c r="O271" s="163"/>
      <c r="P271" s="163"/>
    </row>
    <row r="272" spans="1:26" ht="18.75" hidden="1">
      <c r="A272" s="377"/>
      <c r="B272" s="378"/>
      <c r="C272" s="378"/>
      <c r="D272" s="379" t="s">
        <v>125</v>
      </c>
      <c r="E272" s="380"/>
      <c r="F272" s="380"/>
      <c r="G272" s="381"/>
      <c r="H272" s="50" t="s">
        <v>35</v>
      </c>
      <c r="I272" s="499">
        <v>0</v>
      </c>
      <c r="J272" s="499">
        <v>0</v>
      </c>
      <c r="K272" s="384">
        <v>0</v>
      </c>
      <c r="L272" s="384"/>
      <c r="M272" s="384"/>
      <c r="N272" s="384"/>
      <c r="O272" s="384"/>
      <c r="P272" s="384"/>
    </row>
    <row r="273" spans="1:26" ht="19.5" hidden="1">
      <c r="A273" s="385" t="s">
        <v>126</v>
      </c>
      <c r="B273" s="386"/>
      <c r="C273" s="386"/>
      <c r="D273" s="386"/>
      <c r="E273" s="387"/>
      <c r="F273" s="387"/>
      <c r="G273" s="388"/>
      <c r="H273" s="389"/>
      <c r="I273" s="390"/>
      <c r="J273" s="390"/>
      <c r="K273" s="391"/>
      <c r="L273" s="391"/>
      <c r="M273" s="391"/>
      <c r="N273" s="391"/>
      <c r="O273" s="391"/>
      <c r="P273" s="391"/>
    </row>
    <row r="274" spans="1:26" ht="19.5" hidden="1">
      <c r="A274" s="392" t="s">
        <v>127</v>
      </c>
      <c r="B274" s="393"/>
      <c r="C274" s="394"/>
      <c r="D274" s="393"/>
      <c r="E274" s="393"/>
      <c r="F274" s="393"/>
      <c r="G274" s="393"/>
      <c r="H274" s="395"/>
      <c r="I274" s="396"/>
      <c r="J274" s="397"/>
      <c r="K274" s="398"/>
      <c r="L274" s="398"/>
      <c r="M274" s="398"/>
      <c r="N274" s="398"/>
      <c r="O274" s="398"/>
      <c r="P274" s="398"/>
    </row>
    <row r="275" spans="1:26" ht="19.5" hidden="1">
      <c r="A275" s="399"/>
      <c r="B275" s="408" t="s">
        <v>128</v>
      </c>
      <c r="C275" s="401"/>
      <c r="D275" s="402"/>
      <c r="E275" s="401"/>
      <c r="F275" s="401"/>
      <c r="G275" s="403"/>
      <c r="H275" s="404" t="s">
        <v>35</v>
      </c>
      <c r="I275" s="405">
        <f t="shared" ref="I275:J275" ca="1" si="122">I288</f>
        <v>0</v>
      </c>
      <c r="J275" s="405">
        <f t="shared" ca="1" si="122"/>
        <v>0</v>
      </c>
      <c r="K275" s="406">
        <f t="shared" ref="K275:K276" ca="1" si="123">IF(I275&gt;0,J275*100/I275,0)</f>
        <v>0</v>
      </c>
      <c r="L275" s="407"/>
      <c r="M275" s="407"/>
      <c r="N275" s="407"/>
      <c r="O275" s="407"/>
      <c r="P275" s="407"/>
    </row>
    <row r="276" spans="1:26" ht="19.5" hidden="1">
      <c r="A276" s="399"/>
      <c r="B276" s="408"/>
      <c r="C276" s="401"/>
      <c r="D276" s="402"/>
      <c r="E276" s="401"/>
      <c r="F276" s="401"/>
      <c r="G276" s="403"/>
      <c r="H276" s="404" t="s">
        <v>46</v>
      </c>
      <c r="I276" s="831">
        <f t="shared" ref="I276:J276" ca="1" si="124">I287</f>
        <v>0</v>
      </c>
      <c r="J276" s="831">
        <f t="shared" si="124"/>
        <v>0</v>
      </c>
      <c r="K276" s="407">
        <f t="shared" ca="1" si="123"/>
        <v>0</v>
      </c>
      <c r="L276" s="407"/>
      <c r="M276" s="407"/>
      <c r="N276" s="407"/>
      <c r="O276" s="407"/>
      <c r="P276" s="407"/>
    </row>
    <row r="277" spans="1:26" ht="19.5" hidden="1">
      <c r="A277" s="147"/>
      <c r="B277" s="148"/>
      <c r="C277" s="149" t="s">
        <v>16</v>
      </c>
      <c r="D277" s="822" t="s">
        <v>17</v>
      </c>
      <c r="E277" s="148"/>
      <c r="F277" s="148"/>
      <c r="G277" s="151"/>
      <c r="H277" s="152" t="s">
        <v>12</v>
      </c>
      <c r="I277" s="419"/>
      <c r="J277" s="419"/>
      <c r="K277" s="154"/>
      <c r="L277" s="155">
        <f t="shared" ref="L277:N277" ca="1" si="125">L278+L279</f>
        <v>0</v>
      </c>
      <c r="M277" s="155">
        <f t="shared" ca="1" si="125"/>
        <v>0</v>
      </c>
      <c r="N277" s="155">
        <f t="shared" ca="1" si="125"/>
        <v>0</v>
      </c>
      <c r="O277" s="155">
        <f t="shared" ref="O277:O285" ca="1" si="126">IF(L277&gt;0,N277*100/L277,0)</f>
        <v>0</v>
      </c>
      <c r="P277" s="155">
        <f t="shared" ref="P277:P285" ca="1" si="127">IF(M277&gt;0,N277*100/M277,0)</f>
        <v>0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2" t="s">
        <v>18</v>
      </c>
      <c r="F278" s="40"/>
      <c r="G278" s="157"/>
      <c r="H278" s="158" t="s">
        <v>12</v>
      </c>
      <c r="I278" s="610"/>
      <c r="J278" s="610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2" t="s">
        <v>19</v>
      </c>
      <c r="F279" s="40"/>
      <c r="G279" s="157"/>
      <c r="H279" s="158" t="s">
        <v>12</v>
      </c>
      <c r="I279" s="610"/>
      <c r="J279" s="610"/>
      <c r="K279" s="93"/>
      <c r="L279" s="93">
        <f t="shared" ca="1" si="128"/>
        <v>0</v>
      </c>
      <c r="M279" s="93">
        <f t="shared" ca="1" si="128"/>
        <v>0</v>
      </c>
      <c r="N279" s="93">
        <f t="shared" ca="1" si="128"/>
        <v>0</v>
      </c>
      <c r="O279" s="93">
        <f t="shared" ca="1" si="126"/>
        <v>0</v>
      </c>
      <c r="P279" s="93">
        <f t="shared" ca="1" si="127"/>
        <v>0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 hidden="1">
      <c r="A280" s="159"/>
      <c r="B280" s="33"/>
      <c r="C280" s="281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6">
        <f t="shared" ref="L280:N280" ca="1" si="129">L281+L282</f>
        <v>0</v>
      </c>
      <c r="M280" s="496">
        <f t="shared" ca="1" si="129"/>
        <v>0</v>
      </c>
      <c r="N280" s="496">
        <f t="shared" ca="1" si="129"/>
        <v>0</v>
      </c>
      <c r="O280" s="496">
        <f t="shared" ca="1" si="126"/>
        <v>0</v>
      </c>
      <c r="P280" s="496">
        <f t="shared" ca="1" si="127"/>
        <v>0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2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2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IFERROR(__xludf.DUMMYFUNCTION("IMPORTRANGE(""https://docs.google.com/spreadsheets/d/1MeEWN-I1oV_STSDYn1IFDPWt_1FKiwhDph83XaGc0o0/edit?usp=sharing"",""งบพรบ!DI61"")"),0)</f>
        <v>0</v>
      </c>
      <c r="M282" s="93">
        <f ca="1">IFERROR(__xludf.DUMMYFUNCTION("IMPORTRANGE(""https://docs.google.com/spreadsheets/d/1MeEWN-I1oV_STSDYn1IFDPWt_1FKiwhDph83XaGc0o0/edit?usp=sharing"",""งบพรบ!DN61"")"),0)</f>
        <v>0</v>
      </c>
      <c r="N282" s="93">
        <f ca="1">IFERROR(__xludf.DUMMYFUNCTION("IMPORTRANGE(""https://docs.google.com/spreadsheets/d/1MeEWN-I1oV_STSDYn1IFDPWt_1FKiwhDph83XaGc0o0/edit?usp=sharing"",""งบพรบ!DP61"")"),0)</f>
        <v>0</v>
      </c>
      <c r="O282" s="93">
        <f t="shared" ca="1" si="126"/>
        <v>0</v>
      </c>
      <c r="P282" s="93">
        <f t="shared" ca="1" si="127"/>
        <v>0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 hidden="1">
      <c r="A283" s="159"/>
      <c r="B283" s="33"/>
      <c r="C283" s="281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6">
        <f t="shared" ref="L283:N283" ca="1" si="130">L284+L285</f>
        <v>0</v>
      </c>
      <c r="M283" s="496">
        <f t="shared" ca="1" si="130"/>
        <v>0</v>
      </c>
      <c r="N283" s="496">
        <f t="shared" ca="1" si="130"/>
        <v>0</v>
      </c>
      <c r="O283" s="496">
        <f t="shared" ca="1" si="126"/>
        <v>0</v>
      </c>
      <c r="P283" s="496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2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2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IFERROR(__xludf.DUMMYFUNCTION("IMPORTRANGE(""https://docs.google.com/spreadsheets/d/1MeEWN-I1oV_STSDYn1IFDPWt_1FKiwhDph83XaGc0o0/edit?usp=sharing"",""งบพรบ!DL61"")"),0)</f>
        <v>0</v>
      </c>
      <c r="M285" s="93">
        <f ca="1">IFERROR(__xludf.DUMMYFUNCTION("IMPORTRANGE(""https://docs.google.com/spreadsheets/d/1MeEWN-I1oV_STSDYn1IFDPWt_1FKiwhDph83XaGc0o0/edit?usp=sharing"",""งบพรบ!DO61"")"),0)</f>
        <v>0</v>
      </c>
      <c r="N285" s="93">
        <f ca="1">IFERROR(__xludf.DUMMYFUNCTION("IMPORTRANGE(""https://docs.google.com/spreadsheets/d/1MeEWN-I1oV_STSDYn1IFDPWt_1FKiwhDph83XaGc0o0/edit?usp=sharing"",""งบพรบ!DQ61"")"),0)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 hidden="1">
      <c r="A286" s="170"/>
      <c r="B286" s="171"/>
      <c r="C286" s="164" t="s">
        <v>16</v>
      </c>
      <c r="D286" s="823" t="s">
        <v>38</v>
      </c>
      <c r="E286" s="173"/>
      <c r="F286" s="173"/>
      <c r="G286" s="174"/>
      <c r="H286" s="753"/>
      <c r="I286" s="184"/>
      <c r="J286" s="184"/>
      <c r="K286" s="163"/>
      <c r="L286" s="163"/>
      <c r="M286" s="163"/>
      <c r="N286" s="163"/>
      <c r="O286" s="163"/>
      <c r="P286" s="163"/>
    </row>
    <row r="287" spans="1:26" ht="18.75" hidden="1">
      <c r="A287" s="170"/>
      <c r="B287" s="171"/>
      <c r="C287" s="171"/>
      <c r="D287" s="619" t="s">
        <v>129</v>
      </c>
      <c r="E287" s="171"/>
      <c r="F287" s="178"/>
      <c r="G287" s="179"/>
      <c r="H287" s="185" t="s">
        <v>46</v>
      </c>
      <c r="I287" s="269">
        <f ca="1">IFERROR(__xludf.DUMMYFUNCTION("IMPORTRANGE(""https://docs.google.com/spreadsheets/d/1QqKyyYR6Q21VydFLVH3TRQUabQu_ym0Zz7PgGX0-kHA/edit?usp=sharing"",""แผน!EC61"")"),0)</f>
        <v>0</v>
      </c>
      <c r="J287" s="269">
        <v>0</v>
      </c>
      <c r="K287" s="163">
        <f t="shared" ref="K287:K288" ca="1" si="131">IF(I287&gt;0,J287*100/I287,0)</f>
        <v>0</v>
      </c>
      <c r="L287" s="163"/>
      <c r="M287" s="163"/>
      <c r="N287" s="163"/>
      <c r="O287" s="163"/>
      <c r="P287" s="163"/>
    </row>
    <row r="288" spans="1:26" ht="19.5" hidden="1">
      <c r="A288" s="170"/>
      <c r="B288" s="171"/>
      <c r="C288" s="171"/>
      <c r="D288" s="619" t="s">
        <v>130</v>
      </c>
      <c r="E288" s="171"/>
      <c r="F288" s="178"/>
      <c r="G288" s="179"/>
      <c r="H288" s="180" t="s">
        <v>35</v>
      </c>
      <c r="I288" s="674">
        <f ca="1">IFERROR(__xludf.DUMMYFUNCTION("IMPORTRANGE(""https://docs.google.com/spreadsheets/d/1QqKyyYR6Q21VydFLVH3TRQUabQu_ym0Zz7PgGX0-kHA/edit?usp=sharing"",""แผน!EB61"")"),0)</f>
        <v>0</v>
      </c>
      <c r="J288" s="674">
        <f ca="1">IF(AND(J291&gt;=I288,J294&gt;=I288),J294,0)</f>
        <v>0</v>
      </c>
      <c r="K288" s="410">
        <f t="shared" ca="1" si="131"/>
        <v>0</v>
      </c>
      <c r="L288" s="163"/>
      <c r="M288" s="163"/>
      <c r="N288" s="163"/>
      <c r="O288" s="163"/>
      <c r="P288" s="163"/>
    </row>
    <row r="289" spans="1:26" ht="19.5" hidden="1">
      <c r="A289" s="170"/>
      <c r="B289" s="171"/>
      <c r="C289" s="171"/>
      <c r="D289" s="411"/>
      <c r="E289" s="412" t="s">
        <v>131</v>
      </c>
      <c r="F289" s="178"/>
      <c r="G289" s="179"/>
      <c r="H289" s="755"/>
      <c r="I289" s="184"/>
      <c r="J289" s="269"/>
      <c r="K289" s="163"/>
      <c r="L289" s="163"/>
      <c r="M289" s="163"/>
      <c r="N289" s="163"/>
      <c r="O289" s="163"/>
      <c r="P289" s="163"/>
    </row>
    <row r="290" spans="1:26" ht="19.5" hidden="1">
      <c r="A290" s="170"/>
      <c r="B290" s="171"/>
      <c r="C290" s="171"/>
      <c r="D290" s="411"/>
      <c r="E290" s="619" t="s">
        <v>132</v>
      </c>
      <c r="F290" s="178"/>
      <c r="G290" s="179"/>
      <c r="H290" s="755" t="s">
        <v>35</v>
      </c>
      <c r="I290" s="184">
        <f ca="1">IFERROR(__xludf.DUMMYFUNCTION("IMPORTRANGE(""https://docs.google.com/spreadsheets/d/1QqKyyYR6Q21VydFLVH3TRQUabQu_ym0Zz7PgGX0-kHA/edit?usp=sharing"",""แผน!EB61"")"),0)</f>
        <v>0</v>
      </c>
      <c r="J290" s="214">
        <v>0</v>
      </c>
      <c r="K290" s="163">
        <f t="shared" ref="K290:K291" ca="1" si="132">IF(I290&gt;0,J290*100/I290,0)</f>
        <v>0</v>
      </c>
      <c r="L290" s="163"/>
      <c r="M290" s="163"/>
      <c r="N290" s="163"/>
      <c r="O290" s="163"/>
      <c r="P290" s="163"/>
    </row>
    <row r="291" spans="1:26" ht="19.5" hidden="1">
      <c r="A291" s="170"/>
      <c r="B291" s="171"/>
      <c r="C291" s="171"/>
      <c r="D291" s="178"/>
      <c r="E291" s="619" t="s">
        <v>333</v>
      </c>
      <c r="F291" s="178"/>
      <c r="G291" s="179"/>
      <c r="H291" s="755" t="s">
        <v>35</v>
      </c>
      <c r="I291" s="184">
        <f ca="1">IFERROR(__xludf.DUMMYFUNCTION("IMPORTRANGE(""https://docs.google.com/spreadsheets/d/1QqKyyYR6Q21VydFLVH3TRQUabQu_ym0Zz7PgGX0-kHA/edit?usp=sharing"",""แผน!EB61"")"),0)</f>
        <v>0</v>
      </c>
      <c r="J291" s="214">
        <v>0</v>
      </c>
      <c r="K291" s="163">
        <f t="shared" ca="1" si="132"/>
        <v>0</v>
      </c>
      <c r="L291" s="163"/>
      <c r="M291" s="163"/>
      <c r="N291" s="163"/>
      <c r="O291" s="163"/>
      <c r="P291" s="163"/>
    </row>
    <row r="292" spans="1:26" ht="19.5" hidden="1">
      <c r="A292" s="413"/>
      <c r="B292" s="414"/>
      <c r="C292" s="414"/>
      <c r="D292" s="415"/>
      <c r="E292" s="416" t="s">
        <v>134</v>
      </c>
      <c r="F292" s="287"/>
      <c r="G292" s="288"/>
      <c r="H292" s="417"/>
      <c r="I292" s="418"/>
      <c r="J292" s="419"/>
      <c r="K292" s="279"/>
      <c r="L292" s="279"/>
      <c r="M292" s="279"/>
      <c r="N292" s="279"/>
      <c r="O292" s="279"/>
      <c r="P292" s="279"/>
    </row>
    <row r="293" spans="1:26" ht="19.5" hidden="1">
      <c r="A293" s="170"/>
      <c r="B293" s="171"/>
      <c r="C293" s="171"/>
      <c r="D293" s="411"/>
      <c r="E293" s="619" t="s">
        <v>132</v>
      </c>
      <c r="F293" s="178"/>
      <c r="G293" s="179"/>
      <c r="H293" s="755" t="s">
        <v>35</v>
      </c>
      <c r="I293" s="184">
        <f ca="1">IFERROR(__xludf.DUMMYFUNCTION("IMPORTRANGE(""https://docs.google.com/spreadsheets/d/1QqKyyYR6Q21VydFLVH3TRQUabQu_ym0Zz7PgGX0-kHA/edit?usp=sharing"",""แผน!EB61"")"),0)</f>
        <v>0</v>
      </c>
      <c r="J293" s="214">
        <v>0</v>
      </c>
      <c r="K293" s="163">
        <f t="shared" ref="K293:K294" ca="1" si="133">IF(I293&gt;0,J293*100/I293,0)</f>
        <v>0</v>
      </c>
      <c r="L293" s="163"/>
      <c r="M293" s="163"/>
      <c r="N293" s="163"/>
      <c r="O293" s="163"/>
      <c r="P293" s="163"/>
    </row>
    <row r="294" spans="1:26" ht="19.5" hidden="1">
      <c r="A294" s="377"/>
      <c r="B294" s="378"/>
      <c r="C294" s="378"/>
      <c r="D294" s="380"/>
      <c r="E294" s="725" t="s">
        <v>333</v>
      </c>
      <c r="F294" s="380"/>
      <c r="G294" s="381"/>
      <c r="H294" s="421" t="s">
        <v>35</v>
      </c>
      <c r="I294" s="422">
        <f ca="1">IFERROR(__xludf.DUMMYFUNCTION("IMPORTRANGE(""https://docs.google.com/spreadsheets/d/1QqKyyYR6Q21VydFLVH3TRQUabQu_ym0Zz7PgGX0-kHA/edit?usp=sharing"",""แผน!EB61"")"),0)</f>
        <v>0</v>
      </c>
      <c r="J294" s="423">
        <v>0</v>
      </c>
      <c r="K294" s="384">
        <f t="shared" ca="1" si="133"/>
        <v>0</v>
      </c>
      <c r="L294" s="384"/>
      <c r="M294" s="384"/>
      <c r="N294" s="384"/>
      <c r="O294" s="384"/>
      <c r="P294" s="384"/>
    </row>
    <row r="295" spans="1:26" ht="19.5" hidden="1">
      <c r="A295" s="424" t="s">
        <v>137</v>
      </c>
      <c r="B295" s="425"/>
      <c r="C295" s="425"/>
      <c r="D295" s="425"/>
      <c r="E295" s="426"/>
      <c r="F295" s="426"/>
      <c r="G295" s="427"/>
      <c r="H295" s="428"/>
      <c r="I295" s="429"/>
      <c r="J295" s="429"/>
      <c r="K295" s="430"/>
      <c r="L295" s="430"/>
      <c r="M295" s="430"/>
      <c r="N295" s="430"/>
      <c r="O295" s="430"/>
      <c r="P295" s="430"/>
    </row>
    <row r="296" spans="1:26" ht="19.5" hidden="1">
      <c r="A296" s="431" t="s">
        <v>138</v>
      </c>
      <c r="B296" s="432"/>
      <c r="C296" s="432"/>
      <c r="D296" s="433"/>
      <c r="E296" s="433"/>
      <c r="F296" s="433"/>
      <c r="G296" s="434"/>
      <c r="H296" s="435"/>
      <c r="I296" s="436"/>
      <c r="J296" s="436"/>
      <c r="K296" s="437"/>
      <c r="L296" s="437"/>
      <c r="M296" s="437"/>
      <c r="N296" s="437"/>
      <c r="O296" s="437"/>
      <c r="P296" s="437"/>
    </row>
    <row r="297" spans="1:26" ht="19.5" hidden="1">
      <c r="A297" s="438"/>
      <c r="B297" s="439" t="s">
        <v>139</v>
      </c>
      <c r="C297" s="440"/>
      <c r="D297" s="440"/>
      <c r="E297" s="440"/>
      <c r="F297" s="440"/>
      <c r="G297" s="441"/>
      <c r="H297" s="442" t="s">
        <v>35</v>
      </c>
      <c r="I297" s="443">
        <f t="shared" ref="I297:J297" ca="1" si="134">I309</f>
        <v>0</v>
      </c>
      <c r="J297" s="443">
        <f t="shared" si="134"/>
        <v>0</v>
      </c>
      <c r="K297" s="444">
        <f ca="1">IF(I297&gt;0,J297*100/I297,0)</f>
        <v>0</v>
      </c>
      <c r="L297" s="445"/>
      <c r="M297" s="445"/>
      <c r="N297" s="445"/>
      <c r="O297" s="445"/>
      <c r="P297" s="445"/>
    </row>
    <row r="298" spans="1:26" ht="19.5" hidden="1">
      <c r="A298" s="147"/>
      <c r="B298" s="148"/>
      <c r="C298" s="149" t="s">
        <v>16</v>
      </c>
      <c r="D298" s="822" t="s">
        <v>17</v>
      </c>
      <c r="E298" s="148"/>
      <c r="F298" s="148"/>
      <c r="G298" s="151"/>
      <c r="H298" s="152" t="s">
        <v>12</v>
      </c>
      <c r="I298" s="419"/>
      <c r="J298" s="419"/>
      <c r="K298" s="154"/>
      <c r="L298" s="155">
        <f t="shared" ref="L298:N298" ca="1" si="135">L299+L300</f>
        <v>0</v>
      </c>
      <c r="M298" s="155">
        <f t="shared" ca="1" si="135"/>
        <v>0</v>
      </c>
      <c r="N298" s="155">
        <f t="shared" ca="1" si="135"/>
        <v>0</v>
      </c>
      <c r="O298" s="155">
        <f t="shared" ref="O298:O306" ca="1" si="136">IF(L298&gt;0,N298*100/L298,0)</f>
        <v>0</v>
      </c>
      <c r="P298" s="155">
        <f t="shared" ref="P298:P306" ca="1" si="137">IF(M298&gt;0,N298*100/M298,0)</f>
        <v>0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2" t="s">
        <v>18</v>
      </c>
      <c r="F299" s="40"/>
      <c r="G299" s="157"/>
      <c r="H299" s="158" t="s">
        <v>12</v>
      </c>
      <c r="I299" s="610"/>
      <c r="J299" s="610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2" t="s">
        <v>19</v>
      </c>
      <c r="F300" s="40"/>
      <c r="G300" s="157"/>
      <c r="H300" s="158" t="s">
        <v>12</v>
      </c>
      <c r="I300" s="610"/>
      <c r="J300" s="610"/>
      <c r="K300" s="93"/>
      <c r="L300" s="93">
        <f t="shared" ca="1" si="138"/>
        <v>0</v>
      </c>
      <c r="M300" s="93">
        <f t="shared" ca="1" si="138"/>
        <v>0</v>
      </c>
      <c r="N300" s="93">
        <f t="shared" ca="1" si="138"/>
        <v>0</v>
      </c>
      <c r="O300" s="93">
        <f t="shared" ca="1" si="136"/>
        <v>0</v>
      </c>
      <c r="P300" s="93">
        <f t="shared" ca="1" si="137"/>
        <v>0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 hidden="1">
      <c r="A301" s="159"/>
      <c r="B301" s="33"/>
      <c r="C301" s="281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6">
        <f t="shared" ref="L301:N301" ca="1" si="139">L302+L303</f>
        <v>0</v>
      </c>
      <c r="M301" s="496">
        <f t="shared" ca="1" si="139"/>
        <v>0</v>
      </c>
      <c r="N301" s="496">
        <f t="shared" ca="1" si="139"/>
        <v>0</v>
      </c>
      <c r="O301" s="496">
        <f t="shared" ca="1" si="136"/>
        <v>0</v>
      </c>
      <c r="P301" s="496">
        <f t="shared" ca="1" si="137"/>
        <v>0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2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2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IFERROR(__xludf.DUMMYFUNCTION("IMPORTRANGE(""https://docs.google.com/spreadsheets/d/1MeEWN-I1oV_STSDYn1IFDPWt_1FKiwhDph83XaGc0o0/edit?usp=sharing"",""งบพรบ!DS61"")"),0)</f>
        <v>0</v>
      </c>
      <c r="M303" s="93">
        <f ca="1">IFERROR(__xludf.DUMMYFUNCTION("IMPORTRANGE(""https://docs.google.com/spreadsheets/d/1MeEWN-I1oV_STSDYn1IFDPWt_1FKiwhDph83XaGc0o0/edit?usp=sharing"",""งบพรบ!DX61"")"),0)</f>
        <v>0</v>
      </c>
      <c r="N303" s="93">
        <f ca="1">IFERROR(__xludf.DUMMYFUNCTION("IMPORTRANGE(""https://docs.google.com/spreadsheets/d/1MeEWN-I1oV_STSDYn1IFDPWt_1FKiwhDph83XaGc0o0/edit?usp=sharing"",""งบพรบ!DZ61"")"),0)</f>
        <v>0</v>
      </c>
      <c r="O303" s="93">
        <f t="shared" ca="1" si="136"/>
        <v>0</v>
      </c>
      <c r="P303" s="93">
        <f t="shared" ca="1" si="137"/>
        <v>0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 hidden="1">
      <c r="A304" s="159"/>
      <c r="B304" s="33"/>
      <c r="C304" s="281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6">
        <f t="shared" ref="L304:N304" ca="1" si="140">L305+L306</f>
        <v>0</v>
      </c>
      <c r="M304" s="496">
        <f t="shared" ca="1" si="140"/>
        <v>0</v>
      </c>
      <c r="N304" s="496">
        <f t="shared" ca="1" si="140"/>
        <v>0</v>
      </c>
      <c r="O304" s="496">
        <f t="shared" ca="1" si="136"/>
        <v>0</v>
      </c>
      <c r="P304" s="496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2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2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IFERROR(__xludf.DUMMYFUNCTION("IMPORTRANGE(""https://docs.google.com/spreadsheets/d/1MeEWN-I1oV_STSDYn1IFDPWt_1FKiwhDph83XaGc0o0/edit?usp=sharing"",""งบพรบ!DV61"")"),0)</f>
        <v>0</v>
      </c>
      <c r="M306" s="93">
        <f ca="1">IFERROR(__xludf.DUMMYFUNCTION("IMPORTRANGE(""https://docs.google.com/spreadsheets/d/1MeEWN-I1oV_STSDYn1IFDPWt_1FKiwhDph83XaGc0o0/edit?usp=sharing"",""งบพรบ!DY61"")"),0)</f>
        <v>0</v>
      </c>
      <c r="N306" s="93">
        <f ca="1">IFERROR(__xludf.DUMMYFUNCTION("IMPORTRANGE(""https://docs.google.com/spreadsheets/d/1MeEWN-I1oV_STSDYn1IFDPWt_1FKiwhDph83XaGc0o0/edit?usp=sharing"",""งบพรบ!EA61"")"),0)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 hidden="1">
      <c r="A307" s="170"/>
      <c r="B307" s="171"/>
      <c r="C307" s="164" t="s">
        <v>16</v>
      </c>
      <c r="D307" s="823" t="s">
        <v>38</v>
      </c>
      <c r="E307" s="173"/>
      <c r="F307" s="173"/>
      <c r="G307" s="174"/>
      <c r="H307" s="753"/>
      <c r="I307" s="269"/>
      <c r="J307" s="269"/>
      <c r="K307" s="496"/>
      <c r="L307" s="496"/>
      <c r="M307" s="496"/>
      <c r="N307" s="496"/>
      <c r="O307" s="496"/>
      <c r="P307" s="496"/>
    </row>
    <row r="308" spans="1:26" ht="18.75" hidden="1">
      <c r="A308" s="170"/>
      <c r="B308" s="171"/>
      <c r="C308" s="171"/>
      <c r="D308" s="446" t="s">
        <v>140</v>
      </c>
      <c r="E308" s="446"/>
      <c r="F308" s="446"/>
      <c r="G308" s="179"/>
      <c r="H308" s="755"/>
      <c r="I308" s="269"/>
      <c r="J308" s="214">
        <v>0</v>
      </c>
      <c r="K308" s="496"/>
      <c r="L308" s="496"/>
      <c r="M308" s="496"/>
      <c r="N308" s="496"/>
      <c r="O308" s="496"/>
      <c r="P308" s="496"/>
    </row>
    <row r="309" spans="1:26" ht="18.75" hidden="1">
      <c r="A309" s="170"/>
      <c r="B309" s="171"/>
      <c r="C309" s="171"/>
      <c r="D309" s="446" t="s">
        <v>141</v>
      </c>
      <c r="E309" s="446"/>
      <c r="F309" s="446"/>
      <c r="G309" s="179"/>
      <c r="H309" s="755" t="s">
        <v>35</v>
      </c>
      <c r="I309" s="269">
        <f ca="1">IFERROR(__xludf.DUMMYFUNCTION("IMPORTRANGE(""https://docs.google.com/spreadsheets/d/1QqKyyYR6Q21VydFLVH3TRQUabQu_ym0Zz7PgGX0-kHA/edit?usp=sharing"",""แผน!ED61"")"),0)</f>
        <v>0</v>
      </c>
      <c r="J309" s="214">
        <v>0</v>
      </c>
      <c r="K309" s="496">
        <f t="shared" ref="K309:K312" ca="1" si="141">IF(I309&gt;0,J309*100/I309,0)</f>
        <v>0</v>
      </c>
      <c r="L309" s="496"/>
      <c r="M309" s="496"/>
      <c r="N309" s="496"/>
      <c r="O309" s="496"/>
      <c r="P309" s="496"/>
    </row>
    <row r="310" spans="1:26" ht="18.75" hidden="1">
      <c r="A310" s="170"/>
      <c r="B310" s="171"/>
      <c r="C310" s="171"/>
      <c r="D310" s="446" t="s">
        <v>142</v>
      </c>
      <c r="E310" s="446"/>
      <c r="F310" s="446"/>
      <c r="G310" s="179"/>
      <c r="H310" s="755" t="s">
        <v>35</v>
      </c>
      <c r="I310" s="269">
        <f ca="1">IFERROR(__xludf.DUMMYFUNCTION("IMPORTRANGE(""https://docs.google.com/spreadsheets/d/1QqKyyYR6Q21VydFLVH3TRQUabQu_ym0Zz7PgGX0-kHA/edit?usp=sharing"",""แผน!ED61"")"),0)</f>
        <v>0</v>
      </c>
      <c r="J310" s="214">
        <v>0</v>
      </c>
      <c r="K310" s="496">
        <f t="shared" ca="1" si="141"/>
        <v>0</v>
      </c>
      <c r="L310" s="496"/>
      <c r="M310" s="496"/>
      <c r="N310" s="496"/>
      <c r="O310" s="496"/>
      <c r="P310" s="496"/>
    </row>
    <row r="311" spans="1:26" ht="18.75" hidden="1">
      <c r="A311" s="170"/>
      <c r="B311" s="171"/>
      <c r="C311" s="171"/>
      <c r="D311" s="446" t="s">
        <v>59</v>
      </c>
      <c r="E311" s="446"/>
      <c r="F311" s="446"/>
      <c r="G311" s="179"/>
      <c r="H311" s="755" t="s">
        <v>35</v>
      </c>
      <c r="I311" s="269">
        <f ca="1">IFERROR(__xludf.DUMMYFUNCTION("IMPORTRANGE(""https://docs.google.com/spreadsheets/d/1QqKyyYR6Q21VydFLVH3TRQUabQu_ym0Zz7PgGX0-kHA/edit?usp=sharing"",""แผน!ED61"")"),0)</f>
        <v>0</v>
      </c>
      <c r="J311" s="214">
        <v>0</v>
      </c>
      <c r="K311" s="496">
        <f t="shared" ca="1" si="141"/>
        <v>0</v>
      </c>
      <c r="L311" s="496"/>
      <c r="M311" s="496"/>
      <c r="N311" s="496"/>
      <c r="O311" s="496"/>
      <c r="P311" s="496"/>
    </row>
    <row r="312" spans="1:26" ht="18.75" hidden="1">
      <c r="A312" s="170"/>
      <c r="B312" s="171"/>
      <c r="C312" s="171"/>
      <c r="D312" s="446" t="s">
        <v>143</v>
      </c>
      <c r="E312" s="446"/>
      <c r="F312" s="446"/>
      <c r="G312" s="179"/>
      <c r="H312" s="755" t="s">
        <v>35</v>
      </c>
      <c r="I312" s="269">
        <f ca="1">IFERROR(__xludf.DUMMYFUNCTION("IMPORTRANGE(""https://docs.google.com/spreadsheets/d/1QqKyyYR6Q21VydFLVH3TRQUabQu_ym0Zz7PgGX0-kHA/edit?usp=sharing"",""แผน!EE61"")"),0)</f>
        <v>0</v>
      </c>
      <c r="J312" s="214">
        <v>0</v>
      </c>
      <c r="K312" s="496">
        <f t="shared" ca="1" si="141"/>
        <v>0</v>
      </c>
      <c r="L312" s="496"/>
      <c r="M312" s="496"/>
      <c r="N312" s="496"/>
      <c r="O312" s="496"/>
      <c r="P312" s="496"/>
    </row>
    <row r="313" spans="1:26" ht="19.5" hidden="1">
      <c r="A313" s="431" t="s">
        <v>144</v>
      </c>
      <c r="B313" s="432"/>
      <c r="C313" s="432"/>
      <c r="D313" s="433"/>
      <c r="E313" s="432"/>
      <c r="F313" s="432"/>
      <c r="G313" s="432"/>
      <c r="H313" s="448"/>
      <c r="I313" s="436"/>
      <c r="J313" s="436"/>
      <c r="K313" s="437"/>
      <c r="L313" s="437"/>
      <c r="M313" s="437"/>
      <c r="N313" s="437"/>
      <c r="O313" s="437"/>
      <c r="P313" s="437"/>
    </row>
    <row r="314" spans="1:26" ht="19.5" hidden="1">
      <c r="A314" s="449"/>
      <c r="B314" s="439" t="s">
        <v>145</v>
      </c>
      <c r="C314" s="450"/>
      <c r="D314" s="451"/>
      <c r="E314" s="440"/>
      <c r="F314" s="440"/>
      <c r="G314" s="441"/>
      <c r="H314" s="442" t="s">
        <v>146</v>
      </c>
      <c r="I314" s="443">
        <f t="shared" ref="I314:J314" ca="1" si="142">I325</f>
        <v>0</v>
      </c>
      <c r="J314" s="443">
        <f t="shared" si="142"/>
        <v>0</v>
      </c>
      <c r="K314" s="444">
        <f ca="1">IF(I314&gt;0,J314*100/I314,0)</f>
        <v>0</v>
      </c>
      <c r="L314" s="445"/>
      <c r="M314" s="445"/>
      <c r="N314" s="445"/>
      <c r="O314" s="445"/>
      <c r="P314" s="445"/>
    </row>
    <row r="315" spans="1:26" ht="19.5" hidden="1">
      <c r="A315" s="147"/>
      <c r="B315" s="148"/>
      <c r="C315" s="149" t="s">
        <v>16</v>
      </c>
      <c r="D315" s="822" t="s">
        <v>17</v>
      </c>
      <c r="E315" s="148"/>
      <c r="F315" s="148"/>
      <c r="G315" s="151"/>
      <c r="H315" s="152" t="s">
        <v>12</v>
      </c>
      <c r="I315" s="419"/>
      <c r="J315" s="419"/>
      <c r="K315" s="154"/>
      <c r="L315" s="155">
        <f t="shared" ref="L315:N315" ca="1" si="143">L316+L317</f>
        <v>0</v>
      </c>
      <c r="M315" s="155">
        <f t="shared" ca="1" si="143"/>
        <v>0</v>
      </c>
      <c r="N315" s="155">
        <f t="shared" ca="1" si="143"/>
        <v>0</v>
      </c>
      <c r="O315" s="155">
        <f t="shared" ref="O315:O323" ca="1" si="144">IF(L315&gt;0,N315*100/L315,0)</f>
        <v>0</v>
      </c>
      <c r="P315" s="155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2" t="s">
        <v>18</v>
      </c>
      <c r="F316" s="40"/>
      <c r="G316" s="157"/>
      <c r="H316" s="158" t="s">
        <v>12</v>
      </c>
      <c r="I316" s="610"/>
      <c r="J316" s="610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2" t="s">
        <v>19</v>
      </c>
      <c r="F317" s="40"/>
      <c r="G317" s="157"/>
      <c r="H317" s="158" t="s">
        <v>12</v>
      </c>
      <c r="I317" s="610"/>
      <c r="J317" s="610"/>
      <c r="K317" s="93"/>
      <c r="L317" s="93">
        <f t="shared" ca="1" si="146"/>
        <v>0</v>
      </c>
      <c r="M317" s="93">
        <f t="shared" ca="1" si="146"/>
        <v>0</v>
      </c>
      <c r="N317" s="93">
        <f t="shared" ca="1" si="146"/>
        <v>0</v>
      </c>
      <c r="O317" s="93">
        <f t="shared" ca="1" si="144"/>
        <v>0</v>
      </c>
      <c r="P317" s="93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1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6">
        <f t="shared" ref="L318:N318" ca="1" si="147">L319+L320</f>
        <v>0</v>
      </c>
      <c r="M318" s="496">
        <f t="shared" ca="1" si="147"/>
        <v>0</v>
      </c>
      <c r="N318" s="496">
        <f t="shared" ca="1" si="147"/>
        <v>0</v>
      </c>
      <c r="O318" s="496">
        <f t="shared" ca="1" si="144"/>
        <v>0</v>
      </c>
      <c r="P318" s="496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2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2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IFERROR(__xludf.DUMMYFUNCTION("IMPORTRANGE(""https://docs.google.com/spreadsheets/d/1MeEWN-I1oV_STSDYn1IFDPWt_1FKiwhDph83XaGc0o0/edit?usp=sharing"",""งบพรบ!EC61"")"),0)</f>
        <v>0</v>
      </c>
      <c r="M320" s="93">
        <f ca="1">IFERROR(__xludf.DUMMYFUNCTION("IMPORTRANGE(""https://docs.google.com/spreadsheets/d/1MeEWN-I1oV_STSDYn1IFDPWt_1FKiwhDph83XaGc0o0/edit?usp=sharing"",""งบพรบ!EH61"")"),0)</f>
        <v>0</v>
      </c>
      <c r="N320" s="93">
        <f ca="1">IFERROR(__xludf.DUMMYFUNCTION("IMPORTRANGE(""https://docs.google.com/spreadsheets/d/1MeEWN-I1oV_STSDYn1IFDPWt_1FKiwhDph83XaGc0o0/edit?usp=sharing"",""งบพรบ!EJ61"")"),0)</f>
        <v>0</v>
      </c>
      <c r="O320" s="93">
        <f t="shared" ca="1" si="144"/>
        <v>0</v>
      </c>
      <c r="P320" s="93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1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6">
        <f t="shared" ref="L321:N321" ca="1" si="148">L322+L323</f>
        <v>0</v>
      </c>
      <c r="M321" s="496">
        <f t="shared" ca="1" si="148"/>
        <v>0</v>
      </c>
      <c r="N321" s="496">
        <f t="shared" ca="1" si="148"/>
        <v>0</v>
      </c>
      <c r="O321" s="496">
        <f t="shared" ca="1" si="144"/>
        <v>0</v>
      </c>
      <c r="P321" s="496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2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2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IFERROR(__xludf.DUMMYFUNCTION("IMPORTRANGE(""https://docs.google.com/spreadsheets/d/1MeEWN-I1oV_STSDYn1IFDPWt_1FKiwhDph83XaGc0o0/edit?usp=sharing"",""งบพรบ!EF61"")"),0)</f>
        <v>0</v>
      </c>
      <c r="M323" s="93">
        <f ca="1">IFERROR(__xludf.DUMMYFUNCTION("IMPORTRANGE(""https://docs.google.com/spreadsheets/d/1MeEWN-I1oV_STSDYn1IFDPWt_1FKiwhDph83XaGc0o0/edit?usp=sharing"",""งบพรบ!EI61"")"),0)</f>
        <v>0</v>
      </c>
      <c r="N323" s="93">
        <f ca="1">IFERROR(__xludf.DUMMYFUNCTION("IMPORTRANGE(""https://docs.google.com/spreadsheets/d/1MeEWN-I1oV_STSDYn1IFDPWt_1FKiwhDph83XaGc0o0/edit?usp=sharing"",""งบพรบ!EK61"")"),0)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23" t="s">
        <v>38</v>
      </c>
      <c r="E324" s="173"/>
      <c r="F324" s="173"/>
      <c r="G324" s="174"/>
      <c r="H324" s="753"/>
      <c r="I324" s="184"/>
      <c r="J324" s="269"/>
      <c r="K324" s="496"/>
      <c r="L324" s="496"/>
      <c r="M324" s="496"/>
      <c r="N324" s="496"/>
      <c r="O324" s="163"/>
      <c r="P324" s="163"/>
    </row>
    <row r="325" spans="1:26" ht="18.75" hidden="1">
      <c r="A325" s="170"/>
      <c r="B325" s="171"/>
      <c r="C325" s="171"/>
      <c r="D325" s="176" t="s">
        <v>147</v>
      </c>
      <c r="E325" s="178"/>
      <c r="F325" s="446"/>
      <c r="G325" s="179"/>
      <c r="H325" s="616" t="s">
        <v>146</v>
      </c>
      <c r="I325" s="269">
        <f ca="1">IFERROR(__xludf.DUMMYFUNCTION("IMPORTRANGE(""https://docs.google.com/spreadsheets/d/1QqKyyYR6Q21VydFLVH3TRQUabQu_ym0Zz7PgGX0-kHA/edit?usp=sharing"",""แผน!EF61"")"),0)</f>
        <v>0</v>
      </c>
      <c r="J325" s="214">
        <v>0</v>
      </c>
      <c r="K325" s="496">
        <f ca="1">IF(I325&gt;0,J325*100/I325,0)</f>
        <v>0</v>
      </c>
      <c r="L325" s="496"/>
      <c r="M325" s="496"/>
      <c r="N325" s="496"/>
      <c r="O325" s="163"/>
      <c r="P325" s="163"/>
    </row>
    <row r="326" spans="1:26" ht="19.5">
      <c r="A326" s="431" t="s">
        <v>148</v>
      </c>
      <c r="B326" s="432"/>
      <c r="C326" s="432"/>
      <c r="D326" s="433"/>
      <c r="E326" s="432"/>
      <c r="F326" s="432"/>
      <c r="G326" s="432"/>
      <c r="H326" s="448"/>
      <c r="I326" s="436"/>
      <c r="J326" s="436"/>
      <c r="K326" s="437"/>
      <c r="L326" s="437"/>
      <c r="M326" s="437"/>
      <c r="N326" s="437"/>
      <c r="O326" s="437"/>
      <c r="P326" s="437"/>
    </row>
    <row r="327" spans="1:26" ht="19.5">
      <c r="A327" s="438"/>
      <c r="B327" s="439" t="s">
        <v>149</v>
      </c>
      <c r="C327" s="451"/>
      <c r="D327" s="440"/>
      <c r="E327" s="440"/>
      <c r="F327" s="440"/>
      <c r="G327" s="441"/>
      <c r="H327" s="442" t="s">
        <v>35</v>
      </c>
      <c r="I327" s="443">
        <f ca="1">IFERROR(__xludf.DUMMYFUNCTION("IMPORTRANGE(""https://docs.google.com/spreadsheets/d/1QqKyyYR6Q21VydFLVH3TRQUabQu_ym0Zz7PgGX0-kHA/edit?usp=sharing"",""แผน!EG61"")"),1400)</f>
        <v>1400</v>
      </c>
      <c r="J327" s="443">
        <f ca="1">J338+J341+J342+J343</f>
        <v>154</v>
      </c>
      <c r="K327" s="444">
        <f ca="1">IF(I327&gt;0,J327*100/I327,0)</f>
        <v>11</v>
      </c>
      <c r="L327" s="445"/>
      <c r="M327" s="445"/>
      <c r="N327" s="445"/>
      <c r="O327" s="445"/>
      <c r="P327" s="445"/>
    </row>
    <row r="328" spans="1:26" ht="19.5">
      <c r="A328" s="147"/>
      <c r="B328" s="148"/>
      <c r="C328" s="149" t="s">
        <v>16</v>
      </c>
      <c r="D328" s="822" t="s">
        <v>17</v>
      </c>
      <c r="E328" s="148"/>
      <c r="F328" s="148"/>
      <c r="G328" s="151"/>
      <c r="H328" s="152" t="s">
        <v>12</v>
      </c>
      <c r="I328" s="419"/>
      <c r="J328" s="419"/>
      <c r="K328" s="154"/>
      <c r="L328" s="155">
        <f t="shared" ref="L328:N328" ca="1" si="149">L329+L330</f>
        <v>337200</v>
      </c>
      <c r="M328" s="155">
        <f t="shared" ca="1" si="149"/>
        <v>168600</v>
      </c>
      <c r="N328" s="155">
        <f t="shared" ca="1" si="149"/>
        <v>72250.009999999995</v>
      </c>
      <c r="O328" s="155">
        <f t="shared" ref="O328:O336" ca="1" si="150">IF(L328&gt;0,N328*100/L328,0)</f>
        <v>21.426456109134044</v>
      </c>
      <c r="P328" s="155">
        <f t="shared" ref="P328:P336" ca="1" si="151">IF(M328&gt;0,N328*100/M328,0)</f>
        <v>42.852912218268088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2" t="s">
        <v>18</v>
      </c>
      <c r="F329" s="40"/>
      <c r="G329" s="157"/>
      <c r="H329" s="158" t="s">
        <v>12</v>
      </c>
      <c r="I329" s="610"/>
      <c r="J329" s="610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2" t="s">
        <v>19</v>
      </c>
      <c r="F330" s="40"/>
      <c r="G330" s="157"/>
      <c r="H330" s="158" t="s">
        <v>12</v>
      </c>
      <c r="I330" s="610"/>
      <c r="J330" s="610"/>
      <c r="K330" s="93"/>
      <c r="L330" s="93">
        <f t="shared" ca="1" si="152"/>
        <v>337200</v>
      </c>
      <c r="M330" s="93">
        <f t="shared" ca="1" si="152"/>
        <v>168600</v>
      </c>
      <c r="N330" s="93">
        <f t="shared" ca="1" si="152"/>
        <v>72250.009999999995</v>
      </c>
      <c r="O330" s="93">
        <f t="shared" ca="1" si="150"/>
        <v>21.426456109134044</v>
      </c>
      <c r="P330" s="93">
        <f t="shared" ca="1" si="151"/>
        <v>42.852912218268088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1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6">
        <f t="shared" ref="L331:N331" ca="1" si="153">L332+L333</f>
        <v>337200</v>
      </c>
      <c r="M331" s="496">
        <f t="shared" ca="1" si="153"/>
        <v>168600</v>
      </c>
      <c r="N331" s="496">
        <f t="shared" ca="1" si="153"/>
        <v>72250.009999999995</v>
      </c>
      <c r="O331" s="496">
        <f t="shared" ca="1" si="150"/>
        <v>21.426456109134044</v>
      </c>
      <c r="P331" s="496">
        <f t="shared" ca="1" si="151"/>
        <v>42.852912218268088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2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2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IFERROR(__xludf.DUMMYFUNCTION("IMPORTRANGE(""https://docs.google.com/spreadsheets/d/1MeEWN-I1oV_STSDYn1IFDPWt_1FKiwhDph83XaGc0o0/edit?usp=sharing"",""งบพรบ!EM61"")"),337200)</f>
        <v>337200</v>
      </c>
      <c r="M333" s="93">
        <f ca="1">IFERROR(__xludf.DUMMYFUNCTION("IMPORTRANGE(""https://docs.google.com/spreadsheets/d/1MeEWN-I1oV_STSDYn1IFDPWt_1FKiwhDph83XaGc0o0/edit?usp=sharing"",""งบพรบ!ER61"")"),168600)</f>
        <v>168600</v>
      </c>
      <c r="N333" s="93">
        <f ca="1">IFERROR(__xludf.DUMMYFUNCTION("IMPORTRANGE(""https://docs.google.com/spreadsheets/d/1MeEWN-I1oV_STSDYn1IFDPWt_1FKiwhDph83XaGc0o0/edit?usp=sharing"",""งบพรบ!ET61"")"),72250.01)</f>
        <v>72250.009999999995</v>
      </c>
      <c r="O333" s="93">
        <f t="shared" ca="1" si="150"/>
        <v>21.426456109134044</v>
      </c>
      <c r="P333" s="93">
        <f t="shared" ca="1" si="151"/>
        <v>42.852912218268088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1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6">
        <f t="shared" ref="L334:N334" ca="1" si="154">L335+L336</f>
        <v>0</v>
      </c>
      <c r="M334" s="496">
        <f t="shared" ca="1" si="154"/>
        <v>0</v>
      </c>
      <c r="N334" s="496">
        <f t="shared" ca="1" si="154"/>
        <v>0</v>
      </c>
      <c r="O334" s="496">
        <f t="shared" ca="1" si="150"/>
        <v>0</v>
      </c>
      <c r="P334" s="496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2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2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IFERROR(__xludf.DUMMYFUNCTION("IMPORTRANGE(""https://docs.google.com/spreadsheets/d/1MeEWN-I1oV_STSDYn1IFDPWt_1FKiwhDph83XaGc0o0/edit?usp=sharing"",""งบพรบ!EP61"")"),0)</f>
        <v>0</v>
      </c>
      <c r="M336" s="93">
        <f ca="1">IFERROR(__xludf.DUMMYFUNCTION("IMPORTRANGE(""https://docs.google.com/spreadsheets/d/1MeEWN-I1oV_STSDYn1IFDPWt_1FKiwhDph83XaGc0o0/edit?usp=sharing"",""งบพรบ!ES61"")"),0)</f>
        <v>0</v>
      </c>
      <c r="N336" s="93">
        <f ca="1">IFERROR(__xludf.DUMMYFUNCTION("IMPORTRANGE(""https://docs.google.com/spreadsheets/d/1MeEWN-I1oV_STSDYn1IFDPWt_1FKiwhDph83XaGc0o0/edit?usp=sharing"",""งบพรบ!EU61"")"),0)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23" t="s">
        <v>38</v>
      </c>
      <c r="E337" s="173"/>
      <c r="F337" s="173"/>
      <c r="G337" s="174"/>
      <c r="H337" s="753"/>
      <c r="I337" s="184"/>
      <c r="J337" s="269"/>
      <c r="K337" s="496"/>
      <c r="L337" s="496"/>
      <c r="M337" s="496"/>
      <c r="N337" s="496"/>
      <c r="O337" s="163"/>
      <c r="P337" s="163"/>
    </row>
    <row r="338" spans="1:26" ht="18.75">
      <c r="A338" s="284"/>
      <c r="B338" s="33"/>
      <c r="C338" s="280"/>
      <c r="D338" s="446" t="s">
        <v>150</v>
      </c>
      <c r="E338" s="171"/>
      <c r="F338" s="33"/>
      <c r="G338" s="35"/>
      <c r="H338" s="276" t="s">
        <v>35</v>
      </c>
      <c r="I338" s="269">
        <f ca="1">IFERROR(__xludf.DUMMYFUNCTION("IMPORTRANGE(""https://docs.google.com/spreadsheets/d/1QqKyyYR6Q21VydFLVH3TRQUabQu_ym0Zz7PgGX0-kHA/edit?usp=sharing"",""แผน!EG61"")"),1400)</f>
        <v>1400</v>
      </c>
      <c r="J338" s="269">
        <f ca="1">IFERROR(__xludf.DUMMYFUNCTION("IMPORTRANGE(""https://docs.google.com/spreadsheets/d/1kVcqe37tkHyjCSG3S0O1AXqVkqjo8mSIZil3BcpIysc/edit?usp=sharing"",""ศูนย์!D61"")"),154)</f>
        <v>154</v>
      </c>
      <c r="K338" s="496">
        <f ca="1">IF(I338&gt;0,J338*100/I338,0)</f>
        <v>11</v>
      </c>
      <c r="L338" s="496"/>
      <c r="M338" s="496"/>
      <c r="N338" s="496"/>
      <c r="O338" s="496"/>
      <c r="P338" s="496"/>
    </row>
    <row r="339" spans="1:26" ht="18.75">
      <c r="A339" s="284"/>
      <c r="B339" s="33"/>
      <c r="C339" s="280"/>
      <c r="D339" s="446" t="s">
        <v>151</v>
      </c>
      <c r="E339" s="171"/>
      <c r="F339" s="33"/>
      <c r="G339" s="35"/>
      <c r="H339" s="276"/>
      <c r="I339" s="269"/>
      <c r="J339" s="269"/>
      <c r="K339" s="496"/>
      <c r="L339" s="496"/>
      <c r="M339" s="496"/>
      <c r="N339" s="496"/>
      <c r="O339" s="496"/>
      <c r="P339" s="496"/>
    </row>
    <row r="340" spans="1:26" ht="18.75">
      <c r="A340" s="284"/>
      <c r="B340" s="33"/>
      <c r="C340" s="280"/>
      <c r="D340" s="178"/>
      <c r="E340" s="446" t="s">
        <v>152</v>
      </c>
      <c r="F340" s="33"/>
      <c r="G340" s="35"/>
      <c r="H340" s="276" t="s">
        <v>153</v>
      </c>
      <c r="I340" s="269">
        <f ca="1">IFERROR(__xludf.DUMMYFUNCTION("IMPORTRANGE(""https://docs.google.com/spreadsheets/d/1QqKyyYR6Q21VydFLVH3TRQUabQu_ym0Zz7PgGX0-kHA/edit?usp=sharing"",""แผน!EH61"")"),2)</f>
        <v>2</v>
      </c>
      <c r="J340" s="269">
        <f ca="1">IFERROR(__xludf.DUMMYFUNCTION("IMPORTRANGE(""https://docs.google.com/spreadsheets/d/1kVcqe37tkHyjCSG3S0O1AXqVkqjo8mSIZil3BcpIysc/edit?usp=sharing"",""ศูนย์!E61"")"),0)</f>
        <v>0</v>
      </c>
      <c r="K340" s="496">
        <f ca="1">IF(I340&gt;0,J340*100/I340,0)</f>
        <v>0</v>
      </c>
      <c r="L340" s="496"/>
      <c r="M340" s="496"/>
      <c r="N340" s="496"/>
      <c r="O340" s="496"/>
      <c r="P340" s="496"/>
    </row>
    <row r="341" spans="1:26" ht="18.75">
      <c r="A341" s="284"/>
      <c r="B341" s="33"/>
      <c r="C341" s="280"/>
      <c r="D341" s="178"/>
      <c r="E341" s="446" t="s">
        <v>154</v>
      </c>
      <c r="F341" s="33"/>
      <c r="G341" s="35"/>
      <c r="H341" s="276" t="s">
        <v>35</v>
      </c>
      <c r="I341" s="269"/>
      <c r="J341" s="269">
        <f ca="1">IFERROR(__xludf.DUMMYFUNCTION("IMPORTRANGE(""https://docs.google.com/spreadsheets/d/1kVcqe37tkHyjCSG3S0O1AXqVkqjo8mSIZil3BcpIysc/edit?usp=sharing"",""ศูนย์!F61"")"),0)</f>
        <v>0</v>
      </c>
      <c r="K341" s="496"/>
      <c r="L341" s="496"/>
      <c r="M341" s="496"/>
      <c r="N341" s="496"/>
      <c r="O341" s="496"/>
      <c r="P341" s="496"/>
    </row>
    <row r="342" spans="1:26" ht="18.75">
      <c r="A342" s="284"/>
      <c r="B342" s="33"/>
      <c r="C342" s="280"/>
      <c r="D342" s="446" t="s">
        <v>155</v>
      </c>
      <c r="E342" s="178"/>
      <c r="F342" s="178"/>
      <c r="G342" s="35"/>
      <c r="H342" s="276" t="s">
        <v>35</v>
      </c>
      <c r="I342" s="269"/>
      <c r="J342" s="269">
        <f ca="1">IFERROR(__xludf.DUMMYFUNCTION("IMPORTRANGE(""https://docs.google.com/spreadsheets/d/1kVcqe37tkHyjCSG3S0O1AXqVkqjo8mSIZil3BcpIysc/edit?usp=sharing"",""ศูนย์!G61"")"),0)</f>
        <v>0</v>
      </c>
      <c r="K342" s="496"/>
      <c r="L342" s="496"/>
      <c r="M342" s="496"/>
      <c r="N342" s="496"/>
      <c r="O342" s="496"/>
      <c r="P342" s="496"/>
    </row>
    <row r="343" spans="1:26" ht="18.75">
      <c r="A343" s="284"/>
      <c r="B343" s="33"/>
      <c r="C343" s="280"/>
      <c r="D343" s="446" t="s">
        <v>156</v>
      </c>
      <c r="E343" s="178"/>
      <c r="F343" s="178"/>
      <c r="G343" s="35"/>
      <c r="H343" s="276" t="s">
        <v>35</v>
      </c>
      <c r="I343" s="269"/>
      <c r="J343" s="269">
        <f ca="1">IFERROR(__xludf.DUMMYFUNCTION("IMPORTRANGE(""https://docs.google.com/spreadsheets/d/1kVcqe37tkHyjCSG3S0O1AXqVkqjo8mSIZil3BcpIysc/edit?usp=sharing"",""ศูนย์!H61"")"),0)</f>
        <v>0</v>
      </c>
      <c r="K343" s="496"/>
      <c r="L343" s="496"/>
      <c r="M343" s="496"/>
      <c r="N343" s="496"/>
      <c r="O343" s="496"/>
      <c r="P343" s="496"/>
    </row>
    <row r="344" spans="1:26" ht="19.5">
      <c r="A344" s="438"/>
      <c r="B344" s="439" t="s">
        <v>157</v>
      </c>
      <c r="C344" s="451"/>
      <c r="D344" s="440"/>
      <c r="E344" s="440"/>
      <c r="F344" s="440"/>
      <c r="G344" s="441"/>
      <c r="H344" s="442"/>
      <c r="I344" s="452"/>
      <c r="J344" s="452"/>
      <c r="K344" s="445"/>
      <c r="L344" s="445"/>
      <c r="M344" s="445"/>
      <c r="N344" s="445"/>
      <c r="O344" s="445"/>
      <c r="P344" s="445"/>
    </row>
    <row r="345" spans="1:26" ht="19.5">
      <c r="A345" s="147"/>
      <c r="B345" s="148"/>
      <c r="C345" s="149" t="s">
        <v>16</v>
      </c>
      <c r="D345" s="822" t="s">
        <v>17</v>
      </c>
      <c r="E345" s="148"/>
      <c r="F345" s="148"/>
      <c r="G345" s="151"/>
      <c r="H345" s="152" t="s">
        <v>12</v>
      </c>
      <c r="I345" s="419"/>
      <c r="J345" s="419"/>
      <c r="K345" s="154"/>
      <c r="L345" s="155">
        <f t="shared" ref="L345:N345" ca="1" si="155">L346+L347</f>
        <v>306980</v>
      </c>
      <c r="M345" s="155">
        <f t="shared" ca="1" si="155"/>
        <v>210390</v>
      </c>
      <c r="N345" s="155">
        <f t="shared" ca="1" si="155"/>
        <v>137233.33000000002</v>
      </c>
      <c r="O345" s="155">
        <f t="shared" ref="O345:O353" ca="1" si="156">IF(L345&gt;0,N345*100/L345,0)</f>
        <v>44.704322757182887</v>
      </c>
      <c r="P345" s="155">
        <f t="shared" ref="P345:P353" ca="1" si="157">IF(M345&gt;0,N345*100/M345,0)</f>
        <v>65.228066923332861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2" t="s">
        <v>18</v>
      </c>
      <c r="F346" s="40"/>
      <c r="G346" s="157"/>
      <c r="H346" s="158" t="s">
        <v>12</v>
      </c>
      <c r="I346" s="610"/>
      <c r="J346" s="610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2" t="s">
        <v>19</v>
      </c>
      <c r="F347" s="40"/>
      <c r="G347" s="157"/>
      <c r="H347" s="158" t="s">
        <v>12</v>
      </c>
      <c r="I347" s="610"/>
      <c r="J347" s="610"/>
      <c r="K347" s="93"/>
      <c r="L347" s="93">
        <f t="shared" ca="1" si="158"/>
        <v>306980</v>
      </c>
      <c r="M347" s="93">
        <f t="shared" ca="1" si="158"/>
        <v>210390</v>
      </c>
      <c r="N347" s="93">
        <f t="shared" ca="1" si="158"/>
        <v>137233.33000000002</v>
      </c>
      <c r="O347" s="93">
        <f t="shared" ca="1" si="156"/>
        <v>44.704322757182887</v>
      </c>
      <c r="P347" s="93">
        <f t="shared" ca="1" si="157"/>
        <v>65.228066923332861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1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6">
        <f t="shared" ref="L348:N348" ca="1" si="159">L349+L350</f>
        <v>193180</v>
      </c>
      <c r="M348" s="496">
        <f t="shared" ca="1" si="159"/>
        <v>96590</v>
      </c>
      <c r="N348" s="496">
        <f t="shared" ca="1" si="159"/>
        <v>23433.33</v>
      </c>
      <c r="O348" s="496">
        <f t="shared" ca="1" si="156"/>
        <v>12.130308520550782</v>
      </c>
      <c r="P348" s="496">
        <f t="shared" ca="1" si="157"/>
        <v>24.260617041101565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2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2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IFERROR(__xludf.DUMMYFUNCTION("IMPORTRANGE(""https://docs.google.com/spreadsheets/d/1MeEWN-I1oV_STSDYn1IFDPWt_1FKiwhDph83XaGc0o0/edit?usp=sharing"",""งบพรบ!EW61"")"),193180)</f>
        <v>193180</v>
      </c>
      <c r="M350" s="93">
        <f ca="1">IFERROR(__xludf.DUMMYFUNCTION("IMPORTRANGE(""https://docs.google.com/spreadsheets/d/1MeEWN-I1oV_STSDYn1IFDPWt_1FKiwhDph83XaGc0o0/edit?usp=sharing"",""งบพรบ!FB61"")"),96590)</f>
        <v>96590</v>
      </c>
      <c r="N350" s="93">
        <f ca="1">IFERROR(__xludf.DUMMYFUNCTION("IMPORTRANGE(""https://docs.google.com/spreadsheets/d/1MeEWN-I1oV_STSDYn1IFDPWt_1FKiwhDph83XaGc0o0/edit?usp=sharing"",""งบพรบ!FD61"")"),23433.33)</f>
        <v>23433.33</v>
      </c>
      <c r="O350" s="93">
        <f t="shared" ca="1" si="156"/>
        <v>12.130308520550782</v>
      </c>
      <c r="P350" s="93">
        <f t="shared" ca="1" si="157"/>
        <v>24.260617041101565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1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6">
        <f t="shared" ref="L351:N351" ca="1" si="160">L352+L353</f>
        <v>113800</v>
      </c>
      <c r="M351" s="496">
        <f t="shared" ca="1" si="160"/>
        <v>113800</v>
      </c>
      <c r="N351" s="496">
        <f t="shared" ca="1" si="160"/>
        <v>113800</v>
      </c>
      <c r="O351" s="496">
        <f t="shared" ca="1" si="156"/>
        <v>100</v>
      </c>
      <c r="P351" s="496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2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2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IFERROR(__xludf.DUMMYFUNCTION("IMPORTRANGE(""https://docs.google.com/spreadsheets/d/1MeEWN-I1oV_STSDYn1IFDPWt_1FKiwhDph83XaGc0o0/edit?usp=sharing"",""งบพรบ!EZ61"")"),113800)</f>
        <v>113800</v>
      </c>
      <c r="M353" s="93">
        <f ca="1">IFERROR(__xludf.DUMMYFUNCTION("IMPORTRANGE(""https://docs.google.com/spreadsheets/d/1MeEWN-I1oV_STSDYn1IFDPWt_1FKiwhDph83XaGc0o0/edit?usp=sharing"",""งบพรบ!FC61"")"),113800)</f>
        <v>113800</v>
      </c>
      <c r="N353" s="93">
        <f ca="1">IFERROR(__xludf.DUMMYFUNCTION("IMPORTRANGE(""https://docs.google.com/spreadsheets/d/1MeEWN-I1oV_STSDYn1IFDPWt_1FKiwhDph83XaGc0o0/edit?usp=sharing"",""งบพรบ!FE61"")"),113800)</f>
        <v>113800</v>
      </c>
      <c r="O353" s="93">
        <f t="shared" ca="1" si="156"/>
        <v>100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 hidden="1">
      <c r="A354" s="255"/>
      <c r="B354" s="263"/>
      <c r="C354" s="256"/>
      <c r="D354" s="832" t="s">
        <v>158</v>
      </c>
      <c r="E354" s="256"/>
      <c r="F354" s="256"/>
      <c r="G354" s="258"/>
      <c r="H354" s="454"/>
      <c r="I354" s="260"/>
      <c r="J354" s="260"/>
      <c r="K354" s="261"/>
      <c r="L354" s="261"/>
      <c r="M354" s="261"/>
      <c r="N354" s="261"/>
      <c r="O354" s="261"/>
      <c r="P354" s="261"/>
    </row>
    <row r="355" spans="1:26" ht="19.5" hidden="1">
      <c r="A355" s="455"/>
      <c r="B355" s="456"/>
      <c r="C355" s="457"/>
      <c r="D355" s="833" t="s">
        <v>159</v>
      </c>
      <c r="E355" s="459"/>
      <c r="F355" s="459"/>
      <c r="G355" s="460"/>
      <c r="H355" s="461" t="s">
        <v>35</v>
      </c>
      <c r="I355" s="463">
        <f ca="1">IFERROR(__xludf.DUMMYFUNCTION("IMPORTRANGE(""https://docs.google.com/spreadsheets/d/1QqKyyYR6Q21VydFLVH3TRQUabQu_ym0Zz7PgGX0-kHA/edit?usp=sharing"",""แผน!EP61"")"),0)</f>
        <v>0</v>
      </c>
      <c r="J355" s="463">
        <f ca="1">J362</f>
        <v>0</v>
      </c>
      <c r="K355" s="464">
        <f ca="1">IF(I355&gt;0,J355*100/I355,0)</f>
        <v>0</v>
      </c>
      <c r="L355" s="465"/>
      <c r="M355" s="465"/>
      <c r="N355" s="465"/>
      <c r="O355" s="465"/>
      <c r="P355" s="465"/>
    </row>
    <row r="356" spans="1:26" ht="19.5" hidden="1">
      <c r="A356" s="455"/>
      <c r="B356" s="456"/>
      <c r="C356" s="457"/>
      <c r="D356" s="466" t="s">
        <v>160</v>
      </c>
      <c r="E356" s="459"/>
      <c r="F356" s="459"/>
      <c r="G356" s="460"/>
      <c r="H356" s="467"/>
      <c r="I356" s="468"/>
      <c r="J356" s="468"/>
      <c r="K356" s="465"/>
      <c r="L356" s="465"/>
      <c r="M356" s="465"/>
      <c r="N356" s="465"/>
      <c r="O356" s="465"/>
      <c r="P356" s="465"/>
    </row>
    <row r="357" spans="1:26" ht="19.5" hidden="1">
      <c r="A357" s="170"/>
      <c r="B357" s="171"/>
      <c r="C357" s="164" t="s">
        <v>16</v>
      </c>
      <c r="D357" s="823" t="s">
        <v>38</v>
      </c>
      <c r="E357" s="173"/>
      <c r="F357" s="173"/>
      <c r="G357" s="174"/>
      <c r="H357" s="753"/>
      <c r="I357" s="269"/>
      <c r="J357" s="269"/>
      <c r="K357" s="496"/>
      <c r="L357" s="163"/>
      <c r="M357" s="163"/>
      <c r="N357" s="163"/>
      <c r="O357" s="163"/>
      <c r="P357" s="163"/>
    </row>
    <row r="358" spans="1:26" ht="18.75" hidden="1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69">
        <v>0</v>
      </c>
      <c r="J358" s="269">
        <f ca="1">IFERROR(__xludf.DUMMYFUNCTION("IMPORTRANGE(""https://docs.google.com/spreadsheets/d/1XWAQStnk-4SwqDmLtmXYiTMKHgktTP8We1SCoS47DrQ/edit?usp=sharing"",""จัดที่ดิน!W61"")"),0)</f>
        <v>0</v>
      </c>
      <c r="K358" s="496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 hidden="1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69">
        <f ca="1">IFERROR(__xludf.DUMMYFUNCTION("IMPORTRANGE(""https://docs.google.com/spreadsheets/d/1QqKyyYR6Q21VydFLVH3TRQUabQu_ym0Zz7PgGX0-kHA/edit?usp=sharing"",""แผน!EO61"")"),0)</f>
        <v>0</v>
      </c>
      <c r="J359" s="269">
        <f ca="1">IFERROR(__xludf.DUMMYFUNCTION("IMPORTRANGE(""https://docs.google.com/spreadsheets/d/1XWAQStnk-4SwqDmLtmXYiTMKHgktTP8We1SCoS47DrQ/edit?usp=sharing"",""จัดที่ดิน!X61"")"),0)</f>
        <v>0</v>
      </c>
      <c r="K359" s="496">
        <f t="shared" ca="1" si="161"/>
        <v>0</v>
      </c>
      <c r="L359" s="163"/>
      <c r="M359" s="163"/>
      <c r="N359" s="163"/>
      <c r="O359" s="163"/>
      <c r="P359" s="163"/>
    </row>
    <row r="360" spans="1:26" ht="18.75" hidden="1">
      <c r="A360" s="170"/>
      <c r="B360" s="178"/>
      <c r="C360" s="171"/>
      <c r="D360" s="178"/>
      <c r="E360" s="176" t="s">
        <v>162</v>
      </c>
      <c r="F360" s="178"/>
      <c r="G360" s="179"/>
      <c r="H360" s="755" t="s">
        <v>35</v>
      </c>
      <c r="I360" s="269">
        <f ca="1">IFERROR(__xludf.DUMMYFUNCTION("IMPORTRANGE(""https://docs.google.com/spreadsheets/d/1QqKyyYR6Q21VydFLVH3TRQUabQu_ym0Zz7PgGX0-kHA/edit?usp=sharing"",""แผน!EP61"")"),0)</f>
        <v>0</v>
      </c>
      <c r="J360" s="269">
        <f ca="1">IFERROR(__xludf.DUMMYFUNCTION("IMPORTRANGE(""https://docs.google.com/spreadsheets/d/1XWAQStnk-4SwqDmLtmXYiTMKHgktTP8We1SCoS47DrQ/edit?usp=sharing"",""จัดที่ดิน!Y61"")"),0)</f>
        <v>0</v>
      </c>
      <c r="K360" s="496">
        <f t="shared" ca="1" si="161"/>
        <v>0</v>
      </c>
      <c r="L360" s="163"/>
      <c r="M360" s="163"/>
      <c r="N360" s="163"/>
      <c r="O360" s="163"/>
      <c r="P360" s="163"/>
    </row>
    <row r="361" spans="1:26" ht="18.75" hidden="1">
      <c r="A361" s="170"/>
      <c r="B361" s="178"/>
      <c r="C361" s="171"/>
      <c r="D361" s="178"/>
      <c r="E361" s="178"/>
      <c r="F361" s="178"/>
      <c r="G361" s="179"/>
      <c r="H361" s="755" t="s">
        <v>46</v>
      </c>
      <c r="I361" s="269">
        <v>0</v>
      </c>
      <c r="J361" s="269">
        <f ca="1">IFERROR(__xludf.DUMMYFUNCTION("IMPORTRANGE(""https://docs.google.com/spreadsheets/d/1XWAQStnk-4SwqDmLtmXYiTMKHgktTP8We1SCoS47DrQ/edit?usp=sharing"",""จัดที่ดิน!Z61"")"),0)</f>
        <v>0</v>
      </c>
      <c r="K361" s="496">
        <f t="shared" si="161"/>
        <v>0</v>
      </c>
      <c r="L361" s="163"/>
      <c r="M361" s="163"/>
      <c r="N361" s="163"/>
      <c r="O361" s="163"/>
      <c r="P361" s="163"/>
    </row>
    <row r="362" spans="1:26" ht="18.75" hidden="1">
      <c r="A362" s="170"/>
      <c r="B362" s="178"/>
      <c r="C362" s="171"/>
      <c r="D362" s="178"/>
      <c r="E362" s="176" t="s">
        <v>163</v>
      </c>
      <c r="F362" s="178"/>
      <c r="G362" s="179"/>
      <c r="H362" s="755" t="s">
        <v>35</v>
      </c>
      <c r="I362" s="269">
        <f ca="1">IFERROR(__xludf.DUMMYFUNCTION("IMPORTRANGE(""https://docs.google.com/spreadsheets/d/1QqKyyYR6Q21VydFLVH3TRQUabQu_ym0Zz7PgGX0-kHA/edit?usp=sharing"",""แผน!EP61"")"),0)</f>
        <v>0</v>
      </c>
      <c r="J362" s="269">
        <f ca="1">IFERROR(__xludf.DUMMYFUNCTION("IMPORTRANGE(""https://docs.google.com/spreadsheets/d/1XWAQStnk-4SwqDmLtmXYiTMKHgktTP8We1SCoS47DrQ/edit?usp=sharing"",""จัดที่ดิน!AA61"")"),0)</f>
        <v>0</v>
      </c>
      <c r="K362" s="496">
        <f t="shared" ca="1" si="161"/>
        <v>0</v>
      </c>
      <c r="L362" s="163"/>
      <c r="M362" s="163"/>
      <c r="N362" s="163"/>
      <c r="O362" s="163"/>
      <c r="P362" s="163"/>
    </row>
    <row r="363" spans="1:26" ht="18.75" hidden="1">
      <c r="A363" s="469" t="s">
        <v>164</v>
      </c>
      <c r="B363" s="178"/>
      <c r="C363" s="171"/>
      <c r="D363" s="178"/>
      <c r="E363" s="446"/>
      <c r="F363" s="178"/>
      <c r="G363" s="179"/>
      <c r="H363" s="755" t="s">
        <v>46</v>
      </c>
      <c r="I363" s="269">
        <v>0</v>
      </c>
      <c r="J363" s="269">
        <f ca="1">IFERROR(__xludf.DUMMYFUNCTION("IMPORTRANGE(""https://docs.google.com/spreadsheets/d/1XWAQStnk-4SwqDmLtmXYiTMKHgktTP8We1SCoS47DrQ/edit?usp=sharing"",""จัดที่ดิน!AB61"")"),0)</f>
        <v>0</v>
      </c>
      <c r="K363" s="496">
        <f t="shared" si="161"/>
        <v>0</v>
      </c>
      <c r="L363" s="163"/>
      <c r="M363" s="163"/>
      <c r="N363" s="163"/>
      <c r="O363" s="163"/>
      <c r="P363" s="163"/>
    </row>
    <row r="364" spans="1:26" ht="19.5" hidden="1">
      <c r="A364" s="470"/>
      <c r="B364" s="471"/>
      <c r="C364" s="472"/>
      <c r="D364" s="473" t="s">
        <v>165</v>
      </c>
      <c r="E364" s="474"/>
      <c r="F364" s="474"/>
      <c r="G364" s="475"/>
      <c r="H364" s="476" t="s">
        <v>35</v>
      </c>
      <c r="I364" s="477">
        <f t="shared" ref="I364:J364" ca="1" si="162">I365+I374</f>
        <v>0</v>
      </c>
      <c r="J364" s="477">
        <f t="shared" ca="1" si="162"/>
        <v>0</v>
      </c>
      <c r="K364" s="478">
        <f t="shared" ca="1" si="161"/>
        <v>0</v>
      </c>
      <c r="L364" s="479"/>
      <c r="M364" s="479"/>
      <c r="N364" s="479"/>
      <c r="O364" s="479"/>
      <c r="P364" s="479"/>
      <c r="Q364" s="480"/>
      <c r="R364" s="480"/>
      <c r="S364" s="480"/>
      <c r="T364" s="480"/>
      <c r="U364" s="480"/>
      <c r="V364" s="480"/>
      <c r="W364" s="480"/>
      <c r="X364" s="480"/>
      <c r="Y364" s="480"/>
      <c r="Z364" s="480"/>
    </row>
    <row r="365" spans="1:26" ht="19.5" hidden="1">
      <c r="A365" s="481"/>
      <c r="B365" s="482"/>
      <c r="C365" s="484"/>
      <c r="D365" s="484" t="s">
        <v>166</v>
      </c>
      <c r="E365" s="485"/>
      <c r="F365" s="485"/>
      <c r="G365" s="486"/>
      <c r="H365" s="487" t="s">
        <v>35</v>
      </c>
      <c r="I365" s="489">
        <f ca="1">IFERROR(__xludf.DUMMYFUNCTION("IMPORTRANGE(""https://docs.google.com/spreadsheets/d/1QqKyyYR6Q21VydFLVH3TRQUabQu_ym0Zz7PgGX0-kHA/edit?usp=sharing"",""แผน!EJ61"")"),0)</f>
        <v>0</v>
      </c>
      <c r="J365" s="489">
        <f ca="1">J372</f>
        <v>0</v>
      </c>
      <c r="K365" s="490">
        <f t="shared" ca="1" si="161"/>
        <v>0</v>
      </c>
      <c r="L365" s="491"/>
      <c r="M365" s="491"/>
      <c r="N365" s="491"/>
      <c r="O365" s="491"/>
      <c r="P365" s="491"/>
      <c r="Q365" s="480"/>
      <c r="R365" s="480"/>
      <c r="S365" s="480"/>
      <c r="T365" s="480"/>
      <c r="U365" s="480"/>
      <c r="V365" s="480"/>
      <c r="W365" s="480"/>
      <c r="X365" s="480"/>
      <c r="Y365" s="480"/>
      <c r="Z365" s="480"/>
    </row>
    <row r="366" spans="1:26" ht="19.5" hidden="1">
      <c r="A366" s="481"/>
      <c r="B366" s="482"/>
      <c r="C366" s="484"/>
      <c r="D366" s="492" t="s">
        <v>167</v>
      </c>
      <c r="E366" s="485"/>
      <c r="F366" s="485"/>
      <c r="G366" s="486"/>
      <c r="H366" s="493"/>
      <c r="I366" s="494"/>
      <c r="J366" s="494"/>
      <c r="K366" s="491"/>
      <c r="L366" s="491"/>
      <c r="M366" s="491"/>
      <c r="N366" s="491"/>
      <c r="O366" s="491"/>
      <c r="P366" s="491"/>
      <c r="Q366" s="480"/>
      <c r="R366" s="480"/>
      <c r="S366" s="480"/>
      <c r="T366" s="480"/>
      <c r="U366" s="480"/>
      <c r="V366" s="480"/>
      <c r="W366" s="480"/>
      <c r="X366" s="480"/>
      <c r="Y366" s="480"/>
      <c r="Z366" s="480"/>
    </row>
    <row r="367" spans="1:26" ht="19.5" hidden="1">
      <c r="A367" s="170"/>
      <c r="B367" s="171"/>
      <c r="C367" s="164" t="s">
        <v>16</v>
      </c>
      <c r="D367" s="823" t="s">
        <v>38</v>
      </c>
      <c r="E367" s="173"/>
      <c r="F367" s="173"/>
      <c r="G367" s="174"/>
      <c r="H367" s="753"/>
      <c r="I367" s="269"/>
      <c r="J367" s="269"/>
      <c r="K367" s="496"/>
      <c r="L367" s="163"/>
      <c r="M367" s="163"/>
      <c r="N367" s="163"/>
      <c r="O367" s="163"/>
      <c r="P367" s="163"/>
    </row>
    <row r="368" spans="1:26" ht="18.75" hidden="1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69">
        <v>0</v>
      </c>
      <c r="J368" s="269">
        <f ca="1">IFERROR(__xludf.DUMMYFUNCTION("IMPORTRANGE(""https://docs.google.com/spreadsheets/d/1XWAQStnk-4SwqDmLtmXYiTMKHgktTP8We1SCoS47DrQ/edit?usp=sharing"",""จัดที่ดิน!E61"")"),0)</f>
        <v>0</v>
      </c>
      <c r="K368" s="496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 hidden="1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69">
        <f ca="1">IFERROR(__xludf.DUMMYFUNCTION("IMPORTRANGE(""https://docs.google.com/spreadsheets/d/1QqKyyYR6Q21VydFLVH3TRQUabQu_ym0Zz7PgGX0-kHA/edit?usp=sharing"",""แผน!EI61"")"),0)</f>
        <v>0</v>
      </c>
      <c r="J369" s="269">
        <f ca="1">IFERROR(__xludf.DUMMYFUNCTION("IMPORTRANGE(""https://docs.google.com/spreadsheets/d/1XWAQStnk-4SwqDmLtmXYiTMKHgktTP8We1SCoS47DrQ/edit?usp=sharing"",""จัดที่ดิน!F61"")"),0)</f>
        <v>0</v>
      </c>
      <c r="K369" s="496">
        <f t="shared" ca="1" si="163"/>
        <v>0</v>
      </c>
      <c r="L369" s="163"/>
      <c r="M369" s="163"/>
      <c r="N369" s="163"/>
      <c r="O369" s="163"/>
      <c r="P369" s="163"/>
    </row>
    <row r="370" spans="1:26" ht="18.75" hidden="1">
      <c r="A370" s="170"/>
      <c r="B370" s="178"/>
      <c r="C370" s="171"/>
      <c r="D370" s="178"/>
      <c r="E370" s="176" t="s">
        <v>162</v>
      </c>
      <c r="F370" s="178"/>
      <c r="G370" s="179"/>
      <c r="H370" s="755" t="s">
        <v>35</v>
      </c>
      <c r="I370" s="269">
        <f ca="1">IFERROR(__xludf.DUMMYFUNCTION("IMPORTRANGE(""https://docs.google.com/spreadsheets/d/1QqKyyYR6Q21VydFLVH3TRQUabQu_ym0Zz7PgGX0-kHA/edit?usp=sharing"",""แผน!EJ61"")"),0)</f>
        <v>0</v>
      </c>
      <c r="J370" s="269">
        <f ca="1">IFERROR(__xludf.DUMMYFUNCTION("IMPORTRANGE(""https://docs.google.com/spreadsheets/d/1XWAQStnk-4SwqDmLtmXYiTMKHgktTP8We1SCoS47DrQ/edit?usp=sharing"",""จัดที่ดิน!G61"")"),0)</f>
        <v>0</v>
      </c>
      <c r="K370" s="496">
        <f t="shared" ca="1" si="163"/>
        <v>0</v>
      </c>
      <c r="L370" s="163"/>
      <c r="M370" s="163"/>
      <c r="N370" s="163"/>
      <c r="O370" s="163"/>
      <c r="P370" s="163"/>
    </row>
    <row r="371" spans="1:26" ht="18.75" hidden="1">
      <c r="A371" s="170"/>
      <c r="B371" s="178"/>
      <c r="C371" s="171"/>
      <c r="D371" s="178"/>
      <c r="E371" s="178"/>
      <c r="F371" s="178"/>
      <c r="G371" s="179"/>
      <c r="H371" s="755" t="s">
        <v>46</v>
      </c>
      <c r="I371" s="269">
        <v>0</v>
      </c>
      <c r="J371" s="269">
        <f ca="1">IFERROR(__xludf.DUMMYFUNCTION("IMPORTRANGE(""https://docs.google.com/spreadsheets/d/1XWAQStnk-4SwqDmLtmXYiTMKHgktTP8We1SCoS47DrQ/edit?usp=sharing"",""จัดที่ดิน!H61"")"),0)</f>
        <v>0</v>
      </c>
      <c r="K371" s="496">
        <f t="shared" si="163"/>
        <v>0</v>
      </c>
      <c r="L371" s="163"/>
      <c r="M371" s="163"/>
      <c r="N371" s="163"/>
      <c r="O371" s="163"/>
      <c r="P371" s="163"/>
    </row>
    <row r="372" spans="1:26" ht="18.75" hidden="1">
      <c r="A372" s="170"/>
      <c r="B372" s="178"/>
      <c r="C372" s="171"/>
      <c r="D372" s="178"/>
      <c r="E372" s="176" t="s">
        <v>163</v>
      </c>
      <c r="F372" s="178"/>
      <c r="G372" s="179"/>
      <c r="H372" s="755" t="s">
        <v>35</v>
      </c>
      <c r="I372" s="269">
        <f ca="1">IFERROR(__xludf.DUMMYFUNCTION("IMPORTRANGE(""https://docs.google.com/spreadsheets/d/1QqKyyYR6Q21VydFLVH3TRQUabQu_ym0Zz7PgGX0-kHA/edit?usp=sharing"",""แผน!EJ61"")"),0)</f>
        <v>0</v>
      </c>
      <c r="J372" s="269">
        <f ca="1">IFERROR(__xludf.DUMMYFUNCTION("IMPORTRANGE(""https://docs.google.com/spreadsheets/d/1XWAQStnk-4SwqDmLtmXYiTMKHgktTP8We1SCoS47DrQ/edit?usp=sharing"",""จัดที่ดิน!I61"")"),0)</f>
        <v>0</v>
      </c>
      <c r="K372" s="496">
        <f t="shared" ca="1" si="163"/>
        <v>0</v>
      </c>
      <c r="L372" s="163"/>
      <c r="M372" s="163"/>
      <c r="N372" s="163"/>
      <c r="O372" s="163"/>
      <c r="P372" s="163"/>
    </row>
    <row r="373" spans="1:26" ht="18.75" hidden="1">
      <c r="A373" s="469" t="s">
        <v>164</v>
      </c>
      <c r="B373" s="178"/>
      <c r="C373" s="171"/>
      <c r="D373" s="178"/>
      <c r="E373" s="446"/>
      <c r="F373" s="178"/>
      <c r="G373" s="179"/>
      <c r="H373" s="755" t="s">
        <v>46</v>
      </c>
      <c r="I373" s="269">
        <v>0</v>
      </c>
      <c r="J373" s="269">
        <f ca="1">IFERROR(__xludf.DUMMYFUNCTION("IMPORTRANGE(""https://docs.google.com/spreadsheets/d/1XWAQStnk-4SwqDmLtmXYiTMKHgktTP8We1SCoS47DrQ/edit?usp=sharing"",""จัดที่ดิน!J61"")"),0)</f>
        <v>0</v>
      </c>
      <c r="K373" s="496">
        <f t="shared" si="163"/>
        <v>0</v>
      </c>
      <c r="L373" s="163"/>
      <c r="M373" s="163"/>
      <c r="N373" s="163"/>
      <c r="O373" s="163"/>
      <c r="P373" s="163"/>
    </row>
    <row r="374" spans="1:26" ht="19.5" hidden="1">
      <c r="A374" s="481"/>
      <c r="B374" s="482"/>
      <c r="C374" s="484"/>
      <c r="D374" s="484" t="s">
        <v>168</v>
      </c>
      <c r="E374" s="485"/>
      <c r="F374" s="485"/>
      <c r="G374" s="486"/>
      <c r="H374" s="487" t="s">
        <v>35</v>
      </c>
      <c r="I374" s="495">
        <f ca="1">IFERROR(__xludf.DUMMYFUNCTION("IMPORTRANGE(""https://docs.google.com/spreadsheets/d/1QqKyyYR6Q21VydFLVH3TRQUabQu_ym0Zz7PgGX0-kHA/edit?usp=sharing"",""แผน!EU61"")"),0)</f>
        <v>0</v>
      </c>
      <c r="J374" s="489">
        <f ca="1">J381</f>
        <v>0</v>
      </c>
      <c r="K374" s="490">
        <f t="shared" ca="1" si="163"/>
        <v>0</v>
      </c>
      <c r="L374" s="491"/>
      <c r="M374" s="491"/>
      <c r="N374" s="491"/>
      <c r="O374" s="491"/>
      <c r="P374" s="491"/>
      <c r="Q374" s="480"/>
      <c r="R374" s="480"/>
      <c r="S374" s="480"/>
      <c r="T374" s="480"/>
      <c r="U374" s="480"/>
      <c r="V374" s="480"/>
      <c r="W374" s="480"/>
      <c r="X374" s="480"/>
      <c r="Y374" s="480"/>
      <c r="Z374" s="480"/>
    </row>
    <row r="375" spans="1:26" ht="19.5" hidden="1">
      <c r="A375" s="481"/>
      <c r="B375" s="482"/>
      <c r="C375" s="484"/>
      <c r="D375" s="492" t="s">
        <v>169</v>
      </c>
      <c r="E375" s="485"/>
      <c r="F375" s="485"/>
      <c r="G375" s="486"/>
      <c r="H375" s="493"/>
      <c r="I375" s="494"/>
      <c r="J375" s="494"/>
      <c r="K375" s="491"/>
      <c r="L375" s="491"/>
      <c r="M375" s="491"/>
      <c r="N375" s="491"/>
      <c r="O375" s="491"/>
      <c r="P375" s="491"/>
      <c r="Q375" s="480"/>
      <c r="R375" s="480"/>
      <c r="S375" s="480"/>
      <c r="T375" s="480"/>
      <c r="U375" s="480"/>
      <c r="V375" s="480"/>
      <c r="W375" s="480"/>
      <c r="X375" s="480"/>
      <c r="Y375" s="480"/>
      <c r="Z375" s="480"/>
    </row>
    <row r="376" spans="1:26" ht="19.5" hidden="1">
      <c r="A376" s="170"/>
      <c r="B376" s="171"/>
      <c r="C376" s="164" t="s">
        <v>16</v>
      </c>
      <c r="D376" s="823" t="s">
        <v>38</v>
      </c>
      <c r="E376" s="173"/>
      <c r="F376" s="173"/>
      <c r="G376" s="174"/>
      <c r="H376" s="753"/>
      <c r="I376" s="269"/>
      <c r="J376" s="269"/>
      <c r="K376" s="496"/>
      <c r="L376" s="163"/>
      <c r="M376" s="163"/>
      <c r="N376" s="163"/>
      <c r="O376" s="163"/>
      <c r="P376" s="163"/>
    </row>
    <row r="377" spans="1:26" ht="18.75" hidden="1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69">
        <v>0</v>
      </c>
      <c r="J377" s="269">
        <f ca="1">IFERROR(__xludf.DUMMYFUNCTION("IMPORTRANGE(""https://docs.google.com/spreadsheets/d/1XWAQStnk-4SwqDmLtmXYiTMKHgktTP8We1SCoS47DrQ/edit?usp=sharing"",""จัดที่ดิน!AH61"")"),0)</f>
        <v>0</v>
      </c>
      <c r="K377" s="496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 hidden="1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69">
        <f ca="1">IFERROR(__xludf.DUMMYFUNCTION("IMPORTRANGE(""https://docs.google.com/spreadsheets/d/1QqKyyYR6Q21VydFLVH3TRQUabQu_ym0Zz7PgGX0-kHA/edit?usp=sharing"",""แผน!ET61"")"),0)</f>
        <v>0</v>
      </c>
      <c r="J378" s="269">
        <f ca="1">IFERROR(__xludf.DUMMYFUNCTION("IMPORTRANGE(""https://docs.google.com/spreadsheets/d/1XWAQStnk-4SwqDmLtmXYiTMKHgktTP8We1SCoS47DrQ/edit?usp=sharing"",""จัดที่ดิน!AI61"")"),0)</f>
        <v>0</v>
      </c>
      <c r="K378" s="496">
        <f t="shared" ca="1" si="164"/>
        <v>0</v>
      </c>
      <c r="L378" s="163"/>
      <c r="M378" s="163"/>
      <c r="N378" s="163"/>
      <c r="O378" s="163"/>
      <c r="P378" s="163"/>
    </row>
    <row r="379" spans="1:26" ht="18.75" hidden="1">
      <c r="A379" s="170"/>
      <c r="B379" s="178"/>
      <c r="C379" s="171"/>
      <c r="D379" s="178"/>
      <c r="E379" s="176" t="s">
        <v>162</v>
      </c>
      <c r="F379" s="178"/>
      <c r="G379" s="179"/>
      <c r="H379" s="755" t="s">
        <v>35</v>
      </c>
      <c r="I379" s="269">
        <f ca="1">IFERROR(__xludf.DUMMYFUNCTION("IMPORTRANGE(""https://docs.google.com/spreadsheets/d/1QqKyyYR6Q21VydFLVH3TRQUabQu_ym0Zz7PgGX0-kHA/edit?usp=sharing"",""แผน!EU61"")"),0)</f>
        <v>0</v>
      </c>
      <c r="J379" s="269">
        <f ca="1">IFERROR(__xludf.DUMMYFUNCTION("IMPORTRANGE(""https://docs.google.com/spreadsheets/d/1XWAQStnk-4SwqDmLtmXYiTMKHgktTP8We1SCoS47DrQ/edit?usp=sharing"",""จัดที่ดิน!AJ61"")"),0)</f>
        <v>0</v>
      </c>
      <c r="K379" s="496">
        <f t="shared" ca="1" si="164"/>
        <v>0</v>
      </c>
      <c r="L379" s="163"/>
      <c r="M379" s="163"/>
      <c r="N379" s="163"/>
      <c r="O379" s="163"/>
      <c r="P379" s="163"/>
    </row>
    <row r="380" spans="1:26" ht="18.75" hidden="1">
      <c r="A380" s="170"/>
      <c r="B380" s="178"/>
      <c r="C380" s="171"/>
      <c r="D380" s="178"/>
      <c r="E380" s="178"/>
      <c r="F380" s="178"/>
      <c r="G380" s="179"/>
      <c r="H380" s="755" t="s">
        <v>46</v>
      </c>
      <c r="I380" s="269">
        <v>0</v>
      </c>
      <c r="J380" s="269">
        <f ca="1">IFERROR(__xludf.DUMMYFUNCTION("IMPORTRANGE(""https://docs.google.com/spreadsheets/d/1XWAQStnk-4SwqDmLtmXYiTMKHgktTP8We1SCoS47DrQ/edit?usp=sharing"",""จัดที่ดิน!AK61"")"),0)</f>
        <v>0</v>
      </c>
      <c r="K380" s="496">
        <f t="shared" si="164"/>
        <v>0</v>
      </c>
      <c r="L380" s="163"/>
      <c r="M380" s="163"/>
      <c r="N380" s="163"/>
      <c r="O380" s="163"/>
      <c r="P380" s="163"/>
    </row>
    <row r="381" spans="1:26" ht="18.75" hidden="1">
      <c r="A381" s="170"/>
      <c r="B381" s="178"/>
      <c r="C381" s="171"/>
      <c r="D381" s="178"/>
      <c r="E381" s="176" t="s">
        <v>163</v>
      </c>
      <c r="F381" s="178"/>
      <c r="G381" s="179"/>
      <c r="H381" s="755" t="s">
        <v>35</v>
      </c>
      <c r="I381" s="269">
        <f ca="1">IFERROR(__xludf.DUMMYFUNCTION("IMPORTRANGE(""https://docs.google.com/spreadsheets/d/1QqKyyYR6Q21VydFLVH3TRQUabQu_ym0Zz7PgGX0-kHA/edit?usp=sharing"",""แผน!EU61"")"),0)</f>
        <v>0</v>
      </c>
      <c r="J381" s="269">
        <f ca="1">IFERROR(__xludf.DUMMYFUNCTION("IMPORTRANGE(""https://docs.google.com/spreadsheets/d/1XWAQStnk-4SwqDmLtmXYiTMKHgktTP8We1SCoS47DrQ/edit?usp=sharing"",""จัดที่ดิน!AL61"")"),0)</f>
        <v>0</v>
      </c>
      <c r="K381" s="496">
        <f t="shared" ca="1" si="164"/>
        <v>0</v>
      </c>
      <c r="L381" s="163"/>
      <c r="M381" s="163"/>
      <c r="N381" s="163"/>
      <c r="O381" s="163"/>
      <c r="P381" s="163"/>
    </row>
    <row r="382" spans="1:26" ht="18.75" hidden="1">
      <c r="A382" s="469" t="s">
        <v>164</v>
      </c>
      <c r="B382" s="178"/>
      <c r="C382" s="171"/>
      <c r="D382" s="178"/>
      <c r="E382" s="446"/>
      <c r="F382" s="178"/>
      <c r="G382" s="179"/>
      <c r="H382" s="755" t="s">
        <v>46</v>
      </c>
      <c r="I382" s="269">
        <v>0</v>
      </c>
      <c r="J382" s="269">
        <f ca="1">IFERROR(__xludf.DUMMYFUNCTION("IMPORTRANGE(""https://docs.google.com/spreadsheets/d/1XWAQStnk-4SwqDmLtmXYiTMKHgktTP8We1SCoS47DrQ/edit?usp=sharing"",""จัดที่ดิน!AM61"")"),0)</f>
        <v>0</v>
      </c>
      <c r="K382" s="496">
        <f t="shared" si="164"/>
        <v>0</v>
      </c>
      <c r="L382" s="163"/>
      <c r="M382" s="163"/>
      <c r="N382" s="163"/>
      <c r="O382" s="163"/>
      <c r="P382" s="163"/>
    </row>
    <row r="383" spans="1:26" ht="19.5" hidden="1">
      <c r="A383" s="255"/>
      <c r="B383" s="263"/>
      <c r="C383" s="256"/>
      <c r="D383" s="832" t="s">
        <v>170</v>
      </c>
      <c r="E383" s="256"/>
      <c r="F383" s="256"/>
      <c r="G383" s="258"/>
      <c r="H383" s="454"/>
      <c r="I383" s="260"/>
      <c r="J383" s="260"/>
      <c r="K383" s="261"/>
      <c r="L383" s="261"/>
      <c r="M383" s="261"/>
      <c r="N383" s="261"/>
      <c r="O383" s="261"/>
      <c r="P383" s="261"/>
    </row>
    <row r="384" spans="1:26" ht="19.5" hidden="1">
      <c r="A384" s="170"/>
      <c r="B384" s="171"/>
      <c r="C384" s="33" t="s">
        <v>16</v>
      </c>
      <c r="D384" s="823" t="s">
        <v>38</v>
      </c>
      <c r="E384" s="173"/>
      <c r="F384" s="173"/>
      <c r="G384" s="174"/>
      <c r="H384" s="753"/>
      <c r="I384" s="269"/>
      <c r="J384" s="269"/>
      <c r="K384" s="496"/>
      <c r="L384" s="163"/>
      <c r="M384" s="163"/>
      <c r="N384" s="163"/>
      <c r="O384" s="163"/>
      <c r="P384" s="163"/>
    </row>
    <row r="385" spans="1:26" ht="18.75" hidden="1">
      <c r="A385" s="377"/>
      <c r="B385" s="380"/>
      <c r="C385" s="378"/>
      <c r="D385" s="380"/>
      <c r="E385" s="497" t="s">
        <v>163</v>
      </c>
      <c r="F385" s="380"/>
      <c r="G385" s="381"/>
      <c r="H385" s="498" t="s">
        <v>35</v>
      </c>
      <c r="I385" s="499">
        <f ca="1">IFERROR(__xludf.DUMMYFUNCTION("IMPORTRANGE(""https://docs.google.com/spreadsheets/d/1QqKyyYR6Q21VydFLVH3TRQUabQu_ym0Zz7PgGX0-kHA/edit?usp=sharing"",""แผน!EW61"")"),0)</f>
        <v>0</v>
      </c>
      <c r="J385" s="499">
        <f ca="1">IFERROR(__xludf.DUMMYFUNCTION("IMPORTRANGE(""https://docs.google.com/spreadsheets/d/1XWAQStnk-4SwqDmLtmXYiTMKHgktTP8We1SCoS47DrQ/edit?usp=sharing"",""จัดที่ดิน!AP61"")"),0)</f>
        <v>0</v>
      </c>
      <c r="K385" s="500">
        <f ca="1">IF(I385&gt;0,J385*100/I385,0)</f>
        <v>0</v>
      </c>
      <c r="L385" s="384"/>
      <c r="M385" s="384"/>
      <c r="N385" s="384"/>
      <c r="O385" s="384"/>
      <c r="P385" s="384"/>
    </row>
    <row r="386" spans="1:26" ht="19.5" hidden="1">
      <c r="A386" s="501" t="s">
        <v>171</v>
      </c>
      <c r="B386" s="502"/>
      <c r="C386" s="502"/>
      <c r="D386" s="502"/>
      <c r="E386" s="503"/>
      <c r="F386" s="503"/>
      <c r="G386" s="504"/>
      <c r="H386" s="505"/>
      <c r="I386" s="506"/>
      <c r="J386" s="506"/>
      <c r="K386" s="507"/>
      <c r="L386" s="507"/>
      <c r="M386" s="507"/>
      <c r="N386" s="507"/>
      <c r="O386" s="507"/>
      <c r="P386" s="507"/>
    </row>
    <row r="387" spans="1:26" ht="19.5" hidden="1">
      <c r="A387" s="508" t="s">
        <v>172</v>
      </c>
      <c r="B387" s="509"/>
      <c r="C387" s="509"/>
      <c r="D387" s="510"/>
      <c r="E387" s="509"/>
      <c r="F387" s="509"/>
      <c r="G387" s="509"/>
      <c r="H387" s="511"/>
      <c r="I387" s="512"/>
      <c r="J387" s="512"/>
      <c r="K387" s="513"/>
      <c r="L387" s="513"/>
      <c r="M387" s="513"/>
      <c r="N387" s="513"/>
      <c r="O387" s="513"/>
      <c r="P387" s="513"/>
    </row>
    <row r="388" spans="1:26" ht="19.5" hidden="1">
      <c r="A388" s="514"/>
      <c r="B388" s="515" t="s">
        <v>173</v>
      </c>
      <c r="C388" s="516"/>
      <c r="D388" s="517"/>
      <c r="E388" s="517"/>
      <c r="F388" s="517"/>
      <c r="G388" s="518"/>
      <c r="H388" s="519" t="s">
        <v>69</v>
      </c>
      <c r="I388" s="520">
        <f t="shared" ref="I388:J388" si="165">I400</f>
        <v>0</v>
      </c>
      <c r="J388" s="520">
        <f t="shared" si="165"/>
        <v>0</v>
      </c>
      <c r="K388" s="521">
        <f>IF(I388&gt;0,J388*100/I388,0)</f>
        <v>0</v>
      </c>
      <c r="L388" s="522"/>
      <c r="M388" s="522"/>
      <c r="N388" s="522"/>
      <c r="O388" s="522"/>
      <c r="P388" s="522"/>
    </row>
    <row r="389" spans="1:26" ht="19.5" hidden="1">
      <c r="A389" s="147"/>
      <c r="B389" s="148"/>
      <c r="C389" s="149" t="s">
        <v>16</v>
      </c>
      <c r="D389" s="822" t="s">
        <v>17</v>
      </c>
      <c r="E389" s="148"/>
      <c r="F389" s="148"/>
      <c r="G389" s="151"/>
      <c r="H389" s="152" t="s">
        <v>12</v>
      </c>
      <c r="I389" s="419"/>
      <c r="J389" s="419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2" t="s">
        <v>18</v>
      </c>
      <c r="F390" s="40"/>
      <c r="G390" s="157"/>
      <c r="H390" s="158" t="s">
        <v>12</v>
      </c>
      <c r="I390" s="610"/>
      <c r="J390" s="610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2" t="s">
        <v>19</v>
      </c>
      <c r="F391" s="40"/>
      <c r="G391" s="157"/>
      <c r="H391" s="158" t="s">
        <v>12</v>
      </c>
      <c r="I391" s="610"/>
      <c r="J391" s="610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1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6">
        <f t="shared" ref="L392:N392" ca="1" si="170">L393+L394</f>
        <v>0</v>
      </c>
      <c r="M392" s="496">
        <f t="shared" ca="1" si="170"/>
        <v>0</v>
      </c>
      <c r="N392" s="496">
        <f t="shared" ca="1" si="170"/>
        <v>0</v>
      </c>
      <c r="O392" s="496">
        <f t="shared" ca="1" si="167"/>
        <v>0</v>
      </c>
      <c r="P392" s="496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2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2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IFERROR(__xludf.DUMMYFUNCTION("IMPORTRANGE(""https://docs.google.com/spreadsheets/d/1MeEWN-I1oV_STSDYn1IFDPWt_1FKiwhDph83XaGc0o0/edit?usp=sharing"",""งบพรบ!FG61"")"),0)</f>
        <v>0</v>
      </c>
      <c r="M394" s="93">
        <f ca="1">IFERROR(__xludf.DUMMYFUNCTION("IMPORTRANGE(""https://docs.google.com/spreadsheets/d/1MeEWN-I1oV_STSDYn1IFDPWt_1FKiwhDph83XaGc0o0/edit?usp=sharing"",""งบพรบ!FL61"")"),0)</f>
        <v>0</v>
      </c>
      <c r="N394" s="93">
        <f ca="1">IFERROR(__xludf.DUMMYFUNCTION("IMPORTRANGE(""https://docs.google.com/spreadsheets/d/1MeEWN-I1oV_STSDYn1IFDPWt_1FKiwhDph83XaGc0o0/edit?usp=sharing"",""งบพรบ!FN61"")"),0)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1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6">
        <f t="shared" ref="L395:N395" ca="1" si="171">L396+L397</f>
        <v>0</v>
      </c>
      <c r="M395" s="496">
        <f t="shared" ca="1" si="171"/>
        <v>0</v>
      </c>
      <c r="N395" s="496">
        <f t="shared" ca="1" si="171"/>
        <v>0</v>
      </c>
      <c r="O395" s="496">
        <f t="shared" ca="1" si="167"/>
        <v>0</v>
      </c>
      <c r="P395" s="496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2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2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IFERROR(__xludf.DUMMYFUNCTION("IMPORTRANGE(""https://docs.google.com/spreadsheets/d/1MeEWN-I1oV_STSDYn1IFDPWt_1FKiwhDph83XaGc0o0/edit?usp=sharing"",""งบพรบ!FJ61"")"),0)</f>
        <v>0</v>
      </c>
      <c r="M397" s="93">
        <f ca="1">IFERROR(__xludf.DUMMYFUNCTION("IMPORTRANGE(""https://docs.google.com/spreadsheets/d/1MeEWN-I1oV_STSDYn1IFDPWt_1FKiwhDph83XaGc0o0/edit?usp=sharing"",""งบพรบ!FM61"")"),0)</f>
        <v>0</v>
      </c>
      <c r="N397" s="93">
        <f ca="1">IFERROR(__xludf.DUMMYFUNCTION("IMPORTRANGE(""https://docs.google.com/spreadsheets/d/1MeEWN-I1oV_STSDYn1IFDPWt_1FKiwhDph83XaGc0o0/edit?usp=sharing"",""งบพรบ!FO61"")"),0)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23" t="s">
        <v>38</v>
      </c>
      <c r="E398" s="173"/>
      <c r="F398" s="173"/>
      <c r="G398" s="174"/>
      <c r="H398" s="753"/>
      <c r="I398" s="184"/>
      <c r="J398" s="269"/>
      <c r="K398" s="496"/>
      <c r="L398" s="496"/>
      <c r="M398" s="496"/>
      <c r="N398" s="496"/>
      <c r="O398" s="163"/>
      <c r="P398" s="163"/>
    </row>
    <row r="399" spans="1:26" ht="18.75" hidden="1">
      <c r="A399" s="523"/>
      <c r="B399" s="148"/>
      <c r="C399" s="524"/>
      <c r="D399" s="525" t="s">
        <v>174</v>
      </c>
      <c r="E399" s="414"/>
      <c r="F399" s="148"/>
      <c r="G399" s="151"/>
      <c r="H399" s="526" t="s">
        <v>9</v>
      </c>
      <c r="I399" s="269">
        <v>0</v>
      </c>
      <c r="J399" s="214">
        <v>0</v>
      </c>
      <c r="K399" s="496">
        <f t="shared" ref="K399:K401" si="172">IF(I399&gt;0,J399*100/I399,0)</f>
        <v>0</v>
      </c>
      <c r="L399" s="527"/>
      <c r="M399" s="527"/>
      <c r="N399" s="527"/>
      <c r="O399" s="527"/>
      <c r="P399" s="527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4"/>
      <c r="B400" s="33"/>
      <c r="C400" s="280"/>
      <c r="D400" s="446" t="s">
        <v>175</v>
      </c>
      <c r="E400" s="171"/>
      <c r="F400" s="33"/>
      <c r="G400" s="35"/>
      <c r="H400" s="276" t="s">
        <v>69</v>
      </c>
      <c r="I400" s="269">
        <v>0</v>
      </c>
      <c r="J400" s="214">
        <v>0</v>
      </c>
      <c r="K400" s="496">
        <f t="shared" si="172"/>
        <v>0</v>
      </c>
      <c r="L400" s="496"/>
      <c r="M400" s="496"/>
      <c r="N400" s="496"/>
      <c r="O400" s="496"/>
      <c r="P400" s="496"/>
    </row>
    <row r="401" spans="1:26" ht="19.5" hidden="1">
      <c r="A401" s="514"/>
      <c r="B401" s="515" t="s">
        <v>176</v>
      </c>
      <c r="C401" s="516"/>
      <c r="D401" s="517"/>
      <c r="E401" s="517"/>
      <c r="F401" s="517"/>
      <c r="G401" s="518"/>
      <c r="H401" s="519" t="s">
        <v>69</v>
      </c>
      <c r="I401" s="520">
        <f t="shared" ref="I401:J401" si="173">I412</f>
        <v>0</v>
      </c>
      <c r="J401" s="520">
        <f t="shared" si="173"/>
        <v>0</v>
      </c>
      <c r="K401" s="521">
        <f t="shared" si="172"/>
        <v>0</v>
      </c>
      <c r="L401" s="522"/>
      <c r="M401" s="522"/>
      <c r="N401" s="522"/>
      <c r="O401" s="522"/>
      <c r="P401" s="522"/>
    </row>
    <row r="402" spans="1:26" ht="19.5" hidden="1">
      <c r="A402" s="147"/>
      <c r="B402" s="148"/>
      <c r="C402" s="149" t="s">
        <v>16</v>
      </c>
      <c r="D402" s="822" t="s">
        <v>17</v>
      </c>
      <c r="E402" s="148"/>
      <c r="F402" s="148"/>
      <c r="G402" s="151"/>
      <c r="H402" s="152" t="s">
        <v>12</v>
      </c>
      <c r="I402" s="419"/>
      <c r="J402" s="419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2" t="s">
        <v>18</v>
      </c>
      <c r="F403" s="40"/>
      <c r="G403" s="157"/>
      <c r="H403" s="158" t="s">
        <v>12</v>
      </c>
      <c r="I403" s="610"/>
      <c r="J403" s="610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2" t="s">
        <v>19</v>
      </c>
      <c r="F404" s="40"/>
      <c r="G404" s="157"/>
      <c r="H404" s="158" t="s">
        <v>12</v>
      </c>
      <c r="I404" s="610"/>
      <c r="J404" s="610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1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6">
        <f t="shared" ref="L405:N405" ca="1" si="178">L406+L407</f>
        <v>0</v>
      </c>
      <c r="M405" s="496">
        <f t="shared" ca="1" si="178"/>
        <v>0</v>
      </c>
      <c r="N405" s="496">
        <f t="shared" ca="1" si="178"/>
        <v>0</v>
      </c>
      <c r="O405" s="496">
        <f t="shared" ca="1" si="175"/>
        <v>0</v>
      </c>
      <c r="P405" s="496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2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2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IFERROR(__xludf.DUMMYFUNCTION("IMPORTRANGE(""https://docs.google.com/spreadsheets/d/1MeEWN-I1oV_STSDYn1IFDPWt_1FKiwhDph83XaGc0o0/edit?usp=sharing"",""งบพรบ!FQ61"")"),0)</f>
        <v>0</v>
      </c>
      <c r="M407" s="93">
        <f ca="1">IFERROR(__xludf.DUMMYFUNCTION("IMPORTRANGE(""https://docs.google.com/spreadsheets/d/1MeEWN-I1oV_STSDYn1IFDPWt_1FKiwhDph83XaGc0o0/edit?usp=sharing"",""งบพรบ!FV61"")"),0)</f>
        <v>0</v>
      </c>
      <c r="N407" s="93">
        <f ca="1">IFERROR(__xludf.DUMMYFUNCTION("IMPORTRANGE(""https://docs.google.com/spreadsheets/d/1MeEWN-I1oV_STSDYn1IFDPWt_1FKiwhDph83XaGc0o0/edit?usp=sharing"",""งบพรบ!FX61"")"),0)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1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6">
        <f t="shared" ref="L408:N408" ca="1" si="179">L409+L410</f>
        <v>0</v>
      </c>
      <c r="M408" s="496">
        <f t="shared" ca="1" si="179"/>
        <v>0</v>
      </c>
      <c r="N408" s="496">
        <f t="shared" ca="1" si="179"/>
        <v>0</v>
      </c>
      <c r="O408" s="496">
        <f t="shared" ca="1" si="175"/>
        <v>0</v>
      </c>
      <c r="P408" s="496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2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2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IFERROR(__xludf.DUMMYFUNCTION("IMPORTRANGE(""https://docs.google.com/spreadsheets/d/1MeEWN-I1oV_STSDYn1IFDPWt_1FKiwhDph83XaGc0o0/edit?usp=sharing"",""งบพรบ!FT61"")"),0)</f>
        <v>0</v>
      </c>
      <c r="M410" s="93">
        <f ca="1">IFERROR(__xludf.DUMMYFUNCTION("IMPORTRANGE(""https://docs.google.com/spreadsheets/d/1MeEWN-I1oV_STSDYn1IFDPWt_1FKiwhDph83XaGc0o0/edit?usp=sharing"",""งบพรบ!FW61"")"),0)</f>
        <v>0</v>
      </c>
      <c r="N410" s="93">
        <f ca="1">IFERROR(__xludf.DUMMYFUNCTION("IMPORTRANGE(""https://docs.google.com/spreadsheets/d/1MeEWN-I1oV_STSDYn1IFDPWt_1FKiwhDph83XaGc0o0/edit?usp=sharing"",""งบพรบ!FY61"")"),0)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34" t="s">
        <v>38</v>
      </c>
      <c r="E411" s="529"/>
      <c r="F411" s="529"/>
      <c r="G411" s="530"/>
      <c r="H411" s="753"/>
      <c r="I411" s="269"/>
      <c r="J411" s="269"/>
      <c r="K411" s="496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6" t="s">
        <v>177</v>
      </c>
      <c r="E412" s="178"/>
      <c r="F412" s="178"/>
      <c r="G412" s="179"/>
      <c r="H412" s="531" t="s">
        <v>69</v>
      </c>
      <c r="I412" s="269">
        <v>0</v>
      </c>
      <c r="J412" s="214">
        <v>0</v>
      </c>
      <c r="K412" s="496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2"/>
      <c r="B413" s="533"/>
      <c r="C413" s="533"/>
      <c r="D413" s="534" t="s">
        <v>178</v>
      </c>
      <c r="E413" s="533"/>
      <c r="F413" s="533"/>
      <c r="G413" s="535"/>
      <c r="H413" s="536" t="s">
        <v>179</v>
      </c>
      <c r="I413" s="537">
        <v>0</v>
      </c>
      <c r="J413" s="538">
        <v>0</v>
      </c>
      <c r="K413" s="539">
        <f t="shared" si="180"/>
        <v>0</v>
      </c>
      <c r="L413" s="540"/>
      <c r="M413" s="540"/>
      <c r="N413" s="540"/>
      <c r="O413" s="540"/>
      <c r="P413" s="540"/>
    </row>
    <row r="414" spans="1:26" ht="19.5">
      <c r="A414" s="541" t="s">
        <v>180</v>
      </c>
      <c r="B414" s="542"/>
      <c r="C414" s="542"/>
      <c r="D414" s="542"/>
      <c r="E414" s="542"/>
      <c r="F414" s="542"/>
      <c r="G414" s="543"/>
      <c r="H414" s="544"/>
      <c r="I414" s="545"/>
      <c r="J414" s="545"/>
      <c r="K414" s="546"/>
      <c r="L414" s="547">
        <f t="shared" ref="L414:N414" ca="1" si="181">L419+L444+L467+L502+L523+L544+L629+L655+L685+L737+L754+L770+L786+L805</f>
        <v>282670</v>
      </c>
      <c r="M414" s="547">
        <f t="shared" si="181"/>
        <v>0</v>
      </c>
      <c r="N414" s="547">
        <f t="shared" si="181"/>
        <v>21540</v>
      </c>
      <c r="O414" s="547">
        <f ca="1">IF(L414&gt;0,N414*100/L414,0)</f>
        <v>7.6201931580995508</v>
      </c>
      <c r="P414" s="547">
        <f>IF(M414&gt;0,N414*100/M414,0)</f>
        <v>0</v>
      </c>
    </row>
    <row r="415" spans="1:26" ht="19.5">
      <c r="A415" s="548" t="s">
        <v>181</v>
      </c>
      <c r="B415" s="549"/>
      <c r="C415" s="549"/>
      <c r="D415" s="549"/>
      <c r="E415" s="549"/>
      <c r="F415" s="549"/>
      <c r="G415" s="549"/>
      <c r="H415" s="550"/>
      <c r="I415" s="551"/>
      <c r="J415" s="551"/>
      <c r="K415" s="552"/>
      <c r="L415" s="553"/>
      <c r="M415" s="553"/>
      <c r="N415" s="553"/>
      <c r="O415" s="553"/>
      <c r="P415" s="553"/>
    </row>
    <row r="416" spans="1:26" ht="19.5">
      <c r="A416" s="548" t="s">
        <v>182</v>
      </c>
      <c r="B416" s="549"/>
      <c r="C416" s="549"/>
      <c r="D416" s="549"/>
      <c r="E416" s="549"/>
      <c r="F416" s="549"/>
      <c r="G416" s="554"/>
      <c r="H416" s="555"/>
      <c r="I416" s="556"/>
      <c r="J416" s="556"/>
      <c r="K416" s="553"/>
      <c r="L416" s="553"/>
      <c r="M416" s="553"/>
      <c r="N416" s="553"/>
      <c r="O416" s="553"/>
      <c r="P416" s="553"/>
    </row>
    <row r="417" spans="1:26" ht="39">
      <c r="A417" s="557">
        <v>1</v>
      </c>
      <c r="B417" s="559" t="s">
        <v>183</v>
      </c>
      <c r="C417" s="559"/>
      <c r="D417" s="560"/>
      <c r="E417" s="560"/>
      <c r="F417" s="560"/>
      <c r="G417" s="561"/>
      <c r="H417" s="562" t="s">
        <v>35</v>
      </c>
      <c r="I417" s="563">
        <f t="shared" ref="I417:J418" ca="1" si="182">I433</f>
        <v>15</v>
      </c>
      <c r="J417" s="563">
        <f t="shared" ca="1" si="182"/>
        <v>0</v>
      </c>
      <c r="K417" s="564">
        <f t="shared" ref="K417:K418" ca="1" si="183">IF(I417&gt;0,J417*100/I417,0)</f>
        <v>0</v>
      </c>
      <c r="L417" s="565"/>
      <c r="M417" s="565"/>
      <c r="N417" s="565"/>
      <c r="O417" s="565"/>
      <c r="P417" s="565"/>
    </row>
    <row r="418" spans="1:26" ht="19.5">
      <c r="A418" s="566"/>
      <c r="B418" s="557"/>
      <c r="C418" s="559"/>
      <c r="D418" s="560"/>
      <c r="E418" s="560"/>
      <c r="F418" s="560"/>
      <c r="G418" s="561"/>
      <c r="H418" s="562" t="s">
        <v>49</v>
      </c>
      <c r="I418" s="563">
        <f t="shared" ca="1" si="182"/>
        <v>1</v>
      </c>
      <c r="J418" s="563">
        <f t="shared" si="182"/>
        <v>0</v>
      </c>
      <c r="K418" s="564">
        <f t="shared" ca="1" si="183"/>
        <v>0</v>
      </c>
      <c r="L418" s="565"/>
      <c r="M418" s="565"/>
      <c r="N418" s="565"/>
      <c r="O418" s="565"/>
      <c r="P418" s="565"/>
    </row>
    <row r="419" spans="1:26" ht="19.5">
      <c r="A419" s="147"/>
      <c r="B419" s="148"/>
      <c r="C419" s="148" t="s">
        <v>16</v>
      </c>
      <c r="D419" s="868" t="s">
        <v>17</v>
      </c>
      <c r="E419" s="862"/>
      <c r="F419" s="862"/>
      <c r="G419" s="151"/>
      <c r="H419" s="274" t="s">
        <v>12</v>
      </c>
      <c r="I419" s="419"/>
      <c r="J419" s="419"/>
      <c r="K419" s="154"/>
      <c r="L419" s="155">
        <f t="shared" ref="L419:N419" ca="1" si="184">L420+L421</f>
        <v>66560</v>
      </c>
      <c r="M419" s="155">
        <f t="shared" si="184"/>
        <v>0</v>
      </c>
      <c r="N419" s="155">
        <f t="shared" si="184"/>
        <v>0</v>
      </c>
      <c r="O419" s="155">
        <f t="shared" ref="O419:O424" ca="1" si="185">IF(L419&gt;0,N419*100/L419,0)</f>
        <v>0</v>
      </c>
      <c r="P419" s="155">
        <f t="shared" ref="P419:P424" si="186">IF(M419&gt;0,N419*100/M419,0)</f>
        <v>0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2"/>
      <c r="E420" s="222" t="s">
        <v>184</v>
      </c>
      <c r="F420" s="40"/>
      <c r="G420" s="157"/>
      <c r="H420" s="165" t="s">
        <v>12</v>
      </c>
      <c r="I420" s="610"/>
      <c r="J420" s="610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2"/>
      <c r="E421" s="222" t="s">
        <v>185</v>
      </c>
      <c r="F421" s="40"/>
      <c r="G421" s="157"/>
      <c r="H421" s="165" t="s">
        <v>12</v>
      </c>
      <c r="I421" s="610"/>
      <c r="J421" s="610"/>
      <c r="K421" s="93"/>
      <c r="L421" s="93">
        <f t="shared" ca="1" si="187"/>
        <v>66560</v>
      </c>
      <c r="M421" s="93">
        <f t="shared" si="187"/>
        <v>0</v>
      </c>
      <c r="N421" s="93">
        <f t="shared" si="187"/>
        <v>0</v>
      </c>
      <c r="O421" s="93">
        <f t="shared" ca="1" si="185"/>
        <v>0</v>
      </c>
      <c r="P421" s="93">
        <f t="shared" si="186"/>
        <v>0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0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6">
        <f t="shared" ref="L422:N422" ca="1" si="188">L423+L424</f>
        <v>66560</v>
      </c>
      <c r="M422" s="496">
        <f t="shared" si="188"/>
        <v>0</v>
      </c>
      <c r="N422" s="496">
        <f t="shared" si="188"/>
        <v>0</v>
      </c>
      <c r="O422" s="496">
        <f t="shared" ca="1" si="185"/>
        <v>0</v>
      </c>
      <c r="P422" s="496">
        <f t="shared" si="186"/>
        <v>0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2"/>
      <c r="E423" s="222" t="s">
        <v>184</v>
      </c>
      <c r="F423" s="40"/>
      <c r="G423" s="157"/>
      <c r="H423" s="165" t="s">
        <v>12</v>
      </c>
      <c r="I423" s="610"/>
      <c r="J423" s="610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2"/>
      <c r="E424" s="222" t="s">
        <v>185</v>
      </c>
      <c r="F424" s="40"/>
      <c r="G424" s="157"/>
      <c r="H424" s="165" t="s">
        <v>12</v>
      </c>
      <c r="I424" s="610"/>
      <c r="J424" s="610"/>
      <c r="K424" s="93"/>
      <c r="L424" s="93">
        <f ca="1">IFERROR(__xludf.DUMMYFUNCTION("IMPORTRANGE(""https://docs.google.com/spreadsheets/d/1QqKyyYR6Q21VydFLVH3TRQUabQu_ym0Zz7PgGX0-kHA/edit?usp=sharing"",""แผน!EY61"")"),66560)</f>
        <v>66560</v>
      </c>
      <c r="M424" s="93">
        <v>0</v>
      </c>
      <c r="N424" s="93">
        <f>N425+N426+N427+N428</f>
        <v>0</v>
      </c>
      <c r="O424" s="93">
        <f t="shared" ca="1" si="185"/>
        <v>0</v>
      </c>
      <c r="P424" s="93">
        <f t="shared" si="186"/>
        <v>0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67"/>
      <c r="B425" s="568"/>
      <c r="C425" s="754"/>
      <c r="D425" s="754"/>
      <c r="E425" s="754"/>
      <c r="F425" s="754" t="s">
        <v>186</v>
      </c>
      <c r="G425" s="189"/>
      <c r="H425" s="161" t="s">
        <v>12</v>
      </c>
      <c r="I425" s="269"/>
      <c r="J425" s="269"/>
      <c r="K425" s="496"/>
      <c r="L425" s="496"/>
      <c r="M425" s="496"/>
      <c r="N425" s="817">
        <v>0</v>
      </c>
      <c r="O425" s="496"/>
      <c r="P425" s="496"/>
      <c r="Q425" s="571"/>
      <c r="R425" s="571"/>
      <c r="S425" s="571"/>
      <c r="T425" s="571"/>
      <c r="U425" s="571"/>
      <c r="V425" s="571"/>
      <c r="W425" s="571"/>
      <c r="X425" s="571"/>
      <c r="Y425" s="571"/>
      <c r="Z425" s="571"/>
    </row>
    <row r="426" spans="1:26" ht="18.75">
      <c r="A426" s="567"/>
      <c r="B426" s="568"/>
      <c r="C426" s="754"/>
      <c r="D426" s="754"/>
      <c r="E426" s="754"/>
      <c r="F426" s="754" t="s">
        <v>187</v>
      </c>
      <c r="G426" s="189"/>
      <c r="H426" s="161" t="s">
        <v>12</v>
      </c>
      <c r="I426" s="269"/>
      <c r="J426" s="269"/>
      <c r="K426" s="496"/>
      <c r="L426" s="496"/>
      <c r="M426" s="496"/>
      <c r="N426" s="817">
        <v>0</v>
      </c>
      <c r="O426" s="496"/>
      <c r="P426" s="496"/>
      <c r="Q426" s="571"/>
      <c r="R426" s="571"/>
      <c r="S426" s="571"/>
      <c r="T426" s="571"/>
      <c r="U426" s="571"/>
      <c r="V426" s="571"/>
      <c r="W426" s="571"/>
      <c r="X426" s="571"/>
      <c r="Y426" s="571"/>
      <c r="Z426" s="571"/>
    </row>
    <row r="427" spans="1:26" ht="18.75">
      <c r="A427" s="567"/>
      <c r="B427" s="568"/>
      <c r="C427" s="754"/>
      <c r="D427" s="754"/>
      <c r="E427" s="754"/>
      <c r="F427" s="754" t="s">
        <v>188</v>
      </c>
      <c r="G427" s="189"/>
      <c r="H427" s="161" t="s">
        <v>12</v>
      </c>
      <c r="I427" s="269"/>
      <c r="J427" s="269"/>
      <c r="K427" s="496"/>
      <c r="L427" s="496"/>
      <c r="M427" s="496"/>
      <c r="N427" s="817">
        <v>0</v>
      </c>
      <c r="O427" s="496"/>
      <c r="P427" s="496"/>
      <c r="Q427" s="571"/>
      <c r="R427" s="571"/>
      <c r="S427" s="571"/>
      <c r="T427" s="571"/>
      <c r="U427" s="571"/>
      <c r="V427" s="571"/>
      <c r="W427" s="571"/>
      <c r="X427" s="571"/>
      <c r="Y427" s="571"/>
      <c r="Z427" s="571"/>
    </row>
    <row r="428" spans="1:26" ht="18.75">
      <c r="A428" s="284"/>
      <c r="B428" s="280"/>
      <c r="C428" s="33"/>
      <c r="D428" s="33"/>
      <c r="E428" s="33"/>
      <c r="F428" s="281" t="s">
        <v>189</v>
      </c>
      <c r="G428" s="213"/>
      <c r="H428" s="161" t="s">
        <v>12</v>
      </c>
      <c r="I428" s="269"/>
      <c r="J428" s="269"/>
      <c r="K428" s="496"/>
      <c r="L428" s="496"/>
      <c r="M428" s="496"/>
      <c r="N428" s="817">
        <v>0</v>
      </c>
      <c r="O428" s="496"/>
      <c r="P428" s="496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0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6">
        <f t="shared" ref="L429:N429" ca="1" si="189">L430+L431</f>
        <v>0</v>
      </c>
      <c r="M429" s="496">
        <f t="shared" si="189"/>
        <v>0</v>
      </c>
      <c r="N429" s="496">
        <f t="shared" si="189"/>
        <v>0</v>
      </c>
      <c r="O429" s="496">
        <f t="shared" ref="O429:O431" ca="1" si="190">IF(L429&gt;0,N429*100/L429,0)</f>
        <v>0</v>
      </c>
      <c r="P429" s="496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6"/>
      <c r="C430" s="40"/>
      <c r="D430" s="40"/>
      <c r="E430" s="222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6"/>
      <c r="C431" s="40"/>
      <c r="D431" s="40"/>
      <c r="E431" s="222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IFERROR(__xludf.DUMMYFUNCTION("IMPORTRANGE(""https://docs.google.com/spreadsheets/d/1QqKyyYR6Q21VydFLVH3TRQUabQu_ym0Zz7PgGX0-kHA/edit?usp=sharing"",""แผน!FB61"")"),0)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3"/>
      <c r="B432" s="414"/>
      <c r="C432" s="148" t="s">
        <v>16</v>
      </c>
      <c r="D432" s="835" t="s">
        <v>38</v>
      </c>
      <c r="E432" s="573"/>
      <c r="F432" s="573"/>
      <c r="G432" s="574"/>
      <c r="H432" s="575"/>
      <c r="I432" s="419"/>
      <c r="J432" s="419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190</v>
      </c>
      <c r="E433" s="178"/>
      <c r="F433" s="178"/>
      <c r="G433" s="179"/>
      <c r="H433" s="196" t="s">
        <v>35</v>
      </c>
      <c r="I433" s="674">
        <f ca="1">I435</f>
        <v>15</v>
      </c>
      <c r="J433" s="674">
        <f ca="1">IF(AND(J435=I435,J437=I437,J439=I439),I437+I439,IF(AND(J435=I437,J437=I437),I437,IF(AND(J435=I439,J439=I439),I439,0)))</f>
        <v>0</v>
      </c>
      <c r="K433" s="195">
        <f t="shared" ref="K433:K435" ca="1" si="192">IF(I433&gt;0,J433*100/I433,0)</f>
        <v>0</v>
      </c>
      <c r="L433" s="496"/>
      <c r="M433" s="496"/>
      <c r="N433" s="496"/>
      <c r="O433" s="496"/>
      <c r="P433" s="496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191</v>
      </c>
      <c r="E434" s="178"/>
      <c r="F434" s="178"/>
      <c r="G434" s="179"/>
      <c r="H434" s="196" t="s">
        <v>49</v>
      </c>
      <c r="I434" s="674">
        <f t="shared" ref="I434:J434" ca="1" si="193">I438+I440</f>
        <v>1</v>
      </c>
      <c r="J434" s="674">
        <f t="shared" si="193"/>
        <v>0</v>
      </c>
      <c r="K434" s="195">
        <f t="shared" ca="1" si="192"/>
        <v>0</v>
      </c>
      <c r="L434" s="496"/>
      <c r="M434" s="496"/>
      <c r="N434" s="496"/>
      <c r="O434" s="496"/>
      <c r="P434" s="496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6" t="s">
        <v>192</v>
      </c>
      <c r="E435" s="178"/>
      <c r="F435" s="178"/>
      <c r="G435" s="179"/>
      <c r="H435" s="616" t="s">
        <v>35</v>
      </c>
      <c r="I435" s="576">
        <f ca="1">IFERROR(__xludf.DUMMYFUNCTION("IMPORTRANGE(""https://docs.google.com/spreadsheets/d/1QqKyyYR6Q21VydFLVH3TRQUabQu_ym0Zz7PgGX0-kHA/edit?usp=sharing"",""แผน!FC61"")"),15)</f>
        <v>15</v>
      </c>
      <c r="J435" s="577">
        <v>0</v>
      </c>
      <c r="K435" s="496">
        <f t="shared" ca="1" si="192"/>
        <v>0</v>
      </c>
      <c r="L435" s="496"/>
      <c r="M435" s="496"/>
      <c r="N435" s="496"/>
      <c r="O435" s="496"/>
      <c r="P435" s="496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6" t="s">
        <v>193</v>
      </c>
      <c r="E436" s="178"/>
      <c r="F436" s="178"/>
      <c r="G436" s="179"/>
      <c r="H436" s="616"/>
      <c r="I436" s="269"/>
      <c r="J436" s="269"/>
      <c r="K436" s="496"/>
      <c r="L436" s="496"/>
      <c r="M436" s="496"/>
      <c r="N436" s="496"/>
      <c r="O436" s="496"/>
      <c r="P436" s="496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6" t="s">
        <v>194</v>
      </c>
      <c r="E437" s="178"/>
      <c r="F437" s="178"/>
      <c r="G437" s="179"/>
      <c r="H437" s="616" t="s">
        <v>35</v>
      </c>
      <c r="I437" s="576">
        <f ca="1">IFERROR(__xludf.DUMMYFUNCTION("IMPORTRANGE(""https://docs.google.com/spreadsheets/d/1QqKyyYR6Q21VydFLVH3TRQUabQu_ym0Zz7PgGX0-kHA/edit?usp=sharing"",""แผน!FD61"")"),0)</f>
        <v>0</v>
      </c>
      <c r="J437" s="577">
        <v>0</v>
      </c>
      <c r="K437" s="496">
        <f t="shared" ref="K437:K443" ca="1" si="194">IF(I437&gt;0,J437*100/I437,0)</f>
        <v>0</v>
      </c>
      <c r="L437" s="496"/>
      <c r="M437" s="496"/>
      <c r="N437" s="496"/>
      <c r="O437" s="496"/>
      <c r="P437" s="496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6" t="s">
        <v>195</v>
      </c>
      <c r="E438" s="178"/>
      <c r="F438" s="178"/>
      <c r="G438" s="179"/>
      <c r="H438" s="616" t="s">
        <v>49</v>
      </c>
      <c r="I438" s="269">
        <f ca="1">IFERROR(__xludf.DUMMYFUNCTION("IMPORTRANGE(""https://docs.google.com/spreadsheets/d/1QqKyyYR6Q21VydFLVH3TRQUabQu_ym0Zz7PgGX0-kHA/edit?usp=sharing"",""แผน!FE61"")"),0)</f>
        <v>0</v>
      </c>
      <c r="J438" s="214">
        <v>0</v>
      </c>
      <c r="K438" s="496">
        <f t="shared" ca="1" si="194"/>
        <v>0</v>
      </c>
      <c r="L438" s="496"/>
      <c r="M438" s="496"/>
      <c r="N438" s="496"/>
      <c r="O438" s="496"/>
      <c r="P438" s="496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6" t="s">
        <v>196</v>
      </c>
      <c r="E439" s="178"/>
      <c r="F439" s="178"/>
      <c r="G439" s="179"/>
      <c r="H439" s="616" t="s">
        <v>35</v>
      </c>
      <c r="I439" s="576">
        <f ca="1">IFERROR(__xludf.DUMMYFUNCTION("IMPORTRANGE(""https://docs.google.com/spreadsheets/d/1QqKyyYR6Q21VydFLVH3TRQUabQu_ym0Zz7PgGX0-kHA/edit?usp=sharing"",""แผน!FF61"")"),15)</f>
        <v>15</v>
      </c>
      <c r="J439" s="577">
        <v>0</v>
      </c>
      <c r="K439" s="496">
        <f t="shared" ca="1" si="194"/>
        <v>0</v>
      </c>
      <c r="L439" s="496"/>
      <c r="M439" s="496"/>
      <c r="N439" s="496"/>
      <c r="O439" s="496"/>
      <c r="P439" s="496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6" t="s">
        <v>197</v>
      </c>
      <c r="E440" s="178"/>
      <c r="F440" s="178"/>
      <c r="G440" s="179"/>
      <c r="H440" s="616" t="s">
        <v>49</v>
      </c>
      <c r="I440" s="269">
        <f ca="1">IFERROR(__xludf.DUMMYFUNCTION("IMPORTRANGE(""https://docs.google.com/spreadsheets/d/1QqKyyYR6Q21VydFLVH3TRQUabQu_ym0Zz7PgGX0-kHA/edit?usp=sharing"",""แผน!FG61"")"),1)</f>
        <v>1</v>
      </c>
      <c r="J440" s="214">
        <v>0</v>
      </c>
      <c r="K440" s="496">
        <f t="shared" ca="1" si="194"/>
        <v>0</v>
      </c>
      <c r="L440" s="496"/>
      <c r="M440" s="496"/>
      <c r="N440" s="496"/>
      <c r="O440" s="496"/>
      <c r="P440" s="496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>
      <c r="A441" s="170"/>
      <c r="B441" s="171"/>
      <c r="C441" s="171"/>
      <c r="D441" s="446" t="s">
        <v>198</v>
      </c>
      <c r="E441" s="178"/>
      <c r="F441" s="178"/>
      <c r="G441" s="179"/>
      <c r="H441" s="616" t="s">
        <v>35</v>
      </c>
      <c r="I441" s="269">
        <f ca="1">IFERROR(__xludf.DUMMYFUNCTION("IMPORTRANGE(""https://docs.google.com/spreadsheets/d/1QqKyyYR6Q21VydFLVH3TRQUabQu_ym0Zz7PgGX0-kHA/edit?usp=sharing"",""แผน!FH61"")"),0)</f>
        <v>0</v>
      </c>
      <c r="J441" s="269">
        <v>0</v>
      </c>
      <c r="K441" s="496">
        <f t="shared" ca="1" si="194"/>
        <v>0</v>
      </c>
      <c r="L441" s="496"/>
      <c r="M441" s="496"/>
      <c r="N441" s="496"/>
      <c r="O441" s="496"/>
      <c r="P441" s="496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78">
        <v>2</v>
      </c>
      <c r="B442" s="579" t="s">
        <v>199</v>
      </c>
      <c r="C442" s="580"/>
      <c r="D442" s="580"/>
      <c r="E442" s="580"/>
      <c r="F442" s="580"/>
      <c r="G442" s="581"/>
      <c r="H442" s="582" t="s">
        <v>35</v>
      </c>
      <c r="I442" s="583">
        <f t="shared" ref="I442:J442" ca="1" si="195">I460</f>
        <v>10</v>
      </c>
      <c r="J442" s="583">
        <f t="shared" si="195"/>
        <v>10</v>
      </c>
      <c r="K442" s="584">
        <f t="shared" ca="1" si="194"/>
        <v>100</v>
      </c>
      <c r="L442" s="585"/>
      <c r="M442" s="585"/>
      <c r="N442" s="585"/>
      <c r="O442" s="585"/>
      <c r="P442" s="585"/>
      <c r="Q442" s="571"/>
      <c r="R442" s="571"/>
      <c r="S442" s="571"/>
      <c r="T442" s="571"/>
      <c r="U442" s="571"/>
      <c r="V442" s="571"/>
      <c r="W442" s="571"/>
      <c r="X442" s="571"/>
      <c r="Y442" s="571"/>
      <c r="Z442" s="571"/>
    </row>
    <row r="443" spans="1:26" ht="19.5">
      <c r="A443" s="586"/>
      <c r="B443" s="587"/>
      <c r="C443" s="588"/>
      <c r="D443" s="588"/>
      <c r="E443" s="588"/>
      <c r="F443" s="588"/>
      <c r="G443" s="589"/>
      <c r="H443" s="562" t="s">
        <v>46</v>
      </c>
      <c r="I443" s="563">
        <f t="shared" ref="I443:J443" ca="1" si="196">I462</f>
        <v>20</v>
      </c>
      <c r="J443" s="563">
        <f t="shared" si="196"/>
        <v>0</v>
      </c>
      <c r="K443" s="564">
        <f t="shared" ca="1" si="194"/>
        <v>0</v>
      </c>
      <c r="L443" s="565"/>
      <c r="M443" s="565"/>
      <c r="N443" s="565"/>
      <c r="O443" s="565"/>
      <c r="P443" s="565"/>
      <c r="Q443" s="571"/>
      <c r="R443" s="571"/>
      <c r="S443" s="571"/>
      <c r="T443" s="571"/>
      <c r="U443" s="571"/>
      <c r="V443" s="571"/>
      <c r="W443" s="571"/>
      <c r="X443" s="571"/>
      <c r="Y443" s="571"/>
      <c r="Z443" s="571"/>
    </row>
    <row r="444" spans="1:26" ht="19.5">
      <c r="A444" s="590"/>
      <c r="B444" s="754"/>
      <c r="C444" s="754" t="s">
        <v>16</v>
      </c>
      <c r="D444" s="863" t="s">
        <v>17</v>
      </c>
      <c r="E444" s="857"/>
      <c r="F444" s="857"/>
      <c r="G444" s="189"/>
      <c r="H444" s="591" t="s">
        <v>12</v>
      </c>
      <c r="I444" s="269"/>
      <c r="J444" s="269"/>
      <c r="K444" s="496"/>
      <c r="L444" s="195">
        <f t="shared" ref="L444:N444" ca="1" si="197">L445+L446</f>
        <v>70660</v>
      </c>
      <c r="M444" s="195">
        <f t="shared" si="197"/>
        <v>0</v>
      </c>
      <c r="N444" s="195">
        <f t="shared" si="197"/>
        <v>21540</v>
      </c>
      <c r="O444" s="195">
        <f t="shared" ref="O444:O449" ca="1" si="198">IF(L444&gt;0,N444*100/L444,0)</f>
        <v>30.484007925275968</v>
      </c>
      <c r="P444" s="195">
        <f t="shared" ref="P444:P449" si="199">IF(M444&gt;0,N444*100/M444,0)</f>
        <v>0</v>
      </c>
      <c r="Q444" s="571"/>
      <c r="R444" s="571"/>
      <c r="S444" s="571"/>
      <c r="T444" s="571"/>
      <c r="U444" s="571"/>
      <c r="V444" s="571"/>
      <c r="W444" s="571"/>
      <c r="X444" s="571"/>
      <c r="Y444" s="571"/>
      <c r="Z444" s="571"/>
    </row>
    <row r="445" spans="1:26" ht="18.75" hidden="1">
      <c r="A445" s="592"/>
      <c r="B445" s="750"/>
      <c r="C445" s="750"/>
      <c r="D445" s="711"/>
      <c r="E445" s="750" t="s">
        <v>184</v>
      </c>
      <c r="F445" s="750"/>
      <c r="G445" s="596"/>
      <c r="H445" s="165" t="s">
        <v>12</v>
      </c>
      <c r="I445" s="610"/>
      <c r="J445" s="610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597"/>
      <c r="R445" s="597"/>
      <c r="S445" s="597"/>
      <c r="T445" s="597"/>
      <c r="U445" s="597"/>
      <c r="V445" s="597"/>
      <c r="W445" s="597"/>
      <c r="X445" s="597"/>
      <c r="Y445" s="597"/>
      <c r="Z445" s="597"/>
    </row>
    <row r="446" spans="1:26" ht="18.75" hidden="1">
      <c r="A446" s="592"/>
      <c r="B446" s="600"/>
      <c r="C446" s="750"/>
      <c r="D446" s="711"/>
      <c r="E446" s="750" t="s">
        <v>185</v>
      </c>
      <c r="F446" s="750"/>
      <c r="G446" s="596"/>
      <c r="H446" s="165" t="s">
        <v>12</v>
      </c>
      <c r="I446" s="610"/>
      <c r="J446" s="610"/>
      <c r="K446" s="93"/>
      <c r="L446" s="93">
        <f t="shared" ca="1" si="200"/>
        <v>70660</v>
      </c>
      <c r="M446" s="93">
        <f t="shared" si="200"/>
        <v>0</v>
      </c>
      <c r="N446" s="93">
        <f t="shared" si="200"/>
        <v>21540</v>
      </c>
      <c r="O446" s="93">
        <f t="shared" ca="1" si="198"/>
        <v>30.484007925275968</v>
      </c>
      <c r="P446" s="93">
        <f t="shared" si="199"/>
        <v>0</v>
      </c>
      <c r="Q446" s="597"/>
      <c r="R446" s="597"/>
      <c r="S446" s="597"/>
      <c r="T446" s="597"/>
      <c r="U446" s="597"/>
      <c r="V446" s="597"/>
      <c r="W446" s="597"/>
      <c r="X446" s="597"/>
      <c r="Y446" s="597"/>
      <c r="Z446" s="597"/>
    </row>
    <row r="447" spans="1:26" ht="18.75">
      <c r="A447" s="590"/>
      <c r="B447" s="568"/>
      <c r="C447" s="754"/>
      <c r="D447" s="599" t="s">
        <v>20</v>
      </c>
      <c r="E447" s="754"/>
      <c r="F447" s="754"/>
      <c r="G447" s="189"/>
      <c r="H447" s="161" t="s">
        <v>12</v>
      </c>
      <c r="I447" s="184"/>
      <c r="J447" s="184"/>
      <c r="K447" s="163"/>
      <c r="L447" s="496">
        <f t="shared" ref="L447:N447" ca="1" si="201">L448+L449</f>
        <v>70660</v>
      </c>
      <c r="M447" s="496">
        <f t="shared" si="201"/>
        <v>0</v>
      </c>
      <c r="N447" s="496">
        <f t="shared" si="201"/>
        <v>21540</v>
      </c>
      <c r="O447" s="496">
        <f t="shared" ca="1" si="198"/>
        <v>30.484007925275968</v>
      </c>
      <c r="P447" s="496">
        <f t="shared" si="199"/>
        <v>0</v>
      </c>
      <c r="Q447" s="571"/>
      <c r="R447" s="571"/>
      <c r="S447" s="571"/>
      <c r="T447" s="571"/>
      <c r="U447" s="571"/>
      <c r="V447" s="571"/>
      <c r="W447" s="571"/>
      <c r="X447" s="571"/>
      <c r="Y447" s="571"/>
      <c r="Z447" s="571"/>
    </row>
    <row r="448" spans="1:26" ht="18.75" hidden="1">
      <c r="A448" s="592"/>
      <c r="B448" s="600"/>
      <c r="C448" s="750"/>
      <c r="D448" s="711"/>
      <c r="E448" s="750" t="s">
        <v>184</v>
      </c>
      <c r="F448" s="750"/>
      <c r="G448" s="596"/>
      <c r="H448" s="165" t="s">
        <v>12</v>
      </c>
      <c r="I448" s="610"/>
      <c r="J448" s="610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597"/>
      <c r="R448" s="597"/>
      <c r="S448" s="597"/>
      <c r="T448" s="597"/>
      <c r="U448" s="597"/>
      <c r="V448" s="597"/>
      <c r="W448" s="597"/>
      <c r="X448" s="597"/>
      <c r="Y448" s="597"/>
      <c r="Z448" s="597"/>
    </row>
    <row r="449" spans="1:26" ht="18.75" hidden="1">
      <c r="A449" s="592"/>
      <c r="B449" s="600"/>
      <c r="C449" s="750"/>
      <c r="D449" s="711"/>
      <c r="E449" s="750" t="s">
        <v>185</v>
      </c>
      <c r="F449" s="750"/>
      <c r="G449" s="596"/>
      <c r="H449" s="165" t="s">
        <v>12</v>
      </c>
      <c r="I449" s="610"/>
      <c r="J449" s="610"/>
      <c r="K449" s="93"/>
      <c r="L449" s="93">
        <f ca="1">IFERROR(__xludf.DUMMYFUNCTION("IMPORTRANGE(""https://docs.google.com/spreadsheets/d/1QqKyyYR6Q21VydFLVH3TRQUabQu_ym0Zz7PgGX0-kHA/edit?usp=sharing"",""แผน!FJ61"")"),70660)</f>
        <v>70660</v>
      </c>
      <c r="M449" s="93">
        <v>0</v>
      </c>
      <c r="N449" s="93">
        <f>N450+N451+N452+N453</f>
        <v>21540</v>
      </c>
      <c r="O449" s="93">
        <f t="shared" ca="1" si="198"/>
        <v>30.484007925275968</v>
      </c>
      <c r="P449" s="93">
        <f t="shared" si="199"/>
        <v>0</v>
      </c>
      <c r="Q449" s="597"/>
      <c r="R449" s="597"/>
      <c r="S449" s="597"/>
      <c r="T449" s="597"/>
      <c r="U449" s="597"/>
      <c r="V449" s="597"/>
      <c r="W449" s="597"/>
      <c r="X449" s="597"/>
      <c r="Y449" s="597"/>
      <c r="Z449" s="597"/>
    </row>
    <row r="450" spans="1:26" ht="18.75">
      <c r="A450" s="567"/>
      <c r="B450" s="568"/>
      <c r="C450" s="754"/>
      <c r="D450" s="754"/>
      <c r="E450" s="754"/>
      <c r="F450" s="754" t="s">
        <v>186</v>
      </c>
      <c r="G450" s="189"/>
      <c r="H450" s="161" t="s">
        <v>12</v>
      </c>
      <c r="I450" s="269"/>
      <c r="J450" s="269"/>
      <c r="K450" s="496"/>
      <c r="L450" s="496"/>
      <c r="M450" s="496"/>
      <c r="N450" s="817">
        <v>21540</v>
      </c>
      <c r="O450" s="496"/>
      <c r="P450" s="496"/>
      <c r="Q450" s="571"/>
      <c r="R450" s="571"/>
      <c r="S450" s="571"/>
      <c r="T450" s="571"/>
      <c r="U450" s="571"/>
      <c r="V450" s="571"/>
      <c r="W450" s="571"/>
      <c r="X450" s="571"/>
      <c r="Y450" s="571"/>
      <c r="Z450" s="571"/>
    </row>
    <row r="451" spans="1:26" ht="18.75">
      <c r="A451" s="567"/>
      <c r="B451" s="568"/>
      <c r="C451" s="754"/>
      <c r="D451" s="754"/>
      <c r="E451" s="754"/>
      <c r="F451" s="754" t="s">
        <v>187</v>
      </c>
      <c r="G451" s="189"/>
      <c r="H451" s="161" t="s">
        <v>12</v>
      </c>
      <c r="I451" s="269"/>
      <c r="J451" s="269"/>
      <c r="K451" s="496"/>
      <c r="L451" s="496"/>
      <c r="M451" s="496"/>
      <c r="N451" s="817">
        <v>0</v>
      </c>
      <c r="O451" s="496"/>
      <c r="P451" s="496"/>
      <c r="Q451" s="571"/>
      <c r="R451" s="571"/>
      <c r="S451" s="571"/>
      <c r="T451" s="571"/>
      <c r="U451" s="571"/>
      <c r="V451" s="571"/>
      <c r="W451" s="571"/>
      <c r="X451" s="571"/>
      <c r="Y451" s="571"/>
      <c r="Z451" s="571"/>
    </row>
    <row r="452" spans="1:26" ht="18.75">
      <c r="A452" s="567"/>
      <c r="B452" s="568"/>
      <c r="C452" s="568"/>
      <c r="D452" s="568"/>
      <c r="E452" s="568"/>
      <c r="F452" s="754" t="s">
        <v>188</v>
      </c>
      <c r="G452" s="189"/>
      <c r="H452" s="161" t="s">
        <v>12</v>
      </c>
      <c r="I452" s="269"/>
      <c r="J452" s="269"/>
      <c r="K452" s="496"/>
      <c r="L452" s="496"/>
      <c r="M452" s="496"/>
      <c r="N452" s="817">
        <v>0</v>
      </c>
      <c r="O452" s="496"/>
      <c r="P452" s="496"/>
      <c r="Q452" s="571"/>
      <c r="R452" s="571"/>
      <c r="S452" s="571"/>
      <c r="T452" s="571"/>
      <c r="U452" s="571"/>
      <c r="V452" s="571"/>
      <c r="W452" s="571"/>
      <c r="X452" s="571"/>
      <c r="Y452" s="571"/>
      <c r="Z452" s="571"/>
    </row>
    <row r="453" spans="1:26" ht="18.75">
      <c r="A453" s="567"/>
      <c r="B453" s="568"/>
      <c r="C453" s="568"/>
      <c r="D453" s="568"/>
      <c r="E453" s="568"/>
      <c r="F453" s="754" t="s">
        <v>189</v>
      </c>
      <c r="G453" s="189"/>
      <c r="H453" s="161" t="s">
        <v>12</v>
      </c>
      <c r="I453" s="269"/>
      <c r="J453" s="269"/>
      <c r="K453" s="496"/>
      <c r="L453" s="496"/>
      <c r="M453" s="496"/>
      <c r="N453" s="817">
        <v>0</v>
      </c>
      <c r="O453" s="496"/>
      <c r="P453" s="496"/>
      <c r="Q453" s="571"/>
      <c r="R453" s="571"/>
      <c r="S453" s="571"/>
      <c r="T453" s="571"/>
      <c r="U453" s="571"/>
      <c r="V453" s="571"/>
      <c r="W453" s="571"/>
      <c r="X453" s="571"/>
      <c r="Y453" s="571"/>
      <c r="Z453" s="571"/>
    </row>
    <row r="454" spans="1:26" ht="18.75">
      <c r="A454" s="590"/>
      <c r="B454" s="568"/>
      <c r="C454" s="568"/>
      <c r="D454" s="599" t="s">
        <v>21</v>
      </c>
      <c r="E454" s="568"/>
      <c r="F454" s="754"/>
      <c r="G454" s="189"/>
      <c r="H454" s="168" t="s">
        <v>12</v>
      </c>
      <c r="I454" s="184"/>
      <c r="J454" s="184"/>
      <c r="K454" s="163"/>
      <c r="L454" s="496">
        <f t="shared" ref="L454:N454" ca="1" si="202">L455+L456</f>
        <v>0</v>
      </c>
      <c r="M454" s="496">
        <f t="shared" si="202"/>
        <v>0</v>
      </c>
      <c r="N454" s="496">
        <f t="shared" si="202"/>
        <v>0</v>
      </c>
      <c r="O454" s="496">
        <f t="shared" ref="O454:O456" ca="1" si="203">IF(L454&gt;0,N454*100/L454,0)</f>
        <v>0</v>
      </c>
      <c r="P454" s="496">
        <f t="shared" ref="P454:P456" si="204">IF(M454&gt;0,N454*100/M454,0)</f>
        <v>0</v>
      </c>
      <c r="Q454" s="571"/>
      <c r="R454" s="571"/>
      <c r="S454" s="571"/>
      <c r="T454" s="571"/>
      <c r="U454" s="571"/>
      <c r="V454" s="571"/>
      <c r="W454" s="571"/>
      <c r="X454" s="571"/>
      <c r="Y454" s="571"/>
      <c r="Z454" s="571"/>
    </row>
    <row r="455" spans="1:26" ht="18.75" hidden="1">
      <c r="A455" s="592"/>
      <c r="B455" s="600"/>
      <c r="C455" s="600"/>
      <c r="D455" s="600"/>
      <c r="E455" s="600" t="s">
        <v>18</v>
      </c>
      <c r="F455" s="750"/>
      <c r="G455" s="596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597"/>
      <c r="R455" s="597"/>
      <c r="S455" s="597"/>
      <c r="T455" s="597"/>
      <c r="U455" s="597"/>
      <c r="V455" s="597"/>
      <c r="W455" s="597"/>
      <c r="X455" s="597"/>
      <c r="Y455" s="597"/>
      <c r="Z455" s="597"/>
    </row>
    <row r="456" spans="1:26" ht="18.75" hidden="1">
      <c r="A456" s="592"/>
      <c r="B456" s="600"/>
      <c r="C456" s="600"/>
      <c r="D456" s="600"/>
      <c r="E456" s="600" t="s">
        <v>19</v>
      </c>
      <c r="F456" s="750"/>
      <c r="G456" s="596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IFERROR(__xludf.DUMMYFUNCTION("IMPORTRANGE(""https://docs.google.com/spreadsheets/d/1QqKyyYR6Q21VydFLVH3TRQUabQu_ym0Zz7PgGX0-kHA/edit?usp=sharing"",""แผน!FM61"")"),0)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597"/>
      <c r="R456" s="597"/>
      <c r="S456" s="597"/>
      <c r="T456" s="597"/>
      <c r="U456" s="597"/>
      <c r="V456" s="597"/>
      <c r="W456" s="597"/>
      <c r="X456" s="597"/>
      <c r="Y456" s="597"/>
      <c r="Z456" s="597"/>
    </row>
    <row r="457" spans="1:26" ht="19.5">
      <c r="A457" s="601"/>
      <c r="B457" s="611"/>
      <c r="C457" s="568" t="s">
        <v>16</v>
      </c>
      <c r="D457" s="836" t="s">
        <v>38</v>
      </c>
      <c r="E457" s="604"/>
      <c r="F457" s="752"/>
      <c r="G457" s="606"/>
      <c r="H457" s="753"/>
      <c r="I457" s="269"/>
      <c r="J457" s="269"/>
      <c r="K457" s="496"/>
      <c r="L457" s="496"/>
      <c r="M457" s="496"/>
      <c r="N457" s="496"/>
      <c r="O457" s="496"/>
      <c r="P457" s="496"/>
      <c r="Q457" s="571"/>
      <c r="R457" s="571"/>
      <c r="S457" s="571"/>
      <c r="T457" s="571"/>
      <c r="U457" s="571"/>
      <c r="V457" s="571"/>
      <c r="W457" s="571"/>
      <c r="X457" s="571"/>
      <c r="Y457" s="571"/>
      <c r="Z457" s="571"/>
    </row>
    <row r="458" spans="1:26" ht="18.75" hidden="1">
      <c r="A458" s="607"/>
      <c r="B458" s="609"/>
      <c r="C458" s="609"/>
      <c r="D458" s="609" t="s">
        <v>200</v>
      </c>
      <c r="E458" s="609"/>
      <c r="F458" s="711"/>
      <c r="G458" s="365"/>
      <c r="H458" s="369" t="s">
        <v>35</v>
      </c>
      <c r="I458" s="610">
        <v>0</v>
      </c>
      <c r="J458" s="610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597"/>
      <c r="R458" s="597"/>
      <c r="S458" s="597"/>
      <c r="T458" s="597"/>
      <c r="U458" s="597"/>
      <c r="V458" s="597"/>
      <c r="W458" s="597"/>
      <c r="X458" s="597"/>
      <c r="Y458" s="597"/>
      <c r="Z458" s="597"/>
    </row>
    <row r="459" spans="1:26" ht="18.75" hidden="1">
      <c r="A459" s="607"/>
      <c r="B459" s="609"/>
      <c r="C459" s="609"/>
      <c r="D459" s="609" t="s">
        <v>201</v>
      </c>
      <c r="E459" s="609"/>
      <c r="F459" s="711"/>
      <c r="G459" s="365"/>
      <c r="H459" s="369"/>
      <c r="I459" s="610"/>
      <c r="J459" s="610"/>
      <c r="K459" s="93"/>
      <c r="L459" s="93"/>
      <c r="M459" s="93"/>
      <c r="N459" s="93"/>
      <c r="O459" s="93"/>
      <c r="P459" s="93"/>
      <c r="Q459" s="597"/>
      <c r="R459" s="597"/>
      <c r="S459" s="597"/>
      <c r="T459" s="597"/>
      <c r="U459" s="597"/>
      <c r="V459" s="597"/>
      <c r="W459" s="597"/>
      <c r="X459" s="597"/>
      <c r="Y459" s="597"/>
      <c r="Z459" s="597"/>
    </row>
    <row r="460" spans="1:26" ht="18.75">
      <c r="A460" s="601"/>
      <c r="B460" s="611"/>
      <c r="C460" s="611"/>
      <c r="D460" s="611" t="s">
        <v>202</v>
      </c>
      <c r="E460" s="611"/>
      <c r="F460" s="619"/>
      <c r="G460" s="753"/>
      <c r="H460" s="755" t="s">
        <v>35</v>
      </c>
      <c r="I460" s="269">
        <f ca="1">IFERROR(__xludf.DUMMYFUNCTION("IMPORTRANGE(""https://docs.google.com/spreadsheets/d/1QqKyyYR6Q21VydFLVH3TRQUabQu_ym0Zz7PgGX0-kHA/edit?usp=sharing"",""แผน!FN61"")"),10)</f>
        <v>10</v>
      </c>
      <c r="J460" s="214">
        <v>10</v>
      </c>
      <c r="K460" s="496">
        <f ca="1">IF(I460&gt;0,J460*100/I460,0)</f>
        <v>100</v>
      </c>
      <c r="L460" s="496"/>
      <c r="M460" s="496"/>
      <c r="N460" s="496"/>
      <c r="O460" s="496"/>
      <c r="P460" s="496"/>
      <c r="Q460" s="571"/>
      <c r="R460" s="571"/>
      <c r="S460" s="571"/>
      <c r="T460" s="571"/>
      <c r="U460" s="571"/>
      <c r="V460" s="571"/>
      <c r="W460" s="571"/>
      <c r="X460" s="571"/>
      <c r="Y460" s="571"/>
      <c r="Z460" s="571"/>
    </row>
    <row r="461" spans="1:26" ht="18.75">
      <c r="A461" s="601"/>
      <c r="B461" s="611"/>
      <c r="C461" s="611"/>
      <c r="D461" s="611" t="s">
        <v>203</v>
      </c>
      <c r="E461" s="619"/>
      <c r="F461" s="619"/>
      <c r="G461" s="753"/>
      <c r="H461" s="755"/>
      <c r="I461" s="269"/>
      <c r="J461" s="269"/>
      <c r="K461" s="496"/>
      <c r="L461" s="496"/>
      <c r="M461" s="496"/>
      <c r="N461" s="496"/>
      <c r="O461" s="496"/>
      <c r="P461" s="496"/>
      <c r="Q461" s="571"/>
      <c r="R461" s="571"/>
      <c r="S461" s="571"/>
      <c r="T461" s="571"/>
      <c r="U461" s="571"/>
      <c r="V461" s="571"/>
      <c r="W461" s="571"/>
      <c r="X461" s="571"/>
      <c r="Y461" s="571"/>
      <c r="Z461" s="571"/>
    </row>
    <row r="462" spans="1:26" ht="18.75">
      <c r="A462" s="601"/>
      <c r="B462" s="611"/>
      <c r="C462" s="611"/>
      <c r="D462" s="611" t="s">
        <v>204</v>
      </c>
      <c r="E462" s="619"/>
      <c r="F462" s="619"/>
      <c r="G462" s="753"/>
      <c r="H462" s="755" t="s">
        <v>46</v>
      </c>
      <c r="I462" s="269">
        <f ca="1">IFERROR(__xludf.DUMMYFUNCTION("IMPORTRANGE(""https://docs.google.com/spreadsheets/d/1QqKyyYR6Q21VydFLVH3TRQUabQu_ym0Zz7PgGX0-kHA/edit?usp=sharing"",""แผน!FO61"")"),20)</f>
        <v>20</v>
      </c>
      <c r="J462" s="214">
        <v>0</v>
      </c>
      <c r="K462" s="496">
        <f ca="1">IF(I462&gt;0,J462*100/I462,0)</f>
        <v>0</v>
      </c>
      <c r="L462" s="496"/>
      <c r="M462" s="496"/>
      <c r="N462" s="496"/>
      <c r="O462" s="496"/>
      <c r="P462" s="496"/>
      <c r="Q462" s="571"/>
      <c r="R462" s="571"/>
      <c r="S462" s="571"/>
      <c r="T462" s="571"/>
      <c r="U462" s="571"/>
      <c r="V462" s="571"/>
      <c r="W462" s="571"/>
      <c r="X462" s="571"/>
      <c r="Y462" s="571"/>
      <c r="Z462" s="571"/>
    </row>
    <row r="463" spans="1:26" ht="18.75">
      <c r="A463" s="601"/>
      <c r="B463" s="611"/>
      <c r="C463" s="611"/>
      <c r="D463" s="611" t="s">
        <v>59</v>
      </c>
      <c r="E463" s="619"/>
      <c r="F463" s="754"/>
      <c r="G463" s="189"/>
      <c r="H463" s="755" t="s">
        <v>46</v>
      </c>
      <c r="I463" s="269">
        <f ca="1">IFERROR(__xludf.DUMMYFUNCTION("IMPORTRANGE(""https://docs.google.com/spreadsheets/d/1QqKyyYR6Q21VydFLVH3TRQUabQu_ym0Zz7PgGX0-kHA/edit?usp=sharing"",""แผน!FO61"")"),20)</f>
        <v>20</v>
      </c>
      <c r="J463" s="214">
        <v>0</v>
      </c>
      <c r="K463" s="496"/>
      <c r="L463" s="496"/>
      <c r="M463" s="496"/>
      <c r="N463" s="496"/>
      <c r="O463" s="496"/>
      <c r="P463" s="496"/>
      <c r="Q463" s="571"/>
      <c r="R463" s="571"/>
      <c r="S463" s="571"/>
      <c r="T463" s="571"/>
      <c r="U463" s="571"/>
      <c r="V463" s="571"/>
      <c r="W463" s="571"/>
      <c r="X463" s="571"/>
      <c r="Y463" s="571"/>
      <c r="Z463" s="571"/>
    </row>
    <row r="464" spans="1:26" ht="19.5">
      <c r="A464" s="601"/>
      <c r="B464" s="611"/>
      <c r="C464" s="611"/>
      <c r="D464" s="611"/>
      <c r="E464" s="619"/>
      <c r="F464" s="619"/>
      <c r="G464" s="613"/>
      <c r="H464" s="755" t="s">
        <v>35</v>
      </c>
      <c r="I464" s="269">
        <f ca="1">IFERROR(__xludf.DUMMYFUNCTION("IMPORTRANGE(""https://docs.google.com/spreadsheets/d/1QqKyyYR6Q21VydFLVH3TRQUabQu_ym0Zz7PgGX0-kHA/edit?usp=sharing"",""แผน!FN61"")"),10)</f>
        <v>10</v>
      </c>
      <c r="J464" s="214">
        <v>0</v>
      </c>
      <c r="K464" s="496"/>
      <c r="L464" s="496"/>
      <c r="M464" s="496"/>
      <c r="N464" s="496"/>
      <c r="O464" s="496"/>
      <c r="P464" s="496"/>
      <c r="Q464" s="571"/>
      <c r="R464" s="571"/>
      <c r="S464" s="571"/>
      <c r="T464" s="571"/>
      <c r="U464" s="571"/>
      <c r="V464" s="571"/>
      <c r="W464" s="571"/>
      <c r="X464" s="571"/>
      <c r="Y464" s="571"/>
      <c r="Z464" s="571"/>
    </row>
    <row r="465" spans="1:26" ht="19.5" hidden="1">
      <c r="A465" s="578">
        <v>3</v>
      </c>
      <c r="B465" s="579" t="s">
        <v>205</v>
      </c>
      <c r="C465" s="580"/>
      <c r="D465" s="580"/>
      <c r="E465" s="580"/>
      <c r="F465" s="580"/>
      <c r="G465" s="581"/>
      <c r="H465" s="582" t="s">
        <v>35</v>
      </c>
      <c r="I465" s="583">
        <f ca="1">IFERROR(__xludf.DUMMYFUNCTION("IMPORTRANGE(""https://docs.google.com/spreadsheets/d/1QqKyyYR6Q21VydFLVH3TRQUabQu_ym0Zz7PgGX0-kHA/edit?usp=sharing"",""แผน!FX61"")"),0)</f>
        <v>0</v>
      </c>
      <c r="J465" s="583">
        <f>J485+J489+J492</f>
        <v>0</v>
      </c>
      <c r="K465" s="584">
        <f t="shared" ref="K465:K466" ca="1" si="205">IF(I465&gt;0,J465*100/I465,0)</f>
        <v>0</v>
      </c>
      <c r="L465" s="585"/>
      <c r="M465" s="585"/>
      <c r="N465" s="585"/>
      <c r="O465" s="585"/>
      <c r="P465" s="585"/>
      <c r="Q465" s="571"/>
      <c r="R465" s="571"/>
      <c r="S465" s="571"/>
      <c r="T465" s="571"/>
      <c r="U465" s="571"/>
      <c r="V465" s="571"/>
      <c r="W465" s="571"/>
      <c r="X465" s="571"/>
      <c r="Y465" s="571"/>
      <c r="Z465" s="571"/>
    </row>
    <row r="466" spans="1:26" ht="19.5" hidden="1">
      <c r="A466" s="586"/>
      <c r="B466" s="587"/>
      <c r="C466" s="588"/>
      <c r="D466" s="588"/>
      <c r="E466" s="588"/>
      <c r="F466" s="588"/>
      <c r="G466" s="589"/>
      <c r="H466" s="562" t="s">
        <v>46</v>
      </c>
      <c r="I466" s="563">
        <f ca="1">IFERROR(__xludf.DUMMYFUNCTION("IMPORTRANGE(""https://docs.google.com/spreadsheets/d/1QqKyyYR6Q21VydFLVH3TRQUabQu_ym0Zz7PgGX0-kHA/edit?usp=sharing"",""แผน!FW61"")"),0)</f>
        <v>0</v>
      </c>
      <c r="J466" s="563">
        <f>J483+J487</f>
        <v>0</v>
      </c>
      <c r="K466" s="564">
        <f t="shared" ca="1" si="205"/>
        <v>0</v>
      </c>
      <c r="L466" s="565"/>
      <c r="M466" s="565"/>
      <c r="N466" s="565"/>
      <c r="O466" s="565"/>
      <c r="P466" s="565"/>
      <c r="Q466" s="571"/>
      <c r="R466" s="571"/>
      <c r="S466" s="571"/>
      <c r="T466" s="571"/>
      <c r="U466" s="571"/>
      <c r="V466" s="571"/>
      <c r="W466" s="571"/>
      <c r="X466" s="571"/>
      <c r="Y466" s="571"/>
      <c r="Z466" s="571"/>
    </row>
    <row r="467" spans="1:26" ht="19.5" hidden="1">
      <c r="A467" s="590"/>
      <c r="B467" s="754"/>
      <c r="C467" s="754" t="s">
        <v>16</v>
      </c>
      <c r="D467" s="863" t="s">
        <v>17</v>
      </c>
      <c r="E467" s="857"/>
      <c r="F467" s="857"/>
      <c r="G467" s="189"/>
      <c r="H467" s="591" t="s">
        <v>12</v>
      </c>
      <c r="I467" s="269"/>
      <c r="J467" s="269"/>
      <c r="K467" s="496"/>
      <c r="L467" s="195">
        <f t="shared" ref="L467:N467" ca="1" si="206">L468+L469</f>
        <v>0</v>
      </c>
      <c r="M467" s="195">
        <f t="shared" si="206"/>
        <v>0</v>
      </c>
      <c r="N467" s="195">
        <f t="shared" si="206"/>
        <v>0</v>
      </c>
      <c r="O467" s="195">
        <f t="shared" ref="O467:O472" ca="1" si="207">IF(L467&gt;0,N467*100/L467,0)</f>
        <v>0</v>
      </c>
      <c r="P467" s="195">
        <f t="shared" ref="P467:P472" si="208">IF(M467&gt;0,N467*100/M467,0)</f>
        <v>0</v>
      </c>
      <c r="Q467" s="571"/>
      <c r="R467" s="571"/>
      <c r="S467" s="571"/>
      <c r="T467" s="571"/>
      <c r="U467" s="571"/>
      <c r="V467" s="571"/>
      <c r="W467" s="571"/>
      <c r="X467" s="571"/>
      <c r="Y467" s="571"/>
      <c r="Z467" s="571"/>
    </row>
    <row r="468" spans="1:26" ht="18.75" hidden="1">
      <c r="A468" s="592"/>
      <c r="B468" s="750"/>
      <c r="C468" s="750"/>
      <c r="D468" s="711"/>
      <c r="E468" s="750" t="s">
        <v>184</v>
      </c>
      <c r="F468" s="750"/>
      <c r="G468" s="596"/>
      <c r="H468" s="165" t="s">
        <v>12</v>
      </c>
      <c r="I468" s="610"/>
      <c r="J468" s="610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597"/>
      <c r="R468" s="597"/>
      <c r="S468" s="597"/>
      <c r="T468" s="597"/>
      <c r="U468" s="597"/>
      <c r="V468" s="597"/>
      <c r="W468" s="597"/>
      <c r="X468" s="597"/>
      <c r="Y468" s="597"/>
      <c r="Z468" s="597"/>
    </row>
    <row r="469" spans="1:26" ht="18.75" hidden="1">
      <c r="A469" s="592"/>
      <c r="B469" s="600"/>
      <c r="C469" s="750"/>
      <c r="D469" s="711"/>
      <c r="E469" s="750" t="s">
        <v>185</v>
      </c>
      <c r="F469" s="750"/>
      <c r="G469" s="596"/>
      <c r="H469" s="165" t="s">
        <v>12</v>
      </c>
      <c r="I469" s="610"/>
      <c r="J469" s="610"/>
      <c r="K469" s="93"/>
      <c r="L469" s="93">
        <f t="shared" ca="1" si="209"/>
        <v>0</v>
      </c>
      <c r="M469" s="93">
        <f t="shared" si="209"/>
        <v>0</v>
      </c>
      <c r="N469" s="93">
        <f t="shared" si="209"/>
        <v>0</v>
      </c>
      <c r="O469" s="93">
        <f t="shared" ca="1" si="207"/>
        <v>0</v>
      </c>
      <c r="P469" s="93">
        <f t="shared" si="208"/>
        <v>0</v>
      </c>
      <c r="Q469" s="597"/>
      <c r="R469" s="597"/>
      <c r="S469" s="597"/>
      <c r="T469" s="597"/>
      <c r="U469" s="597"/>
      <c r="V469" s="597"/>
      <c r="W469" s="597"/>
      <c r="X469" s="597"/>
      <c r="Y469" s="597"/>
      <c r="Z469" s="597"/>
    </row>
    <row r="470" spans="1:26" ht="18.75" hidden="1">
      <c r="A470" s="590"/>
      <c r="B470" s="568"/>
      <c r="C470" s="754"/>
      <c r="D470" s="599" t="s">
        <v>20</v>
      </c>
      <c r="E470" s="754"/>
      <c r="F470" s="754"/>
      <c r="G470" s="189"/>
      <c r="H470" s="161" t="s">
        <v>12</v>
      </c>
      <c r="I470" s="184"/>
      <c r="J470" s="184"/>
      <c r="K470" s="163"/>
      <c r="L470" s="496">
        <f t="shared" ref="L470:N470" ca="1" si="210">L471+L472</f>
        <v>0</v>
      </c>
      <c r="M470" s="496">
        <f t="shared" si="210"/>
        <v>0</v>
      </c>
      <c r="N470" s="496">
        <f t="shared" si="210"/>
        <v>0</v>
      </c>
      <c r="O470" s="496">
        <f t="shared" ca="1" si="207"/>
        <v>0</v>
      </c>
      <c r="P470" s="496">
        <f t="shared" si="208"/>
        <v>0</v>
      </c>
      <c r="Q470" s="571"/>
      <c r="R470" s="571"/>
      <c r="S470" s="571"/>
      <c r="T470" s="571"/>
      <c r="U470" s="571"/>
      <c r="V470" s="571"/>
      <c r="W470" s="571"/>
      <c r="X470" s="571"/>
      <c r="Y470" s="571"/>
      <c r="Z470" s="571"/>
    </row>
    <row r="471" spans="1:26" ht="18.75" hidden="1">
      <c r="A471" s="592"/>
      <c r="B471" s="600"/>
      <c r="C471" s="750"/>
      <c r="D471" s="711"/>
      <c r="E471" s="750" t="s">
        <v>184</v>
      </c>
      <c r="F471" s="750"/>
      <c r="G471" s="596"/>
      <c r="H471" s="165" t="s">
        <v>12</v>
      </c>
      <c r="I471" s="610"/>
      <c r="J471" s="610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597"/>
      <c r="R471" s="597"/>
      <c r="S471" s="597"/>
      <c r="T471" s="597"/>
      <c r="U471" s="597"/>
      <c r="V471" s="597"/>
      <c r="W471" s="597"/>
      <c r="X471" s="597"/>
      <c r="Y471" s="597"/>
      <c r="Z471" s="597"/>
    </row>
    <row r="472" spans="1:26" ht="18.75" hidden="1">
      <c r="A472" s="592"/>
      <c r="B472" s="600"/>
      <c r="C472" s="750"/>
      <c r="D472" s="711"/>
      <c r="E472" s="750" t="s">
        <v>185</v>
      </c>
      <c r="F472" s="750"/>
      <c r="G472" s="596"/>
      <c r="H472" s="165" t="s">
        <v>12</v>
      </c>
      <c r="I472" s="610"/>
      <c r="J472" s="610"/>
      <c r="K472" s="93"/>
      <c r="L472" s="93">
        <f ca="1">IFERROR(__xludf.DUMMYFUNCTION("IMPORTRANGE(""https://docs.google.com/spreadsheets/d/1QqKyyYR6Q21VydFLVH3TRQUabQu_ym0Zz7PgGX0-kHA/edit?usp=sharing"",""แผน!FS61"")"),0)</f>
        <v>0</v>
      </c>
      <c r="M472" s="93">
        <v>0</v>
      </c>
      <c r="N472" s="93">
        <f>N473+N474+N475+N476</f>
        <v>0</v>
      </c>
      <c r="O472" s="93">
        <f t="shared" ca="1" si="207"/>
        <v>0</v>
      </c>
      <c r="P472" s="93">
        <f t="shared" si="208"/>
        <v>0</v>
      </c>
      <c r="Q472" s="597"/>
      <c r="R472" s="597"/>
      <c r="S472" s="597"/>
      <c r="T472" s="597"/>
      <c r="U472" s="597"/>
      <c r="V472" s="597"/>
      <c r="W472" s="597"/>
      <c r="X472" s="597"/>
      <c r="Y472" s="597"/>
      <c r="Z472" s="597"/>
    </row>
    <row r="473" spans="1:26" ht="18.75" hidden="1">
      <c r="A473" s="567"/>
      <c r="B473" s="568"/>
      <c r="C473" s="754"/>
      <c r="D473" s="754"/>
      <c r="E473" s="754"/>
      <c r="F473" s="754" t="s">
        <v>186</v>
      </c>
      <c r="G473" s="189"/>
      <c r="H473" s="161" t="s">
        <v>12</v>
      </c>
      <c r="I473" s="269"/>
      <c r="J473" s="269"/>
      <c r="K473" s="496"/>
      <c r="L473" s="496"/>
      <c r="M473" s="496"/>
      <c r="N473" s="817">
        <v>0</v>
      </c>
      <c r="O473" s="496"/>
      <c r="P473" s="496"/>
      <c r="Q473" s="571"/>
      <c r="R473" s="571"/>
      <c r="S473" s="571"/>
      <c r="T473" s="571"/>
      <c r="U473" s="571"/>
      <c r="V473" s="571"/>
      <c r="W473" s="571"/>
      <c r="X473" s="571"/>
      <c r="Y473" s="571"/>
      <c r="Z473" s="571"/>
    </row>
    <row r="474" spans="1:26" ht="18.75" hidden="1">
      <c r="A474" s="567"/>
      <c r="B474" s="568"/>
      <c r="C474" s="754"/>
      <c r="D474" s="754"/>
      <c r="E474" s="754"/>
      <c r="F474" s="754" t="s">
        <v>187</v>
      </c>
      <c r="G474" s="189"/>
      <c r="H474" s="161" t="s">
        <v>12</v>
      </c>
      <c r="I474" s="269"/>
      <c r="J474" s="269"/>
      <c r="K474" s="496"/>
      <c r="L474" s="496"/>
      <c r="M474" s="496"/>
      <c r="N474" s="817">
        <v>0</v>
      </c>
      <c r="O474" s="496"/>
      <c r="P474" s="496"/>
      <c r="Q474" s="571"/>
      <c r="R474" s="571"/>
      <c r="S474" s="571"/>
      <c r="T474" s="571"/>
      <c r="U474" s="571"/>
      <c r="V474" s="571"/>
      <c r="W474" s="571"/>
      <c r="X474" s="571"/>
      <c r="Y474" s="571"/>
      <c r="Z474" s="571"/>
    </row>
    <row r="475" spans="1:26" ht="18.75" hidden="1">
      <c r="A475" s="567"/>
      <c r="B475" s="568"/>
      <c r="C475" s="568"/>
      <c r="D475" s="568"/>
      <c r="E475" s="568"/>
      <c r="F475" s="754" t="s">
        <v>188</v>
      </c>
      <c r="G475" s="189"/>
      <c r="H475" s="161" t="s">
        <v>12</v>
      </c>
      <c r="I475" s="269"/>
      <c r="J475" s="269"/>
      <c r="K475" s="496"/>
      <c r="L475" s="496"/>
      <c r="M475" s="496"/>
      <c r="N475" s="817">
        <v>0</v>
      </c>
      <c r="O475" s="496"/>
      <c r="P475" s="496"/>
      <c r="Q475" s="571"/>
      <c r="R475" s="571"/>
      <c r="S475" s="571"/>
      <c r="T475" s="571"/>
      <c r="U475" s="571"/>
      <c r="V475" s="571"/>
      <c r="W475" s="571"/>
      <c r="X475" s="571"/>
      <c r="Y475" s="571"/>
      <c r="Z475" s="571"/>
    </row>
    <row r="476" spans="1:26" ht="18.75" hidden="1">
      <c r="A476" s="567"/>
      <c r="B476" s="568"/>
      <c r="C476" s="568"/>
      <c r="D476" s="568"/>
      <c r="E476" s="568"/>
      <c r="F476" s="754" t="s">
        <v>189</v>
      </c>
      <c r="G476" s="189"/>
      <c r="H476" s="161" t="s">
        <v>12</v>
      </c>
      <c r="I476" s="269"/>
      <c r="J476" s="269"/>
      <c r="K476" s="496"/>
      <c r="L476" s="496"/>
      <c r="M476" s="496"/>
      <c r="N476" s="817">
        <v>0</v>
      </c>
      <c r="O476" s="496"/>
      <c r="P476" s="496"/>
      <c r="Q476" s="571"/>
      <c r="R476" s="571"/>
      <c r="S476" s="571"/>
      <c r="T476" s="571"/>
      <c r="U476" s="571"/>
      <c r="V476" s="571"/>
      <c r="W476" s="571"/>
      <c r="X476" s="571"/>
      <c r="Y476" s="571"/>
      <c r="Z476" s="571"/>
    </row>
    <row r="477" spans="1:26" ht="18.75" hidden="1">
      <c r="A477" s="590"/>
      <c r="B477" s="568"/>
      <c r="C477" s="568"/>
      <c r="D477" s="599" t="s">
        <v>21</v>
      </c>
      <c r="E477" s="568"/>
      <c r="F477" s="568"/>
      <c r="G477" s="189"/>
      <c r="H477" s="168" t="s">
        <v>12</v>
      </c>
      <c r="I477" s="184"/>
      <c r="J477" s="184"/>
      <c r="K477" s="163"/>
      <c r="L477" s="496">
        <f t="shared" ref="L477:N477" ca="1" si="211">L478+L479</f>
        <v>0</v>
      </c>
      <c r="M477" s="496">
        <f t="shared" si="211"/>
        <v>0</v>
      </c>
      <c r="N477" s="496">
        <f t="shared" si="211"/>
        <v>0</v>
      </c>
      <c r="O477" s="496">
        <f t="shared" ref="O477:O479" ca="1" si="212">IF(L477&gt;0,N477*100/L477,0)</f>
        <v>0</v>
      </c>
      <c r="P477" s="496">
        <f t="shared" ref="P477:P479" si="213">IF(M477&gt;0,N477*100/M477,0)</f>
        <v>0</v>
      </c>
      <c r="Q477" s="571"/>
      <c r="R477" s="571"/>
      <c r="S477" s="571"/>
      <c r="T477" s="571"/>
      <c r="U477" s="571"/>
      <c r="V477" s="571"/>
      <c r="W477" s="571"/>
      <c r="X477" s="571"/>
      <c r="Y477" s="571"/>
      <c r="Z477" s="571"/>
    </row>
    <row r="478" spans="1:26" ht="18.75" hidden="1">
      <c r="A478" s="592"/>
      <c r="B478" s="600"/>
      <c r="C478" s="600"/>
      <c r="D478" s="600"/>
      <c r="E478" s="600" t="s">
        <v>18</v>
      </c>
      <c r="F478" s="600"/>
      <c r="G478" s="596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597"/>
      <c r="R478" s="597"/>
      <c r="S478" s="597"/>
      <c r="T478" s="597"/>
      <c r="U478" s="597"/>
      <c r="V478" s="597"/>
      <c r="W478" s="597"/>
      <c r="X478" s="597"/>
      <c r="Y478" s="597"/>
      <c r="Z478" s="597"/>
    </row>
    <row r="479" spans="1:26" ht="18.75" hidden="1">
      <c r="A479" s="592"/>
      <c r="B479" s="600"/>
      <c r="C479" s="600"/>
      <c r="D479" s="600"/>
      <c r="E479" s="600" t="s">
        <v>19</v>
      </c>
      <c r="F479" s="600"/>
      <c r="G479" s="596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IFERROR(__xludf.DUMMYFUNCTION("IMPORTRANGE(""https://docs.google.com/spreadsheets/d/1QqKyyYR6Q21VydFLVH3TRQUabQu_ym0Zz7PgGX0-kHA/edit?usp=sharing"",""แผน!FV61"")"),0)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597"/>
      <c r="R479" s="597"/>
      <c r="S479" s="597"/>
      <c r="T479" s="597"/>
      <c r="U479" s="597"/>
      <c r="V479" s="597"/>
      <c r="W479" s="597"/>
      <c r="X479" s="597"/>
      <c r="Y479" s="597"/>
      <c r="Z479" s="597"/>
    </row>
    <row r="480" spans="1:26" ht="19.5" hidden="1">
      <c r="A480" s="601"/>
      <c r="B480" s="611"/>
      <c r="C480" s="568" t="s">
        <v>16</v>
      </c>
      <c r="D480" s="837" t="s">
        <v>38</v>
      </c>
      <c r="E480" s="604"/>
      <c r="F480" s="752"/>
      <c r="G480" s="606"/>
      <c r="H480" s="753"/>
      <c r="I480" s="269"/>
      <c r="J480" s="269"/>
      <c r="K480" s="496"/>
      <c r="L480" s="496"/>
      <c r="M480" s="496"/>
      <c r="N480" s="496"/>
      <c r="O480" s="496"/>
      <c r="P480" s="496"/>
      <c r="Q480" s="571"/>
      <c r="R480" s="571"/>
      <c r="S480" s="571"/>
      <c r="T480" s="571"/>
      <c r="U480" s="571"/>
      <c r="V480" s="571"/>
      <c r="W480" s="571"/>
      <c r="X480" s="571"/>
      <c r="Y480" s="571"/>
      <c r="Z480" s="571"/>
    </row>
    <row r="481" spans="1:26" ht="19.5" hidden="1">
      <c r="A481" s="601"/>
      <c r="B481" s="611"/>
      <c r="C481" s="611"/>
      <c r="D481" s="618" t="s">
        <v>206</v>
      </c>
      <c r="E481" s="611"/>
      <c r="F481" s="611"/>
      <c r="G481" s="753"/>
      <c r="H481" s="189"/>
      <c r="I481" s="269"/>
      <c r="J481" s="269"/>
      <c r="K481" s="496"/>
      <c r="L481" s="496"/>
      <c r="M481" s="496"/>
      <c r="N481" s="496"/>
      <c r="O481" s="496"/>
      <c r="P481" s="496"/>
      <c r="Q481" s="571"/>
      <c r="R481" s="571"/>
      <c r="S481" s="571"/>
      <c r="T481" s="571"/>
      <c r="U481" s="571"/>
      <c r="V481" s="571"/>
      <c r="W481" s="571"/>
      <c r="X481" s="571"/>
      <c r="Y481" s="571"/>
      <c r="Z481" s="571"/>
    </row>
    <row r="482" spans="1:26" ht="18.75" hidden="1">
      <c r="A482" s="601"/>
      <c r="B482" s="611"/>
      <c r="C482" s="611"/>
      <c r="D482" s="611"/>
      <c r="E482" s="611" t="s">
        <v>207</v>
      </c>
      <c r="F482" s="611"/>
      <c r="G482" s="753"/>
      <c r="H482" s="189"/>
      <c r="I482" s="269"/>
      <c r="J482" s="269"/>
      <c r="K482" s="496"/>
      <c r="L482" s="496"/>
      <c r="M482" s="496"/>
      <c r="N482" s="496"/>
      <c r="O482" s="496"/>
      <c r="P482" s="496"/>
      <c r="Q482" s="571"/>
      <c r="R482" s="571"/>
      <c r="S482" s="571"/>
      <c r="T482" s="571"/>
      <c r="U482" s="571"/>
      <c r="V482" s="571"/>
      <c r="W482" s="571"/>
      <c r="X482" s="571"/>
      <c r="Y482" s="571"/>
      <c r="Z482" s="571"/>
    </row>
    <row r="483" spans="1:26" ht="18.75" hidden="1">
      <c r="A483" s="601"/>
      <c r="B483" s="611"/>
      <c r="C483" s="611"/>
      <c r="D483" s="611"/>
      <c r="E483" s="611"/>
      <c r="F483" s="611" t="s">
        <v>208</v>
      </c>
      <c r="G483" s="753"/>
      <c r="H483" s="616" t="s">
        <v>46</v>
      </c>
      <c r="I483" s="269">
        <f ca="1">IFERROR(__xludf.DUMMYFUNCTION("IMPORTRANGE(""https://docs.google.com/spreadsheets/d/1QqKyyYR6Q21VydFLVH3TRQUabQu_ym0Zz7PgGX0-kHA/edit?usp=sharing"",""แผน!FY61"")"),0)</f>
        <v>0</v>
      </c>
      <c r="J483" s="214">
        <v>0</v>
      </c>
      <c r="K483" s="496">
        <f ca="1">IF(I483&gt;0,J483*100/I483,0)</f>
        <v>0</v>
      </c>
      <c r="L483" s="496"/>
      <c r="M483" s="496"/>
      <c r="N483" s="496"/>
      <c r="O483" s="496"/>
      <c r="P483" s="496"/>
      <c r="Q483" s="571"/>
      <c r="R483" s="571"/>
      <c r="S483" s="571"/>
      <c r="T483" s="571"/>
      <c r="U483" s="571"/>
      <c r="V483" s="571"/>
      <c r="W483" s="571"/>
      <c r="X483" s="571"/>
      <c r="Y483" s="571"/>
      <c r="Z483" s="571"/>
    </row>
    <row r="484" spans="1:26" ht="18.75" hidden="1">
      <c r="A484" s="601"/>
      <c r="B484" s="611"/>
      <c r="C484" s="611"/>
      <c r="D484" s="611"/>
      <c r="E484" s="611"/>
      <c r="F484" s="611" t="s">
        <v>209</v>
      </c>
      <c r="G484" s="753"/>
      <c r="H484" s="616" t="s">
        <v>35</v>
      </c>
      <c r="I484" s="269"/>
      <c r="J484" s="214">
        <v>0</v>
      </c>
      <c r="K484" s="496"/>
      <c r="L484" s="496"/>
      <c r="M484" s="496"/>
      <c r="N484" s="496"/>
      <c r="O484" s="496"/>
      <c r="P484" s="496"/>
      <c r="Q484" s="571"/>
      <c r="R484" s="571"/>
      <c r="S484" s="571"/>
      <c r="T484" s="571"/>
      <c r="U484" s="571"/>
      <c r="V484" s="571"/>
      <c r="W484" s="571"/>
      <c r="X484" s="571"/>
      <c r="Y484" s="571"/>
      <c r="Z484" s="571"/>
    </row>
    <row r="485" spans="1:26" ht="18.75" hidden="1">
      <c r="A485" s="601"/>
      <c r="B485" s="611"/>
      <c r="C485" s="611"/>
      <c r="D485" s="611"/>
      <c r="E485" s="611"/>
      <c r="F485" s="611" t="s">
        <v>210</v>
      </c>
      <c r="G485" s="753"/>
      <c r="H485" s="616" t="s">
        <v>35</v>
      </c>
      <c r="I485" s="269">
        <f ca="1">IFERROR(__xludf.DUMMYFUNCTION("IMPORTRANGE(""https://docs.google.com/spreadsheets/d/1QqKyyYR6Q21VydFLVH3TRQUabQu_ym0Zz7PgGX0-kHA/edit?usp=sharing"",""แผน!FZ61"")"),0)</f>
        <v>0</v>
      </c>
      <c r="J485" s="214">
        <v>0</v>
      </c>
      <c r="K485" s="496">
        <f ca="1">IF(I485&gt;0,J485*100/I485,0)</f>
        <v>0</v>
      </c>
      <c r="L485" s="496"/>
      <c r="M485" s="496"/>
      <c r="N485" s="496"/>
      <c r="O485" s="496"/>
      <c r="P485" s="496"/>
      <c r="Q485" s="571"/>
      <c r="R485" s="571"/>
      <c r="S485" s="571"/>
      <c r="T485" s="571"/>
      <c r="U485" s="571"/>
      <c r="V485" s="571"/>
      <c r="W485" s="571"/>
      <c r="X485" s="571"/>
      <c r="Y485" s="571"/>
      <c r="Z485" s="571"/>
    </row>
    <row r="486" spans="1:26" ht="18.75" hidden="1">
      <c r="A486" s="601"/>
      <c r="B486" s="611"/>
      <c r="C486" s="611"/>
      <c r="D486" s="611"/>
      <c r="E486" s="611" t="s">
        <v>62</v>
      </c>
      <c r="F486" s="611"/>
      <c r="G486" s="753"/>
      <c r="H486" s="616"/>
      <c r="I486" s="269"/>
      <c r="J486" s="269"/>
      <c r="K486" s="496"/>
      <c r="L486" s="496"/>
      <c r="M486" s="496"/>
      <c r="N486" s="496"/>
      <c r="O486" s="496"/>
      <c r="P486" s="496"/>
      <c r="Q486" s="571"/>
      <c r="R486" s="571"/>
      <c r="S486" s="571"/>
      <c r="T486" s="571"/>
      <c r="U486" s="571"/>
      <c r="V486" s="571"/>
      <c r="W486" s="571"/>
      <c r="X486" s="571"/>
      <c r="Y486" s="571"/>
      <c r="Z486" s="571"/>
    </row>
    <row r="487" spans="1:26" ht="18.75" hidden="1">
      <c r="A487" s="601"/>
      <c r="B487" s="611"/>
      <c r="C487" s="611"/>
      <c r="D487" s="611"/>
      <c r="E487" s="611"/>
      <c r="F487" s="611" t="s">
        <v>208</v>
      </c>
      <c r="G487" s="753"/>
      <c r="H487" s="616" t="s">
        <v>46</v>
      </c>
      <c r="I487" s="269">
        <f ca="1">IFERROR(__xludf.DUMMYFUNCTION("IMPORTRANGE(""https://docs.google.com/spreadsheets/d/1QqKyyYR6Q21VydFLVH3TRQUabQu_ym0Zz7PgGX0-kHA/edit?usp=sharing"",""แผน!GA61"")"),0)</f>
        <v>0</v>
      </c>
      <c r="J487" s="214">
        <v>0</v>
      </c>
      <c r="K487" s="496">
        <f ca="1">IF(I487&gt;0,J487*100/I487,0)</f>
        <v>0</v>
      </c>
      <c r="L487" s="496"/>
      <c r="M487" s="496"/>
      <c r="N487" s="496"/>
      <c r="O487" s="496"/>
      <c r="P487" s="496"/>
      <c r="Q487" s="571"/>
      <c r="R487" s="571"/>
      <c r="S487" s="571"/>
      <c r="T487" s="571"/>
      <c r="U487" s="571"/>
      <c r="V487" s="571"/>
      <c r="W487" s="571"/>
      <c r="X487" s="571"/>
      <c r="Y487" s="571"/>
      <c r="Z487" s="571"/>
    </row>
    <row r="488" spans="1:26" ht="18.75" hidden="1">
      <c r="A488" s="601"/>
      <c r="B488" s="611"/>
      <c r="C488" s="611"/>
      <c r="D488" s="611"/>
      <c r="E488" s="611"/>
      <c r="F488" s="611" t="s">
        <v>211</v>
      </c>
      <c r="G488" s="753"/>
      <c r="H488" s="616" t="s">
        <v>35</v>
      </c>
      <c r="I488" s="269"/>
      <c r="J488" s="214">
        <v>0</v>
      </c>
      <c r="K488" s="496"/>
      <c r="L488" s="496"/>
      <c r="M488" s="496"/>
      <c r="N488" s="496"/>
      <c r="O488" s="496"/>
      <c r="P488" s="496"/>
      <c r="Q488" s="571"/>
      <c r="R488" s="571"/>
      <c r="S488" s="571"/>
      <c r="T488" s="571"/>
      <c r="U488" s="571"/>
      <c r="V488" s="571"/>
      <c r="W488" s="571"/>
      <c r="X488" s="571"/>
      <c r="Y488" s="571"/>
      <c r="Z488" s="571"/>
    </row>
    <row r="489" spans="1:26" ht="18.75" hidden="1">
      <c r="A489" s="601"/>
      <c r="B489" s="611"/>
      <c r="C489" s="611"/>
      <c r="D489" s="611"/>
      <c r="E489" s="611"/>
      <c r="F489" s="611" t="s">
        <v>212</v>
      </c>
      <c r="G489" s="753"/>
      <c r="H489" s="616" t="s">
        <v>35</v>
      </c>
      <c r="I489" s="269">
        <f ca="1">IFERROR(__xludf.DUMMYFUNCTION("IMPORTRANGE(""https://docs.google.com/spreadsheets/d/1QqKyyYR6Q21VydFLVH3TRQUabQu_ym0Zz7PgGX0-kHA/edit?usp=sharing"",""แผน!GB61"")"),0)</f>
        <v>0</v>
      </c>
      <c r="J489" s="214">
        <v>0</v>
      </c>
      <c r="K489" s="496">
        <f ca="1">IF(I489&gt;0,J489*100/I489,0)</f>
        <v>0</v>
      </c>
      <c r="L489" s="496"/>
      <c r="M489" s="496"/>
      <c r="N489" s="496"/>
      <c r="O489" s="496"/>
      <c r="P489" s="496"/>
      <c r="Q489" s="571"/>
      <c r="R489" s="571"/>
      <c r="S489" s="571"/>
      <c r="T489" s="571"/>
      <c r="U489" s="571"/>
      <c r="V489" s="571"/>
      <c r="W489" s="571"/>
      <c r="X489" s="571"/>
      <c r="Y489" s="571"/>
      <c r="Z489" s="571"/>
    </row>
    <row r="490" spans="1:26" ht="18.75" hidden="1">
      <c r="A490" s="601"/>
      <c r="B490" s="611"/>
      <c r="C490" s="611"/>
      <c r="D490" s="611"/>
      <c r="E490" s="611" t="s">
        <v>63</v>
      </c>
      <c r="F490" s="619"/>
      <c r="G490" s="753"/>
      <c r="H490" s="616"/>
      <c r="I490" s="269"/>
      <c r="J490" s="269"/>
      <c r="K490" s="496"/>
      <c r="L490" s="496"/>
      <c r="M490" s="496"/>
      <c r="N490" s="496"/>
      <c r="O490" s="496"/>
      <c r="P490" s="496"/>
      <c r="Q490" s="571"/>
      <c r="R490" s="571"/>
      <c r="S490" s="571"/>
      <c r="T490" s="571"/>
      <c r="U490" s="571"/>
      <c r="V490" s="571"/>
      <c r="W490" s="571"/>
      <c r="X490" s="571"/>
      <c r="Y490" s="571"/>
      <c r="Z490" s="571"/>
    </row>
    <row r="491" spans="1:26" ht="18.75" hidden="1">
      <c r="A491" s="601"/>
      <c r="B491" s="611"/>
      <c r="C491" s="611"/>
      <c r="D491" s="611"/>
      <c r="E491" s="611"/>
      <c r="F491" s="611" t="s">
        <v>213</v>
      </c>
      <c r="G491" s="753"/>
      <c r="H491" s="616" t="s">
        <v>35</v>
      </c>
      <c r="I491" s="269"/>
      <c r="J491" s="214">
        <v>0</v>
      </c>
      <c r="K491" s="496"/>
      <c r="L491" s="496"/>
      <c r="M491" s="496"/>
      <c r="N491" s="496"/>
      <c r="O491" s="496"/>
      <c r="P491" s="496"/>
      <c r="Q491" s="571"/>
      <c r="R491" s="571"/>
      <c r="S491" s="571"/>
      <c r="T491" s="571"/>
      <c r="U491" s="571"/>
      <c r="V491" s="571"/>
      <c r="W491" s="571"/>
      <c r="X491" s="571"/>
      <c r="Y491" s="571"/>
      <c r="Z491" s="571"/>
    </row>
    <row r="492" spans="1:26" ht="18.75" hidden="1">
      <c r="A492" s="601"/>
      <c r="B492" s="611"/>
      <c r="C492" s="611"/>
      <c r="D492" s="611"/>
      <c r="E492" s="611"/>
      <c r="F492" s="611" t="s">
        <v>214</v>
      </c>
      <c r="G492" s="753"/>
      <c r="H492" s="616" t="s">
        <v>35</v>
      </c>
      <c r="I492" s="269">
        <f ca="1">IFERROR(__xludf.DUMMYFUNCTION("IMPORTRANGE(""https://docs.google.com/spreadsheets/d/1QqKyyYR6Q21VydFLVH3TRQUabQu_ym0Zz7PgGX0-kHA/edit?usp=sharing"",""แผน!GC61"")"),0)</f>
        <v>0</v>
      </c>
      <c r="J492" s="214">
        <v>0</v>
      </c>
      <c r="K492" s="496">
        <f ca="1">IF(I492&gt;0,J492*100/I492,0)</f>
        <v>0</v>
      </c>
      <c r="L492" s="496"/>
      <c r="M492" s="496"/>
      <c r="N492" s="496"/>
      <c r="O492" s="496"/>
      <c r="P492" s="496"/>
      <c r="Q492" s="571"/>
      <c r="R492" s="571"/>
      <c r="S492" s="571"/>
      <c r="T492" s="571"/>
      <c r="U492" s="571"/>
      <c r="V492" s="571"/>
      <c r="W492" s="571"/>
      <c r="X492" s="571"/>
      <c r="Y492" s="571"/>
      <c r="Z492" s="571"/>
    </row>
    <row r="493" spans="1:26" ht="19.5" hidden="1">
      <c r="A493" s="601"/>
      <c r="B493" s="611"/>
      <c r="C493" s="611"/>
      <c r="D493" s="618" t="s">
        <v>59</v>
      </c>
      <c r="E493" s="611"/>
      <c r="F493" s="619"/>
      <c r="G493" s="753"/>
      <c r="H493" s="189"/>
      <c r="I493" s="269"/>
      <c r="J493" s="269"/>
      <c r="K493" s="496"/>
      <c r="L493" s="496"/>
      <c r="M493" s="496"/>
      <c r="N493" s="496"/>
      <c r="O493" s="496"/>
      <c r="P493" s="496"/>
      <c r="Q493" s="571"/>
      <c r="R493" s="571"/>
      <c r="S493" s="571"/>
      <c r="T493" s="571"/>
      <c r="U493" s="571"/>
      <c r="V493" s="571"/>
      <c r="W493" s="571"/>
      <c r="X493" s="571"/>
      <c r="Y493" s="571"/>
      <c r="Z493" s="571"/>
    </row>
    <row r="494" spans="1:26" ht="18.75" hidden="1">
      <c r="A494" s="601"/>
      <c r="B494" s="611"/>
      <c r="C494" s="611"/>
      <c r="D494" s="611"/>
      <c r="E494" s="611" t="s">
        <v>207</v>
      </c>
      <c r="F494" s="619"/>
      <c r="G494" s="753"/>
      <c r="H494" s="189"/>
      <c r="I494" s="269"/>
      <c r="J494" s="269"/>
      <c r="K494" s="496"/>
      <c r="L494" s="496"/>
      <c r="M494" s="496"/>
      <c r="N494" s="496"/>
      <c r="O494" s="496"/>
      <c r="P494" s="496"/>
      <c r="Q494" s="571"/>
      <c r="R494" s="571"/>
      <c r="S494" s="571"/>
      <c r="T494" s="571"/>
      <c r="U494" s="571"/>
      <c r="V494" s="571"/>
      <c r="W494" s="571"/>
      <c r="X494" s="571"/>
      <c r="Y494" s="571"/>
      <c r="Z494" s="571"/>
    </row>
    <row r="495" spans="1:26" ht="18.75" hidden="1">
      <c r="A495" s="601"/>
      <c r="B495" s="611"/>
      <c r="C495" s="611"/>
      <c r="D495" s="611"/>
      <c r="E495" s="611"/>
      <c r="F495" s="619" t="s">
        <v>215</v>
      </c>
      <c r="G495" s="753"/>
      <c r="H495" s="616" t="s">
        <v>46</v>
      </c>
      <c r="I495" s="269">
        <f ca="1">IFERROR(__xludf.DUMMYFUNCTION("IMPORTRANGE(""https://docs.google.com/spreadsheets/d/1QqKyyYR6Q21VydFLVH3TRQUabQu_ym0Zz7PgGX0-kHA/edit?usp=sharing"",""แผน!FY61"")"),0)</f>
        <v>0</v>
      </c>
      <c r="J495" s="214">
        <v>0</v>
      </c>
      <c r="K495" s="496">
        <f ca="1">IF(I495&gt;0,J495*100/I495,0)</f>
        <v>0</v>
      </c>
      <c r="L495" s="496"/>
      <c r="M495" s="496"/>
      <c r="N495" s="496"/>
      <c r="O495" s="496"/>
      <c r="P495" s="496"/>
      <c r="Q495" s="571"/>
      <c r="R495" s="571"/>
      <c r="S495" s="571"/>
      <c r="T495" s="571"/>
      <c r="U495" s="571"/>
      <c r="V495" s="571"/>
      <c r="W495" s="571"/>
      <c r="X495" s="571"/>
      <c r="Y495" s="571"/>
      <c r="Z495" s="571"/>
    </row>
    <row r="496" spans="1:26" ht="18.75" hidden="1">
      <c r="A496" s="601"/>
      <c r="B496" s="611"/>
      <c r="C496" s="611"/>
      <c r="D496" s="611"/>
      <c r="E496" s="611"/>
      <c r="F496" s="619" t="s">
        <v>216</v>
      </c>
      <c r="G496" s="753"/>
      <c r="H496" s="616" t="s">
        <v>46</v>
      </c>
      <c r="I496" s="269"/>
      <c r="J496" s="214">
        <v>0</v>
      </c>
      <c r="K496" s="496"/>
      <c r="L496" s="496"/>
      <c r="M496" s="496"/>
      <c r="N496" s="496"/>
      <c r="O496" s="496"/>
      <c r="P496" s="496"/>
      <c r="Q496" s="571"/>
      <c r="R496" s="571"/>
      <c r="S496" s="571"/>
      <c r="T496" s="571"/>
      <c r="U496" s="571"/>
      <c r="V496" s="571"/>
      <c r="W496" s="571"/>
      <c r="X496" s="571"/>
      <c r="Y496" s="571"/>
      <c r="Z496" s="571"/>
    </row>
    <row r="497" spans="1:26" ht="18.75" hidden="1">
      <c r="A497" s="601"/>
      <c r="B497" s="611"/>
      <c r="C497" s="611"/>
      <c r="D497" s="611"/>
      <c r="E497" s="611" t="s">
        <v>62</v>
      </c>
      <c r="F497" s="619"/>
      <c r="G497" s="753"/>
      <c r="H497" s="189"/>
      <c r="I497" s="269"/>
      <c r="J497" s="269"/>
      <c r="K497" s="496"/>
      <c r="L497" s="496"/>
      <c r="M497" s="496"/>
      <c r="N497" s="496"/>
      <c r="O497" s="496"/>
      <c r="P497" s="496"/>
      <c r="Q497" s="571"/>
      <c r="R497" s="571"/>
      <c r="S497" s="571"/>
      <c r="T497" s="571"/>
      <c r="U497" s="571"/>
      <c r="V497" s="571"/>
      <c r="W497" s="571"/>
      <c r="X497" s="571"/>
      <c r="Y497" s="571"/>
      <c r="Z497" s="571"/>
    </row>
    <row r="498" spans="1:26" ht="18.75" hidden="1">
      <c r="A498" s="601"/>
      <c r="B498" s="611"/>
      <c r="C498" s="611"/>
      <c r="D498" s="611"/>
      <c r="E498" s="619"/>
      <c r="F498" s="619" t="s">
        <v>217</v>
      </c>
      <c r="G498" s="753"/>
      <c r="H498" s="616" t="s">
        <v>46</v>
      </c>
      <c r="I498" s="269">
        <f ca="1">IFERROR(__xludf.DUMMYFUNCTION("IMPORTRANGE(""https://docs.google.com/spreadsheets/d/1QqKyyYR6Q21VydFLVH3TRQUabQu_ym0Zz7PgGX0-kHA/edit?usp=sharing"",""แผน!GA61"")"),0)</f>
        <v>0</v>
      </c>
      <c r="J498" s="214">
        <v>0</v>
      </c>
      <c r="K498" s="496">
        <f ca="1">IF(I498&gt;0,J498*100/I498,0)</f>
        <v>0</v>
      </c>
      <c r="L498" s="496"/>
      <c r="M498" s="496"/>
      <c r="N498" s="496"/>
      <c r="O498" s="496"/>
      <c r="P498" s="496"/>
      <c r="Q498" s="571"/>
      <c r="R498" s="571"/>
      <c r="S498" s="571"/>
      <c r="T498" s="571"/>
      <c r="U498" s="571"/>
      <c r="V498" s="571"/>
      <c r="W498" s="571"/>
      <c r="X498" s="571"/>
      <c r="Y498" s="571"/>
      <c r="Z498" s="571"/>
    </row>
    <row r="499" spans="1:26" ht="18.75" hidden="1">
      <c r="A499" s="601"/>
      <c r="B499" s="611"/>
      <c r="C499" s="611"/>
      <c r="D499" s="611"/>
      <c r="E499" s="619"/>
      <c r="F499" s="619" t="s">
        <v>218</v>
      </c>
      <c r="G499" s="753"/>
      <c r="H499" s="616" t="s">
        <v>46</v>
      </c>
      <c r="I499" s="269"/>
      <c r="J499" s="214">
        <v>0</v>
      </c>
      <c r="K499" s="496"/>
      <c r="L499" s="496"/>
      <c r="M499" s="496"/>
      <c r="N499" s="496"/>
      <c r="O499" s="496"/>
      <c r="P499" s="496"/>
      <c r="Q499" s="571"/>
      <c r="R499" s="571"/>
      <c r="S499" s="571"/>
      <c r="T499" s="571"/>
      <c r="U499" s="571"/>
      <c r="V499" s="571"/>
      <c r="W499" s="571"/>
      <c r="X499" s="571"/>
      <c r="Y499" s="571"/>
      <c r="Z499" s="571"/>
    </row>
    <row r="500" spans="1:26" ht="19.5" hidden="1">
      <c r="A500" s="620">
        <v>4</v>
      </c>
      <c r="B500" s="621" t="s">
        <v>219</v>
      </c>
      <c r="C500" s="622"/>
      <c r="D500" s="623"/>
      <c r="E500" s="623"/>
      <c r="F500" s="623"/>
      <c r="G500" s="624"/>
      <c r="H500" s="625" t="s">
        <v>109</v>
      </c>
      <c r="I500" s="626"/>
      <c r="J500" s="626">
        <f t="shared" ref="J500:J501" si="214">J516</f>
        <v>0</v>
      </c>
      <c r="K500" s="627">
        <f t="shared" ref="K500:K501" si="215">IF(I500&gt;0,J500*100/I500,0)</f>
        <v>0</v>
      </c>
      <c r="L500" s="628"/>
      <c r="M500" s="628"/>
      <c r="N500" s="628"/>
      <c r="O500" s="628"/>
      <c r="P500" s="628"/>
      <c r="Q500" s="597"/>
      <c r="R500" s="597"/>
      <c r="S500" s="597"/>
      <c r="T500" s="597"/>
      <c r="U500" s="597"/>
      <c r="V500" s="597"/>
      <c r="W500" s="597"/>
      <c r="X500" s="597"/>
      <c r="Y500" s="597"/>
      <c r="Z500" s="597"/>
    </row>
    <row r="501" spans="1:26" ht="19.5" hidden="1">
      <c r="A501" s="629"/>
      <c r="B501" s="631" t="s">
        <v>220</v>
      </c>
      <c r="C501" s="631"/>
      <c r="D501" s="632"/>
      <c r="E501" s="632"/>
      <c r="F501" s="632"/>
      <c r="G501" s="633"/>
      <c r="H501" s="634" t="s">
        <v>35</v>
      </c>
      <c r="I501" s="635"/>
      <c r="J501" s="635">
        <f t="shared" si="214"/>
        <v>0</v>
      </c>
      <c r="K501" s="636">
        <f t="shared" si="215"/>
        <v>0</v>
      </c>
      <c r="L501" s="637"/>
      <c r="M501" s="637"/>
      <c r="N501" s="637"/>
      <c r="O501" s="637"/>
      <c r="P501" s="637"/>
      <c r="Q501" s="597"/>
      <c r="R501" s="597"/>
      <c r="S501" s="597"/>
      <c r="T501" s="597"/>
      <c r="U501" s="597"/>
      <c r="V501" s="597"/>
      <c r="W501" s="597"/>
      <c r="X501" s="597"/>
      <c r="Y501" s="597"/>
      <c r="Z501" s="597"/>
    </row>
    <row r="502" spans="1:26" ht="19.5" hidden="1">
      <c r="A502" s="592"/>
      <c r="B502" s="750"/>
      <c r="C502" s="750" t="s">
        <v>16</v>
      </c>
      <c r="D502" s="864" t="s">
        <v>17</v>
      </c>
      <c r="E502" s="857"/>
      <c r="F502" s="857"/>
      <c r="G502" s="596"/>
      <c r="H502" s="639" t="s">
        <v>12</v>
      </c>
      <c r="I502" s="610"/>
      <c r="J502" s="610"/>
      <c r="K502" s="93"/>
      <c r="L502" s="640">
        <f t="shared" ref="L502:N502" si="216">L503+L504</f>
        <v>0</v>
      </c>
      <c r="M502" s="640">
        <f t="shared" si="216"/>
        <v>0</v>
      </c>
      <c r="N502" s="640">
        <f t="shared" si="216"/>
        <v>0</v>
      </c>
      <c r="O502" s="640">
        <f t="shared" ref="O502:O507" si="217">IF(L502&gt;0,N502*100/L502,0)</f>
        <v>0</v>
      </c>
      <c r="P502" s="640">
        <f t="shared" ref="P502:P507" si="218">IF(M502&gt;0,N502*100/M502,0)</f>
        <v>0</v>
      </c>
      <c r="Q502" s="597"/>
      <c r="R502" s="597"/>
      <c r="S502" s="597"/>
      <c r="T502" s="597"/>
      <c r="U502" s="597"/>
      <c r="V502" s="597"/>
      <c r="W502" s="597"/>
      <c r="X502" s="597"/>
      <c r="Y502" s="597"/>
      <c r="Z502" s="597"/>
    </row>
    <row r="503" spans="1:26" ht="18.75" hidden="1">
      <c r="A503" s="592"/>
      <c r="B503" s="750"/>
      <c r="C503" s="750"/>
      <c r="D503" s="711"/>
      <c r="E503" s="750" t="s">
        <v>184</v>
      </c>
      <c r="F503" s="750"/>
      <c r="G503" s="596"/>
      <c r="H503" s="165" t="s">
        <v>12</v>
      </c>
      <c r="I503" s="610"/>
      <c r="J503" s="610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597"/>
      <c r="R503" s="597"/>
      <c r="S503" s="597"/>
      <c r="T503" s="597"/>
      <c r="U503" s="597"/>
      <c r="V503" s="597"/>
      <c r="W503" s="597"/>
      <c r="X503" s="597"/>
      <c r="Y503" s="597"/>
      <c r="Z503" s="597"/>
    </row>
    <row r="504" spans="1:26" ht="18.75" hidden="1">
      <c r="A504" s="592"/>
      <c r="B504" s="600"/>
      <c r="C504" s="750"/>
      <c r="D504" s="711"/>
      <c r="E504" s="750" t="s">
        <v>185</v>
      </c>
      <c r="F504" s="750"/>
      <c r="G504" s="596"/>
      <c r="H504" s="165" t="s">
        <v>12</v>
      </c>
      <c r="I504" s="610"/>
      <c r="J504" s="610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597"/>
      <c r="R504" s="597"/>
      <c r="S504" s="597"/>
      <c r="T504" s="597"/>
      <c r="U504" s="597"/>
      <c r="V504" s="597"/>
      <c r="W504" s="597"/>
      <c r="X504" s="597"/>
      <c r="Y504" s="597"/>
      <c r="Z504" s="597"/>
    </row>
    <row r="505" spans="1:26" ht="18.75" hidden="1">
      <c r="A505" s="592"/>
      <c r="B505" s="600"/>
      <c r="C505" s="750"/>
      <c r="D505" s="641" t="s">
        <v>20</v>
      </c>
      <c r="E505" s="750"/>
      <c r="F505" s="750"/>
      <c r="G505" s="596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597"/>
      <c r="R505" s="597"/>
      <c r="S505" s="597"/>
      <c r="T505" s="597"/>
      <c r="U505" s="597"/>
      <c r="V505" s="597"/>
      <c r="W505" s="597"/>
      <c r="X505" s="597"/>
      <c r="Y505" s="597"/>
      <c r="Z505" s="597"/>
    </row>
    <row r="506" spans="1:26" ht="18.75" hidden="1">
      <c r="A506" s="592"/>
      <c r="B506" s="600"/>
      <c r="C506" s="750"/>
      <c r="D506" s="711"/>
      <c r="E506" s="750" t="s">
        <v>184</v>
      </c>
      <c r="F506" s="750"/>
      <c r="G506" s="596"/>
      <c r="H506" s="165" t="s">
        <v>12</v>
      </c>
      <c r="I506" s="610"/>
      <c r="J506" s="610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597"/>
      <c r="R506" s="597"/>
      <c r="S506" s="597"/>
      <c r="T506" s="597"/>
      <c r="U506" s="597"/>
      <c r="V506" s="597"/>
      <c r="W506" s="597"/>
      <c r="X506" s="597"/>
      <c r="Y506" s="597"/>
      <c r="Z506" s="597"/>
    </row>
    <row r="507" spans="1:26" ht="18.75" hidden="1">
      <c r="A507" s="592"/>
      <c r="B507" s="600"/>
      <c r="C507" s="750"/>
      <c r="D507" s="711"/>
      <c r="E507" s="750" t="s">
        <v>185</v>
      </c>
      <c r="F507" s="750"/>
      <c r="G507" s="596"/>
      <c r="H507" s="165" t="s">
        <v>12</v>
      </c>
      <c r="I507" s="610"/>
      <c r="J507" s="610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597"/>
      <c r="R507" s="597"/>
      <c r="S507" s="597"/>
      <c r="T507" s="597"/>
      <c r="U507" s="597"/>
      <c r="V507" s="597"/>
      <c r="W507" s="597"/>
      <c r="X507" s="597"/>
      <c r="Y507" s="597"/>
      <c r="Z507" s="597"/>
    </row>
    <row r="508" spans="1:26" ht="18.75" hidden="1">
      <c r="A508" s="642"/>
      <c r="B508" s="600"/>
      <c r="C508" s="750"/>
      <c r="D508" s="750"/>
      <c r="E508" s="750"/>
      <c r="F508" s="750" t="s">
        <v>186</v>
      </c>
      <c r="G508" s="596"/>
      <c r="H508" s="165" t="s">
        <v>12</v>
      </c>
      <c r="I508" s="610"/>
      <c r="J508" s="610"/>
      <c r="K508" s="93"/>
      <c r="L508" s="93"/>
      <c r="M508" s="93"/>
      <c r="N508" s="93">
        <v>0</v>
      </c>
      <c r="O508" s="93"/>
      <c r="P508" s="93"/>
      <c r="Q508" s="597"/>
      <c r="R508" s="597"/>
      <c r="S508" s="597"/>
      <c r="T508" s="597"/>
      <c r="U508" s="597"/>
      <c r="V508" s="597"/>
      <c r="W508" s="597"/>
      <c r="X508" s="597"/>
      <c r="Y508" s="597"/>
      <c r="Z508" s="597"/>
    </row>
    <row r="509" spans="1:26" ht="18.75" hidden="1">
      <c r="A509" s="642"/>
      <c r="B509" s="600"/>
      <c r="C509" s="750"/>
      <c r="D509" s="750"/>
      <c r="E509" s="750"/>
      <c r="F509" s="750" t="s">
        <v>187</v>
      </c>
      <c r="G509" s="596"/>
      <c r="H509" s="165" t="s">
        <v>12</v>
      </c>
      <c r="I509" s="610"/>
      <c r="J509" s="610"/>
      <c r="K509" s="93"/>
      <c r="L509" s="93"/>
      <c r="M509" s="93"/>
      <c r="N509" s="93">
        <v>0</v>
      </c>
      <c r="O509" s="93"/>
      <c r="P509" s="93"/>
      <c r="Q509" s="597"/>
      <c r="R509" s="597"/>
      <c r="S509" s="597"/>
      <c r="T509" s="597"/>
      <c r="U509" s="597"/>
      <c r="V509" s="597"/>
      <c r="W509" s="597"/>
      <c r="X509" s="597"/>
      <c r="Y509" s="597"/>
      <c r="Z509" s="597"/>
    </row>
    <row r="510" spans="1:26" ht="18.75" hidden="1">
      <c r="A510" s="642"/>
      <c r="B510" s="600"/>
      <c r="C510" s="600"/>
      <c r="D510" s="600"/>
      <c r="E510" s="750"/>
      <c r="F510" s="750" t="s">
        <v>188</v>
      </c>
      <c r="G510" s="596"/>
      <c r="H510" s="165" t="s">
        <v>12</v>
      </c>
      <c r="I510" s="610"/>
      <c r="J510" s="610"/>
      <c r="K510" s="93"/>
      <c r="L510" s="93"/>
      <c r="M510" s="93"/>
      <c r="N510" s="93">
        <v>0</v>
      </c>
      <c r="O510" s="93"/>
      <c r="P510" s="93"/>
      <c r="Q510" s="597"/>
      <c r="R510" s="597"/>
      <c r="S510" s="597"/>
      <c r="T510" s="597"/>
      <c r="U510" s="597"/>
      <c r="V510" s="597"/>
      <c r="W510" s="597"/>
      <c r="X510" s="597"/>
      <c r="Y510" s="597"/>
      <c r="Z510" s="597"/>
    </row>
    <row r="511" spans="1:26" ht="18.75" hidden="1">
      <c r="A511" s="642"/>
      <c r="B511" s="600"/>
      <c r="C511" s="600"/>
      <c r="D511" s="600"/>
      <c r="E511" s="750"/>
      <c r="F511" s="750" t="s">
        <v>189</v>
      </c>
      <c r="G511" s="596"/>
      <c r="H511" s="165" t="s">
        <v>12</v>
      </c>
      <c r="I511" s="610"/>
      <c r="J511" s="610"/>
      <c r="K511" s="93"/>
      <c r="L511" s="93"/>
      <c r="M511" s="93"/>
      <c r="N511" s="93">
        <v>0</v>
      </c>
      <c r="O511" s="93"/>
      <c r="P511" s="93"/>
      <c r="Q511" s="597"/>
      <c r="R511" s="597"/>
      <c r="S511" s="597"/>
      <c r="T511" s="597"/>
      <c r="U511" s="597"/>
      <c r="V511" s="597"/>
      <c r="W511" s="597"/>
      <c r="X511" s="597"/>
      <c r="Y511" s="597"/>
      <c r="Z511" s="597"/>
    </row>
    <row r="512" spans="1:26" ht="18.75" hidden="1">
      <c r="A512" s="592"/>
      <c r="B512" s="600"/>
      <c r="C512" s="600"/>
      <c r="D512" s="641" t="s">
        <v>21</v>
      </c>
      <c r="E512" s="600"/>
      <c r="F512" s="750"/>
      <c r="G512" s="596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597"/>
      <c r="R512" s="597"/>
      <c r="S512" s="597"/>
      <c r="T512" s="597"/>
      <c r="U512" s="597"/>
      <c r="V512" s="597"/>
      <c r="W512" s="597"/>
      <c r="X512" s="597"/>
      <c r="Y512" s="597"/>
      <c r="Z512" s="597"/>
    </row>
    <row r="513" spans="1:26" ht="18.75" hidden="1">
      <c r="A513" s="592"/>
      <c r="B513" s="600"/>
      <c r="C513" s="600"/>
      <c r="D513" s="600"/>
      <c r="E513" s="600" t="s">
        <v>18</v>
      </c>
      <c r="F513" s="750"/>
      <c r="G513" s="596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597"/>
      <c r="R513" s="597"/>
      <c r="S513" s="597"/>
      <c r="T513" s="597"/>
      <c r="U513" s="597"/>
      <c r="V513" s="597"/>
      <c r="W513" s="597"/>
      <c r="X513" s="597"/>
      <c r="Y513" s="597"/>
      <c r="Z513" s="597"/>
    </row>
    <row r="514" spans="1:26" ht="18.75" hidden="1">
      <c r="A514" s="592"/>
      <c r="B514" s="600"/>
      <c r="C514" s="600"/>
      <c r="D514" s="750"/>
      <c r="E514" s="600" t="s">
        <v>19</v>
      </c>
      <c r="F514" s="750"/>
      <c r="G514" s="596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597"/>
      <c r="R514" s="597"/>
      <c r="S514" s="597"/>
      <c r="T514" s="597"/>
      <c r="U514" s="597"/>
      <c r="V514" s="597"/>
      <c r="W514" s="597"/>
      <c r="X514" s="597"/>
      <c r="Y514" s="597"/>
      <c r="Z514" s="597"/>
    </row>
    <row r="515" spans="1:26" ht="19.5" hidden="1">
      <c r="A515" s="607"/>
      <c r="B515" s="609"/>
      <c r="C515" s="600" t="s">
        <v>16</v>
      </c>
      <c r="D515" s="838" t="s">
        <v>38</v>
      </c>
      <c r="E515" s="644"/>
      <c r="F515" s="644"/>
      <c r="G515" s="645"/>
      <c r="H515" s="365"/>
      <c r="I515" s="166"/>
      <c r="J515" s="166"/>
      <c r="K515" s="167"/>
      <c r="L515" s="167"/>
      <c r="M515" s="167"/>
      <c r="N515" s="167"/>
      <c r="O515" s="167"/>
      <c r="P515" s="167"/>
      <c r="Q515" s="597"/>
      <c r="R515" s="597"/>
      <c r="S515" s="597"/>
      <c r="T515" s="597"/>
      <c r="U515" s="597"/>
      <c r="V515" s="597"/>
      <c r="W515" s="597"/>
      <c r="X515" s="597"/>
      <c r="Y515" s="597"/>
      <c r="Z515" s="597"/>
    </row>
    <row r="516" spans="1:26" ht="18.75" hidden="1">
      <c r="A516" s="607"/>
      <c r="B516" s="609"/>
      <c r="C516" s="609"/>
      <c r="D516" s="609" t="s">
        <v>221</v>
      </c>
      <c r="E516" s="711"/>
      <c r="F516" s="711"/>
      <c r="G516" s="365"/>
      <c r="H516" s="646" t="s">
        <v>109</v>
      </c>
      <c r="I516" s="610"/>
      <c r="J516" s="610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597"/>
      <c r="R516" s="597"/>
      <c r="S516" s="597"/>
      <c r="T516" s="597"/>
      <c r="U516" s="597"/>
      <c r="V516" s="597"/>
      <c r="W516" s="597"/>
      <c r="X516" s="597"/>
      <c r="Y516" s="597"/>
      <c r="Z516" s="597"/>
    </row>
    <row r="517" spans="1:26" ht="19.5" hidden="1">
      <c r="A517" s="607"/>
      <c r="B517" s="609"/>
      <c r="C517" s="609"/>
      <c r="D517" s="609" t="s">
        <v>222</v>
      </c>
      <c r="E517" s="711"/>
      <c r="F517" s="711"/>
      <c r="G517" s="365"/>
      <c r="H517" s="647" t="s">
        <v>35</v>
      </c>
      <c r="I517" s="648"/>
      <c r="J517" s="648">
        <f>J518+J519</f>
        <v>0</v>
      </c>
      <c r="K517" s="649">
        <f t="shared" si="224"/>
        <v>0</v>
      </c>
      <c r="L517" s="167"/>
      <c r="M517" s="167"/>
      <c r="N517" s="167"/>
      <c r="O517" s="167"/>
      <c r="P517" s="167"/>
      <c r="Q517" s="597"/>
      <c r="R517" s="597"/>
      <c r="S517" s="597"/>
      <c r="T517" s="597"/>
      <c r="U517" s="597"/>
      <c r="V517" s="597"/>
      <c r="W517" s="597"/>
      <c r="X517" s="597"/>
      <c r="Y517" s="597"/>
      <c r="Z517" s="597"/>
    </row>
    <row r="518" spans="1:26" ht="18.75" hidden="1">
      <c r="A518" s="607"/>
      <c r="B518" s="609"/>
      <c r="C518" s="609"/>
      <c r="D518" s="609"/>
      <c r="E518" s="609" t="s">
        <v>223</v>
      </c>
      <c r="F518" s="711"/>
      <c r="G518" s="365"/>
      <c r="H518" s="369" t="s">
        <v>35</v>
      </c>
      <c r="I518" s="610"/>
      <c r="J518" s="610"/>
      <c r="K518" s="167"/>
      <c r="L518" s="167"/>
      <c r="M518" s="167"/>
      <c r="N518" s="167"/>
      <c r="O518" s="167"/>
      <c r="P518" s="167"/>
      <c r="Q518" s="597"/>
      <c r="R518" s="597"/>
      <c r="S518" s="597"/>
      <c r="T518" s="597"/>
      <c r="U518" s="597"/>
      <c r="V518" s="597"/>
      <c r="W518" s="597"/>
      <c r="X518" s="597"/>
      <c r="Y518" s="597"/>
      <c r="Z518" s="597"/>
    </row>
    <row r="519" spans="1:26" ht="18.75" hidden="1">
      <c r="A519" s="607"/>
      <c r="B519" s="609"/>
      <c r="C519" s="609"/>
      <c r="D519" s="609"/>
      <c r="E519" s="609" t="s">
        <v>224</v>
      </c>
      <c r="F519" s="711"/>
      <c r="G519" s="365"/>
      <c r="H519" s="646" t="s">
        <v>35</v>
      </c>
      <c r="I519" s="610"/>
      <c r="J519" s="610"/>
      <c r="K519" s="167"/>
      <c r="L519" s="167"/>
      <c r="M519" s="167"/>
      <c r="N519" s="167"/>
      <c r="O519" s="167"/>
      <c r="P519" s="167"/>
      <c r="Q519" s="597"/>
      <c r="R519" s="597"/>
      <c r="S519" s="597"/>
      <c r="T519" s="597"/>
      <c r="U519" s="597"/>
      <c r="V519" s="597"/>
      <c r="W519" s="597"/>
      <c r="X519" s="597"/>
      <c r="Y519" s="597"/>
      <c r="Z519" s="597"/>
    </row>
    <row r="520" spans="1:26" ht="19.5" hidden="1">
      <c r="A520" s="650" t="s">
        <v>137</v>
      </c>
      <c r="B520" s="651"/>
      <c r="C520" s="651"/>
      <c r="D520" s="652"/>
      <c r="E520" s="652"/>
      <c r="F520" s="652"/>
      <c r="G520" s="653"/>
      <c r="H520" s="654"/>
      <c r="I520" s="655"/>
      <c r="J520" s="655"/>
      <c r="K520" s="656"/>
      <c r="L520" s="656"/>
      <c r="M520" s="656"/>
      <c r="N520" s="656"/>
      <c r="O520" s="656"/>
      <c r="P520" s="656"/>
    </row>
    <row r="521" spans="1:26" ht="19.5" hidden="1">
      <c r="A521" s="657">
        <v>5</v>
      </c>
      <c r="B521" s="658" t="s">
        <v>225</v>
      </c>
      <c r="C521" s="659"/>
      <c r="D521" s="660"/>
      <c r="E521" s="660"/>
      <c r="F521" s="660"/>
      <c r="G521" s="660"/>
      <c r="H521" s="661"/>
      <c r="I521" s="662"/>
      <c r="J521" s="662"/>
      <c r="K521" s="663"/>
      <c r="L521" s="663"/>
      <c r="M521" s="663"/>
      <c r="N521" s="663"/>
      <c r="O521" s="663"/>
      <c r="P521" s="663"/>
      <c r="Q521" s="571"/>
      <c r="R521" s="571"/>
      <c r="S521" s="571"/>
      <c r="T521" s="571"/>
      <c r="U521" s="571"/>
      <c r="V521" s="571"/>
      <c r="W521" s="571"/>
      <c r="X521" s="571"/>
      <c r="Y521" s="571"/>
      <c r="Z521" s="571"/>
    </row>
    <row r="522" spans="1:26" ht="19.5" hidden="1">
      <c r="A522" s="664"/>
      <c r="B522" s="665" t="s">
        <v>226</v>
      </c>
      <c r="C522" s="666"/>
      <c r="D522" s="666"/>
      <c r="E522" s="666"/>
      <c r="F522" s="666"/>
      <c r="G522" s="667"/>
      <c r="H522" s="668" t="s">
        <v>35</v>
      </c>
      <c r="I522" s="699">
        <f t="shared" ref="I522:J522" ca="1" si="225">I537</f>
        <v>0</v>
      </c>
      <c r="J522" s="699">
        <f t="shared" ca="1" si="225"/>
        <v>0</v>
      </c>
      <c r="K522" s="670">
        <f ca="1">IF(I522&gt;0,J522*100/I522,0)</f>
        <v>0</v>
      </c>
      <c r="L522" s="671"/>
      <c r="M522" s="671"/>
      <c r="N522" s="671"/>
      <c r="O522" s="671"/>
      <c r="P522" s="671"/>
      <c r="Q522" s="571"/>
      <c r="R522" s="571"/>
      <c r="S522" s="571"/>
      <c r="T522" s="571"/>
      <c r="U522" s="571"/>
      <c r="V522" s="571"/>
      <c r="W522" s="571"/>
      <c r="X522" s="571"/>
      <c r="Y522" s="571"/>
      <c r="Z522" s="571"/>
    </row>
    <row r="523" spans="1:26" ht="19.5" hidden="1">
      <c r="A523" s="590"/>
      <c r="B523" s="754"/>
      <c r="C523" s="754" t="s">
        <v>16</v>
      </c>
      <c r="D523" s="863" t="s">
        <v>17</v>
      </c>
      <c r="E523" s="857"/>
      <c r="F523" s="857"/>
      <c r="G523" s="189"/>
      <c r="H523" s="591" t="s">
        <v>12</v>
      </c>
      <c r="I523" s="269"/>
      <c r="J523" s="269"/>
      <c r="K523" s="496"/>
      <c r="L523" s="195">
        <f t="shared" ref="L523:N523" ca="1" si="226">L524+L525</f>
        <v>0</v>
      </c>
      <c r="M523" s="195">
        <f t="shared" si="226"/>
        <v>0</v>
      </c>
      <c r="N523" s="195">
        <f t="shared" si="226"/>
        <v>0</v>
      </c>
      <c r="O523" s="195">
        <f t="shared" ref="O523:O528" ca="1" si="227">IF(L523&gt;0,N523*100/L523,0)</f>
        <v>0</v>
      </c>
      <c r="P523" s="195">
        <f t="shared" ref="P523:P528" si="228">IF(M523&gt;0,N523*100/M523,0)</f>
        <v>0</v>
      </c>
      <c r="Q523" s="571"/>
      <c r="R523" s="571"/>
      <c r="S523" s="571"/>
      <c r="T523" s="571"/>
      <c r="U523" s="571"/>
      <c r="V523" s="571"/>
      <c r="W523" s="571"/>
      <c r="X523" s="571"/>
      <c r="Y523" s="571"/>
      <c r="Z523" s="571"/>
    </row>
    <row r="524" spans="1:26" ht="18.75" hidden="1">
      <c r="A524" s="592"/>
      <c r="B524" s="750"/>
      <c r="C524" s="750"/>
      <c r="D524" s="711"/>
      <c r="E524" s="750" t="s">
        <v>184</v>
      </c>
      <c r="F524" s="750"/>
      <c r="G524" s="596"/>
      <c r="H524" s="165" t="s">
        <v>12</v>
      </c>
      <c r="I524" s="610"/>
      <c r="J524" s="610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597"/>
      <c r="R524" s="597"/>
      <c r="S524" s="597"/>
      <c r="T524" s="597"/>
      <c r="U524" s="597"/>
      <c r="V524" s="597"/>
      <c r="W524" s="597"/>
      <c r="X524" s="597"/>
      <c r="Y524" s="597"/>
      <c r="Z524" s="597"/>
    </row>
    <row r="525" spans="1:26" ht="18.75" hidden="1">
      <c r="A525" s="592"/>
      <c r="B525" s="600"/>
      <c r="C525" s="750"/>
      <c r="D525" s="711"/>
      <c r="E525" s="750" t="s">
        <v>185</v>
      </c>
      <c r="F525" s="750"/>
      <c r="G525" s="596"/>
      <c r="H525" s="165" t="s">
        <v>12</v>
      </c>
      <c r="I525" s="610"/>
      <c r="J525" s="610"/>
      <c r="K525" s="93"/>
      <c r="L525" s="93">
        <f t="shared" ca="1" si="229"/>
        <v>0</v>
      </c>
      <c r="M525" s="93">
        <f t="shared" si="229"/>
        <v>0</v>
      </c>
      <c r="N525" s="93">
        <f t="shared" si="229"/>
        <v>0</v>
      </c>
      <c r="O525" s="93">
        <f t="shared" ca="1" si="227"/>
        <v>0</v>
      </c>
      <c r="P525" s="93">
        <f t="shared" si="228"/>
        <v>0</v>
      </c>
      <c r="Q525" s="597"/>
      <c r="R525" s="597"/>
      <c r="S525" s="597"/>
      <c r="T525" s="597"/>
      <c r="U525" s="597"/>
      <c r="V525" s="597"/>
      <c r="W525" s="597"/>
      <c r="X525" s="597"/>
      <c r="Y525" s="597"/>
      <c r="Z525" s="597"/>
    </row>
    <row r="526" spans="1:26" ht="18.75" hidden="1">
      <c r="A526" s="590"/>
      <c r="B526" s="568"/>
      <c r="C526" s="754"/>
      <c r="D526" s="599" t="s">
        <v>20</v>
      </c>
      <c r="E526" s="754"/>
      <c r="F526" s="754"/>
      <c r="G526" s="189"/>
      <c r="H526" s="161" t="s">
        <v>12</v>
      </c>
      <c r="I526" s="184"/>
      <c r="J526" s="184"/>
      <c r="K526" s="163"/>
      <c r="L526" s="496">
        <f t="shared" ref="L526:N526" ca="1" si="230">L527+L528</f>
        <v>0</v>
      </c>
      <c r="M526" s="496">
        <f t="shared" si="230"/>
        <v>0</v>
      </c>
      <c r="N526" s="496">
        <f t="shared" si="230"/>
        <v>0</v>
      </c>
      <c r="O526" s="496">
        <f t="shared" ca="1" si="227"/>
        <v>0</v>
      </c>
      <c r="P526" s="496">
        <f t="shared" si="228"/>
        <v>0</v>
      </c>
      <c r="Q526" s="571"/>
      <c r="R526" s="571"/>
      <c r="S526" s="571"/>
      <c r="T526" s="571"/>
      <c r="U526" s="571"/>
      <c r="V526" s="571"/>
      <c r="W526" s="571"/>
      <c r="X526" s="571"/>
      <c r="Y526" s="571"/>
      <c r="Z526" s="571"/>
    </row>
    <row r="527" spans="1:26" ht="18.75" hidden="1">
      <c r="A527" s="592"/>
      <c r="B527" s="600"/>
      <c r="C527" s="750"/>
      <c r="D527" s="711"/>
      <c r="E527" s="750" t="s">
        <v>184</v>
      </c>
      <c r="F527" s="750"/>
      <c r="G527" s="596"/>
      <c r="H527" s="165" t="s">
        <v>12</v>
      </c>
      <c r="I527" s="610"/>
      <c r="J527" s="610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597"/>
      <c r="R527" s="597"/>
      <c r="S527" s="597"/>
      <c r="T527" s="597"/>
      <c r="U527" s="597"/>
      <c r="V527" s="597"/>
      <c r="W527" s="597"/>
      <c r="X527" s="597"/>
      <c r="Y527" s="597"/>
      <c r="Z527" s="597"/>
    </row>
    <row r="528" spans="1:26" ht="18.75" hidden="1">
      <c r="A528" s="592"/>
      <c r="B528" s="600"/>
      <c r="C528" s="750"/>
      <c r="D528" s="711"/>
      <c r="E528" s="750" t="s">
        <v>185</v>
      </c>
      <c r="F528" s="750"/>
      <c r="G528" s="596"/>
      <c r="H528" s="165" t="s">
        <v>12</v>
      </c>
      <c r="I528" s="610"/>
      <c r="J528" s="610"/>
      <c r="K528" s="93"/>
      <c r="L528" s="93">
        <f ca="1">IFERROR(__xludf.DUMMYFUNCTION("IMPORTRANGE(""https://docs.google.com/spreadsheets/d/1QqKyyYR6Q21VydFLVH3TRQUabQu_ym0Zz7PgGX0-kHA/edit?usp=sharing"",""แผน!GQ61"")"),0)</f>
        <v>0</v>
      </c>
      <c r="M528" s="93">
        <v>0</v>
      </c>
      <c r="N528" s="93">
        <f>N529+N530+N531+N532</f>
        <v>0</v>
      </c>
      <c r="O528" s="93">
        <f t="shared" ca="1" si="227"/>
        <v>0</v>
      </c>
      <c r="P528" s="93">
        <f t="shared" si="228"/>
        <v>0</v>
      </c>
      <c r="Q528" s="597"/>
      <c r="R528" s="597"/>
      <c r="S528" s="597"/>
      <c r="T528" s="597"/>
      <c r="U528" s="597"/>
      <c r="V528" s="597"/>
      <c r="W528" s="597"/>
      <c r="X528" s="597"/>
      <c r="Y528" s="597"/>
      <c r="Z528" s="597"/>
    </row>
    <row r="529" spans="1:26" ht="18.75" hidden="1">
      <c r="A529" s="567"/>
      <c r="B529" s="568"/>
      <c r="C529" s="754"/>
      <c r="D529" s="754"/>
      <c r="E529" s="754"/>
      <c r="F529" s="754" t="s">
        <v>186</v>
      </c>
      <c r="G529" s="189"/>
      <c r="H529" s="161" t="s">
        <v>12</v>
      </c>
      <c r="I529" s="269"/>
      <c r="J529" s="269"/>
      <c r="K529" s="496"/>
      <c r="L529" s="496"/>
      <c r="M529" s="496"/>
      <c r="N529" s="817">
        <v>0</v>
      </c>
      <c r="O529" s="496"/>
      <c r="P529" s="496"/>
      <c r="Q529" s="571"/>
      <c r="R529" s="571"/>
      <c r="S529" s="571"/>
      <c r="T529" s="571"/>
      <c r="U529" s="571"/>
      <c r="V529" s="571"/>
      <c r="W529" s="571"/>
      <c r="X529" s="571"/>
      <c r="Y529" s="571"/>
      <c r="Z529" s="571"/>
    </row>
    <row r="530" spans="1:26" ht="18.75" hidden="1">
      <c r="A530" s="567"/>
      <c r="B530" s="568"/>
      <c r="C530" s="754"/>
      <c r="D530" s="754"/>
      <c r="E530" s="754"/>
      <c r="F530" s="754" t="s">
        <v>187</v>
      </c>
      <c r="G530" s="189"/>
      <c r="H530" s="161" t="s">
        <v>12</v>
      </c>
      <c r="I530" s="269"/>
      <c r="J530" s="269"/>
      <c r="K530" s="496"/>
      <c r="L530" s="496"/>
      <c r="M530" s="496"/>
      <c r="N530" s="817">
        <v>0</v>
      </c>
      <c r="O530" s="496"/>
      <c r="P530" s="496"/>
      <c r="Q530" s="571"/>
      <c r="R530" s="571"/>
      <c r="S530" s="571"/>
      <c r="T530" s="571"/>
      <c r="U530" s="571"/>
      <c r="V530" s="571"/>
      <c r="W530" s="571"/>
      <c r="X530" s="571"/>
      <c r="Y530" s="571"/>
      <c r="Z530" s="571"/>
    </row>
    <row r="531" spans="1:26" ht="18.75" hidden="1">
      <c r="A531" s="567"/>
      <c r="B531" s="568"/>
      <c r="C531" s="754"/>
      <c r="D531" s="754"/>
      <c r="E531" s="754"/>
      <c r="F531" s="754" t="s">
        <v>188</v>
      </c>
      <c r="G531" s="189"/>
      <c r="H531" s="161" t="s">
        <v>12</v>
      </c>
      <c r="I531" s="269"/>
      <c r="J531" s="269"/>
      <c r="K531" s="496"/>
      <c r="L531" s="496"/>
      <c r="M531" s="496"/>
      <c r="N531" s="817">
        <v>0</v>
      </c>
      <c r="O531" s="496"/>
      <c r="P531" s="496"/>
      <c r="Q531" s="571"/>
      <c r="R531" s="571"/>
      <c r="S531" s="571"/>
      <c r="T531" s="571"/>
      <c r="U531" s="571"/>
      <c r="V531" s="571"/>
      <c r="W531" s="571"/>
      <c r="X531" s="571"/>
      <c r="Y531" s="571"/>
      <c r="Z531" s="571"/>
    </row>
    <row r="532" spans="1:26" ht="18.75" hidden="1">
      <c r="A532" s="567"/>
      <c r="B532" s="568"/>
      <c r="C532" s="754"/>
      <c r="D532" s="754"/>
      <c r="E532" s="754"/>
      <c r="F532" s="754" t="s">
        <v>189</v>
      </c>
      <c r="G532" s="189"/>
      <c r="H532" s="161" t="s">
        <v>12</v>
      </c>
      <c r="I532" s="269"/>
      <c r="J532" s="269"/>
      <c r="K532" s="496"/>
      <c r="L532" s="496"/>
      <c r="M532" s="496"/>
      <c r="N532" s="817">
        <v>0</v>
      </c>
      <c r="O532" s="496"/>
      <c r="P532" s="496"/>
      <c r="Q532" s="571"/>
      <c r="R532" s="571"/>
      <c r="S532" s="571"/>
      <c r="T532" s="571"/>
      <c r="U532" s="571"/>
      <c r="V532" s="571"/>
      <c r="W532" s="571"/>
      <c r="X532" s="571"/>
      <c r="Y532" s="571"/>
      <c r="Z532" s="571"/>
    </row>
    <row r="533" spans="1:26" ht="18.75" hidden="1">
      <c r="A533" s="590"/>
      <c r="B533" s="568"/>
      <c r="C533" s="754"/>
      <c r="D533" s="599" t="s">
        <v>21</v>
      </c>
      <c r="E533" s="754"/>
      <c r="F533" s="754"/>
      <c r="G533" s="189"/>
      <c r="H533" s="168" t="s">
        <v>12</v>
      </c>
      <c r="I533" s="184"/>
      <c r="J533" s="184"/>
      <c r="K533" s="163"/>
      <c r="L533" s="496">
        <f t="shared" ref="L533:N533" ca="1" si="231">L534+L535</f>
        <v>0</v>
      </c>
      <c r="M533" s="496">
        <f t="shared" si="231"/>
        <v>0</v>
      </c>
      <c r="N533" s="496">
        <f t="shared" si="231"/>
        <v>0</v>
      </c>
      <c r="O533" s="496">
        <f t="shared" ref="O533:O535" ca="1" si="232">IF(L533&gt;0,N533*100/L533,0)</f>
        <v>0</v>
      </c>
      <c r="P533" s="496">
        <f t="shared" ref="P533:P535" si="233">IF(M533&gt;0,N533*100/M533,0)</f>
        <v>0</v>
      </c>
      <c r="Q533" s="571"/>
      <c r="R533" s="571"/>
      <c r="S533" s="571"/>
      <c r="T533" s="571"/>
      <c r="U533" s="571"/>
      <c r="V533" s="571"/>
      <c r="W533" s="571"/>
      <c r="X533" s="571"/>
      <c r="Y533" s="571"/>
      <c r="Z533" s="571"/>
    </row>
    <row r="534" spans="1:26" ht="18.75" hidden="1">
      <c r="A534" s="592"/>
      <c r="B534" s="600"/>
      <c r="C534" s="750"/>
      <c r="D534" s="750"/>
      <c r="E534" s="750" t="s">
        <v>18</v>
      </c>
      <c r="F534" s="750"/>
      <c r="G534" s="596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597"/>
      <c r="R534" s="597"/>
      <c r="S534" s="597"/>
      <c r="T534" s="597"/>
      <c r="U534" s="597"/>
      <c r="V534" s="597"/>
      <c r="W534" s="597"/>
      <c r="X534" s="597"/>
      <c r="Y534" s="597"/>
      <c r="Z534" s="597"/>
    </row>
    <row r="535" spans="1:26" ht="18.75" hidden="1">
      <c r="A535" s="592"/>
      <c r="B535" s="600"/>
      <c r="C535" s="750"/>
      <c r="D535" s="750"/>
      <c r="E535" s="750" t="s">
        <v>19</v>
      </c>
      <c r="F535" s="750"/>
      <c r="G535" s="596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IFERROR(__xludf.DUMMYFUNCTION("IMPORTRANGE(""https://docs.google.com/spreadsheets/d/1QqKyyYR6Q21VydFLVH3TRQUabQu_ym0Zz7PgGX0-kHA/edit?usp=sharing"",""แผน!GT61"")"),0)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597"/>
      <c r="R535" s="597"/>
      <c r="S535" s="597"/>
      <c r="T535" s="597"/>
      <c r="U535" s="597"/>
      <c r="V535" s="597"/>
      <c r="W535" s="597"/>
      <c r="X535" s="597"/>
      <c r="Y535" s="597"/>
      <c r="Z535" s="597"/>
    </row>
    <row r="536" spans="1:26" ht="19.5" hidden="1">
      <c r="A536" s="601"/>
      <c r="B536" s="611"/>
      <c r="C536" s="754" t="s">
        <v>16</v>
      </c>
      <c r="D536" s="839" t="s">
        <v>38</v>
      </c>
      <c r="E536" s="752"/>
      <c r="F536" s="752"/>
      <c r="G536" s="606"/>
      <c r="H536" s="753"/>
      <c r="I536" s="184"/>
      <c r="J536" s="184"/>
      <c r="K536" s="163"/>
      <c r="L536" s="163"/>
      <c r="M536" s="163"/>
      <c r="N536" s="163"/>
      <c r="O536" s="163"/>
      <c r="P536" s="163"/>
      <c r="Q536" s="571"/>
      <c r="R536" s="571"/>
      <c r="S536" s="571"/>
      <c r="T536" s="571"/>
      <c r="U536" s="571"/>
      <c r="V536" s="571"/>
      <c r="W536" s="571"/>
      <c r="X536" s="571"/>
      <c r="Y536" s="571"/>
      <c r="Z536" s="571"/>
    </row>
    <row r="537" spans="1:26" ht="19.5" hidden="1">
      <c r="A537" s="567"/>
      <c r="B537" s="568"/>
      <c r="C537" s="754"/>
      <c r="D537" s="754" t="s">
        <v>227</v>
      </c>
      <c r="E537" s="754"/>
      <c r="F537" s="754"/>
      <c r="G537" s="189"/>
      <c r="H537" s="616" t="s">
        <v>35</v>
      </c>
      <c r="I537" s="674">
        <f ca="1">IFERROR(__xludf.DUMMYFUNCTION("IMPORTRANGE(""https://docs.google.com/spreadsheets/d/1QqKyyYR6Q21VydFLVH3TRQUabQu_ym0Zz7PgGX0-kHA/edit?usp=sharing"",""แผน!GU61"")"),0)</f>
        <v>0</v>
      </c>
      <c r="J537" s="674">
        <f ca="1">IF(AND(J538=I538,J539=I539,J540=I540,J541=I541),I537,0)</f>
        <v>0</v>
      </c>
      <c r="K537" s="496">
        <f t="shared" ref="K537:K543" ca="1" si="234">IF(I537&gt;0,J537*100/I537,0)</f>
        <v>0</v>
      </c>
      <c r="L537" s="496"/>
      <c r="M537" s="496"/>
      <c r="N537" s="496"/>
      <c r="O537" s="496"/>
      <c r="P537" s="496"/>
      <c r="Q537" s="675"/>
      <c r="R537" s="675"/>
      <c r="S537" s="675"/>
      <c r="T537" s="675"/>
      <c r="U537" s="675"/>
      <c r="V537" s="675"/>
      <c r="W537" s="675"/>
      <c r="X537" s="675"/>
      <c r="Y537" s="675"/>
      <c r="Z537" s="675"/>
    </row>
    <row r="538" spans="1:26" ht="18.75" hidden="1">
      <c r="A538" s="567"/>
      <c r="B538" s="568"/>
      <c r="C538" s="754"/>
      <c r="D538" s="754"/>
      <c r="E538" s="754" t="s">
        <v>228</v>
      </c>
      <c r="F538" s="754"/>
      <c r="G538" s="189"/>
      <c r="H538" s="616" t="s">
        <v>35</v>
      </c>
      <c r="I538" s="269">
        <f ca="1">IFERROR(__xludf.DUMMYFUNCTION("IMPORTRANGE(""https://docs.google.com/spreadsheets/d/1QqKyyYR6Q21VydFLVH3TRQUabQu_ym0Zz7PgGX0-kHA/edit?usp=sharing"",""แผน!GV61"")"),0)</f>
        <v>0</v>
      </c>
      <c r="J538" s="214">
        <v>0</v>
      </c>
      <c r="K538" s="496">
        <f t="shared" ca="1" si="234"/>
        <v>0</v>
      </c>
      <c r="L538" s="496"/>
      <c r="M538" s="496"/>
      <c r="N538" s="496"/>
      <c r="O538" s="496"/>
      <c r="P538" s="496"/>
      <c r="Q538" s="675"/>
      <c r="R538" s="675"/>
      <c r="S538" s="675"/>
      <c r="T538" s="675"/>
      <c r="U538" s="675"/>
      <c r="V538" s="675"/>
      <c r="W538" s="675"/>
      <c r="X538" s="675"/>
      <c r="Y538" s="675"/>
      <c r="Z538" s="675"/>
    </row>
    <row r="539" spans="1:26" ht="18.75" hidden="1">
      <c r="A539" s="567"/>
      <c r="B539" s="568"/>
      <c r="C539" s="754"/>
      <c r="D539" s="754"/>
      <c r="E539" s="754" t="s">
        <v>229</v>
      </c>
      <c r="F539" s="754"/>
      <c r="G539" s="189"/>
      <c r="H539" s="616" t="s">
        <v>35</v>
      </c>
      <c r="I539" s="269">
        <f ca="1">IFERROR(__xludf.DUMMYFUNCTION("IMPORTRANGE(""https://docs.google.com/spreadsheets/d/1QqKyyYR6Q21VydFLVH3TRQUabQu_ym0Zz7PgGX0-kHA/edit?usp=sharing"",""แผน!GW61"")"),0)</f>
        <v>0</v>
      </c>
      <c r="J539" s="214">
        <v>0</v>
      </c>
      <c r="K539" s="496">
        <f t="shared" ca="1" si="234"/>
        <v>0</v>
      </c>
      <c r="L539" s="496"/>
      <c r="M539" s="496"/>
      <c r="N539" s="496"/>
      <c r="O539" s="496"/>
      <c r="P539" s="496"/>
      <c r="Q539" s="675"/>
      <c r="R539" s="675"/>
      <c r="S539" s="675"/>
      <c r="T539" s="675"/>
      <c r="U539" s="675"/>
      <c r="V539" s="675"/>
      <c r="W539" s="675"/>
      <c r="X539" s="675"/>
      <c r="Y539" s="675"/>
      <c r="Z539" s="675"/>
    </row>
    <row r="540" spans="1:26" ht="18.75" hidden="1">
      <c r="A540" s="567"/>
      <c r="B540" s="568"/>
      <c r="C540" s="754"/>
      <c r="D540" s="754"/>
      <c r="E540" s="754" t="s">
        <v>230</v>
      </c>
      <c r="F540" s="754"/>
      <c r="G540" s="189"/>
      <c r="H540" s="616" t="s">
        <v>35</v>
      </c>
      <c r="I540" s="269">
        <f ca="1">IFERROR(__xludf.DUMMYFUNCTION("IMPORTRANGE(""https://docs.google.com/spreadsheets/d/1QqKyyYR6Q21VydFLVH3TRQUabQu_ym0Zz7PgGX0-kHA/edit?usp=sharing"",""แผน!GX61"")"),0)</f>
        <v>0</v>
      </c>
      <c r="J540" s="214">
        <v>0</v>
      </c>
      <c r="K540" s="496">
        <f t="shared" ca="1" si="234"/>
        <v>0</v>
      </c>
      <c r="L540" s="496"/>
      <c r="M540" s="496"/>
      <c r="N540" s="496"/>
      <c r="O540" s="496"/>
      <c r="P540" s="496"/>
      <c r="Q540" s="675"/>
      <c r="R540" s="675"/>
      <c r="S540" s="675"/>
      <c r="T540" s="675"/>
      <c r="U540" s="675"/>
      <c r="V540" s="675"/>
      <c r="W540" s="675"/>
      <c r="X540" s="675"/>
      <c r="Y540" s="675"/>
      <c r="Z540" s="675"/>
    </row>
    <row r="541" spans="1:26" ht="18.75" hidden="1">
      <c r="A541" s="567"/>
      <c r="B541" s="568"/>
      <c r="C541" s="754"/>
      <c r="D541" s="754"/>
      <c r="E541" s="760" t="s">
        <v>231</v>
      </c>
      <c r="F541" s="754"/>
      <c r="G541" s="189"/>
      <c r="H541" s="616" t="s">
        <v>35</v>
      </c>
      <c r="I541" s="269">
        <f ca="1">IFERROR(__xludf.DUMMYFUNCTION("IMPORTRANGE(""https://docs.google.com/spreadsheets/d/1QqKyyYR6Q21VydFLVH3TRQUabQu_ym0Zz7PgGX0-kHA/edit?usp=sharing"",""แผน!GY61"")"),0)</f>
        <v>0</v>
      </c>
      <c r="J541" s="214">
        <v>0</v>
      </c>
      <c r="K541" s="496">
        <f t="shared" ca="1" si="234"/>
        <v>0</v>
      </c>
      <c r="L541" s="496"/>
      <c r="M541" s="496"/>
      <c r="N541" s="496"/>
      <c r="O541" s="496"/>
      <c r="P541" s="496"/>
      <c r="Q541" s="675"/>
      <c r="R541" s="675"/>
      <c r="S541" s="675"/>
      <c r="T541" s="675"/>
      <c r="U541" s="675"/>
      <c r="V541" s="675"/>
      <c r="W541" s="675"/>
      <c r="X541" s="675"/>
      <c r="Y541" s="675"/>
      <c r="Z541" s="675"/>
    </row>
    <row r="542" spans="1:26" ht="18.75" hidden="1">
      <c r="A542" s="567"/>
      <c r="B542" s="568"/>
      <c r="C542" s="754"/>
      <c r="D542" s="754" t="s">
        <v>59</v>
      </c>
      <c r="E542" s="754"/>
      <c r="F542" s="754"/>
      <c r="G542" s="189"/>
      <c r="H542" s="616" t="s">
        <v>35</v>
      </c>
      <c r="I542" s="269">
        <f ca="1">IFERROR(__xludf.DUMMYFUNCTION("IMPORTRANGE(""https://docs.google.com/spreadsheets/d/1QqKyyYR6Q21VydFLVH3TRQUabQu_ym0Zz7PgGX0-kHA/edit?usp=sharing"",""แผน!GZ61"")"),0)</f>
        <v>0</v>
      </c>
      <c r="J542" s="214">
        <v>0</v>
      </c>
      <c r="K542" s="496">
        <f t="shared" ca="1" si="234"/>
        <v>0</v>
      </c>
      <c r="L542" s="496"/>
      <c r="M542" s="496"/>
      <c r="N542" s="496"/>
      <c r="O542" s="496"/>
      <c r="P542" s="496"/>
      <c r="Q542" s="675"/>
      <c r="R542" s="675"/>
      <c r="S542" s="675"/>
      <c r="T542" s="675"/>
      <c r="U542" s="675"/>
      <c r="V542" s="675"/>
      <c r="W542" s="675"/>
      <c r="X542" s="675"/>
      <c r="Y542" s="675"/>
      <c r="Z542" s="675"/>
    </row>
    <row r="543" spans="1:26" ht="19.5">
      <c r="A543" s="657">
        <v>6</v>
      </c>
      <c r="B543" s="678" t="s">
        <v>232</v>
      </c>
      <c r="C543" s="660"/>
      <c r="D543" s="660"/>
      <c r="E543" s="660"/>
      <c r="F543" s="660"/>
      <c r="G543" s="661"/>
      <c r="H543" s="679" t="s">
        <v>46</v>
      </c>
      <c r="I543" s="680">
        <f t="shared" ref="I543:J543" ca="1" si="235">I559</f>
        <v>0</v>
      </c>
      <c r="J543" s="680">
        <f t="shared" si="235"/>
        <v>0</v>
      </c>
      <c r="K543" s="681">
        <f t="shared" ca="1" si="234"/>
        <v>0</v>
      </c>
      <c r="L543" s="663"/>
      <c r="M543" s="663"/>
      <c r="N543" s="663"/>
      <c r="O543" s="663"/>
      <c r="P543" s="663"/>
      <c r="Q543" s="571"/>
      <c r="R543" s="571"/>
      <c r="S543" s="571"/>
      <c r="T543" s="571"/>
      <c r="U543" s="571"/>
      <c r="V543" s="571"/>
      <c r="W543" s="571"/>
      <c r="X543" s="571"/>
      <c r="Y543" s="571"/>
      <c r="Z543" s="571"/>
    </row>
    <row r="544" spans="1:26" ht="19.5">
      <c r="A544" s="682"/>
      <c r="B544" s="683"/>
      <c r="C544" s="683" t="s">
        <v>16</v>
      </c>
      <c r="D544" s="867" t="s">
        <v>17</v>
      </c>
      <c r="E544" s="862"/>
      <c r="F544" s="862"/>
      <c r="G544" s="684"/>
      <c r="H544" s="274" t="s">
        <v>12</v>
      </c>
      <c r="I544" s="419"/>
      <c r="J544" s="419"/>
      <c r="K544" s="154"/>
      <c r="L544" s="155">
        <f t="shared" ref="L544:N544" ca="1" si="236">L545+L546</f>
        <v>66000</v>
      </c>
      <c r="M544" s="155">
        <f t="shared" si="236"/>
        <v>0</v>
      </c>
      <c r="N544" s="155">
        <f t="shared" si="236"/>
        <v>0</v>
      </c>
      <c r="O544" s="155">
        <f t="shared" ref="O544:O549" ca="1" si="237">IF(L544&gt;0,N544*100/L544,0)</f>
        <v>0</v>
      </c>
      <c r="P544" s="155">
        <f t="shared" ref="P544:P549" si="238">IF(M544&gt;0,N544*100/M544,0)</f>
        <v>0</v>
      </c>
      <c r="Q544" s="571"/>
      <c r="R544" s="571"/>
      <c r="S544" s="571"/>
      <c r="T544" s="571"/>
      <c r="U544" s="571"/>
      <c r="V544" s="571"/>
      <c r="W544" s="571"/>
      <c r="X544" s="571"/>
      <c r="Y544" s="571"/>
      <c r="Z544" s="571"/>
    </row>
    <row r="545" spans="1:26" ht="18.75" hidden="1">
      <c r="A545" s="592"/>
      <c r="B545" s="750"/>
      <c r="C545" s="750"/>
      <c r="D545" s="750"/>
      <c r="E545" s="750" t="s">
        <v>184</v>
      </c>
      <c r="F545" s="750"/>
      <c r="G545" s="596"/>
      <c r="H545" s="165" t="s">
        <v>12</v>
      </c>
      <c r="I545" s="610"/>
      <c r="J545" s="610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597"/>
      <c r="R545" s="597"/>
      <c r="S545" s="597"/>
      <c r="T545" s="597"/>
      <c r="U545" s="597"/>
      <c r="V545" s="597"/>
      <c r="W545" s="597"/>
      <c r="X545" s="597"/>
      <c r="Y545" s="597"/>
      <c r="Z545" s="597"/>
    </row>
    <row r="546" spans="1:26" ht="18.75" hidden="1">
      <c r="A546" s="592"/>
      <c r="B546" s="600"/>
      <c r="C546" s="750"/>
      <c r="D546" s="750"/>
      <c r="E546" s="750" t="s">
        <v>185</v>
      </c>
      <c r="F546" s="750"/>
      <c r="G546" s="596"/>
      <c r="H546" s="165" t="s">
        <v>12</v>
      </c>
      <c r="I546" s="610"/>
      <c r="J546" s="610"/>
      <c r="K546" s="93"/>
      <c r="L546" s="93">
        <f t="shared" ca="1" si="239"/>
        <v>66000</v>
      </c>
      <c r="M546" s="93">
        <f t="shared" si="240"/>
        <v>0</v>
      </c>
      <c r="N546" s="93">
        <f t="shared" si="240"/>
        <v>0</v>
      </c>
      <c r="O546" s="93">
        <f t="shared" ca="1" si="237"/>
        <v>0</v>
      </c>
      <c r="P546" s="93">
        <f t="shared" si="238"/>
        <v>0</v>
      </c>
      <c r="Q546" s="597"/>
      <c r="R546" s="597"/>
      <c r="S546" s="597"/>
      <c r="T546" s="597"/>
      <c r="U546" s="597"/>
      <c r="V546" s="597"/>
      <c r="W546" s="597"/>
      <c r="X546" s="597"/>
      <c r="Y546" s="597"/>
      <c r="Z546" s="597"/>
    </row>
    <row r="547" spans="1:26" ht="18.75">
      <c r="A547" s="590"/>
      <c r="B547" s="568"/>
      <c r="C547" s="754"/>
      <c r="D547" s="599" t="s">
        <v>20</v>
      </c>
      <c r="E547" s="754"/>
      <c r="F547" s="754"/>
      <c r="G547" s="189"/>
      <c r="H547" s="161" t="s">
        <v>12</v>
      </c>
      <c r="I547" s="184"/>
      <c r="J547" s="184"/>
      <c r="K547" s="163"/>
      <c r="L547" s="496">
        <f t="shared" ref="L547:N547" ca="1" si="241">L548+L549</f>
        <v>66000</v>
      </c>
      <c r="M547" s="496">
        <f t="shared" si="241"/>
        <v>0</v>
      </c>
      <c r="N547" s="496">
        <f t="shared" si="241"/>
        <v>0</v>
      </c>
      <c r="O547" s="496">
        <f t="shared" ca="1" si="237"/>
        <v>0</v>
      </c>
      <c r="P547" s="496">
        <f t="shared" si="238"/>
        <v>0</v>
      </c>
      <c r="Q547" s="571"/>
      <c r="R547" s="571"/>
      <c r="S547" s="571"/>
      <c r="T547" s="571"/>
      <c r="U547" s="571"/>
      <c r="V547" s="571"/>
      <c r="W547" s="571"/>
      <c r="X547" s="571"/>
      <c r="Y547" s="571"/>
      <c r="Z547" s="571"/>
    </row>
    <row r="548" spans="1:26" ht="18.75" hidden="1">
      <c r="A548" s="592"/>
      <c r="B548" s="600"/>
      <c r="C548" s="750"/>
      <c r="D548" s="711"/>
      <c r="E548" s="750" t="s">
        <v>184</v>
      </c>
      <c r="F548" s="750"/>
      <c r="G548" s="596"/>
      <c r="H548" s="165" t="s">
        <v>12</v>
      </c>
      <c r="I548" s="610"/>
      <c r="J548" s="610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597"/>
      <c r="R548" s="597"/>
      <c r="S548" s="597"/>
      <c r="T548" s="597"/>
      <c r="U548" s="597"/>
      <c r="V548" s="597"/>
      <c r="W548" s="597"/>
      <c r="X548" s="597"/>
      <c r="Y548" s="597"/>
      <c r="Z548" s="597"/>
    </row>
    <row r="549" spans="1:26" ht="18.75" hidden="1">
      <c r="A549" s="592"/>
      <c r="B549" s="600"/>
      <c r="C549" s="750"/>
      <c r="D549" s="711"/>
      <c r="E549" s="750" t="s">
        <v>185</v>
      </c>
      <c r="F549" s="750"/>
      <c r="G549" s="596"/>
      <c r="H549" s="165" t="s">
        <v>12</v>
      </c>
      <c r="I549" s="610"/>
      <c r="J549" s="610"/>
      <c r="K549" s="93"/>
      <c r="L549" s="93">
        <f ca="1">IFERROR(__xludf.DUMMYFUNCTION("IMPORTRANGE(""https://docs.google.com/spreadsheets/d/1QqKyyYR6Q21VydFLVH3TRQUabQu_ym0Zz7PgGX0-kHA/edit?usp=sharing"",""แผน!HB61"")"),66000)</f>
        <v>66000</v>
      </c>
      <c r="M549" s="93">
        <v>0</v>
      </c>
      <c r="N549" s="93">
        <f>N550+N551+N552+N553+N554</f>
        <v>0</v>
      </c>
      <c r="O549" s="93">
        <f t="shared" ca="1" si="237"/>
        <v>0</v>
      </c>
      <c r="P549" s="93">
        <f t="shared" si="238"/>
        <v>0</v>
      </c>
      <c r="Q549" s="597"/>
      <c r="R549" s="597"/>
      <c r="S549" s="597"/>
      <c r="T549" s="597"/>
      <c r="U549" s="597"/>
      <c r="V549" s="597"/>
      <c r="W549" s="597"/>
      <c r="X549" s="597"/>
      <c r="Y549" s="597"/>
      <c r="Z549" s="597"/>
    </row>
    <row r="550" spans="1:26" ht="18.75">
      <c r="A550" s="567"/>
      <c r="B550" s="568"/>
      <c r="C550" s="754"/>
      <c r="D550" s="754"/>
      <c r="E550" s="754"/>
      <c r="F550" s="754" t="s">
        <v>186</v>
      </c>
      <c r="G550" s="189"/>
      <c r="H550" s="161" t="s">
        <v>12</v>
      </c>
      <c r="I550" s="269"/>
      <c r="J550" s="269"/>
      <c r="K550" s="496"/>
      <c r="L550" s="496"/>
      <c r="M550" s="496"/>
      <c r="N550" s="817"/>
      <c r="O550" s="496"/>
      <c r="P550" s="496"/>
      <c r="Q550" s="571"/>
      <c r="R550" s="571"/>
      <c r="S550" s="571"/>
      <c r="T550" s="571"/>
      <c r="U550" s="571"/>
      <c r="V550" s="571"/>
      <c r="W550" s="571"/>
      <c r="X550" s="571"/>
      <c r="Y550" s="571"/>
      <c r="Z550" s="571"/>
    </row>
    <row r="551" spans="1:26" ht="18.75">
      <c r="A551" s="567"/>
      <c r="B551" s="568"/>
      <c r="C551" s="568"/>
      <c r="D551" s="568"/>
      <c r="E551" s="754"/>
      <c r="F551" s="754" t="s">
        <v>187</v>
      </c>
      <c r="G551" s="189"/>
      <c r="H551" s="161" t="s">
        <v>12</v>
      </c>
      <c r="I551" s="269"/>
      <c r="J551" s="269"/>
      <c r="K551" s="496"/>
      <c r="L551" s="496"/>
      <c r="M551" s="496"/>
      <c r="N551" s="817"/>
      <c r="O551" s="496"/>
      <c r="P551" s="496"/>
      <c r="Q551" s="571"/>
      <c r="R551" s="571"/>
      <c r="S551" s="571"/>
      <c r="T551" s="571"/>
      <c r="U551" s="571"/>
      <c r="V551" s="571"/>
      <c r="W551" s="571"/>
      <c r="X551" s="571"/>
      <c r="Y551" s="571"/>
      <c r="Z551" s="571"/>
    </row>
    <row r="552" spans="1:26" ht="18.75">
      <c r="A552" s="567"/>
      <c r="B552" s="568"/>
      <c r="C552" s="754"/>
      <c r="D552" s="754"/>
      <c r="E552" s="754"/>
      <c r="F552" s="754" t="s">
        <v>188</v>
      </c>
      <c r="G552" s="189"/>
      <c r="H552" s="161" t="s">
        <v>12</v>
      </c>
      <c r="I552" s="269"/>
      <c r="J552" s="269"/>
      <c r="K552" s="496"/>
      <c r="L552" s="496"/>
      <c r="M552" s="496"/>
      <c r="N552" s="817"/>
      <c r="O552" s="496"/>
      <c r="P552" s="496"/>
      <c r="Q552" s="571"/>
      <c r="R552" s="571"/>
      <c r="S552" s="571"/>
      <c r="T552" s="571"/>
      <c r="U552" s="571"/>
      <c r="V552" s="571"/>
      <c r="W552" s="571"/>
      <c r="X552" s="571"/>
      <c r="Y552" s="571"/>
      <c r="Z552" s="571"/>
    </row>
    <row r="553" spans="1:26" ht="18.75">
      <c r="A553" s="567"/>
      <c r="B553" s="568"/>
      <c r="C553" s="568"/>
      <c r="D553" s="568"/>
      <c r="E553" s="754"/>
      <c r="F553" s="754" t="s">
        <v>189</v>
      </c>
      <c r="G553" s="189"/>
      <c r="H553" s="161" t="s">
        <v>12</v>
      </c>
      <c r="I553" s="269"/>
      <c r="J553" s="269"/>
      <c r="K553" s="496"/>
      <c r="L553" s="496"/>
      <c r="M553" s="496"/>
      <c r="N553" s="817"/>
      <c r="O553" s="496"/>
      <c r="P553" s="496"/>
      <c r="Q553" s="571"/>
      <c r="R553" s="571"/>
      <c r="S553" s="571"/>
      <c r="T553" s="571"/>
      <c r="U553" s="571"/>
      <c r="V553" s="571"/>
      <c r="W553" s="571"/>
      <c r="X553" s="571"/>
      <c r="Y553" s="571"/>
      <c r="Z553" s="571"/>
    </row>
    <row r="554" spans="1:26" ht="18.75">
      <c r="A554" s="567"/>
      <c r="B554" s="568"/>
      <c r="C554" s="568"/>
      <c r="D554" s="568"/>
      <c r="E554" s="754"/>
      <c r="F554" s="754" t="s">
        <v>233</v>
      </c>
      <c r="G554" s="189"/>
      <c r="H554" s="161" t="s">
        <v>12</v>
      </c>
      <c r="I554" s="269"/>
      <c r="J554" s="269"/>
      <c r="K554" s="496"/>
      <c r="L554" s="496"/>
      <c r="M554" s="496"/>
      <c r="N554" s="817"/>
      <c r="O554" s="496"/>
      <c r="P554" s="496"/>
      <c r="Q554" s="571"/>
      <c r="R554" s="571"/>
      <c r="S554" s="571"/>
      <c r="T554" s="571"/>
      <c r="U554" s="571"/>
      <c r="V554" s="571"/>
      <c r="W554" s="571"/>
      <c r="X554" s="571"/>
      <c r="Y554" s="571"/>
      <c r="Z554" s="571"/>
    </row>
    <row r="555" spans="1:26" ht="18.75">
      <c r="A555" s="590"/>
      <c r="B555" s="568"/>
      <c r="C555" s="568"/>
      <c r="D555" s="599" t="s">
        <v>21</v>
      </c>
      <c r="E555" s="754"/>
      <c r="F555" s="754"/>
      <c r="G555" s="189"/>
      <c r="H555" s="168" t="s">
        <v>12</v>
      </c>
      <c r="I555" s="184"/>
      <c r="J555" s="184"/>
      <c r="K555" s="163"/>
      <c r="L555" s="496">
        <f t="shared" ref="L555:N555" ca="1" si="242">L556+L557</f>
        <v>0</v>
      </c>
      <c r="M555" s="496">
        <f t="shared" si="242"/>
        <v>0</v>
      </c>
      <c r="N555" s="496">
        <f t="shared" si="242"/>
        <v>0</v>
      </c>
      <c r="O555" s="496">
        <f t="shared" ref="O555:O557" ca="1" si="243">IF(L555&gt;0,N555*100/L555,0)</f>
        <v>0</v>
      </c>
      <c r="P555" s="496">
        <f t="shared" ref="P555:P557" si="244">IF(M555&gt;0,N555*100/M555,0)</f>
        <v>0</v>
      </c>
      <c r="Q555" s="571"/>
      <c r="R555" s="571"/>
      <c r="S555" s="571"/>
      <c r="T555" s="571"/>
      <c r="U555" s="571"/>
      <c r="V555" s="571"/>
      <c r="W555" s="571"/>
      <c r="X555" s="571"/>
      <c r="Y555" s="571"/>
      <c r="Z555" s="571"/>
    </row>
    <row r="556" spans="1:26" ht="18.75" hidden="1">
      <c r="A556" s="592"/>
      <c r="B556" s="600"/>
      <c r="C556" s="600"/>
      <c r="D556" s="750"/>
      <c r="E556" s="750" t="s">
        <v>18</v>
      </c>
      <c r="F556" s="750"/>
      <c r="G556" s="596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597"/>
      <c r="R556" s="597"/>
      <c r="S556" s="597"/>
      <c r="T556" s="597"/>
      <c r="U556" s="597"/>
      <c r="V556" s="597"/>
      <c r="W556" s="597"/>
      <c r="X556" s="597"/>
      <c r="Y556" s="597"/>
      <c r="Z556" s="597"/>
    </row>
    <row r="557" spans="1:26" ht="18.75" hidden="1">
      <c r="A557" s="592"/>
      <c r="B557" s="600"/>
      <c r="C557" s="600"/>
      <c r="D557" s="750"/>
      <c r="E557" s="750" t="s">
        <v>19</v>
      </c>
      <c r="F557" s="750"/>
      <c r="G557" s="596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IFERROR(__xludf.DUMMYFUNCTION("IMPORTRANGE(""https://docs.google.com/spreadsheets/d/1QqKyyYR6Q21VydFLVH3TRQUabQu_ym0Zz7PgGX0-kHA/edit?usp=sharing"",""แผน!HF61"")"),0)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597"/>
      <c r="R557" s="597"/>
      <c r="S557" s="597"/>
      <c r="T557" s="597"/>
      <c r="U557" s="597"/>
      <c r="V557" s="597"/>
      <c r="W557" s="597"/>
      <c r="X557" s="597"/>
      <c r="Y557" s="597"/>
      <c r="Z557" s="597"/>
    </row>
    <row r="558" spans="1:26" ht="19.5" hidden="1">
      <c r="A558" s="601"/>
      <c r="B558" s="611"/>
      <c r="C558" s="568" t="s">
        <v>16</v>
      </c>
      <c r="D558" s="839" t="s">
        <v>38</v>
      </c>
      <c r="E558" s="752"/>
      <c r="F558" s="752"/>
      <c r="G558" s="606"/>
      <c r="H558" s="753"/>
      <c r="I558" s="184"/>
      <c r="J558" s="184"/>
      <c r="K558" s="163"/>
      <c r="L558" s="163"/>
      <c r="M558" s="163"/>
      <c r="N558" s="163"/>
      <c r="O558" s="163"/>
      <c r="P558" s="163"/>
      <c r="Q558" s="571"/>
      <c r="R558" s="571"/>
      <c r="S558" s="571"/>
      <c r="T558" s="571"/>
      <c r="U558" s="571"/>
      <c r="V558" s="571"/>
      <c r="W558" s="571"/>
      <c r="X558" s="571"/>
      <c r="Y558" s="571"/>
      <c r="Z558" s="571"/>
    </row>
    <row r="559" spans="1:26" ht="19.5" hidden="1">
      <c r="A559" s="685"/>
      <c r="B559" s="686" t="s">
        <v>234</v>
      </c>
      <c r="C559" s="687"/>
      <c r="D559" s="687"/>
      <c r="E559" s="666"/>
      <c r="F559" s="666"/>
      <c r="G559" s="667"/>
      <c r="H559" s="688" t="s">
        <v>46</v>
      </c>
      <c r="I559" s="699">
        <f t="shared" ref="I559:J559" ca="1" si="245">I576</f>
        <v>0</v>
      </c>
      <c r="J559" s="699">
        <f t="shared" si="245"/>
        <v>0</v>
      </c>
      <c r="K559" s="670">
        <f t="shared" ref="K559:K561" ca="1" si="246">IF(I559&gt;0,J559*100/I559,0)</f>
        <v>0</v>
      </c>
      <c r="L559" s="671"/>
      <c r="M559" s="671"/>
      <c r="N559" s="671"/>
      <c r="O559" s="671"/>
      <c r="P559" s="671"/>
      <c r="Q559" s="571"/>
      <c r="R559" s="571"/>
      <c r="S559" s="571"/>
      <c r="T559" s="571"/>
      <c r="U559" s="571"/>
      <c r="V559" s="571"/>
      <c r="W559" s="571"/>
      <c r="X559" s="571"/>
      <c r="Y559" s="571"/>
      <c r="Z559" s="571"/>
    </row>
    <row r="560" spans="1:26" ht="19.5" hidden="1">
      <c r="A560" s="601"/>
      <c r="B560" s="611"/>
      <c r="C560" s="618" t="s">
        <v>235</v>
      </c>
      <c r="D560" s="611"/>
      <c r="E560" s="619"/>
      <c r="F560" s="619"/>
      <c r="G560" s="753"/>
      <c r="H560" s="758" t="s">
        <v>46</v>
      </c>
      <c r="I560" s="193">
        <f ca="1">IFERROR(__xludf.DUMMYFUNCTION("IMPORTRANGE(""https://docs.google.com/spreadsheets/d/1QqKyyYR6Q21VydFLVH3TRQUabQu_ym0Zz7PgGX0-kHA/edit?usp=sharing"",""แผน!HH61"")"),0)</f>
        <v>0</v>
      </c>
      <c r="J560" s="193">
        <f t="shared" ref="J560:J561" si="247">J562+J564+J566</f>
        <v>0</v>
      </c>
      <c r="K560" s="410">
        <f t="shared" ca="1" si="246"/>
        <v>0</v>
      </c>
      <c r="L560" s="163"/>
      <c r="M560" s="163"/>
      <c r="N560" s="163"/>
      <c r="O560" s="163"/>
      <c r="P560" s="163"/>
      <c r="Q560" s="571"/>
      <c r="R560" s="571"/>
      <c r="S560" s="571"/>
      <c r="T560" s="571"/>
      <c r="U560" s="571"/>
      <c r="V560" s="571"/>
      <c r="W560" s="571"/>
      <c r="X560" s="571"/>
      <c r="Y560" s="571"/>
      <c r="Z560" s="571"/>
    </row>
    <row r="561" spans="1:26" ht="19.5" hidden="1">
      <c r="A561" s="601"/>
      <c r="B561" s="611"/>
      <c r="C561" s="611"/>
      <c r="D561" s="619"/>
      <c r="E561" s="619"/>
      <c r="F561" s="619"/>
      <c r="G561" s="753"/>
      <c r="H561" s="758" t="s">
        <v>34</v>
      </c>
      <c r="I561" s="193">
        <f ca="1">IFERROR(__xludf.DUMMYFUNCTION("IMPORTRANGE(""https://docs.google.com/spreadsheets/d/1QqKyyYR6Q21VydFLVH3TRQUabQu_ym0Zz7PgGX0-kHA/edit?usp=sharing"",""แผน!HG61"")"),0)</f>
        <v>0</v>
      </c>
      <c r="J561" s="193">
        <f t="shared" si="247"/>
        <v>0</v>
      </c>
      <c r="K561" s="410">
        <f t="shared" ca="1" si="246"/>
        <v>0</v>
      </c>
      <c r="L561" s="163"/>
      <c r="M561" s="163"/>
      <c r="N561" s="163"/>
      <c r="O561" s="163"/>
      <c r="P561" s="163"/>
      <c r="Q561" s="571"/>
      <c r="R561" s="571"/>
      <c r="S561" s="571"/>
      <c r="T561" s="571"/>
      <c r="U561" s="571"/>
      <c r="V561" s="571"/>
      <c r="W561" s="571"/>
      <c r="X561" s="571"/>
      <c r="Y561" s="571"/>
      <c r="Z561" s="571"/>
    </row>
    <row r="562" spans="1:26" ht="18.75" hidden="1">
      <c r="A562" s="601"/>
      <c r="B562" s="611"/>
      <c r="C562" s="611"/>
      <c r="D562" s="619" t="s">
        <v>236</v>
      </c>
      <c r="E562" s="619"/>
      <c r="F562" s="619"/>
      <c r="G562" s="753"/>
      <c r="H562" s="755" t="s">
        <v>46</v>
      </c>
      <c r="I562" s="184"/>
      <c r="J562" s="214">
        <v>0</v>
      </c>
      <c r="K562" s="163"/>
      <c r="L562" s="163"/>
      <c r="M562" s="163"/>
      <c r="N562" s="163"/>
      <c r="O562" s="163"/>
      <c r="P562" s="163"/>
      <c r="Q562" s="571"/>
      <c r="R562" s="571"/>
      <c r="S562" s="571"/>
      <c r="T562" s="571"/>
      <c r="U562" s="571"/>
      <c r="V562" s="571"/>
      <c r="W562" s="571"/>
      <c r="X562" s="571"/>
      <c r="Y562" s="571"/>
      <c r="Z562" s="571"/>
    </row>
    <row r="563" spans="1:26" ht="18.75" hidden="1">
      <c r="A563" s="601"/>
      <c r="B563" s="611"/>
      <c r="C563" s="611"/>
      <c r="D563" s="611"/>
      <c r="E563" s="619"/>
      <c r="F563" s="619"/>
      <c r="G563" s="753"/>
      <c r="H563" s="755" t="s">
        <v>34</v>
      </c>
      <c r="I563" s="184"/>
      <c r="J563" s="214">
        <v>0</v>
      </c>
      <c r="K563" s="163"/>
      <c r="L563" s="163"/>
      <c r="M563" s="163"/>
      <c r="N563" s="163"/>
      <c r="O563" s="163"/>
      <c r="P563" s="163"/>
      <c r="Q563" s="571"/>
      <c r="R563" s="571"/>
      <c r="S563" s="571"/>
      <c r="T563" s="571"/>
      <c r="U563" s="571"/>
      <c r="V563" s="571"/>
      <c r="W563" s="571"/>
      <c r="X563" s="571"/>
      <c r="Y563" s="571"/>
      <c r="Z563" s="571"/>
    </row>
    <row r="564" spans="1:26" ht="18.75" hidden="1">
      <c r="A564" s="601"/>
      <c r="B564" s="611"/>
      <c r="C564" s="611"/>
      <c r="D564" s="619" t="s">
        <v>237</v>
      </c>
      <c r="E564" s="619"/>
      <c r="F564" s="619"/>
      <c r="G564" s="753"/>
      <c r="H564" s="755" t="s">
        <v>46</v>
      </c>
      <c r="I564" s="184"/>
      <c r="J564" s="214">
        <v>0</v>
      </c>
      <c r="K564" s="163"/>
      <c r="L564" s="163"/>
      <c r="M564" s="163"/>
      <c r="N564" s="163"/>
      <c r="O564" s="163"/>
      <c r="P564" s="163"/>
      <c r="Q564" s="571"/>
      <c r="R564" s="571"/>
      <c r="S564" s="571"/>
      <c r="T564" s="571"/>
      <c r="U564" s="571"/>
      <c r="V564" s="571"/>
      <c r="W564" s="571"/>
      <c r="X564" s="571"/>
      <c r="Y564" s="571"/>
      <c r="Z564" s="571"/>
    </row>
    <row r="565" spans="1:26" ht="18.75" hidden="1">
      <c r="A565" s="601"/>
      <c r="B565" s="611"/>
      <c r="C565" s="611"/>
      <c r="D565" s="619"/>
      <c r="E565" s="619"/>
      <c r="F565" s="619"/>
      <c r="G565" s="753"/>
      <c r="H565" s="755" t="s">
        <v>34</v>
      </c>
      <c r="I565" s="184"/>
      <c r="J565" s="214">
        <v>0</v>
      </c>
      <c r="K565" s="163"/>
      <c r="L565" s="163"/>
      <c r="M565" s="163"/>
      <c r="N565" s="163"/>
      <c r="O565" s="163"/>
      <c r="P565" s="163"/>
      <c r="Q565" s="571"/>
      <c r="R565" s="571"/>
      <c r="S565" s="571"/>
      <c r="T565" s="571"/>
      <c r="U565" s="571"/>
      <c r="V565" s="571"/>
      <c r="W565" s="571"/>
      <c r="X565" s="571"/>
      <c r="Y565" s="571"/>
      <c r="Z565" s="571"/>
    </row>
    <row r="566" spans="1:26" ht="18.75" hidden="1">
      <c r="A566" s="601"/>
      <c r="B566" s="611"/>
      <c r="C566" s="611"/>
      <c r="D566" s="619" t="s">
        <v>238</v>
      </c>
      <c r="E566" s="619"/>
      <c r="F566" s="619"/>
      <c r="G566" s="753"/>
      <c r="H566" s="755" t="s">
        <v>46</v>
      </c>
      <c r="I566" s="184"/>
      <c r="J566" s="214">
        <v>0</v>
      </c>
      <c r="K566" s="163"/>
      <c r="L566" s="163"/>
      <c r="M566" s="163"/>
      <c r="N566" s="163"/>
      <c r="O566" s="163"/>
      <c r="P566" s="163"/>
      <c r="Q566" s="571"/>
      <c r="R566" s="571"/>
      <c r="S566" s="571"/>
      <c r="T566" s="571"/>
      <c r="U566" s="571"/>
      <c r="V566" s="571"/>
      <c r="W566" s="571"/>
      <c r="X566" s="571"/>
      <c r="Y566" s="571"/>
      <c r="Z566" s="571"/>
    </row>
    <row r="567" spans="1:26" ht="18.75" hidden="1">
      <c r="A567" s="601"/>
      <c r="B567" s="611"/>
      <c r="C567" s="611"/>
      <c r="D567" s="619"/>
      <c r="E567" s="619"/>
      <c r="F567" s="619"/>
      <c r="G567" s="753"/>
      <c r="H567" s="755" t="s">
        <v>34</v>
      </c>
      <c r="I567" s="184"/>
      <c r="J567" s="214">
        <v>0</v>
      </c>
      <c r="K567" s="163"/>
      <c r="L567" s="163"/>
      <c r="M567" s="163"/>
      <c r="N567" s="163"/>
      <c r="O567" s="163"/>
      <c r="P567" s="163"/>
      <c r="Q567" s="571"/>
      <c r="R567" s="571"/>
      <c r="S567" s="571"/>
      <c r="T567" s="571"/>
      <c r="U567" s="571"/>
      <c r="V567" s="571"/>
      <c r="W567" s="571"/>
      <c r="X567" s="571"/>
      <c r="Y567" s="571"/>
      <c r="Z567" s="571"/>
    </row>
    <row r="568" spans="1:26" ht="19.5" hidden="1">
      <c r="A568" s="601"/>
      <c r="B568" s="611"/>
      <c r="C568" s="618" t="s">
        <v>239</v>
      </c>
      <c r="D568" s="619"/>
      <c r="E568" s="619"/>
      <c r="F568" s="619"/>
      <c r="G568" s="753"/>
      <c r="H568" s="758" t="s">
        <v>46</v>
      </c>
      <c r="I568" s="193">
        <f ca="1">IFERROR(__xludf.DUMMYFUNCTION("IMPORTRANGE(""https://docs.google.com/spreadsheets/d/1QqKyyYR6Q21VydFLVH3TRQUabQu_ym0Zz7PgGX0-kHA/edit?usp=sharing"",""แผน!HH61"")"),0)</f>
        <v>0</v>
      </c>
      <c r="J568" s="674">
        <f t="shared" ref="J568:J569" si="248">J570+J572+J574</f>
        <v>0</v>
      </c>
      <c r="K568" s="410">
        <f t="shared" ref="K568:K569" ca="1" si="249">IF(I568&gt;0,J568*100/I568,0)</f>
        <v>0</v>
      </c>
      <c r="L568" s="163"/>
      <c r="M568" s="163"/>
      <c r="N568" s="163"/>
      <c r="O568" s="163"/>
      <c r="P568" s="163"/>
      <c r="Q568" s="571"/>
      <c r="R568" s="571"/>
      <c r="S568" s="571"/>
      <c r="T568" s="571"/>
      <c r="U568" s="571"/>
      <c r="V568" s="571"/>
      <c r="W568" s="571"/>
      <c r="X568" s="571"/>
      <c r="Y568" s="571"/>
      <c r="Z568" s="571"/>
    </row>
    <row r="569" spans="1:26" ht="19.5" hidden="1">
      <c r="A569" s="601"/>
      <c r="B569" s="611"/>
      <c r="C569" s="611"/>
      <c r="D569" s="611"/>
      <c r="E569" s="619"/>
      <c r="F569" s="619"/>
      <c r="G569" s="753"/>
      <c r="H569" s="758" t="s">
        <v>34</v>
      </c>
      <c r="I569" s="193">
        <f ca="1">IFERROR(__xludf.DUMMYFUNCTION("IMPORTRANGE(""https://docs.google.com/spreadsheets/d/1QqKyyYR6Q21VydFLVH3TRQUabQu_ym0Zz7PgGX0-kHA/edit?usp=sharing"",""แผน!HG61"")"),0)</f>
        <v>0</v>
      </c>
      <c r="J569" s="674">
        <f t="shared" si="248"/>
        <v>0</v>
      </c>
      <c r="K569" s="410">
        <f t="shared" ca="1" si="249"/>
        <v>0</v>
      </c>
      <c r="L569" s="163"/>
      <c r="M569" s="163"/>
      <c r="N569" s="163"/>
      <c r="O569" s="163"/>
      <c r="P569" s="163"/>
      <c r="Q569" s="571"/>
      <c r="R569" s="571"/>
      <c r="S569" s="571"/>
      <c r="T569" s="571"/>
      <c r="U569" s="571"/>
      <c r="V569" s="571"/>
      <c r="W569" s="571"/>
      <c r="X569" s="571"/>
      <c r="Y569" s="571"/>
      <c r="Z569" s="571"/>
    </row>
    <row r="570" spans="1:26" ht="18.75" hidden="1">
      <c r="A570" s="601"/>
      <c r="B570" s="611"/>
      <c r="C570" s="611"/>
      <c r="D570" s="619" t="s">
        <v>240</v>
      </c>
      <c r="E570" s="611"/>
      <c r="F570" s="619"/>
      <c r="G570" s="753"/>
      <c r="H570" s="755" t="s">
        <v>46</v>
      </c>
      <c r="I570" s="184"/>
      <c r="J570" s="214">
        <v>0</v>
      </c>
      <c r="K570" s="163"/>
      <c r="L570" s="163"/>
      <c r="M570" s="163"/>
      <c r="N570" s="163"/>
      <c r="O570" s="163"/>
      <c r="P570" s="163"/>
      <c r="Q570" s="571"/>
      <c r="R570" s="571"/>
      <c r="S570" s="571"/>
      <c r="T570" s="571"/>
      <c r="U570" s="571"/>
      <c r="V570" s="571"/>
      <c r="W570" s="571"/>
      <c r="X570" s="571"/>
      <c r="Y570" s="571"/>
      <c r="Z570" s="571"/>
    </row>
    <row r="571" spans="1:26" ht="18.75" hidden="1">
      <c r="A571" s="601"/>
      <c r="B571" s="611"/>
      <c r="C571" s="611"/>
      <c r="D571" s="611"/>
      <c r="E571" s="619"/>
      <c r="F571" s="619"/>
      <c r="G571" s="753"/>
      <c r="H571" s="755" t="s">
        <v>34</v>
      </c>
      <c r="I571" s="184"/>
      <c r="J571" s="214">
        <v>0</v>
      </c>
      <c r="K571" s="163"/>
      <c r="L571" s="163"/>
      <c r="M571" s="163"/>
      <c r="N571" s="163"/>
      <c r="O571" s="163"/>
      <c r="P571" s="163"/>
      <c r="Q571" s="571"/>
      <c r="R571" s="571"/>
      <c r="S571" s="571"/>
      <c r="T571" s="571"/>
      <c r="U571" s="571"/>
      <c r="V571" s="571"/>
      <c r="W571" s="571"/>
      <c r="X571" s="571"/>
      <c r="Y571" s="571"/>
      <c r="Z571" s="571"/>
    </row>
    <row r="572" spans="1:26" ht="18.75" hidden="1">
      <c r="A572" s="601"/>
      <c r="B572" s="611"/>
      <c r="C572" s="611"/>
      <c r="D572" s="619" t="s">
        <v>241</v>
      </c>
      <c r="E572" s="619"/>
      <c r="F572" s="619"/>
      <c r="G572" s="753"/>
      <c r="H572" s="755" t="s">
        <v>46</v>
      </c>
      <c r="I572" s="184"/>
      <c r="J572" s="214">
        <v>0</v>
      </c>
      <c r="K572" s="163"/>
      <c r="L572" s="163"/>
      <c r="M572" s="163"/>
      <c r="N572" s="163"/>
      <c r="O572" s="163"/>
      <c r="P572" s="163"/>
      <c r="Q572" s="571"/>
      <c r="R572" s="571"/>
      <c r="S572" s="571"/>
      <c r="T572" s="571"/>
      <c r="U572" s="571"/>
      <c r="V572" s="571"/>
      <c r="W572" s="571"/>
      <c r="X572" s="571"/>
      <c r="Y572" s="571"/>
      <c r="Z572" s="571"/>
    </row>
    <row r="573" spans="1:26" ht="18.75" hidden="1">
      <c r="A573" s="601"/>
      <c r="B573" s="611"/>
      <c r="C573" s="611"/>
      <c r="D573" s="619"/>
      <c r="E573" s="619"/>
      <c r="F573" s="619"/>
      <c r="G573" s="753"/>
      <c r="H573" s="755" t="s">
        <v>34</v>
      </c>
      <c r="I573" s="184"/>
      <c r="J573" s="214">
        <v>0</v>
      </c>
      <c r="K573" s="163"/>
      <c r="L573" s="163"/>
      <c r="M573" s="163"/>
      <c r="N573" s="163"/>
      <c r="O573" s="163"/>
      <c r="P573" s="163"/>
      <c r="Q573" s="571"/>
      <c r="R573" s="571"/>
      <c r="S573" s="571"/>
      <c r="T573" s="571"/>
      <c r="U573" s="571"/>
      <c r="V573" s="571"/>
      <c r="W573" s="571"/>
      <c r="X573" s="571"/>
      <c r="Y573" s="571"/>
      <c r="Z573" s="571"/>
    </row>
    <row r="574" spans="1:26" ht="18.75" hidden="1">
      <c r="A574" s="601"/>
      <c r="B574" s="611"/>
      <c r="C574" s="611"/>
      <c r="D574" s="619" t="s">
        <v>242</v>
      </c>
      <c r="E574" s="619"/>
      <c r="F574" s="619"/>
      <c r="G574" s="753"/>
      <c r="H574" s="755" t="s">
        <v>46</v>
      </c>
      <c r="I574" s="184"/>
      <c r="J574" s="214">
        <v>0</v>
      </c>
      <c r="K574" s="163"/>
      <c r="L574" s="163"/>
      <c r="M574" s="163"/>
      <c r="N574" s="163"/>
      <c r="O574" s="163"/>
      <c r="P574" s="163"/>
      <c r="Q574" s="571"/>
      <c r="R574" s="571"/>
      <c r="S574" s="571"/>
      <c r="T574" s="571"/>
      <c r="U574" s="571"/>
      <c r="V574" s="571"/>
      <c r="W574" s="571"/>
      <c r="X574" s="571"/>
      <c r="Y574" s="571"/>
      <c r="Z574" s="571"/>
    </row>
    <row r="575" spans="1:26" ht="18.75" hidden="1">
      <c r="A575" s="601"/>
      <c r="B575" s="611"/>
      <c r="C575" s="611"/>
      <c r="D575" s="611"/>
      <c r="E575" s="619"/>
      <c r="F575" s="619"/>
      <c r="G575" s="753"/>
      <c r="H575" s="755" t="s">
        <v>34</v>
      </c>
      <c r="I575" s="184"/>
      <c r="J575" s="214">
        <v>0</v>
      </c>
      <c r="K575" s="163"/>
      <c r="L575" s="163"/>
      <c r="M575" s="163"/>
      <c r="N575" s="163"/>
      <c r="O575" s="163"/>
      <c r="P575" s="163"/>
      <c r="Q575" s="571"/>
      <c r="R575" s="571"/>
      <c r="S575" s="571"/>
      <c r="T575" s="571"/>
      <c r="U575" s="571"/>
      <c r="V575" s="571"/>
      <c r="W575" s="571"/>
      <c r="X575" s="571"/>
      <c r="Y575" s="571"/>
      <c r="Z575" s="571"/>
    </row>
    <row r="576" spans="1:26" ht="19.5" hidden="1">
      <c r="A576" s="601"/>
      <c r="B576" s="611"/>
      <c r="C576" s="618" t="s">
        <v>243</v>
      </c>
      <c r="D576" s="611"/>
      <c r="E576" s="611"/>
      <c r="F576" s="619"/>
      <c r="G576" s="753"/>
      <c r="H576" s="758" t="s">
        <v>46</v>
      </c>
      <c r="I576" s="193">
        <f ca="1">IFERROR(__xludf.DUMMYFUNCTION("IMPORTRANGE(""https://docs.google.com/spreadsheets/d/1QqKyyYR6Q21VydFLVH3TRQUabQu_ym0Zz7PgGX0-kHA/edit?usp=sharing"",""แผน!HH61"")"),0)</f>
        <v>0</v>
      </c>
      <c r="J576" s="674">
        <f t="shared" ref="J576:J577" si="250">J578+J580+J582+J588+J590</f>
        <v>0</v>
      </c>
      <c r="K576" s="410">
        <f t="shared" ref="K576:K577" ca="1" si="251">IF(I576&gt;0,J576*100/I576,0)</f>
        <v>0</v>
      </c>
      <c r="L576" s="163"/>
      <c r="M576" s="163"/>
      <c r="N576" s="163"/>
      <c r="O576" s="163"/>
      <c r="P576" s="163"/>
      <c r="Q576" s="571"/>
      <c r="R576" s="571"/>
      <c r="S576" s="571"/>
      <c r="T576" s="571"/>
      <c r="U576" s="571"/>
      <c r="V576" s="571"/>
      <c r="W576" s="571"/>
      <c r="X576" s="571"/>
      <c r="Y576" s="571"/>
      <c r="Z576" s="571"/>
    </row>
    <row r="577" spans="1:26" ht="19.5" hidden="1">
      <c r="A577" s="601"/>
      <c r="B577" s="611"/>
      <c r="C577" s="611"/>
      <c r="D577" s="611"/>
      <c r="E577" s="619"/>
      <c r="F577" s="619"/>
      <c r="G577" s="753"/>
      <c r="H577" s="758" t="s">
        <v>34</v>
      </c>
      <c r="I577" s="193">
        <f ca="1">IFERROR(__xludf.DUMMYFUNCTION("IMPORTRANGE(""https://docs.google.com/spreadsheets/d/1QqKyyYR6Q21VydFLVH3TRQUabQu_ym0Zz7PgGX0-kHA/edit?usp=sharing"",""แผน!HG61"")"),0)</f>
        <v>0</v>
      </c>
      <c r="J577" s="674">
        <f t="shared" si="250"/>
        <v>0</v>
      </c>
      <c r="K577" s="410">
        <f t="shared" ca="1" si="251"/>
        <v>0</v>
      </c>
      <c r="L577" s="163"/>
      <c r="M577" s="163"/>
      <c r="N577" s="163"/>
      <c r="O577" s="163"/>
      <c r="P577" s="163"/>
      <c r="Q577" s="571"/>
      <c r="R577" s="571"/>
      <c r="S577" s="571"/>
      <c r="T577" s="571"/>
      <c r="U577" s="571"/>
      <c r="V577" s="571"/>
      <c r="W577" s="571"/>
      <c r="X577" s="571"/>
      <c r="Y577" s="571"/>
      <c r="Z577" s="571"/>
    </row>
    <row r="578" spans="1:26" ht="18.75" hidden="1">
      <c r="A578" s="601"/>
      <c r="B578" s="611"/>
      <c r="C578" s="611"/>
      <c r="D578" s="619" t="s">
        <v>244</v>
      </c>
      <c r="E578" s="619"/>
      <c r="F578" s="619"/>
      <c r="G578" s="753"/>
      <c r="H578" s="755" t="s">
        <v>46</v>
      </c>
      <c r="I578" s="184"/>
      <c r="J578" s="214">
        <v>0</v>
      </c>
      <c r="K578" s="163"/>
      <c r="L578" s="163"/>
      <c r="M578" s="163"/>
      <c r="N578" s="163"/>
      <c r="O578" s="163"/>
      <c r="P578" s="163"/>
      <c r="Q578" s="571"/>
      <c r="R578" s="571"/>
      <c r="S578" s="571"/>
      <c r="T578" s="571"/>
      <c r="U578" s="571"/>
      <c r="V578" s="571"/>
      <c r="W578" s="571"/>
      <c r="X578" s="571"/>
      <c r="Y578" s="571"/>
      <c r="Z578" s="571"/>
    </row>
    <row r="579" spans="1:26" ht="18.75" hidden="1">
      <c r="A579" s="601"/>
      <c r="B579" s="611"/>
      <c r="C579" s="611"/>
      <c r="D579" s="611"/>
      <c r="E579" s="619"/>
      <c r="F579" s="619"/>
      <c r="G579" s="753"/>
      <c r="H579" s="755" t="s">
        <v>34</v>
      </c>
      <c r="I579" s="184"/>
      <c r="J579" s="214">
        <v>0</v>
      </c>
      <c r="K579" s="163"/>
      <c r="L579" s="163"/>
      <c r="M579" s="163"/>
      <c r="N579" s="163"/>
      <c r="O579" s="163"/>
      <c r="P579" s="163"/>
      <c r="Q579" s="571"/>
      <c r="R579" s="571"/>
      <c r="S579" s="571"/>
      <c r="T579" s="571"/>
      <c r="U579" s="571"/>
      <c r="V579" s="571"/>
      <c r="W579" s="571"/>
      <c r="X579" s="571"/>
      <c r="Y579" s="571"/>
      <c r="Z579" s="571"/>
    </row>
    <row r="580" spans="1:26" ht="18.75" hidden="1">
      <c r="A580" s="601"/>
      <c r="B580" s="611"/>
      <c r="C580" s="611"/>
      <c r="D580" s="619" t="s">
        <v>245</v>
      </c>
      <c r="E580" s="619"/>
      <c r="F580" s="619"/>
      <c r="G580" s="753"/>
      <c r="H580" s="755" t="s">
        <v>46</v>
      </c>
      <c r="I580" s="184"/>
      <c r="J580" s="214">
        <v>0</v>
      </c>
      <c r="K580" s="163"/>
      <c r="L580" s="163"/>
      <c r="M580" s="163"/>
      <c r="N580" s="163"/>
      <c r="O580" s="163"/>
      <c r="P580" s="163"/>
      <c r="Q580" s="571"/>
      <c r="R580" s="571"/>
      <c r="S580" s="571"/>
      <c r="T580" s="571"/>
      <c r="U580" s="571"/>
      <c r="V580" s="571"/>
      <c r="W580" s="571"/>
      <c r="X580" s="571"/>
      <c r="Y580" s="571"/>
      <c r="Z580" s="571"/>
    </row>
    <row r="581" spans="1:26" ht="18.75" hidden="1">
      <c r="A581" s="601"/>
      <c r="B581" s="611"/>
      <c r="C581" s="611"/>
      <c r="D581" s="611"/>
      <c r="E581" s="619"/>
      <c r="F581" s="619"/>
      <c r="G581" s="753"/>
      <c r="H581" s="755" t="s">
        <v>34</v>
      </c>
      <c r="I581" s="184"/>
      <c r="J581" s="214">
        <v>0</v>
      </c>
      <c r="K581" s="163"/>
      <c r="L581" s="163"/>
      <c r="M581" s="163"/>
      <c r="N581" s="163"/>
      <c r="O581" s="163"/>
      <c r="P581" s="163"/>
      <c r="Q581" s="571"/>
      <c r="R581" s="571"/>
      <c r="S581" s="571"/>
      <c r="T581" s="571"/>
      <c r="U581" s="571"/>
      <c r="V581" s="571"/>
      <c r="W581" s="571"/>
      <c r="X581" s="571"/>
      <c r="Y581" s="571"/>
      <c r="Z581" s="571"/>
    </row>
    <row r="582" spans="1:26" ht="19.5" hidden="1">
      <c r="A582" s="601"/>
      <c r="B582" s="611"/>
      <c r="C582" s="611"/>
      <c r="D582" s="619" t="s">
        <v>246</v>
      </c>
      <c r="E582" s="619"/>
      <c r="F582" s="619"/>
      <c r="G582" s="753"/>
      <c r="H582" s="755" t="s">
        <v>46</v>
      </c>
      <c r="I582" s="184"/>
      <c r="J582" s="674">
        <f t="shared" ref="J582:J583" si="252">J584+J586</f>
        <v>0</v>
      </c>
      <c r="K582" s="410"/>
      <c r="L582" s="163"/>
      <c r="M582" s="163"/>
      <c r="N582" s="163"/>
      <c r="O582" s="163"/>
      <c r="P582" s="163"/>
      <c r="Q582" s="571"/>
      <c r="R582" s="571"/>
      <c r="S582" s="571"/>
      <c r="T582" s="571"/>
      <c r="U582" s="571"/>
      <c r="V582" s="571"/>
      <c r="W582" s="571"/>
      <c r="X582" s="571"/>
      <c r="Y582" s="571"/>
      <c r="Z582" s="571"/>
    </row>
    <row r="583" spans="1:26" ht="19.5" hidden="1">
      <c r="A583" s="601"/>
      <c r="B583" s="611"/>
      <c r="C583" s="611"/>
      <c r="D583" s="611"/>
      <c r="E583" s="619"/>
      <c r="F583" s="619"/>
      <c r="G583" s="753"/>
      <c r="H583" s="755" t="s">
        <v>34</v>
      </c>
      <c r="I583" s="184"/>
      <c r="J583" s="674">
        <f t="shared" si="252"/>
        <v>0</v>
      </c>
      <c r="K583" s="410"/>
      <c r="L583" s="163"/>
      <c r="M583" s="163"/>
      <c r="N583" s="163"/>
      <c r="O583" s="163"/>
      <c r="P583" s="163"/>
      <c r="Q583" s="571"/>
      <c r="R583" s="571"/>
      <c r="S583" s="571"/>
      <c r="T583" s="571"/>
      <c r="U583" s="571"/>
      <c r="V583" s="571"/>
      <c r="W583" s="571"/>
      <c r="X583" s="571"/>
      <c r="Y583" s="571"/>
      <c r="Z583" s="571"/>
    </row>
    <row r="584" spans="1:26" ht="18.75" hidden="1">
      <c r="A584" s="601"/>
      <c r="B584" s="611"/>
      <c r="C584" s="611"/>
      <c r="D584" s="611"/>
      <c r="E584" s="619" t="s">
        <v>247</v>
      </c>
      <c r="F584" s="619"/>
      <c r="G584" s="753"/>
      <c r="H584" s="755" t="s">
        <v>46</v>
      </c>
      <c r="I584" s="184"/>
      <c r="J584" s="214">
        <v>0</v>
      </c>
      <c r="K584" s="163"/>
      <c r="L584" s="163"/>
      <c r="M584" s="163"/>
      <c r="N584" s="163"/>
      <c r="O584" s="163"/>
      <c r="P584" s="163"/>
      <c r="Q584" s="571"/>
      <c r="R584" s="571"/>
      <c r="S584" s="571"/>
      <c r="T584" s="571"/>
      <c r="U584" s="571"/>
      <c r="V584" s="571"/>
      <c r="W584" s="571"/>
      <c r="X584" s="571"/>
      <c r="Y584" s="571"/>
      <c r="Z584" s="571"/>
    </row>
    <row r="585" spans="1:26" ht="18.75" hidden="1">
      <c r="A585" s="601"/>
      <c r="B585" s="611"/>
      <c r="C585" s="611"/>
      <c r="D585" s="611"/>
      <c r="E585" s="619"/>
      <c r="F585" s="619"/>
      <c r="G585" s="753"/>
      <c r="H585" s="755" t="s">
        <v>34</v>
      </c>
      <c r="I585" s="184"/>
      <c r="J585" s="214">
        <v>0</v>
      </c>
      <c r="K585" s="163"/>
      <c r="L585" s="163"/>
      <c r="M585" s="163"/>
      <c r="N585" s="163"/>
      <c r="O585" s="163"/>
      <c r="P585" s="163"/>
      <c r="Q585" s="571"/>
      <c r="R585" s="571"/>
      <c r="S585" s="571"/>
      <c r="T585" s="571"/>
      <c r="U585" s="571"/>
      <c r="V585" s="571"/>
      <c r="W585" s="571"/>
      <c r="X585" s="571"/>
      <c r="Y585" s="571"/>
      <c r="Z585" s="571"/>
    </row>
    <row r="586" spans="1:26" ht="18.75" hidden="1">
      <c r="A586" s="601"/>
      <c r="B586" s="611"/>
      <c r="C586" s="611"/>
      <c r="D586" s="611"/>
      <c r="E586" s="619" t="s">
        <v>248</v>
      </c>
      <c r="F586" s="619"/>
      <c r="G586" s="753"/>
      <c r="H586" s="755" t="s">
        <v>46</v>
      </c>
      <c r="I586" s="184"/>
      <c r="J586" s="214">
        <v>0</v>
      </c>
      <c r="K586" s="163"/>
      <c r="L586" s="163"/>
      <c r="M586" s="163"/>
      <c r="N586" s="163"/>
      <c r="O586" s="163"/>
      <c r="P586" s="163"/>
      <c r="Q586" s="571"/>
      <c r="R586" s="571"/>
      <c r="S586" s="571"/>
      <c r="T586" s="571"/>
      <c r="U586" s="571"/>
      <c r="V586" s="571"/>
      <c r="W586" s="571"/>
      <c r="X586" s="571"/>
      <c r="Y586" s="571"/>
      <c r="Z586" s="571"/>
    </row>
    <row r="587" spans="1:26" ht="18.75" hidden="1">
      <c r="A587" s="601"/>
      <c r="B587" s="611"/>
      <c r="C587" s="611"/>
      <c r="D587" s="611"/>
      <c r="E587" s="611"/>
      <c r="F587" s="619"/>
      <c r="G587" s="753"/>
      <c r="H587" s="755" t="s">
        <v>34</v>
      </c>
      <c r="I587" s="184"/>
      <c r="J587" s="214">
        <v>0</v>
      </c>
      <c r="K587" s="163"/>
      <c r="L587" s="163"/>
      <c r="M587" s="163"/>
      <c r="N587" s="163"/>
      <c r="O587" s="163"/>
      <c r="P587" s="163"/>
      <c r="Q587" s="571"/>
      <c r="R587" s="571"/>
      <c r="S587" s="571"/>
      <c r="T587" s="571"/>
      <c r="U587" s="571"/>
      <c r="V587" s="571"/>
      <c r="W587" s="571"/>
      <c r="X587" s="571"/>
      <c r="Y587" s="571"/>
      <c r="Z587" s="571"/>
    </row>
    <row r="588" spans="1:26" ht="18.75" hidden="1">
      <c r="A588" s="601"/>
      <c r="B588" s="611"/>
      <c r="C588" s="611"/>
      <c r="D588" s="619" t="s">
        <v>249</v>
      </c>
      <c r="E588" s="619"/>
      <c r="F588" s="619"/>
      <c r="G588" s="753"/>
      <c r="H588" s="755" t="s">
        <v>46</v>
      </c>
      <c r="I588" s="184"/>
      <c r="J588" s="214">
        <v>0</v>
      </c>
      <c r="K588" s="163"/>
      <c r="L588" s="163"/>
      <c r="M588" s="163"/>
      <c r="N588" s="163"/>
      <c r="O588" s="163"/>
      <c r="P588" s="163"/>
      <c r="Q588" s="571"/>
      <c r="R588" s="571"/>
      <c r="S588" s="571"/>
      <c r="T588" s="571"/>
      <c r="U588" s="571"/>
      <c r="V588" s="571"/>
      <c r="W588" s="571"/>
      <c r="X588" s="571"/>
      <c r="Y588" s="571"/>
      <c r="Z588" s="571"/>
    </row>
    <row r="589" spans="1:26" ht="18.75" hidden="1">
      <c r="A589" s="601"/>
      <c r="B589" s="611"/>
      <c r="C589" s="611"/>
      <c r="D589" s="611"/>
      <c r="E589" s="611"/>
      <c r="F589" s="619"/>
      <c r="G589" s="753"/>
      <c r="H589" s="755" t="s">
        <v>34</v>
      </c>
      <c r="I589" s="184"/>
      <c r="J589" s="214">
        <v>0</v>
      </c>
      <c r="K589" s="163"/>
      <c r="L589" s="163"/>
      <c r="M589" s="163"/>
      <c r="N589" s="163"/>
      <c r="O589" s="163"/>
      <c r="P589" s="163"/>
      <c r="Q589" s="571"/>
      <c r="R589" s="571"/>
      <c r="S589" s="571"/>
      <c r="T589" s="571"/>
      <c r="U589" s="571"/>
      <c r="V589" s="571"/>
      <c r="W589" s="571"/>
      <c r="X589" s="571"/>
      <c r="Y589" s="571"/>
      <c r="Z589" s="571"/>
    </row>
    <row r="590" spans="1:26" ht="18.75" hidden="1">
      <c r="A590" s="601"/>
      <c r="B590" s="611"/>
      <c r="C590" s="611"/>
      <c r="D590" s="619" t="s">
        <v>250</v>
      </c>
      <c r="E590" s="619"/>
      <c r="F590" s="619"/>
      <c r="G590" s="753"/>
      <c r="H590" s="755" t="s">
        <v>46</v>
      </c>
      <c r="I590" s="184"/>
      <c r="J590" s="214">
        <v>0</v>
      </c>
      <c r="K590" s="163"/>
      <c r="L590" s="163"/>
      <c r="M590" s="163"/>
      <c r="N590" s="163"/>
      <c r="O590" s="163"/>
      <c r="P590" s="163"/>
      <c r="Q590" s="571"/>
      <c r="R590" s="571"/>
      <c r="S590" s="571"/>
      <c r="T590" s="571"/>
      <c r="U590" s="571"/>
      <c r="V590" s="571"/>
      <c r="W590" s="571"/>
      <c r="X590" s="571"/>
      <c r="Y590" s="571"/>
      <c r="Z590" s="571"/>
    </row>
    <row r="591" spans="1:26" ht="18.75" hidden="1">
      <c r="A591" s="689"/>
      <c r="B591" s="690"/>
      <c r="C591" s="690"/>
      <c r="D591" s="690"/>
      <c r="E591" s="571"/>
      <c r="F591" s="571"/>
      <c r="G591" s="691"/>
      <c r="H591" s="692" t="s">
        <v>34</v>
      </c>
      <c r="I591" s="693"/>
      <c r="J591" s="694">
        <v>0</v>
      </c>
      <c r="K591" s="695"/>
      <c r="L591" s="695"/>
      <c r="M591" s="695"/>
      <c r="N591" s="695"/>
      <c r="O591" s="695"/>
      <c r="P591" s="695"/>
      <c r="Q591" s="571"/>
      <c r="R591" s="571"/>
      <c r="S591" s="571"/>
      <c r="T591" s="571"/>
      <c r="U591" s="571"/>
      <c r="V591" s="571"/>
      <c r="W591" s="571"/>
      <c r="X591" s="571"/>
      <c r="Y591" s="571"/>
      <c r="Z591" s="571"/>
    </row>
    <row r="592" spans="1:26" ht="19.5" hidden="1">
      <c r="A592" s="685"/>
      <c r="B592" s="686" t="s">
        <v>251</v>
      </c>
      <c r="C592" s="687"/>
      <c r="D592" s="687"/>
      <c r="E592" s="666"/>
      <c r="F592" s="666"/>
      <c r="G592" s="667"/>
      <c r="H592" s="688" t="s">
        <v>46</v>
      </c>
      <c r="I592" s="699">
        <f t="shared" ref="I592:J592" ca="1" si="253">I593</f>
        <v>0</v>
      </c>
      <c r="J592" s="699">
        <f t="shared" si="253"/>
        <v>0</v>
      </c>
      <c r="K592" s="670">
        <f t="shared" ref="K592:K594" ca="1" si="254">IF(I592&gt;0,J592*100/I592,0)</f>
        <v>0</v>
      </c>
      <c r="L592" s="671"/>
      <c r="M592" s="671"/>
      <c r="N592" s="671"/>
      <c r="O592" s="671"/>
      <c r="P592" s="671"/>
      <c r="Q592" s="571"/>
      <c r="R592" s="571"/>
      <c r="S592" s="571"/>
      <c r="T592" s="571"/>
      <c r="U592" s="571"/>
      <c r="V592" s="571"/>
      <c r="W592" s="571"/>
      <c r="X592" s="571"/>
      <c r="Y592" s="571"/>
      <c r="Z592" s="571"/>
    </row>
    <row r="593" spans="1:26" ht="19.5" hidden="1">
      <c r="A593" s="601"/>
      <c r="B593" s="611"/>
      <c r="C593" s="618" t="s">
        <v>252</v>
      </c>
      <c r="D593" s="611"/>
      <c r="E593" s="611"/>
      <c r="F593" s="619"/>
      <c r="G593" s="753"/>
      <c r="H593" s="758" t="s">
        <v>46</v>
      </c>
      <c r="I593" s="193">
        <f ca="1">IFERROR(__xludf.DUMMYFUNCTION("IMPORTRANGE(""https://docs.google.com/spreadsheets/d/1QqKyyYR6Q21VydFLVH3TRQUabQu_ym0Zz7PgGX0-kHA/edit?usp=sharing"",""แผน!HJ61"")"),0)</f>
        <v>0</v>
      </c>
      <c r="J593" s="193">
        <f t="shared" ref="J593:J594" si="255">J595+J603+J609</f>
        <v>0</v>
      </c>
      <c r="K593" s="410">
        <f t="shared" ca="1" si="254"/>
        <v>0</v>
      </c>
      <c r="L593" s="163"/>
      <c r="M593" s="163"/>
      <c r="N593" s="163"/>
      <c r="O593" s="163"/>
      <c r="P593" s="163"/>
      <c r="Q593" s="571"/>
      <c r="R593" s="571"/>
      <c r="S593" s="571"/>
      <c r="T593" s="571"/>
      <c r="U593" s="571"/>
      <c r="V593" s="571"/>
      <c r="W593" s="571"/>
      <c r="X593" s="571"/>
      <c r="Y593" s="571"/>
      <c r="Z593" s="571"/>
    </row>
    <row r="594" spans="1:26" ht="19.5" hidden="1">
      <c r="A594" s="601"/>
      <c r="B594" s="611"/>
      <c r="C594" s="611"/>
      <c r="D594" s="611"/>
      <c r="E594" s="619"/>
      <c r="F594" s="619"/>
      <c r="G594" s="753"/>
      <c r="H594" s="758" t="s">
        <v>34</v>
      </c>
      <c r="I594" s="193">
        <f ca="1">IFERROR(__xludf.DUMMYFUNCTION("IMPORTRANGE(""https://docs.google.com/spreadsheets/d/1QqKyyYR6Q21VydFLVH3TRQUabQu_ym0Zz7PgGX0-kHA/edit?usp=sharing"",""แผน!HI61"")"),0)</f>
        <v>0</v>
      </c>
      <c r="J594" s="193">
        <f t="shared" si="255"/>
        <v>0</v>
      </c>
      <c r="K594" s="410">
        <f t="shared" ca="1" si="254"/>
        <v>0</v>
      </c>
      <c r="L594" s="163"/>
      <c r="M594" s="163"/>
      <c r="N594" s="163"/>
      <c r="O594" s="163"/>
      <c r="P594" s="163"/>
      <c r="Q594" s="571"/>
      <c r="R594" s="571"/>
      <c r="S594" s="571"/>
      <c r="T594" s="571"/>
      <c r="U594" s="571"/>
      <c r="V594" s="571"/>
      <c r="W594" s="571"/>
      <c r="X594" s="571"/>
      <c r="Y594" s="571"/>
      <c r="Z594" s="571"/>
    </row>
    <row r="595" spans="1:26" ht="18.75" hidden="1">
      <c r="A595" s="601"/>
      <c r="B595" s="611"/>
      <c r="C595" s="611" t="s">
        <v>253</v>
      </c>
      <c r="D595" s="611"/>
      <c r="E595" s="611"/>
      <c r="F595" s="619"/>
      <c r="G595" s="753"/>
      <c r="H595" s="755" t="s">
        <v>46</v>
      </c>
      <c r="I595" s="184"/>
      <c r="J595" s="184">
        <f t="shared" ref="J595:J596" si="256">J597+J599</f>
        <v>0</v>
      </c>
      <c r="K595" s="163"/>
      <c r="L595" s="163"/>
      <c r="M595" s="163"/>
      <c r="N595" s="163"/>
      <c r="O595" s="163"/>
      <c r="P595" s="163"/>
      <c r="Q595" s="571"/>
      <c r="R595" s="571"/>
      <c r="S595" s="571"/>
      <c r="T595" s="571"/>
      <c r="U595" s="571"/>
      <c r="V595" s="571"/>
      <c r="W595" s="571"/>
      <c r="X595" s="571"/>
      <c r="Y595" s="571"/>
      <c r="Z595" s="571"/>
    </row>
    <row r="596" spans="1:26" ht="18.75" hidden="1">
      <c r="A596" s="601"/>
      <c r="B596" s="611"/>
      <c r="C596" s="611"/>
      <c r="D596" s="611"/>
      <c r="E596" s="619"/>
      <c r="F596" s="619"/>
      <c r="G596" s="753"/>
      <c r="H596" s="755" t="s">
        <v>34</v>
      </c>
      <c r="I596" s="184"/>
      <c r="J596" s="184">
        <f t="shared" si="256"/>
        <v>0</v>
      </c>
      <c r="K596" s="163"/>
      <c r="L596" s="163"/>
      <c r="M596" s="163"/>
      <c r="N596" s="163"/>
      <c r="O596" s="163"/>
      <c r="P596" s="163"/>
      <c r="Q596" s="571"/>
      <c r="R596" s="571"/>
      <c r="S596" s="571"/>
      <c r="T596" s="571"/>
      <c r="U596" s="571"/>
      <c r="V596" s="571"/>
      <c r="W596" s="571"/>
      <c r="X596" s="571"/>
      <c r="Y596" s="571"/>
      <c r="Z596" s="571"/>
    </row>
    <row r="597" spans="1:26" ht="18.75" hidden="1">
      <c r="A597" s="601"/>
      <c r="B597" s="611"/>
      <c r="C597" s="611"/>
      <c r="D597" s="737" t="s">
        <v>254</v>
      </c>
      <c r="E597" s="619"/>
      <c r="F597" s="619"/>
      <c r="G597" s="753"/>
      <c r="H597" s="755" t="s">
        <v>46</v>
      </c>
      <c r="I597" s="184"/>
      <c r="J597" s="214">
        <v>0</v>
      </c>
      <c r="K597" s="163"/>
      <c r="L597" s="163"/>
      <c r="M597" s="163"/>
      <c r="N597" s="163"/>
      <c r="O597" s="163"/>
      <c r="P597" s="163"/>
      <c r="Q597" s="571"/>
      <c r="R597" s="571"/>
      <c r="S597" s="571"/>
      <c r="T597" s="571"/>
      <c r="U597" s="571"/>
      <c r="V597" s="571"/>
      <c r="W597" s="571"/>
      <c r="X597" s="571"/>
      <c r="Y597" s="571"/>
      <c r="Z597" s="571"/>
    </row>
    <row r="598" spans="1:26" ht="18.75" hidden="1">
      <c r="A598" s="601"/>
      <c r="B598" s="611"/>
      <c r="C598" s="611"/>
      <c r="D598" s="611"/>
      <c r="E598" s="619"/>
      <c r="F598" s="619"/>
      <c r="G598" s="753"/>
      <c r="H598" s="755" t="s">
        <v>34</v>
      </c>
      <c r="I598" s="269"/>
      <c r="J598" s="214">
        <v>0</v>
      </c>
      <c r="K598" s="163"/>
      <c r="L598" s="163"/>
      <c r="M598" s="163"/>
      <c r="N598" s="163"/>
      <c r="O598" s="163"/>
      <c r="P598" s="163"/>
      <c r="Q598" s="571"/>
      <c r="R598" s="571"/>
      <c r="S598" s="571"/>
      <c r="T598" s="571"/>
      <c r="U598" s="571"/>
      <c r="V598" s="571"/>
      <c r="W598" s="571"/>
      <c r="X598" s="571"/>
      <c r="Y598" s="571"/>
      <c r="Z598" s="571"/>
    </row>
    <row r="599" spans="1:26" ht="18.75" hidden="1">
      <c r="A599" s="601"/>
      <c r="B599" s="611"/>
      <c r="C599" s="611"/>
      <c r="D599" s="737" t="s">
        <v>255</v>
      </c>
      <c r="E599" s="619"/>
      <c r="F599" s="619"/>
      <c r="G599" s="753"/>
      <c r="H599" s="755" t="s">
        <v>46</v>
      </c>
      <c r="I599" s="269"/>
      <c r="J599" s="214">
        <v>0</v>
      </c>
      <c r="K599" s="163"/>
      <c r="L599" s="163"/>
      <c r="M599" s="163"/>
      <c r="N599" s="163"/>
      <c r="O599" s="163"/>
      <c r="P599" s="163"/>
      <c r="Q599" s="571"/>
      <c r="R599" s="571"/>
      <c r="S599" s="571"/>
      <c r="T599" s="571"/>
      <c r="U599" s="571"/>
      <c r="V599" s="571"/>
      <c r="W599" s="571"/>
      <c r="X599" s="571"/>
      <c r="Y599" s="571"/>
      <c r="Z599" s="571"/>
    </row>
    <row r="600" spans="1:26" ht="18.75" hidden="1">
      <c r="A600" s="601"/>
      <c r="B600" s="611"/>
      <c r="C600" s="611"/>
      <c r="D600" s="611"/>
      <c r="E600" s="619"/>
      <c r="F600" s="619"/>
      <c r="G600" s="753"/>
      <c r="H600" s="755" t="s">
        <v>34</v>
      </c>
      <c r="I600" s="269"/>
      <c r="J600" s="214">
        <v>0</v>
      </c>
      <c r="K600" s="163"/>
      <c r="L600" s="163"/>
      <c r="M600" s="163"/>
      <c r="N600" s="163"/>
      <c r="O600" s="163"/>
      <c r="P600" s="163"/>
      <c r="Q600" s="571"/>
      <c r="R600" s="571"/>
      <c r="S600" s="571"/>
      <c r="T600" s="571"/>
      <c r="U600" s="571"/>
      <c r="V600" s="571"/>
      <c r="W600" s="571"/>
      <c r="X600" s="571"/>
      <c r="Y600" s="571"/>
      <c r="Z600" s="571"/>
    </row>
    <row r="601" spans="1:26" ht="18.75" hidden="1">
      <c r="A601" s="601"/>
      <c r="B601" s="611"/>
      <c r="C601" s="611"/>
      <c r="D601" s="737" t="s">
        <v>256</v>
      </c>
      <c r="E601" s="619"/>
      <c r="F601" s="619"/>
      <c r="G601" s="753"/>
      <c r="H601" s="755" t="s">
        <v>46</v>
      </c>
      <c r="I601" s="269"/>
      <c r="J601" s="214">
        <v>0</v>
      </c>
      <c r="K601" s="163"/>
      <c r="L601" s="163"/>
      <c r="M601" s="163"/>
      <c r="N601" s="163"/>
      <c r="O601" s="163"/>
      <c r="P601" s="163"/>
      <c r="Q601" s="571"/>
      <c r="R601" s="571"/>
      <c r="S601" s="571"/>
      <c r="T601" s="571"/>
      <c r="U601" s="571"/>
      <c r="V601" s="571"/>
      <c r="W601" s="571"/>
      <c r="X601" s="571"/>
      <c r="Y601" s="571"/>
      <c r="Z601" s="571"/>
    </row>
    <row r="602" spans="1:26" ht="18.75" hidden="1">
      <c r="A602" s="601"/>
      <c r="B602" s="611"/>
      <c r="C602" s="611"/>
      <c r="D602" s="611"/>
      <c r="E602" s="619"/>
      <c r="F602" s="619"/>
      <c r="G602" s="753"/>
      <c r="H602" s="755" t="s">
        <v>34</v>
      </c>
      <c r="I602" s="269"/>
      <c r="J602" s="214">
        <v>0</v>
      </c>
      <c r="K602" s="163"/>
      <c r="L602" s="163"/>
      <c r="M602" s="163"/>
      <c r="N602" s="163"/>
      <c r="O602" s="163"/>
      <c r="P602" s="163"/>
      <c r="Q602" s="571"/>
      <c r="R602" s="571"/>
      <c r="S602" s="571"/>
      <c r="T602" s="571"/>
      <c r="U602" s="571"/>
      <c r="V602" s="571"/>
      <c r="W602" s="571"/>
      <c r="X602" s="571"/>
      <c r="Y602" s="571"/>
      <c r="Z602" s="571"/>
    </row>
    <row r="603" spans="1:26" ht="18.75" hidden="1">
      <c r="A603" s="601"/>
      <c r="B603" s="611"/>
      <c r="C603" s="696" t="s">
        <v>257</v>
      </c>
      <c r="D603" s="611"/>
      <c r="E603" s="611"/>
      <c r="F603" s="619"/>
      <c r="G603" s="753"/>
      <c r="H603" s="755" t="s">
        <v>46</v>
      </c>
      <c r="I603" s="269"/>
      <c r="J603" s="269">
        <f t="shared" ref="J603:J604" si="257">J605+J607</f>
        <v>0</v>
      </c>
      <c r="K603" s="163"/>
      <c r="L603" s="163"/>
      <c r="M603" s="163"/>
      <c r="N603" s="163"/>
      <c r="O603" s="163"/>
      <c r="P603" s="163"/>
      <c r="Q603" s="571"/>
      <c r="R603" s="571"/>
      <c r="S603" s="571"/>
      <c r="T603" s="571"/>
      <c r="U603" s="571"/>
      <c r="V603" s="571"/>
      <c r="W603" s="571"/>
      <c r="X603" s="571"/>
      <c r="Y603" s="571"/>
      <c r="Z603" s="571"/>
    </row>
    <row r="604" spans="1:26" ht="18.75" hidden="1">
      <c r="A604" s="601"/>
      <c r="B604" s="611"/>
      <c r="C604" s="611"/>
      <c r="D604" s="611"/>
      <c r="E604" s="619"/>
      <c r="F604" s="619"/>
      <c r="G604" s="753"/>
      <c r="H604" s="755" t="s">
        <v>34</v>
      </c>
      <c r="I604" s="269"/>
      <c r="J604" s="269">
        <f t="shared" si="257"/>
        <v>0</v>
      </c>
      <c r="K604" s="163"/>
      <c r="L604" s="163"/>
      <c r="M604" s="163"/>
      <c r="N604" s="163"/>
      <c r="O604" s="163"/>
      <c r="P604" s="163"/>
      <c r="Q604" s="571"/>
      <c r="R604" s="571"/>
      <c r="S604" s="571"/>
      <c r="T604" s="571"/>
      <c r="U604" s="571"/>
      <c r="V604" s="571"/>
      <c r="W604" s="571"/>
      <c r="X604" s="571"/>
      <c r="Y604" s="571"/>
      <c r="Z604" s="571"/>
    </row>
    <row r="605" spans="1:26" ht="18.75" hidden="1">
      <c r="A605" s="601"/>
      <c r="B605" s="611"/>
      <c r="C605" s="611"/>
      <c r="D605" s="696" t="s">
        <v>258</v>
      </c>
      <c r="E605" s="619"/>
      <c r="F605" s="619"/>
      <c r="G605" s="753"/>
      <c r="H605" s="755" t="s">
        <v>46</v>
      </c>
      <c r="I605" s="269"/>
      <c r="J605" s="214">
        <v>0</v>
      </c>
      <c r="K605" s="163"/>
      <c r="L605" s="163"/>
      <c r="M605" s="163"/>
      <c r="N605" s="163"/>
      <c r="O605" s="163"/>
      <c r="P605" s="163"/>
      <c r="Q605" s="571"/>
      <c r="R605" s="571"/>
      <c r="S605" s="571"/>
      <c r="T605" s="571"/>
      <c r="U605" s="571"/>
      <c r="V605" s="571"/>
      <c r="W605" s="571"/>
      <c r="X605" s="571"/>
      <c r="Y605" s="571"/>
      <c r="Z605" s="571"/>
    </row>
    <row r="606" spans="1:26" ht="18.75" hidden="1">
      <c r="A606" s="601"/>
      <c r="B606" s="611"/>
      <c r="C606" s="611"/>
      <c r="D606" s="611"/>
      <c r="E606" s="611"/>
      <c r="F606" s="619"/>
      <c r="G606" s="753"/>
      <c r="H606" s="755" t="s">
        <v>34</v>
      </c>
      <c r="I606" s="269"/>
      <c r="J606" s="214">
        <v>0</v>
      </c>
      <c r="K606" s="163"/>
      <c r="L606" s="163"/>
      <c r="M606" s="163"/>
      <c r="N606" s="163"/>
      <c r="O606" s="163"/>
      <c r="P606" s="163"/>
      <c r="Q606" s="571"/>
      <c r="R606" s="571"/>
      <c r="S606" s="571"/>
      <c r="T606" s="571"/>
      <c r="U606" s="571"/>
      <c r="V606" s="571"/>
      <c r="W606" s="571"/>
      <c r="X606" s="571"/>
      <c r="Y606" s="571"/>
      <c r="Z606" s="571"/>
    </row>
    <row r="607" spans="1:26" ht="18.75" hidden="1">
      <c r="A607" s="601"/>
      <c r="B607" s="611"/>
      <c r="C607" s="611"/>
      <c r="D607" s="696" t="s">
        <v>259</v>
      </c>
      <c r="E607" s="611"/>
      <c r="F607" s="619"/>
      <c r="G607" s="753"/>
      <c r="H607" s="755" t="s">
        <v>46</v>
      </c>
      <c r="I607" s="269"/>
      <c r="J607" s="214">
        <v>0</v>
      </c>
      <c r="K607" s="163"/>
      <c r="L607" s="163"/>
      <c r="M607" s="163"/>
      <c r="N607" s="163"/>
      <c r="O607" s="163"/>
      <c r="P607" s="163"/>
      <c r="Q607" s="571"/>
      <c r="R607" s="571"/>
      <c r="S607" s="571"/>
      <c r="T607" s="571"/>
      <c r="U607" s="571"/>
      <c r="V607" s="571"/>
      <c r="W607" s="571"/>
      <c r="X607" s="571"/>
      <c r="Y607" s="571"/>
      <c r="Z607" s="571"/>
    </row>
    <row r="608" spans="1:26" ht="18.75" hidden="1">
      <c r="A608" s="601"/>
      <c r="B608" s="611"/>
      <c r="C608" s="611"/>
      <c r="D608" s="611"/>
      <c r="E608" s="619"/>
      <c r="F608" s="619"/>
      <c r="G608" s="753"/>
      <c r="H608" s="755" t="s">
        <v>34</v>
      </c>
      <c r="I608" s="269"/>
      <c r="J608" s="214">
        <v>0</v>
      </c>
      <c r="K608" s="163"/>
      <c r="L608" s="163"/>
      <c r="M608" s="163"/>
      <c r="N608" s="163"/>
      <c r="O608" s="163"/>
      <c r="P608" s="163"/>
      <c r="Q608" s="571"/>
      <c r="R608" s="571"/>
      <c r="S608" s="571"/>
      <c r="T608" s="571"/>
      <c r="U608" s="571"/>
      <c r="V608" s="571"/>
      <c r="W608" s="571"/>
      <c r="X608" s="571"/>
      <c r="Y608" s="571"/>
      <c r="Z608" s="571"/>
    </row>
    <row r="609" spans="1:26" ht="18.75" hidden="1">
      <c r="A609" s="601"/>
      <c r="B609" s="611"/>
      <c r="C609" s="611" t="s">
        <v>260</v>
      </c>
      <c r="D609" s="611"/>
      <c r="E609" s="611"/>
      <c r="F609" s="619"/>
      <c r="G609" s="753"/>
      <c r="H609" s="755" t="s">
        <v>46</v>
      </c>
      <c r="I609" s="269"/>
      <c r="J609" s="214">
        <v>0</v>
      </c>
      <c r="K609" s="163"/>
      <c r="L609" s="163"/>
      <c r="M609" s="163"/>
      <c r="N609" s="163"/>
      <c r="O609" s="163"/>
      <c r="P609" s="163"/>
      <c r="Q609" s="571"/>
      <c r="R609" s="571"/>
      <c r="S609" s="571"/>
      <c r="T609" s="571"/>
      <c r="U609" s="571"/>
      <c r="V609" s="571"/>
      <c r="W609" s="571"/>
      <c r="X609" s="571"/>
      <c r="Y609" s="571"/>
      <c r="Z609" s="571"/>
    </row>
    <row r="610" spans="1:26" ht="18.75" hidden="1">
      <c r="A610" s="601"/>
      <c r="B610" s="611"/>
      <c r="C610" s="611"/>
      <c r="D610" s="611"/>
      <c r="E610" s="619"/>
      <c r="F610" s="619"/>
      <c r="G610" s="753"/>
      <c r="H610" s="755" t="s">
        <v>34</v>
      </c>
      <c r="I610" s="269"/>
      <c r="J610" s="214">
        <v>0</v>
      </c>
      <c r="K610" s="163"/>
      <c r="L610" s="163"/>
      <c r="M610" s="163"/>
      <c r="N610" s="163"/>
      <c r="O610" s="163"/>
      <c r="P610" s="163"/>
      <c r="Q610" s="571"/>
      <c r="R610" s="571"/>
      <c r="S610" s="571"/>
      <c r="T610" s="571"/>
      <c r="U610" s="571"/>
      <c r="V610" s="571"/>
      <c r="W610" s="571"/>
      <c r="X610" s="571"/>
      <c r="Y610" s="571"/>
      <c r="Z610" s="571"/>
    </row>
    <row r="611" spans="1:26" ht="19.5" hidden="1">
      <c r="A611" s="685"/>
      <c r="B611" s="697" t="s">
        <v>261</v>
      </c>
      <c r="C611" s="687"/>
      <c r="D611" s="687"/>
      <c r="E611" s="666"/>
      <c r="F611" s="666"/>
      <c r="G611" s="667"/>
      <c r="H611" s="698" t="s">
        <v>46</v>
      </c>
      <c r="I611" s="699">
        <v>0</v>
      </c>
      <c r="J611" s="699">
        <f>J614+J616</f>
        <v>0</v>
      </c>
      <c r="K611" s="670">
        <f t="shared" ref="K611:K613" si="258">IF(I611&gt;0,J611*100/I611,0)</f>
        <v>0</v>
      </c>
      <c r="L611" s="671"/>
      <c r="M611" s="671"/>
      <c r="N611" s="671"/>
      <c r="O611" s="671"/>
      <c r="P611" s="671"/>
      <c r="Q611" s="571"/>
      <c r="R611" s="571"/>
      <c r="S611" s="571"/>
      <c r="T611" s="571"/>
      <c r="U611" s="571"/>
      <c r="V611" s="571"/>
      <c r="W611" s="571"/>
      <c r="X611" s="571"/>
      <c r="Y611" s="571"/>
      <c r="Z611" s="571"/>
    </row>
    <row r="612" spans="1:26" ht="19.5" hidden="1">
      <c r="A612" s="700"/>
      <c r="B612" s="710"/>
      <c r="C612" s="702" t="s">
        <v>262</v>
      </c>
      <c r="D612" s="710"/>
      <c r="E612" s="710"/>
      <c r="F612" s="703"/>
      <c r="G612" s="704"/>
      <c r="H612" s="705" t="s">
        <v>46</v>
      </c>
      <c r="I612" s="707">
        <v>0</v>
      </c>
      <c r="J612" s="707">
        <f t="shared" ref="J612:J613" si="259">J614+J616</f>
        <v>0</v>
      </c>
      <c r="K612" s="708">
        <f t="shared" si="258"/>
        <v>0</v>
      </c>
      <c r="L612" s="709"/>
      <c r="M612" s="709"/>
      <c r="N612" s="709"/>
      <c r="O612" s="709"/>
      <c r="P612" s="709"/>
      <c r="Q612" s="597"/>
      <c r="R612" s="597"/>
      <c r="S612" s="597"/>
      <c r="T612" s="597"/>
      <c r="U612" s="597"/>
      <c r="V612" s="597"/>
      <c r="W612" s="597"/>
      <c r="X612" s="597"/>
      <c r="Y612" s="597"/>
      <c r="Z612" s="597"/>
    </row>
    <row r="613" spans="1:26" ht="19.5" hidden="1">
      <c r="A613" s="700"/>
      <c r="B613" s="710"/>
      <c r="C613" s="710" t="s">
        <v>263</v>
      </c>
      <c r="D613" s="710"/>
      <c r="E613" s="710"/>
      <c r="F613" s="703"/>
      <c r="G613" s="704"/>
      <c r="H613" s="705" t="s">
        <v>34</v>
      </c>
      <c r="I613" s="707">
        <v>0</v>
      </c>
      <c r="J613" s="707">
        <f t="shared" si="259"/>
        <v>0</v>
      </c>
      <c r="K613" s="708">
        <f t="shared" si="258"/>
        <v>0</v>
      </c>
      <c r="L613" s="709"/>
      <c r="M613" s="709"/>
      <c r="N613" s="709"/>
      <c r="O613" s="709"/>
      <c r="P613" s="709"/>
      <c r="Q613" s="597"/>
      <c r="R613" s="597"/>
      <c r="S613" s="597"/>
      <c r="T613" s="597"/>
      <c r="U613" s="597"/>
      <c r="V613" s="597"/>
      <c r="W613" s="597"/>
      <c r="X613" s="597"/>
      <c r="Y613" s="597"/>
      <c r="Z613" s="597"/>
    </row>
    <row r="614" spans="1:26" ht="18.75" hidden="1">
      <c r="A614" s="607"/>
      <c r="B614" s="609"/>
      <c r="C614" s="609"/>
      <c r="D614" s="711" t="s">
        <v>264</v>
      </c>
      <c r="E614" s="609"/>
      <c r="F614" s="711"/>
      <c r="G614" s="365"/>
      <c r="H614" s="369" t="s">
        <v>46</v>
      </c>
      <c r="I614" s="610"/>
      <c r="J614" s="610">
        <v>0</v>
      </c>
      <c r="K614" s="167"/>
      <c r="L614" s="167"/>
      <c r="M614" s="167"/>
      <c r="N614" s="167"/>
      <c r="O614" s="167"/>
      <c r="P614" s="167"/>
      <c r="Q614" s="597"/>
      <c r="R614" s="597"/>
      <c r="S614" s="597"/>
      <c r="T614" s="597"/>
      <c r="U614" s="597"/>
      <c r="V614" s="597"/>
      <c r="W614" s="597"/>
      <c r="X614" s="597"/>
      <c r="Y614" s="597"/>
      <c r="Z614" s="597"/>
    </row>
    <row r="615" spans="1:26" ht="18.75" hidden="1">
      <c r="A615" s="607"/>
      <c r="B615" s="609"/>
      <c r="C615" s="609"/>
      <c r="D615" s="609"/>
      <c r="E615" s="609"/>
      <c r="F615" s="711"/>
      <c r="G615" s="365"/>
      <c r="H615" s="369" t="s">
        <v>34</v>
      </c>
      <c r="I615" s="610"/>
      <c r="J615" s="610">
        <v>0</v>
      </c>
      <c r="K615" s="167"/>
      <c r="L615" s="167"/>
      <c r="M615" s="167"/>
      <c r="N615" s="167"/>
      <c r="O615" s="167"/>
      <c r="P615" s="167"/>
      <c r="Q615" s="597"/>
      <c r="R615" s="597"/>
      <c r="S615" s="597"/>
      <c r="T615" s="597"/>
      <c r="U615" s="597"/>
      <c r="V615" s="597"/>
      <c r="W615" s="597"/>
      <c r="X615" s="597"/>
      <c r="Y615" s="597"/>
      <c r="Z615" s="597"/>
    </row>
    <row r="616" spans="1:26" ht="18.75" hidden="1">
      <c r="A616" s="607"/>
      <c r="B616" s="609"/>
      <c r="C616" s="609"/>
      <c r="D616" s="712" t="s">
        <v>264</v>
      </c>
      <c r="E616" s="711"/>
      <c r="F616" s="711"/>
      <c r="G616" s="365"/>
      <c r="H616" s="369" t="s">
        <v>46</v>
      </c>
      <c r="I616" s="610"/>
      <c r="J616" s="610">
        <v>0</v>
      </c>
      <c r="K616" s="167"/>
      <c r="L616" s="167"/>
      <c r="M616" s="167"/>
      <c r="N616" s="167"/>
      <c r="O616" s="167"/>
      <c r="P616" s="167"/>
      <c r="Q616" s="597"/>
      <c r="R616" s="597"/>
      <c r="S616" s="597"/>
      <c r="T616" s="597"/>
      <c r="U616" s="597"/>
      <c r="V616" s="597"/>
      <c r="W616" s="597"/>
      <c r="X616" s="597"/>
      <c r="Y616" s="597"/>
      <c r="Z616" s="597"/>
    </row>
    <row r="617" spans="1:26" ht="18.75" hidden="1">
      <c r="A617" s="607"/>
      <c r="B617" s="609"/>
      <c r="C617" s="609"/>
      <c r="D617" s="609"/>
      <c r="E617" s="711"/>
      <c r="F617" s="711"/>
      <c r="G617" s="365"/>
      <c r="H617" s="369" t="s">
        <v>34</v>
      </c>
      <c r="I617" s="610"/>
      <c r="J617" s="610">
        <v>0</v>
      </c>
      <c r="K617" s="167"/>
      <c r="L617" s="167"/>
      <c r="M617" s="167"/>
      <c r="N617" s="167"/>
      <c r="O617" s="167"/>
      <c r="P617" s="167"/>
      <c r="Q617" s="597"/>
      <c r="R617" s="597"/>
      <c r="S617" s="597"/>
      <c r="T617" s="597"/>
      <c r="U617" s="597"/>
      <c r="V617" s="597"/>
      <c r="W617" s="597"/>
      <c r="X617" s="597"/>
      <c r="Y617" s="597"/>
      <c r="Z617" s="597"/>
    </row>
    <row r="618" spans="1:26" ht="18.75" hidden="1">
      <c r="A618" s="607"/>
      <c r="B618" s="609"/>
      <c r="C618" s="609"/>
      <c r="D618" s="712" t="s">
        <v>265</v>
      </c>
      <c r="E618" s="711"/>
      <c r="F618" s="711"/>
      <c r="G618" s="365"/>
      <c r="H618" s="369" t="s">
        <v>46</v>
      </c>
      <c r="I618" s="610"/>
      <c r="J618" s="610">
        <v>0</v>
      </c>
      <c r="K618" s="167"/>
      <c r="L618" s="167"/>
      <c r="M618" s="167"/>
      <c r="N618" s="167"/>
      <c r="O618" s="167"/>
      <c r="P618" s="167"/>
      <c r="Q618" s="597"/>
      <c r="R618" s="597"/>
      <c r="S618" s="597"/>
      <c r="T618" s="597"/>
      <c r="U618" s="597"/>
      <c r="V618" s="597"/>
      <c r="W618" s="597"/>
      <c r="X618" s="597"/>
      <c r="Y618" s="597"/>
      <c r="Z618" s="597"/>
    </row>
    <row r="619" spans="1:26" ht="18.75" hidden="1">
      <c r="A619" s="607"/>
      <c r="B619" s="609"/>
      <c r="C619" s="609"/>
      <c r="D619" s="609"/>
      <c r="E619" s="711"/>
      <c r="F619" s="711"/>
      <c r="G619" s="365"/>
      <c r="H619" s="369" t="s">
        <v>34</v>
      </c>
      <c r="I619" s="610"/>
      <c r="J619" s="610">
        <v>0</v>
      </c>
      <c r="K619" s="167"/>
      <c r="L619" s="167"/>
      <c r="M619" s="167"/>
      <c r="N619" s="167"/>
      <c r="O619" s="167"/>
      <c r="P619" s="167"/>
      <c r="Q619" s="597"/>
      <c r="R619" s="597"/>
      <c r="S619" s="597"/>
      <c r="T619" s="597"/>
      <c r="U619" s="597"/>
      <c r="V619" s="597"/>
      <c r="W619" s="597"/>
      <c r="X619" s="597"/>
      <c r="Y619" s="597"/>
      <c r="Z619" s="597"/>
    </row>
    <row r="620" spans="1:26" ht="19.5" hidden="1">
      <c r="A620" s="713"/>
      <c r="B620" s="722"/>
      <c r="C620" s="715" t="s">
        <v>266</v>
      </c>
      <c r="D620" s="722"/>
      <c r="E620" s="722"/>
      <c r="F620" s="716"/>
      <c r="G620" s="717"/>
      <c r="H620" s="718" t="s">
        <v>46</v>
      </c>
      <c r="I620" s="719">
        <f ca="1">IFERROR(__xludf.DUMMYFUNCTION("IMPORTRANGE(""https://docs.google.com/spreadsheets/d/1QqKyyYR6Q21VydFLVH3TRQUabQu_ym0Zz7PgGX0-kHA/edit?usp=sharing"",""แผน!HL61"")"),0)</f>
        <v>0</v>
      </c>
      <c r="J620" s="719">
        <f t="shared" ref="J620:J621" si="260">J622+J624+J626</f>
        <v>0</v>
      </c>
      <c r="K620" s="720">
        <f t="shared" ref="K620:K621" ca="1" si="261">IF(I620&gt;0,J620*100/I620,0)</f>
        <v>0</v>
      </c>
      <c r="L620" s="721"/>
      <c r="M620" s="721"/>
      <c r="N620" s="721"/>
      <c r="O620" s="721"/>
      <c r="P620" s="721"/>
      <c r="Q620" s="571"/>
      <c r="R620" s="571"/>
      <c r="S620" s="571"/>
      <c r="T620" s="571"/>
      <c r="U620" s="571"/>
      <c r="V620" s="571"/>
      <c r="W620" s="571"/>
      <c r="X620" s="571"/>
      <c r="Y620" s="571"/>
      <c r="Z620" s="571"/>
    </row>
    <row r="621" spans="1:26" ht="19.5" hidden="1">
      <c r="A621" s="713"/>
      <c r="B621" s="722"/>
      <c r="C621" s="722" t="s">
        <v>267</v>
      </c>
      <c r="D621" s="722"/>
      <c r="E621" s="722"/>
      <c r="F621" s="716"/>
      <c r="G621" s="717"/>
      <c r="H621" s="718" t="s">
        <v>34</v>
      </c>
      <c r="I621" s="719">
        <f ca="1">IFERROR(__xludf.DUMMYFUNCTION("IMPORTRANGE(""https://docs.google.com/spreadsheets/d/1QqKyyYR6Q21VydFLVH3TRQUabQu_ym0Zz7PgGX0-kHA/edit?usp=sharing"",""แผน!HK61"")"),0)</f>
        <v>0</v>
      </c>
      <c r="J621" s="719">
        <f t="shared" si="260"/>
        <v>0</v>
      </c>
      <c r="K621" s="720">
        <f t="shared" ca="1" si="261"/>
        <v>0</v>
      </c>
      <c r="L621" s="721"/>
      <c r="M621" s="721"/>
      <c r="N621" s="721"/>
      <c r="O621" s="721"/>
      <c r="P621" s="721"/>
      <c r="Q621" s="571"/>
      <c r="R621" s="571"/>
      <c r="S621" s="571"/>
      <c r="T621" s="571"/>
      <c r="U621" s="571"/>
      <c r="V621" s="571"/>
      <c r="W621" s="571"/>
      <c r="X621" s="571"/>
      <c r="Y621" s="571"/>
      <c r="Z621" s="571"/>
    </row>
    <row r="622" spans="1:26" ht="18.75" hidden="1">
      <c r="A622" s="601"/>
      <c r="B622" s="611"/>
      <c r="C622" s="611"/>
      <c r="D622" s="737" t="s">
        <v>268</v>
      </c>
      <c r="E622" s="619"/>
      <c r="F622" s="619"/>
      <c r="G622" s="753"/>
      <c r="H622" s="755" t="s">
        <v>46</v>
      </c>
      <c r="I622" s="269"/>
      <c r="J622" s="214">
        <v>0</v>
      </c>
      <c r="K622" s="163"/>
      <c r="L622" s="163"/>
      <c r="M622" s="163"/>
      <c r="N622" s="163"/>
      <c r="O622" s="163"/>
      <c r="P622" s="163"/>
      <c r="Q622" s="571"/>
      <c r="R622" s="571"/>
      <c r="S622" s="571"/>
      <c r="T622" s="571"/>
      <c r="U622" s="571"/>
      <c r="V622" s="571"/>
      <c r="W622" s="571"/>
      <c r="X622" s="571"/>
      <c r="Y622" s="571"/>
      <c r="Z622" s="571"/>
    </row>
    <row r="623" spans="1:26" ht="18.75" hidden="1">
      <c r="A623" s="601"/>
      <c r="B623" s="611"/>
      <c r="C623" s="611"/>
      <c r="D623" s="611"/>
      <c r="E623" s="619"/>
      <c r="F623" s="619"/>
      <c r="G623" s="753"/>
      <c r="H623" s="755" t="s">
        <v>34</v>
      </c>
      <c r="I623" s="269"/>
      <c r="J623" s="214">
        <v>0</v>
      </c>
      <c r="K623" s="163"/>
      <c r="L623" s="163"/>
      <c r="M623" s="163"/>
      <c r="N623" s="163"/>
      <c r="O623" s="163"/>
      <c r="P623" s="163"/>
      <c r="Q623" s="571"/>
      <c r="R623" s="571"/>
      <c r="S623" s="571"/>
      <c r="T623" s="571"/>
      <c r="U623" s="571"/>
      <c r="V623" s="571"/>
      <c r="W623" s="571"/>
      <c r="X623" s="571"/>
      <c r="Y623" s="571"/>
      <c r="Z623" s="571"/>
    </row>
    <row r="624" spans="1:26" ht="18.75" hidden="1">
      <c r="A624" s="601"/>
      <c r="B624" s="611"/>
      <c r="C624" s="611"/>
      <c r="D624" s="737" t="s">
        <v>264</v>
      </c>
      <c r="E624" s="619"/>
      <c r="F624" s="619"/>
      <c r="G624" s="753"/>
      <c r="H624" s="755" t="s">
        <v>46</v>
      </c>
      <c r="I624" s="269"/>
      <c r="J624" s="214">
        <v>0</v>
      </c>
      <c r="K624" s="163"/>
      <c r="L624" s="163"/>
      <c r="M624" s="163"/>
      <c r="N624" s="163"/>
      <c r="O624" s="163"/>
      <c r="P624" s="163"/>
      <c r="Q624" s="571"/>
      <c r="R624" s="571"/>
      <c r="S624" s="571"/>
      <c r="T624" s="571"/>
      <c r="U624" s="571"/>
      <c r="V624" s="571"/>
      <c r="W624" s="571"/>
      <c r="X624" s="571"/>
      <c r="Y624" s="571"/>
      <c r="Z624" s="571"/>
    </row>
    <row r="625" spans="1:26" ht="18.75" hidden="1">
      <c r="A625" s="601"/>
      <c r="B625" s="611"/>
      <c r="C625" s="611"/>
      <c r="D625" s="611"/>
      <c r="E625" s="619"/>
      <c r="F625" s="619"/>
      <c r="G625" s="753"/>
      <c r="H625" s="755" t="s">
        <v>34</v>
      </c>
      <c r="I625" s="269"/>
      <c r="J625" s="214">
        <v>0</v>
      </c>
      <c r="K625" s="163"/>
      <c r="L625" s="163"/>
      <c r="M625" s="163"/>
      <c r="N625" s="163"/>
      <c r="O625" s="163"/>
      <c r="P625" s="163"/>
      <c r="Q625" s="571"/>
      <c r="R625" s="571"/>
      <c r="S625" s="571"/>
      <c r="T625" s="571"/>
      <c r="U625" s="571"/>
      <c r="V625" s="571"/>
      <c r="W625" s="571"/>
      <c r="X625" s="571"/>
      <c r="Y625" s="571"/>
      <c r="Z625" s="571"/>
    </row>
    <row r="626" spans="1:26" ht="18.75" hidden="1">
      <c r="A626" s="601"/>
      <c r="B626" s="611"/>
      <c r="C626" s="611"/>
      <c r="D626" s="737" t="s">
        <v>269</v>
      </c>
      <c r="E626" s="619"/>
      <c r="F626" s="619"/>
      <c r="G626" s="753"/>
      <c r="H626" s="755" t="s">
        <v>46</v>
      </c>
      <c r="I626" s="269"/>
      <c r="J626" s="214">
        <v>0</v>
      </c>
      <c r="K626" s="163"/>
      <c r="L626" s="163"/>
      <c r="M626" s="163"/>
      <c r="N626" s="163"/>
      <c r="O626" s="163"/>
      <c r="P626" s="163"/>
      <c r="Q626" s="571"/>
      <c r="R626" s="571"/>
      <c r="S626" s="571"/>
      <c r="T626" s="571"/>
      <c r="U626" s="571"/>
      <c r="V626" s="571"/>
      <c r="W626" s="571"/>
      <c r="X626" s="571"/>
      <c r="Y626" s="571"/>
      <c r="Z626" s="571"/>
    </row>
    <row r="627" spans="1:26" ht="18.75" hidden="1">
      <c r="A627" s="723"/>
      <c r="B627" s="724"/>
      <c r="C627" s="724"/>
      <c r="D627" s="724"/>
      <c r="E627" s="725"/>
      <c r="F627" s="725"/>
      <c r="G627" s="726"/>
      <c r="H627" s="421" t="s">
        <v>34</v>
      </c>
      <c r="I627" s="499"/>
      <c r="J627" s="423">
        <v>0</v>
      </c>
      <c r="K627" s="384"/>
      <c r="L627" s="384"/>
      <c r="M627" s="384"/>
      <c r="N627" s="384"/>
      <c r="O627" s="384"/>
      <c r="P627" s="384"/>
      <c r="Q627" s="571"/>
      <c r="R627" s="571"/>
      <c r="S627" s="571"/>
      <c r="T627" s="571"/>
      <c r="U627" s="571"/>
      <c r="V627" s="571"/>
      <c r="W627" s="571"/>
      <c r="X627" s="571"/>
      <c r="Y627" s="571"/>
      <c r="Z627" s="571"/>
    </row>
    <row r="628" spans="1:26" ht="19.5" hidden="1">
      <c r="A628" s="727">
        <v>7</v>
      </c>
      <c r="B628" s="728" t="s">
        <v>270</v>
      </c>
      <c r="C628" s="729"/>
      <c r="D628" s="729"/>
      <c r="E628" s="729"/>
      <c r="F628" s="729"/>
      <c r="G628" s="730"/>
      <c r="H628" s="731" t="s">
        <v>35</v>
      </c>
      <c r="I628" s="732">
        <f t="shared" ref="I628:J628" ca="1" si="262">I651</f>
        <v>0</v>
      </c>
      <c r="J628" s="732">
        <f t="shared" ca="1" si="262"/>
        <v>0</v>
      </c>
      <c r="K628" s="733">
        <f ca="1">IF(I628&gt;0,J628*100/I628,0)</f>
        <v>0</v>
      </c>
      <c r="L628" s="734"/>
      <c r="M628" s="734"/>
      <c r="N628" s="734"/>
      <c r="O628" s="734"/>
      <c r="P628" s="734"/>
      <c r="Q628" s="571"/>
      <c r="R628" s="571"/>
      <c r="S628" s="571"/>
      <c r="T628" s="571"/>
      <c r="U628" s="571"/>
      <c r="V628" s="571"/>
      <c r="W628" s="571"/>
      <c r="X628" s="571"/>
      <c r="Y628" s="571"/>
      <c r="Z628" s="571"/>
    </row>
    <row r="629" spans="1:26" ht="19.5" hidden="1">
      <c r="A629" s="590"/>
      <c r="B629" s="754"/>
      <c r="C629" s="754" t="s">
        <v>16</v>
      </c>
      <c r="D629" s="863" t="s">
        <v>17</v>
      </c>
      <c r="E629" s="857"/>
      <c r="F629" s="857"/>
      <c r="G629" s="189"/>
      <c r="H629" s="591" t="s">
        <v>12</v>
      </c>
      <c r="I629" s="269"/>
      <c r="J629" s="269"/>
      <c r="K629" s="496"/>
      <c r="L629" s="195">
        <f t="shared" ref="L629:N629" ca="1" si="263">L630+L631</f>
        <v>0</v>
      </c>
      <c r="M629" s="195">
        <f t="shared" si="263"/>
        <v>0</v>
      </c>
      <c r="N629" s="195">
        <f t="shared" si="263"/>
        <v>0</v>
      </c>
      <c r="O629" s="195">
        <f t="shared" ref="O629:O634" ca="1" si="264">IF(L629&gt;0,N629*100/L629,0)</f>
        <v>0</v>
      </c>
      <c r="P629" s="195">
        <f t="shared" ref="P629:P634" si="265">IF(M629&gt;0,N629*100/M629,0)</f>
        <v>0</v>
      </c>
      <c r="Q629" s="571"/>
      <c r="R629" s="571"/>
      <c r="S629" s="571"/>
      <c r="T629" s="571"/>
      <c r="U629" s="571"/>
      <c r="V629" s="571"/>
      <c r="W629" s="571"/>
      <c r="X629" s="571"/>
      <c r="Y629" s="571"/>
      <c r="Z629" s="571"/>
    </row>
    <row r="630" spans="1:26" ht="18.75" hidden="1">
      <c r="A630" s="592"/>
      <c r="B630" s="750"/>
      <c r="C630" s="750"/>
      <c r="D630" s="711"/>
      <c r="E630" s="750" t="s">
        <v>184</v>
      </c>
      <c r="F630" s="750"/>
      <c r="G630" s="596"/>
      <c r="H630" s="165" t="s">
        <v>12</v>
      </c>
      <c r="I630" s="610"/>
      <c r="J630" s="610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597"/>
      <c r="R630" s="597"/>
      <c r="S630" s="597"/>
      <c r="T630" s="597"/>
      <c r="U630" s="597"/>
      <c r="V630" s="597"/>
      <c r="W630" s="597"/>
      <c r="X630" s="597"/>
      <c r="Y630" s="597"/>
      <c r="Z630" s="597"/>
    </row>
    <row r="631" spans="1:26" ht="18.75" hidden="1">
      <c r="A631" s="592"/>
      <c r="B631" s="600"/>
      <c r="C631" s="750"/>
      <c r="D631" s="711"/>
      <c r="E631" s="750" t="s">
        <v>185</v>
      </c>
      <c r="F631" s="750"/>
      <c r="G631" s="596"/>
      <c r="H631" s="165" t="s">
        <v>12</v>
      </c>
      <c r="I631" s="610"/>
      <c r="J631" s="610"/>
      <c r="K631" s="93"/>
      <c r="L631" s="93">
        <f t="shared" ca="1" si="266"/>
        <v>0</v>
      </c>
      <c r="M631" s="93">
        <f t="shared" si="266"/>
        <v>0</v>
      </c>
      <c r="N631" s="93">
        <f t="shared" si="266"/>
        <v>0</v>
      </c>
      <c r="O631" s="93">
        <f t="shared" ca="1" si="264"/>
        <v>0</v>
      </c>
      <c r="P631" s="93">
        <f t="shared" si="265"/>
        <v>0</v>
      </c>
      <c r="Q631" s="597"/>
      <c r="R631" s="597"/>
      <c r="S631" s="597"/>
      <c r="T631" s="597"/>
      <c r="U631" s="597"/>
      <c r="V631" s="597"/>
      <c r="W631" s="597"/>
      <c r="X631" s="597"/>
      <c r="Y631" s="597"/>
      <c r="Z631" s="597"/>
    </row>
    <row r="632" spans="1:26" ht="18.75" hidden="1">
      <c r="A632" s="590"/>
      <c r="B632" s="568"/>
      <c r="C632" s="754"/>
      <c r="D632" s="599" t="s">
        <v>20</v>
      </c>
      <c r="E632" s="754"/>
      <c r="F632" s="754"/>
      <c r="G632" s="189"/>
      <c r="H632" s="161" t="s">
        <v>12</v>
      </c>
      <c r="I632" s="184"/>
      <c r="J632" s="184"/>
      <c r="K632" s="163"/>
      <c r="L632" s="496">
        <f t="shared" ref="L632:N632" ca="1" si="267">L633+L634</f>
        <v>0</v>
      </c>
      <c r="M632" s="496">
        <f t="shared" si="267"/>
        <v>0</v>
      </c>
      <c r="N632" s="496">
        <f t="shared" si="267"/>
        <v>0</v>
      </c>
      <c r="O632" s="496">
        <f t="shared" ca="1" si="264"/>
        <v>0</v>
      </c>
      <c r="P632" s="496">
        <f t="shared" si="265"/>
        <v>0</v>
      </c>
      <c r="Q632" s="571"/>
      <c r="R632" s="571"/>
      <c r="S632" s="571"/>
      <c r="T632" s="571"/>
      <c r="U632" s="571"/>
      <c r="V632" s="571"/>
      <c r="W632" s="571"/>
      <c r="X632" s="571"/>
      <c r="Y632" s="571"/>
      <c r="Z632" s="571"/>
    </row>
    <row r="633" spans="1:26" ht="18.75" hidden="1">
      <c r="A633" s="592"/>
      <c r="B633" s="600"/>
      <c r="C633" s="750"/>
      <c r="D633" s="711"/>
      <c r="E633" s="750" t="s">
        <v>184</v>
      </c>
      <c r="F633" s="750"/>
      <c r="G633" s="596"/>
      <c r="H633" s="165" t="s">
        <v>12</v>
      </c>
      <c r="I633" s="610"/>
      <c r="J633" s="610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597"/>
      <c r="R633" s="597"/>
      <c r="S633" s="597"/>
      <c r="T633" s="597"/>
      <c r="U633" s="597"/>
      <c r="V633" s="597"/>
      <c r="W633" s="597"/>
      <c r="X633" s="597"/>
      <c r="Y633" s="597"/>
      <c r="Z633" s="597"/>
    </row>
    <row r="634" spans="1:26" ht="18.75" hidden="1">
      <c r="A634" s="592"/>
      <c r="B634" s="600"/>
      <c r="C634" s="750"/>
      <c r="D634" s="711"/>
      <c r="E634" s="750" t="s">
        <v>185</v>
      </c>
      <c r="F634" s="750"/>
      <c r="G634" s="596"/>
      <c r="H634" s="165" t="s">
        <v>12</v>
      </c>
      <c r="I634" s="610"/>
      <c r="J634" s="610"/>
      <c r="K634" s="93"/>
      <c r="L634" s="93">
        <f ca="1">IFERROR(__xludf.DUMMYFUNCTION("IMPORTRANGE(""https://docs.google.com/spreadsheets/d/1QqKyyYR6Q21VydFLVH3TRQUabQu_ym0Zz7PgGX0-kHA/edit?usp=sharing"",""แผน!HN61"")"),0)</f>
        <v>0</v>
      </c>
      <c r="M634" s="93">
        <v>0</v>
      </c>
      <c r="N634" s="93">
        <f>N635+N636+N637+N638</f>
        <v>0</v>
      </c>
      <c r="O634" s="93">
        <f t="shared" ca="1" si="264"/>
        <v>0</v>
      </c>
      <c r="P634" s="93">
        <f t="shared" si="265"/>
        <v>0</v>
      </c>
      <c r="Q634" s="597"/>
      <c r="R634" s="597"/>
      <c r="S634" s="597"/>
      <c r="T634" s="597"/>
      <c r="U634" s="597"/>
      <c r="V634" s="597"/>
      <c r="W634" s="597"/>
      <c r="X634" s="597"/>
      <c r="Y634" s="597"/>
      <c r="Z634" s="597"/>
    </row>
    <row r="635" spans="1:26" ht="18.75" hidden="1">
      <c r="A635" s="567"/>
      <c r="B635" s="568"/>
      <c r="C635" s="754"/>
      <c r="D635" s="754"/>
      <c r="E635" s="754"/>
      <c r="F635" s="754" t="s">
        <v>186</v>
      </c>
      <c r="G635" s="189"/>
      <c r="H635" s="161" t="s">
        <v>12</v>
      </c>
      <c r="I635" s="269"/>
      <c r="J635" s="269"/>
      <c r="K635" s="496"/>
      <c r="L635" s="496"/>
      <c r="M635" s="496"/>
      <c r="N635" s="817">
        <v>0</v>
      </c>
      <c r="O635" s="496"/>
      <c r="P635" s="496"/>
      <c r="Q635" s="571"/>
      <c r="R635" s="571"/>
      <c r="S635" s="571"/>
      <c r="T635" s="571"/>
      <c r="U635" s="571"/>
      <c r="V635" s="571"/>
      <c r="W635" s="571"/>
      <c r="X635" s="571"/>
      <c r="Y635" s="571"/>
      <c r="Z635" s="571"/>
    </row>
    <row r="636" spans="1:26" ht="18.75" hidden="1">
      <c r="A636" s="567"/>
      <c r="B636" s="568"/>
      <c r="C636" s="754"/>
      <c r="D636" s="754"/>
      <c r="E636" s="754"/>
      <c r="F636" s="754" t="s">
        <v>187</v>
      </c>
      <c r="G636" s="189"/>
      <c r="H636" s="161" t="s">
        <v>12</v>
      </c>
      <c r="I636" s="269"/>
      <c r="J636" s="269"/>
      <c r="K636" s="496"/>
      <c r="L636" s="496"/>
      <c r="M636" s="496"/>
      <c r="N636" s="817">
        <v>0</v>
      </c>
      <c r="O636" s="496"/>
      <c r="P636" s="496"/>
      <c r="Q636" s="571"/>
      <c r="R636" s="571"/>
      <c r="S636" s="571"/>
      <c r="T636" s="571"/>
      <c r="U636" s="571"/>
      <c r="V636" s="571"/>
      <c r="W636" s="571"/>
      <c r="X636" s="571"/>
      <c r="Y636" s="571"/>
      <c r="Z636" s="571"/>
    </row>
    <row r="637" spans="1:26" ht="18.75" hidden="1">
      <c r="A637" s="567"/>
      <c r="B637" s="568"/>
      <c r="C637" s="754"/>
      <c r="D637" s="754"/>
      <c r="E637" s="754"/>
      <c r="F637" s="754" t="s">
        <v>188</v>
      </c>
      <c r="G637" s="189"/>
      <c r="H637" s="161" t="s">
        <v>12</v>
      </c>
      <c r="I637" s="269"/>
      <c r="J637" s="269"/>
      <c r="K637" s="496"/>
      <c r="L637" s="496"/>
      <c r="M637" s="496"/>
      <c r="N637" s="817">
        <v>0</v>
      </c>
      <c r="O637" s="496"/>
      <c r="P637" s="496"/>
      <c r="Q637" s="571"/>
      <c r="R637" s="571"/>
      <c r="S637" s="571"/>
      <c r="T637" s="571"/>
      <c r="U637" s="571"/>
      <c r="V637" s="571"/>
      <c r="W637" s="571"/>
      <c r="X637" s="571"/>
      <c r="Y637" s="571"/>
      <c r="Z637" s="571"/>
    </row>
    <row r="638" spans="1:26" ht="18.75" hidden="1">
      <c r="A638" s="567"/>
      <c r="B638" s="568"/>
      <c r="C638" s="754"/>
      <c r="D638" s="754"/>
      <c r="E638" s="754"/>
      <c r="F638" s="754" t="s">
        <v>189</v>
      </c>
      <c r="G638" s="189"/>
      <c r="H638" s="161" t="s">
        <v>12</v>
      </c>
      <c r="I638" s="269"/>
      <c r="J638" s="269"/>
      <c r="K638" s="496"/>
      <c r="L638" s="496"/>
      <c r="M638" s="496"/>
      <c r="N638" s="817">
        <v>0</v>
      </c>
      <c r="O638" s="496"/>
      <c r="P638" s="496"/>
      <c r="Q638" s="571"/>
      <c r="R638" s="571"/>
      <c r="S638" s="571"/>
      <c r="T638" s="571"/>
      <c r="U638" s="571"/>
      <c r="V638" s="571"/>
      <c r="W638" s="571"/>
      <c r="X638" s="571"/>
      <c r="Y638" s="571"/>
      <c r="Z638" s="571"/>
    </row>
    <row r="639" spans="1:26" ht="18.75" hidden="1">
      <c r="A639" s="590"/>
      <c r="B639" s="568"/>
      <c r="C639" s="754"/>
      <c r="D639" s="599" t="s">
        <v>21</v>
      </c>
      <c r="E639" s="754"/>
      <c r="F639" s="754"/>
      <c r="G639" s="189"/>
      <c r="H639" s="168" t="s">
        <v>12</v>
      </c>
      <c r="I639" s="184"/>
      <c r="J639" s="184"/>
      <c r="K639" s="163"/>
      <c r="L639" s="496">
        <f t="shared" ref="L639:N639" ca="1" si="268">L640+L641</f>
        <v>0</v>
      </c>
      <c r="M639" s="496">
        <f t="shared" si="268"/>
        <v>0</v>
      </c>
      <c r="N639" s="496">
        <f t="shared" si="268"/>
        <v>0</v>
      </c>
      <c r="O639" s="496">
        <f t="shared" ref="O639:O641" ca="1" si="269">IF(L639&gt;0,N639*100/L639,0)</f>
        <v>0</v>
      </c>
      <c r="P639" s="496">
        <f t="shared" ref="P639:P641" si="270">IF(M639&gt;0,N639*100/M639,0)</f>
        <v>0</v>
      </c>
      <c r="Q639" s="571"/>
      <c r="R639" s="571"/>
      <c r="S639" s="571"/>
      <c r="T639" s="571"/>
      <c r="U639" s="571"/>
      <c r="V639" s="571"/>
      <c r="W639" s="571"/>
      <c r="X639" s="571"/>
      <c r="Y639" s="571"/>
      <c r="Z639" s="571"/>
    </row>
    <row r="640" spans="1:26" ht="18.75" hidden="1">
      <c r="A640" s="592"/>
      <c r="B640" s="600"/>
      <c r="C640" s="750"/>
      <c r="D640" s="750"/>
      <c r="E640" s="750" t="s">
        <v>18</v>
      </c>
      <c r="F640" s="750"/>
      <c r="G640" s="596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597"/>
      <c r="R640" s="597"/>
      <c r="S640" s="597"/>
      <c r="T640" s="597"/>
      <c r="U640" s="597"/>
      <c r="V640" s="597"/>
      <c r="W640" s="597"/>
      <c r="X640" s="597"/>
      <c r="Y640" s="597"/>
      <c r="Z640" s="597"/>
    </row>
    <row r="641" spans="1:26" ht="18.75" hidden="1">
      <c r="A641" s="592"/>
      <c r="B641" s="600"/>
      <c r="C641" s="750"/>
      <c r="D641" s="750"/>
      <c r="E641" s="750" t="s">
        <v>19</v>
      </c>
      <c r="F641" s="750"/>
      <c r="G641" s="596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IFERROR(__xludf.DUMMYFUNCTION("IMPORTRANGE(""https://docs.google.com/spreadsheets/d/1QqKyyYR6Q21VydFLVH3TRQUabQu_ym0Zz7PgGX0-kHA/edit?usp=sharing"",""แผน!HQ61"")"),0)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597"/>
      <c r="R641" s="597"/>
      <c r="S641" s="597"/>
      <c r="T641" s="597"/>
      <c r="U641" s="597"/>
      <c r="V641" s="597"/>
      <c r="W641" s="597"/>
      <c r="X641" s="597"/>
      <c r="Y641" s="597"/>
      <c r="Z641" s="597"/>
    </row>
    <row r="642" spans="1:26" ht="19.5" hidden="1">
      <c r="A642" s="601"/>
      <c r="B642" s="611"/>
      <c r="C642" s="754" t="s">
        <v>16</v>
      </c>
      <c r="D642" s="839" t="s">
        <v>38</v>
      </c>
      <c r="E642" s="752"/>
      <c r="F642" s="752"/>
      <c r="G642" s="606"/>
      <c r="H642" s="753"/>
      <c r="I642" s="184"/>
      <c r="J642" s="184"/>
      <c r="K642" s="163"/>
      <c r="L642" s="163"/>
      <c r="M642" s="163"/>
      <c r="N642" s="163"/>
      <c r="O642" s="163"/>
      <c r="P642" s="163"/>
      <c r="Q642" s="571"/>
      <c r="R642" s="571"/>
      <c r="S642" s="571"/>
      <c r="T642" s="571"/>
      <c r="U642" s="571"/>
      <c r="V642" s="571"/>
      <c r="W642" s="571"/>
      <c r="X642" s="571"/>
      <c r="Y642" s="571"/>
      <c r="Z642" s="571"/>
    </row>
    <row r="643" spans="1:26" ht="18.75" hidden="1">
      <c r="A643" s="735"/>
      <c r="B643" s="568"/>
      <c r="C643" s="754"/>
      <c r="D643" s="619"/>
      <c r="E643" s="737" t="s">
        <v>271</v>
      </c>
      <c r="F643" s="619"/>
      <c r="G643" s="753"/>
      <c r="H643" s="755" t="s">
        <v>272</v>
      </c>
      <c r="I643" s="269">
        <f ca="1">IFERROR(__xludf.DUMMYFUNCTION("IMPORTRANGE(""https://docs.google.com/spreadsheets/d/1QqKyyYR6Q21VydFLVH3TRQUabQu_ym0Zz7PgGX0-kHA/edit?usp=sharing"",""แผน!HR61"")"),0)</f>
        <v>0</v>
      </c>
      <c r="J643" s="214">
        <v>0</v>
      </c>
      <c r="K643" s="163">
        <f t="shared" ref="K643:K652" ca="1" si="271">IF(I643&gt;0,J643*100/I643,0)</f>
        <v>0</v>
      </c>
      <c r="L643" s="163"/>
      <c r="M643" s="163"/>
      <c r="N643" s="496"/>
      <c r="O643" s="163"/>
      <c r="P643" s="163"/>
      <c r="Q643" s="571"/>
      <c r="R643" s="571"/>
      <c r="S643" s="571"/>
      <c r="T643" s="571"/>
      <c r="U643" s="571"/>
      <c r="V643" s="571"/>
      <c r="W643" s="571"/>
      <c r="X643" s="571"/>
      <c r="Y643" s="571"/>
      <c r="Z643" s="571"/>
    </row>
    <row r="644" spans="1:26" ht="18.75" hidden="1">
      <c r="A644" s="735"/>
      <c r="B644" s="568"/>
      <c r="C644" s="754"/>
      <c r="D644" s="619"/>
      <c r="E644" s="737" t="s">
        <v>273</v>
      </c>
      <c r="F644" s="619"/>
      <c r="G644" s="753"/>
      <c r="H644" s="755" t="s">
        <v>274</v>
      </c>
      <c r="I644" s="269">
        <f ca="1">IFERROR(__xludf.DUMMYFUNCTION("IMPORTRANGE(""https://docs.google.com/spreadsheets/d/1QqKyyYR6Q21VydFLVH3TRQUabQu_ym0Zz7PgGX0-kHA/edit?usp=sharing"",""แผน!HR61"")"),0)</f>
        <v>0</v>
      </c>
      <c r="J644" s="214">
        <v>0</v>
      </c>
      <c r="K644" s="163">
        <f t="shared" ca="1" si="271"/>
        <v>0</v>
      </c>
      <c r="L644" s="163"/>
      <c r="M644" s="163"/>
      <c r="N644" s="496"/>
      <c r="O644" s="163"/>
      <c r="P644" s="163"/>
      <c r="Q644" s="571"/>
      <c r="R644" s="571"/>
      <c r="S644" s="571"/>
      <c r="T644" s="571"/>
      <c r="U644" s="571"/>
      <c r="V644" s="571"/>
      <c r="W644" s="571"/>
      <c r="X644" s="571"/>
      <c r="Y644" s="571"/>
      <c r="Z644" s="571"/>
    </row>
    <row r="645" spans="1:26" ht="18.75" hidden="1">
      <c r="A645" s="735"/>
      <c r="B645" s="568"/>
      <c r="C645" s="754"/>
      <c r="D645" s="619"/>
      <c r="E645" s="737" t="s">
        <v>275</v>
      </c>
      <c r="F645" s="619"/>
      <c r="G645" s="753"/>
      <c r="H645" s="755" t="s">
        <v>34</v>
      </c>
      <c r="I645" s="269">
        <v>0</v>
      </c>
      <c r="J645" s="269">
        <f ca="1">IFERROR(__xludf.DUMMYFUNCTION("IMPORTRANGE(""https://docs.google.com/spreadsheets/d/1XWAQStnk-4SwqDmLtmXYiTMKHgktTP8We1SCoS47DrQ/edit?usp=sharing"",""จัดที่ดิน!AS61"")"),0)</f>
        <v>0</v>
      </c>
      <c r="K645" s="163">
        <f t="shared" si="271"/>
        <v>0</v>
      </c>
      <c r="L645" s="163"/>
      <c r="M645" s="163"/>
      <c r="N645" s="496"/>
      <c r="O645" s="163"/>
      <c r="P645" s="163"/>
      <c r="Q645" s="571"/>
      <c r="R645" s="571"/>
      <c r="S645" s="571"/>
      <c r="T645" s="571"/>
      <c r="U645" s="571"/>
      <c r="V645" s="571"/>
      <c r="W645" s="571"/>
      <c r="X645" s="571"/>
      <c r="Y645" s="571"/>
      <c r="Z645" s="571"/>
    </row>
    <row r="646" spans="1:26" ht="18.75" hidden="1">
      <c r="A646" s="735"/>
      <c r="B646" s="568"/>
      <c r="C646" s="754"/>
      <c r="D646" s="619"/>
      <c r="E646" s="619"/>
      <c r="F646" s="619"/>
      <c r="G646" s="753"/>
      <c r="H646" s="755" t="s">
        <v>46</v>
      </c>
      <c r="I646" s="269">
        <v>0</v>
      </c>
      <c r="J646" s="269">
        <f ca="1">IFERROR(__xludf.DUMMYFUNCTION("IMPORTRANGE(""https://docs.google.com/spreadsheets/d/1XWAQStnk-4SwqDmLtmXYiTMKHgktTP8We1SCoS47DrQ/edit?usp=sharing"",""จัดที่ดิน!AT61"")"),0)</f>
        <v>0</v>
      </c>
      <c r="K646" s="496">
        <f t="shared" si="271"/>
        <v>0</v>
      </c>
      <c r="L646" s="163"/>
      <c r="M646" s="163"/>
      <c r="N646" s="496"/>
      <c r="O646" s="163"/>
      <c r="P646" s="163"/>
      <c r="Q646" s="571"/>
      <c r="R646" s="571"/>
      <c r="S646" s="571"/>
      <c r="T646" s="571"/>
      <c r="U646" s="571"/>
      <c r="V646" s="571"/>
      <c r="W646" s="571"/>
      <c r="X646" s="571"/>
      <c r="Y646" s="571"/>
      <c r="Z646" s="571"/>
    </row>
    <row r="647" spans="1:26" ht="18.75" hidden="1">
      <c r="A647" s="735"/>
      <c r="B647" s="568"/>
      <c r="C647" s="754"/>
      <c r="D647" s="619"/>
      <c r="E647" s="737" t="s">
        <v>162</v>
      </c>
      <c r="F647" s="619"/>
      <c r="G647" s="753"/>
      <c r="H647" s="755" t="s">
        <v>35</v>
      </c>
      <c r="I647" s="269">
        <f ca="1">IFERROR(__xludf.DUMMYFUNCTION("IMPORTRANGE(""https://docs.google.com/spreadsheets/d/1QqKyyYR6Q21VydFLVH3TRQUabQu_ym0Zz7PgGX0-kHA/edit?usp=sharing"",""แผน!HS61"")"),0)</f>
        <v>0</v>
      </c>
      <c r="J647" s="269">
        <f ca="1">IFERROR(__xludf.DUMMYFUNCTION("IMPORTRANGE(""https://docs.google.com/spreadsheets/d/1XWAQStnk-4SwqDmLtmXYiTMKHgktTP8We1SCoS47DrQ/edit?usp=sharing"",""จัดที่ดิน!AU61"")"),0)</f>
        <v>0</v>
      </c>
      <c r="K647" s="163">
        <f t="shared" ca="1" si="271"/>
        <v>0</v>
      </c>
      <c r="L647" s="163"/>
      <c r="M647" s="163"/>
      <c r="N647" s="163"/>
      <c r="O647" s="163"/>
      <c r="P647" s="163"/>
      <c r="Q647" s="571"/>
      <c r="R647" s="571"/>
      <c r="S647" s="571"/>
      <c r="T647" s="571"/>
      <c r="U647" s="571"/>
      <c r="V647" s="571"/>
      <c r="W647" s="571"/>
      <c r="X647" s="571"/>
      <c r="Y647" s="571"/>
      <c r="Z647" s="571"/>
    </row>
    <row r="648" spans="1:26" ht="18.75" hidden="1">
      <c r="A648" s="735"/>
      <c r="B648" s="568"/>
      <c r="C648" s="754"/>
      <c r="D648" s="619"/>
      <c r="E648" s="619"/>
      <c r="F648" s="619"/>
      <c r="G648" s="753"/>
      <c r="H648" s="755" t="s">
        <v>46</v>
      </c>
      <c r="I648" s="269">
        <v>0</v>
      </c>
      <c r="J648" s="269">
        <f ca="1">IFERROR(__xludf.DUMMYFUNCTION("IMPORTRANGE(""https://docs.google.com/spreadsheets/d/1XWAQStnk-4SwqDmLtmXYiTMKHgktTP8We1SCoS47DrQ/edit?usp=sharing"",""จัดที่ดิน!AV61"")"),0)</f>
        <v>0</v>
      </c>
      <c r="K648" s="496">
        <f t="shared" si="271"/>
        <v>0</v>
      </c>
      <c r="L648" s="163"/>
      <c r="M648" s="163"/>
      <c r="N648" s="163"/>
      <c r="O648" s="163"/>
      <c r="P648" s="163"/>
      <c r="Q648" s="571"/>
      <c r="R648" s="571"/>
      <c r="S648" s="571"/>
      <c r="T648" s="571"/>
      <c r="U648" s="571"/>
      <c r="V648" s="571"/>
      <c r="W648" s="571"/>
      <c r="X648" s="571"/>
      <c r="Y648" s="571"/>
      <c r="Z648" s="571"/>
    </row>
    <row r="649" spans="1:26" ht="18.75" hidden="1">
      <c r="A649" s="735"/>
      <c r="B649" s="568"/>
      <c r="C649" s="754"/>
      <c r="D649" s="619"/>
      <c r="E649" s="737" t="s">
        <v>276</v>
      </c>
      <c r="F649" s="619"/>
      <c r="G649" s="753"/>
      <c r="H649" s="755" t="s">
        <v>35</v>
      </c>
      <c r="I649" s="269">
        <f ca="1">IFERROR(__xludf.DUMMYFUNCTION("IMPORTRANGE(""https://docs.google.com/spreadsheets/d/1QqKyyYR6Q21VydFLVH3TRQUabQu_ym0Zz7PgGX0-kHA/edit?usp=sharing"",""แผน!HS61"")"),0)</f>
        <v>0</v>
      </c>
      <c r="J649" s="269">
        <f ca="1">IFERROR(__xludf.DUMMYFUNCTION("IMPORTRANGE(""https://docs.google.com/spreadsheets/d/1XWAQStnk-4SwqDmLtmXYiTMKHgktTP8We1SCoS47DrQ/edit?usp=sharing"",""จัดที่ดิน!AW61"")"),0)</f>
        <v>0</v>
      </c>
      <c r="K649" s="163">
        <f t="shared" ca="1" si="271"/>
        <v>0</v>
      </c>
      <c r="L649" s="163"/>
      <c r="M649" s="163"/>
      <c r="N649" s="163"/>
      <c r="O649" s="163"/>
      <c r="P649" s="163"/>
      <c r="Q649" s="571"/>
      <c r="R649" s="571"/>
      <c r="S649" s="571"/>
      <c r="T649" s="571"/>
      <c r="U649" s="571"/>
      <c r="V649" s="571"/>
      <c r="W649" s="571"/>
      <c r="X649" s="571"/>
      <c r="Y649" s="571"/>
      <c r="Z649" s="571"/>
    </row>
    <row r="650" spans="1:26" ht="18.75" hidden="1">
      <c r="A650" s="735"/>
      <c r="B650" s="568"/>
      <c r="C650" s="754"/>
      <c r="D650" s="619"/>
      <c r="E650" s="619"/>
      <c r="F650" s="619"/>
      <c r="G650" s="753"/>
      <c r="H650" s="755" t="s">
        <v>46</v>
      </c>
      <c r="I650" s="269">
        <v>0</v>
      </c>
      <c r="J650" s="269">
        <f ca="1">IFERROR(__xludf.DUMMYFUNCTION("IMPORTRANGE(""https://docs.google.com/spreadsheets/d/1XWAQStnk-4SwqDmLtmXYiTMKHgktTP8We1SCoS47DrQ/edit?usp=sharing"",""จัดที่ดิน!AX61"")"),0)</f>
        <v>0</v>
      </c>
      <c r="K650" s="496">
        <f t="shared" si="271"/>
        <v>0</v>
      </c>
      <c r="L650" s="163"/>
      <c r="M650" s="163"/>
      <c r="N650" s="163"/>
      <c r="O650" s="163"/>
      <c r="P650" s="163"/>
      <c r="Q650" s="571"/>
      <c r="R650" s="571"/>
      <c r="S650" s="571"/>
      <c r="T650" s="571"/>
      <c r="U650" s="571"/>
      <c r="V650" s="571"/>
      <c r="W650" s="571"/>
      <c r="X650" s="571"/>
      <c r="Y650" s="571"/>
      <c r="Z650" s="571"/>
    </row>
    <row r="651" spans="1:26" ht="18.75" hidden="1">
      <c r="A651" s="735"/>
      <c r="B651" s="568"/>
      <c r="C651" s="754"/>
      <c r="D651" s="619"/>
      <c r="E651" s="737" t="s">
        <v>277</v>
      </c>
      <c r="F651" s="619"/>
      <c r="G651" s="753"/>
      <c r="H651" s="755" t="s">
        <v>35</v>
      </c>
      <c r="I651" s="269">
        <f ca="1">IFERROR(__xludf.DUMMYFUNCTION("IMPORTRANGE(""https://docs.google.com/spreadsheets/d/1QqKyyYR6Q21VydFLVH3TRQUabQu_ym0Zz7PgGX0-kHA/edit?usp=sharing"",""แผน!HS61"")"),0)</f>
        <v>0</v>
      </c>
      <c r="J651" s="269">
        <f ca="1">IFERROR(__xludf.DUMMYFUNCTION("IMPORTRANGE(""https://docs.google.com/spreadsheets/d/1XWAQStnk-4SwqDmLtmXYiTMKHgktTP8We1SCoS47DrQ/edit?usp=sharing"",""จัดที่ดิน!AY61"")"),0)</f>
        <v>0</v>
      </c>
      <c r="K651" s="163">
        <f t="shared" ca="1" si="271"/>
        <v>0</v>
      </c>
      <c r="L651" s="163"/>
      <c r="M651" s="163"/>
      <c r="N651" s="163"/>
      <c r="O651" s="163"/>
      <c r="P651" s="163"/>
      <c r="Q651" s="571"/>
      <c r="R651" s="571"/>
      <c r="S651" s="571"/>
      <c r="T651" s="571"/>
      <c r="U651" s="571"/>
      <c r="V651" s="571"/>
      <c r="W651" s="571"/>
      <c r="X651" s="571"/>
      <c r="Y651" s="571"/>
      <c r="Z651" s="571"/>
    </row>
    <row r="652" spans="1:26" ht="18.75" hidden="1">
      <c r="A652" s="738"/>
      <c r="B652" s="739"/>
      <c r="C652" s="740"/>
      <c r="D652" s="725"/>
      <c r="E652" s="725"/>
      <c r="F652" s="725"/>
      <c r="G652" s="726"/>
      <c r="H652" s="498" t="s">
        <v>46</v>
      </c>
      <c r="I652" s="499">
        <v>0</v>
      </c>
      <c r="J652" s="499">
        <f ca="1">IFERROR(__xludf.DUMMYFUNCTION("IMPORTRANGE(""https://docs.google.com/spreadsheets/d/1XWAQStnk-4SwqDmLtmXYiTMKHgktTP8We1SCoS47DrQ/edit?usp=sharing"",""จัดที่ดิน!AZ61"")"),0)</f>
        <v>0</v>
      </c>
      <c r="K652" s="500">
        <f t="shared" si="271"/>
        <v>0</v>
      </c>
      <c r="L652" s="384"/>
      <c r="M652" s="384"/>
      <c r="N652" s="384"/>
      <c r="O652" s="384"/>
      <c r="P652" s="384"/>
      <c r="Q652" s="571"/>
      <c r="R652" s="571"/>
      <c r="S652" s="571"/>
      <c r="T652" s="571"/>
      <c r="U652" s="571"/>
      <c r="V652" s="571"/>
      <c r="W652" s="571"/>
      <c r="X652" s="571"/>
      <c r="Y652" s="571"/>
      <c r="Z652" s="571"/>
    </row>
    <row r="653" spans="1:26" ht="19.5">
      <c r="A653" s="741">
        <v>8</v>
      </c>
      <c r="B653" s="728" t="s">
        <v>278</v>
      </c>
      <c r="C653" s="729"/>
      <c r="D653" s="729"/>
      <c r="E653" s="729"/>
      <c r="F653" s="729"/>
      <c r="G653" s="730"/>
      <c r="H653" s="730"/>
      <c r="I653" s="742"/>
      <c r="J653" s="742"/>
      <c r="K653" s="734"/>
      <c r="L653" s="734"/>
      <c r="M653" s="734"/>
      <c r="N653" s="734"/>
      <c r="O653" s="734"/>
      <c r="P653" s="734"/>
      <c r="Q653" s="571"/>
      <c r="R653" s="571"/>
      <c r="S653" s="571"/>
      <c r="T653" s="571"/>
      <c r="U653" s="571"/>
      <c r="V653" s="571"/>
      <c r="W653" s="571"/>
      <c r="X653" s="571"/>
      <c r="Y653" s="571"/>
      <c r="Z653" s="571"/>
    </row>
    <row r="654" spans="1:26" ht="19.5" hidden="1">
      <c r="A654" s="666"/>
      <c r="B654" s="665" t="s">
        <v>279</v>
      </c>
      <c r="C654" s="666"/>
      <c r="D654" s="666"/>
      <c r="E654" s="666"/>
      <c r="F654" s="666"/>
      <c r="G654" s="667"/>
      <c r="H654" s="698" t="s">
        <v>46</v>
      </c>
      <c r="I654" s="699">
        <f t="shared" ref="I654:J654" ca="1" si="272">I669</f>
        <v>0</v>
      </c>
      <c r="J654" s="699">
        <f t="shared" si="272"/>
        <v>0</v>
      </c>
      <c r="K654" s="670">
        <f ca="1">IF(I654&gt;0,J654*100/I654,0)</f>
        <v>0</v>
      </c>
      <c r="L654" s="671"/>
      <c r="M654" s="671"/>
      <c r="N654" s="671"/>
      <c r="O654" s="671"/>
      <c r="P654" s="671"/>
      <c r="Q654" s="571"/>
      <c r="R654" s="571"/>
      <c r="S654" s="571"/>
      <c r="T654" s="571"/>
      <c r="U654" s="571"/>
      <c r="V654" s="571"/>
      <c r="W654" s="571"/>
      <c r="X654" s="571"/>
      <c r="Y654" s="571"/>
      <c r="Z654" s="571"/>
    </row>
    <row r="655" spans="1:26" ht="19.5" hidden="1">
      <c r="A655" s="590"/>
      <c r="B655" s="754"/>
      <c r="C655" s="754" t="s">
        <v>16</v>
      </c>
      <c r="D655" s="863" t="s">
        <v>17</v>
      </c>
      <c r="E655" s="857"/>
      <c r="F655" s="857"/>
      <c r="G655" s="189"/>
      <c r="H655" s="591" t="s">
        <v>12</v>
      </c>
      <c r="I655" s="269"/>
      <c r="J655" s="269"/>
      <c r="K655" s="496"/>
      <c r="L655" s="195">
        <f t="shared" ref="L655:N655" ca="1" si="273">L656+L657</f>
        <v>0</v>
      </c>
      <c r="M655" s="195">
        <f t="shared" si="273"/>
        <v>0</v>
      </c>
      <c r="N655" s="195">
        <f t="shared" si="273"/>
        <v>0</v>
      </c>
      <c r="O655" s="195">
        <f t="shared" ref="O655:O660" ca="1" si="274">IF(L655&gt;0,N655*100/L655,0)</f>
        <v>0</v>
      </c>
      <c r="P655" s="195">
        <f t="shared" ref="P655:P660" si="275">IF(M655&gt;0,N655*100/M655,0)</f>
        <v>0</v>
      </c>
      <c r="Q655" s="571"/>
      <c r="R655" s="571"/>
      <c r="S655" s="571"/>
      <c r="T655" s="571"/>
      <c r="U655" s="571"/>
      <c r="V655" s="571"/>
      <c r="W655" s="571"/>
      <c r="X655" s="571"/>
      <c r="Y655" s="571"/>
      <c r="Z655" s="571"/>
    </row>
    <row r="656" spans="1:26" ht="18.75" hidden="1">
      <c r="A656" s="592"/>
      <c r="B656" s="750"/>
      <c r="C656" s="750"/>
      <c r="D656" s="711"/>
      <c r="E656" s="750" t="s">
        <v>184</v>
      </c>
      <c r="F656" s="750"/>
      <c r="G656" s="596"/>
      <c r="H656" s="165" t="s">
        <v>12</v>
      </c>
      <c r="I656" s="610"/>
      <c r="J656" s="610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597"/>
      <c r="R656" s="597"/>
      <c r="S656" s="597"/>
      <c r="T656" s="597"/>
      <c r="U656" s="597"/>
      <c r="V656" s="597"/>
      <c r="W656" s="597"/>
      <c r="X656" s="597"/>
      <c r="Y656" s="597"/>
      <c r="Z656" s="597"/>
    </row>
    <row r="657" spans="1:26" ht="18.75" hidden="1">
      <c r="A657" s="592"/>
      <c r="B657" s="600"/>
      <c r="C657" s="750"/>
      <c r="D657" s="711"/>
      <c r="E657" s="750" t="s">
        <v>185</v>
      </c>
      <c r="F657" s="750"/>
      <c r="G657" s="596"/>
      <c r="H657" s="165" t="s">
        <v>12</v>
      </c>
      <c r="I657" s="610"/>
      <c r="J657" s="610"/>
      <c r="K657" s="93"/>
      <c r="L657" s="93">
        <f t="shared" ca="1" si="276"/>
        <v>0</v>
      </c>
      <c r="M657" s="93">
        <f t="shared" si="276"/>
        <v>0</v>
      </c>
      <c r="N657" s="93">
        <f t="shared" si="276"/>
        <v>0</v>
      </c>
      <c r="O657" s="93">
        <f t="shared" ca="1" si="274"/>
        <v>0</v>
      </c>
      <c r="P657" s="93">
        <f t="shared" si="275"/>
        <v>0</v>
      </c>
      <c r="Q657" s="597"/>
      <c r="R657" s="597"/>
      <c r="S657" s="597"/>
      <c r="T657" s="597"/>
      <c r="U657" s="597"/>
      <c r="V657" s="597"/>
      <c r="W657" s="597"/>
      <c r="X657" s="597"/>
      <c r="Y657" s="597"/>
      <c r="Z657" s="597"/>
    </row>
    <row r="658" spans="1:26" ht="18.75" hidden="1">
      <c r="A658" s="590"/>
      <c r="B658" s="568"/>
      <c r="C658" s="754"/>
      <c r="D658" s="599" t="s">
        <v>20</v>
      </c>
      <c r="E658" s="754"/>
      <c r="F658" s="754"/>
      <c r="G658" s="189"/>
      <c r="H658" s="161" t="s">
        <v>12</v>
      </c>
      <c r="I658" s="184"/>
      <c r="J658" s="184"/>
      <c r="K658" s="163"/>
      <c r="L658" s="496">
        <f t="shared" ref="L658:N658" ca="1" si="277">L659+L660</f>
        <v>0</v>
      </c>
      <c r="M658" s="496">
        <f t="shared" si="277"/>
        <v>0</v>
      </c>
      <c r="N658" s="496">
        <f t="shared" si="277"/>
        <v>0</v>
      </c>
      <c r="O658" s="496">
        <f t="shared" ca="1" si="274"/>
        <v>0</v>
      </c>
      <c r="P658" s="496">
        <f t="shared" si="275"/>
        <v>0</v>
      </c>
      <c r="Q658" s="571"/>
      <c r="R658" s="571"/>
      <c r="S658" s="571"/>
      <c r="T658" s="571"/>
      <c r="U658" s="571"/>
      <c r="V658" s="571"/>
      <c r="W658" s="571"/>
      <c r="X658" s="571"/>
      <c r="Y658" s="571"/>
      <c r="Z658" s="571"/>
    </row>
    <row r="659" spans="1:26" ht="18.75" hidden="1">
      <c r="A659" s="592"/>
      <c r="B659" s="600"/>
      <c r="C659" s="750"/>
      <c r="D659" s="711"/>
      <c r="E659" s="750" t="s">
        <v>184</v>
      </c>
      <c r="F659" s="750"/>
      <c r="G659" s="596"/>
      <c r="H659" s="165" t="s">
        <v>12</v>
      </c>
      <c r="I659" s="610"/>
      <c r="J659" s="610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597"/>
      <c r="R659" s="597"/>
      <c r="S659" s="597"/>
      <c r="T659" s="597"/>
      <c r="U659" s="597"/>
      <c r="V659" s="597"/>
      <c r="W659" s="597"/>
      <c r="X659" s="597"/>
      <c r="Y659" s="597"/>
      <c r="Z659" s="597"/>
    </row>
    <row r="660" spans="1:26" ht="18.75" hidden="1">
      <c r="A660" s="592"/>
      <c r="B660" s="600"/>
      <c r="C660" s="750"/>
      <c r="D660" s="711"/>
      <c r="E660" s="750" t="s">
        <v>185</v>
      </c>
      <c r="F660" s="750"/>
      <c r="G660" s="596"/>
      <c r="H660" s="165" t="s">
        <v>12</v>
      </c>
      <c r="I660" s="610"/>
      <c r="J660" s="610"/>
      <c r="K660" s="93"/>
      <c r="L660" s="93">
        <f ca="1">IFERROR(__xludf.DUMMYFUNCTION("IMPORTRANGE(""https://docs.google.com/spreadsheets/d/1QqKyyYR6Q21VydFLVH3TRQUabQu_ym0Zz7PgGX0-kHA/edit?usp=sharing"",""แผน!HV61"")"),0)</f>
        <v>0</v>
      </c>
      <c r="M660" s="93">
        <v>0</v>
      </c>
      <c r="N660" s="93">
        <f>N661+N662+N663+N664</f>
        <v>0</v>
      </c>
      <c r="O660" s="93">
        <f t="shared" ca="1" si="274"/>
        <v>0</v>
      </c>
      <c r="P660" s="93">
        <f t="shared" si="275"/>
        <v>0</v>
      </c>
      <c r="Q660" s="597"/>
      <c r="R660" s="597"/>
      <c r="S660" s="597"/>
      <c r="T660" s="597"/>
      <c r="U660" s="597"/>
      <c r="V660" s="597"/>
      <c r="W660" s="597"/>
      <c r="X660" s="597"/>
      <c r="Y660" s="597"/>
      <c r="Z660" s="597"/>
    </row>
    <row r="661" spans="1:26" ht="18.75" hidden="1">
      <c r="A661" s="567"/>
      <c r="B661" s="568"/>
      <c r="C661" s="754"/>
      <c r="D661" s="754"/>
      <c r="E661" s="754"/>
      <c r="F661" s="754" t="s">
        <v>186</v>
      </c>
      <c r="G661" s="189"/>
      <c r="H661" s="161" t="s">
        <v>12</v>
      </c>
      <c r="I661" s="269"/>
      <c r="J661" s="269"/>
      <c r="K661" s="496"/>
      <c r="L661" s="496"/>
      <c r="M661" s="496"/>
      <c r="N661" s="817">
        <v>0</v>
      </c>
      <c r="O661" s="496"/>
      <c r="P661" s="496"/>
      <c r="Q661" s="571"/>
      <c r="R661" s="571"/>
      <c r="S661" s="571"/>
      <c r="T661" s="571"/>
      <c r="U661" s="571"/>
      <c r="V661" s="571"/>
      <c r="W661" s="571"/>
      <c r="X661" s="571"/>
      <c r="Y661" s="571"/>
      <c r="Z661" s="571"/>
    </row>
    <row r="662" spans="1:26" ht="18.75" hidden="1">
      <c r="A662" s="567"/>
      <c r="B662" s="568"/>
      <c r="C662" s="754"/>
      <c r="D662" s="754"/>
      <c r="E662" s="754"/>
      <c r="F662" s="754" t="s">
        <v>187</v>
      </c>
      <c r="G662" s="189"/>
      <c r="H662" s="161" t="s">
        <v>12</v>
      </c>
      <c r="I662" s="269"/>
      <c r="J662" s="269"/>
      <c r="K662" s="496"/>
      <c r="L662" s="496"/>
      <c r="M662" s="496"/>
      <c r="N662" s="817">
        <v>0</v>
      </c>
      <c r="O662" s="496"/>
      <c r="P662" s="496"/>
      <c r="Q662" s="571"/>
      <c r="R662" s="571"/>
      <c r="S662" s="571"/>
      <c r="T662" s="571"/>
      <c r="U662" s="571"/>
      <c r="V662" s="571"/>
      <c r="W662" s="571"/>
      <c r="X662" s="571"/>
      <c r="Y662" s="571"/>
      <c r="Z662" s="571"/>
    </row>
    <row r="663" spans="1:26" ht="18.75" hidden="1">
      <c r="A663" s="567"/>
      <c r="B663" s="568"/>
      <c r="C663" s="568"/>
      <c r="D663" s="754"/>
      <c r="E663" s="754"/>
      <c r="F663" s="754" t="s">
        <v>188</v>
      </c>
      <c r="G663" s="189"/>
      <c r="H663" s="161" t="s">
        <v>12</v>
      </c>
      <c r="I663" s="269"/>
      <c r="J663" s="269"/>
      <c r="K663" s="496"/>
      <c r="L663" s="496"/>
      <c r="M663" s="496"/>
      <c r="N663" s="817">
        <v>0</v>
      </c>
      <c r="O663" s="496"/>
      <c r="P663" s="496"/>
      <c r="Q663" s="571"/>
      <c r="R663" s="571"/>
      <c r="S663" s="571"/>
      <c r="T663" s="571"/>
      <c r="U663" s="571"/>
      <c r="V663" s="571"/>
      <c r="W663" s="571"/>
      <c r="X663" s="571"/>
      <c r="Y663" s="571"/>
      <c r="Z663" s="571"/>
    </row>
    <row r="664" spans="1:26" ht="18.75" hidden="1">
      <c r="A664" s="567"/>
      <c r="B664" s="568"/>
      <c r="C664" s="568"/>
      <c r="D664" s="568"/>
      <c r="E664" s="754"/>
      <c r="F664" s="754" t="s">
        <v>189</v>
      </c>
      <c r="G664" s="189"/>
      <c r="H664" s="161" t="s">
        <v>12</v>
      </c>
      <c r="I664" s="269"/>
      <c r="J664" s="269"/>
      <c r="K664" s="496"/>
      <c r="L664" s="496"/>
      <c r="M664" s="496"/>
      <c r="N664" s="817">
        <v>0</v>
      </c>
      <c r="O664" s="496"/>
      <c r="P664" s="496"/>
      <c r="Q664" s="571"/>
      <c r="R664" s="571"/>
      <c r="S664" s="571"/>
      <c r="T664" s="571"/>
      <c r="U664" s="571"/>
      <c r="V664" s="571"/>
      <c r="W664" s="571"/>
      <c r="X664" s="571"/>
      <c r="Y664" s="571"/>
      <c r="Z664" s="571"/>
    </row>
    <row r="665" spans="1:26" ht="18.75" hidden="1">
      <c r="A665" s="590"/>
      <c r="B665" s="568"/>
      <c r="C665" s="568"/>
      <c r="D665" s="599" t="s">
        <v>21</v>
      </c>
      <c r="E665" s="754"/>
      <c r="F665" s="754"/>
      <c r="G665" s="189"/>
      <c r="H665" s="168" t="s">
        <v>12</v>
      </c>
      <c r="I665" s="184"/>
      <c r="J665" s="184"/>
      <c r="K665" s="163"/>
      <c r="L665" s="496">
        <f t="shared" ref="L665:N665" si="278">L666+L667</f>
        <v>0</v>
      </c>
      <c r="M665" s="496">
        <f t="shared" si="278"/>
        <v>0</v>
      </c>
      <c r="N665" s="496">
        <f t="shared" si="278"/>
        <v>0</v>
      </c>
      <c r="O665" s="496">
        <f t="shared" ref="O665:O667" si="279">IF(L665&gt;0,N665*100/L665,0)</f>
        <v>0</v>
      </c>
      <c r="P665" s="496">
        <f t="shared" ref="P665:P667" si="280">IF(M665&gt;0,N665*100/M665,0)</f>
        <v>0</v>
      </c>
      <c r="Q665" s="571"/>
      <c r="R665" s="571"/>
      <c r="S665" s="571"/>
      <c r="T665" s="571"/>
      <c r="U665" s="571"/>
      <c r="V665" s="571"/>
      <c r="W665" s="571"/>
      <c r="X665" s="571"/>
      <c r="Y665" s="571"/>
      <c r="Z665" s="571"/>
    </row>
    <row r="666" spans="1:26" ht="18.75" hidden="1">
      <c r="A666" s="592"/>
      <c r="B666" s="600"/>
      <c r="C666" s="600"/>
      <c r="D666" s="600"/>
      <c r="E666" s="750" t="s">
        <v>18</v>
      </c>
      <c r="F666" s="750"/>
      <c r="G666" s="596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597"/>
      <c r="R666" s="597"/>
      <c r="S666" s="597"/>
      <c r="T666" s="597"/>
      <c r="U666" s="597"/>
      <c r="V666" s="597"/>
      <c r="W666" s="597"/>
      <c r="X666" s="597"/>
      <c r="Y666" s="597"/>
      <c r="Z666" s="597"/>
    </row>
    <row r="667" spans="1:26" ht="18.75" hidden="1">
      <c r="A667" s="592"/>
      <c r="B667" s="600"/>
      <c r="C667" s="600"/>
      <c r="D667" s="600"/>
      <c r="E667" s="750" t="s">
        <v>19</v>
      </c>
      <c r="F667" s="750"/>
      <c r="G667" s="596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597"/>
      <c r="R667" s="597"/>
      <c r="S667" s="597"/>
      <c r="T667" s="597"/>
      <c r="U667" s="597"/>
      <c r="V667" s="597"/>
      <c r="W667" s="597"/>
      <c r="X667" s="597"/>
      <c r="Y667" s="597"/>
      <c r="Z667" s="597"/>
    </row>
    <row r="668" spans="1:26" ht="19.5" hidden="1">
      <c r="A668" s="601"/>
      <c r="B668" s="611"/>
      <c r="C668" s="568" t="s">
        <v>16</v>
      </c>
      <c r="D668" s="836" t="s">
        <v>38</v>
      </c>
      <c r="E668" s="752"/>
      <c r="F668" s="752"/>
      <c r="G668" s="606"/>
      <c r="H668" s="753"/>
      <c r="I668" s="184"/>
      <c r="J668" s="184"/>
      <c r="K668" s="163"/>
      <c r="L668" s="163"/>
      <c r="M668" s="163"/>
      <c r="N668" s="163"/>
      <c r="O668" s="163"/>
      <c r="P668" s="163"/>
      <c r="Q668" s="571"/>
      <c r="R668" s="571"/>
      <c r="S668" s="571"/>
      <c r="T668" s="571"/>
      <c r="U668" s="571"/>
      <c r="V668" s="571"/>
      <c r="W668" s="571"/>
      <c r="X668" s="571"/>
      <c r="Y668" s="571"/>
      <c r="Z668" s="571"/>
    </row>
    <row r="669" spans="1:26" ht="19.5" hidden="1">
      <c r="A669" s="601"/>
      <c r="B669" s="611"/>
      <c r="C669" s="611"/>
      <c r="D669" s="611" t="s">
        <v>280</v>
      </c>
      <c r="E669" s="619"/>
      <c r="F669" s="619"/>
      <c r="G669" s="753"/>
      <c r="H669" s="758" t="s">
        <v>46</v>
      </c>
      <c r="I669" s="674">
        <f ca="1">IFERROR(__xludf.DUMMYFUNCTION("IMPORTRANGE(""https://docs.google.com/spreadsheets/d/1QqKyyYR6Q21VydFLVH3TRQUabQu_ym0Zz7PgGX0-kHA/edit?usp=sharing"",""แผน!IA61"")"),0)</f>
        <v>0</v>
      </c>
      <c r="J669" s="674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1"/>
      <c r="R669" s="571"/>
      <c r="S669" s="571"/>
      <c r="T669" s="571"/>
      <c r="U669" s="571"/>
      <c r="V669" s="571"/>
      <c r="W669" s="571"/>
      <c r="X669" s="571"/>
      <c r="Y669" s="571"/>
      <c r="Z669" s="571"/>
    </row>
    <row r="670" spans="1:26" ht="18.75" hidden="1">
      <c r="A670" s="601"/>
      <c r="B670" s="611"/>
      <c r="C670" s="611"/>
      <c r="D670" s="611"/>
      <c r="E670" s="619" t="s">
        <v>281</v>
      </c>
      <c r="F670" s="619"/>
      <c r="G670" s="753"/>
      <c r="H670" s="755" t="s">
        <v>69</v>
      </c>
      <c r="I670" s="269">
        <f ca="1">IFERROR(__xludf.DUMMYFUNCTION("IMPORTRANGE(""https://docs.google.com/spreadsheets/d/1QqKyyYR6Q21VydFLVH3TRQUabQu_ym0Zz7PgGX0-kHA/edit?usp=sharing"",""แผน!HZ61"")"),0)</f>
        <v>0</v>
      </c>
      <c r="J670" s="214">
        <v>0</v>
      </c>
      <c r="K670" s="496">
        <f ca="1">IF(I670&gt;0,(J670*100)/I670,0)</f>
        <v>0</v>
      </c>
      <c r="L670" s="163"/>
      <c r="M670" s="163"/>
      <c r="N670" s="163"/>
      <c r="O670" s="163"/>
      <c r="P670" s="163"/>
      <c r="Q670" s="571"/>
      <c r="R670" s="571"/>
      <c r="S670" s="571"/>
      <c r="T670" s="571"/>
      <c r="U670" s="571"/>
      <c r="V670" s="571"/>
      <c r="W670" s="571"/>
      <c r="X670" s="571"/>
      <c r="Y670" s="571"/>
      <c r="Z670" s="571"/>
    </row>
    <row r="671" spans="1:26" ht="18.75" hidden="1">
      <c r="A671" s="601"/>
      <c r="B671" s="611"/>
      <c r="C671" s="611"/>
      <c r="D671" s="611"/>
      <c r="E671" s="619" t="s">
        <v>282</v>
      </c>
      <c r="F671" s="619"/>
      <c r="G671" s="753"/>
      <c r="H671" s="755" t="s">
        <v>69</v>
      </c>
      <c r="I671" s="269">
        <f ca="1">IFERROR(__xludf.DUMMYFUNCTION("IMPORTRANGE(""https://docs.google.com/spreadsheets/d/1QqKyyYR6Q21VydFLVH3TRQUabQu_ym0Zz7PgGX0-kHA/edit?usp=sharing"",""แผน!HZ61"")"),0)</f>
        <v>0</v>
      </c>
      <c r="J671" s="214">
        <v>0</v>
      </c>
      <c r="K671" s="496">
        <f ca="1">IF(I$671&gt;0,J671*100/I$671,0)</f>
        <v>0</v>
      </c>
      <c r="L671" s="163"/>
      <c r="M671" s="163"/>
      <c r="N671" s="163"/>
      <c r="O671" s="163"/>
      <c r="P671" s="163"/>
      <c r="Q671" s="571"/>
      <c r="R671" s="571"/>
      <c r="S671" s="571"/>
      <c r="T671" s="571"/>
      <c r="U671" s="571"/>
      <c r="V671" s="571"/>
      <c r="W671" s="571"/>
      <c r="X671" s="571"/>
      <c r="Y671" s="571"/>
      <c r="Z671" s="571"/>
    </row>
    <row r="672" spans="1:26" ht="18.75" hidden="1">
      <c r="A672" s="601"/>
      <c r="B672" s="611"/>
      <c r="C672" s="611"/>
      <c r="D672" s="611"/>
      <c r="E672" s="619" t="s">
        <v>283</v>
      </c>
      <c r="F672" s="619"/>
      <c r="G672" s="753"/>
      <c r="H672" s="755" t="s">
        <v>46</v>
      </c>
      <c r="I672" s="269"/>
      <c r="J672" s="214">
        <v>0</v>
      </c>
      <c r="K672" s="496">
        <f t="shared" ref="K672:K675" ca="1" si="281">IF(I$669&gt;0,J672*100/I$669,0)</f>
        <v>0</v>
      </c>
      <c r="L672" s="163"/>
      <c r="M672" s="163"/>
      <c r="N672" s="163"/>
      <c r="O672" s="163"/>
      <c r="P672" s="163"/>
      <c r="Q672" s="571"/>
      <c r="R672" s="571"/>
      <c r="S672" s="571"/>
      <c r="T672" s="571"/>
      <c r="U672" s="571"/>
      <c r="V672" s="571"/>
      <c r="W672" s="571"/>
      <c r="X672" s="571"/>
      <c r="Y672" s="571"/>
      <c r="Z672" s="571"/>
    </row>
    <row r="673" spans="1:26" ht="18.75" hidden="1">
      <c r="A673" s="601"/>
      <c r="B673" s="611"/>
      <c r="C673" s="611"/>
      <c r="D673" s="611"/>
      <c r="E673" s="619" t="s">
        <v>284</v>
      </c>
      <c r="F673" s="619"/>
      <c r="G673" s="753"/>
      <c r="H673" s="755" t="s">
        <v>46</v>
      </c>
      <c r="I673" s="269"/>
      <c r="J673" s="214">
        <v>0</v>
      </c>
      <c r="K673" s="496">
        <f t="shared" ca="1" si="281"/>
        <v>0</v>
      </c>
      <c r="L673" s="163"/>
      <c r="M673" s="163"/>
      <c r="N673" s="163"/>
      <c r="O673" s="163"/>
      <c r="P673" s="163"/>
      <c r="Q673" s="571"/>
      <c r="R673" s="571"/>
      <c r="S673" s="571"/>
      <c r="T673" s="571"/>
      <c r="U673" s="571"/>
      <c r="V673" s="571"/>
      <c r="W673" s="571"/>
      <c r="X673" s="571"/>
      <c r="Y673" s="571"/>
      <c r="Z673" s="571"/>
    </row>
    <row r="674" spans="1:26" ht="18.75" hidden="1">
      <c r="A674" s="601"/>
      <c r="B674" s="611"/>
      <c r="C674" s="611"/>
      <c r="D674" s="611"/>
      <c r="E674" s="619" t="s">
        <v>285</v>
      </c>
      <c r="F674" s="619"/>
      <c r="G674" s="753"/>
      <c r="H674" s="755" t="s">
        <v>46</v>
      </c>
      <c r="I674" s="269"/>
      <c r="J674" s="214">
        <v>0</v>
      </c>
      <c r="K674" s="496">
        <f t="shared" ca="1" si="281"/>
        <v>0</v>
      </c>
      <c r="L674" s="163"/>
      <c r="M674" s="163"/>
      <c r="N674" s="163"/>
      <c r="O674" s="163"/>
      <c r="P674" s="163"/>
      <c r="Q674" s="571"/>
      <c r="R674" s="571"/>
      <c r="S674" s="571"/>
      <c r="T674" s="571"/>
      <c r="U674" s="571"/>
      <c r="V674" s="571"/>
      <c r="W674" s="571"/>
      <c r="X674" s="571"/>
      <c r="Y674" s="571"/>
      <c r="Z674" s="571"/>
    </row>
    <row r="675" spans="1:26" ht="19.5" hidden="1">
      <c r="A675" s="601"/>
      <c r="B675" s="611"/>
      <c r="C675" s="611"/>
      <c r="D675" s="611"/>
      <c r="E675" s="619" t="s">
        <v>286</v>
      </c>
      <c r="F675" s="619"/>
      <c r="G675" s="753"/>
      <c r="H675" s="755" t="s">
        <v>46</v>
      </c>
      <c r="I675" s="269"/>
      <c r="J675" s="674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71"/>
      <c r="R675" s="571"/>
      <c r="S675" s="571"/>
      <c r="T675" s="571"/>
      <c r="U675" s="571"/>
      <c r="V675" s="571"/>
      <c r="W675" s="571"/>
      <c r="X675" s="571"/>
      <c r="Y675" s="571"/>
      <c r="Z675" s="571"/>
    </row>
    <row r="676" spans="1:26" ht="18.75" hidden="1">
      <c r="A676" s="601"/>
      <c r="B676" s="611"/>
      <c r="C676" s="611"/>
      <c r="D676" s="611"/>
      <c r="E676" s="619"/>
      <c r="F676" s="619" t="s">
        <v>287</v>
      </c>
      <c r="G676" s="753"/>
      <c r="H676" s="755" t="s">
        <v>46</v>
      </c>
      <c r="I676" s="269"/>
      <c r="J676" s="214">
        <v>0</v>
      </c>
      <c r="K676" s="496"/>
      <c r="L676" s="163"/>
      <c r="M676" s="163"/>
      <c r="N676" s="163"/>
      <c r="O676" s="163"/>
      <c r="P676" s="163"/>
      <c r="Q676" s="571"/>
      <c r="R676" s="571"/>
      <c r="S676" s="571"/>
      <c r="T676" s="571"/>
      <c r="U676" s="571"/>
      <c r="V676" s="571"/>
      <c r="W676" s="571"/>
      <c r="X676" s="571"/>
      <c r="Y676" s="571"/>
      <c r="Z676" s="571"/>
    </row>
    <row r="677" spans="1:26" ht="18.75" hidden="1">
      <c r="A677" s="601"/>
      <c r="B677" s="611"/>
      <c r="C677" s="611"/>
      <c r="D677" s="611"/>
      <c r="E677" s="619"/>
      <c r="F677" s="619" t="s">
        <v>288</v>
      </c>
      <c r="G677" s="753"/>
      <c r="H677" s="755" t="s">
        <v>46</v>
      </c>
      <c r="I677" s="269"/>
      <c r="J677" s="214">
        <v>0</v>
      </c>
      <c r="K677" s="496"/>
      <c r="L677" s="163"/>
      <c r="M677" s="163"/>
      <c r="N677" s="163"/>
      <c r="O677" s="163"/>
      <c r="P677" s="163"/>
      <c r="Q677" s="571"/>
      <c r="R677" s="571"/>
      <c r="S677" s="571"/>
      <c r="T677" s="571"/>
      <c r="U677" s="571"/>
      <c r="V677" s="571"/>
      <c r="W677" s="571"/>
      <c r="X677" s="571"/>
      <c r="Y677" s="571"/>
      <c r="Z677" s="571"/>
    </row>
    <row r="678" spans="1:26" ht="19.5" hidden="1">
      <c r="A678" s="601"/>
      <c r="B678" s="611"/>
      <c r="C678" s="611"/>
      <c r="D678" s="611" t="s">
        <v>289</v>
      </c>
      <c r="E678" s="619"/>
      <c r="F678" s="619"/>
      <c r="G678" s="753"/>
      <c r="H678" s="755" t="s">
        <v>46</v>
      </c>
      <c r="I678" s="674">
        <f ca="1">IFERROR(__xludf.DUMMYFUNCTION("IMPORTRANGE(""https://docs.google.com/spreadsheets/d/1QqKyyYR6Q21VydFLVH3TRQUabQu_ym0Zz7PgGX0-kHA/edit?usp=sharing"",""แผน!IB61"")"),0)</f>
        <v>0</v>
      </c>
      <c r="J678" s="674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1"/>
      <c r="R678" s="571"/>
      <c r="S678" s="571"/>
      <c r="T678" s="571"/>
      <c r="U678" s="571"/>
      <c r="V678" s="571"/>
      <c r="W678" s="571"/>
      <c r="X678" s="571"/>
      <c r="Y678" s="571"/>
      <c r="Z678" s="571"/>
    </row>
    <row r="679" spans="1:26" ht="18.75" hidden="1">
      <c r="A679" s="601"/>
      <c r="B679" s="611"/>
      <c r="C679" s="611"/>
      <c r="D679" s="611"/>
      <c r="E679" s="619" t="s">
        <v>290</v>
      </c>
      <c r="F679" s="619"/>
      <c r="G679" s="753"/>
      <c r="H679" s="755" t="s">
        <v>46</v>
      </c>
      <c r="I679" s="269"/>
      <c r="J679" s="269">
        <f>J680+J681</f>
        <v>0</v>
      </c>
      <c r="K679" s="496"/>
      <c r="L679" s="163"/>
      <c r="M679" s="163"/>
      <c r="N679" s="163"/>
      <c r="O679" s="163"/>
      <c r="P679" s="163"/>
      <c r="Q679" s="571"/>
      <c r="R679" s="571"/>
      <c r="S679" s="571"/>
      <c r="T679" s="571"/>
      <c r="U679" s="571"/>
      <c r="V679" s="571"/>
      <c r="W679" s="571"/>
      <c r="X679" s="571"/>
      <c r="Y679" s="571"/>
      <c r="Z679" s="571"/>
    </row>
    <row r="680" spans="1:26" ht="18.75" hidden="1">
      <c r="A680" s="601"/>
      <c r="B680" s="611"/>
      <c r="C680" s="611"/>
      <c r="D680" s="611"/>
      <c r="E680" s="619"/>
      <c r="F680" s="619" t="s">
        <v>287</v>
      </c>
      <c r="G680" s="753"/>
      <c r="H680" s="755" t="s">
        <v>46</v>
      </c>
      <c r="I680" s="269"/>
      <c r="J680" s="214">
        <v>0</v>
      </c>
      <c r="K680" s="496"/>
      <c r="L680" s="163"/>
      <c r="M680" s="163"/>
      <c r="N680" s="163"/>
      <c r="O680" s="163"/>
      <c r="P680" s="163"/>
      <c r="Q680" s="571"/>
      <c r="R680" s="571"/>
      <c r="S680" s="571"/>
      <c r="T680" s="571"/>
      <c r="U680" s="571"/>
      <c r="V680" s="571"/>
      <c r="W680" s="571"/>
      <c r="X680" s="571"/>
      <c r="Y680" s="571"/>
      <c r="Z680" s="571"/>
    </row>
    <row r="681" spans="1:26" ht="18.75" hidden="1">
      <c r="A681" s="601"/>
      <c r="B681" s="611"/>
      <c r="C681" s="611"/>
      <c r="D681" s="611"/>
      <c r="E681" s="619"/>
      <c r="F681" s="619" t="s">
        <v>288</v>
      </c>
      <c r="G681" s="753"/>
      <c r="H681" s="755" t="s">
        <v>46</v>
      </c>
      <c r="I681" s="269"/>
      <c r="J681" s="214">
        <v>0</v>
      </c>
      <c r="K681" s="496"/>
      <c r="L681" s="163"/>
      <c r="M681" s="163"/>
      <c r="N681" s="163"/>
      <c r="O681" s="163"/>
      <c r="P681" s="163"/>
      <c r="Q681" s="571"/>
      <c r="R681" s="571"/>
      <c r="S681" s="571"/>
      <c r="T681" s="571"/>
      <c r="U681" s="571"/>
      <c r="V681" s="571"/>
      <c r="W681" s="571"/>
      <c r="X681" s="571"/>
      <c r="Y681" s="571"/>
      <c r="Z681" s="571"/>
    </row>
    <row r="682" spans="1:26" ht="18.75" hidden="1">
      <c r="A682" s="601"/>
      <c r="B682" s="611"/>
      <c r="C682" s="611"/>
      <c r="D682" s="611"/>
      <c r="E682" s="619" t="s">
        <v>291</v>
      </c>
      <c r="F682" s="619"/>
      <c r="G682" s="753"/>
      <c r="H682" s="755" t="s">
        <v>46</v>
      </c>
      <c r="I682" s="269"/>
      <c r="J682" s="214">
        <v>0</v>
      </c>
      <c r="K682" s="496"/>
      <c r="L682" s="163"/>
      <c r="M682" s="163"/>
      <c r="N682" s="163"/>
      <c r="O682" s="163"/>
      <c r="P682" s="163"/>
      <c r="Q682" s="571"/>
      <c r="R682" s="571"/>
      <c r="S682" s="571"/>
      <c r="T682" s="571"/>
      <c r="U682" s="571"/>
      <c r="V682" s="571"/>
      <c r="W682" s="571"/>
      <c r="X682" s="571"/>
      <c r="Y682" s="571"/>
      <c r="Z682" s="571"/>
    </row>
    <row r="683" spans="1:26" ht="18.75" hidden="1">
      <c r="A683" s="601"/>
      <c r="B683" s="611"/>
      <c r="C683" s="611"/>
      <c r="D683" s="611"/>
      <c r="E683" s="619"/>
      <c r="F683" s="619" t="s">
        <v>292</v>
      </c>
      <c r="G683" s="753"/>
      <c r="H683" s="755" t="s">
        <v>46</v>
      </c>
      <c r="I683" s="269"/>
      <c r="J683" s="214">
        <v>0</v>
      </c>
      <c r="K683" s="496"/>
      <c r="L683" s="163"/>
      <c r="M683" s="163"/>
      <c r="N683" s="163"/>
      <c r="O683" s="163"/>
      <c r="P683" s="163"/>
      <c r="Q683" s="571"/>
      <c r="R683" s="571"/>
      <c r="S683" s="571"/>
      <c r="T683" s="571"/>
      <c r="U683" s="571"/>
      <c r="V683" s="571"/>
      <c r="W683" s="571"/>
      <c r="X683" s="571"/>
      <c r="Y683" s="571"/>
      <c r="Z683" s="571"/>
    </row>
    <row r="684" spans="1:26" ht="19.5">
      <c r="A684" s="744"/>
      <c r="B684" s="745" t="s">
        <v>293</v>
      </c>
      <c r="C684" s="744"/>
      <c r="D684" s="744"/>
      <c r="E684" s="744"/>
      <c r="F684" s="744"/>
      <c r="G684" s="746"/>
      <c r="H684" s="746"/>
      <c r="I684" s="747"/>
      <c r="J684" s="747"/>
      <c r="K684" s="748"/>
      <c r="L684" s="748"/>
      <c r="M684" s="748"/>
      <c r="N684" s="748"/>
      <c r="O684" s="748"/>
      <c r="P684" s="748"/>
      <c r="Q684" s="571"/>
      <c r="R684" s="571"/>
      <c r="S684" s="571"/>
      <c r="T684" s="571"/>
      <c r="U684" s="571"/>
      <c r="V684" s="571"/>
      <c r="W684" s="571"/>
      <c r="X684" s="571"/>
      <c r="Y684" s="571"/>
      <c r="Z684" s="571"/>
    </row>
    <row r="685" spans="1:26" ht="19.5">
      <c r="A685" s="590"/>
      <c r="B685" s="754"/>
      <c r="C685" s="754" t="s">
        <v>16</v>
      </c>
      <c r="D685" s="863" t="s">
        <v>17</v>
      </c>
      <c r="E685" s="857"/>
      <c r="F685" s="857"/>
      <c r="G685" s="189"/>
      <c r="H685" s="591" t="s">
        <v>12</v>
      </c>
      <c r="I685" s="269"/>
      <c r="J685" s="269"/>
      <c r="K685" s="496"/>
      <c r="L685" s="195">
        <f t="shared" ref="L685:N685" ca="1" si="282">L686+L687</f>
        <v>79450</v>
      </c>
      <c r="M685" s="195">
        <f t="shared" si="282"/>
        <v>0</v>
      </c>
      <c r="N685" s="195">
        <f t="shared" si="282"/>
        <v>0</v>
      </c>
      <c r="O685" s="195">
        <f t="shared" ref="O685:O688" ca="1" si="283">IF(L685&gt;0,N685*100/L685,0)</f>
        <v>0</v>
      </c>
      <c r="P685" s="195">
        <f t="shared" ref="P685:P688" si="284">IF(M685&gt;0,N685*100/M685,0)</f>
        <v>0</v>
      </c>
      <c r="Q685" s="571"/>
      <c r="R685" s="571"/>
      <c r="S685" s="571"/>
      <c r="T685" s="571"/>
      <c r="U685" s="571"/>
      <c r="V685" s="571"/>
      <c r="W685" s="571"/>
      <c r="X685" s="571"/>
      <c r="Y685" s="571"/>
      <c r="Z685" s="571"/>
    </row>
    <row r="686" spans="1:26" ht="18.75" hidden="1">
      <c r="A686" s="592"/>
      <c r="B686" s="750"/>
      <c r="C686" s="750"/>
      <c r="D686" s="711"/>
      <c r="E686" s="750" t="s">
        <v>184</v>
      </c>
      <c r="F686" s="750"/>
      <c r="G686" s="596"/>
      <c r="H686" s="165" t="s">
        <v>12</v>
      </c>
      <c r="I686" s="610"/>
      <c r="J686" s="610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597"/>
      <c r="R686" s="597"/>
      <c r="S686" s="597"/>
      <c r="T686" s="597"/>
      <c r="U686" s="597"/>
      <c r="V686" s="597"/>
      <c r="W686" s="597"/>
      <c r="X686" s="597"/>
      <c r="Y686" s="597"/>
      <c r="Z686" s="597"/>
    </row>
    <row r="687" spans="1:26" ht="18.75" hidden="1">
      <c r="A687" s="592"/>
      <c r="B687" s="600"/>
      <c r="C687" s="750"/>
      <c r="D687" s="711"/>
      <c r="E687" s="750" t="s">
        <v>185</v>
      </c>
      <c r="F687" s="750"/>
      <c r="G687" s="596"/>
      <c r="H687" s="165" t="s">
        <v>12</v>
      </c>
      <c r="I687" s="610"/>
      <c r="J687" s="610"/>
      <c r="K687" s="93"/>
      <c r="L687" s="93">
        <f t="shared" ca="1" si="285"/>
        <v>79450</v>
      </c>
      <c r="M687" s="93">
        <f t="shared" si="285"/>
        <v>0</v>
      </c>
      <c r="N687" s="93">
        <f t="shared" si="285"/>
        <v>0</v>
      </c>
      <c r="O687" s="93">
        <f t="shared" ca="1" si="283"/>
        <v>0</v>
      </c>
      <c r="P687" s="93">
        <f t="shared" si="284"/>
        <v>0</v>
      </c>
      <c r="Q687" s="597"/>
      <c r="R687" s="597"/>
      <c r="S687" s="597"/>
      <c r="T687" s="597"/>
      <c r="U687" s="597"/>
      <c r="V687" s="597"/>
      <c r="W687" s="597"/>
      <c r="X687" s="597"/>
      <c r="Y687" s="597"/>
      <c r="Z687" s="597"/>
    </row>
    <row r="688" spans="1:26" ht="18.75">
      <c r="A688" s="590"/>
      <c r="B688" s="568"/>
      <c r="C688" s="754"/>
      <c r="D688" s="599" t="s">
        <v>20</v>
      </c>
      <c r="E688" s="754"/>
      <c r="F688" s="754"/>
      <c r="G688" s="189"/>
      <c r="H688" s="161" t="s">
        <v>12</v>
      </c>
      <c r="I688" s="184"/>
      <c r="J688" s="184"/>
      <c r="K688" s="163"/>
      <c r="L688" s="496">
        <f t="shared" ref="L688:N688" ca="1" si="286">L689+L690</f>
        <v>79450</v>
      </c>
      <c r="M688" s="496">
        <f t="shared" si="286"/>
        <v>0</v>
      </c>
      <c r="N688" s="496">
        <f t="shared" si="286"/>
        <v>0</v>
      </c>
      <c r="O688" s="496">
        <f t="shared" ca="1" si="283"/>
        <v>0</v>
      </c>
      <c r="P688" s="496">
        <f t="shared" si="284"/>
        <v>0</v>
      </c>
      <c r="Q688" s="571"/>
      <c r="R688" s="571"/>
      <c r="S688" s="571"/>
      <c r="T688" s="571"/>
      <c r="U688" s="571"/>
      <c r="V688" s="571"/>
      <c r="W688" s="571"/>
      <c r="X688" s="571"/>
      <c r="Y688" s="571"/>
      <c r="Z688" s="571"/>
    </row>
    <row r="689" spans="1:26" ht="18.75" hidden="1">
      <c r="A689" s="592"/>
      <c r="B689" s="600"/>
      <c r="C689" s="750"/>
      <c r="D689" s="711"/>
      <c r="E689" s="750" t="s">
        <v>184</v>
      </c>
      <c r="F689" s="750"/>
      <c r="G689" s="596"/>
      <c r="H689" s="165" t="s">
        <v>12</v>
      </c>
      <c r="I689" s="610"/>
      <c r="J689" s="610"/>
      <c r="K689" s="93"/>
      <c r="L689" s="93">
        <v>0</v>
      </c>
      <c r="M689" s="93">
        <v>0</v>
      </c>
      <c r="N689" s="93">
        <v>0</v>
      </c>
      <c r="O689" s="93"/>
      <c r="P689" s="93"/>
      <c r="Q689" s="597"/>
      <c r="R689" s="597"/>
      <c r="S689" s="597"/>
      <c r="T689" s="597"/>
      <c r="U689" s="597"/>
      <c r="V689" s="597"/>
      <c r="W689" s="597"/>
      <c r="X689" s="597"/>
      <c r="Y689" s="597"/>
      <c r="Z689" s="597"/>
    </row>
    <row r="690" spans="1:26" ht="18.75" hidden="1">
      <c r="A690" s="592"/>
      <c r="B690" s="600"/>
      <c r="C690" s="750"/>
      <c r="D690" s="711"/>
      <c r="E690" s="750" t="s">
        <v>185</v>
      </c>
      <c r="F690" s="750"/>
      <c r="G690" s="596"/>
      <c r="H690" s="165" t="s">
        <v>12</v>
      </c>
      <c r="I690" s="610"/>
      <c r="J690" s="610"/>
      <c r="K690" s="93"/>
      <c r="L690" s="93">
        <f ca="1">IFERROR(__xludf.DUMMYFUNCTION("IMPORTRANGE(""https://docs.google.com/spreadsheets/d/1QqKyyYR6Q21VydFLVH3TRQUabQu_ym0Zz7PgGX0-kHA/edit?usp=sharing"",""แผน!HW61"")"),79450)</f>
        <v>79450</v>
      </c>
      <c r="M690" s="93">
        <v>0</v>
      </c>
      <c r="N690" s="93">
        <f>N691+N692+N693+N694</f>
        <v>0</v>
      </c>
      <c r="O690" s="93">
        <f ca="1">IF(L690&gt;0,N690*100/L690,0)</f>
        <v>0</v>
      </c>
      <c r="P690" s="93">
        <f>IF(M690&gt;0,N690*100/M690,0)</f>
        <v>0</v>
      </c>
      <c r="Q690" s="597"/>
      <c r="R690" s="597"/>
      <c r="S690" s="597"/>
      <c r="T690" s="597"/>
      <c r="U690" s="597"/>
      <c r="V690" s="597"/>
      <c r="W690" s="597"/>
      <c r="X690" s="597"/>
      <c r="Y690" s="597"/>
      <c r="Z690" s="597"/>
    </row>
    <row r="691" spans="1:26" ht="18.75">
      <c r="A691" s="567"/>
      <c r="B691" s="568"/>
      <c r="C691" s="754"/>
      <c r="D691" s="754"/>
      <c r="E691" s="754"/>
      <c r="F691" s="754" t="s">
        <v>186</v>
      </c>
      <c r="G691" s="189"/>
      <c r="H691" s="161" t="s">
        <v>12</v>
      </c>
      <c r="I691" s="269"/>
      <c r="J691" s="269"/>
      <c r="K691" s="496"/>
      <c r="L691" s="496"/>
      <c r="M691" s="496"/>
      <c r="N691" s="817">
        <v>0</v>
      </c>
      <c r="O691" s="496"/>
      <c r="P691" s="496"/>
      <c r="Q691" s="571"/>
      <c r="R691" s="571"/>
      <c r="S691" s="571"/>
      <c r="T691" s="571"/>
      <c r="U691" s="571"/>
      <c r="V691" s="571"/>
      <c r="W691" s="571"/>
      <c r="X691" s="571"/>
      <c r="Y691" s="571"/>
      <c r="Z691" s="571"/>
    </row>
    <row r="692" spans="1:26" ht="18.75">
      <c r="A692" s="567"/>
      <c r="B692" s="568"/>
      <c r="C692" s="754"/>
      <c r="D692" s="754"/>
      <c r="E692" s="754"/>
      <c r="F692" s="754" t="s">
        <v>187</v>
      </c>
      <c r="G692" s="189"/>
      <c r="H692" s="161" t="s">
        <v>12</v>
      </c>
      <c r="I692" s="269"/>
      <c r="J692" s="269"/>
      <c r="K692" s="496"/>
      <c r="L692" s="496"/>
      <c r="M692" s="496"/>
      <c r="N692" s="817">
        <v>0</v>
      </c>
      <c r="O692" s="496"/>
      <c r="P692" s="496"/>
      <c r="Q692" s="571"/>
      <c r="R692" s="571"/>
      <c r="S692" s="571"/>
      <c r="T692" s="571"/>
      <c r="U692" s="571"/>
      <c r="V692" s="571"/>
      <c r="W692" s="571"/>
      <c r="X692" s="571"/>
      <c r="Y692" s="571"/>
      <c r="Z692" s="571"/>
    </row>
    <row r="693" spans="1:26" ht="18.75">
      <c r="A693" s="567"/>
      <c r="B693" s="568"/>
      <c r="C693" s="754"/>
      <c r="D693" s="754"/>
      <c r="E693" s="754"/>
      <c r="F693" s="754" t="s">
        <v>188</v>
      </c>
      <c r="G693" s="189"/>
      <c r="H693" s="161" t="s">
        <v>12</v>
      </c>
      <c r="I693" s="269"/>
      <c r="J693" s="269"/>
      <c r="K693" s="496"/>
      <c r="L693" s="496"/>
      <c r="M693" s="496"/>
      <c r="N693" s="817">
        <v>0</v>
      </c>
      <c r="O693" s="496"/>
      <c r="P693" s="496"/>
      <c r="Q693" s="571"/>
      <c r="R693" s="571"/>
      <c r="S693" s="571"/>
      <c r="T693" s="571"/>
      <c r="U693" s="571"/>
      <c r="V693" s="571"/>
      <c r="W693" s="571"/>
      <c r="X693" s="571"/>
      <c r="Y693" s="571"/>
      <c r="Z693" s="571"/>
    </row>
    <row r="694" spans="1:26" ht="18.75">
      <c r="A694" s="567"/>
      <c r="B694" s="568"/>
      <c r="C694" s="754"/>
      <c r="D694" s="754"/>
      <c r="E694" s="754"/>
      <c r="F694" s="754" t="s">
        <v>189</v>
      </c>
      <c r="G694" s="189"/>
      <c r="H694" s="161" t="s">
        <v>12</v>
      </c>
      <c r="I694" s="269"/>
      <c r="J694" s="269"/>
      <c r="K694" s="496"/>
      <c r="L694" s="496"/>
      <c r="M694" s="496"/>
      <c r="N694" s="817">
        <v>0</v>
      </c>
      <c r="O694" s="496"/>
      <c r="P694" s="496"/>
      <c r="Q694" s="571"/>
      <c r="R694" s="571"/>
      <c r="S694" s="571"/>
      <c r="T694" s="571"/>
      <c r="U694" s="571"/>
      <c r="V694" s="571"/>
      <c r="W694" s="571"/>
      <c r="X694" s="571"/>
      <c r="Y694" s="571"/>
      <c r="Z694" s="571"/>
    </row>
    <row r="695" spans="1:26" ht="18.75">
      <c r="A695" s="590"/>
      <c r="B695" s="568"/>
      <c r="C695" s="754"/>
      <c r="D695" s="599" t="s">
        <v>21</v>
      </c>
      <c r="E695" s="754"/>
      <c r="F695" s="754"/>
      <c r="G695" s="189"/>
      <c r="H695" s="168" t="s">
        <v>12</v>
      </c>
      <c r="I695" s="184"/>
      <c r="J695" s="184"/>
      <c r="K695" s="163"/>
      <c r="L695" s="496">
        <f t="shared" ref="L695:N695" si="287">L696+L697</f>
        <v>0</v>
      </c>
      <c r="M695" s="496">
        <f t="shared" si="287"/>
        <v>0</v>
      </c>
      <c r="N695" s="496">
        <f t="shared" si="287"/>
        <v>0</v>
      </c>
      <c r="O695" s="496">
        <f t="shared" ref="O695:O697" si="288">IF(L695&gt;0,N695*100/L695,0)</f>
        <v>0</v>
      </c>
      <c r="P695" s="496">
        <f t="shared" ref="P695:P697" si="289">IF(M695&gt;0,N695*100/M695,0)</f>
        <v>0</v>
      </c>
      <c r="Q695" s="571"/>
      <c r="R695" s="571"/>
      <c r="S695" s="571"/>
      <c r="T695" s="571"/>
      <c r="U695" s="571"/>
      <c r="V695" s="571"/>
      <c r="W695" s="571"/>
      <c r="X695" s="571"/>
      <c r="Y695" s="571"/>
      <c r="Z695" s="571"/>
    </row>
    <row r="696" spans="1:26" ht="18.75" hidden="1">
      <c r="A696" s="592"/>
      <c r="B696" s="600"/>
      <c r="C696" s="750"/>
      <c r="D696" s="750"/>
      <c r="E696" s="750" t="s">
        <v>18</v>
      </c>
      <c r="F696" s="750"/>
      <c r="G696" s="596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597"/>
      <c r="R696" s="597"/>
      <c r="S696" s="597"/>
      <c r="T696" s="597"/>
      <c r="U696" s="597"/>
      <c r="V696" s="597"/>
      <c r="W696" s="597"/>
      <c r="X696" s="597"/>
      <c r="Y696" s="597"/>
      <c r="Z696" s="597"/>
    </row>
    <row r="697" spans="1:26" ht="18.75" hidden="1">
      <c r="A697" s="592"/>
      <c r="B697" s="600"/>
      <c r="C697" s="750"/>
      <c r="D697" s="750"/>
      <c r="E697" s="750" t="s">
        <v>19</v>
      </c>
      <c r="F697" s="750"/>
      <c r="G697" s="596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597"/>
      <c r="R697" s="597"/>
      <c r="S697" s="597"/>
      <c r="T697" s="597"/>
      <c r="U697" s="597"/>
      <c r="V697" s="597"/>
      <c r="W697" s="597"/>
      <c r="X697" s="597"/>
      <c r="Y697" s="597"/>
      <c r="Z697" s="597"/>
    </row>
    <row r="698" spans="1:26" ht="19.5">
      <c r="A698" s="601"/>
      <c r="B698" s="611"/>
      <c r="C698" s="754" t="s">
        <v>16</v>
      </c>
      <c r="D698" s="840" t="s">
        <v>38</v>
      </c>
      <c r="E698" s="752"/>
      <c r="F698" s="752"/>
      <c r="G698" s="606"/>
      <c r="H698" s="753"/>
      <c r="I698" s="184"/>
      <c r="J698" s="184"/>
      <c r="K698" s="163"/>
      <c r="L698" s="163"/>
      <c r="M698" s="163"/>
      <c r="N698" s="163"/>
      <c r="O698" s="163"/>
      <c r="P698" s="163"/>
      <c r="Q698" s="571"/>
      <c r="R698" s="571"/>
      <c r="S698" s="571"/>
      <c r="T698" s="571"/>
      <c r="U698" s="571"/>
      <c r="V698" s="571"/>
      <c r="W698" s="571"/>
      <c r="X698" s="571"/>
      <c r="Y698" s="571"/>
      <c r="Z698" s="571"/>
    </row>
    <row r="699" spans="1:26" ht="18.75">
      <c r="A699" s="735"/>
      <c r="B699" s="754"/>
      <c r="C699" s="754"/>
      <c r="D699" s="754" t="s">
        <v>294</v>
      </c>
      <c r="E699" s="754"/>
      <c r="F699" s="754"/>
      <c r="G699" s="189"/>
      <c r="H699" s="755" t="s">
        <v>46</v>
      </c>
      <c r="I699" s="756">
        <f ca="1">IFERROR(__xludf.DUMMYFUNCTION("IMPORTRANGE(""https://docs.google.com/spreadsheets/d/1QqKyyYR6Q21VydFLVH3TRQUabQu_ym0Zz7PgGX0-kHA/edit?usp=sharing"",""แผน!IC61"")"),0)</f>
        <v>0</v>
      </c>
      <c r="J699" s="269">
        <f ca="1">IFERROR(__xludf.DUMMYFUNCTION("IMPORTRANGE(""https://docs.google.com/spreadsheets/d/1XWAQStnk-4SwqDmLtmXYiTMKHgktTP8We1SCoS47DrQ/edit?usp=sharing"",""จัดที่ดิน!BB61"")"),0)</f>
        <v>0</v>
      </c>
      <c r="K699" s="496">
        <f t="shared" ref="K699:K701" ca="1" si="290">IF(I699&gt;0,J699*100/I699,0)</f>
        <v>0</v>
      </c>
      <c r="L699" s="496"/>
      <c r="M699" s="189"/>
      <c r="N699" s="757"/>
      <c r="O699" s="496"/>
      <c r="P699" s="496"/>
      <c r="Q699" s="571"/>
      <c r="R699" s="571"/>
      <c r="S699" s="571"/>
      <c r="T699" s="571"/>
      <c r="U699" s="571"/>
      <c r="V699" s="571"/>
      <c r="W699" s="571"/>
      <c r="X699" s="571"/>
      <c r="Y699" s="571"/>
      <c r="Z699" s="571"/>
    </row>
    <row r="700" spans="1:26" ht="18.75">
      <c r="A700" s="735"/>
      <c r="B700" s="754"/>
      <c r="C700" s="754"/>
      <c r="D700" s="754" t="s">
        <v>295</v>
      </c>
      <c r="E700" s="754"/>
      <c r="F700" s="754"/>
      <c r="G700" s="189"/>
      <c r="H700" s="755" t="s">
        <v>35</v>
      </c>
      <c r="I700" s="756">
        <f ca="1">IFERROR(__xludf.DUMMYFUNCTION("IMPORTRANGE(""https://docs.google.com/spreadsheets/d/1QqKyyYR6Q21VydFLVH3TRQUabQu_ym0Zz7PgGX0-kHA/edit?usp=sharing"",""แผน!ID61"")"),0)</f>
        <v>0</v>
      </c>
      <c r="J700" s="269">
        <f ca="1">IFERROR(__xludf.DUMMYFUNCTION("IMPORTRANGE(""https://docs.google.com/spreadsheets/d/1XWAQStnk-4SwqDmLtmXYiTMKHgktTP8We1SCoS47DrQ/edit?usp=sharing"",""จัดที่ดิน!BD61"")"),0)</f>
        <v>0</v>
      </c>
      <c r="K700" s="496">
        <f t="shared" ca="1" si="290"/>
        <v>0</v>
      </c>
      <c r="L700" s="496"/>
      <c r="M700" s="189"/>
      <c r="N700" s="757"/>
      <c r="O700" s="496"/>
      <c r="P700" s="496"/>
      <c r="Q700" s="571"/>
      <c r="R700" s="571"/>
      <c r="S700" s="571"/>
      <c r="T700" s="571"/>
      <c r="U700" s="571"/>
      <c r="V700" s="571"/>
      <c r="W700" s="571"/>
      <c r="X700" s="571"/>
      <c r="Y700" s="571"/>
      <c r="Z700" s="571"/>
    </row>
    <row r="701" spans="1:26" ht="19.5">
      <c r="A701" s="735"/>
      <c r="B701" s="754"/>
      <c r="C701" s="754"/>
      <c r="D701" s="754" t="s">
        <v>296</v>
      </c>
      <c r="E701" s="754"/>
      <c r="F701" s="754"/>
      <c r="G701" s="189"/>
      <c r="H701" s="758" t="s">
        <v>46</v>
      </c>
      <c r="I701" s="759">
        <f ca="1">IFERROR(__xludf.DUMMYFUNCTION("IMPORTRANGE(""https://docs.google.com/spreadsheets/d/1QqKyyYR6Q21VydFLVH3TRQUabQu_ym0Zz7PgGX0-kHA/edit?usp=sharing"",""แผน!IE61"")"),300)</f>
        <v>300</v>
      </c>
      <c r="J701" s="674">
        <f>J704+J707</f>
        <v>0</v>
      </c>
      <c r="K701" s="195">
        <f t="shared" ca="1" si="290"/>
        <v>0</v>
      </c>
      <c r="L701" s="496"/>
      <c r="M701" s="189"/>
      <c r="N701" s="757"/>
      <c r="O701" s="496"/>
      <c r="P701" s="496"/>
      <c r="Q701" s="571"/>
      <c r="R701" s="571"/>
      <c r="S701" s="571"/>
      <c r="T701" s="571"/>
      <c r="U701" s="571"/>
      <c r="V701" s="571"/>
      <c r="W701" s="571"/>
      <c r="X701" s="571"/>
      <c r="Y701" s="571"/>
      <c r="Z701" s="571"/>
    </row>
    <row r="702" spans="1:26" ht="18.75">
      <c r="A702" s="735"/>
      <c r="B702" s="754"/>
      <c r="C702" s="754"/>
      <c r="D702" s="754"/>
      <c r="E702" s="754" t="s">
        <v>297</v>
      </c>
      <c r="F702" s="754"/>
      <c r="G702" s="189"/>
      <c r="H702" s="755" t="s">
        <v>35</v>
      </c>
      <c r="I702" s="756"/>
      <c r="J702" s="214">
        <v>0</v>
      </c>
      <c r="K702" s="496"/>
      <c r="L702" s="496"/>
      <c r="M702" s="189"/>
      <c r="N702" s="757"/>
      <c r="O702" s="496"/>
      <c r="P702" s="496"/>
      <c r="Q702" s="571"/>
      <c r="R702" s="571"/>
      <c r="S702" s="571"/>
      <c r="T702" s="571"/>
      <c r="U702" s="571"/>
      <c r="V702" s="571"/>
      <c r="W702" s="571"/>
      <c r="X702" s="571"/>
      <c r="Y702" s="571"/>
      <c r="Z702" s="571"/>
    </row>
    <row r="703" spans="1:26" ht="18.75">
      <c r="A703" s="735"/>
      <c r="B703" s="754"/>
      <c r="C703" s="754"/>
      <c r="D703" s="754"/>
      <c r="E703" s="754"/>
      <c r="F703" s="754"/>
      <c r="G703" s="189"/>
      <c r="H703" s="755" t="s">
        <v>34</v>
      </c>
      <c r="I703" s="756"/>
      <c r="J703" s="214">
        <v>0</v>
      </c>
      <c r="K703" s="496"/>
      <c r="L703" s="496"/>
      <c r="M703" s="189"/>
      <c r="N703" s="757"/>
      <c r="O703" s="496"/>
      <c r="P703" s="496"/>
      <c r="Q703" s="571"/>
      <c r="R703" s="571"/>
      <c r="S703" s="571"/>
      <c r="T703" s="571"/>
      <c r="U703" s="571"/>
      <c r="V703" s="571"/>
      <c r="W703" s="571"/>
      <c r="X703" s="571"/>
      <c r="Y703" s="571"/>
      <c r="Z703" s="571"/>
    </row>
    <row r="704" spans="1:26" ht="18.75">
      <c r="A704" s="735"/>
      <c r="B704" s="754"/>
      <c r="C704" s="754"/>
      <c r="D704" s="754"/>
      <c r="E704" s="754"/>
      <c r="F704" s="754"/>
      <c r="G704" s="189"/>
      <c r="H704" s="755" t="s">
        <v>46</v>
      </c>
      <c r="I704" s="756">
        <f ca="1">IFERROR(__xludf.DUMMYFUNCTION("IMPORTRANGE(""https://docs.google.com/spreadsheets/d/1QqKyyYR6Q21VydFLVH3TRQUabQu_ym0Zz7PgGX0-kHA/edit?usp=sharing"",""แผน!IF61"")"),300)</f>
        <v>300</v>
      </c>
      <c r="J704" s="214">
        <v>0</v>
      </c>
      <c r="K704" s="496"/>
      <c r="L704" s="496"/>
      <c r="M704" s="189"/>
      <c r="N704" s="757"/>
      <c r="O704" s="496"/>
      <c r="P704" s="496"/>
      <c r="Q704" s="571"/>
      <c r="R704" s="571"/>
      <c r="S704" s="571"/>
      <c r="T704" s="571"/>
      <c r="U704" s="571"/>
      <c r="V704" s="571"/>
      <c r="W704" s="571"/>
      <c r="X704" s="571"/>
      <c r="Y704" s="571"/>
      <c r="Z704" s="571"/>
    </row>
    <row r="705" spans="1:26" ht="18.75">
      <c r="A705" s="735"/>
      <c r="B705" s="754"/>
      <c r="C705" s="754"/>
      <c r="D705" s="754"/>
      <c r="E705" s="754" t="s">
        <v>298</v>
      </c>
      <c r="F705" s="754"/>
      <c r="G705" s="189"/>
      <c r="H705" s="755" t="s">
        <v>35</v>
      </c>
      <c r="I705" s="756"/>
      <c r="J705" s="214">
        <v>0</v>
      </c>
      <c r="K705" s="496"/>
      <c r="L705" s="496"/>
      <c r="M705" s="189"/>
      <c r="N705" s="757"/>
      <c r="O705" s="496"/>
      <c r="P705" s="496"/>
      <c r="Q705" s="571"/>
      <c r="R705" s="571"/>
      <c r="S705" s="571"/>
      <c r="T705" s="571"/>
      <c r="U705" s="571"/>
      <c r="V705" s="571"/>
      <c r="W705" s="571"/>
      <c r="X705" s="571"/>
      <c r="Y705" s="571"/>
      <c r="Z705" s="571"/>
    </row>
    <row r="706" spans="1:26" ht="18.75">
      <c r="A706" s="735"/>
      <c r="B706" s="754"/>
      <c r="C706" s="754"/>
      <c r="D706" s="754"/>
      <c r="E706" s="754"/>
      <c r="F706" s="754"/>
      <c r="G706" s="189"/>
      <c r="H706" s="755" t="s">
        <v>34</v>
      </c>
      <c r="I706" s="756"/>
      <c r="J706" s="214">
        <v>0</v>
      </c>
      <c r="K706" s="496"/>
      <c r="L706" s="496"/>
      <c r="M706" s="189"/>
      <c r="N706" s="757"/>
      <c r="O706" s="496"/>
      <c r="P706" s="496"/>
      <c r="Q706" s="571"/>
      <c r="R706" s="571"/>
      <c r="S706" s="571"/>
      <c r="T706" s="571"/>
      <c r="U706" s="571"/>
      <c r="V706" s="571"/>
      <c r="W706" s="571"/>
      <c r="X706" s="571"/>
      <c r="Y706" s="571"/>
      <c r="Z706" s="571"/>
    </row>
    <row r="707" spans="1:26" ht="18.75">
      <c r="A707" s="735"/>
      <c r="B707" s="754"/>
      <c r="C707" s="754"/>
      <c r="D707" s="754"/>
      <c r="E707" s="754"/>
      <c r="F707" s="754"/>
      <c r="G707" s="189"/>
      <c r="H707" s="755" t="s">
        <v>46</v>
      </c>
      <c r="I707" s="756">
        <f ca="1">IFERROR(__xludf.DUMMYFUNCTION("IMPORTRANGE(""https://docs.google.com/spreadsheets/d/1QqKyyYR6Q21VydFLVH3TRQUabQu_ym0Zz7PgGX0-kHA/edit?usp=sharing"",""แผน!IG61"")"),0)</f>
        <v>0</v>
      </c>
      <c r="J707" s="214">
        <v>0</v>
      </c>
      <c r="K707" s="496"/>
      <c r="L707" s="496"/>
      <c r="M707" s="189"/>
      <c r="N707" s="757"/>
      <c r="O707" s="496"/>
      <c r="P707" s="496"/>
      <c r="Q707" s="571"/>
      <c r="R707" s="571"/>
      <c r="S707" s="571"/>
      <c r="T707" s="571"/>
      <c r="U707" s="571"/>
      <c r="V707" s="571"/>
      <c r="W707" s="571"/>
      <c r="X707" s="571"/>
      <c r="Y707" s="571"/>
      <c r="Z707" s="571"/>
    </row>
    <row r="708" spans="1:26" ht="19.5">
      <c r="A708" s="735"/>
      <c r="B708" s="754"/>
      <c r="C708" s="754"/>
      <c r="D708" s="760" t="s">
        <v>299</v>
      </c>
      <c r="E708" s="754"/>
      <c r="F708" s="754"/>
      <c r="G708" s="189"/>
      <c r="H708" s="758" t="s">
        <v>46</v>
      </c>
      <c r="I708" s="759">
        <f ca="1">IFERROR(__xludf.DUMMYFUNCTION("IMPORTRANGE(""https://docs.google.com/spreadsheets/d/1QqKyyYR6Q21VydFLVH3TRQUabQu_ym0Zz7PgGX0-kHA/edit?usp=sharing"",""แผน!IH61"")"),535)</f>
        <v>535</v>
      </c>
      <c r="J708" s="674">
        <f>J714+J717</f>
        <v>0</v>
      </c>
      <c r="K708" s="195">
        <f ca="1">IF(I708&gt;0,J708*100/I708,0)</f>
        <v>0</v>
      </c>
      <c r="L708" s="496"/>
      <c r="M708" s="189"/>
      <c r="N708" s="757"/>
      <c r="O708" s="496"/>
      <c r="P708" s="496"/>
      <c r="Q708" s="571"/>
      <c r="R708" s="571"/>
      <c r="S708" s="571"/>
      <c r="T708" s="571"/>
      <c r="U708" s="571"/>
      <c r="V708" s="571"/>
      <c r="W708" s="571"/>
      <c r="X708" s="571"/>
      <c r="Y708" s="571"/>
      <c r="Z708" s="571"/>
    </row>
    <row r="709" spans="1:26" ht="18.75">
      <c r="A709" s="735"/>
      <c r="B709" s="754"/>
      <c r="C709" s="754"/>
      <c r="D709" s="754"/>
      <c r="E709" s="754" t="s">
        <v>300</v>
      </c>
      <c r="F709" s="754"/>
      <c r="G709" s="189"/>
      <c r="H709" s="755" t="s">
        <v>34</v>
      </c>
      <c r="I709" s="756"/>
      <c r="J709" s="214">
        <v>0</v>
      </c>
      <c r="K709" s="496"/>
      <c r="L709" s="757"/>
      <c r="M709" s="189"/>
      <c r="N709" s="757"/>
      <c r="O709" s="496"/>
      <c r="P709" s="496"/>
      <c r="Q709" s="571"/>
      <c r="R709" s="571"/>
      <c r="S709" s="571"/>
      <c r="T709" s="571"/>
      <c r="U709" s="571"/>
      <c r="V709" s="571"/>
      <c r="W709" s="571"/>
      <c r="X709" s="571"/>
      <c r="Y709" s="571"/>
      <c r="Z709" s="571"/>
    </row>
    <row r="710" spans="1:26" ht="18.75">
      <c r="A710" s="735"/>
      <c r="B710" s="754"/>
      <c r="C710" s="754"/>
      <c r="D710" s="754"/>
      <c r="E710" s="754"/>
      <c r="F710" s="754"/>
      <c r="G710" s="189"/>
      <c r="H710" s="755" t="s">
        <v>46</v>
      </c>
      <c r="I710" s="756"/>
      <c r="J710" s="214">
        <v>0</v>
      </c>
      <c r="K710" s="496"/>
      <c r="L710" s="757"/>
      <c r="M710" s="189"/>
      <c r="N710" s="757"/>
      <c r="O710" s="496"/>
      <c r="P710" s="496"/>
      <c r="Q710" s="571"/>
      <c r="R710" s="571"/>
      <c r="S710" s="571"/>
      <c r="T710" s="571"/>
      <c r="U710" s="571"/>
      <c r="V710" s="571"/>
      <c r="W710" s="571"/>
      <c r="X710" s="571"/>
      <c r="Y710" s="571"/>
      <c r="Z710" s="571"/>
    </row>
    <row r="711" spans="1:26" ht="18.75">
      <c r="A711" s="735"/>
      <c r="B711" s="754"/>
      <c r="C711" s="754"/>
      <c r="D711" s="754"/>
      <c r="E711" s="754" t="s">
        <v>301</v>
      </c>
      <c r="F711" s="754"/>
      <c r="G711" s="189"/>
      <c r="H711" s="753"/>
      <c r="I711" s="756"/>
      <c r="J711" s="269"/>
      <c r="K711" s="496"/>
      <c r="L711" s="757"/>
      <c r="M711" s="189"/>
      <c r="N711" s="757"/>
      <c r="O711" s="496"/>
      <c r="P711" s="496"/>
      <c r="Q711" s="571"/>
      <c r="R711" s="571"/>
      <c r="S711" s="571"/>
      <c r="T711" s="571"/>
      <c r="U711" s="571"/>
      <c r="V711" s="571"/>
      <c r="W711" s="571"/>
      <c r="X711" s="571"/>
      <c r="Y711" s="571"/>
      <c r="Z711" s="571"/>
    </row>
    <row r="712" spans="1:26" ht="18.75">
      <c r="A712" s="735"/>
      <c r="B712" s="754"/>
      <c r="C712" s="754"/>
      <c r="D712" s="754"/>
      <c r="E712" s="754"/>
      <c r="F712" s="754" t="s">
        <v>302</v>
      </c>
      <c r="G712" s="189"/>
      <c r="H712" s="755" t="s">
        <v>35</v>
      </c>
      <c r="I712" s="756"/>
      <c r="J712" s="214">
        <v>0</v>
      </c>
      <c r="K712" s="496"/>
      <c r="L712" s="757"/>
      <c r="M712" s="189"/>
      <c r="N712" s="757"/>
      <c r="O712" s="496"/>
      <c r="P712" s="496"/>
      <c r="Q712" s="571"/>
      <c r="R712" s="571"/>
      <c r="S712" s="571"/>
      <c r="T712" s="571"/>
      <c r="U712" s="571"/>
      <c r="V712" s="571"/>
      <c r="W712" s="571"/>
      <c r="X712" s="571"/>
      <c r="Y712" s="571"/>
      <c r="Z712" s="571"/>
    </row>
    <row r="713" spans="1:26" ht="18.75">
      <c r="A713" s="735"/>
      <c r="B713" s="754"/>
      <c r="C713" s="754"/>
      <c r="D713" s="754"/>
      <c r="E713" s="754"/>
      <c r="F713" s="754"/>
      <c r="G713" s="189"/>
      <c r="H713" s="755" t="s">
        <v>34</v>
      </c>
      <c r="I713" s="756"/>
      <c r="J713" s="214">
        <v>0</v>
      </c>
      <c r="K713" s="496"/>
      <c r="L713" s="757"/>
      <c r="M713" s="189"/>
      <c r="N713" s="757"/>
      <c r="O713" s="496"/>
      <c r="P713" s="496"/>
      <c r="Q713" s="571"/>
      <c r="R713" s="571"/>
      <c r="S713" s="571"/>
      <c r="T713" s="571"/>
      <c r="U713" s="571"/>
      <c r="V713" s="571"/>
      <c r="W713" s="571"/>
      <c r="X713" s="571"/>
      <c r="Y713" s="571"/>
      <c r="Z713" s="571"/>
    </row>
    <row r="714" spans="1:26" ht="18.75">
      <c r="A714" s="735"/>
      <c r="B714" s="754"/>
      <c r="C714" s="754"/>
      <c r="D714" s="754"/>
      <c r="E714" s="754"/>
      <c r="F714" s="754"/>
      <c r="G714" s="189"/>
      <c r="H714" s="755" t="s">
        <v>46</v>
      </c>
      <c r="I714" s="756"/>
      <c r="J714" s="214">
        <v>0</v>
      </c>
      <c r="K714" s="496"/>
      <c r="L714" s="757"/>
      <c r="M714" s="189"/>
      <c r="N714" s="757"/>
      <c r="O714" s="496"/>
      <c r="P714" s="496"/>
      <c r="Q714" s="571"/>
      <c r="R714" s="571"/>
      <c r="S714" s="571"/>
      <c r="T714" s="571"/>
      <c r="U714" s="571"/>
      <c r="V714" s="571"/>
      <c r="W714" s="571"/>
      <c r="X714" s="571"/>
      <c r="Y714" s="571"/>
      <c r="Z714" s="571"/>
    </row>
    <row r="715" spans="1:26" ht="18.75">
      <c r="A715" s="735"/>
      <c r="B715" s="754"/>
      <c r="C715" s="754"/>
      <c r="D715" s="754"/>
      <c r="E715" s="754"/>
      <c r="F715" s="754" t="s">
        <v>303</v>
      </c>
      <c r="G715" s="189"/>
      <c r="H715" s="755" t="s">
        <v>35</v>
      </c>
      <c r="I715" s="756"/>
      <c r="J715" s="214">
        <v>0</v>
      </c>
      <c r="K715" s="496"/>
      <c r="L715" s="757"/>
      <c r="M715" s="189"/>
      <c r="N715" s="757"/>
      <c r="O715" s="496"/>
      <c r="P715" s="496"/>
      <c r="Q715" s="571"/>
      <c r="R715" s="571"/>
      <c r="S715" s="571"/>
      <c r="T715" s="571"/>
      <c r="U715" s="571"/>
      <c r="V715" s="571"/>
      <c r="W715" s="571"/>
      <c r="X715" s="571"/>
      <c r="Y715" s="571"/>
      <c r="Z715" s="571"/>
    </row>
    <row r="716" spans="1:26" ht="18.75">
      <c r="A716" s="735"/>
      <c r="B716" s="754"/>
      <c r="C716" s="754"/>
      <c r="D716" s="754"/>
      <c r="E716" s="754"/>
      <c r="F716" s="754"/>
      <c r="G716" s="189"/>
      <c r="H716" s="755" t="s">
        <v>34</v>
      </c>
      <c r="I716" s="756"/>
      <c r="J716" s="214">
        <v>0</v>
      </c>
      <c r="K716" s="496"/>
      <c r="L716" s="757"/>
      <c r="M716" s="189"/>
      <c r="N716" s="757"/>
      <c r="O716" s="496"/>
      <c r="P716" s="496"/>
      <c r="Q716" s="571"/>
      <c r="R716" s="571"/>
      <c r="S716" s="571"/>
      <c r="T716" s="571"/>
      <c r="U716" s="571"/>
      <c r="V716" s="571"/>
      <c r="W716" s="571"/>
      <c r="X716" s="571"/>
      <c r="Y716" s="571"/>
      <c r="Z716" s="571"/>
    </row>
    <row r="717" spans="1:26" ht="18.75">
      <c r="A717" s="735"/>
      <c r="B717" s="754"/>
      <c r="C717" s="754"/>
      <c r="D717" s="754"/>
      <c r="E717" s="754"/>
      <c r="F717" s="754"/>
      <c r="G717" s="189"/>
      <c r="H717" s="755" t="s">
        <v>46</v>
      </c>
      <c r="I717" s="756"/>
      <c r="J717" s="214">
        <v>0</v>
      </c>
      <c r="K717" s="496"/>
      <c r="L717" s="757"/>
      <c r="M717" s="189"/>
      <c r="N717" s="757"/>
      <c r="O717" s="496"/>
      <c r="P717" s="496"/>
      <c r="Q717" s="571"/>
      <c r="R717" s="571"/>
      <c r="S717" s="571"/>
      <c r="T717" s="571"/>
      <c r="U717" s="571"/>
      <c r="V717" s="571"/>
      <c r="W717" s="571"/>
      <c r="X717" s="571"/>
      <c r="Y717" s="571"/>
      <c r="Z717" s="571"/>
    </row>
    <row r="718" spans="1:26" ht="18.75">
      <c r="A718" s="735"/>
      <c r="B718" s="754"/>
      <c r="C718" s="754"/>
      <c r="D718" s="754" t="s">
        <v>304</v>
      </c>
      <c r="E718" s="754"/>
      <c r="F718" s="754"/>
      <c r="G718" s="189"/>
      <c r="H718" s="755" t="s">
        <v>35</v>
      </c>
      <c r="I718" s="756"/>
      <c r="J718" s="269">
        <f ca="1">IFERROR(__xludf.DUMMYFUNCTION("IMPORTRANGE(""https://docs.google.com/spreadsheets/d/1XWAQStnk-4SwqDmLtmXYiTMKHgktTP8We1SCoS47DrQ/edit?usp=sharing"",""จัดที่ดิน!BF61"")"),0)</f>
        <v>0</v>
      </c>
      <c r="K718" s="496"/>
      <c r="L718" s="496"/>
      <c r="M718" s="189"/>
      <c r="N718" s="757"/>
      <c r="O718" s="496"/>
      <c r="P718" s="496"/>
      <c r="Q718" s="571"/>
      <c r="R718" s="571"/>
      <c r="S718" s="571"/>
      <c r="T718" s="571"/>
      <c r="U718" s="571"/>
      <c r="V718" s="571"/>
      <c r="W718" s="571"/>
      <c r="X718" s="571"/>
      <c r="Y718" s="571"/>
      <c r="Z718" s="571"/>
    </row>
    <row r="719" spans="1:26" ht="18.75">
      <c r="A719" s="735"/>
      <c r="B719" s="754"/>
      <c r="C719" s="754"/>
      <c r="D719" s="754"/>
      <c r="E719" s="754"/>
      <c r="F719" s="754"/>
      <c r="G719" s="189"/>
      <c r="H719" s="755" t="s">
        <v>34</v>
      </c>
      <c r="I719" s="756"/>
      <c r="J719" s="269">
        <f ca="1">IFERROR(__xludf.DUMMYFUNCTION("IMPORTRANGE(""https://docs.google.com/spreadsheets/d/1XWAQStnk-4SwqDmLtmXYiTMKHgktTP8We1SCoS47DrQ/edit?usp=sharing"",""จัดที่ดิน!BG61"")"),0)</f>
        <v>0</v>
      </c>
      <c r="K719" s="496"/>
      <c r="L719" s="757"/>
      <c r="M719" s="189"/>
      <c r="N719" s="757"/>
      <c r="O719" s="496"/>
      <c r="P719" s="496"/>
      <c r="Q719" s="571"/>
      <c r="R719" s="571"/>
      <c r="S719" s="571"/>
      <c r="T719" s="571"/>
      <c r="U719" s="571"/>
      <c r="V719" s="571"/>
      <c r="W719" s="571"/>
      <c r="X719" s="571"/>
      <c r="Y719" s="571"/>
      <c r="Z719" s="571"/>
    </row>
    <row r="720" spans="1:26" ht="18.75">
      <c r="A720" s="735"/>
      <c r="B720" s="754"/>
      <c r="C720" s="754"/>
      <c r="D720" s="754"/>
      <c r="E720" s="754"/>
      <c r="F720" s="754"/>
      <c r="G720" s="189"/>
      <c r="H720" s="755" t="s">
        <v>46</v>
      </c>
      <c r="I720" s="756">
        <f ca="1">IFERROR(__xludf.DUMMYFUNCTION("IMPORTRANGE(""https://docs.google.com/spreadsheets/d/1QqKyyYR6Q21VydFLVH3TRQUabQu_ym0Zz7PgGX0-kHA/edit?usp=sharing"",""แผน!II61"")"),585)</f>
        <v>585</v>
      </c>
      <c r="J720" s="269">
        <f ca="1">IFERROR(__xludf.DUMMYFUNCTION("IMPORTRANGE(""https://docs.google.com/spreadsheets/d/1XWAQStnk-4SwqDmLtmXYiTMKHgktTP8We1SCoS47DrQ/edit?usp=sharing"",""จัดที่ดิน!BH61"")"),0)</f>
        <v>0</v>
      </c>
      <c r="K720" s="496">
        <f t="shared" ref="K720:K723" ca="1" si="291">IF(I720&gt;0,J720*100/I720,0)</f>
        <v>0</v>
      </c>
      <c r="L720" s="757"/>
      <c r="M720" s="189"/>
      <c r="N720" s="757"/>
      <c r="O720" s="496"/>
      <c r="P720" s="496"/>
      <c r="Q720" s="571"/>
      <c r="R720" s="571"/>
      <c r="S720" s="571"/>
      <c r="T720" s="571"/>
      <c r="U720" s="571"/>
      <c r="V720" s="571"/>
      <c r="W720" s="571"/>
      <c r="X720" s="571"/>
      <c r="Y720" s="571"/>
      <c r="Z720" s="571"/>
    </row>
    <row r="721" spans="1:26" ht="19.5">
      <c r="A721" s="735"/>
      <c r="B721" s="754"/>
      <c r="C721" s="754"/>
      <c r="D721" s="754" t="s">
        <v>305</v>
      </c>
      <c r="E721" s="754"/>
      <c r="F721" s="754"/>
      <c r="G721" s="189"/>
      <c r="H721" s="758" t="s">
        <v>35</v>
      </c>
      <c r="I721" s="759">
        <f ca="1">IFERROR(__xludf.DUMMYFUNCTION("IMPORTRANGE(""https://docs.google.com/spreadsheets/d/1QqKyyYR6Q21VydFLVH3TRQUabQu_ym0Zz7PgGX0-kHA/edit?usp=sharing"",""แผน!IJ61"")"),60)</f>
        <v>60</v>
      </c>
      <c r="J721" s="674">
        <f ca="1">J723+J726</f>
        <v>1</v>
      </c>
      <c r="K721" s="195">
        <f t="shared" ca="1" si="291"/>
        <v>1.6666666666666667</v>
      </c>
      <c r="L721" s="757"/>
      <c r="M721" s="189"/>
      <c r="N721" s="757"/>
      <c r="O721" s="496"/>
      <c r="P721" s="496"/>
      <c r="Q721" s="571"/>
      <c r="R721" s="571"/>
      <c r="S721" s="571"/>
      <c r="T721" s="571"/>
      <c r="U721" s="571"/>
      <c r="V721" s="571"/>
      <c r="W721" s="571"/>
      <c r="X721" s="571"/>
      <c r="Y721" s="571"/>
      <c r="Z721" s="571"/>
    </row>
    <row r="722" spans="1:26" ht="19.5">
      <c r="A722" s="735"/>
      <c r="B722" s="754"/>
      <c r="C722" s="754"/>
      <c r="D722" s="754"/>
      <c r="E722" s="754"/>
      <c r="F722" s="754"/>
      <c r="G722" s="189"/>
      <c r="H722" s="758" t="s">
        <v>46</v>
      </c>
      <c r="I722" s="759">
        <f ca="1">IFERROR(__xludf.DUMMYFUNCTION("IMPORTRANGE(""https://docs.google.com/spreadsheets/d/1QqKyyYR6Q21VydFLVH3TRQUabQu_ym0Zz7PgGX0-kHA/edit?usp=sharing"",""แผน!IK61"")"),730)</f>
        <v>730</v>
      </c>
      <c r="J722" s="674">
        <f ca="1">J725+J728</f>
        <v>23.97</v>
      </c>
      <c r="K722" s="195">
        <f t="shared" ca="1" si="291"/>
        <v>3.2835616438356166</v>
      </c>
      <c r="L722" s="496"/>
      <c r="M722" s="189"/>
      <c r="N722" s="757"/>
      <c r="O722" s="496"/>
      <c r="P722" s="496"/>
      <c r="Q722" s="571"/>
      <c r="R722" s="571"/>
      <c r="S722" s="571"/>
      <c r="T722" s="571"/>
      <c r="U722" s="571"/>
      <c r="V722" s="571"/>
      <c r="W722" s="571"/>
      <c r="X722" s="571"/>
      <c r="Y722" s="571"/>
      <c r="Z722" s="571"/>
    </row>
    <row r="723" spans="1:26" ht="18.75">
      <c r="A723" s="735"/>
      <c r="B723" s="754"/>
      <c r="C723" s="754"/>
      <c r="D723" s="754"/>
      <c r="E723" s="754" t="s">
        <v>306</v>
      </c>
      <c r="F723" s="754"/>
      <c r="G723" s="189"/>
      <c r="H723" s="755" t="s">
        <v>35</v>
      </c>
      <c r="I723" s="756">
        <f ca="1">IFERROR(__xludf.DUMMYFUNCTION("IMPORTRANGE(""https://docs.google.com/spreadsheets/d/1QqKyyYR6Q21VydFLVH3TRQUabQu_ym0Zz7PgGX0-kHA/edit?usp=sharing"",""แผน!IL61"")"),30)</f>
        <v>30</v>
      </c>
      <c r="J723" s="269">
        <f ca="1">IFERROR(__xludf.DUMMYFUNCTION("IMPORTRANGE(""https://docs.google.com/spreadsheets/d/1XWAQStnk-4SwqDmLtmXYiTMKHgktTP8We1SCoS47DrQ/edit?usp=sharing"",""จัดที่ดิน!BM61"")"),1)</f>
        <v>1</v>
      </c>
      <c r="K723" s="496">
        <f t="shared" ca="1" si="291"/>
        <v>3.3333333333333335</v>
      </c>
      <c r="L723" s="496"/>
      <c r="M723" s="189"/>
      <c r="N723" s="757"/>
      <c r="O723" s="496"/>
      <c r="P723" s="496"/>
      <c r="Q723" s="571"/>
      <c r="R723" s="571"/>
      <c r="S723" s="571"/>
      <c r="T723" s="571"/>
      <c r="U723" s="571"/>
      <c r="V723" s="571"/>
      <c r="W723" s="571"/>
      <c r="X723" s="571"/>
      <c r="Y723" s="571"/>
      <c r="Z723" s="571"/>
    </row>
    <row r="724" spans="1:26" ht="18.75">
      <c r="A724" s="735"/>
      <c r="B724" s="754"/>
      <c r="C724" s="754"/>
      <c r="D724" s="754"/>
      <c r="E724" s="754"/>
      <c r="F724" s="754"/>
      <c r="G724" s="189"/>
      <c r="H724" s="755" t="s">
        <v>34</v>
      </c>
      <c r="I724" s="756"/>
      <c r="J724" s="269">
        <f ca="1">IFERROR(__xludf.DUMMYFUNCTION("IMPORTRANGE(""https://docs.google.com/spreadsheets/d/1XWAQStnk-4SwqDmLtmXYiTMKHgktTP8We1SCoS47DrQ/edit?usp=sharing"",""จัดที่ดิน!BN61"")"),1)</f>
        <v>1</v>
      </c>
      <c r="K724" s="496"/>
      <c r="L724" s="757"/>
      <c r="M724" s="189"/>
      <c r="N724" s="757"/>
      <c r="O724" s="496"/>
      <c r="P724" s="496"/>
      <c r="Q724" s="571"/>
      <c r="R724" s="571"/>
      <c r="S724" s="571"/>
      <c r="T724" s="571"/>
      <c r="U724" s="571"/>
      <c r="V724" s="571"/>
      <c r="W724" s="571"/>
      <c r="X724" s="571"/>
      <c r="Y724" s="571"/>
      <c r="Z724" s="571"/>
    </row>
    <row r="725" spans="1:26" ht="18.75">
      <c r="A725" s="735"/>
      <c r="B725" s="754"/>
      <c r="C725" s="754"/>
      <c r="D725" s="754"/>
      <c r="E725" s="754"/>
      <c r="F725" s="754"/>
      <c r="G725" s="189"/>
      <c r="H725" s="755" t="s">
        <v>46</v>
      </c>
      <c r="I725" s="756">
        <f ca="1">IFERROR(__xludf.DUMMYFUNCTION("IMPORTRANGE(""https://docs.google.com/spreadsheets/d/1QqKyyYR6Q21VydFLVH3TRQUabQu_ym0Zz7PgGX0-kHA/edit?usp=sharing"",""แผน!IM61"")"),410)</f>
        <v>410</v>
      </c>
      <c r="J725" s="269">
        <f ca="1">IFERROR(__xludf.DUMMYFUNCTION("IMPORTRANGE(""https://docs.google.com/spreadsheets/d/1XWAQStnk-4SwqDmLtmXYiTMKHgktTP8We1SCoS47DrQ/edit?usp=sharing"",""จัดที่ดิน!BO61"")"),23.97)</f>
        <v>23.97</v>
      </c>
      <c r="K725" s="496">
        <f t="shared" ref="K725:K726" ca="1" si="292">IF(I725&gt;0,J725*100/I725,0)</f>
        <v>5.8463414634146345</v>
      </c>
      <c r="L725" s="757"/>
      <c r="M725" s="189"/>
      <c r="N725" s="757"/>
      <c r="O725" s="496"/>
      <c r="P725" s="496"/>
      <c r="Q725" s="571"/>
      <c r="R725" s="571"/>
      <c r="S725" s="571"/>
      <c r="T725" s="571"/>
      <c r="U725" s="571"/>
      <c r="V725" s="571"/>
      <c r="W725" s="571"/>
      <c r="X725" s="571"/>
      <c r="Y725" s="571"/>
      <c r="Z725" s="571"/>
    </row>
    <row r="726" spans="1:26" ht="18.75">
      <c r="A726" s="735"/>
      <c r="B726" s="754"/>
      <c r="C726" s="754"/>
      <c r="D726" s="754"/>
      <c r="E726" s="754" t="s">
        <v>307</v>
      </c>
      <c r="F726" s="754"/>
      <c r="G726" s="189"/>
      <c r="H726" s="755" t="s">
        <v>35</v>
      </c>
      <c r="I726" s="756">
        <f ca="1">IFERROR(__xludf.DUMMYFUNCTION("IMPORTRANGE(""https://docs.google.com/spreadsheets/d/1QqKyyYR6Q21VydFLVH3TRQUabQu_ym0Zz7PgGX0-kHA/edit?usp=sharing"",""แผน!IN61"")"),30)</f>
        <v>30</v>
      </c>
      <c r="J726" s="269">
        <f ca="1">IFERROR(__xludf.DUMMYFUNCTION("IMPORTRANGE(""https://docs.google.com/spreadsheets/d/1XWAQStnk-4SwqDmLtmXYiTMKHgktTP8We1SCoS47DrQ/edit?usp=sharing"",""จัดที่ดิน!BR61"")"),0)</f>
        <v>0</v>
      </c>
      <c r="K726" s="496">
        <f t="shared" ca="1" si="292"/>
        <v>0</v>
      </c>
      <c r="L726" s="496"/>
      <c r="M726" s="189"/>
      <c r="N726" s="757"/>
      <c r="O726" s="496"/>
      <c r="P726" s="496"/>
      <c r="Q726" s="571"/>
      <c r="R726" s="571"/>
      <c r="S726" s="571"/>
      <c r="T726" s="571"/>
      <c r="U726" s="571"/>
      <c r="V726" s="571"/>
      <c r="W726" s="571"/>
      <c r="X726" s="571"/>
      <c r="Y726" s="571"/>
      <c r="Z726" s="571"/>
    </row>
    <row r="727" spans="1:26" ht="18.75">
      <c r="A727" s="735"/>
      <c r="B727" s="754"/>
      <c r="C727" s="754"/>
      <c r="D727" s="754"/>
      <c r="E727" s="754"/>
      <c r="F727" s="754"/>
      <c r="G727" s="189"/>
      <c r="H727" s="755" t="s">
        <v>34</v>
      </c>
      <c r="I727" s="756"/>
      <c r="J727" s="269">
        <f ca="1">IFERROR(__xludf.DUMMYFUNCTION("IMPORTRANGE(""https://docs.google.com/spreadsheets/d/1XWAQStnk-4SwqDmLtmXYiTMKHgktTP8We1SCoS47DrQ/edit?usp=sharing"",""จัดที่ดิน!BS61"")"),0)</f>
        <v>0</v>
      </c>
      <c r="K727" s="496"/>
      <c r="L727" s="757"/>
      <c r="M727" s="189"/>
      <c r="N727" s="757"/>
      <c r="O727" s="496"/>
      <c r="P727" s="496"/>
      <c r="Q727" s="571"/>
      <c r="R727" s="571"/>
      <c r="S727" s="571"/>
      <c r="T727" s="571"/>
      <c r="U727" s="571"/>
      <c r="V727" s="571"/>
      <c r="W727" s="571"/>
      <c r="X727" s="571"/>
      <c r="Y727" s="571"/>
      <c r="Z727" s="571"/>
    </row>
    <row r="728" spans="1:26" ht="18.75">
      <c r="A728" s="735"/>
      <c r="B728" s="754"/>
      <c r="C728" s="754"/>
      <c r="D728" s="754"/>
      <c r="E728" s="754"/>
      <c r="F728" s="754"/>
      <c r="G728" s="189"/>
      <c r="H728" s="755" t="s">
        <v>46</v>
      </c>
      <c r="I728" s="756">
        <f ca="1">IFERROR(__xludf.DUMMYFUNCTION("IMPORTRANGE(""https://docs.google.com/spreadsheets/d/1QqKyyYR6Q21VydFLVH3TRQUabQu_ym0Zz7PgGX0-kHA/edit?usp=sharing"",""แผน!IO61"")"),320)</f>
        <v>320</v>
      </c>
      <c r="J728" s="269">
        <f ca="1">IFERROR(__xludf.DUMMYFUNCTION("IMPORTRANGE(""https://docs.google.com/spreadsheets/d/1XWAQStnk-4SwqDmLtmXYiTMKHgktTP8We1SCoS47DrQ/edit?usp=sharing"",""จัดที่ดิน!BT61"")"),0)</f>
        <v>0</v>
      </c>
      <c r="K728" s="496">
        <f t="shared" ref="K728:K729" ca="1" si="293">IF(I728&gt;0,J728*100/I728,0)</f>
        <v>0</v>
      </c>
      <c r="L728" s="757"/>
      <c r="M728" s="189"/>
      <c r="N728" s="757"/>
      <c r="O728" s="496"/>
      <c r="P728" s="496"/>
      <c r="Q728" s="571"/>
      <c r="R728" s="571"/>
      <c r="S728" s="571"/>
      <c r="T728" s="571"/>
      <c r="U728" s="571"/>
      <c r="V728" s="571"/>
      <c r="W728" s="571"/>
      <c r="X728" s="571"/>
      <c r="Y728" s="571"/>
      <c r="Z728" s="571"/>
    </row>
    <row r="729" spans="1:26" ht="19.5">
      <c r="A729" s="735"/>
      <c r="B729" s="754"/>
      <c r="C729" s="754"/>
      <c r="D729" s="754" t="s">
        <v>308</v>
      </c>
      <c r="E729" s="754"/>
      <c r="F729" s="754"/>
      <c r="G729" s="189"/>
      <c r="H729" s="758" t="s">
        <v>46</v>
      </c>
      <c r="I729" s="759">
        <f ca="1">IFERROR(__xludf.DUMMYFUNCTION("IMPORTRANGE(""https://docs.google.com/spreadsheets/d/1QqKyyYR6Q21VydFLVH3TRQUabQu_ym0Zz7PgGX0-kHA/edit?usp=sharing"",""แผน!IP61"")"),50)</f>
        <v>50</v>
      </c>
      <c r="J729" s="674">
        <f>J732+J735</f>
        <v>0</v>
      </c>
      <c r="K729" s="195">
        <f t="shared" ca="1" si="293"/>
        <v>0</v>
      </c>
      <c r="L729" s="496"/>
      <c r="M729" s="189"/>
      <c r="N729" s="757"/>
      <c r="O729" s="496"/>
      <c r="P729" s="496"/>
      <c r="Q729" s="571"/>
      <c r="R729" s="571"/>
      <c r="S729" s="571"/>
      <c r="T729" s="571"/>
      <c r="U729" s="571"/>
      <c r="V729" s="571"/>
      <c r="W729" s="571"/>
      <c r="X729" s="571"/>
      <c r="Y729" s="571"/>
      <c r="Z729" s="571"/>
    </row>
    <row r="730" spans="1:26" ht="18.75">
      <c r="A730" s="735"/>
      <c r="B730" s="754"/>
      <c r="C730" s="754"/>
      <c r="D730" s="754"/>
      <c r="E730" s="754" t="s">
        <v>309</v>
      </c>
      <c r="F730" s="754"/>
      <c r="G730" s="189"/>
      <c r="H730" s="755" t="s">
        <v>35</v>
      </c>
      <c r="I730" s="756"/>
      <c r="J730" s="214">
        <v>0</v>
      </c>
      <c r="K730" s="496"/>
      <c r="L730" s="757"/>
      <c r="M730" s="496"/>
      <c r="N730" s="757"/>
      <c r="O730" s="496"/>
      <c r="P730" s="496"/>
      <c r="Q730" s="571"/>
      <c r="R730" s="571"/>
      <c r="S730" s="571"/>
      <c r="T730" s="571"/>
      <c r="U730" s="571"/>
      <c r="V730" s="571"/>
      <c r="W730" s="571"/>
      <c r="X730" s="571"/>
      <c r="Y730" s="571"/>
      <c r="Z730" s="571"/>
    </row>
    <row r="731" spans="1:26" ht="18.75">
      <c r="A731" s="735"/>
      <c r="B731" s="754"/>
      <c r="C731" s="754"/>
      <c r="D731" s="754"/>
      <c r="E731" s="754"/>
      <c r="F731" s="754"/>
      <c r="G731" s="189"/>
      <c r="H731" s="755" t="s">
        <v>34</v>
      </c>
      <c r="I731" s="756"/>
      <c r="J731" s="214">
        <v>0</v>
      </c>
      <c r="K731" s="496"/>
      <c r="L731" s="757"/>
      <c r="M731" s="496"/>
      <c r="N731" s="757"/>
      <c r="O731" s="496"/>
      <c r="P731" s="496"/>
      <c r="Q731" s="571"/>
      <c r="R731" s="571"/>
      <c r="S731" s="571"/>
      <c r="T731" s="571"/>
      <c r="U731" s="571"/>
      <c r="V731" s="571"/>
      <c r="W731" s="571"/>
      <c r="X731" s="571"/>
      <c r="Y731" s="571"/>
      <c r="Z731" s="571"/>
    </row>
    <row r="732" spans="1:26" ht="18.75">
      <c r="A732" s="735"/>
      <c r="B732" s="754"/>
      <c r="C732" s="754"/>
      <c r="D732" s="754"/>
      <c r="E732" s="754"/>
      <c r="F732" s="754"/>
      <c r="G732" s="189"/>
      <c r="H732" s="755" t="s">
        <v>46</v>
      </c>
      <c r="I732" s="756"/>
      <c r="J732" s="214">
        <v>0</v>
      </c>
      <c r="K732" s="496"/>
      <c r="L732" s="757"/>
      <c r="M732" s="496"/>
      <c r="N732" s="757"/>
      <c r="O732" s="496"/>
      <c r="P732" s="496"/>
      <c r="Q732" s="571"/>
      <c r="R732" s="571"/>
      <c r="S732" s="571"/>
      <c r="T732" s="571"/>
      <c r="U732" s="571"/>
      <c r="V732" s="571"/>
      <c r="W732" s="571"/>
      <c r="X732" s="571"/>
      <c r="Y732" s="571"/>
      <c r="Z732" s="571"/>
    </row>
    <row r="733" spans="1:26" ht="18.75">
      <c r="A733" s="735"/>
      <c r="B733" s="754"/>
      <c r="C733" s="754"/>
      <c r="D733" s="754"/>
      <c r="E733" s="754" t="s">
        <v>310</v>
      </c>
      <c r="F733" s="754"/>
      <c r="G733" s="189"/>
      <c r="H733" s="755" t="s">
        <v>35</v>
      </c>
      <c r="I733" s="756"/>
      <c r="J733" s="214">
        <v>0</v>
      </c>
      <c r="K733" s="496"/>
      <c r="L733" s="757"/>
      <c r="M733" s="496"/>
      <c r="N733" s="757"/>
      <c r="O733" s="496"/>
      <c r="P733" s="496"/>
      <c r="Q733" s="571"/>
      <c r="R733" s="571"/>
      <c r="S733" s="571"/>
      <c r="T733" s="571"/>
      <c r="U733" s="571"/>
      <c r="V733" s="571"/>
      <c r="W733" s="571"/>
      <c r="X733" s="571"/>
      <c r="Y733" s="571"/>
      <c r="Z733" s="571"/>
    </row>
    <row r="734" spans="1:26" ht="18.75">
      <c r="A734" s="735"/>
      <c r="B734" s="754"/>
      <c r="C734" s="754"/>
      <c r="D734" s="754"/>
      <c r="E734" s="754"/>
      <c r="F734" s="754"/>
      <c r="G734" s="189"/>
      <c r="H734" s="755" t="s">
        <v>34</v>
      </c>
      <c r="I734" s="756"/>
      <c r="J734" s="214">
        <v>0</v>
      </c>
      <c r="K734" s="496"/>
      <c r="L734" s="757"/>
      <c r="M734" s="496"/>
      <c r="N734" s="757"/>
      <c r="O734" s="496"/>
      <c r="P734" s="496"/>
      <c r="Q734" s="571"/>
      <c r="R734" s="571"/>
      <c r="S734" s="571"/>
      <c r="T734" s="571"/>
      <c r="U734" s="571"/>
      <c r="V734" s="571"/>
      <c r="W734" s="571"/>
      <c r="X734" s="571"/>
      <c r="Y734" s="571"/>
      <c r="Z734" s="571"/>
    </row>
    <row r="735" spans="1:26" ht="19.5">
      <c r="A735" s="761"/>
      <c r="B735" s="762" t="s">
        <v>311</v>
      </c>
      <c r="C735" s="725"/>
      <c r="D735" s="725"/>
      <c r="E735" s="725"/>
      <c r="F735" s="725"/>
      <c r="G735" s="726"/>
      <c r="H735" s="421" t="s">
        <v>46</v>
      </c>
      <c r="I735" s="763"/>
      <c r="J735" s="423">
        <v>0</v>
      </c>
      <c r="K735" s="500"/>
      <c r="L735" s="764"/>
      <c r="M735" s="500"/>
      <c r="N735" s="764"/>
      <c r="O735" s="500"/>
      <c r="P735" s="500"/>
      <c r="Q735" s="571"/>
      <c r="R735" s="571"/>
      <c r="S735" s="571"/>
      <c r="T735" s="571"/>
      <c r="U735" s="571"/>
      <c r="V735" s="571"/>
      <c r="W735" s="571"/>
      <c r="X735" s="571"/>
      <c r="Y735" s="571"/>
      <c r="Z735" s="571"/>
    </row>
    <row r="736" spans="1:26" ht="19.5" hidden="1">
      <c r="A736" s="765">
        <v>9</v>
      </c>
      <c r="B736" s="766" t="s">
        <v>312</v>
      </c>
      <c r="C736" s="767"/>
      <c r="D736" s="767"/>
      <c r="E736" s="767"/>
      <c r="F736" s="767"/>
      <c r="G736" s="768"/>
      <c r="H736" s="769" t="s">
        <v>46</v>
      </c>
      <c r="I736" s="770"/>
      <c r="J736" s="770">
        <f>J751</f>
        <v>0</v>
      </c>
      <c r="K736" s="771">
        <f>IF(I736&gt;0,J736*100/I736,0)</f>
        <v>0</v>
      </c>
      <c r="L736" s="772"/>
      <c r="M736" s="772"/>
      <c r="N736" s="772"/>
      <c r="O736" s="772"/>
      <c r="P736" s="772"/>
      <c r="Q736" s="597"/>
      <c r="R736" s="597"/>
      <c r="S736" s="597"/>
      <c r="T736" s="597"/>
      <c r="U736" s="597"/>
      <c r="V736" s="597"/>
      <c r="W736" s="597"/>
      <c r="X736" s="597"/>
      <c r="Y736" s="597"/>
      <c r="Z736" s="597"/>
    </row>
    <row r="737" spans="1:26" ht="19.5" hidden="1">
      <c r="A737" s="592"/>
      <c r="B737" s="750"/>
      <c r="C737" s="750" t="s">
        <v>16</v>
      </c>
      <c r="D737" s="864" t="s">
        <v>17</v>
      </c>
      <c r="E737" s="857"/>
      <c r="F737" s="857"/>
      <c r="G737" s="596"/>
      <c r="H737" s="639" t="s">
        <v>12</v>
      </c>
      <c r="I737" s="610"/>
      <c r="J737" s="610"/>
      <c r="K737" s="93"/>
      <c r="L737" s="640">
        <f t="shared" ref="L737:N737" si="294">L738+L739</f>
        <v>0</v>
      </c>
      <c r="M737" s="640">
        <f t="shared" si="294"/>
        <v>0</v>
      </c>
      <c r="N737" s="640">
        <f t="shared" si="294"/>
        <v>0</v>
      </c>
      <c r="O737" s="640">
        <f t="shared" ref="O737:O742" si="295">IF(L737&gt;0,N737*100/L737,0)</f>
        <v>0</v>
      </c>
      <c r="P737" s="640">
        <f t="shared" ref="P737:P742" si="296">IF(M737&gt;0,N737*100/M737,0)</f>
        <v>0</v>
      </c>
      <c r="Q737" s="597"/>
      <c r="R737" s="597"/>
      <c r="S737" s="597"/>
      <c r="T737" s="597"/>
      <c r="U737" s="597"/>
      <c r="V737" s="597"/>
      <c r="W737" s="597"/>
      <c r="X737" s="597"/>
      <c r="Y737" s="597"/>
      <c r="Z737" s="597"/>
    </row>
    <row r="738" spans="1:26" ht="18.75" hidden="1">
      <c r="A738" s="592"/>
      <c r="B738" s="750"/>
      <c r="C738" s="750"/>
      <c r="D738" s="711"/>
      <c r="E738" s="750" t="s">
        <v>184</v>
      </c>
      <c r="F738" s="750"/>
      <c r="G738" s="596"/>
      <c r="H738" s="165" t="s">
        <v>12</v>
      </c>
      <c r="I738" s="610"/>
      <c r="J738" s="610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597"/>
      <c r="R738" s="597"/>
      <c r="S738" s="597"/>
      <c r="T738" s="597"/>
      <c r="U738" s="597"/>
      <c r="V738" s="597"/>
      <c r="W738" s="597"/>
      <c r="X738" s="597"/>
      <c r="Y738" s="597"/>
      <c r="Z738" s="597"/>
    </row>
    <row r="739" spans="1:26" ht="18.75" hidden="1">
      <c r="A739" s="592"/>
      <c r="B739" s="600"/>
      <c r="C739" s="750"/>
      <c r="D739" s="711"/>
      <c r="E739" s="750" t="s">
        <v>185</v>
      </c>
      <c r="F739" s="750"/>
      <c r="G739" s="596"/>
      <c r="H739" s="165" t="s">
        <v>12</v>
      </c>
      <c r="I739" s="610"/>
      <c r="J739" s="610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597"/>
      <c r="R739" s="597"/>
      <c r="S739" s="597"/>
      <c r="T739" s="597"/>
      <c r="U739" s="597"/>
      <c r="V739" s="597"/>
      <c r="W739" s="597"/>
      <c r="X739" s="597"/>
      <c r="Y739" s="597"/>
      <c r="Z739" s="597"/>
    </row>
    <row r="740" spans="1:26" ht="19.5" hidden="1">
      <c r="A740" s="592"/>
      <c r="B740" s="600"/>
      <c r="C740" s="750"/>
      <c r="D740" s="638" t="s">
        <v>20</v>
      </c>
      <c r="E740" s="750"/>
      <c r="F740" s="750"/>
      <c r="G740" s="596"/>
      <c r="H740" s="639" t="s">
        <v>12</v>
      </c>
      <c r="I740" s="166"/>
      <c r="J740" s="166"/>
      <c r="K740" s="167"/>
      <c r="L740" s="640">
        <f t="shared" ref="L740:N740" si="298">L741+L742</f>
        <v>0</v>
      </c>
      <c r="M740" s="640">
        <f t="shared" si="298"/>
        <v>0</v>
      </c>
      <c r="N740" s="640">
        <f t="shared" si="298"/>
        <v>0</v>
      </c>
      <c r="O740" s="640">
        <f t="shared" si="295"/>
        <v>0</v>
      </c>
      <c r="P740" s="640">
        <f t="shared" si="296"/>
        <v>0</v>
      </c>
      <c r="Q740" s="597"/>
      <c r="R740" s="597"/>
      <c r="S740" s="597"/>
      <c r="T740" s="597"/>
      <c r="U740" s="597"/>
      <c r="V740" s="597"/>
      <c r="W740" s="597"/>
      <c r="X740" s="597"/>
      <c r="Y740" s="597"/>
      <c r="Z740" s="597"/>
    </row>
    <row r="741" spans="1:26" ht="18.75" hidden="1">
      <c r="A741" s="592"/>
      <c r="B741" s="600"/>
      <c r="C741" s="750"/>
      <c r="D741" s="711"/>
      <c r="E741" s="750" t="s">
        <v>184</v>
      </c>
      <c r="F741" s="750"/>
      <c r="G741" s="596"/>
      <c r="H741" s="165" t="s">
        <v>12</v>
      </c>
      <c r="I741" s="610"/>
      <c r="J741" s="610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597"/>
      <c r="R741" s="597"/>
      <c r="S741" s="597"/>
      <c r="T741" s="597"/>
      <c r="U741" s="597"/>
      <c r="V741" s="597"/>
      <c r="W741" s="597"/>
      <c r="X741" s="597"/>
      <c r="Y741" s="597"/>
      <c r="Z741" s="597"/>
    </row>
    <row r="742" spans="1:26" ht="18.75" hidden="1">
      <c r="A742" s="592"/>
      <c r="B742" s="600"/>
      <c r="C742" s="750"/>
      <c r="D742" s="711"/>
      <c r="E742" s="750" t="s">
        <v>185</v>
      </c>
      <c r="F742" s="750"/>
      <c r="G742" s="596"/>
      <c r="H742" s="165" t="s">
        <v>12</v>
      </c>
      <c r="I742" s="610"/>
      <c r="J742" s="610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597"/>
      <c r="R742" s="597"/>
      <c r="S742" s="597"/>
      <c r="T742" s="597"/>
      <c r="U742" s="597"/>
      <c r="V742" s="597"/>
      <c r="W742" s="597"/>
      <c r="X742" s="597"/>
      <c r="Y742" s="597"/>
      <c r="Z742" s="597"/>
    </row>
    <row r="743" spans="1:26" ht="18.75" hidden="1">
      <c r="A743" s="642"/>
      <c r="B743" s="600"/>
      <c r="C743" s="750"/>
      <c r="D743" s="750"/>
      <c r="E743" s="750"/>
      <c r="F743" s="750" t="s">
        <v>186</v>
      </c>
      <c r="G743" s="596"/>
      <c r="H743" s="165" t="s">
        <v>12</v>
      </c>
      <c r="I743" s="610"/>
      <c r="J743" s="610"/>
      <c r="K743" s="93"/>
      <c r="L743" s="93"/>
      <c r="M743" s="93"/>
      <c r="N743" s="93"/>
      <c r="O743" s="93"/>
      <c r="P743" s="93"/>
      <c r="Q743" s="597"/>
      <c r="R743" s="597"/>
      <c r="S743" s="597"/>
      <c r="T743" s="597"/>
      <c r="U743" s="597"/>
      <c r="V743" s="597"/>
      <c r="W743" s="597"/>
      <c r="X743" s="597"/>
      <c r="Y743" s="597"/>
      <c r="Z743" s="597"/>
    </row>
    <row r="744" spans="1:26" ht="18.75" hidden="1">
      <c r="A744" s="642"/>
      <c r="B744" s="600"/>
      <c r="C744" s="750"/>
      <c r="D744" s="750"/>
      <c r="E744" s="750"/>
      <c r="F744" s="750" t="s">
        <v>187</v>
      </c>
      <c r="G744" s="596"/>
      <c r="H744" s="165" t="s">
        <v>12</v>
      </c>
      <c r="I744" s="610"/>
      <c r="J744" s="610"/>
      <c r="K744" s="93"/>
      <c r="L744" s="93"/>
      <c r="M744" s="93"/>
      <c r="N744" s="93"/>
      <c r="O744" s="93"/>
      <c r="P744" s="93"/>
      <c r="Q744" s="597"/>
      <c r="R744" s="597"/>
      <c r="S744" s="597"/>
      <c r="T744" s="597"/>
      <c r="U744" s="597"/>
      <c r="V744" s="597"/>
      <c r="W744" s="597"/>
      <c r="X744" s="597"/>
      <c r="Y744" s="597"/>
      <c r="Z744" s="597"/>
    </row>
    <row r="745" spans="1:26" ht="18.75" hidden="1">
      <c r="A745" s="642"/>
      <c r="B745" s="600"/>
      <c r="C745" s="750"/>
      <c r="D745" s="750"/>
      <c r="E745" s="750"/>
      <c r="F745" s="750" t="s">
        <v>188</v>
      </c>
      <c r="G745" s="596"/>
      <c r="H745" s="165" t="s">
        <v>12</v>
      </c>
      <c r="I745" s="610"/>
      <c r="J745" s="610"/>
      <c r="K745" s="93"/>
      <c r="L745" s="93"/>
      <c r="M745" s="93"/>
      <c r="N745" s="93"/>
      <c r="O745" s="93"/>
      <c r="P745" s="93"/>
      <c r="Q745" s="597"/>
      <c r="R745" s="597"/>
      <c r="S745" s="597"/>
      <c r="T745" s="597"/>
      <c r="U745" s="597"/>
      <c r="V745" s="597"/>
      <c r="W745" s="597"/>
      <c r="X745" s="597"/>
      <c r="Y745" s="597"/>
      <c r="Z745" s="597"/>
    </row>
    <row r="746" spans="1:26" ht="18.75" hidden="1">
      <c r="A746" s="642"/>
      <c r="B746" s="600"/>
      <c r="C746" s="750"/>
      <c r="D746" s="750"/>
      <c r="E746" s="750"/>
      <c r="F746" s="750" t="s">
        <v>189</v>
      </c>
      <c r="G746" s="596"/>
      <c r="H746" s="165" t="s">
        <v>12</v>
      </c>
      <c r="I746" s="610"/>
      <c r="J746" s="610"/>
      <c r="K746" s="93"/>
      <c r="L746" s="93"/>
      <c r="M746" s="93"/>
      <c r="N746" s="93"/>
      <c r="O746" s="93"/>
      <c r="P746" s="93"/>
      <c r="Q746" s="597"/>
      <c r="R746" s="597"/>
      <c r="S746" s="597"/>
      <c r="T746" s="597"/>
      <c r="U746" s="597"/>
      <c r="V746" s="597"/>
      <c r="W746" s="597"/>
      <c r="X746" s="597"/>
      <c r="Y746" s="597"/>
      <c r="Z746" s="597"/>
    </row>
    <row r="747" spans="1:26" ht="19.5" hidden="1">
      <c r="A747" s="592"/>
      <c r="B747" s="600"/>
      <c r="C747" s="750"/>
      <c r="D747" s="638" t="s">
        <v>21</v>
      </c>
      <c r="E747" s="750"/>
      <c r="F747" s="750"/>
      <c r="G747" s="596"/>
      <c r="H747" s="774" t="s">
        <v>12</v>
      </c>
      <c r="I747" s="166"/>
      <c r="J747" s="166"/>
      <c r="K747" s="167"/>
      <c r="L747" s="640">
        <f t="shared" ref="L747:N747" si="299">L748+L749</f>
        <v>0</v>
      </c>
      <c r="M747" s="640">
        <f t="shared" si="299"/>
        <v>0</v>
      </c>
      <c r="N747" s="640">
        <f t="shared" si="299"/>
        <v>0</v>
      </c>
      <c r="O747" s="640">
        <f t="shared" ref="O747:O749" si="300">IF(L747&gt;0,N747*100/L747,0)</f>
        <v>0</v>
      </c>
      <c r="P747" s="640">
        <f t="shared" ref="P747:P749" si="301">IF(M747&gt;0,N747*100/M747,0)</f>
        <v>0</v>
      </c>
      <c r="Q747" s="597"/>
      <c r="R747" s="597"/>
      <c r="S747" s="597"/>
      <c r="T747" s="597"/>
      <c r="U747" s="597"/>
      <c r="V747" s="597"/>
      <c r="W747" s="597"/>
      <c r="X747" s="597"/>
      <c r="Y747" s="597"/>
      <c r="Z747" s="597"/>
    </row>
    <row r="748" spans="1:26" ht="18.75" hidden="1">
      <c r="A748" s="592"/>
      <c r="B748" s="600"/>
      <c r="C748" s="750"/>
      <c r="D748" s="750"/>
      <c r="E748" s="750" t="s">
        <v>18</v>
      </c>
      <c r="F748" s="750"/>
      <c r="G748" s="596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597"/>
      <c r="R748" s="597"/>
      <c r="S748" s="597"/>
      <c r="T748" s="597"/>
      <c r="U748" s="597"/>
      <c r="V748" s="597"/>
      <c r="W748" s="597"/>
      <c r="X748" s="597"/>
      <c r="Y748" s="597"/>
      <c r="Z748" s="597"/>
    </row>
    <row r="749" spans="1:26" ht="18.75" hidden="1">
      <c r="A749" s="592"/>
      <c r="B749" s="600"/>
      <c r="C749" s="750"/>
      <c r="D749" s="750"/>
      <c r="E749" s="750" t="s">
        <v>19</v>
      </c>
      <c r="F749" s="750"/>
      <c r="G749" s="596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597"/>
      <c r="R749" s="597"/>
      <c r="S749" s="597"/>
      <c r="T749" s="597"/>
      <c r="U749" s="597"/>
      <c r="V749" s="597"/>
      <c r="W749" s="597"/>
      <c r="X749" s="597"/>
      <c r="Y749" s="597"/>
      <c r="Z749" s="597"/>
    </row>
    <row r="750" spans="1:26" ht="19.5" hidden="1">
      <c r="A750" s="607"/>
      <c r="B750" s="609"/>
      <c r="C750" s="750" t="s">
        <v>16</v>
      </c>
      <c r="D750" s="841" t="s">
        <v>38</v>
      </c>
      <c r="E750" s="644"/>
      <c r="F750" s="644"/>
      <c r="G750" s="645"/>
      <c r="H750" s="365"/>
      <c r="I750" s="166"/>
      <c r="J750" s="166"/>
      <c r="K750" s="167"/>
      <c r="L750" s="167"/>
      <c r="M750" s="167"/>
      <c r="N750" s="167"/>
      <c r="O750" s="167"/>
      <c r="P750" s="167"/>
      <c r="Q750" s="597"/>
      <c r="R750" s="597"/>
      <c r="S750" s="597"/>
      <c r="T750" s="597"/>
      <c r="U750" s="597"/>
      <c r="V750" s="597"/>
      <c r="W750" s="597"/>
      <c r="X750" s="597"/>
      <c r="Y750" s="597"/>
      <c r="Z750" s="597"/>
    </row>
    <row r="751" spans="1:26" ht="18.75" hidden="1">
      <c r="A751" s="642"/>
      <c r="B751" s="600"/>
      <c r="C751" s="750"/>
      <c r="D751" s="750"/>
      <c r="E751" s="750" t="s">
        <v>313</v>
      </c>
      <c r="F751" s="750"/>
      <c r="G751" s="596"/>
      <c r="H751" s="165" t="s">
        <v>46</v>
      </c>
      <c r="I751" s="610"/>
      <c r="J751" s="610"/>
      <c r="K751" s="93"/>
      <c r="L751" s="93"/>
      <c r="M751" s="93"/>
      <c r="N751" s="93"/>
      <c r="O751" s="93"/>
      <c r="P751" s="93"/>
      <c r="Q751" s="597"/>
      <c r="R751" s="597"/>
      <c r="S751" s="597"/>
      <c r="T751" s="597"/>
      <c r="U751" s="597"/>
      <c r="V751" s="597"/>
      <c r="W751" s="597"/>
      <c r="X751" s="597"/>
      <c r="Y751" s="597"/>
      <c r="Z751" s="597"/>
    </row>
    <row r="752" spans="1:26" ht="18.75" hidden="1">
      <c r="A752" s="642"/>
      <c r="B752" s="600"/>
      <c r="C752" s="750"/>
      <c r="D752" s="750"/>
      <c r="E752" s="750"/>
      <c r="F752" s="750"/>
      <c r="G752" s="596"/>
      <c r="H752" s="165" t="s">
        <v>314</v>
      </c>
      <c r="I752" s="610"/>
      <c r="J752" s="610"/>
      <c r="K752" s="93"/>
      <c r="L752" s="93"/>
      <c r="M752" s="93"/>
      <c r="N752" s="93"/>
      <c r="O752" s="93"/>
      <c r="P752" s="93"/>
      <c r="Q752" s="597"/>
      <c r="R752" s="597"/>
      <c r="S752" s="597"/>
      <c r="T752" s="597"/>
      <c r="U752" s="597"/>
      <c r="V752" s="597"/>
      <c r="W752" s="597"/>
      <c r="X752" s="597"/>
      <c r="Y752" s="597"/>
      <c r="Z752" s="597"/>
    </row>
    <row r="753" spans="1:26" ht="19.5" hidden="1">
      <c r="A753" s="776">
        <v>10</v>
      </c>
      <c r="B753" s="777" t="s">
        <v>315</v>
      </c>
      <c r="C753" s="778"/>
      <c r="D753" s="778"/>
      <c r="E753" s="778"/>
      <c r="F753" s="778"/>
      <c r="G753" s="779"/>
      <c r="H753" s="780" t="s">
        <v>46</v>
      </c>
      <c r="I753" s="781"/>
      <c r="J753" s="781">
        <f>J768</f>
        <v>0</v>
      </c>
      <c r="K753" s="782">
        <f>IF(I753&gt;0,J753*100/I753,0)</f>
        <v>0</v>
      </c>
      <c r="L753" s="783"/>
      <c r="M753" s="783"/>
      <c r="N753" s="783"/>
      <c r="O753" s="783"/>
      <c r="P753" s="783"/>
      <c r="Q753" s="597"/>
      <c r="R753" s="597"/>
      <c r="S753" s="597"/>
      <c r="T753" s="597"/>
      <c r="U753" s="597"/>
      <c r="V753" s="597"/>
      <c r="W753" s="597"/>
      <c r="X753" s="597"/>
      <c r="Y753" s="597"/>
      <c r="Z753" s="597"/>
    </row>
    <row r="754" spans="1:26" ht="19.5" hidden="1">
      <c r="A754" s="592"/>
      <c r="B754" s="750"/>
      <c r="C754" s="750" t="s">
        <v>16</v>
      </c>
      <c r="D754" s="864" t="s">
        <v>17</v>
      </c>
      <c r="E754" s="857"/>
      <c r="F754" s="857"/>
      <c r="G754" s="596"/>
      <c r="H754" s="639" t="s">
        <v>12</v>
      </c>
      <c r="I754" s="610"/>
      <c r="J754" s="610"/>
      <c r="K754" s="93"/>
      <c r="L754" s="640">
        <f t="shared" ref="L754:N754" si="302">L755+L756</f>
        <v>0</v>
      </c>
      <c r="M754" s="640">
        <f t="shared" si="302"/>
        <v>0</v>
      </c>
      <c r="N754" s="640">
        <f t="shared" si="302"/>
        <v>0</v>
      </c>
      <c r="O754" s="640">
        <f t="shared" ref="O754:O759" si="303">IF(L754&gt;0,N754*100/L754,0)</f>
        <v>0</v>
      </c>
      <c r="P754" s="640">
        <f t="shared" ref="P754:P759" si="304">IF(M754&gt;0,N754*100/M754,0)</f>
        <v>0</v>
      </c>
      <c r="Q754" s="597"/>
      <c r="R754" s="597"/>
      <c r="S754" s="597"/>
      <c r="T754" s="597"/>
      <c r="U754" s="597"/>
      <c r="V754" s="597"/>
      <c r="W754" s="597"/>
      <c r="X754" s="597"/>
      <c r="Y754" s="597"/>
      <c r="Z754" s="597"/>
    </row>
    <row r="755" spans="1:26" ht="18.75" hidden="1">
      <c r="A755" s="592"/>
      <c r="B755" s="750"/>
      <c r="C755" s="750"/>
      <c r="D755" s="711"/>
      <c r="E755" s="750" t="s">
        <v>184</v>
      </c>
      <c r="F755" s="750"/>
      <c r="G755" s="596"/>
      <c r="H755" s="165" t="s">
        <v>12</v>
      </c>
      <c r="I755" s="610"/>
      <c r="J755" s="610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597"/>
      <c r="R755" s="597"/>
      <c r="S755" s="597"/>
      <c r="T755" s="597"/>
      <c r="U755" s="597"/>
      <c r="V755" s="597"/>
      <c r="W755" s="597"/>
      <c r="X755" s="597"/>
      <c r="Y755" s="597"/>
      <c r="Z755" s="597"/>
    </row>
    <row r="756" spans="1:26" ht="18.75" hidden="1">
      <c r="A756" s="592"/>
      <c r="B756" s="600"/>
      <c r="C756" s="750"/>
      <c r="D756" s="711"/>
      <c r="E756" s="750" t="s">
        <v>185</v>
      </c>
      <c r="F756" s="750"/>
      <c r="G756" s="596"/>
      <c r="H756" s="165" t="s">
        <v>12</v>
      </c>
      <c r="I756" s="610"/>
      <c r="J756" s="610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597"/>
      <c r="R756" s="597"/>
      <c r="S756" s="597"/>
      <c r="T756" s="597"/>
      <c r="U756" s="597"/>
      <c r="V756" s="597"/>
      <c r="W756" s="597"/>
      <c r="X756" s="597"/>
      <c r="Y756" s="597"/>
      <c r="Z756" s="597"/>
    </row>
    <row r="757" spans="1:26" ht="19.5" hidden="1">
      <c r="A757" s="592"/>
      <c r="B757" s="600"/>
      <c r="C757" s="750"/>
      <c r="D757" s="638" t="s">
        <v>20</v>
      </c>
      <c r="E757" s="750"/>
      <c r="F757" s="750"/>
      <c r="G757" s="596"/>
      <c r="H757" s="639" t="s">
        <v>12</v>
      </c>
      <c r="I757" s="166"/>
      <c r="J757" s="166"/>
      <c r="K757" s="167"/>
      <c r="L757" s="640">
        <f t="shared" ref="L757:N757" si="306">L758+L759</f>
        <v>0</v>
      </c>
      <c r="M757" s="640">
        <f t="shared" si="306"/>
        <v>0</v>
      </c>
      <c r="N757" s="640">
        <f t="shared" si="306"/>
        <v>0</v>
      </c>
      <c r="O757" s="640">
        <f t="shared" si="303"/>
        <v>0</v>
      </c>
      <c r="P757" s="640">
        <f t="shared" si="304"/>
        <v>0</v>
      </c>
      <c r="Q757" s="597"/>
      <c r="R757" s="597"/>
      <c r="S757" s="597"/>
      <c r="T757" s="597"/>
      <c r="U757" s="597"/>
      <c r="V757" s="597"/>
      <c r="W757" s="597"/>
      <c r="X757" s="597"/>
      <c r="Y757" s="597"/>
      <c r="Z757" s="597"/>
    </row>
    <row r="758" spans="1:26" ht="18.75" hidden="1">
      <c r="A758" s="592"/>
      <c r="B758" s="600"/>
      <c r="C758" s="750"/>
      <c r="D758" s="711"/>
      <c r="E758" s="750" t="s">
        <v>184</v>
      </c>
      <c r="F758" s="750"/>
      <c r="G758" s="596"/>
      <c r="H758" s="165" t="s">
        <v>12</v>
      </c>
      <c r="I758" s="610"/>
      <c r="J758" s="610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597"/>
      <c r="R758" s="597"/>
      <c r="S758" s="597"/>
      <c r="T758" s="597"/>
      <c r="U758" s="597"/>
      <c r="V758" s="597"/>
      <c r="W758" s="597"/>
      <c r="X758" s="597"/>
      <c r="Y758" s="597"/>
      <c r="Z758" s="597"/>
    </row>
    <row r="759" spans="1:26" ht="18.75" hidden="1">
      <c r="A759" s="592"/>
      <c r="B759" s="600"/>
      <c r="C759" s="750"/>
      <c r="D759" s="711"/>
      <c r="E759" s="750" t="s">
        <v>185</v>
      </c>
      <c r="F759" s="750"/>
      <c r="G759" s="596"/>
      <c r="H759" s="165" t="s">
        <v>12</v>
      </c>
      <c r="I759" s="610"/>
      <c r="J759" s="610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597"/>
      <c r="R759" s="597"/>
      <c r="S759" s="597"/>
      <c r="T759" s="597"/>
      <c r="U759" s="597"/>
      <c r="V759" s="597"/>
      <c r="W759" s="597"/>
      <c r="X759" s="597"/>
      <c r="Y759" s="597"/>
      <c r="Z759" s="597"/>
    </row>
    <row r="760" spans="1:26" ht="18.75" hidden="1">
      <c r="A760" s="642"/>
      <c r="B760" s="600"/>
      <c r="C760" s="750"/>
      <c r="D760" s="750"/>
      <c r="E760" s="750"/>
      <c r="F760" s="750" t="s">
        <v>186</v>
      </c>
      <c r="G760" s="596"/>
      <c r="H760" s="165" t="s">
        <v>12</v>
      </c>
      <c r="I760" s="610"/>
      <c r="J760" s="610"/>
      <c r="K760" s="93"/>
      <c r="L760" s="93"/>
      <c r="M760" s="93"/>
      <c r="N760" s="93"/>
      <c r="O760" s="93"/>
      <c r="P760" s="93"/>
      <c r="Q760" s="597"/>
      <c r="R760" s="597"/>
      <c r="S760" s="597"/>
      <c r="T760" s="597"/>
      <c r="U760" s="597"/>
      <c r="V760" s="597"/>
      <c r="W760" s="597"/>
      <c r="X760" s="597"/>
      <c r="Y760" s="597"/>
      <c r="Z760" s="597"/>
    </row>
    <row r="761" spans="1:26" ht="18.75" hidden="1">
      <c r="A761" s="642"/>
      <c r="B761" s="600"/>
      <c r="C761" s="750"/>
      <c r="D761" s="750"/>
      <c r="E761" s="750"/>
      <c r="F761" s="750" t="s">
        <v>187</v>
      </c>
      <c r="G761" s="596"/>
      <c r="H761" s="165" t="s">
        <v>12</v>
      </c>
      <c r="I761" s="610"/>
      <c r="J761" s="610"/>
      <c r="K761" s="93"/>
      <c r="L761" s="93"/>
      <c r="M761" s="93"/>
      <c r="N761" s="93"/>
      <c r="O761" s="93"/>
      <c r="P761" s="93"/>
      <c r="Q761" s="597"/>
      <c r="R761" s="597"/>
      <c r="S761" s="597"/>
      <c r="T761" s="597"/>
      <c r="U761" s="597"/>
      <c r="V761" s="597"/>
      <c r="W761" s="597"/>
      <c r="X761" s="597"/>
      <c r="Y761" s="597"/>
      <c r="Z761" s="597"/>
    </row>
    <row r="762" spans="1:26" ht="18.75" hidden="1">
      <c r="A762" s="642"/>
      <c r="B762" s="600"/>
      <c r="C762" s="750"/>
      <c r="D762" s="750"/>
      <c r="E762" s="750"/>
      <c r="F762" s="750" t="s">
        <v>188</v>
      </c>
      <c r="G762" s="596"/>
      <c r="H762" s="165" t="s">
        <v>12</v>
      </c>
      <c r="I762" s="610"/>
      <c r="J762" s="610"/>
      <c r="K762" s="93"/>
      <c r="L762" s="93"/>
      <c r="M762" s="93"/>
      <c r="N762" s="93"/>
      <c r="O762" s="93"/>
      <c r="P762" s="93"/>
      <c r="Q762" s="597"/>
      <c r="R762" s="597"/>
      <c r="S762" s="597"/>
      <c r="T762" s="597"/>
      <c r="U762" s="597"/>
      <c r="V762" s="597"/>
      <c r="W762" s="597"/>
      <c r="X762" s="597"/>
      <c r="Y762" s="597"/>
      <c r="Z762" s="597"/>
    </row>
    <row r="763" spans="1:26" ht="18.75" hidden="1">
      <c r="A763" s="642"/>
      <c r="B763" s="600"/>
      <c r="C763" s="750"/>
      <c r="D763" s="750"/>
      <c r="E763" s="750"/>
      <c r="F763" s="750" t="s">
        <v>189</v>
      </c>
      <c r="G763" s="596"/>
      <c r="H763" s="165" t="s">
        <v>12</v>
      </c>
      <c r="I763" s="610"/>
      <c r="J763" s="610"/>
      <c r="K763" s="93"/>
      <c r="L763" s="93"/>
      <c r="M763" s="93"/>
      <c r="N763" s="93"/>
      <c r="O763" s="93"/>
      <c r="P763" s="93"/>
      <c r="Q763" s="597"/>
      <c r="R763" s="597"/>
      <c r="S763" s="597"/>
      <c r="T763" s="597"/>
      <c r="U763" s="597"/>
      <c r="V763" s="597"/>
      <c r="W763" s="597"/>
      <c r="X763" s="597"/>
      <c r="Y763" s="597"/>
      <c r="Z763" s="597"/>
    </row>
    <row r="764" spans="1:26" ht="19.5" hidden="1">
      <c r="A764" s="592"/>
      <c r="B764" s="600"/>
      <c r="C764" s="750"/>
      <c r="D764" s="638" t="s">
        <v>21</v>
      </c>
      <c r="E764" s="750"/>
      <c r="F764" s="750"/>
      <c r="G764" s="596"/>
      <c r="H764" s="774" t="s">
        <v>12</v>
      </c>
      <c r="I764" s="166"/>
      <c r="J764" s="166"/>
      <c r="K764" s="167"/>
      <c r="L764" s="640">
        <f t="shared" ref="L764:N764" si="307">L765+L766</f>
        <v>0</v>
      </c>
      <c r="M764" s="640">
        <f t="shared" si="307"/>
        <v>0</v>
      </c>
      <c r="N764" s="640">
        <f t="shared" si="307"/>
        <v>0</v>
      </c>
      <c r="O764" s="640">
        <f t="shared" ref="O764:O766" si="308">IF(L764&gt;0,N764*100/L764,0)</f>
        <v>0</v>
      </c>
      <c r="P764" s="640">
        <f t="shared" ref="P764:P766" si="309">IF(M764&gt;0,N764*100/M764,0)</f>
        <v>0</v>
      </c>
      <c r="Q764" s="597"/>
      <c r="R764" s="597"/>
      <c r="S764" s="597"/>
      <c r="T764" s="597"/>
      <c r="U764" s="597"/>
      <c r="V764" s="597"/>
      <c r="W764" s="597"/>
      <c r="X764" s="597"/>
      <c r="Y764" s="597"/>
      <c r="Z764" s="597"/>
    </row>
    <row r="765" spans="1:26" ht="18.75" hidden="1">
      <c r="A765" s="592"/>
      <c r="B765" s="600"/>
      <c r="C765" s="750"/>
      <c r="D765" s="750"/>
      <c r="E765" s="750" t="s">
        <v>18</v>
      </c>
      <c r="F765" s="750"/>
      <c r="G765" s="596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597"/>
      <c r="R765" s="597"/>
      <c r="S765" s="597"/>
      <c r="T765" s="597"/>
      <c r="U765" s="597"/>
      <c r="V765" s="597"/>
      <c r="W765" s="597"/>
      <c r="X765" s="597"/>
      <c r="Y765" s="597"/>
      <c r="Z765" s="597"/>
    </row>
    <row r="766" spans="1:26" ht="18.75" hidden="1">
      <c r="A766" s="592"/>
      <c r="B766" s="600"/>
      <c r="C766" s="750"/>
      <c r="D766" s="750"/>
      <c r="E766" s="750" t="s">
        <v>19</v>
      </c>
      <c r="F766" s="750"/>
      <c r="G766" s="596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597"/>
      <c r="R766" s="597"/>
      <c r="S766" s="597"/>
      <c r="T766" s="597"/>
      <c r="U766" s="597"/>
      <c r="V766" s="597"/>
      <c r="W766" s="597"/>
      <c r="X766" s="597"/>
      <c r="Y766" s="597"/>
      <c r="Z766" s="597"/>
    </row>
    <row r="767" spans="1:26" ht="19.5" hidden="1">
      <c r="A767" s="607"/>
      <c r="B767" s="609"/>
      <c r="C767" s="750" t="s">
        <v>16</v>
      </c>
      <c r="D767" s="841" t="s">
        <v>38</v>
      </c>
      <c r="E767" s="644"/>
      <c r="F767" s="644"/>
      <c r="G767" s="645"/>
      <c r="H767" s="365"/>
      <c r="I767" s="166"/>
      <c r="J767" s="166"/>
      <c r="K767" s="167"/>
      <c r="L767" s="167"/>
      <c r="M767" s="167"/>
      <c r="N767" s="167"/>
      <c r="O767" s="167"/>
      <c r="P767" s="167"/>
      <c r="Q767" s="597"/>
      <c r="R767" s="597"/>
      <c r="S767" s="597"/>
      <c r="T767" s="597"/>
      <c r="U767" s="597"/>
      <c r="V767" s="597"/>
      <c r="W767" s="597"/>
      <c r="X767" s="597"/>
      <c r="Y767" s="597"/>
      <c r="Z767" s="597"/>
    </row>
    <row r="768" spans="1:26" ht="18.75" hidden="1">
      <c r="A768" s="642"/>
      <c r="B768" s="600"/>
      <c r="C768" s="750"/>
      <c r="D768" s="750"/>
      <c r="E768" s="750" t="s">
        <v>316</v>
      </c>
      <c r="F768" s="750"/>
      <c r="G768" s="596"/>
      <c r="H768" s="165" t="s">
        <v>46</v>
      </c>
      <c r="I768" s="610"/>
      <c r="J768" s="610"/>
      <c r="K768" s="93"/>
      <c r="L768" s="93"/>
      <c r="M768" s="93"/>
      <c r="N768" s="93"/>
      <c r="O768" s="93"/>
      <c r="P768" s="93"/>
      <c r="Q768" s="597"/>
      <c r="R768" s="597"/>
      <c r="S768" s="597"/>
      <c r="T768" s="597"/>
      <c r="U768" s="597"/>
      <c r="V768" s="597"/>
      <c r="W768" s="597"/>
      <c r="X768" s="597"/>
      <c r="Y768" s="597"/>
      <c r="Z768" s="597"/>
    </row>
    <row r="769" spans="1:26" ht="19.5" hidden="1">
      <c r="A769" s="784">
        <v>11</v>
      </c>
      <c r="B769" s="785" t="s">
        <v>317</v>
      </c>
      <c r="C769" s="786"/>
      <c r="D769" s="786"/>
      <c r="E769" s="786"/>
      <c r="F769" s="786"/>
      <c r="G769" s="787"/>
      <c r="H769" s="788" t="s">
        <v>46</v>
      </c>
      <c r="I769" s="789"/>
      <c r="J769" s="789">
        <f>J784</f>
        <v>0</v>
      </c>
      <c r="K769" s="790">
        <f>IF(I769&gt;0,J769*100/I769,0)</f>
        <v>0</v>
      </c>
      <c r="L769" s="791"/>
      <c r="M769" s="791"/>
      <c r="N769" s="791"/>
      <c r="O769" s="791"/>
      <c r="P769" s="791"/>
      <c r="Q769" s="597"/>
      <c r="R769" s="597"/>
      <c r="S769" s="597"/>
      <c r="T769" s="597"/>
      <c r="U769" s="597"/>
      <c r="V769" s="597"/>
      <c r="W769" s="597"/>
      <c r="X769" s="597"/>
      <c r="Y769" s="597"/>
      <c r="Z769" s="597"/>
    </row>
    <row r="770" spans="1:26" ht="19.5" hidden="1">
      <c r="A770" s="592"/>
      <c r="B770" s="750"/>
      <c r="C770" s="750" t="s">
        <v>16</v>
      </c>
      <c r="D770" s="864" t="s">
        <v>17</v>
      </c>
      <c r="E770" s="857"/>
      <c r="F770" s="857"/>
      <c r="G770" s="596"/>
      <c r="H770" s="639" t="s">
        <v>12</v>
      </c>
      <c r="I770" s="610"/>
      <c r="J770" s="610"/>
      <c r="K770" s="93"/>
      <c r="L770" s="640">
        <f t="shared" ref="L770:N770" si="310">L771+L772</f>
        <v>0</v>
      </c>
      <c r="M770" s="640">
        <f t="shared" si="310"/>
        <v>0</v>
      </c>
      <c r="N770" s="640">
        <f t="shared" si="310"/>
        <v>0</v>
      </c>
      <c r="O770" s="640">
        <f t="shared" ref="O770:O775" si="311">IF(L770&gt;0,N770*100/L770,0)</f>
        <v>0</v>
      </c>
      <c r="P770" s="640">
        <f t="shared" ref="P770:P775" si="312">IF(M770&gt;0,N770*100/M770,0)</f>
        <v>0</v>
      </c>
      <c r="Q770" s="597"/>
      <c r="R770" s="597"/>
      <c r="S770" s="597"/>
      <c r="T770" s="597"/>
      <c r="U770" s="597"/>
      <c r="V770" s="597"/>
      <c r="W770" s="597"/>
      <c r="X770" s="597"/>
      <c r="Y770" s="597"/>
      <c r="Z770" s="597"/>
    </row>
    <row r="771" spans="1:26" ht="18.75" hidden="1">
      <c r="A771" s="592"/>
      <c r="B771" s="750"/>
      <c r="C771" s="750"/>
      <c r="D771" s="711"/>
      <c r="E771" s="750" t="s">
        <v>184</v>
      </c>
      <c r="F771" s="750"/>
      <c r="G771" s="596"/>
      <c r="H771" s="165" t="s">
        <v>12</v>
      </c>
      <c r="I771" s="610"/>
      <c r="J771" s="610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597"/>
      <c r="R771" s="597"/>
      <c r="S771" s="597"/>
      <c r="T771" s="597"/>
      <c r="U771" s="597"/>
      <c r="V771" s="597"/>
      <c r="W771" s="597"/>
      <c r="X771" s="597"/>
      <c r="Y771" s="597"/>
      <c r="Z771" s="597"/>
    </row>
    <row r="772" spans="1:26" ht="18.75" hidden="1">
      <c r="A772" s="592"/>
      <c r="B772" s="600"/>
      <c r="C772" s="750"/>
      <c r="D772" s="711"/>
      <c r="E772" s="750" t="s">
        <v>185</v>
      </c>
      <c r="F772" s="750"/>
      <c r="G772" s="596"/>
      <c r="H772" s="165" t="s">
        <v>12</v>
      </c>
      <c r="I772" s="610"/>
      <c r="J772" s="610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597"/>
      <c r="R772" s="597"/>
      <c r="S772" s="597"/>
      <c r="T772" s="597"/>
      <c r="U772" s="597"/>
      <c r="V772" s="597"/>
      <c r="W772" s="597"/>
      <c r="X772" s="597"/>
      <c r="Y772" s="597"/>
      <c r="Z772" s="597"/>
    </row>
    <row r="773" spans="1:26" ht="19.5" hidden="1">
      <c r="A773" s="592"/>
      <c r="B773" s="600"/>
      <c r="C773" s="750"/>
      <c r="D773" s="638" t="s">
        <v>20</v>
      </c>
      <c r="E773" s="750"/>
      <c r="F773" s="750"/>
      <c r="G773" s="596"/>
      <c r="H773" s="639" t="s">
        <v>12</v>
      </c>
      <c r="I773" s="166"/>
      <c r="J773" s="166"/>
      <c r="K773" s="167"/>
      <c r="L773" s="640">
        <f t="shared" ref="L773:N773" si="314">L774+L775</f>
        <v>0</v>
      </c>
      <c r="M773" s="640">
        <f t="shared" si="314"/>
        <v>0</v>
      </c>
      <c r="N773" s="640">
        <f t="shared" si="314"/>
        <v>0</v>
      </c>
      <c r="O773" s="640">
        <f t="shared" si="311"/>
        <v>0</v>
      </c>
      <c r="P773" s="640">
        <f t="shared" si="312"/>
        <v>0</v>
      </c>
      <c r="Q773" s="597"/>
      <c r="R773" s="597"/>
      <c r="S773" s="597"/>
      <c r="T773" s="597"/>
      <c r="U773" s="597"/>
      <c r="V773" s="597"/>
      <c r="W773" s="597"/>
      <c r="X773" s="597"/>
      <c r="Y773" s="597"/>
      <c r="Z773" s="597"/>
    </row>
    <row r="774" spans="1:26" ht="18.75" hidden="1">
      <c r="A774" s="592"/>
      <c r="B774" s="600"/>
      <c r="C774" s="750"/>
      <c r="D774" s="711"/>
      <c r="E774" s="750" t="s">
        <v>184</v>
      </c>
      <c r="F774" s="750"/>
      <c r="G774" s="596"/>
      <c r="H774" s="165" t="s">
        <v>12</v>
      </c>
      <c r="I774" s="610"/>
      <c r="J774" s="610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597"/>
      <c r="R774" s="597"/>
      <c r="S774" s="597"/>
      <c r="T774" s="597"/>
      <c r="U774" s="597"/>
      <c r="V774" s="597"/>
      <c r="W774" s="597"/>
      <c r="X774" s="597"/>
      <c r="Y774" s="597"/>
      <c r="Z774" s="597"/>
    </row>
    <row r="775" spans="1:26" ht="18.75" hidden="1">
      <c r="A775" s="592"/>
      <c r="B775" s="600"/>
      <c r="C775" s="750"/>
      <c r="D775" s="711"/>
      <c r="E775" s="750" t="s">
        <v>185</v>
      </c>
      <c r="F775" s="750"/>
      <c r="G775" s="596"/>
      <c r="H775" s="165" t="s">
        <v>12</v>
      </c>
      <c r="I775" s="610"/>
      <c r="J775" s="610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597"/>
      <c r="R775" s="597"/>
      <c r="S775" s="597"/>
      <c r="T775" s="597"/>
      <c r="U775" s="597"/>
      <c r="V775" s="597"/>
      <c r="W775" s="597"/>
      <c r="X775" s="597"/>
      <c r="Y775" s="597"/>
      <c r="Z775" s="597"/>
    </row>
    <row r="776" spans="1:26" ht="18.75" hidden="1">
      <c r="A776" s="642"/>
      <c r="B776" s="600"/>
      <c r="C776" s="750"/>
      <c r="D776" s="750"/>
      <c r="E776" s="750"/>
      <c r="F776" s="750" t="s">
        <v>186</v>
      </c>
      <c r="G776" s="596"/>
      <c r="H776" s="165" t="s">
        <v>12</v>
      </c>
      <c r="I776" s="610"/>
      <c r="J776" s="610"/>
      <c r="K776" s="93"/>
      <c r="L776" s="93"/>
      <c r="M776" s="93"/>
      <c r="N776" s="93"/>
      <c r="O776" s="93"/>
      <c r="P776" s="93"/>
      <c r="Q776" s="597"/>
      <c r="R776" s="597"/>
      <c r="S776" s="597"/>
      <c r="T776" s="597"/>
      <c r="U776" s="597"/>
      <c r="V776" s="597"/>
      <c r="W776" s="597"/>
      <c r="X776" s="597"/>
      <c r="Y776" s="597"/>
      <c r="Z776" s="597"/>
    </row>
    <row r="777" spans="1:26" ht="18.75" hidden="1">
      <c r="A777" s="642"/>
      <c r="B777" s="600"/>
      <c r="C777" s="750"/>
      <c r="D777" s="750"/>
      <c r="E777" s="750"/>
      <c r="F777" s="750" t="s">
        <v>187</v>
      </c>
      <c r="G777" s="596"/>
      <c r="H777" s="165" t="s">
        <v>12</v>
      </c>
      <c r="I777" s="610"/>
      <c r="J777" s="610"/>
      <c r="K777" s="93"/>
      <c r="L777" s="93"/>
      <c r="M777" s="93"/>
      <c r="N777" s="93"/>
      <c r="O777" s="93"/>
      <c r="P777" s="93"/>
      <c r="Q777" s="597"/>
      <c r="R777" s="597"/>
      <c r="S777" s="597"/>
      <c r="T777" s="597"/>
      <c r="U777" s="597"/>
      <c r="V777" s="597"/>
      <c r="W777" s="597"/>
      <c r="X777" s="597"/>
      <c r="Y777" s="597"/>
      <c r="Z777" s="597"/>
    </row>
    <row r="778" spans="1:26" ht="18.75" hidden="1">
      <c r="A778" s="642"/>
      <c r="B778" s="600"/>
      <c r="C778" s="750"/>
      <c r="D778" s="750"/>
      <c r="E778" s="750"/>
      <c r="F778" s="750" t="s">
        <v>188</v>
      </c>
      <c r="G778" s="596"/>
      <c r="H778" s="165" t="s">
        <v>12</v>
      </c>
      <c r="I778" s="610"/>
      <c r="J778" s="610"/>
      <c r="K778" s="93"/>
      <c r="L778" s="93"/>
      <c r="M778" s="93"/>
      <c r="N778" s="93"/>
      <c r="O778" s="93"/>
      <c r="P778" s="93"/>
      <c r="Q778" s="597"/>
      <c r="R778" s="597"/>
      <c r="S778" s="597"/>
      <c r="T778" s="597"/>
      <c r="U778" s="597"/>
      <c r="V778" s="597"/>
      <c r="W778" s="597"/>
      <c r="X778" s="597"/>
      <c r="Y778" s="597"/>
      <c r="Z778" s="597"/>
    </row>
    <row r="779" spans="1:26" ht="18.75" hidden="1">
      <c r="A779" s="642"/>
      <c r="B779" s="600"/>
      <c r="C779" s="750"/>
      <c r="D779" s="750"/>
      <c r="E779" s="750"/>
      <c r="F779" s="750" t="s">
        <v>189</v>
      </c>
      <c r="G779" s="596"/>
      <c r="H779" s="165" t="s">
        <v>12</v>
      </c>
      <c r="I779" s="610"/>
      <c r="J779" s="610"/>
      <c r="K779" s="93"/>
      <c r="L779" s="93"/>
      <c r="M779" s="93"/>
      <c r="N779" s="93"/>
      <c r="O779" s="93"/>
      <c r="P779" s="93"/>
      <c r="Q779" s="597"/>
      <c r="R779" s="597"/>
      <c r="S779" s="597"/>
      <c r="T779" s="597"/>
      <c r="U779" s="597"/>
      <c r="V779" s="597"/>
      <c r="W779" s="597"/>
      <c r="X779" s="597"/>
      <c r="Y779" s="597"/>
      <c r="Z779" s="597"/>
    </row>
    <row r="780" spans="1:26" ht="19.5" hidden="1">
      <c r="A780" s="592"/>
      <c r="B780" s="600"/>
      <c r="C780" s="750"/>
      <c r="D780" s="638" t="s">
        <v>21</v>
      </c>
      <c r="E780" s="750"/>
      <c r="F780" s="750"/>
      <c r="G780" s="596"/>
      <c r="H780" s="774" t="s">
        <v>12</v>
      </c>
      <c r="I780" s="166"/>
      <c r="J780" s="166"/>
      <c r="K780" s="167"/>
      <c r="L780" s="640">
        <f t="shared" ref="L780:N780" si="315">L781+L782</f>
        <v>0</v>
      </c>
      <c r="M780" s="640">
        <f t="shared" si="315"/>
        <v>0</v>
      </c>
      <c r="N780" s="640">
        <f t="shared" si="315"/>
        <v>0</v>
      </c>
      <c r="O780" s="640">
        <f t="shared" ref="O780:O782" si="316">IF(L780&gt;0,N780*100/L780,0)</f>
        <v>0</v>
      </c>
      <c r="P780" s="640">
        <f t="shared" ref="P780:P782" si="317">IF(M780&gt;0,N780*100/M780,0)</f>
        <v>0</v>
      </c>
      <c r="Q780" s="597"/>
      <c r="R780" s="597"/>
      <c r="S780" s="597"/>
      <c r="T780" s="597"/>
      <c r="U780" s="597"/>
      <c r="V780" s="597"/>
      <c r="W780" s="597"/>
      <c r="X780" s="597"/>
      <c r="Y780" s="597"/>
      <c r="Z780" s="597"/>
    </row>
    <row r="781" spans="1:26" ht="18.75" hidden="1">
      <c r="A781" s="592"/>
      <c r="B781" s="600"/>
      <c r="C781" s="750"/>
      <c r="D781" s="750"/>
      <c r="E781" s="750" t="s">
        <v>18</v>
      </c>
      <c r="F781" s="750"/>
      <c r="G781" s="596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597"/>
      <c r="R781" s="597"/>
      <c r="S781" s="597"/>
      <c r="T781" s="597"/>
      <c r="U781" s="597"/>
      <c r="V781" s="597"/>
      <c r="W781" s="597"/>
      <c r="X781" s="597"/>
      <c r="Y781" s="597"/>
      <c r="Z781" s="597"/>
    </row>
    <row r="782" spans="1:26" ht="18.75" hidden="1">
      <c r="A782" s="592"/>
      <c r="B782" s="600"/>
      <c r="C782" s="750"/>
      <c r="D782" s="750"/>
      <c r="E782" s="750" t="s">
        <v>19</v>
      </c>
      <c r="F782" s="750"/>
      <c r="G782" s="596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597"/>
      <c r="R782" s="597"/>
      <c r="S782" s="597"/>
      <c r="T782" s="597"/>
      <c r="U782" s="597"/>
      <c r="V782" s="597"/>
      <c r="W782" s="597"/>
      <c r="X782" s="597"/>
      <c r="Y782" s="597"/>
      <c r="Z782" s="597"/>
    </row>
    <row r="783" spans="1:26" ht="19.5" hidden="1">
      <c r="A783" s="607"/>
      <c r="B783" s="609"/>
      <c r="C783" s="750" t="s">
        <v>16</v>
      </c>
      <c r="D783" s="841" t="s">
        <v>38</v>
      </c>
      <c r="E783" s="644"/>
      <c r="F783" s="644"/>
      <c r="G783" s="645"/>
      <c r="H783" s="792"/>
      <c r="I783" s="166"/>
      <c r="J783" s="166"/>
      <c r="K783" s="167"/>
      <c r="L783" s="167"/>
      <c r="M783" s="167"/>
      <c r="N783" s="167"/>
      <c r="O783" s="167"/>
      <c r="P783" s="167"/>
      <c r="Q783" s="597"/>
      <c r="R783" s="597"/>
      <c r="S783" s="597"/>
      <c r="T783" s="597"/>
      <c r="U783" s="597"/>
      <c r="V783" s="597"/>
      <c r="W783" s="597"/>
      <c r="X783" s="597"/>
      <c r="Y783" s="597"/>
      <c r="Z783" s="597"/>
    </row>
    <row r="784" spans="1:26" ht="18.75" hidden="1">
      <c r="A784" s="642"/>
      <c r="B784" s="600"/>
      <c r="C784" s="750"/>
      <c r="D784" s="750"/>
      <c r="E784" s="750" t="s">
        <v>318</v>
      </c>
      <c r="F784" s="750"/>
      <c r="G784" s="596"/>
      <c r="H784" s="165" t="s">
        <v>46</v>
      </c>
      <c r="I784" s="610"/>
      <c r="J784" s="610"/>
      <c r="K784" s="93"/>
      <c r="L784" s="93"/>
      <c r="M784" s="93"/>
      <c r="N784" s="93"/>
      <c r="O784" s="93"/>
      <c r="P784" s="93"/>
      <c r="Q784" s="597"/>
      <c r="R784" s="597"/>
      <c r="S784" s="597"/>
      <c r="T784" s="597"/>
      <c r="U784" s="597"/>
      <c r="V784" s="597"/>
      <c r="W784" s="597"/>
      <c r="X784" s="597"/>
      <c r="Y784" s="597"/>
      <c r="Z784" s="597"/>
    </row>
    <row r="785" spans="1:26" ht="19.5" hidden="1">
      <c r="A785" s="793">
        <v>12</v>
      </c>
      <c r="B785" s="794" t="s">
        <v>319</v>
      </c>
      <c r="C785" s="795"/>
      <c r="D785" s="795"/>
      <c r="E785" s="795"/>
      <c r="F785" s="795"/>
      <c r="G785" s="796"/>
      <c r="H785" s="797" t="s">
        <v>46</v>
      </c>
      <c r="I785" s="798">
        <f t="shared" ref="I785:J785" ca="1" si="318">I800</f>
        <v>0</v>
      </c>
      <c r="J785" s="799">
        <f t="shared" ca="1" si="318"/>
        <v>0</v>
      </c>
      <c r="K785" s="800">
        <f ca="1">IF(I785&gt;0,J785*100/I785,0)</f>
        <v>0</v>
      </c>
      <c r="L785" s="801"/>
      <c r="M785" s="801"/>
      <c r="N785" s="801"/>
      <c r="O785" s="801"/>
      <c r="P785" s="801"/>
      <c r="Q785" s="571"/>
      <c r="R785" s="571"/>
      <c r="S785" s="571"/>
      <c r="T785" s="571"/>
      <c r="U785" s="571"/>
      <c r="V785" s="571"/>
      <c r="W785" s="571"/>
      <c r="X785" s="571"/>
      <c r="Y785" s="571"/>
      <c r="Z785" s="571"/>
    </row>
    <row r="786" spans="1:26" ht="19.5" hidden="1">
      <c r="A786" s="590"/>
      <c r="B786" s="568"/>
      <c r="C786" s="754" t="s">
        <v>16</v>
      </c>
      <c r="D786" s="863" t="s">
        <v>17</v>
      </c>
      <c r="E786" s="857"/>
      <c r="F786" s="857"/>
      <c r="G786" s="189"/>
      <c r="H786" s="591" t="s">
        <v>12</v>
      </c>
      <c r="I786" s="269"/>
      <c r="J786" s="269"/>
      <c r="K786" s="496"/>
      <c r="L786" s="195">
        <f t="shared" ref="L786:N786" ca="1" si="319">L787+L788</f>
        <v>0</v>
      </c>
      <c r="M786" s="195">
        <f t="shared" si="319"/>
        <v>0</v>
      </c>
      <c r="N786" s="195">
        <f t="shared" si="319"/>
        <v>0</v>
      </c>
      <c r="O786" s="195">
        <f t="shared" ref="O786:O791" ca="1" si="320">IF(L786&gt;0,N786*100/L786,0)</f>
        <v>0</v>
      </c>
      <c r="P786" s="195">
        <f t="shared" ref="P786:P791" si="321">IF(M786&gt;0,N786*100/M786,0)</f>
        <v>0</v>
      </c>
      <c r="Q786" s="571"/>
      <c r="R786" s="571"/>
      <c r="S786" s="571"/>
      <c r="T786" s="571"/>
      <c r="U786" s="571"/>
      <c r="V786" s="571"/>
      <c r="W786" s="571"/>
      <c r="X786" s="571"/>
      <c r="Y786" s="571"/>
      <c r="Z786" s="571"/>
    </row>
    <row r="787" spans="1:26" ht="18.75" hidden="1">
      <c r="A787" s="592"/>
      <c r="B787" s="600"/>
      <c r="C787" s="750"/>
      <c r="D787" s="711"/>
      <c r="E787" s="750" t="s">
        <v>184</v>
      </c>
      <c r="F787" s="750"/>
      <c r="G787" s="596"/>
      <c r="H787" s="165" t="s">
        <v>12</v>
      </c>
      <c r="I787" s="610"/>
      <c r="J787" s="610"/>
      <c r="K787" s="93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597"/>
      <c r="R787" s="597"/>
      <c r="S787" s="597"/>
      <c r="T787" s="597"/>
      <c r="U787" s="597"/>
      <c r="V787" s="597"/>
      <c r="W787" s="597"/>
      <c r="X787" s="597"/>
      <c r="Y787" s="597"/>
      <c r="Z787" s="597"/>
    </row>
    <row r="788" spans="1:26" ht="18.75" hidden="1">
      <c r="A788" s="592"/>
      <c r="B788" s="600"/>
      <c r="C788" s="600"/>
      <c r="D788" s="609"/>
      <c r="E788" s="750" t="s">
        <v>185</v>
      </c>
      <c r="F788" s="750"/>
      <c r="G788" s="596"/>
      <c r="H788" s="165" t="s">
        <v>12</v>
      </c>
      <c r="I788" s="610"/>
      <c r="J788" s="610"/>
      <c r="K788" s="93"/>
      <c r="L788" s="93">
        <f t="shared" ca="1" si="322"/>
        <v>0</v>
      </c>
      <c r="M788" s="93">
        <f t="shared" si="322"/>
        <v>0</v>
      </c>
      <c r="N788" s="93">
        <f t="shared" si="322"/>
        <v>0</v>
      </c>
      <c r="O788" s="93">
        <f t="shared" ca="1" si="320"/>
        <v>0</v>
      </c>
      <c r="P788" s="93">
        <f t="shared" si="321"/>
        <v>0</v>
      </c>
      <c r="Q788" s="597"/>
      <c r="R788" s="597"/>
      <c r="S788" s="597"/>
      <c r="T788" s="597"/>
      <c r="U788" s="597"/>
      <c r="V788" s="597"/>
      <c r="W788" s="597"/>
      <c r="X788" s="597"/>
      <c r="Y788" s="597"/>
      <c r="Z788" s="597"/>
    </row>
    <row r="789" spans="1:26" ht="18.75" hidden="1">
      <c r="A789" s="590"/>
      <c r="B789" s="568"/>
      <c r="C789" s="568"/>
      <c r="D789" s="599" t="s">
        <v>20</v>
      </c>
      <c r="E789" s="754"/>
      <c r="F789" s="754"/>
      <c r="G789" s="189"/>
      <c r="H789" s="161" t="s">
        <v>12</v>
      </c>
      <c r="I789" s="184"/>
      <c r="J789" s="184"/>
      <c r="K789" s="163"/>
      <c r="L789" s="496">
        <f t="shared" ref="L789:N789" ca="1" si="323">L790+L791</f>
        <v>0</v>
      </c>
      <c r="M789" s="496">
        <f t="shared" si="323"/>
        <v>0</v>
      </c>
      <c r="N789" s="496">
        <f t="shared" si="323"/>
        <v>0</v>
      </c>
      <c r="O789" s="496">
        <f t="shared" ca="1" si="320"/>
        <v>0</v>
      </c>
      <c r="P789" s="496">
        <f t="shared" si="321"/>
        <v>0</v>
      </c>
      <c r="Q789" s="571"/>
      <c r="R789" s="571"/>
      <c r="S789" s="571"/>
      <c r="T789" s="571"/>
      <c r="U789" s="571"/>
      <c r="V789" s="571"/>
      <c r="W789" s="571"/>
      <c r="X789" s="571"/>
      <c r="Y789" s="571"/>
      <c r="Z789" s="571"/>
    </row>
    <row r="790" spans="1:26" ht="18.75" hidden="1">
      <c r="A790" s="592"/>
      <c r="B790" s="600"/>
      <c r="C790" s="600"/>
      <c r="D790" s="609"/>
      <c r="E790" s="750" t="s">
        <v>184</v>
      </c>
      <c r="F790" s="750"/>
      <c r="G790" s="596"/>
      <c r="H790" s="165" t="s">
        <v>12</v>
      </c>
      <c r="I790" s="610"/>
      <c r="J790" s="610"/>
      <c r="K790" s="93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597"/>
      <c r="R790" s="597"/>
      <c r="S790" s="597"/>
      <c r="T790" s="597"/>
      <c r="U790" s="597"/>
      <c r="V790" s="597"/>
      <c r="W790" s="597"/>
      <c r="X790" s="597"/>
      <c r="Y790" s="597"/>
      <c r="Z790" s="597"/>
    </row>
    <row r="791" spans="1:26" ht="18.75" hidden="1">
      <c r="A791" s="592"/>
      <c r="B791" s="600"/>
      <c r="C791" s="600"/>
      <c r="D791" s="609"/>
      <c r="E791" s="750" t="s">
        <v>185</v>
      </c>
      <c r="F791" s="750"/>
      <c r="G791" s="596"/>
      <c r="H791" s="165" t="s">
        <v>12</v>
      </c>
      <c r="I791" s="610"/>
      <c r="J791" s="610"/>
      <c r="K791" s="93"/>
      <c r="L791" s="93">
        <f ca="1">IFERROR(__xludf.DUMMYFUNCTION("IMPORTRANGE(""https://docs.google.com/spreadsheets/d/1QqKyyYR6Q21VydFLVH3TRQUabQu_ym0Zz7PgGX0-kHA/edit?usp=sharing"",""แผน!JJ61"")"),0)</f>
        <v>0</v>
      </c>
      <c r="M791" s="93">
        <v>0</v>
      </c>
      <c r="N791" s="93">
        <f>N792+N793+N794+N795</f>
        <v>0</v>
      </c>
      <c r="O791" s="93">
        <f t="shared" ca="1" si="320"/>
        <v>0</v>
      </c>
      <c r="P791" s="93">
        <f t="shared" si="321"/>
        <v>0</v>
      </c>
      <c r="Q791" s="597"/>
      <c r="R791" s="597"/>
      <c r="S791" s="597"/>
      <c r="T791" s="597"/>
      <c r="U791" s="597"/>
      <c r="V791" s="597"/>
      <c r="W791" s="597"/>
      <c r="X791" s="597"/>
      <c r="Y791" s="597"/>
      <c r="Z791" s="597"/>
    </row>
    <row r="792" spans="1:26" ht="18.75" hidden="1">
      <c r="A792" s="567"/>
      <c r="B792" s="568"/>
      <c r="C792" s="754"/>
      <c r="D792" s="754"/>
      <c r="E792" s="754"/>
      <c r="F792" s="754" t="s">
        <v>186</v>
      </c>
      <c r="G792" s="189"/>
      <c r="H792" s="161" t="s">
        <v>12</v>
      </c>
      <c r="I792" s="269"/>
      <c r="J792" s="269"/>
      <c r="K792" s="496"/>
      <c r="L792" s="496"/>
      <c r="M792" s="496"/>
      <c r="N792" s="817">
        <v>0</v>
      </c>
      <c r="O792" s="496"/>
      <c r="P792" s="496"/>
      <c r="Q792" s="571"/>
      <c r="R792" s="571"/>
      <c r="S792" s="571"/>
      <c r="T792" s="571"/>
      <c r="U792" s="571"/>
      <c r="V792" s="571"/>
      <c r="W792" s="571"/>
      <c r="X792" s="571"/>
      <c r="Y792" s="571"/>
      <c r="Z792" s="571"/>
    </row>
    <row r="793" spans="1:26" ht="18.75" hidden="1">
      <c r="A793" s="567"/>
      <c r="B793" s="568"/>
      <c r="C793" s="754"/>
      <c r="D793" s="754"/>
      <c r="E793" s="754"/>
      <c r="F793" s="754" t="s">
        <v>187</v>
      </c>
      <c r="G793" s="189"/>
      <c r="H793" s="161" t="s">
        <v>12</v>
      </c>
      <c r="I793" s="269"/>
      <c r="J793" s="269"/>
      <c r="K793" s="496"/>
      <c r="L793" s="496"/>
      <c r="M793" s="496"/>
      <c r="N793" s="817">
        <v>0</v>
      </c>
      <c r="O793" s="496"/>
      <c r="P793" s="496"/>
      <c r="Q793" s="571"/>
      <c r="R793" s="571"/>
      <c r="S793" s="571"/>
      <c r="T793" s="571"/>
      <c r="U793" s="571"/>
      <c r="V793" s="571"/>
      <c r="W793" s="571"/>
      <c r="X793" s="571"/>
      <c r="Y793" s="571"/>
      <c r="Z793" s="571"/>
    </row>
    <row r="794" spans="1:26" ht="18.75" hidden="1">
      <c r="A794" s="567"/>
      <c r="B794" s="568"/>
      <c r="C794" s="754"/>
      <c r="D794" s="754"/>
      <c r="E794" s="754"/>
      <c r="F794" s="754" t="s">
        <v>188</v>
      </c>
      <c r="G794" s="189"/>
      <c r="H794" s="161" t="s">
        <v>12</v>
      </c>
      <c r="I794" s="269"/>
      <c r="J794" s="269"/>
      <c r="K794" s="496"/>
      <c r="L794" s="496"/>
      <c r="M794" s="496"/>
      <c r="N794" s="817">
        <v>0</v>
      </c>
      <c r="O794" s="496"/>
      <c r="P794" s="496"/>
      <c r="Q794" s="571"/>
      <c r="R794" s="571"/>
      <c r="S794" s="571"/>
      <c r="T794" s="571"/>
      <c r="U794" s="571"/>
      <c r="V794" s="571"/>
      <c r="W794" s="571"/>
      <c r="X794" s="571"/>
      <c r="Y794" s="571"/>
      <c r="Z794" s="571"/>
    </row>
    <row r="795" spans="1:26" ht="18.75" hidden="1">
      <c r="A795" s="567"/>
      <c r="B795" s="568"/>
      <c r="C795" s="754"/>
      <c r="D795" s="754"/>
      <c r="E795" s="754"/>
      <c r="F795" s="754" t="s">
        <v>189</v>
      </c>
      <c r="G795" s="189"/>
      <c r="H795" s="161" t="s">
        <v>12</v>
      </c>
      <c r="I795" s="269"/>
      <c r="J795" s="269"/>
      <c r="K795" s="496"/>
      <c r="L795" s="496"/>
      <c r="M795" s="496"/>
      <c r="N795" s="817">
        <v>0</v>
      </c>
      <c r="O795" s="496"/>
      <c r="P795" s="496"/>
      <c r="Q795" s="571"/>
      <c r="R795" s="571"/>
      <c r="S795" s="571"/>
      <c r="T795" s="571"/>
      <c r="U795" s="571"/>
      <c r="V795" s="571"/>
      <c r="W795" s="571"/>
      <c r="X795" s="571"/>
      <c r="Y795" s="571"/>
      <c r="Z795" s="571"/>
    </row>
    <row r="796" spans="1:26" ht="18.75" hidden="1">
      <c r="A796" s="590"/>
      <c r="B796" s="568"/>
      <c r="C796" s="754"/>
      <c r="D796" s="599" t="s">
        <v>21</v>
      </c>
      <c r="E796" s="754"/>
      <c r="F796" s="754"/>
      <c r="G796" s="189"/>
      <c r="H796" s="168" t="s">
        <v>12</v>
      </c>
      <c r="I796" s="184"/>
      <c r="J796" s="184"/>
      <c r="K796" s="163"/>
      <c r="L796" s="496">
        <f t="shared" ref="L796:N796" si="324">L797+L798</f>
        <v>0</v>
      </c>
      <c r="M796" s="496">
        <f t="shared" si="324"/>
        <v>0</v>
      </c>
      <c r="N796" s="496">
        <f t="shared" si="324"/>
        <v>0</v>
      </c>
      <c r="O796" s="496">
        <f t="shared" ref="O796:O798" si="325">IF(L796&gt;0,N796*100/L796,0)</f>
        <v>0</v>
      </c>
      <c r="P796" s="496">
        <f t="shared" ref="P796:P798" si="326">IF(M796&gt;0,N796*100/M796,0)</f>
        <v>0</v>
      </c>
      <c r="Q796" s="571"/>
      <c r="R796" s="571"/>
      <c r="S796" s="571"/>
      <c r="T796" s="571"/>
      <c r="U796" s="571"/>
      <c r="V796" s="571"/>
      <c r="W796" s="571"/>
      <c r="X796" s="571"/>
      <c r="Y796" s="571"/>
      <c r="Z796" s="571"/>
    </row>
    <row r="797" spans="1:26" ht="18.75" hidden="1">
      <c r="A797" s="592"/>
      <c r="B797" s="600"/>
      <c r="C797" s="750"/>
      <c r="D797" s="750"/>
      <c r="E797" s="750" t="s">
        <v>18</v>
      </c>
      <c r="F797" s="750"/>
      <c r="G797" s="596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597"/>
      <c r="R797" s="597"/>
      <c r="S797" s="597"/>
      <c r="T797" s="597"/>
      <c r="U797" s="597"/>
      <c r="V797" s="597"/>
      <c r="W797" s="597"/>
      <c r="X797" s="597"/>
      <c r="Y797" s="597"/>
      <c r="Z797" s="597"/>
    </row>
    <row r="798" spans="1:26" ht="18.75" hidden="1">
      <c r="A798" s="592"/>
      <c r="B798" s="600"/>
      <c r="C798" s="750"/>
      <c r="D798" s="750"/>
      <c r="E798" s="750" t="s">
        <v>19</v>
      </c>
      <c r="F798" s="750"/>
      <c r="G798" s="596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597"/>
      <c r="R798" s="597"/>
      <c r="S798" s="597"/>
      <c r="T798" s="597"/>
      <c r="U798" s="597"/>
      <c r="V798" s="597"/>
      <c r="W798" s="597"/>
      <c r="X798" s="597"/>
      <c r="Y798" s="597"/>
      <c r="Z798" s="597"/>
    </row>
    <row r="799" spans="1:26" ht="19.5" hidden="1">
      <c r="A799" s="601"/>
      <c r="B799" s="611"/>
      <c r="C799" s="754" t="s">
        <v>16</v>
      </c>
      <c r="D799" s="840" t="s">
        <v>38</v>
      </c>
      <c r="E799" s="752"/>
      <c r="F799" s="752"/>
      <c r="G799" s="606"/>
      <c r="H799" s="802"/>
      <c r="I799" s="184"/>
      <c r="J799" s="184"/>
      <c r="K799" s="163"/>
      <c r="L799" s="163"/>
      <c r="M799" s="163"/>
      <c r="N799" s="163"/>
      <c r="O799" s="163"/>
      <c r="P799" s="163"/>
      <c r="Q799" s="571"/>
      <c r="R799" s="571"/>
      <c r="S799" s="571"/>
      <c r="T799" s="571"/>
      <c r="U799" s="571"/>
      <c r="V799" s="571"/>
      <c r="W799" s="571"/>
      <c r="X799" s="571"/>
      <c r="Y799" s="571"/>
      <c r="Z799" s="571"/>
    </row>
    <row r="800" spans="1:26" ht="18.75" hidden="1">
      <c r="A800" s="601"/>
      <c r="B800" s="611"/>
      <c r="C800" s="611"/>
      <c r="D800" s="611"/>
      <c r="E800" s="619"/>
      <c r="F800" s="619" t="s">
        <v>320</v>
      </c>
      <c r="G800" s="753"/>
      <c r="H800" s="185" t="s">
        <v>46</v>
      </c>
      <c r="I800" s="184">
        <f ca="1">IFERROR(__xludf.DUMMYFUNCTION("IMPORTRANGE(""https://docs.google.com/spreadsheets/d/1QqKyyYR6Q21VydFLVH3TRQUabQu_ym0Zz7PgGX0-kHA/edit?usp=sharing"",""แผน!JN61"")"),0)</f>
        <v>0</v>
      </c>
      <c r="J800" s="184">
        <f ca="1">IFERROR(__xludf.DUMMYFUNCTION("IMPORTRANGE(""https://docs.google.com/spreadsheets/d/1MaWodYyGHDf7siQLGxnXhG4mBNTNIuy296niS2xXulU/edit?usp=sharing"",""RTK!H61"")"),0)</f>
        <v>0</v>
      </c>
      <c r="K800" s="496">
        <f ca="1">IF(I800&gt;0,J800*100/I800,0)</f>
        <v>0</v>
      </c>
      <c r="L800" s="496"/>
      <c r="M800" s="496"/>
      <c r="N800" s="496"/>
      <c r="O800" s="163"/>
      <c r="P800" s="163"/>
      <c r="Q800" s="571"/>
      <c r="R800" s="571"/>
      <c r="S800" s="571"/>
      <c r="T800" s="571"/>
      <c r="U800" s="571"/>
      <c r="V800" s="571"/>
      <c r="W800" s="571"/>
      <c r="X800" s="571"/>
      <c r="Y800" s="571"/>
      <c r="Z800" s="571"/>
    </row>
    <row r="801" spans="1:26" ht="18.75" hidden="1">
      <c r="A801" s="601"/>
      <c r="B801" s="611"/>
      <c r="C801" s="611"/>
      <c r="D801" s="611"/>
      <c r="E801" s="619"/>
      <c r="F801" s="619"/>
      <c r="G801" s="753"/>
      <c r="H801" s="161" t="s">
        <v>34</v>
      </c>
      <c r="I801" s="184"/>
      <c r="J801" s="269">
        <f ca="1">IFERROR(__xludf.DUMMYFUNCTION("IMPORTRANGE(""https://docs.google.com/spreadsheets/d/1MaWodYyGHDf7siQLGxnXhG4mBNTNIuy296niS2xXulU/edit?usp=sharing"",""RTK!I61"")"),0)</f>
        <v>0</v>
      </c>
      <c r="K801" s="496"/>
      <c r="L801" s="496"/>
      <c r="M801" s="496"/>
      <c r="N801" s="496"/>
      <c r="O801" s="163"/>
      <c r="P801" s="163"/>
      <c r="Q801" s="571"/>
      <c r="R801" s="571"/>
      <c r="S801" s="571"/>
      <c r="T801" s="571"/>
      <c r="U801" s="571"/>
      <c r="V801" s="571"/>
      <c r="W801" s="571"/>
      <c r="X801" s="571"/>
      <c r="Y801" s="571"/>
      <c r="Z801" s="571"/>
    </row>
    <row r="802" spans="1:26" ht="18.75" hidden="1">
      <c r="A802" s="607"/>
      <c r="B802" s="609"/>
      <c r="C802" s="609"/>
      <c r="D802" s="609"/>
      <c r="E802" s="711"/>
      <c r="F802" s="711" t="s">
        <v>321</v>
      </c>
      <c r="G802" s="365"/>
      <c r="H802" s="646" t="s">
        <v>46</v>
      </c>
      <c r="I802" s="166"/>
      <c r="J802" s="610"/>
      <c r="K802" s="167">
        <f>IF(I802&gt;0,J802*100/I802,0)</f>
        <v>0</v>
      </c>
      <c r="L802" s="167"/>
      <c r="M802" s="167"/>
      <c r="N802" s="167"/>
      <c r="O802" s="167"/>
      <c r="P802" s="167"/>
      <c r="Q802" s="597"/>
      <c r="R802" s="597"/>
      <c r="S802" s="597"/>
      <c r="T802" s="597"/>
      <c r="U802" s="597"/>
      <c r="V802" s="597"/>
      <c r="W802" s="597"/>
      <c r="X802" s="597"/>
      <c r="Y802" s="597"/>
      <c r="Z802" s="597"/>
    </row>
    <row r="803" spans="1:26" ht="18.75" hidden="1">
      <c r="A803" s="607"/>
      <c r="B803" s="609"/>
      <c r="C803" s="609"/>
      <c r="D803" s="609"/>
      <c r="E803" s="711"/>
      <c r="F803" s="711"/>
      <c r="G803" s="365"/>
      <c r="H803" s="646" t="s">
        <v>34</v>
      </c>
      <c r="I803" s="166"/>
      <c r="J803" s="610"/>
      <c r="K803" s="167"/>
      <c r="L803" s="167"/>
      <c r="M803" s="167"/>
      <c r="N803" s="167"/>
      <c r="O803" s="167"/>
      <c r="P803" s="167"/>
      <c r="Q803" s="597"/>
      <c r="R803" s="597"/>
      <c r="S803" s="597"/>
      <c r="T803" s="597"/>
      <c r="U803" s="597"/>
      <c r="V803" s="597"/>
      <c r="W803" s="597"/>
      <c r="X803" s="597"/>
      <c r="Y803" s="597"/>
      <c r="Z803" s="597"/>
    </row>
    <row r="804" spans="1:26" ht="19.5" hidden="1">
      <c r="A804" s="784">
        <v>13</v>
      </c>
      <c r="B804" s="785" t="s">
        <v>322</v>
      </c>
      <c r="C804" s="786"/>
      <c r="D804" s="803"/>
      <c r="E804" s="786"/>
      <c r="F804" s="786"/>
      <c r="G804" s="787"/>
      <c r="H804" s="788" t="s">
        <v>46</v>
      </c>
      <c r="I804" s="789"/>
      <c r="J804" s="789">
        <f>J819</f>
        <v>0</v>
      </c>
      <c r="K804" s="790">
        <f>IF(I804&gt;0,J804*100/I804,0)</f>
        <v>0</v>
      </c>
      <c r="L804" s="791"/>
      <c r="M804" s="791"/>
      <c r="N804" s="791"/>
      <c r="O804" s="791"/>
      <c r="P804" s="791"/>
      <c r="Q804" s="597"/>
      <c r="R804" s="597"/>
      <c r="S804" s="597"/>
      <c r="T804" s="597"/>
      <c r="U804" s="597"/>
      <c r="V804" s="597"/>
      <c r="W804" s="597"/>
      <c r="X804" s="597"/>
      <c r="Y804" s="597"/>
      <c r="Z804" s="597"/>
    </row>
    <row r="805" spans="1:26" ht="19.5" hidden="1">
      <c r="A805" s="592"/>
      <c r="B805" s="750"/>
      <c r="C805" s="750" t="s">
        <v>16</v>
      </c>
      <c r="D805" s="864" t="s">
        <v>17</v>
      </c>
      <c r="E805" s="857"/>
      <c r="F805" s="857"/>
      <c r="G805" s="596"/>
      <c r="H805" s="639" t="s">
        <v>12</v>
      </c>
      <c r="I805" s="610"/>
      <c r="J805" s="610"/>
      <c r="K805" s="93"/>
      <c r="L805" s="640">
        <f t="shared" ref="L805:N805" si="327">L806+L807</f>
        <v>0</v>
      </c>
      <c r="M805" s="640">
        <f t="shared" si="327"/>
        <v>0</v>
      </c>
      <c r="N805" s="640">
        <f t="shared" si="327"/>
        <v>0</v>
      </c>
      <c r="O805" s="640">
        <f t="shared" ref="O805:O810" si="328">IF(L805&gt;0,N805*100/L805,0)</f>
        <v>0</v>
      </c>
      <c r="P805" s="640">
        <f t="shared" ref="P805:P810" si="329">IF(M805&gt;0,N805*100/M805,0)</f>
        <v>0</v>
      </c>
      <c r="Q805" s="597"/>
      <c r="R805" s="597"/>
      <c r="S805" s="597"/>
      <c r="T805" s="597"/>
      <c r="U805" s="597"/>
      <c r="V805" s="597"/>
      <c r="W805" s="597"/>
      <c r="X805" s="597"/>
      <c r="Y805" s="597"/>
      <c r="Z805" s="597"/>
    </row>
    <row r="806" spans="1:26" ht="18.75" hidden="1">
      <c r="A806" s="592"/>
      <c r="B806" s="750"/>
      <c r="C806" s="750"/>
      <c r="D806" s="609"/>
      <c r="E806" s="750" t="s">
        <v>184</v>
      </c>
      <c r="F806" s="750"/>
      <c r="G806" s="596"/>
      <c r="H806" s="165" t="s">
        <v>12</v>
      </c>
      <c r="I806" s="610"/>
      <c r="J806" s="610"/>
      <c r="K806" s="93"/>
      <c r="L806" s="93">
        <f t="shared" ref="L806:N807" si="330">L809+L816</f>
        <v>0</v>
      </c>
      <c r="M806" s="93">
        <f t="shared" si="330"/>
        <v>0</v>
      </c>
      <c r="N806" s="93">
        <f t="shared" si="330"/>
        <v>0</v>
      </c>
      <c r="O806" s="93">
        <f t="shared" si="328"/>
        <v>0</v>
      </c>
      <c r="P806" s="93">
        <f t="shared" si="329"/>
        <v>0</v>
      </c>
      <c r="Q806" s="597"/>
      <c r="R806" s="597"/>
      <c r="S806" s="597"/>
      <c r="T806" s="597"/>
      <c r="U806" s="597"/>
      <c r="V806" s="597"/>
      <c r="W806" s="597"/>
      <c r="X806" s="597"/>
      <c r="Y806" s="597"/>
      <c r="Z806" s="597"/>
    </row>
    <row r="807" spans="1:26" ht="18.75" hidden="1">
      <c r="A807" s="592"/>
      <c r="B807" s="750"/>
      <c r="C807" s="750"/>
      <c r="D807" s="609"/>
      <c r="E807" s="750" t="s">
        <v>185</v>
      </c>
      <c r="F807" s="750"/>
      <c r="G807" s="596"/>
      <c r="H807" s="165" t="s">
        <v>12</v>
      </c>
      <c r="I807" s="610"/>
      <c r="J807" s="610"/>
      <c r="K807" s="93"/>
      <c r="L807" s="93">
        <f t="shared" si="330"/>
        <v>0</v>
      </c>
      <c r="M807" s="93">
        <f t="shared" si="330"/>
        <v>0</v>
      </c>
      <c r="N807" s="93">
        <f t="shared" si="330"/>
        <v>0</v>
      </c>
      <c r="O807" s="93">
        <f t="shared" si="328"/>
        <v>0</v>
      </c>
      <c r="P807" s="93">
        <f t="shared" si="329"/>
        <v>0</v>
      </c>
      <c r="Q807" s="597"/>
      <c r="R807" s="597"/>
      <c r="S807" s="597"/>
      <c r="T807" s="597"/>
      <c r="U807" s="597"/>
      <c r="V807" s="597"/>
      <c r="W807" s="597"/>
      <c r="X807" s="597"/>
      <c r="Y807" s="597"/>
      <c r="Z807" s="597"/>
    </row>
    <row r="808" spans="1:26" ht="19.5" hidden="1">
      <c r="A808" s="592"/>
      <c r="B808" s="600"/>
      <c r="C808" s="750"/>
      <c r="D808" s="869" t="s">
        <v>20</v>
      </c>
      <c r="E808" s="857"/>
      <c r="F808" s="857"/>
      <c r="G808" s="596"/>
      <c r="H808" s="639" t="s">
        <v>12</v>
      </c>
      <c r="I808" s="166"/>
      <c r="J808" s="166"/>
      <c r="K808" s="167"/>
      <c r="L808" s="640">
        <f t="shared" ref="L808:N808" si="331">L809+L810</f>
        <v>0</v>
      </c>
      <c r="M808" s="640">
        <f t="shared" si="331"/>
        <v>0</v>
      </c>
      <c r="N808" s="640">
        <f t="shared" si="331"/>
        <v>0</v>
      </c>
      <c r="O808" s="640">
        <f t="shared" si="328"/>
        <v>0</v>
      </c>
      <c r="P808" s="640">
        <f t="shared" si="329"/>
        <v>0</v>
      </c>
      <c r="Q808" s="597"/>
      <c r="R808" s="597"/>
      <c r="S808" s="597"/>
      <c r="T808" s="597"/>
      <c r="U808" s="597"/>
      <c r="V808" s="597"/>
      <c r="W808" s="597"/>
      <c r="X808" s="597"/>
      <c r="Y808" s="597"/>
      <c r="Z808" s="597"/>
    </row>
    <row r="809" spans="1:26" ht="18.75" hidden="1">
      <c r="A809" s="592"/>
      <c r="B809" s="750"/>
      <c r="C809" s="750"/>
      <c r="D809" s="609"/>
      <c r="E809" s="750" t="s">
        <v>184</v>
      </c>
      <c r="F809" s="750"/>
      <c r="G809" s="596"/>
      <c r="H809" s="165" t="s">
        <v>12</v>
      </c>
      <c r="I809" s="610"/>
      <c r="J809" s="610"/>
      <c r="K809" s="93"/>
      <c r="L809" s="93">
        <v>0</v>
      </c>
      <c r="M809" s="93">
        <v>0</v>
      </c>
      <c r="N809" s="93">
        <v>0</v>
      </c>
      <c r="O809" s="93">
        <f t="shared" si="328"/>
        <v>0</v>
      </c>
      <c r="P809" s="93">
        <f t="shared" si="329"/>
        <v>0</v>
      </c>
      <c r="Q809" s="597"/>
      <c r="R809" s="597"/>
      <c r="S809" s="597"/>
      <c r="T809" s="597"/>
      <c r="U809" s="597"/>
      <c r="V809" s="597"/>
      <c r="W809" s="597"/>
      <c r="X809" s="597"/>
      <c r="Y809" s="597"/>
      <c r="Z809" s="597"/>
    </row>
    <row r="810" spans="1:26" ht="18.75" hidden="1">
      <c r="A810" s="592"/>
      <c r="B810" s="750"/>
      <c r="C810" s="750"/>
      <c r="D810" s="609"/>
      <c r="E810" s="750" t="s">
        <v>185</v>
      </c>
      <c r="F810" s="750"/>
      <c r="G810" s="596"/>
      <c r="H810" s="165" t="s">
        <v>12</v>
      </c>
      <c r="I810" s="610"/>
      <c r="J810" s="610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8"/>
        <v>0</v>
      </c>
      <c r="P810" s="93">
        <f t="shared" si="329"/>
        <v>0</v>
      </c>
      <c r="Q810" s="597"/>
      <c r="R810" s="597"/>
      <c r="S810" s="597"/>
      <c r="T810" s="597"/>
      <c r="U810" s="597"/>
      <c r="V810" s="597"/>
      <c r="W810" s="597"/>
      <c r="X810" s="597"/>
      <c r="Y810" s="597"/>
      <c r="Z810" s="597"/>
    </row>
    <row r="811" spans="1:26" ht="18.75" hidden="1">
      <c r="A811" s="642"/>
      <c r="B811" s="600"/>
      <c r="C811" s="750"/>
      <c r="D811" s="600"/>
      <c r="E811" s="750"/>
      <c r="F811" s="750" t="s">
        <v>186</v>
      </c>
      <c r="G811" s="596"/>
      <c r="H811" s="165" t="s">
        <v>12</v>
      </c>
      <c r="I811" s="610"/>
      <c r="J811" s="610"/>
      <c r="K811" s="93"/>
      <c r="L811" s="93"/>
      <c r="M811" s="93"/>
      <c r="N811" s="93"/>
      <c r="O811" s="93"/>
      <c r="P811" s="93"/>
      <c r="Q811" s="597"/>
      <c r="R811" s="597"/>
      <c r="S811" s="597"/>
      <c r="T811" s="597"/>
      <c r="U811" s="597"/>
      <c r="V811" s="597"/>
      <c r="W811" s="597"/>
      <c r="X811" s="597"/>
      <c r="Y811" s="597"/>
      <c r="Z811" s="597"/>
    </row>
    <row r="812" spans="1:26" ht="18.75" hidden="1">
      <c r="A812" s="642"/>
      <c r="B812" s="600"/>
      <c r="C812" s="750"/>
      <c r="D812" s="600"/>
      <c r="E812" s="750"/>
      <c r="F812" s="750" t="s">
        <v>187</v>
      </c>
      <c r="G812" s="596"/>
      <c r="H812" s="165" t="s">
        <v>12</v>
      </c>
      <c r="I812" s="610"/>
      <c r="J812" s="610"/>
      <c r="K812" s="93"/>
      <c r="L812" s="93"/>
      <c r="M812" s="93"/>
      <c r="N812" s="93"/>
      <c r="O812" s="93"/>
      <c r="P812" s="93"/>
      <c r="Q812" s="597"/>
      <c r="R812" s="597"/>
      <c r="S812" s="597"/>
      <c r="T812" s="597"/>
      <c r="U812" s="597"/>
      <c r="V812" s="597"/>
      <c r="W812" s="597"/>
      <c r="X812" s="597"/>
      <c r="Y812" s="597"/>
      <c r="Z812" s="597"/>
    </row>
    <row r="813" spans="1:26" ht="18.75" hidden="1">
      <c r="A813" s="642"/>
      <c r="B813" s="600"/>
      <c r="C813" s="750"/>
      <c r="D813" s="600"/>
      <c r="E813" s="750"/>
      <c r="F813" s="750" t="s">
        <v>188</v>
      </c>
      <c r="G813" s="596"/>
      <c r="H813" s="165" t="s">
        <v>12</v>
      </c>
      <c r="I813" s="610"/>
      <c r="J813" s="610"/>
      <c r="K813" s="93"/>
      <c r="L813" s="93"/>
      <c r="M813" s="93"/>
      <c r="N813" s="93"/>
      <c r="O813" s="93"/>
      <c r="P813" s="93"/>
      <c r="Q813" s="597"/>
      <c r="R813" s="597"/>
      <c r="S813" s="597"/>
      <c r="T813" s="597"/>
      <c r="U813" s="597"/>
      <c r="V813" s="597"/>
      <c r="W813" s="597"/>
      <c r="X813" s="597"/>
      <c r="Y813" s="597"/>
      <c r="Z813" s="597"/>
    </row>
    <row r="814" spans="1:26" ht="18.75" hidden="1">
      <c r="A814" s="642"/>
      <c r="B814" s="600"/>
      <c r="C814" s="750"/>
      <c r="D814" s="600"/>
      <c r="E814" s="750"/>
      <c r="F814" s="750" t="s">
        <v>189</v>
      </c>
      <c r="G814" s="596"/>
      <c r="H814" s="165" t="s">
        <v>12</v>
      </c>
      <c r="I814" s="610"/>
      <c r="J814" s="610"/>
      <c r="K814" s="93"/>
      <c r="L814" s="93"/>
      <c r="M814" s="93"/>
      <c r="N814" s="93"/>
      <c r="O814" s="93"/>
      <c r="P814" s="93"/>
      <c r="Q814" s="597"/>
      <c r="R814" s="597"/>
      <c r="S814" s="597"/>
      <c r="T814" s="597"/>
      <c r="U814" s="597"/>
      <c r="V814" s="597"/>
      <c r="W814" s="597"/>
      <c r="X814" s="597"/>
      <c r="Y814" s="597"/>
      <c r="Z814" s="597"/>
    </row>
    <row r="815" spans="1:26" ht="19.5" hidden="1">
      <c r="A815" s="592"/>
      <c r="B815" s="600"/>
      <c r="C815" s="750"/>
      <c r="D815" s="869" t="s">
        <v>21</v>
      </c>
      <c r="E815" s="857"/>
      <c r="F815" s="857"/>
      <c r="G815" s="596"/>
      <c r="H815" s="774" t="s">
        <v>12</v>
      </c>
      <c r="I815" s="166"/>
      <c r="J815" s="166"/>
      <c r="K815" s="167"/>
      <c r="L815" s="640">
        <f t="shared" ref="L815:N815" si="332">L816+L817</f>
        <v>0</v>
      </c>
      <c r="M815" s="640">
        <f t="shared" si="332"/>
        <v>0</v>
      </c>
      <c r="N815" s="640">
        <f t="shared" si="332"/>
        <v>0</v>
      </c>
      <c r="O815" s="640">
        <f t="shared" ref="O815:O817" si="333">IF(L815&gt;0,N815*100/L815,0)</f>
        <v>0</v>
      </c>
      <c r="P815" s="640">
        <f t="shared" ref="P815:P817" si="334">IF(M815&gt;0,N815*100/M815,0)</f>
        <v>0</v>
      </c>
      <c r="Q815" s="597"/>
      <c r="R815" s="597"/>
      <c r="S815" s="597"/>
      <c r="T815" s="597"/>
      <c r="U815" s="597"/>
      <c r="V815" s="597"/>
      <c r="W815" s="597"/>
      <c r="X815" s="597"/>
      <c r="Y815" s="597"/>
      <c r="Z815" s="597"/>
    </row>
    <row r="816" spans="1:26" ht="18.75" hidden="1">
      <c r="A816" s="592"/>
      <c r="B816" s="600"/>
      <c r="C816" s="750"/>
      <c r="D816" s="600"/>
      <c r="E816" s="750" t="s">
        <v>18</v>
      </c>
      <c r="F816" s="750"/>
      <c r="G816" s="596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3"/>
        <v>0</v>
      </c>
      <c r="P816" s="93">
        <f t="shared" si="334"/>
        <v>0</v>
      </c>
      <c r="Q816" s="597"/>
      <c r="R816" s="597"/>
      <c r="S816" s="597"/>
      <c r="T816" s="597"/>
      <c r="U816" s="597"/>
      <c r="V816" s="597"/>
      <c r="W816" s="597"/>
      <c r="X816" s="597"/>
      <c r="Y816" s="597"/>
      <c r="Z816" s="597"/>
    </row>
    <row r="817" spans="1:26" ht="18.75" hidden="1">
      <c r="A817" s="592"/>
      <c r="B817" s="600"/>
      <c r="C817" s="750"/>
      <c r="D817" s="600"/>
      <c r="E817" s="750" t="s">
        <v>19</v>
      </c>
      <c r="F817" s="750"/>
      <c r="G817" s="596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3"/>
        <v>0</v>
      </c>
      <c r="P817" s="93">
        <f t="shared" si="334"/>
        <v>0</v>
      </c>
      <c r="Q817" s="597"/>
      <c r="R817" s="597"/>
      <c r="S817" s="597"/>
      <c r="T817" s="597"/>
      <c r="U817" s="597"/>
      <c r="V817" s="597"/>
      <c r="W817" s="597"/>
      <c r="X817" s="597"/>
      <c r="Y817" s="597"/>
      <c r="Z817" s="597"/>
    </row>
    <row r="818" spans="1:26" ht="19.5" hidden="1">
      <c r="A818" s="607"/>
      <c r="B818" s="609"/>
      <c r="C818" s="750" t="s">
        <v>16</v>
      </c>
      <c r="D818" s="842" t="s">
        <v>38</v>
      </c>
      <c r="E818" s="644"/>
      <c r="F818" s="644"/>
      <c r="G818" s="645"/>
      <c r="H818" s="365"/>
      <c r="I818" s="166"/>
      <c r="J818" s="166"/>
      <c r="K818" s="167"/>
      <c r="L818" s="167"/>
      <c r="M818" s="167"/>
      <c r="N818" s="167"/>
      <c r="O818" s="167"/>
      <c r="P818" s="167"/>
      <c r="Q818" s="597"/>
      <c r="R818" s="597"/>
      <c r="S818" s="597"/>
      <c r="T818" s="597"/>
      <c r="U818" s="597"/>
      <c r="V818" s="597"/>
      <c r="W818" s="597"/>
      <c r="X818" s="597"/>
      <c r="Y818" s="597"/>
      <c r="Z818" s="597"/>
    </row>
    <row r="819" spans="1:26" ht="19.5" hidden="1" thickBot="1">
      <c r="A819" s="805"/>
      <c r="B819" s="806"/>
      <c r="C819" s="808"/>
      <c r="D819" s="806"/>
      <c r="E819" s="808" t="s">
        <v>323</v>
      </c>
      <c r="F819" s="808"/>
      <c r="G819" s="809"/>
      <c r="H819" s="810" t="s">
        <v>46</v>
      </c>
      <c r="I819" s="811"/>
      <c r="J819" s="811"/>
      <c r="K819" s="812"/>
      <c r="L819" s="812"/>
      <c r="M819" s="812"/>
      <c r="N819" s="812"/>
      <c r="O819" s="812"/>
      <c r="P819" s="812"/>
      <c r="Q819" s="597"/>
      <c r="R819" s="597"/>
      <c r="S819" s="597"/>
      <c r="T819" s="597"/>
      <c r="U819" s="597"/>
      <c r="V819" s="597"/>
      <c r="W819" s="597"/>
      <c r="X819" s="597"/>
      <c r="Y819" s="597"/>
      <c r="Z819" s="597"/>
    </row>
    <row r="820" spans="1:26" ht="19.5">
      <c r="A820" s="813" t="s">
        <v>331</v>
      </c>
      <c r="B820" s="814"/>
      <c r="C820" s="814"/>
      <c r="D820" s="815"/>
      <c r="E820" s="814"/>
      <c r="F820" s="814"/>
      <c r="G820" s="816"/>
      <c r="H820" s="816"/>
      <c r="I820" s="214"/>
      <c r="J820" s="214"/>
      <c r="K820" s="817"/>
      <c r="L820" s="817"/>
      <c r="M820" s="817"/>
      <c r="N820" s="817"/>
      <c r="O820" s="817"/>
      <c r="P820" s="817"/>
      <c r="Q820" s="571"/>
      <c r="R820" s="571"/>
      <c r="S820" s="571"/>
      <c r="T820" s="571"/>
      <c r="U820" s="571"/>
      <c r="V820" s="571"/>
      <c r="W820" s="571"/>
      <c r="X820" s="571"/>
      <c r="Y820" s="571"/>
      <c r="Z820" s="571"/>
    </row>
    <row r="821" spans="1:26" ht="18.75">
      <c r="A821" s="735"/>
      <c r="B821" s="754" t="s">
        <v>325</v>
      </c>
      <c r="C821" s="754"/>
      <c r="D821" s="568"/>
      <c r="E821" s="754"/>
      <c r="F821" s="754"/>
      <c r="G821" s="189"/>
      <c r="H821" s="616" t="s">
        <v>12</v>
      </c>
      <c r="I821" s="269">
        <f ca="1">IFERROR(__xludf.DUMMYFUNCTION("IMPORTRANGE(""https://docs.google.com/spreadsheets/d/19vJNZY_5yjcGF2XGBMNZRCAIB0Kwfpjp8YEOfu-bneM/edit?usp=sharing"",""งานกองทุน!D61"")"),979999.99)</f>
        <v>979999.99</v>
      </c>
      <c r="J821" s="269">
        <f ca="1">IFERROR(__xludf.DUMMYFUNCTION("IMPORTRANGE(""https://docs.google.com/spreadsheets/d/19vJNZY_5yjcGF2XGBMNZRCAIB0Kwfpjp8YEOfu-bneM/edit?usp=sharing"",""งานกองทุน!F61"")"),16500)</f>
        <v>16500</v>
      </c>
      <c r="K821" s="496">
        <f t="shared" ref="K821:K828" ca="1" si="335">IF(I821&gt;0,J821*100/I821,0)</f>
        <v>1.6836734865680969</v>
      </c>
      <c r="L821" s="496"/>
      <c r="M821" s="496"/>
      <c r="N821" s="496"/>
      <c r="O821" s="496"/>
      <c r="P821" s="496"/>
      <c r="Q821" s="571"/>
      <c r="R821" s="571"/>
      <c r="S821" s="571"/>
      <c r="T821" s="571"/>
      <c r="U821" s="571"/>
      <c r="V821" s="571"/>
      <c r="W821" s="571"/>
      <c r="X821" s="571"/>
      <c r="Y821" s="571"/>
      <c r="Z821" s="571"/>
    </row>
    <row r="822" spans="1:26" ht="18.75">
      <c r="A822" s="735"/>
      <c r="B822" s="754"/>
      <c r="C822" s="754"/>
      <c r="D822" s="568"/>
      <c r="E822" s="754"/>
      <c r="F822" s="754"/>
      <c r="G822" s="189"/>
      <c r="H822" s="616" t="s">
        <v>35</v>
      </c>
      <c r="I822" s="269">
        <f ca="1">IFERROR(__xludf.DUMMYFUNCTION("IMPORTRANGE(""https://docs.google.com/spreadsheets/d/19vJNZY_5yjcGF2XGBMNZRCAIB0Kwfpjp8YEOfu-bneM/edit?usp=sharing"",""งานกองทุน!C61"")"),32)</f>
        <v>32</v>
      </c>
      <c r="J822" s="269">
        <f ca="1">IFERROR(__xludf.DUMMYFUNCTION("IMPORTRANGE(""https://docs.google.com/spreadsheets/d/19vJNZY_5yjcGF2XGBMNZRCAIB0Kwfpjp8YEOfu-bneM/edit?usp=sharing"",""งานกองทุน!E61"")"),5)</f>
        <v>5</v>
      </c>
      <c r="K822" s="496">
        <f t="shared" ca="1" si="335"/>
        <v>15.625</v>
      </c>
      <c r="L822" s="496"/>
      <c r="M822" s="496"/>
      <c r="N822" s="496"/>
      <c r="O822" s="496"/>
      <c r="P822" s="496"/>
      <c r="Q822" s="571"/>
      <c r="R822" s="571"/>
      <c r="S822" s="571"/>
      <c r="T822" s="571"/>
      <c r="U822" s="571"/>
      <c r="V822" s="571"/>
      <c r="W822" s="571"/>
      <c r="X822" s="571"/>
      <c r="Y822" s="571"/>
      <c r="Z822" s="571"/>
    </row>
    <row r="823" spans="1:26" ht="18.75">
      <c r="A823" s="735"/>
      <c r="B823" s="754" t="s">
        <v>326</v>
      </c>
      <c r="C823" s="754"/>
      <c r="D823" s="568"/>
      <c r="E823" s="754"/>
      <c r="F823" s="754"/>
      <c r="G823" s="189"/>
      <c r="H823" s="616" t="s">
        <v>12</v>
      </c>
      <c r="I823" s="269">
        <f ca="1">IFERROR(__xludf.DUMMYFUNCTION("IMPORTRANGE(""https://docs.google.com/spreadsheets/d/19vJNZY_5yjcGF2XGBMNZRCAIB0Kwfpjp8YEOfu-bneM/edit?usp=sharing"",""งานกองทุน!I61"")"),212580.89)</f>
        <v>212580.89</v>
      </c>
      <c r="J823" s="269">
        <f ca="1">IFERROR(__xludf.DUMMYFUNCTION("IMPORTRANGE(""https://docs.google.com/spreadsheets/d/19vJNZY_5yjcGF2XGBMNZRCAIB0Kwfpjp8YEOfu-bneM/edit?usp=sharing"",""งานกองทุน!K61"")"),14000.55)</f>
        <v>14000.55</v>
      </c>
      <c r="K823" s="496">
        <f t="shared" ca="1" si="335"/>
        <v>6.5859871035444435</v>
      </c>
      <c r="L823" s="496"/>
      <c r="M823" s="496"/>
      <c r="N823" s="496"/>
      <c r="O823" s="496"/>
      <c r="P823" s="496"/>
      <c r="Q823" s="571"/>
      <c r="R823" s="571"/>
      <c r="S823" s="571"/>
      <c r="T823" s="571"/>
      <c r="U823" s="571"/>
      <c r="V823" s="571"/>
      <c r="W823" s="571"/>
      <c r="X823" s="571"/>
      <c r="Y823" s="571"/>
      <c r="Z823" s="571"/>
    </row>
    <row r="824" spans="1:26" ht="18.75">
      <c r="A824" s="735"/>
      <c r="B824" s="754"/>
      <c r="C824" s="754"/>
      <c r="D824" s="568"/>
      <c r="E824" s="754"/>
      <c r="F824" s="754"/>
      <c r="G824" s="189"/>
      <c r="H824" s="616" t="s">
        <v>35</v>
      </c>
      <c r="I824" s="269">
        <f ca="1">IFERROR(__xludf.DUMMYFUNCTION("IMPORTRANGE(""https://docs.google.com/spreadsheets/d/19vJNZY_5yjcGF2XGBMNZRCAIB0Kwfpjp8YEOfu-bneM/edit?usp=sharing"",""งานกองทุน!H61"")"),8)</f>
        <v>8</v>
      </c>
      <c r="J824" s="269">
        <f ca="1">IFERROR(__xludf.DUMMYFUNCTION("IMPORTRANGE(""https://docs.google.com/spreadsheets/d/19vJNZY_5yjcGF2XGBMNZRCAIB0Kwfpjp8YEOfu-bneM/edit?usp=sharing"",""งานกองทุน!J61"")"),1)</f>
        <v>1</v>
      </c>
      <c r="K824" s="496">
        <f t="shared" ca="1" si="335"/>
        <v>12.5</v>
      </c>
      <c r="L824" s="496"/>
      <c r="M824" s="496"/>
      <c r="N824" s="496"/>
      <c r="O824" s="496"/>
      <c r="P824" s="496"/>
      <c r="Q824" s="571"/>
      <c r="R824" s="571"/>
      <c r="S824" s="571"/>
      <c r="T824" s="571"/>
      <c r="U824" s="571"/>
      <c r="V824" s="571"/>
      <c r="W824" s="571"/>
      <c r="X824" s="571"/>
      <c r="Y824" s="571"/>
      <c r="Z824" s="571"/>
    </row>
    <row r="825" spans="1:26" ht="18.75">
      <c r="A825" s="735"/>
      <c r="B825" s="754" t="s">
        <v>327</v>
      </c>
      <c r="C825" s="754"/>
      <c r="D825" s="568"/>
      <c r="E825" s="754"/>
      <c r="F825" s="754"/>
      <c r="G825" s="189"/>
      <c r="H825" s="616" t="s">
        <v>12</v>
      </c>
      <c r="I825" s="269">
        <f ca="1">IFERROR(__xludf.DUMMYFUNCTION("IMPORTRANGE(""https://docs.google.com/spreadsheets/d/19vJNZY_5yjcGF2XGBMNZRCAIB0Kwfpjp8YEOfu-bneM/edit?usp=sharing"",""งานกองทุน!N61"")"),2411129.39)</f>
        <v>2411129.39</v>
      </c>
      <c r="J825" s="269">
        <f ca="1">IFERROR(__xludf.DUMMYFUNCTION("IMPORTRANGE(""https://docs.google.com/spreadsheets/d/19vJNZY_5yjcGF2XGBMNZRCAIB0Kwfpjp8YEOfu-bneM/edit?usp=sharing"",""งานกองทุน!P61"")"),196536.85)</f>
        <v>196536.85</v>
      </c>
      <c r="K825" s="496">
        <f t="shared" ca="1" si="335"/>
        <v>8.1512361308822161</v>
      </c>
      <c r="L825" s="496"/>
      <c r="M825" s="496"/>
      <c r="N825" s="496"/>
      <c r="O825" s="496"/>
      <c r="P825" s="496"/>
      <c r="Q825" s="571"/>
      <c r="R825" s="571"/>
      <c r="S825" s="571"/>
      <c r="T825" s="571"/>
      <c r="U825" s="571"/>
      <c r="V825" s="571"/>
      <c r="W825" s="571"/>
      <c r="X825" s="571"/>
      <c r="Y825" s="571"/>
      <c r="Z825" s="571"/>
    </row>
    <row r="826" spans="1:26" ht="18.75">
      <c r="A826" s="735"/>
      <c r="B826" s="754"/>
      <c r="C826" s="754"/>
      <c r="D826" s="568"/>
      <c r="E826" s="754"/>
      <c r="F826" s="754"/>
      <c r="G826" s="189"/>
      <c r="H826" s="616" t="s">
        <v>35</v>
      </c>
      <c r="I826" s="269">
        <f ca="1">IFERROR(__xludf.DUMMYFUNCTION("IMPORTRANGE(""https://docs.google.com/spreadsheets/d/19vJNZY_5yjcGF2XGBMNZRCAIB0Kwfpjp8YEOfu-bneM/edit?usp=sharing"",""งานกองทุน!M61"")"),721)</f>
        <v>721</v>
      </c>
      <c r="J826" s="269">
        <f ca="1">IFERROR(__xludf.DUMMYFUNCTION("IMPORTRANGE(""https://docs.google.com/spreadsheets/d/19vJNZY_5yjcGF2XGBMNZRCAIB0Kwfpjp8YEOfu-bneM/edit?usp=sharing"",""งานกองทุน!O61"")"),70)</f>
        <v>70</v>
      </c>
      <c r="K826" s="496">
        <f t="shared" ca="1" si="335"/>
        <v>9.7087378640776691</v>
      </c>
      <c r="L826" s="496"/>
      <c r="M826" s="496"/>
      <c r="N826" s="496"/>
      <c r="O826" s="496"/>
      <c r="P826" s="496"/>
      <c r="Q826" s="571"/>
      <c r="R826" s="571"/>
      <c r="S826" s="571"/>
      <c r="T826" s="571"/>
      <c r="U826" s="571"/>
      <c r="V826" s="571"/>
      <c r="W826" s="571"/>
      <c r="X826" s="571"/>
      <c r="Y826" s="571"/>
      <c r="Z826" s="571"/>
    </row>
    <row r="827" spans="1:26" ht="18.75">
      <c r="A827" s="735"/>
      <c r="B827" s="754" t="s">
        <v>328</v>
      </c>
      <c r="C827" s="754"/>
      <c r="D827" s="568"/>
      <c r="E827" s="754"/>
      <c r="F827" s="754"/>
      <c r="G827" s="189"/>
      <c r="H827" s="616" t="s">
        <v>12</v>
      </c>
      <c r="I827" s="269">
        <f ca="1">IFERROR(__xludf.DUMMYFUNCTION("IMPORTRANGE(""https://docs.google.com/spreadsheets/d/19vJNZY_5yjcGF2XGBMNZRCAIB0Kwfpjp8YEOfu-bneM/edit?usp=sharing"",""งานกองทุน!S61"")"),1080000)</f>
        <v>1080000</v>
      </c>
      <c r="J827" s="269">
        <f ca="1">IFERROR(__xludf.DUMMYFUNCTION("IMPORTRANGE(""https://docs.google.com/spreadsheets/d/19vJNZY_5yjcGF2XGBMNZRCAIB0Kwfpjp8YEOfu-bneM/edit?usp=sharing"",""งานกองทุน!U61"")"),0)</f>
        <v>0</v>
      </c>
      <c r="K827" s="496">
        <f t="shared" ca="1" si="335"/>
        <v>0</v>
      </c>
      <c r="L827" s="496"/>
      <c r="M827" s="496"/>
      <c r="N827" s="496"/>
      <c r="O827" s="496"/>
      <c r="P827" s="496"/>
      <c r="Q827" s="571"/>
      <c r="R827" s="571"/>
      <c r="S827" s="571"/>
      <c r="T827" s="571"/>
      <c r="U827" s="571"/>
      <c r="V827" s="571"/>
      <c r="W827" s="571"/>
      <c r="X827" s="571"/>
      <c r="Y827" s="571"/>
      <c r="Z827" s="571"/>
    </row>
    <row r="828" spans="1:26" ht="18.75">
      <c r="A828" s="738"/>
      <c r="B828" s="740"/>
      <c r="C828" s="740"/>
      <c r="D828" s="739"/>
      <c r="E828" s="740"/>
      <c r="F828" s="740"/>
      <c r="G828" s="818"/>
      <c r="H828" s="819" t="s">
        <v>35</v>
      </c>
      <c r="I828" s="499">
        <f ca="1">IFERROR(__xludf.DUMMYFUNCTION("IMPORTRANGE(""https://docs.google.com/spreadsheets/d/19vJNZY_5yjcGF2XGBMNZRCAIB0Kwfpjp8YEOfu-bneM/edit?usp=sharing"",""งานกองทุน!R61"")"),42)</f>
        <v>42</v>
      </c>
      <c r="J828" s="499">
        <f ca="1">IFERROR(__xludf.DUMMYFUNCTION("IMPORTRANGE(""https://docs.google.com/spreadsheets/d/19vJNZY_5yjcGF2XGBMNZRCAIB0Kwfpjp8YEOfu-bneM/edit?usp=sharing"",""งานกองทุน!T61"")"),0)</f>
        <v>0</v>
      </c>
      <c r="K828" s="500">
        <f t="shared" ca="1" si="335"/>
        <v>0</v>
      </c>
      <c r="L828" s="500"/>
      <c r="M828" s="500"/>
      <c r="N828" s="500"/>
      <c r="O828" s="500"/>
      <c r="P828" s="500"/>
      <c r="Q828" s="571"/>
      <c r="R828" s="571"/>
      <c r="S828" s="571"/>
      <c r="T828" s="571"/>
      <c r="U828" s="571"/>
      <c r="V828" s="571"/>
      <c r="W828" s="571"/>
      <c r="X828" s="571"/>
      <c r="Y828" s="571"/>
      <c r="Z828" s="571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544:F544"/>
    <mergeCell ref="A7:G7"/>
    <mergeCell ref="A17:G17"/>
    <mergeCell ref="A27:G27"/>
    <mergeCell ref="B40:G40"/>
    <mergeCell ref="A50:G50"/>
    <mergeCell ref="B51:G51"/>
    <mergeCell ref="D419:F419"/>
    <mergeCell ref="D444:F444"/>
    <mergeCell ref="D467:F467"/>
    <mergeCell ref="D502:F502"/>
    <mergeCell ref="D523:F523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 gridLines="1"/>
  <pageMargins left="0.23622047244094491" right="0.23622047244094491" top="0.74803149606299213" bottom="0.74803149606299213" header="0" footer="0"/>
  <pageSetup paperSize="9" scale="43" fitToHeight="0" pageOrder="overThenDown" orientation="portrait" cellComments="atEnd" r:id="rId1"/>
  <headerFooter>
    <oddFooter>&amp;Cหน้า &amp;P/&amp;N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C3E619-B469-4D3B-A224-A5E5C5EEC4D8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activeCell="A2" sqref="A2:P2"/>
      <selection pane="bottomLeft" activeCell="A2" sqref="A2:P2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9" width="16.85546875" bestFit="1" customWidth="1"/>
    <col min="10" max="10" width="12.5703125" bestFit="1" customWidth="1"/>
    <col min="11" max="11" width="12.5703125" customWidth="1"/>
    <col min="12" max="13" width="21.28515625" bestFit="1" customWidth="1"/>
    <col min="14" max="14" width="18.7109375" bestFit="1" customWidth="1"/>
    <col min="15" max="16" width="17.5703125" customWidth="1"/>
  </cols>
  <sheetData>
    <row r="1" spans="1:26" ht="19.5">
      <c r="A1" s="844" t="s">
        <v>0</v>
      </c>
      <c r="B1" s="845"/>
      <c r="C1" s="845"/>
      <c r="D1" s="845"/>
      <c r="E1" s="845"/>
      <c r="F1" s="845"/>
      <c r="G1" s="845"/>
      <c r="H1" s="845"/>
      <c r="I1" s="845"/>
      <c r="J1" s="845"/>
      <c r="K1" s="845"/>
      <c r="L1" s="845"/>
      <c r="M1" s="845"/>
      <c r="N1" s="845"/>
      <c r="O1" s="845"/>
      <c r="P1" s="845"/>
    </row>
    <row r="2" spans="1:26" ht="19.5">
      <c r="A2" s="844" t="s">
        <v>346</v>
      </c>
      <c r="B2" s="845"/>
      <c r="C2" s="845"/>
      <c r="D2" s="845"/>
      <c r="E2" s="845"/>
      <c r="F2" s="845"/>
      <c r="G2" s="845"/>
      <c r="H2" s="845"/>
      <c r="I2" s="845"/>
      <c r="J2" s="845"/>
      <c r="K2" s="845"/>
      <c r="L2" s="845"/>
      <c r="M2" s="845"/>
      <c r="N2" s="845"/>
      <c r="O2" s="845"/>
      <c r="P2" s="845"/>
    </row>
    <row r="3" spans="1:26" ht="19.5">
      <c r="A3" s="844" t="s">
        <v>347</v>
      </c>
      <c r="B3" s="845"/>
      <c r="C3" s="845"/>
      <c r="D3" s="845"/>
      <c r="E3" s="845"/>
      <c r="F3" s="845"/>
      <c r="G3" s="845"/>
      <c r="H3" s="845"/>
      <c r="I3" s="845"/>
      <c r="J3" s="845"/>
      <c r="K3" s="845"/>
      <c r="L3" s="845"/>
      <c r="M3" s="845"/>
      <c r="N3" s="845"/>
      <c r="O3" s="845"/>
      <c r="P3" s="845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52" t="s">
        <v>2</v>
      </c>
      <c r="B5" s="845"/>
      <c r="C5" s="845"/>
      <c r="D5" s="845"/>
      <c r="E5" s="845"/>
      <c r="F5" s="845"/>
      <c r="G5" s="853"/>
      <c r="H5" s="846" t="s">
        <v>3</v>
      </c>
      <c r="I5" s="848" t="s">
        <v>4</v>
      </c>
      <c r="J5" s="849"/>
      <c r="K5" s="847"/>
      <c r="L5" s="850" t="s">
        <v>5</v>
      </c>
      <c r="M5" s="847"/>
      <c r="N5" s="851" t="s">
        <v>6</v>
      </c>
      <c r="O5" s="849"/>
      <c r="P5" s="847"/>
    </row>
    <row r="6" spans="1:26" ht="19.5">
      <c r="A6" s="854"/>
      <c r="B6" s="849"/>
      <c r="C6" s="849"/>
      <c r="D6" s="849"/>
      <c r="E6" s="849"/>
      <c r="F6" s="849"/>
      <c r="G6" s="847"/>
      <c r="H6" s="847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55" t="s">
        <v>15</v>
      </c>
      <c r="B7" s="849"/>
      <c r="C7" s="849"/>
      <c r="D7" s="849"/>
      <c r="E7" s="849"/>
      <c r="F7" s="849"/>
      <c r="G7" s="847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3136745</v>
      </c>
      <c r="M8" s="22">
        <f t="shared" ca="1" si="0"/>
        <v>1132280</v>
      </c>
      <c r="N8" s="22">
        <f t="shared" ca="1" si="0"/>
        <v>693936.86</v>
      </c>
      <c r="O8" s="22">
        <f t="shared" ref="O8:O16" ca="1" si="1">IF(L8&gt;0,N8*100/L8,0)</f>
        <v>22.122833064211466</v>
      </c>
      <c r="P8" s="22">
        <f t="shared" ref="P8:P16" ca="1" si="2">IF(M8&gt;0,N8*100/M8,0)</f>
        <v>61.286683505846611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3136745</v>
      </c>
      <c r="M10" s="30">
        <f t="shared" ca="1" si="3"/>
        <v>1132280</v>
      </c>
      <c r="N10" s="30">
        <f t="shared" ca="1" si="3"/>
        <v>693936.86</v>
      </c>
      <c r="O10" s="30">
        <f t="shared" ca="1" si="1"/>
        <v>22.122833064211466</v>
      </c>
      <c r="P10" s="30">
        <f t="shared" ca="1" si="2"/>
        <v>61.286683505846611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16" t="s">
        <v>12</v>
      </c>
      <c r="I11" s="269"/>
      <c r="J11" s="269"/>
      <c r="K11" s="496"/>
      <c r="L11" s="496">
        <f t="shared" ref="L11:N11" ca="1" si="4">L12+L13</f>
        <v>2985145</v>
      </c>
      <c r="M11" s="496">
        <f t="shared" ca="1" si="4"/>
        <v>980680</v>
      </c>
      <c r="N11" s="496">
        <f t="shared" ca="1" si="4"/>
        <v>542336.86</v>
      </c>
      <c r="O11" s="496">
        <f t="shared" ca="1" si="1"/>
        <v>18.167856502782946</v>
      </c>
      <c r="P11" s="496">
        <f t="shared" ca="1" si="2"/>
        <v>55.302123016682302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2" t="s">
        <v>18</v>
      </c>
      <c r="F12" s="40"/>
      <c r="G12" s="42"/>
      <c r="H12" s="43" t="s">
        <v>12</v>
      </c>
      <c r="I12" s="610"/>
      <c r="J12" s="610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2" t="s">
        <v>19</v>
      </c>
      <c r="F13" s="40"/>
      <c r="G13" s="42"/>
      <c r="H13" s="43" t="s">
        <v>12</v>
      </c>
      <c r="I13" s="610"/>
      <c r="J13" s="610"/>
      <c r="K13" s="93"/>
      <c r="L13" s="93">
        <f t="shared" ca="1" si="5"/>
        <v>2985145</v>
      </c>
      <c r="M13" s="93">
        <f t="shared" ca="1" si="5"/>
        <v>980680</v>
      </c>
      <c r="N13" s="93">
        <f t="shared" ca="1" si="5"/>
        <v>542336.86</v>
      </c>
      <c r="O13" s="93">
        <f t="shared" ca="1" si="1"/>
        <v>18.167856502782946</v>
      </c>
      <c r="P13" s="93">
        <f t="shared" ca="1" si="2"/>
        <v>55.302123016682302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16" t="s">
        <v>12</v>
      </c>
      <c r="I14" s="269"/>
      <c r="J14" s="269"/>
      <c r="K14" s="496"/>
      <c r="L14" s="496">
        <f t="shared" ref="L14:N14" ca="1" si="6">L15+L16</f>
        <v>151600</v>
      </c>
      <c r="M14" s="496">
        <f t="shared" ca="1" si="6"/>
        <v>151600</v>
      </c>
      <c r="N14" s="496">
        <f t="shared" ca="1" si="6"/>
        <v>151600</v>
      </c>
      <c r="O14" s="496">
        <f t="shared" ca="1" si="1"/>
        <v>100</v>
      </c>
      <c r="P14" s="496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2" t="s">
        <v>18</v>
      </c>
      <c r="F15" s="40"/>
      <c r="G15" s="42"/>
      <c r="H15" s="43" t="s">
        <v>12</v>
      </c>
      <c r="I15" s="610"/>
      <c r="J15" s="610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151600</v>
      </c>
      <c r="M16" s="52">
        <f t="shared" ca="1" si="7"/>
        <v>151600</v>
      </c>
      <c r="N16" s="52">
        <f t="shared" ca="1" si="7"/>
        <v>151600</v>
      </c>
      <c r="O16" s="52">
        <f t="shared" ca="1" si="1"/>
        <v>100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55" t="s">
        <v>22</v>
      </c>
      <c r="B17" s="849"/>
      <c r="C17" s="849"/>
      <c r="D17" s="849"/>
      <c r="E17" s="849"/>
      <c r="F17" s="849"/>
      <c r="G17" s="847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2083810</v>
      </c>
      <c r="M18" s="22">
        <f t="shared" ca="1" si="8"/>
        <v>1132280</v>
      </c>
      <c r="N18" s="22">
        <f t="shared" ca="1" si="8"/>
        <v>613426.86</v>
      </c>
      <c r="O18" s="22">
        <f t="shared" ref="O18:O26" ca="1" si="9">IF(L18&gt;0,N18*100/L18,0)</f>
        <v>29.437753921902669</v>
      </c>
      <c r="P18" s="22">
        <f t="shared" ref="P18:P26" ca="1" si="10">IF(M18&gt;0,N18*100/M18,0)</f>
        <v>54.176251457236724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2083810</v>
      </c>
      <c r="M20" s="30">
        <f t="shared" ca="1" si="11"/>
        <v>1132280</v>
      </c>
      <c r="N20" s="30">
        <f t="shared" ca="1" si="11"/>
        <v>613426.86</v>
      </c>
      <c r="O20" s="30">
        <f t="shared" ca="1" si="9"/>
        <v>29.437753921902669</v>
      </c>
      <c r="P20" s="30">
        <f t="shared" ca="1" si="10"/>
        <v>54.176251457236724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16" t="s">
        <v>12</v>
      </c>
      <c r="I21" s="269"/>
      <c r="J21" s="269"/>
      <c r="K21" s="496"/>
      <c r="L21" s="496">
        <f t="shared" ref="L21:N21" ca="1" si="12">L22+L23</f>
        <v>1932210</v>
      </c>
      <c r="M21" s="496">
        <f t="shared" ca="1" si="12"/>
        <v>980680</v>
      </c>
      <c r="N21" s="496">
        <f t="shared" ca="1" si="12"/>
        <v>461826.86</v>
      </c>
      <c r="O21" s="496">
        <f t="shared" ca="1" si="9"/>
        <v>23.901483793169479</v>
      </c>
      <c r="P21" s="496">
        <f t="shared" ca="1" si="10"/>
        <v>47.092513358078065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2" t="s">
        <v>18</v>
      </c>
      <c r="F22" s="40"/>
      <c r="G22" s="42"/>
      <c r="H22" s="43" t="s">
        <v>12</v>
      </c>
      <c r="I22" s="610"/>
      <c r="J22" s="610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2" t="s">
        <v>19</v>
      </c>
      <c r="F23" s="40"/>
      <c r="G23" s="42"/>
      <c r="H23" s="43" t="s">
        <v>12</v>
      </c>
      <c r="I23" s="610"/>
      <c r="J23" s="610"/>
      <c r="K23" s="93"/>
      <c r="L23" s="93">
        <f t="shared" ca="1" si="13"/>
        <v>1932210</v>
      </c>
      <c r="M23" s="93">
        <f t="shared" ca="1" si="13"/>
        <v>980680</v>
      </c>
      <c r="N23" s="93">
        <f t="shared" ca="1" si="13"/>
        <v>461826.86</v>
      </c>
      <c r="O23" s="93">
        <f t="shared" ca="1" si="9"/>
        <v>23.901483793169479</v>
      </c>
      <c r="P23" s="93">
        <f t="shared" ca="1" si="10"/>
        <v>47.092513358078065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16" t="s">
        <v>12</v>
      </c>
      <c r="I24" s="269"/>
      <c r="J24" s="269"/>
      <c r="K24" s="496"/>
      <c r="L24" s="496">
        <f t="shared" ref="L24:N24" ca="1" si="14">L25+L26</f>
        <v>151600</v>
      </c>
      <c r="M24" s="496">
        <f t="shared" ca="1" si="14"/>
        <v>151600</v>
      </c>
      <c r="N24" s="496">
        <f t="shared" ca="1" si="14"/>
        <v>151600</v>
      </c>
      <c r="O24" s="496">
        <f t="shared" ca="1" si="9"/>
        <v>100</v>
      </c>
      <c r="P24" s="496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2" t="s">
        <v>18</v>
      </c>
      <c r="F25" s="40"/>
      <c r="G25" s="42"/>
      <c r="H25" s="43" t="s">
        <v>12</v>
      </c>
      <c r="I25" s="610"/>
      <c r="J25" s="610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151600</v>
      </c>
      <c r="M26" s="52">
        <f t="shared" ca="1" si="15"/>
        <v>151600</v>
      </c>
      <c r="N26" s="52">
        <f t="shared" ca="1" si="15"/>
        <v>151600</v>
      </c>
      <c r="O26" s="52">
        <f t="shared" ca="1" si="9"/>
        <v>100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55" t="s">
        <v>23</v>
      </c>
      <c r="B27" s="849"/>
      <c r="C27" s="849"/>
      <c r="D27" s="849"/>
      <c r="E27" s="849"/>
      <c r="F27" s="849"/>
      <c r="G27" s="847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1052935</v>
      </c>
      <c r="M28" s="22">
        <f t="shared" si="16"/>
        <v>0</v>
      </c>
      <c r="N28" s="22">
        <f t="shared" si="16"/>
        <v>80510</v>
      </c>
      <c r="O28" s="22">
        <f t="shared" ref="O28:O37" ca="1" si="17">IF(L28&gt;0,N28*100/L28,0)</f>
        <v>7.6462459695992626</v>
      </c>
      <c r="P28" s="22">
        <f t="shared" ref="P28:P37" si="18">IF(M28&gt;0,N28*100/M28,0)</f>
        <v>0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1052935</v>
      </c>
      <c r="M30" s="30">
        <f t="shared" si="19"/>
        <v>0</v>
      </c>
      <c r="N30" s="30">
        <f t="shared" si="19"/>
        <v>80510</v>
      </c>
      <c r="O30" s="30">
        <f t="shared" ca="1" si="17"/>
        <v>7.6462459695992626</v>
      </c>
      <c r="P30" s="30">
        <f t="shared" si="18"/>
        <v>0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16" t="s">
        <v>12</v>
      </c>
      <c r="I31" s="269"/>
      <c r="J31" s="269"/>
      <c r="K31" s="496"/>
      <c r="L31" s="496">
        <f t="shared" ref="L31:N31" ca="1" si="20">L32+L33</f>
        <v>1052935</v>
      </c>
      <c r="M31" s="496">
        <f t="shared" si="20"/>
        <v>0</v>
      </c>
      <c r="N31" s="496">
        <f t="shared" si="20"/>
        <v>80510</v>
      </c>
      <c r="O31" s="496">
        <f t="shared" ca="1" si="17"/>
        <v>7.6462459695992626</v>
      </c>
      <c r="P31" s="496">
        <f t="shared" si="18"/>
        <v>0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2" t="s">
        <v>18</v>
      </c>
      <c r="F32" s="40"/>
      <c r="G32" s="42"/>
      <c r="H32" s="43" t="s">
        <v>12</v>
      </c>
      <c r="I32" s="610"/>
      <c r="J32" s="610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2" t="s">
        <v>19</v>
      </c>
      <c r="F33" s="40"/>
      <c r="G33" s="42"/>
      <c r="H33" s="43" t="s">
        <v>12</v>
      </c>
      <c r="I33" s="610"/>
      <c r="J33" s="610"/>
      <c r="K33" s="93"/>
      <c r="L33" s="93">
        <f t="shared" ca="1" si="21"/>
        <v>1052935</v>
      </c>
      <c r="M33" s="93">
        <f t="shared" si="21"/>
        <v>0</v>
      </c>
      <c r="N33" s="93">
        <f t="shared" si="21"/>
        <v>80510</v>
      </c>
      <c r="O33" s="93">
        <f t="shared" ca="1" si="17"/>
        <v>7.6462459695992626</v>
      </c>
      <c r="P33" s="93">
        <f t="shared" si="18"/>
        <v>0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16" t="s">
        <v>12</v>
      </c>
      <c r="I34" s="269"/>
      <c r="J34" s="269"/>
      <c r="K34" s="496"/>
      <c r="L34" s="496">
        <f t="shared" ref="L34:N34" ca="1" si="22">L35+L36</f>
        <v>0</v>
      </c>
      <c r="M34" s="496">
        <f t="shared" si="22"/>
        <v>0</v>
      </c>
      <c r="N34" s="496">
        <f t="shared" si="22"/>
        <v>0</v>
      </c>
      <c r="O34" s="496">
        <f t="shared" ca="1" si="17"/>
        <v>0</v>
      </c>
      <c r="P34" s="496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2" t="s">
        <v>18</v>
      </c>
      <c r="F35" s="40"/>
      <c r="G35" s="42"/>
      <c r="H35" s="43" t="s">
        <v>12</v>
      </c>
      <c r="I35" s="610"/>
      <c r="J35" s="610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53" t="s">
        <v>24</v>
      </c>
      <c r="B37" s="54"/>
      <c r="C37" s="54"/>
      <c r="D37" s="54"/>
      <c r="E37" s="54"/>
      <c r="F37" s="54"/>
      <c r="G37" s="55"/>
      <c r="H37" s="56"/>
      <c r="I37" s="423"/>
      <c r="J37" s="423"/>
      <c r="K37" s="58"/>
      <c r="L37" s="59">
        <f t="shared" ref="L37:N37" ca="1" si="24">L41+L53+L66+L88+L119+L132+L149+L165+L181+L261+L277+L298+L315+L328+L345+L389+L402</f>
        <v>2083810</v>
      </c>
      <c r="M37" s="59">
        <f t="shared" ca="1" si="24"/>
        <v>1132280</v>
      </c>
      <c r="N37" s="59">
        <f t="shared" ca="1" si="24"/>
        <v>613426.86</v>
      </c>
      <c r="O37" s="59">
        <f t="shared" ca="1" si="17"/>
        <v>29.437753921902669</v>
      </c>
      <c r="P37" s="59">
        <f t="shared" ca="1" si="18"/>
        <v>54.176251457236724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56" t="s">
        <v>27</v>
      </c>
      <c r="C40" s="857"/>
      <c r="D40" s="857"/>
      <c r="E40" s="857"/>
      <c r="F40" s="857"/>
      <c r="G40" s="858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20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284900</v>
      </c>
      <c r="M41" s="85">
        <f t="shared" ca="1" si="25"/>
        <v>148300</v>
      </c>
      <c r="N41" s="85">
        <f t="shared" ca="1" si="25"/>
        <v>81700</v>
      </c>
      <c r="O41" s="85">
        <f t="shared" ref="O41:O49" ca="1" si="26">IF(L41&gt;0,N41*100/L41,0)</f>
        <v>28.676728676728676</v>
      </c>
      <c r="P41" s="85">
        <f t="shared" ref="P41:P49" ca="1" si="27">IF(M41&gt;0,N41*100/M41,0)</f>
        <v>55.091031692515173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284900</v>
      </c>
      <c r="M43" s="92">
        <f t="shared" ca="1" si="28"/>
        <v>148300</v>
      </c>
      <c r="N43" s="92">
        <f t="shared" ca="1" si="28"/>
        <v>81700</v>
      </c>
      <c r="O43" s="92">
        <f t="shared" ca="1" si="26"/>
        <v>28.676728676728676</v>
      </c>
      <c r="P43" s="92">
        <f t="shared" ca="1" si="27"/>
        <v>55.091031692515173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16" t="s">
        <v>12</v>
      </c>
      <c r="I44" s="269"/>
      <c r="J44" s="269"/>
      <c r="K44" s="496"/>
      <c r="L44" s="496">
        <f t="shared" ref="L44:N44" ca="1" si="29">L45+L46</f>
        <v>284900</v>
      </c>
      <c r="M44" s="496">
        <f t="shared" ca="1" si="29"/>
        <v>148300</v>
      </c>
      <c r="N44" s="496">
        <f t="shared" ca="1" si="29"/>
        <v>81700</v>
      </c>
      <c r="O44" s="496">
        <f t="shared" ca="1" si="26"/>
        <v>28.676728676728676</v>
      </c>
      <c r="P44" s="496">
        <f t="shared" ca="1" si="27"/>
        <v>55.091031692515173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2" t="s">
        <v>18</v>
      </c>
      <c r="F45" s="40"/>
      <c r="G45" s="42"/>
      <c r="H45" s="43" t="s">
        <v>12</v>
      </c>
      <c r="I45" s="610"/>
      <c r="J45" s="610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2" t="s">
        <v>19</v>
      </c>
      <c r="F46" s="40"/>
      <c r="G46" s="42"/>
      <c r="H46" s="43" t="s">
        <v>12</v>
      </c>
      <c r="I46" s="610"/>
      <c r="J46" s="610"/>
      <c r="K46" s="93"/>
      <c r="L46" s="93">
        <f ca="1">IFERROR(__xludf.DUMMYFUNCTION("IMPORTRANGE(""https://docs.google.com/spreadsheets/d/1MeEWN-I1oV_STSDYn1IFDPWt_1FKiwhDph83XaGc0o0/edit?usp=sharing"",""งบพรบ!M62"")"),284900)</f>
        <v>284900</v>
      </c>
      <c r="M46" s="93">
        <f ca="1">IFERROR(__xludf.DUMMYFUNCTION("IMPORTRANGE(""https://docs.google.com/spreadsheets/d/1MeEWN-I1oV_STSDYn1IFDPWt_1FKiwhDph83XaGc0o0/edit?usp=sharing"",""งบพรบ!R62"")"),148300)</f>
        <v>148300</v>
      </c>
      <c r="N46" s="93">
        <f ca="1">IFERROR(__xludf.DUMMYFUNCTION("IMPORTRANGE(""https://docs.google.com/spreadsheets/d/1MeEWN-I1oV_STSDYn1IFDPWt_1FKiwhDph83XaGc0o0/edit?usp=sharing"",""งบพรบ!T62"")"),81700)</f>
        <v>81700</v>
      </c>
      <c r="O46" s="93">
        <f t="shared" ca="1" si="26"/>
        <v>28.676728676728676</v>
      </c>
      <c r="P46" s="93">
        <f t="shared" ca="1" si="27"/>
        <v>55.091031692515173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16" t="s">
        <v>12</v>
      </c>
      <c r="I47" s="269"/>
      <c r="J47" s="269"/>
      <c r="K47" s="496"/>
      <c r="L47" s="496">
        <f t="shared" ref="L47:N47" ca="1" si="30">L48+L49</f>
        <v>0</v>
      </c>
      <c r="M47" s="496">
        <f t="shared" ca="1" si="30"/>
        <v>0</v>
      </c>
      <c r="N47" s="496">
        <f t="shared" ca="1" si="30"/>
        <v>0</v>
      </c>
      <c r="O47" s="496">
        <f t="shared" ca="1" si="26"/>
        <v>0</v>
      </c>
      <c r="P47" s="496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2" t="s">
        <v>18</v>
      </c>
      <c r="F48" s="40"/>
      <c r="G48" s="42"/>
      <c r="H48" s="43" t="s">
        <v>12</v>
      </c>
      <c r="I48" s="610"/>
      <c r="J48" s="610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IFERROR(__xludf.DUMMYFUNCTION("IMPORTRANGE(""https://docs.google.com/spreadsheets/d/1MeEWN-I1oV_STSDYn1IFDPWt_1FKiwhDph83XaGc0o0/edit?usp=sharing"",""งบพรบ!P62"")"),0)</f>
        <v>0</v>
      </c>
      <c r="M49" s="52">
        <f ca="1">IFERROR(__xludf.DUMMYFUNCTION("IMPORTRANGE(""https://docs.google.com/spreadsheets/d/1MeEWN-I1oV_STSDYn1IFDPWt_1FKiwhDph83XaGc0o0/edit?usp=sharing"",""งบพรบ!S62"")"),0)</f>
        <v>0</v>
      </c>
      <c r="N49" s="52">
        <f ca="1">IFERROR(__xludf.DUMMYFUNCTION("IMPORTRANGE(""https://docs.google.com/spreadsheets/d/1MeEWN-I1oV_STSDYn1IFDPWt_1FKiwhDph83XaGc0o0/edit?usp=sharing"",""งบพรบ!U62"")"),0)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59" t="s">
        <v>28</v>
      </c>
      <c r="B50" s="849"/>
      <c r="C50" s="849"/>
      <c r="D50" s="849"/>
      <c r="E50" s="849"/>
      <c r="F50" s="849"/>
      <c r="G50" s="847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60" t="s">
        <v>29</v>
      </c>
      <c r="C51" s="857"/>
      <c r="D51" s="857"/>
      <c r="E51" s="857"/>
      <c r="F51" s="857"/>
      <c r="G51" s="858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21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577900</v>
      </c>
      <c r="M53" s="116">
        <f t="shared" ca="1" si="31"/>
        <v>288950</v>
      </c>
      <c r="N53" s="116">
        <f t="shared" ca="1" si="31"/>
        <v>210452.82</v>
      </c>
      <c r="O53" s="116">
        <f t="shared" ref="O53:O61" ca="1" si="32">IF(L53&gt;0,N53*100/L53,0)</f>
        <v>36.416822979754279</v>
      </c>
      <c r="P53" s="116">
        <f t="shared" ref="P53:P61" ca="1" si="33">IF(M53&gt;0,N53*100/M53,0)</f>
        <v>72.833645959508559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577900</v>
      </c>
      <c r="M55" s="123">
        <f t="shared" ca="1" si="34"/>
        <v>288950</v>
      </c>
      <c r="N55" s="123">
        <f t="shared" ca="1" si="34"/>
        <v>210452.82</v>
      </c>
      <c r="O55" s="123">
        <f t="shared" ca="1" si="32"/>
        <v>36.416822979754279</v>
      </c>
      <c r="P55" s="123">
        <f t="shared" ca="1" si="33"/>
        <v>72.833645959508559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16" t="s">
        <v>12</v>
      </c>
      <c r="I56" s="269"/>
      <c r="J56" s="269"/>
      <c r="K56" s="496"/>
      <c r="L56" s="496">
        <f t="shared" ref="L56:N56" ca="1" si="35">L57+L58</f>
        <v>577900</v>
      </c>
      <c r="M56" s="496">
        <f t="shared" ca="1" si="35"/>
        <v>288950</v>
      </c>
      <c r="N56" s="496">
        <f t="shared" ca="1" si="35"/>
        <v>210452.82</v>
      </c>
      <c r="O56" s="496">
        <f t="shared" ca="1" si="32"/>
        <v>36.416822979754279</v>
      </c>
      <c r="P56" s="496">
        <f t="shared" ca="1" si="33"/>
        <v>72.833645959508559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2" t="s">
        <v>18</v>
      </c>
      <c r="F57" s="40"/>
      <c r="G57" s="42"/>
      <c r="H57" s="43" t="s">
        <v>12</v>
      </c>
      <c r="I57" s="610"/>
      <c r="J57" s="610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2" t="s">
        <v>19</v>
      </c>
      <c r="F58" s="40"/>
      <c r="G58" s="42"/>
      <c r="H58" s="43" t="s">
        <v>12</v>
      </c>
      <c r="I58" s="610"/>
      <c r="J58" s="610"/>
      <c r="K58" s="93"/>
      <c r="L58" s="93">
        <f ca="1">IFERROR(__xludf.DUMMYFUNCTION("IMPORTRANGE(""https://docs.google.com/spreadsheets/d/1MeEWN-I1oV_STSDYn1IFDPWt_1FKiwhDph83XaGc0o0/edit?usp=sharing"",""งบพรบ!W62"")"),577900)</f>
        <v>577900</v>
      </c>
      <c r="M58" s="93">
        <f ca="1">IFERROR(__xludf.DUMMYFUNCTION("IMPORTRANGE(""https://docs.google.com/spreadsheets/d/1MeEWN-I1oV_STSDYn1IFDPWt_1FKiwhDph83XaGc0o0/edit?usp=sharing"",""งบพรบ!AB62"")"),288950)</f>
        <v>288950</v>
      </c>
      <c r="N58" s="93">
        <f ca="1">IFERROR(__xludf.DUMMYFUNCTION("IMPORTRANGE(""https://docs.google.com/spreadsheets/d/1MeEWN-I1oV_STSDYn1IFDPWt_1FKiwhDph83XaGc0o0/edit?usp=sharing"",""งบพรบ!AD62"")"),210452.82)</f>
        <v>210452.82</v>
      </c>
      <c r="O58" s="93">
        <f t="shared" ca="1" si="32"/>
        <v>36.416822979754279</v>
      </c>
      <c r="P58" s="93">
        <f t="shared" ca="1" si="33"/>
        <v>72.833645959508559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16" t="s">
        <v>12</v>
      </c>
      <c r="I59" s="269"/>
      <c r="J59" s="269"/>
      <c r="K59" s="496"/>
      <c r="L59" s="496">
        <f t="shared" ref="L59:N59" ca="1" si="36">L60+L61</f>
        <v>0</v>
      </c>
      <c r="M59" s="496">
        <f t="shared" ca="1" si="36"/>
        <v>0</v>
      </c>
      <c r="N59" s="496">
        <f t="shared" ca="1" si="36"/>
        <v>0</v>
      </c>
      <c r="O59" s="496">
        <f t="shared" ca="1" si="32"/>
        <v>0</v>
      </c>
      <c r="P59" s="496">
        <f t="shared" ca="1" si="33"/>
        <v>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2" t="s">
        <v>18</v>
      </c>
      <c r="F60" s="40"/>
      <c r="G60" s="42"/>
      <c r="H60" s="43" t="s">
        <v>12</v>
      </c>
      <c r="I60" s="610"/>
      <c r="J60" s="610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IFERROR(__xludf.DUMMYFUNCTION("IMPORTRANGE(""https://docs.google.com/spreadsheets/d/1MeEWN-I1oV_STSDYn1IFDPWt_1FKiwhDph83XaGc0o0/edit?usp=sharing"",""งบพรบ!Z62"")"),0)</f>
        <v>0</v>
      </c>
      <c r="M61" s="52">
        <f ca="1">IFERROR(__xludf.DUMMYFUNCTION("IMPORTRANGE(""https://docs.google.com/spreadsheets/d/1MeEWN-I1oV_STSDYn1IFDPWt_1FKiwhDph83XaGc0o0/edit?usp=sharing"",""งบพรบ!AC62"")"),0)</f>
        <v>0</v>
      </c>
      <c r="N61" s="52">
        <f ca="1">IFERROR(__xludf.DUMMYFUNCTION("IMPORTRANGE(""https://docs.google.com/spreadsheets/d/1MeEWN-I1oV_STSDYn1IFDPWt_1FKiwhDph83XaGc0o0/edit?usp=sharing"",""งบพรบ!AE62"")"),0)</f>
        <v>0</v>
      </c>
      <c r="O61" s="52">
        <f t="shared" ca="1" si="32"/>
        <v>0</v>
      </c>
      <c r="P61" s="52">
        <f t="shared" ca="1" si="33"/>
        <v>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 hidden="1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 hidden="1">
      <c r="A64" s="138"/>
      <c r="B64" s="208" t="s">
        <v>33</v>
      </c>
      <c r="C64" s="140"/>
      <c r="D64" s="141"/>
      <c r="E64" s="140"/>
      <c r="F64" s="140"/>
      <c r="G64" s="142"/>
      <c r="H64" s="143" t="s">
        <v>34</v>
      </c>
      <c r="I64" s="144">
        <f t="shared" ref="I64:J65" ca="1" si="37">I76</f>
        <v>0</v>
      </c>
      <c r="J64" s="144">
        <f t="shared" si="37"/>
        <v>0</v>
      </c>
      <c r="K64" s="145">
        <f t="shared" ref="K64:K65" ca="1" si="38">IF(I64&gt;0,J64*100/I64,0)</f>
        <v>0</v>
      </c>
      <c r="L64" s="146"/>
      <c r="M64" s="146"/>
      <c r="N64" s="146"/>
      <c r="O64" s="146"/>
      <c r="P64" s="146"/>
    </row>
    <row r="65" spans="1:26" ht="19.5" hidden="1">
      <c r="A65" s="138"/>
      <c r="B65" s="140"/>
      <c r="C65" s="140"/>
      <c r="D65" s="141"/>
      <c r="E65" s="140"/>
      <c r="F65" s="140"/>
      <c r="G65" s="142"/>
      <c r="H65" s="143" t="s">
        <v>35</v>
      </c>
      <c r="I65" s="144">
        <f t="shared" ca="1" si="37"/>
        <v>0</v>
      </c>
      <c r="J65" s="144">
        <f t="shared" si="37"/>
        <v>0</v>
      </c>
      <c r="K65" s="145">
        <f t="shared" ca="1" si="38"/>
        <v>0</v>
      </c>
      <c r="L65" s="146"/>
      <c r="M65" s="146"/>
      <c r="N65" s="146"/>
      <c r="O65" s="146"/>
      <c r="P65" s="146"/>
    </row>
    <row r="66" spans="1:26" ht="19.5" hidden="1">
      <c r="A66" s="147"/>
      <c r="B66" s="148"/>
      <c r="C66" s="149" t="s">
        <v>16</v>
      </c>
      <c r="D66" s="822" t="s">
        <v>17</v>
      </c>
      <c r="E66" s="148"/>
      <c r="F66" s="148"/>
      <c r="G66" s="151"/>
      <c r="H66" s="152" t="s">
        <v>12</v>
      </c>
      <c r="I66" s="419"/>
      <c r="J66" s="419"/>
      <c r="K66" s="154"/>
      <c r="L66" s="155">
        <f t="shared" ref="L66:N66" ca="1" si="39">L67+L68</f>
        <v>0</v>
      </c>
      <c r="M66" s="155">
        <f t="shared" ca="1" si="39"/>
        <v>0</v>
      </c>
      <c r="N66" s="155">
        <f t="shared" ca="1" si="39"/>
        <v>0</v>
      </c>
      <c r="O66" s="155">
        <f t="shared" ref="O66:O74" ca="1" si="40">IF(L66&gt;0,N66*100/L66,0)</f>
        <v>0</v>
      </c>
      <c r="P66" s="155">
        <f t="shared" ref="P66:P74" ca="1" si="41">IF(M66&gt;0,N66*100/M66,0)</f>
        <v>0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2" t="s">
        <v>18</v>
      </c>
      <c r="F67" s="40"/>
      <c r="G67" s="157"/>
      <c r="H67" s="158" t="s">
        <v>12</v>
      </c>
      <c r="I67" s="610"/>
      <c r="J67" s="610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2" t="s">
        <v>19</v>
      </c>
      <c r="F68" s="40"/>
      <c r="G68" s="157"/>
      <c r="H68" s="158" t="s">
        <v>12</v>
      </c>
      <c r="I68" s="610"/>
      <c r="J68" s="610"/>
      <c r="K68" s="93"/>
      <c r="L68" s="93">
        <f t="shared" ca="1" si="42"/>
        <v>0</v>
      </c>
      <c r="M68" s="93">
        <f t="shared" ca="1" si="42"/>
        <v>0</v>
      </c>
      <c r="N68" s="93">
        <f t="shared" ca="1" si="42"/>
        <v>0</v>
      </c>
      <c r="O68" s="93">
        <f t="shared" ca="1" si="40"/>
        <v>0</v>
      </c>
      <c r="P68" s="93">
        <f t="shared" ca="1" si="41"/>
        <v>0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 hidden="1">
      <c r="A69" s="159"/>
      <c r="B69" s="33"/>
      <c r="C69" s="281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6">
        <f t="shared" ref="L69:N69" ca="1" si="43">L70+L71</f>
        <v>0</v>
      </c>
      <c r="M69" s="496">
        <f t="shared" ca="1" si="43"/>
        <v>0</v>
      </c>
      <c r="N69" s="496">
        <f t="shared" ca="1" si="43"/>
        <v>0</v>
      </c>
      <c r="O69" s="496">
        <f t="shared" ca="1" si="40"/>
        <v>0</v>
      </c>
      <c r="P69" s="496">
        <f t="shared" ca="1" si="41"/>
        <v>0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2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2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IFERROR(__xludf.DUMMYFUNCTION("IMPORTRANGE(""https://docs.google.com/spreadsheets/d/1MeEWN-I1oV_STSDYn1IFDPWt_1FKiwhDph83XaGc0o0/edit?usp=sharing"",""งบพรบ!AG62"")"),0)</f>
        <v>0</v>
      </c>
      <c r="M71" s="93">
        <f ca="1">IFERROR(__xludf.DUMMYFUNCTION("IMPORTRANGE(""https://docs.google.com/spreadsheets/d/1MeEWN-I1oV_STSDYn1IFDPWt_1FKiwhDph83XaGc0o0/edit?usp=sharing"",""งบพรบ!AL62"")"),0)</f>
        <v>0</v>
      </c>
      <c r="N71" s="93">
        <f ca="1">IFERROR(__xludf.DUMMYFUNCTION("IMPORTRANGE(""https://docs.google.com/spreadsheets/d/1MeEWN-I1oV_STSDYn1IFDPWt_1FKiwhDph83XaGc0o0/edit?usp=sharing"",""งบพรบ!AN62"")"),0)</f>
        <v>0</v>
      </c>
      <c r="O71" s="93">
        <f t="shared" ca="1" si="40"/>
        <v>0</v>
      </c>
      <c r="P71" s="93">
        <f t="shared" ca="1" si="41"/>
        <v>0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 hidden="1">
      <c r="A72" s="159"/>
      <c r="B72" s="33"/>
      <c r="C72" s="281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6">
        <f t="shared" ref="L72:N72" ca="1" si="44">L73+L74</f>
        <v>0</v>
      </c>
      <c r="M72" s="496">
        <f t="shared" ca="1" si="44"/>
        <v>0</v>
      </c>
      <c r="N72" s="496">
        <f t="shared" ca="1" si="44"/>
        <v>0</v>
      </c>
      <c r="O72" s="496">
        <f t="shared" ca="1" si="40"/>
        <v>0</v>
      </c>
      <c r="P72" s="496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2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2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IFERROR(__xludf.DUMMYFUNCTION("IMPORTRANGE(""https://docs.google.com/spreadsheets/d/1MeEWN-I1oV_STSDYn1IFDPWt_1FKiwhDph83XaGc0o0/edit?usp=sharing"",""งบพรบ!AJ62"")"),0)</f>
        <v>0</v>
      </c>
      <c r="M74" s="93">
        <f ca="1">IFERROR(__xludf.DUMMYFUNCTION("IMPORTRANGE(""https://docs.google.com/spreadsheets/d/1MeEWN-I1oV_STSDYn1IFDPWt_1FKiwhDph83XaGc0o0/edit?usp=sharing"",""งบพรบ!AM62"")"),0)</f>
        <v>0</v>
      </c>
      <c r="N74" s="93">
        <f ca="1">IFERROR(__xludf.DUMMYFUNCTION("IMPORTRANGE(""https://docs.google.com/spreadsheets/d/1MeEWN-I1oV_STSDYn1IFDPWt_1FKiwhDph83XaGc0o0/edit?usp=sharing"",""งบพรบ!AO62"")"),0)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 hidden="1">
      <c r="A75" s="170"/>
      <c r="B75" s="171"/>
      <c r="C75" s="164" t="s">
        <v>16</v>
      </c>
      <c r="D75" s="823" t="s">
        <v>38</v>
      </c>
      <c r="E75" s="173"/>
      <c r="F75" s="173"/>
      <c r="G75" s="174"/>
      <c r="H75" s="753"/>
      <c r="I75" s="184"/>
      <c r="J75" s="184"/>
      <c r="K75" s="163"/>
      <c r="L75" s="163"/>
      <c r="M75" s="163"/>
      <c r="N75" s="163"/>
      <c r="O75" s="163"/>
      <c r="P75" s="163"/>
    </row>
    <row r="76" spans="1:26" ht="19.5" hidden="1">
      <c r="A76" s="170"/>
      <c r="B76" s="171"/>
      <c r="C76" s="171"/>
      <c r="D76" s="176" t="s">
        <v>39</v>
      </c>
      <c r="E76" s="446"/>
      <c r="F76" s="178"/>
      <c r="G76" s="179"/>
      <c r="H76" s="180" t="s">
        <v>34</v>
      </c>
      <c r="I76" s="269">
        <f t="shared" ref="I76:J77" ca="1" si="45">I78+I80+I82</f>
        <v>0</v>
      </c>
      <c r="J76" s="269">
        <f t="shared" si="45"/>
        <v>0</v>
      </c>
      <c r="K76" s="163">
        <f t="shared" ref="K76:K84" ca="1" si="46">IF(I76&gt;0,J76*100/I76,0)</f>
        <v>0</v>
      </c>
      <c r="L76" s="163"/>
      <c r="M76" s="163"/>
      <c r="N76" s="163"/>
      <c r="O76" s="163"/>
      <c r="P76" s="163"/>
    </row>
    <row r="77" spans="1:26" ht="19.5" hidden="1">
      <c r="A77" s="170"/>
      <c r="B77" s="171"/>
      <c r="C77" s="171"/>
      <c r="D77" s="171"/>
      <c r="E77" s="178"/>
      <c r="F77" s="178"/>
      <c r="G77" s="179"/>
      <c r="H77" s="180" t="s">
        <v>35</v>
      </c>
      <c r="I77" s="269">
        <f t="shared" ca="1" si="45"/>
        <v>0</v>
      </c>
      <c r="J77" s="269">
        <f t="shared" si="45"/>
        <v>0</v>
      </c>
      <c r="K77" s="163">
        <f t="shared" ca="1" si="46"/>
        <v>0</v>
      </c>
      <c r="L77" s="163"/>
      <c r="M77" s="163"/>
      <c r="N77" s="163"/>
      <c r="O77" s="163"/>
      <c r="P77" s="163"/>
    </row>
    <row r="78" spans="1:26" ht="18.75" hidden="1">
      <c r="A78" s="170"/>
      <c r="B78" s="171"/>
      <c r="C78" s="171"/>
      <c r="D78" s="171"/>
      <c r="E78" s="446" t="s">
        <v>40</v>
      </c>
      <c r="F78" s="446"/>
      <c r="G78" s="179"/>
      <c r="H78" s="755" t="s">
        <v>34</v>
      </c>
      <c r="I78" s="184">
        <f ca="1">IFERROR(__xludf.DUMMYFUNCTION("IMPORTRANGE(""https://docs.google.com/spreadsheets/d/1QqKyyYR6Q21VydFLVH3TRQUabQu_ym0Zz7PgGX0-kHA/edit?usp=sharing"",""แผน!H62"")"),0)</f>
        <v>0</v>
      </c>
      <c r="J78" s="214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 hidden="1">
      <c r="A79" s="170"/>
      <c r="B79" s="171"/>
      <c r="C79" s="171"/>
      <c r="D79" s="171"/>
      <c r="E79" s="178"/>
      <c r="F79" s="178"/>
      <c r="G79" s="179"/>
      <c r="H79" s="755" t="s">
        <v>35</v>
      </c>
      <c r="I79" s="184">
        <f ca="1">IFERROR(__xludf.DUMMYFUNCTION("IMPORTRANGE(""https://docs.google.com/spreadsheets/d/1QqKyyYR6Q21VydFLVH3TRQUabQu_ym0Zz7PgGX0-kHA/edit?usp=sharing"",""แผน!I62"")"),0)</f>
        <v>0</v>
      </c>
      <c r="J79" s="214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 hidden="1">
      <c r="A80" s="170"/>
      <c r="B80" s="171"/>
      <c r="C80" s="171"/>
      <c r="D80" s="171"/>
      <c r="E80" s="446" t="s">
        <v>41</v>
      </c>
      <c r="F80" s="446"/>
      <c r="G80" s="179"/>
      <c r="H80" s="755" t="s">
        <v>34</v>
      </c>
      <c r="I80" s="184">
        <f ca="1">IFERROR(__xludf.DUMMYFUNCTION("IMPORTRANGE(""https://docs.google.com/spreadsheets/d/1QqKyyYR6Q21VydFLVH3TRQUabQu_ym0Zz7PgGX0-kHA/edit?usp=sharing"",""แผน!F62"")"),0)</f>
        <v>0</v>
      </c>
      <c r="J80" s="214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 hidden="1">
      <c r="A81" s="170"/>
      <c r="B81" s="171"/>
      <c r="C81" s="171"/>
      <c r="D81" s="171"/>
      <c r="E81" s="178"/>
      <c r="F81" s="178"/>
      <c r="G81" s="179"/>
      <c r="H81" s="755" t="s">
        <v>35</v>
      </c>
      <c r="I81" s="184">
        <f ca="1">IFERROR(__xludf.DUMMYFUNCTION("IMPORTRANGE(""https://docs.google.com/spreadsheets/d/1QqKyyYR6Q21VydFLVH3TRQUabQu_ym0Zz7PgGX0-kHA/edit?usp=sharing"",""แผน!G62"")"),0)</f>
        <v>0</v>
      </c>
      <c r="J81" s="214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 hidden="1">
      <c r="A82" s="170"/>
      <c r="B82" s="171"/>
      <c r="C82" s="171"/>
      <c r="D82" s="171"/>
      <c r="E82" s="446" t="s">
        <v>42</v>
      </c>
      <c r="F82" s="446"/>
      <c r="G82" s="179"/>
      <c r="H82" s="755" t="s">
        <v>34</v>
      </c>
      <c r="I82" s="184">
        <f ca="1">IFERROR(__xludf.DUMMYFUNCTION("IMPORTRANGE(""https://docs.google.com/spreadsheets/d/1QqKyyYR6Q21VydFLVH3TRQUabQu_ym0Zz7PgGX0-kHA/edit?usp=sharing"",""แผน!D62"")"),0)</f>
        <v>0</v>
      </c>
      <c r="J82" s="214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 hidden="1">
      <c r="A83" s="170"/>
      <c r="B83" s="171"/>
      <c r="C83" s="171"/>
      <c r="D83" s="171"/>
      <c r="E83" s="178"/>
      <c r="F83" s="178"/>
      <c r="G83" s="179"/>
      <c r="H83" s="755" t="s">
        <v>35</v>
      </c>
      <c r="I83" s="184">
        <f ca="1">IFERROR(__xludf.DUMMYFUNCTION("IMPORTRANGE(""https://docs.google.com/spreadsheets/d/1QqKyyYR6Q21VydFLVH3TRQUabQu_ym0Zz7PgGX0-kHA/edit?usp=sharing"",""แผน!E62"")"),0)</f>
        <v>0</v>
      </c>
      <c r="J83" s="214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 hidden="1">
      <c r="A84" s="170"/>
      <c r="B84" s="171"/>
      <c r="C84" s="171"/>
      <c r="D84" s="176" t="s">
        <v>43</v>
      </c>
      <c r="E84" s="446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IFERROR(__xludf.DUMMYFUNCTION("IMPORTRANGE(""https://docs.google.com/spreadsheets/d/1QqKyyYR6Q21VydFLVH3TRQUabQu_ym0Zz7PgGX0-kHA/edit?usp=sharing"",""แผน!J62"")"),0)</f>
        <v>0</v>
      </c>
      <c r="J84" s="214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8" t="s">
        <v>45</v>
      </c>
      <c r="C86" s="140"/>
      <c r="D86" s="141"/>
      <c r="E86" s="140"/>
      <c r="F86" s="140"/>
      <c r="G86" s="142"/>
      <c r="H86" s="143" t="s">
        <v>46</v>
      </c>
      <c r="I86" s="144">
        <f t="shared" ref="I86:J87" ca="1" si="47">I98</f>
        <v>0</v>
      </c>
      <c r="J86" s="144">
        <f t="shared" si="47"/>
        <v>0</v>
      </c>
      <c r="K86" s="145">
        <f t="shared" ref="K86:K87" ca="1" si="48">IF(I86&gt;0,J86*100/I86,0)</f>
        <v>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143" t="s">
        <v>35</v>
      </c>
      <c r="I87" s="144">
        <f t="shared" ca="1" si="47"/>
        <v>0</v>
      </c>
      <c r="J87" s="144">
        <f t="shared" si="47"/>
        <v>0</v>
      </c>
      <c r="K87" s="145">
        <f t="shared" ca="1" si="48"/>
        <v>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22" t="s">
        <v>17</v>
      </c>
      <c r="E88" s="148"/>
      <c r="F88" s="148"/>
      <c r="G88" s="151"/>
      <c r="H88" s="152" t="s">
        <v>12</v>
      </c>
      <c r="I88" s="419"/>
      <c r="J88" s="419"/>
      <c r="K88" s="154"/>
      <c r="L88" s="155">
        <f t="shared" ref="L88:N88" ca="1" si="49">L89+L90</f>
        <v>174200</v>
      </c>
      <c r="M88" s="155">
        <f t="shared" ca="1" si="49"/>
        <v>92750</v>
      </c>
      <c r="N88" s="155">
        <f t="shared" ca="1" si="49"/>
        <v>41500</v>
      </c>
      <c r="O88" s="155">
        <f t="shared" ref="O88:O96" ca="1" si="50">IF(L88&gt;0,N88*100/L88,0)</f>
        <v>23.823191733639494</v>
      </c>
      <c r="P88" s="155">
        <f t="shared" ref="P88:P96" ca="1" si="51">IF(M88&gt;0,N88*100/M88,0)</f>
        <v>44.743935309973047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2" t="s">
        <v>18</v>
      </c>
      <c r="F89" s="40"/>
      <c r="G89" s="157"/>
      <c r="H89" s="158" t="s">
        <v>12</v>
      </c>
      <c r="I89" s="610"/>
      <c r="J89" s="610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2" t="s">
        <v>19</v>
      </c>
      <c r="F90" s="40"/>
      <c r="G90" s="157"/>
      <c r="H90" s="158" t="s">
        <v>12</v>
      </c>
      <c r="I90" s="610"/>
      <c r="J90" s="610"/>
      <c r="K90" s="93"/>
      <c r="L90" s="93">
        <f t="shared" ca="1" si="52"/>
        <v>174200</v>
      </c>
      <c r="M90" s="93">
        <f t="shared" ca="1" si="52"/>
        <v>92750</v>
      </c>
      <c r="N90" s="93">
        <f t="shared" ca="1" si="52"/>
        <v>41500</v>
      </c>
      <c r="O90" s="93">
        <f t="shared" ca="1" si="50"/>
        <v>23.823191733639494</v>
      </c>
      <c r="P90" s="93">
        <f t="shared" ca="1" si="51"/>
        <v>44.743935309973047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1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6">
        <f t="shared" ref="L91:N91" ca="1" si="53">L92+L93</f>
        <v>174200</v>
      </c>
      <c r="M91" s="496">
        <f t="shared" ca="1" si="53"/>
        <v>92750</v>
      </c>
      <c r="N91" s="496">
        <f t="shared" ca="1" si="53"/>
        <v>41500</v>
      </c>
      <c r="O91" s="496">
        <f t="shared" ca="1" si="50"/>
        <v>23.823191733639494</v>
      </c>
      <c r="P91" s="496">
        <f t="shared" ca="1" si="51"/>
        <v>44.743935309973047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2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2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IFERROR(__xludf.DUMMYFUNCTION("IMPORTRANGE(""https://docs.google.com/spreadsheets/d/1MeEWN-I1oV_STSDYn1IFDPWt_1FKiwhDph83XaGc0o0/edit?usp=sharing"",""งบพรบ!AQ62"")"),174200)</f>
        <v>174200</v>
      </c>
      <c r="M93" s="93">
        <f ca="1">IFERROR(__xludf.DUMMYFUNCTION("IMPORTRANGE(""https://docs.google.com/spreadsheets/d/1MeEWN-I1oV_STSDYn1IFDPWt_1FKiwhDph83XaGc0o0/edit?usp=sharing"",""งบพรบ!AV62"")"),92750)</f>
        <v>92750</v>
      </c>
      <c r="N93" s="93">
        <f ca="1">IFERROR(__xludf.DUMMYFUNCTION("IMPORTRANGE(""https://docs.google.com/spreadsheets/d/1MeEWN-I1oV_STSDYn1IFDPWt_1FKiwhDph83XaGc0o0/edit?usp=sharing"",""งบพรบ!AX62"")"),41500)</f>
        <v>41500</v>
      </c>
      <c r="O93" s="93">
        <f t="shared" ca="1" si="50"/>
        <v>23.823191733639494</v>
      </c>
      <c r="P93" s="93">
        <f t="shared" ca="1" si="51"/>
        <v>44.743935309973047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1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6">
        <f t="shared" ref="L94:N94" ca="1" si="54">L95+L96</f>
        <v>0</v>
      </c>
      <c r="M94" s="496">
        <f t="shared" ca="1" si="54"/>
        <v>0</v>
      </c>
      <c r="N94" s="496">
        <f t="shared" ca="1" si="54"/>
        <v>0</v>
      </c>
      <c r="O94" s="496">
        <f t="shared" ca="1" si="50"/>
        <v>0</v>
      </c>
      <c r="P94" s="496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2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2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IFERROR(__xludf.DUMMYFUNCTION("IMPORTRANGE(""https://docs.google.com/spreadsheets/d/1MeEWN-I1oV_STSDYn1IFDPWt_1FKiwhDph83XaGc0o0/edit?usp=sharing"",""งบพรบ!AT62"")"),0)</f>
        <v>0</v>
      </c>
      <c r="M96" s="93">
        <f ca="1">IFERROR(__xludf.DUMMYFUNCTION("IMPORTRANGE(""https://docs.google.com/spreadsheets/d/1MeEWN-I1oV_STSDYn1IFDPWt_1FKiwhDph83XaGc0o0/edit?usp=sharing"",""งบพรบ!AW62"")"),0)</f>
        <v>0</v>
      </c>
      <c r="N96" s="93">
        <f ca="1">IFERROR(__xludf.DUMMYFUNCTION("IMPORTRANGE(""https://docs.google.com/spreadsheets/d/1MeEWN-I1oV_STSDYn1IFDPWt_1FKiwhDph83XaGc0o0/edit?usp=sharing"",""งบพรบ!AY62"")"),0)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23" t="s">
        <v>38</v>
      </c>
      <c r="E97" s="173"/>
      <c r="F97" s="173"/>
      <c r="G97" s="174"/>
      <c r="H97" s="753"/>
      <c r="I97" s="184"/>
      <c r="J97" s="269"/>
      <c r="K97" s="496"/>
      <c r="L97" s="496"/>
      <c r="M97" s="496"/>
      <c r="N97" s="496"/>
      <c r="O97" s="163"/>
      <c r="P97" s="163"/>
    </row>
    <row r="98" spans="1:16" ht="18.75">
      <c r="A98" s="170"/>
      <c r="B98" s="171"/>
      <c r="C98" s="171"/>
      <c r="D98" s="446" t="s">
        <v>47</v>
      </c>
      <c r="E98" s="446"/>
      <c r="F98" s="178"/>
      <c r="G98" s="179"/>
      <c r="H98" s="616" t="s">
        <v>46</v>
      </c>
      <c r="I98" s="269">
        <f ca="1">IFERROR(__xludf.DUMMYFUNCTION("IMPORTRANGE(""https://docs.google.com/spreadsheets/d/1QqKyyYR6Q21VydFLVH3TRQUabQu_ym0Zz7PgGX0-kHA/edit?usp=sharing"",""แผน!K62"")"),0)</f>
        <v>0</v>
      </c>
      <c r="J98" s="269">
        <f>J102</f>
        <v>0</v>
      </c>
      <c r="K98" s="496">
        <f t="shared" ref="K98:K100" ca="1" si="55">IF(I98&gt;0,J98*100/I98,0)</f>
        <v>0</v>
      </c>
      <c r="L98" s="496"/>
      <c r="M98" s="496"/>
      <c r="N98" s="496"/>
      <c r="O98" s="163"/>
      <c r="P98" s="163"/>
    </row>
    <row r="99" spans="1:16" ht="18.75">
      <c r="A99" s="170"/>
      <c r="B99" s="171"/>
      <c r="C99" s="171"/>
      <c r="D99" s="446" t="s">
        <v>48</v>
      </c>
      <c r="E99" s="446"/>
      <c r="F99" s="178"/>
      <c r="G99" s="179"/>
      <c r="H99" s="616" t="s">
        <v>35</v>
      </c>
      <c r="I99" s="269">
        <f ca="1">IFERROR(__xludf.DUMMYFUNCTION("IMPORTRANGE(""https://docs.google.com/spreadsheets/d/1QqKyyYR6Q21VydFLVH3TRQUabQu_ym0Zz7PgGX0-kHA/edit?usp=sharing"",""แผน!L62"")"),0)</f>
        <v>0</v>
      </c>
      <c r="J99" s="269">
        <f>J104</f>
        <v>0</v>
      </c>
      <c r="K99" s="496">
        <f t="shared" ca="1" si="55"/>
        <v>0</v>
      </c>
      <c r="L99" s="496"/>
      <c r="M99" s="496"/>
      <c r="N99" s="496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16" t="s">
        <v>49</v>
      </c>
      <c r="I100" s="269">
        <f ca="1">IFERROR(__xludf.DUMMYFUNCTION("IMPORTRANGE(""https://docs.google.com/spreadsheets/d/1QqKyyYR6Q21VydFLVH3TRQUabQu_ym0Zz7PgGX0-kHA/edit?usp=sharing"",""แผน!M62"")"),1)</f>
        <v>1</v>
      </c>
      <c r="J100" s="269">
        <f>J107+J110</f>
        <v>1</v>
      </c>
      <c r="K100" s="496">
        <f t="shared" ca="1" si="55"/>
        <v>100</v>
      </c>
      <c r="L100" s="496"/>
      <c r="M100" s="496"/>
      <c r="N100" s="496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16"/>
      <c r="I101" s="269"/>
      <c r="J101" s="269"/>
      <c r="K101" s="496"/>
      <c r="L101" s="496"/>
      <c r="M101" s="496"/>
      <c r="N101" s="496"/>
      <c r="O101" s="163"/>
      <c r="P101" s="163"/>
    </row>
    <row r="102" spans="1:16" ht="18.75">
      <c r="A102" s="170"/>
      <c r="B102" s="171"/>
      <c r="C102" s="171"/>
      <c r="D102" s="178"/>
      <c r="E102" s="619" t="s">
        <v>47</v>
      </c>
      <c r="F102" s="178"/>
      <c r="G102" s="179"/>
      <c r="H102" s="616" t="s">
        <v>46</v>
      </c>
      <c r="I102" s="269">
        <f ca="1">IFERROR(__xludf.DUMMYFUNCTION("IMPORTRANGE(""https://docs.google.com/spreadsheets/d/1QqKyyYR6Q21VydFLVH3TRQUabQu_ym0Zz7PgGX0-kHA/edit?usp=sharing"",""แผน!N62"")"),0)</f>
        <v>0</v>
      </c>
      <c r="J102" s="214">
        <v>0</v>
      </c>
      <c r="K102" s="496">
        <f t="shared" ref="K102:K104" ca="1" si="56">IF(I102&gt;0,J102*100/I102,0)</f>
        <v>0</v>
      </c>
      <c r="L102" s="496"/>
      <c r="M102" s="496"/>
      <c r="N102" s="496"/>
      <c r="O102" s="163"/>
      <c r="P102" s="163"/>
    </row>
    <row r="103" spans="1:16" ht="19.5">
      <c r="A103" s="170"/>
      <c r="B103" s="171"/>
      <c r="C103" s="171"/>
      <c r="D103" s="178"/>
      <c r="E103" s="446" t="s">
        <v>51</v>
      </c>
      <c r="F103" s="178"/>
      <c r="G103" s="179"/>
      <c r="H103" s="616" t="s">
        <v>35</v>
      </c>
      <c r="I103" s="269">
        <f ca="1">IFERROR(__xludf.DUMMYFUNCTION("IMPORTRANGE(""https://docs.google.com/spreadsheets/d/1QqKyyYR6Q21VydFLVH3TRQUabQu_ym0Zz7PgGX0-kHA/edit?usp=sharing"",""แผน!O62"")"),0)</f>
        <v>0</v>
      </c>
      <c r="J103" s="214">
        <v>0</v>
      </c>
      <c r="K103" s="496">
        <f t="shared" ca="1" si="56"/>
        <v>0</v>
      </c>
      <c r="L103" s="496"/>
      <c r="M103" s="496"/>
      <c r="N103" s="496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16" t="s">
        <v>35</v>
      </c>
      <c r="I104" s="269">
        <f ca="1">IFERROR(__xludf.DUMMYFUNCTION("IMPORTRANGE(""https://docs.google.com/spreadsheets/d/1QqKyyYR6Q21VydFLVH3TRQUabQu_ym0Zz7PgGX0-kHA/edit?usp=sharing"",""แผน!O62"")"),0)</f>
        <v>0</v>
      </c>
      <c r="J104" s="214">
        <v>0</v>
      </c>
      <c r="K104" s="496">
        <f t="shared" ca="1" si="56"/>
        <v>0</v>
      </c>
      <c r="L104" s="496"/>
      <c r="M104" s="496"/>
      <c r="N104" s="496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69"/>
      <c r="J105" s="269"/>
      <c r="K105" s="496"/>
      <c r="L105" s="496"/>
      <c r="M105" s="496"/>
      <c r="N105" s="496"/>
      <c r="O105" s="163"/>
      <c r="P105" s="163"/>
    </row>
    <row r="106" spans="1:16" ht="19.5">
      <c r="A106" s="170"/>
      <c r="B106" s="171"/>
      <c r="C106" s="171"/>
      <c r="D106" s="178"/>
      <c r="E106" s="446" t="s">
        <v>54</v>
      </c>
      <c r="F106" s="178"/>
      <c r="G106" s="179"/>
      <c r="H106" s="616" t="s">
        <v>49</v>
      </c>
      <c r="I106" s="269">
        <f ca="1">IFERROR(__xludf.DUMMYFUNCTION("IMPORTRANGE(""https://docs.google.com/spreadsheets/d/1QqKyyYR6Q21VydFLVH3TRQUabQu_ym0Zz7PgGX0-kHA/edit?usp=sharing"",""แผน!P62"")"),0)</f>
        <v>0</v>
      </c>
      <c r="J106" s="214">
        <v>0</v>
      </c>
      <c r="K106" s="496">
        <f t="shared" ref="K106:K107" ca="1" si="57">IF(I106&gt;0,J106*100/I106,0)</f>
        <v>0</v>
      </c>
      <c r="L106" s="496"/>
      <c r="M106" s="496"/>
      <c r="N106" s="496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16" t="s">
        <v>49</v>
      </c>
      <c r="I107" s="269">
        <f ca="1">IFERROR(__xludf.DUMMYFUNCTION("IMPORTRANGE(""https://docs.google.com/spreadsheets/d/1QqKyyYR6Q21VydFLVH3TRQUabQu_ym0Zz7PgGX0-kHA/edit?usp=sharing"",""แผน!P62"")"),0)</f>
        <v>0</v>
      </c>
      <c r="J107" s="214">
        <v>0</v>
      </c>
      <c r="K107" s="496">
        <f t="shared" ca="1" si="57"/>
        <v>0</v>
      </c>
      <c r="L107" s="496"/>
      <c r="M107" s="496"/>
      <c r="N107" s="496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69"/>
      <c r="J108" s="269"/>
      <c r="K108" s="496"/>
      <c r="L108" s="496"/>
      <c r="M108" s="496"/>
      <c r="N108" s="496"/>
      <c r="O108" s="163"/>
      <c r="P108" s="163"/>
    </row>
    <row r="109" spans="1:16" ht="19.5">
      <c r="A109" s="170"/>
      <c r="B109" s="171"/>
      <c r="C109" s="171"/>
      <c r="D109" s="178"/>
      <c r="E109" s="446" t="s">
        <v>57</v>
      </c>
      <c r="F109" s="178"/>
      <c r="G109" s="179"/>
      <c r="H109" s="616" t="s">
        <v>49</v>
      </c>
      <c r="I109" s="269">
        <f ca="1">IFERROR(__xludf.DUMMYFUNCTION("IMPORTRANGE(""https://docs.google.com/spreadsheets/d/1QqKyyYR6Q21VydFLVH3TRQUabQu_ym0Zz7PgGX0-kHA/edit?usp=sharing"",""แผน!Q62"")"),1)</f>
        <v>1</v>
      </c>
      <c r="J109" s="214">
        <v>1</v>
      </c>
      <c r="K109" s="496">
        <f t="shared" ref="K109:K116" ca="1" si="58">IF(I109&gt;0,J109*100/I109,0)</f>
        <v>100</v>
      </c>
      <c r="L109" s="496"/>
      <c r="M109" s="496"/>
      <c r="N109" s="496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16" t="s">
        <v>49</v>
      </c>
      <c r="I110" s="269">
        <f ca="1">IFERROR(__xludf.DUMMYFUNCTION("IMPORTRANGE(""https://docs.google.com/spreadsheets/d/1QqKyyYR6Q21VydFLVH3TRQUabQu_ym0Zz7PgGX0-kHA/edit?usp=sharing"",""แผน!Q62"")"),1)</f>
        <v>1</v>
      </c>
      <c r="J110" s="214">
        <v>1</v>
      </c>
      <c r="K110" s="496">
        <f t="shared" ca="1" si="58"/>
        <v>100</v>
      </c>
      <c r="L110" s="496"/>
      <c r="M110" s="496"/>
      <c r="N110" s="496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58" t="s">
        <v>35</v>
      </c>
      <c r="I111" s="193">
        <f ca="1">IFERROR(__xludf.DUMMYFUNCTION("IMPORTRANGE(""https://docs.google.com/spreadsheets/d/1QqKyyYR6Q21VydFLVH3TRQUabQu_ym0Zz7PgGX0-kHA/edit?usp=sharing"",""แผน!R62"")"),0)</f>
        <v>0</v>
      </c>
      <c r="J111" s="674">
        <f>J114</f>
        <v>0</v>
      </c>
      <c r="K111" s="195">
        <f t="shared" ca="1" si="58"/>
        <v>0</v>
      </c>
      <c r="L111" s="496"/>
      <c r="M111" s="496"/>
      <c r="N111" s="496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1</v>
      </c>
      <c r="J112" s="674">
        <f t="shared" si="59"/>
        <v>0</v>
      </c>
      <c r="K112" s="195">
        <f t="shared" ca="1" si="58"/>
        <v>0</v>
      </c>
      <c r="L112" s="496"/>
      <c r="M112" s="496"/>
      <c r="N112" s="496"/>
      <c r="O112" s="163"/>
      <c r="P112" s="163"/>
    </row>
    <row r="113" spans="1:26" ht="19.5">
      <c r="A113" s="170"/>
      <c r="B113" s="171"/>
      <c r="C113" s="171"/>
      <c r="D113" s="171"/>
      <c r="E113" s="525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IFERROR(__xludf.DUMMYFUNCTION("IMPORTRANGE(""https://docs.google.com/spreadsheets/d/1QqKyyYR6Q21VydFLVH3TRQUabQu_ym0Zz7PgGX0-kHA/edit?usp=sharing"",""แผน!R62"")"),0)</f>
        <v>0</v>
      </c>
      <c r="J113" s="214">
        <v>0</v>
      </c>
      <c r="K113" s="496">
        <f t="shared" ca="1" si="58"/>
        <v>0</v>
      </c>
      <c r="L113" s="496"/>
      <c r="M113" s="496"/>
      <c r="N113" s="496"/>
      <c r="O113" s="163"/>
      <c r="P113" s="163"/>
    </row>
    <row r="114" spans="1:26" ht="19.5">
      <c r="A114" s="170"/>
      <c r="B114" s="171"/>
      <c r="C114" s="171"/>
      <c r="D114" s="171"/>
      <c r="E114" s="446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IFERROR(__xludf.DUMMYFUNCTION("IMPORTRANGE(""https://docs.google.com/spreadsheets/d/1QqKyyYR6Q21VydFLVH3TRQUabQu_ym0Zz7PgGX0-kHA/edit?usp=sharing"",""แผน!R62"")"),0)</f>
        <v>0</v>
      </c>
      <c r="J114" s="214">
        <v>0</v>
      </c>
      <c r="K114" s="496">
        <f t="shared" ca="1" si="58"/>
        <v>0</v>
      </c>
      <c r="L114" s="496"/>
      <c r="M114" s="496"/>
      <c r="N114" s="496"/>
      <c r="O114" s="163"/>
      <c r="P114" s="163"/>
    </row>
    <row r="115" spans="1:26" ht="18.75">
      <c r="A115" s="170"/>
      <c r="B115" s="171"/>
      <c r="C115" s="171"/>
      <c r="D115" s="171"/>
      <c r="E115" s="446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IFERROR(__xludf.DUMMYFUNCTION("IMPORTRANGE(""https://docs.google.com/spreadsheets/d/1QqKyyYR6Q21VydFLVH3TRQUabQu_ym0Zz7PgGX0-kHA/edit?usp=sharing"",""แผน!S62"")"),0)</f>
        <v>0</v>
      </c>
      <c r="J115" s="214">
        <v>0</v>
      </c>
      <c r="K115" s="496">
        <f t="shared" ca="1" si="58"/>
        <v>0</v>
      </c>
      <c r="L115" s="496"/>
      <c r="M115" s="496"/>
      <c r="N115" s="496"/>
      <c r="O115" s="163"/>
      <c r="P115" s="163"/>
    </row>
    <row r="116" spans="1:26" ht="18.75">
      <c r="A116" s="170"/>
      <c r="B116" s="171"/>
      <c r="C116" s="171"/>
      <c r="D116" s="171"/>
      <c r="E116" s="446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IFERROR(__xludf.DUMMYFUNCTION("IMPORTRANGE(""https://docs.google.com/spreadsheets/d/1QqKyyYR6Q21VydFLVH3TRQUabQu_ym0Zz7PgGX0-kHA/edit?usp=sharing"",""แผน!T62"")"),1)</f>
        <v>1</v>
      </c>
      <c r="J116" s="214">
        <v>0</v>
      </c>
      <c r="K116" s="496">
        <f t="shared" ca="1" si="58"/>
        <v>0</v>
      </c>
      <c r="L116" s="496"/>
      <c r="M116" s="496"/>
      <c r="N116" s="496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8" t="s">
        <v>65</v>
      </c>
      <c r="C118" s="204"/>
      <c r="D118" s="141"/>
      <c r="E118" s="140"/>
      <c r="F118" s="140"/>
      <c r="G118" s="142"/>
      <c r="H118" s="143"/>
      <c r="I118" s="205"/>
      <c r="J118" s="205"/>
      <c r="K118" s="146"/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22" t="s">
        <v>17</v>
      </c>
      <c r="E119" s="148"/>
      <c r="F119" s="148"/>
      <c r="G119" s="151"/>
      <c r="H119" s="152" t="s">
        <v>12</v>
      </c>
      <c r="I119" s="419"/>
      <c r="J119" s="419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2" t="s">
        <v>18</v>
      </c>
      <c r="F120" s="40"/>
      <c r="G120" s="157"/>
      <c r="H120" s="158" t="s">
        <v>12</v>
      </c>
      <c r="I120" s="610"/>
      <c r="J120" s="610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2" t="s">
        <v>19</v>
      </c>
      <c r="F121" s="40"/>
      <c r="G121" s="157"/>
      <c r="H121" s="158" t="s">
        <v>12</v>
      </c>
      <c r="I121" s="610"/>
      <c r="J121" s="610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1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6">
        <f t="shared" ref="L122:N122" ca="1" si="64">L123+L124</f>
        <v>0</v>
      </c>
      <c r="M122" s="496">
        <f t="shared" ca="1" si="64"/>
        <v>0</v>
      </c>
      <c r="N122" s="496">
        <f t="shared" ca="1" si="64"/>
        <v>0</v>
      </c>
      <c r="O122" s="496">
        <f t="shared" ca="1" si="61"/>
        <v>0</v>
      </c>
      <c r="P122" s="496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2"/>
      <c r="D123" s="40"/>
      <c r="E123" s="222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2"/>
      <c r="D124" s="40"/>
      <c r="E124" s="222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IFERROR(__xludf.DUMMYFUNCTION("IMPORTRANGE(""https://docs.google.com/spreadsheets/d/1MeEWN-I1oV_STSDYn1IFDPWt_1FKiwhDph83XaGc0o0/edit?usp=sharing"",""งบพรบ!BA62"")"),0)</f>
        <v>0</v>
      </c>
      <c r="M124" s="93">
        <f ca="1">IFERROR(__xludf.DUMMYFUNCTION("IMPORTRANGE(""https://docs.google.com/spreadsheets/d/1MeEWN-I1oV_STSDYn1IFDPWt_1FKiwhDph83XaGc0o0/edit?usp=sharing"",""งบพรบ!BF62"")"),0)</f>
        <v>0</v>
      </c>
      <c r="N124" s="93">
        <f ca="1">IFERROR(__xludf.DUMMYFUNCTION("IMPORTRANGE(""https://docs.google.com/spreadsheets/d/1MeEWN-I1oV_STSDYn1IFDPWt_1FKiwhDph83XaGc0o0/edit?usp=sharing"",""งบพรบ!BH62"")"),0)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1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6">
        <f t="shared" ref="L125:N125" ca="1" si="65">L126+L127</f>
        <v>0</v>
      </c>
      <c r="M125" s="496">
        <f t="shared" ca="1" si="65"/>
        <v>0</v>
      </c>
      <c r="N125" s="496">
        <f t="shared" ca="1" si="65"/>
        <v>0</v>
      </c>
      <c r="O125" s="496">
        <f t="shared" ca="1" si="61"/>
        <v>0</v>
      </c>
      <c r="P125" s="496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2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2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IFERROR(__xludf.DUMMYFUNCTION("IMPORTRANGE(""https://docs.google.com/spreadsheets/d/1MeEWN-I1oV_STSDYn1IFDPWt_1FKiwhDph83XaGc0o0/edit?usp=sharing"",""งบพรบ!BD62"")"),0)</f>
        <v>0</v>
      </c>
      <c r="M127" s="93">
        <f ca="1">IFERROR(__xludf.DUMMYFUNCTION("IMPORTRANGE(""https://docs.google.com/spreadsheets/d/1MeEWN-I1oV_STSDYn1IFDPWt_1FKiwhDph83XaGc0o0/edit?usp=sharing"",""งบพรบ!BG62"")"),0)</f>
        <v>0</v>
      </c>
      <c r="N127" s="93">
        <f ca="1">IFERROR(__xludf.DUMMYFUNCTION("IMPORTRANGE(""https://docs.google.com/spreadsheets/d/1MeEWN-I1oV_STSDYn1IFDPWt_1FKiwhDph83XaGc0o0/edit?usp=sharing"",""งบพรบ!BI62"")"),0)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66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8" t="s">
        <v>67</v>
      </c>
      <c r="C129" s="204"/>
      <c r="D129" s="141"/>
      <c r="E129" s="140"/>
      <c r="F129" s="140"/>
      <c r="G129" s="140"/>
      <c r="H129" s="207"/>
      <c r="I129" s="205"/>
      <c r="J129" s="205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8"/>
      <c r="C130" s="209" t="s">
        <v>68</v>
      </c>
      <c r="D130" s="141"/>
      <c r="E130" s="140"/>
      <c r="F130" s="140"/>
      <c r="G130" s="142"/>
      <c r="H130" s="143" t="s">
        <v>69</v>
      </c>
      <c r="I130" s="144">
        <f t="shared" ref="I130:J130" ca="1" si="66">I146</f>
        <v>0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8"/>
      <c r="C131" s="209" t="s">
        <v>70</v>
      </c>
      <c r="D131" s="141"/>
      <c r="E131" s="140"/>
      <c r="F131" s="140"/>
      <c r="G131" s="142"/>
      <c r="H131" s="143" t="s">
        <v>35</v>
      </c>
      <c r="I131" s="144">
        <f t="shared" ref="I131:J131" ca="1" si="68">I143</f>
        <v>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822" t="s">
        <v>17</v>
      </c>
      <c r="E132" s="148"/>
      <c r="F132" s="148"/>
      <c r="G132" s="151"/>
      <c r="H132" s="152" t="s">
        <v>12</v>
      </c>
      <c r="I132" s="419"/>
      <c r="J132" s="419"/>
      <c r="K132" s="154"/>
      <c r="L132" s="155">
        <f t="shared" ref="L132:N132" ca="1" si="69">L133+L134</f>
        <v>0</v>
      </c>
      <c r="M132" s="155">
        <f t="shared" ca="1" si="69"/>
        <v>0</v>
      </c>
      <c r="N132" s="155">
        <f t="shared" ca="1" si="69"/>
        <v>0</v>
      </c>
      <c r="O132" s="155">
        <f t="shared" ref="O132:O140" ca="1" si="70">IF(L132&gt;0,N132*100/L132,0)</f>
        <v>0</v>
      </c>
      <c r="P132" s="155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2" t="s">
        <v>18</v>
      </c>
      <c r="F133" s="40"/>
      <c r="G133" s="157"/>
      <c r="H133" s="158" t="s">
        <v>12</v>
      </c>
      <c r="I133" s="610"/>
      <c r="J133" s="610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2" t="s">
        <v>19</v>
      </c>
      <c r="F134" s="40"/>
      <c r="G134" s="157"/>
      <c r="H134" s="158" t="s">
        <v>12</v>
      </c>
      <c r="I134" s="610"/>
      <c r="J134" s="610"/>
      <c r="K134" s="93"/>
      <c r="L134" s="93">
        <f t="shared" ca="1" si="72"/>
        <v>0</v>
      </c>
      <c r="M134" s="93">
        <f t="shared" ca="1" si="72"/>
        <v>0</v>
      </c>
      <c r="N134" s="93">
        <f t="shared" ca="1" si="72"/>
        <v>0</v>
      </c>
      <c r="O134" s="93">
        <f t="shared" ca="1" si="70"/>
        <v>0</v>
      </c>
      <c r="P134" s="93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1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6">
        <f t="shared" ref="L135:N135" ca="1" si="73">L136+L137</f>
        <v>0</v>
      </c>
      <c r="M135" s="496">
        <f t="shared" ca="1" si="73"/>
        <v>0</v>
      </c>
      <c r="N135" s="496">
        <f t="shared" ca="1" si="73"/>
        <v>0</v>
      </c>
      <c r="O135" s="496">
        <f t="shared" ca="1" si="70"/>
        <v>0</v>
      </c>
      <c r="P135" s="496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2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2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IFERROR(__xludf.DUMMYFUNCTION("IMPORTRANGE(""https://docs.google.com/spreadsheets/d/1MeEWN-I1oV_STSDYn1IFDPWt_1FKiwhDph83XaGc0o0/edit?usp=sharing"",""งบพรบ!BK62"")"),0)</f>
        <v>0</v>
      </c>
      <c r="M137" s="93">
        <f ca="1">IFERROR(__xludf.DUMMYFUNCTION("IMPORTRANGE(""https://docs.google.com/spreadsheets/d/1MeEWN-I1oV_STSDYn1IFDPWt_1FKiwhDph83XaGc0o0/edit?usp=sharing"",""งบพรบ!BP62"")"),0)</f>
        <v>0</v>
      </c>
      <c r="N137" s="93">
        <f ca="1">IFERROR(__xludf.DUMMYFUNCTION("IMPORTRANGE(""https://docs.google.com/spreadsheets/d/1MeEWN-I1oV_STSDYn1IFDPWt_1FKiwhDph83XaGc0o0/edit?usp=sharing"",""งบพรบ!BR62"")"),0)</f>
        <v>0</v>
      </c>
      <c r="O137" s="93">
        <f t="shared" ca="1" si="70"/>
        <v>0</v>
      </c>
      <c r="P137" s="93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1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6">
        <f t="shared" ref="L138:N138" ca="1" si="74">L139+L140</f>
        <v>0</v>
      </c>
      <c r="M138" s="496">
        <f t="shared" ca="1" si="74"/>
        <v>0</v>
      </c>
      <c r="N138" s="496">
        <f t="shared" ca="1" si="74"/>
        <v>0</v>
      </c>
      <c r="O138" s="496">
        <f t="shared" ca="1" si="70"/>
        <v>0</v>
      </c>
      <c r="P138" s="496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2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2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IFERROR(__xludf.DUMMYFUNCTION("IMPORTRANGE(""https://docs.google.com/spreadsheets/d/1MeEWN-I1oV_STSDYn1IFDPWt_1FKiwhDph83XaGc0o0/edit?usp=sharing"",""งบพรบ!BN62"")"),0)</f>
        <v>0</v>
      </c>
      <c r="M140" s="93">
        <f ca="1">IFERROR(__xludf.DUMMYFUNCTION("IMPORTRANGE(""https://docs.google.com/spreadsheets/d/1MeEWN-I1oV_STSDYn1IFDPWt_1FKiwhDph83XaGc0o0/edit?usp=sharing"",""งบพรบ!BQ62"")"),0)</f>
        <v>0</v>
      </c>
      <c r="N140" s="93">
        <f ca="1">IFERROR(__xludf.DUMMYFUNCTION("IMPORTRANGE(""https://docs.google.com/spreadsheets/d/1MeEWN-I1oV_STSDYn1IFDPWt_1FKiwhDph83XaGc0o0/edit?usp=sharing"",""งบพรบ!BS62"")"),0)</f>
        <v>0</v>
      </c>
      <c r="O140" s="93">
        <f t="shared" ca="1" si="70"/>
        <v>0</v>
      </c>
      <c r="P140" s="93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823" t="s">
        <v>38</v>
      </c>
      <c r="E141" s="173"/>
      <c r="F141" s="173"/>
      <c r="G141" s="174"/>
      <c r="H141" s="168"/>
      <c r="I141" s="269"/>
      <c r="J141" s="269"/>
      <c r="K141" s="496"/>
      <c r="L141" s="496"/>
      <c r="M141" s="496"/>
      <c r="N141" s="496"/>
      <c r="O141" s="496"/>
      <c r="P141" s="496"/>
    </row>
    <row r="142" spans="1:26" ht="19.5" hidden="1">
      <c r="A142" s="159"/>
      <c r="B142" s="33"/>
      <c r="C142" s="210"/>
      <c r="D142" s="281" t="s">
        <v>71</v>
      </c>
      <c r="E142" s="34"/>
      <c r="F142" s="33"/>
      <c r="G142" s="213"/>
      <c r="H142" s="168"/>
      <c r="I142" s="269"/>
      <c r="J142" s="214">
        <v>0</v>
      </c>
      <c r="K142" s="496"/>
      <c r="L142" s="496"/>
      <c r="M142" s="496"/>
      <c r="N142" s="496"/>
      <c r="O142" s="496"/>
      <c r="P142" s="496"/>
    </row>
    <row r="143" spans="1:26" ht="19.5" hidden="1">
      <c r="A143" s="159"/>
      <c r="B143" s="33"/>
      <c r="C143" s="210"/>
      <c r="D143" s="281" t="s">
        <v>72</v>
      </c>
      <c r="E143" s="34"/>
      <c r="F143" s="33"/>
      <c r="G143" s="213"/>
      <c r="H143" s="168" t="s">
        <v>35</v>
      </c>
      <c r="I143" s="269">
        <f ca="1">I145</f>
        <v>0</v>
      </c>
      <c r="J143" s="269">
        <f ca="1">IF(AND(J144&gt;=I144,J145&gt;=I145),J145,0)</f>
        <v>0</v>
      </c>
      <c r="K143" s="496">
        <f t="shared" ref="K143:K146" ca="1" si="75">IF(I143&gt;0,J143*100/I143,0)</f>
        <v>0</v>
      </c>
      <c r="L143" s="496"/>
      <c r="M143" s="496"/>
      <c r="N143" s="496"/>
      <c r="O143" s="496"/>
      <c r="P143" s="496"/>
    </row>
    <row r="144" spans="1:26" ht="19.5" hidden="1">
      <c r="A144" s="159"/>
      <c r="B144" s="33"/>
      <c r="C144" s="210"/>
      <c r="D144" s="178"/>
      <c r="E144" s="281" t="s">
        <v>73</v>
      </c>
      <c r="F144" s="33"/>
      <c r="G144" s="213"/>
      <c r="H144" s="168" t="s">
        <v>35</v>
      </c>
      <c r="I144" s="269">
        <f ca="1">IFERROR(__xludf.DUMMYFUNCTION("IMPORTRANGE(""https://docs.google.com/spreadsheets/d/1QqKyyYR6Q21VydFLVH3TRQUabQu_ym0Zz7PgGX0-kHA/edit?usp=sharing"",""แผน!U62"")"),0)</f>
        <v>0</v>
      </c>
      <c r="J144" s="214">
        <v>0</v>
      </c>
      <c r="K144" s="496">
        <f t="shared" ca="1" si="75"/>
        <v>0</v>
      </c>
      <c r="L144" s="496"/>
      <c r="M144" s="496"/>
      <c r="N144" s="496"/>
      <c r="O144" s="496"/>
      <c r="P144" s="496"/>
    </row>
    <row r="145" spans="1:26" ht="19.5" hidden="1">
      <c r="A145" s="159"/>
      <c r="B145" s="33"/>
      <c r="C145" s="210"/>
      <c r="D145" s="178"/>
      <c r="E145" s="281" t="s">
        <v>74</v>
      </c>
      <c r="F145" s="33"/>
      <c r="G145" s="213"/>
      <c r="H145" s="168" t="s">
        <v>35</v>
      </c>
      <c r="I145" s="269">
        <f ca="1">IFERROR(__xludf.DUMMYFUNCTION("IMPORTRANGE(""https://docs.google.com/spreadsheets/d/1QqKyyYR6Q21VydFLVH3TRQUabQu_ym0Zz7PgGX0-kHA/edit?usp=sharing"",""แผน!V62"")"),0)</f>
        <v>0</v>
      </c>
      <c r="J145" s="214">
        <v>0</v>
      </c>
      <c r="K145" s="496">
        <f t="shared" ca="1" si="75"/>
        <v>0</v>
      </c>
      <c r="L145" s="496"/>
      <c r="M145" s="496"/>
      <c r="N145" s="496"/>
      <c r="O145" s="496"/>
      <c r="P145" s="496"/>
    </row>
    <row r="146" spans="1:26" ht="19.5" hidden="1">
      <c r="A146" s="159"/>
      <c r="B146" s="33"/>
      <c r="C146" s="210"/>
      <c r="D146" s="281" t="s">
        <v>75</v>
      </c>
      <c r="E146" s="34"/>
      <c r="F146" s="33"/>
      <c r="G146" s="213"/>
      <c r="H146" s="168" t="s">
        <v>69</v>
      </c>
      <c r="I146" s="269">
        <f ca="1">IFERROR(__xludf.DUMMYFUNCTION("IMPORTRANGE(""https://docs.google.com/spreadsheets/d/1QqKyyYR6Q21VydFLVH3TRQUabQu_ym0Zz7PgGX0-kHA/edit?usp=sharing"",""แผน!W62"")"),0)</f>
        <v>0</v>
      </c>
      <c r="J146" s="214">
        <v>0</v>
      </c>
      <c r="K146" s="496">
        <f t="shared" ca="1" si="75"/>
        <v>0</v>
      </c>
      <c r="L146" s="496"/>
      <c r="M146" s="496"/>
      <c r="N146" s="496"/>
      <c r="O146" s="496"/>
      <c r="P146" s="496"/>
    </row>
    <row r="147" spans="1:26" ht="19.5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>
      <c r="A148" s="216"/>
      <c r="B148" s="208" t="s">
        <v>77</v>
      </c>
      <c r="C148" s="208"/>
      <c r="D148" s="208"/>
      <c r="E148" s="824"/>
      <c r="F148" s="218"/>
      <c r="G148" s="219"/>
      <c r="H148" s="220" t="s">
        <v>35</v>
      </c>
      <c r="I148" s="144">
        <f t="shared" ref="I148:J148" ca="1" si="76">I159</f>
        <v>20</v>
      </c>
      <c r="J148" s="144">
        <f t="shared" si="76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1"/>
      <c r="R148" s="221"/>
      <c r="S148" s="221"/>
      <c r="T148" s="221"/>
      <c r="U148" s="221"/>
      <c r="V148" s="221"/>
      <c r="W148" s="221"/>
      <c r="X148" s="221"/>
      <c r="Y148" s="221"/>
      <c r="Z148" s="221"/>
    </row>
    <row r="149" spans="1:26" ht="19.5">
      <c r="A149" s="147"/>
      <c r="B149" s="148"/>
      <c r="C149" s="149" t="s">
        <v>16</v>
      </c>
      <c r="D149" s="822" t="s">
        <v>17</v>
      </c>
      <c r="E149" s="148"/>
      <c r="F149" s="148"/>
      <c r="G149" s="151"/>
      <c r="H149" s="152" t="s">
        <v>12</v>
      </c>
      <c r="I149" s="419"/>
      <c r="J149" s="419"/>
      <c r="K149" s="154"/>
      <c r="L149" s="155">
        <f t="shared" ref="L149:N149" ca="1" si="77">L150+L151</f>
        <v>10000</v>
      </c>
      <c r="M149" s="155">
        <f t="shared" ca="1" si="77"/>
        <v>10000</v>
      </c>
      <c r="N149" s="155">
        <f t="shared" ca="1" si="77"/>
        <v>0</v>
      </c>
      <c r="O149" s="155">
        <f t="shared" ref="O149:O157" ca="1" si="78">IF(L149&gt;0,N149*100/L149,0)</f>
        <v>0</v>
      </c>
      <c r="P149" s="155">
        <f t="shared" ref="P149:P157" ca="1" si="79">IF(M149&gt;0,N149*100/M149,0)</f>
        <v>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2" t="s">
        <v>18</v>
      </c>
      <c r="F150" s="40"/>
      <c r="G150" s="157"/>
      <c r="H150" s="158" t="s">
        <v>12</v>
      </c>
      <c r="I150" s="610"/>
      <c r="J150" s="610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2" t="s">
        <v>19</v>
      </c>
      <c r="F151" s="40"/>
      <c r="G151" s="157"/>
      <c r="H151" s="158" t="s">
        <v>12</v>
      </c>
      <c r="I151" s="610"/>
      <c r="J151" s="610"/>
      <c r="K151" s="93"/>
      <c r="L151" s="93">
        <f t="shared" ca="1" si="80"/>
        <v>10000</v>
      </c>
      <c r="M151" s="93">
        <f t="shared" ca="1" si="80"/>
        <v>10000</v>
      </c>
      <c r="N151" s="93">
        <f t="shared" ca="1" si="80"/>
        <v>0</v>
      </c>
      <c r="O151" s="93">
        <f t="shared" ca="1" si="78"/>
        <v>0</v>
      </c>
      <c r="P151" s="93">
        <f t="shared" ca="1" si="79"/>
        <v>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>
      <c r="A152" s="159"/>
      <c r="B152" s="33"/>
      <c r="C152" s="281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6">
        <f t="shared" ref="L152:N152" ca="1" si="81">L153+L154</f>
        <v>10000</v>
      </c>
      <c r="M152" s="496">
        <f t="shared" ca="1" si="81"/>
        <v>10000</v>
      </c>
      <c r="N152" s="496">
        <f t="shared" ca="1" si="81"/>
        <v>0</v>
      </c>
      <c r="O152" s="496">
        <f t="shared" ca="1" si="78"/>
        <v>0</v>
      </c>
      <c r="P152" s="496">
        <f t="shared" ca="1" si="79"/>
        <v>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2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2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IFERROR(__xludf.DUMMYFUNCTION("IMPORTRANGE(""https://docs.google.com/spreadsheets/d/1MeEWN-I1oV_STSDYn1IFDPWt_1FKiwhDph83XaGc0o0/edit?usp=sharing"",""งบพรบ!BU62"")"),10000)</f>
        <v>10000</v>
      </c>
      <c r="M154" s="93">
        <f ca="1">IFERROR(__xludf.DUMMYFUNCTION("IMPORTRANGE(""https://docs.google.com/spreadsheets/d/1MeEWN-I1oV_STSDYn1IFDPWt_1FKiwhDph83XaGc0o0/edit?usp=sharing"",""งบพรบ!BZ62"")"),10000)</f>
        <v>10000</v>
      </c>
      <c r="N154" s="93">
        <f ca="1">IFERROR(__xludf.DUMMYFUNCTION("IMPORTRANGE(""https://docs.google.com/spreadsheets/d/1MeEWN-I1oV_STSDYn1IFDPWt_1FKiwhDph83XaGc0o0/edit?usp=sharing"",""งบพรบ!CB62"")"),0)</f>
        <v>0</v>
      </c>
      <c r="O154" s="93">
        <f t="shared" ca="1" si="78"/>
        <v>0</v>
      </c>
      <c r="P154" s="93">
        <f t="shared" ca="1" si="79"/>
        <v>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>
      <c r="A155" s="159"/>
      <c r="B155" s="33"/>
      <c r="C155" s="281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6">
        <f t="shared" ref="L155:N155" ca="1" si="82">L156+L157</f>
        <v>0</v>
      </c>
      <c r="M155" s="496">
        <f t="shared" ca="1" si="82"/>
        <v>0</v>
      </c>
      <c r="N155" s="496">
        <f t="shared" ca="1" si="82"/>
        <v>0</v>
      </c>
      <c r="O155" s="496">
        <f t="shared" ca="1" si="78"/>
        <v>0</v>
      </c>
      <c r="P155" s="496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2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2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IFERROR(__xludf.DUMMYFUNCTION("IMPORTRANGE(""https://docs.google.com/spreadsheets/d/1MeEWN-I1oV_STSDYn1IFDPWt_1FKiwhDph83XaGc0o0/edit?usp=sharing"",""งบพรบ!BX62"")"),0)</f>
        <v>0</v>
      </c>
      <c r="M157" s="93">
        <f ca="1">IFERROR(__xludf.DUMMYFUNCTION("IMPORTRANGE(""https://docs.google.com/spreadsheets/d/1MeEWN-I1oV_STSDYn1IFDPWt_1FKiwhDph83XaGc0o0/edit?usp=sharing"",""งบพรบ!CA62"")"),0)</f>
        <v>0</v>
      </c>
      <c r="N157" s="93">
        <f ca="1">IFERROR(__xludf.DUMMYFUNCTION("IMPORTRANGE(""https://docs.google.com/spreadsheets/d/1MeEWN-I1oV_STSDYn1IFDPWt_1FKiwhDph83XaGc0o0/edit?usp=sharing"",""งบพรบ!CC62"")"),0)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>
      <c r="A158" s="170"/>
      <c r="B158" s="171"/>
      <c r="C158" s="164" t="s">
        <v>16</v>
      </c>
      <c r="D158" s="823" t="s">
        <v>38</v>
      </c>
      <c r="E158" s="173"/>
      <c r="F158" s="173"/>
      <c r="G158" s="174"/>
      <c r="H158" s="168"/>
      <c r="I158" s="269"/>
      <c r="J158" s="269"/>
      <c r="K158" s="496"/>
      <c r="L158" s="496"/>
      <c r="M158" s="496"/>
      <c r="N158" s="496"/>
      <c r="O158" s="496"/>
      <c r="P158" s="496"/>
    </row>
    <row r="159" spans="1:26" ht="19.5">
      <c r="A159" s="159"/>
      <c r="B159" s="33"/>
      <c r="C159" s="210"/>
      <c r="D159" s="281" t="s">
        <v>78</v>
      </c>
      <c r="E159" s="34"/>
      <c r="F159" s="33"/>
      <c r="G159" s="213"/>
      <c r="H159" s="168" t="s">
        <v>35</v>
      </c>
      <c r="I159" s="269">
        <f ca="1">IFERROR(__xludf.DUMMYFUNCTION("IMPORTRANGE(""https://docs.google.com/spreadsheets/d/1QqKyyYR6Q21VydFLVH3TRQUabQu_ym0Zz7PgGX0-kHA/edit?usp=sharing"",""แผน!X62"")"),20)</f>
        <v>20</v>
      </c>
      <c r="J159" s="214">
        <v>0</v>
      </c>
      <c r="K159" s="496">
        <f ca="1">IF(I159&gt;0,J159*100/I159,0)</f>
        <v>0</v>
      </c>
      <c r="L159" s="496"/>
      <c r="M159" s="496"/>
      <c r="N159" s="496"/>
      <c r="O159" s="496"/>
      <c r="P159" s="496"/>
    </row>
    <row r="160" spans="1:26" ht="19.5" hidden="1">
      <c r="A160" s="156"/>
      <c r="B160" s="40"/>
      <c r="C160" s="164"/>
      <c r="D160" s="222" t="s">
        <v>79</v>
      </c>
      <c r="E160" s="223"/>
      <c r="F160" s="40"/>
      <c r="G160" s="157"/>
      <c r="H160" s="169" t="s">
        <v>35</v>
      </c>
      <c r="I160" s="610"/>
      <c r="J160" s="610"/>
      <c r="K160" s="93"/>
      <c r="L160" s="93"/>
      <c r="M160" s="93"/>
      <c r="N160" s="93"/>
      <c r="O160" s="93"/>
      <c r="P160" s="93"/>
      <c r="Q160" s="224"/>
      <c r="R160" s="224"/>
      <c r="S160" s="224"/>
      <c r="T160" s="224"/>
      <c r="U160" s="224"/>
      <c r="V160" s="224"/>
      <c r="W160" s="224"/>
      <c r="X160" s="224"/>
      <c r="Y160" s="224"/>
      <c r="Z160" s="224"/>
    </row>
    <row r="161" spans="1:26" ht="19.5" hidden="1">
      <c r="A161" s="225"/>
      <c r="B161" s="226"/>
      <c r="C161" s="227"/>
      <c r="D161" s="228" t="s">
        <v>80</v>
      </c>
      <c r="E161" s="825"/>
      <c r="F161" s="226"/>
      <c r="G161" s="230"/>
      <c r="H161" s="231" t="s">
        <v>35</v>
      </c>
      <c r="I161" s="232"/>
      <c r="J161" s="232"/>
      <c r="K161" s="233"/>
      <c r="L161" s="233"/>
      <c r="M161" s="233"/>
      <c r="N161" s="233"/>
      <c r="O161" s="233"/>
      <c r="P161" s="233"/>
      <c r="Q161" s="224"/>
      <c r="R161" s="224"/>
      <c r="S161" s="224"/>
      <c r="T161" s="224"/>
      <c r="U161" s="224"/>
      <c r="V161" s="224"/>
      <c r="W161" s="224"/>
      <c r="X161" s="224"/>
      <c r="Y161" s="224"/>
      <c r="Z161" s="224"/>
    </row>
    <row r="162" spans="1:26" ht="19.5">
      <c r="A162" s="234" t="s">
        <v>81</v>
      </c>
      <c r="B162" s="235"/>
      <c r="C162" s="235"/>
      <c r="D162" s="235"/>
      <c r="E162" s="236"/>
      <c r="F162" s="236"/>
      <c r="G162" s="237"/>
      <c r="H162" s="238"/>
      <c r="I162" s="239"/>
      <c r="J162" s="239"/>
      <c r="K162" s="240"/>
      <c r="L162" s="240"/>
      <c r="M162" s="240"/>
      <c r="N162" s="240"/>
      <c r="O162" s="240"/>
      <c r="P162" s="240"/>
    </row>
    <row r="163" spans="1:26" ht="19.5">
      <c r="A163" s="241" t="s">
        <v>82</v>
      </c>
      <c r="B163" s="242"/>
      <c r="C163" s="242"/>
      <c r="D163" s="243"/>
      <c r="E163" s="243"/>
      <c r="F163" s="243"/>
      <c r="G163" s="244"/>
      <c r="H163" s="245"/>
      <c r="I163" s="246"/>
      <c r="J163" s="246"/>
      <c r="K163" s="247"/>
      <c r="L163" s="247"/>
      <c r="M163" s="247"/>
      <c r="N163" s="247"/>
      <c r="O163" s="247"/>
      <c r="P163" s="247"/>
    </row>
    <row r="164" spans="1:26" ht="19.5">
      <c r="A164" s="248"/>
      <c r="B164" s="249" t="s">
        <v>83</v>
      </c>
      <c r="C164" s="250"/>
      <c r="D164" s="173"/>
      <c r="E164" s="173"/>
      <c r="F164" s="173"/>
      <c r="G164" s="174"/>
      <c r="H164" s="251" t="s">
        <v>35</v>
      </c>
      <c r="I164" s="252">
        <f t="shared" ref="I164:J164" ca="1" si="83">I174+I177</f>
        <v>10</v>
      </c>
      <c r="J164" s="252">
        <f t="shared" si="83"/>
        <v>10</v>
      </c>
      <c r="K164" s="253">
        <f ca="1">IF(I164&gt;0,J164*100/I164,0)</f>
        <v>100</v>
      </c>
      <c r="L164" s="254"/>
      <c r="M164" s="254"/>
      <c r="N164" s="254"/>
      <c r="O164" s="254"/>
      <c r="P164" s="254"/>
    </row>
    <row r="165" spans="1:26" ht="19.5">
      <c r="A165" s="147"/>
      <c r="B165" s="148"/>
      <c r="C165" s="149" t="s">
        <v>16</v>
      </c>
      <c r="D165" s="822" t="s">
        <v>17</v>
      </c>
      <c r="E165" s="148"/>
      <c r="F165" s="148"/>
      <c r="G165" s="151"/>
      <c r="H165" s="152" t="s">
        <v>12</v>
      </c>
      <c r="I165" s="419"/>
      <c r="J165" s="419"/>
      <c r="K165" s="154"/>
      <c r="L165" s="155">
        <f t="shared" ref="L165:N165" ca="1" si="84">L166+L167</f>
        <v>21050</v>
      </c>
      <c r="M165" s="155">
        <f t="shared" ca="1" si="84"/>
        <v>21050</v>
      </c>
      <c r="N165" s="155">
        <f t="shared" ca="1" si="84"/>
        <v>21050</v>
      </c>
      <c r="O165" s="155">
        <f t="shared" ref="O165:O173" ca="1" si="85">IF(L165&gt;0,N165*100/L165,0)</f>
        <v>100</v>
      </c>
      <c r="P165" s="155">
        <f t="shared" ref="P165:P173" ca="1" si="86">IF(M165&gt;0,N165*100/M165,0)</f>
        <v>100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2" t="s">
        <v>18</v>
      </c>
      <c r="F166" s="40"/>
      <c r="G166" s="157"/>
      <c r="H166" s="158" t="s">
        <v>12</v>
      </c>
      <c r="I166" s="610"/>
      <c r="J166" s="610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2" t="s">
        <v>19</v>
      </c>
      <c r="F167" s="40"/>
      <c r="G167" s="157"/>
      <c r="H167" s="158" t="s">
        <v>12</v>
      </c>
      <c r="I167" s="610"/>
      <c r="J167" s="610"/>
      <c r="K167" s="93"/>
      <c r="L167" s="93">
        <f t="shared" ca="1" si="87"/>
        <v>21050</v>
      </c>
      <c r="M167" s="93">
        <f t="shared" ca="1" si="87"/>
        <v>21050</v>
      </c>
      <c r="N167" s="93">
        <f t="shared" ca="1" si="87"/>
        <v>21050</v>
      </c>
      <c r="O167" s="93">
        <f t="shared" ca="1" si="85"/>
        <v>100</v>
      </c>
      <c r="P167" s="93">
        <f t="shared" ca="1" si="86"/>
        <v>100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1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6">
        <f t="shared" ref="L168:N168" ca="1" si="88">L169+L170</f>
        <v>21050</v>
      </c>
      <c r="M168" s="496">
        <f t="shared" ca="1" si="88"/>
        <v>21050</v>
      </c>
      <c r="N168" s="496">
        <f t="shared" ca="1" si="88"/>
        <v>21050</v>
      </c>
      <c r="O168" s="496">
        <f t="shared" ca="1" si="85"/>
        <v>100</v>
      </c>
      <c r="P168" s="496">
        <f t="shared" ca="1" si="86"/>
        <v>100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2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2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IFERROR(__xludf.DUMMYFUNCTION("IMPORTRANGE(""https://docs.google.com/spreadsheets/d/1MeEWN-I1oV_STSDYn1IFDPWt_1FKiwhDph83XaGc0o0/edit?usp=sharing"",""งบพรบ!CE62"")"),21050)</f>
        <v>21050</v>
      </c>
      <c r="M170" s="93">
        <f ca="1">IFERROR(__xludf.DUMMYFUNCTION("IMPORTRANGE(""https://docs.google.com/spreadsheets/d/1MeEWN-I1oV_STSDYn1IFDPWt_1FKiwhDph83XaGc0o0/edit?usp=sharing"",""งบพรบ!CJ62"")"),21050)</f>
        <v>21050</v>
      </c>
      <c r="N170" s="93">
        <f ca="1">IFERROR(__xludf.DUMMYFUNCTION("IMPORTRANGE(""https://docs.google.com/spreadsheets/d/1MeEWN-I1oV_STSDYn1IFDPWt_1FKiwhDph83XaGc0o0/edit?usp=sharing"",""งบพรบ!CL62"")"),21050)</f>
        <v>21050</v>
      </c>
      <c r="O170" s="93">
        <f t="shared" ca="1" si="85"/>
        <v>100</v>
      </c>
      <c r="P170" s="93">
        <f t="shared" ca="1" si="86"/>
        <v>100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1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6">
        <f t="shared" ref="L171:N171" ca="1" si="89">L172+L173</f>
        <v>0</v>
      </c>
      <c r="M171" s="496">
        <f t="shared" ca="1" si="89"/>
        <v>0</v>
      </c>
      <c r="N171" s="496">
        <f t="shared" ca="1" si="89"/>
        <v>0</v>
      </c>
      <c r="O171" s="496">
        <f t="shared" ca="1" si="85"/>
        <v>0</v>
      </c>
      <c r="P171" s="496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2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2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IFERROR(__xludf.DUMMYFUNCTION("IMPORTRANGE(""https://docs.google.com/spreadsheets/d/1MeEWN-I1oV_STSDYn1IFDPWt_1FKiwhDph83XaGc0o0/edit?usp=sharing"",""งบพรบ!CH62"")"),0)</f>
        <v>0</v>
      </c>
      <c r="M173" s="93">
        <f ca="1">IFERROR(__xludf.DUMMYFUNCTION("IMPORTRANGE(""https://docs.google.com/spreadsheets/d/1MeEWN-I1oV_STSDYn1IFDPWt_1FKiwhDph83XaGc0o0/edit?usp=sharing"",""งบพรบ!CK62"")"),0)</f>
        <v>0</v>
      </c>
      <c r="N173" s="93">
        <f ca="1">IFERROR(__xludf.DUMMYFUNCTION("IMPORTRANGE(""https://docs.google.com/spreadsheets/d/1MeEWN-I1oV_STSDYn1IFDPWt_1FKiwhDph83XaGc0o0/edit?usp=sharing"",""งบพรบ!CM62"")"),0)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5"/>
      <c r="B174" s="256"/>
      <c r="C174" s="257" t="s">
        <v>84</v>
      </c>
      <c r="D174" s="256"/>
      <c r="E174" s="256"/>
      <c r="F174" s="256"/>
      <c r="G174" s="258"/>
      <c r="H174" s="259" t="s">
        <v>35</v>
      </c>
      <c r="I174" s="260">
        <f t="shared" ref="I174:J174" ca="1" si="90">I176</f>
        <v>10</v>
      </c>
      <c r="J174" s="260">
        <f t="shared" si="90"/>
        <v>10</v>
      </c>
      <c r="K174" s="261">
        <f ca="1">IF(I174&gt;0,J174*100/I174,0)</f>
        <v>100</v>
      </c>
      <c r="L174" s="261"/>
      <c r="M174" s="261"/>
      <c r="N174" s="261"/>
      <c r="O174" s="261"/>
      <c r="P174" s="261"/>
    </row>
    <row r="175" spans="1:26" ht="19.5">
      <c r="A175" s="170"/>
      <c r="B175" s="171"/>
      <c r="C175" s="164" t="s">
        <v>16</v>
      </c>
      <c r="D175" s="823" t="s">
        <v>38</v>
      </c>
      <c r="E175" s="173"/>
      <c r="F175" s="173"/>
      <c r="G175" s="174"/>
      <c r="H175" s="753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37" t="s">
        <v>85</v>
      </c>
      <c r="E176" s="178"/>
      <c r="F176" s="178"/>
      <c r="G176" s="179"/>
      <c r="H176" s="616" t="s">
        <v>35</v>
      </c>
      <c r="I176" s="269">
        <f ca="1">IFERROR(__xludf.DUMMYFUNCTION("IMPORTRANGE(""https://docs.google.com/spreadsheets/d/1QqKyyYR6Q21VydFLVH3TRQUabQu_ym0Zz7PgGX0-kHA/edit?usp=sharing"",""แผน!Y62"")"),10)</f>
        <v>10</v>
      </c>
      <c r="J176" s="214">
        <v>10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5"/>
      <c r="B177" s="263"/>
      <c r="C177" s="264" t="s">
        <v>86</v>
      </c>
      <c r="D177" s="263"/>
      <c r="E177" s="256"/>
      <c r="F177" s="256"/>
      <c r="G177" s="258"/>
      <c r="H177" s="265" t="s">
        <v>35</v>
      </c>
      <c r="I177" s="260"/>
      <c r="J177" s="260">
        <f>J179</f>
        <v>0</v>
      </c>
      <c r="K177" s="261"/>
      <c r="L177" s="261"/>
      <c r="M177" s="261"/>
      <c r="N177" s="261"/>
      <c r="O177" s="261"/>
      <c r="P177" s="261"/>
    </row>
    <row r="178" spans="1:26" ht="19.5" hidden="1">
      <c r="A178" s="170"/>
      <c r="B178" s="171"/>
      <c r="C178" s="164" t="s">
        <v>16</v>
      </c>
      <c r="D178" s="266" t="s">
        <v>38</v>
      </c>
      <c r="E178" s="173"/>
      <c r="F178" s="173"/>
      <c r="G178" s="174"/>
      <c r="H178" s="753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3" t="s">
        <v>87</v>
      </c>
      <c r="E179" s="178"/>
      <c r="F179" s="366"/>
      <c r="G179" s="179"/>
      <c r="H179" s="43" t="s">
        <v>35</v>
      </c>
      <c r="I179" s="269"/>
      <c r="J179" s="269"/>
      <c r="K179" s="163"/>
      <c r="L179" s="163"/>
      <c r="M179" s="163"/>
      <c r="N179" s="163"/>
      <c r="O179" s="163"/>
      <c r="P179" s="163"/>
    </row>
    <row r="180" spans="1:26" ht="19.5">
      <c r="A180" s="248"/>
      <c r="B180" s="249" t="s">
        <v>88</v>
      </c>
      <c r="C180" s="250"/>
      <c r="D180" s="173"/>
      <c r="E180" s="173"/>
      <c r="F180" s="173"/>
      <c r="G180" s="174"/>
      <c r="H180" s="251" t="s">
        <v>35</v>
      </c>
      <c r="I180" s="252">
        <f t="shared" ref="I180:J180" ca="1" si="91">I225+I226</f>
        <v>0</v>
      </c>
      <c r="J180" s="252">
        <f t="shared" si="91"/>
        <v>0</v>
      </c>
      <c r="K180" s="253">
        <f ca="1">IF(I180&gt;0,J180*100/I180,0)</f>
        <v>0</v>
      </c>
      <c r="L180" s="254"/>
      <c r="M180" s="254"/>
      <c r="N180" s="254"/>
      <c r="O180" s="254"/>
      <c r="P180" s="254"/>
    </row>
    <row r="181" spans="1:26" ht="19.5">
      <c r="A181" s="147"/>
      <c r="B181" s="148"/>
      <c r="C181" s="149" t="s">
        <v>16</v>
      </c>
      <c r="D181" s="822" t="s">
        <v>17</v>
      </c>
      <c r="E181" s="148"/>
      <c r="F181" s="148"/>
      <c r="G181" s="151"/>
      <c r="H181" s="152" t="s">
        <v>12</v>
      </c>
      <c r="I181" s="419"/>
      <c r="J181" s="419"/>
      <c r="K181" s="154"/>
      <c r="L181" s="155">
        <f t="shared" ref="L181:N181" ca="1" si="92">L182+L183</f>
        <v>193000</v>
      </c>
      <c r="M181" s="155">
        <f t="shared" ca="1" si="92"/>
        <v>97500</v>
      </c>
      <c r="N181" s="155">
        <f t="shared" ca="1" si="92"/>
        <v>53885</v>
      </c>
      <c r="O181" s="155">
        <f t="shared" ref="O181:O189" ca="1" si="93">IF(L181&gt;0,N181*100/L181,0)</f>
        <v>27.919689119170986</v>
      </c>
      <c r="P181" s="155">
        <f t="shared" ref="P181:P189" ca="1" si="94">IF(M181&gt;0,N181*100/M181,0)</f>
        <v>55.266666666666666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2" t="s">
        <v>18</v>
      </c>
      <c r="F182" s="40"/>
      <c r="G182" s="157"/>
      <c r="H182" s="158" t="s">
        <v>12</v>
      </c>
      <c r="I182" s="610"/>
      <c r="J182" s="610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2" t="s">
        <v>19</v>
      </c>
      <c r="F183" s="40"/>
      <c r="G183" s="157"/>
      <c r="H183" s="158" t="s">
        <v>12</v>
      </c>
      <c r="I183" s="610"/>
      <c r="J183" s="610"/>
      <c r="K183" s="93"/>
      <c r="L183" s="93">
        <f t="shared" ca="1" si="95"/>
        <v>193000</v>
      </c>
      <c r="M183" s="93">
        <f t="shared" ca="1" si="95"/>
        <v>97500</v>
      </c>
      <c r="N183" s="93">
        <f t="shared" ca="1" si="95"/>
        <v>53885</v>
      </c>
      <c r="O183" s="93">
        <f t="shared" ca="1" si="93"/>
        <v>27.919689119170986</v>
      </c>
      <c r="P183" s="93">
        <f t="shared" ca="1" si="94"/>
        <v>55.266666666666666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1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6">
        <f t="shared" ref="L184:N184" ca="1" si="96">L185+L186</f>
        <v>193000</v>
      </c>
      <c r="M184" s="496">
        <f t="shared" ca="1" si="96"/>
        <v>97500</v>
      </c>
      <c r="N184" s="496">
        <f t="shared" ca="1" si="96"/>
        <v>53885</v>
      </c>
      <c r="O184" s="496">
        <f t="shared" ca="1" si="93"/>
        <v>27.919689119170986</v>
      </c>
      <c r="P184" s="496">
        <f t="shared" ca="1" si="94"/>
        <v>55.266666666666666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2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2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IFERROR(__xludf.DUMMYFUNCTION("IMPORTRANGE(""https://docs.google.com/spreadsheets/d/1MeEWN-I1oV_STSDYn1IFDPWt_1FKiwhDph83XaGc0o0/edit?usp=sharing"",""งบพรบ!CO62"")"),193000)</f>
        <v>193000</v>
      </c>
      <c r="M186" s="93">
        <f ca="1">IFERROR(__xludf.DUMMYFUNCTION("IMPORTRANGE(""https://docs.google.com/spreadsheets/d/1MeEWN-I1oV_STSDYn1IFDPWt_1FKiwhDph83XaGc0o0/edit?usp=sharing"",""งบพรบ!CT62"")"),97500)</f>
        <v>97500</v>
      </c>
      <c r="N186" s="93">
        <f ca="1">IFERROR(__xludf.DUMMYFUNCTION("IMPORTRANGE(""https://docs.google.com/spreadsheets/d/1MeEWN-I1oV_STSDYn1IFDPWt_1FKiwhDph83XaGc0o0/edit?usp=sharing"",""งบพรบ!CV62"")"),53885)</f>
        <v>53885</v>
      </c>
      <c r="O186" s="93">
        <f t="shared" ca="1" si="93"/>
        <v>27.919689119170986</v>
      </c>
      <c r="P186" s="93">
        <f t="shared" ca="1" si="94"/>
        <v>55.266666666666666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1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6">
        <f t="shared" ref="L187:N187" ca="1" si="97">L188+L189</f>
        <v>0</v>
      </c>
      <c r="M187" s="496">
        <f t="shared" ca="1" si="97"/>
        <v>0</v>
      </c>
      <c r="N187" s="496">
        <f t="shared" ca="1" si="97"/>
        <v>0</v>
      </c>
      <c r="O187" s="496">
        <f t="shared" ca="1" si="93"/>
        <v>0</v>
      </c>
      <c r="P187" s="496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2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2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IFERROR(__xludf.DUMMYFUNCTION("IMPORTRANGE(""https://docs.google.com/spreadsheets/d/1MeEWN-I1oV_STSDYn1IFDPWt_1FKiwhDph83XaGc0o0/edit?usp=sharing"",""งบพรบ!CR62"")"),0)</f>
        <v>0</v>
      </c>
      <c r="M189" s="93">
        <f ca="1">IFERROR(__xludf.DUMMYFUNCTION("IMPORTRANGE(""https://docs.google.com/spreadsheets/d/1MeEWN-I1oV_STSDYn1IFDPWt_1FKiwhDph83XaGc0o0/edit?usp=sharing"",""งบพรบ!CU62"")"),0)</f>
        <v>0</v>
      </c>
      <c r="N189" s="93">
        <f ca="1">IFERROR(__xludf.DUMMYFUNCTION("IMPORTRANGE(""https://docs.google.com/spreadsheets/d/1MeEWN-I1oV_STSDYn1IFDPWt_1FKiwhDph83XaGc0o0/edit?usp=sharing"",""งบพรบ!CW62"")"),0)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5"/>
      <c r="B190" s="263"/>
      <c r="C190" s="270" t="s">
        <v>89</v>
      </c>
      <c r="D190" s="256"/>
      <c r="E190" s="256"/>
      <c r="F190" s="256"/>
      <c r="G190" s="258"/>
      <c r="H190" s="259" t="s">
        <v>90</v>
      </c>
      <c r="I190" s="271">
        <f t="shared" ref="I190:J190" ca="1" si="98">I193</f>
        <v>4</v>
      </c>
      <c r="J190" s="271">
        <f t="shared" si="98"/>
        <v>1</v>
      </c>
      <c r="K190" s="272">
        <f ca="1">IF(I190&gt;0,J190*100/I190,0)</f>
        <v>25</v>
      </c>
      <c r="L190" s="261"/>
      <c r="M190" s="261"/>
      <c r="N190" s="261"/>
      <c r="O190" s="261"/>
      <c r="P190" s="261"/>
    </row>
    <row r="191" spans="1:26" ht="19.5">
      <c r="A191" s="147"/>
      <c r="B191" s="148"/>
      <c r="C191" s="149" t="s">
        <v>16</v>
      </c>
      <c r="D191" s="826" t="s">
        <v>17</v>
      </c>
      <c r="E191" s="148"/>
      <c r="F191" s="148"/>
      <c r="G191" s="151"/>
      <c r="H191" s="274" t="s">
        <v>12</v>
      </c>
      <c r="I191" s="419"/>
      <c r="J191" s="419"/>
      <c r="K191" s="154"/>
      <c r="L191" s="155">
        <f ca="1">IFERROR(__xludf.DUMMYFUNCTION("IMPORTRANGE(""https://docs.google.com/spreadsheets/d/1QqKyyYR6Q21VydFLVH3TRQUabQu_ym0Zz7PgGX0-kHA/edit?usp=sharing"",""แผน!Z62"")"),6000)</f>
        <v>6000</v>
      </c>
      <c r="M191" s="155"/>
      <c r="N191" s="275">
        <v>1210</v>
      </c>
      <c r="O191" s="155">
        <f ca="1">IF(L191&gt;0,N191*100/L191,0)</f>
        <v>20.166666666666668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0" t="s">
        <v>16</v>
      </c>
      <c r="D192" s="823" t="s">
        <v>38</v>
      </c>
      <c r="E192" s="173"/>
      <c r="F192" s="173"/>
      <c r="G192" s="174"/>
      <c r="H192" s="753"/>
      <c r="I192" s="269"/>
      <c r="J192" s="269"/>
      <c r="K192" s="496"/>
      <c r="L192" s="496"/>
      <c r="M192" s="496"/>
      <c r="N192" s="496"/>
      <c r="O192" s="496"/>
      <c r="P192" s="496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6" t="s">
        <v>91</v>
      </c>
      <c r="E193" s="178"/>
      <c r="F193" s="178"/>
      <c r="G193" s="179"/>
      <c r="H193" s="755" t="s">
        <v>90</v>
      </c>
      <c r="I193" s="269">
        <f ca="1">IFERROR(__xludf.DUMMYFUNCTION("IMPORTRANGE(""https://docs.google.com/spreadsheets/d/1QqKyyYR6Q21VydFLVH3TRQUabQu_ym0Zz7PgGX0-kHA/edit?usp=sharing"",""แผน!AC62"")"),4)</f>
        <v>4</v>
      </c>
      <c r="J193" s="214">
        <v>1</v>
      </c>
      <c r="K193" s="496">
        <f ca="1">IF(I193&gt;0,J193*100/I193,0)</f>
        <v>25</v>
      </c>
      <c r="L193" s="496"/>
      <c r="M193" s="496"/>
      <c r="N193" s="496"/>
      <c r="O193" s="496"/>
      <c r="P193" s="496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6" t="s">
        <v>92</v>
      </c>
      <c r="E194" s="178"/>
      <c r="F194" s="178"/>
      <c r="G194" s="179"/>
      <c r="H194" s="276" t="s">
        <v>35</v>
      </c>
      <c r="I194" s="269"/>
      <c r="J194" s="269">
        <f>J195+J196</f>
        <v>34</v>
      </c>
      <c r="K194" s="496"/>
      <c r="L194" s="496"/>
      <c r="M194" s="496"/>
      <c r="N194" s="496"/>
      <c r="O194" s="496"/>
      <c r="P194" s="496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6" t="s">
        <v>93</v>
      </c>
      <c r="F195" s="178"/>
      <c r="G195" s="179"/>
      <c r="H195" s="276" t="s">
        <v>35</v>
      </c>
      <c r="I195" s="269"/>
      <c r="J195" s="214">
        <v>34</v>
      </c>
      <c r="K195" s="496"/>
      <c r="L195" s="496"/>
      <c r="M195" s="496"/>
      <c r="N195" s="496"/>
      <c r="O195" s="496"/>
      <c r="P195" s="496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6" t="s">
        <v>94</v>
      </c>
      <c r="F196" s="178"/>
      <c r="G196" s="179"/>
      <c r="H196" s="276" t="s">
        <v>35</v>
      </c>
      <c r="I196" s="269"/>
      <c r="J196" s="214">
        <v>0</v>
      </c>
      <c r="K196" s="496"/>
      <c r="L196" s="496"/>
      <c r="M196" s="496"/>
      <c r="N196" s="496"/>
      <c r="O196" s="496"/>
      <c r="P196" s="496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5"/>
      <c r="B197" s="263"/>
      <c r="C197" s="270" t="s">
        <v>95</v>
      </c>
      <c r="D197" s="256"/>
      <c r="E197" s="256"/>
      <c r="F197" s="256"/>
      <c r="G197" s="258"/>
      <c r="H197" s="277" t="s">
        <v>96</v>
      </c>
      <c r="I197" s="271">
        <f t="shared" ref="I197:J197" ca="1" si="99">I204</f>
        <v>2</v>
      </c>
      <c r="J197" s="271">
        <f t="shared" si="99"/>
        <v>2</v>
      </c>
      <c r="K197" s="272">
        <f ca="1">IF(I197&gt;0,J197*100/I197,0)</f>
        <v>100</v>
      </c>
      <c r="L197" s="261"/>
      <c r="M197" s="261"/>
      <c r="N197" s="261"/>
      <c r="O197" s="261"/>
      <c r="P197" s="261"/>
    </row>
    <row r="198" spans="1:26" ht="19.5">
      <c r="A198" s="147"/>
      <c r="B198" s="148"/>
      <c r="C198" s="149" t="s">
        <v>16</v>
      </c>
      <c r="D198" s="826" t="s">
        <v>17</v>
      </c>
      <c r="E198" s="148"/>
      <c r="F198" s="148"/>
      <c r="G198" s="151"/>
      <c r="H198" s="274" t="s">
        <v>12</v>
      </c>
      <c r="I198" s="418"/>
      <c r="J198" s="418"/>
      <c r="K198" s="279"/>
      <c r="L198" s="155">
        <f ca="1">L199+L200+L201+L202</f>
        <v>26000</v>
      </c>
      <c r="M198" s="155"/>
      <c r="N198" s="155">
        <f>N199+N200+N201+N202</f>
        <v>15270</v>
      </c>
      <c r="O198" s="155">
        <f ca="1">IF(L198&gt;0,N198*100/L198,0)</f>
        <v>58.730769230769234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0"/>
      <c r="C199" s="33"/>
      <c r="D199" s="281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6">
        <f ca="1">IFERROR(__xludf.DUMMYFUNCTION("IMPORTRANGE(""https://docs.google.com/spreadsheets/d/1QqKyyYR6Q21VydFLVH3TRQUabQu_ym0Zz7PgGX0-kHA/edit?usp=sharing"",""แผน!AE62"")"),2000)</f>
        <v>2000</v>
      </c>
      <c r="M199" s="496"/>
      <c r="N199" s="817">
        <v>0</v>
      </c>
      <c r="O199" s="496"/>
      <c r="P199" s="496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4"/>
      <c r="B200" s="280"/>
      <c r="C200" s="210"/>
      <c r="D200" s="281" t="s">
        <v>98</v>
      </c>
      <c r="E200" s="33"/>
      <c r="F200" s="33"/>
      <c r="G200" s="35"/>
      <c r="H200" s="616" t="s">
        <v>12</v>
      </c>
      <c r="I200" s="269"/>
      <c r="J200" s="269"/>
      <c r="K200" s="496"/>
      <c r="L200" s="496">
        <f ca="1">IFERROR(__xludf.DUMMYFUNCTION("IMPORTRANGE(""https://docs.google.com/spreadsheets/d/1QqKyyYR6Q21VydFLVH3TRQUabQu_ym0Zz7PgGX0-kHA/edit?usp=sharing"",""แผน!AF62"")"),16000)</f>
        <v>16000</v>
      </c>
      <c r="M200" s="496"/>
      <c r="N200" s="817">
        <v>15270</v>
      </c>
      <c r="O200" s="496"/>
      <c r="P200" s="496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>
      <c r="A201" s="284"/>
      <c r="B201" s="280"/>
      <c r="C201" s="210"/>
      <c r="D201" s="281" t="s">
        <v>99</v>
      </c>
      <c r="E201" s="33"/>
      <c r="F201" s="33"/>
      <c r="G201" s="35"/>
      <c r="H201" s="616" t="s">
        <v>12</v>
      </c>
      <c r="I201" s="269"/>
      <c r="J201" s="269"/>
      <c r="K201" s="496"/>
      <c r="L201" s="496">
        <f ca="1">IFERROR(__xludf.DUMMYFUNCTION("IMPORTRANGE(""https://docs.google.com/spreadsheets/d/1QqKyyYR6Q21VydFLVH3TRQUabQu_ym0Zz7PgGX0-kHA/edit?usp=sharing"",""แผน!AG62"")"),8000)</f>
        <v>8000</v>
      </c>
      <c r="M201" s="496"/>
      <c r="N201" s="817">
        <v>0</v>
      </c>
      <c r="O201" s="496"/>
      <c r="P201" s="496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>
      <c r="A202" s="284"/>
      <c r="B202" s="280"/>
      <c r="C202" s="210"/>
      <c r="D202" s="281" t="s">
        <v>100</v>
      </c>
      <c r="E202" s="33"/>
      <c r="F202" s="33"/>
      <c r="G202" s="35"/>
      <c r="H202" s="616" t="s">
        <v>12</v>
      </c>
      <c r="I202" s="269"/>
      <c r="J202" s="269"/>
      <c r="K202" s="496"/>
      <c r="L202" s="496">
        <f ca="1">IFERROR(__xludf.DUMMYFUNCTION("IMPORTRANGE(""https://docs.google.com/spreadsheets/d/1QqKyyYR6Q21VydFLVH3TRQUabQu_ym0Zz7PgGX0-kHA/edit?usp=sharing"",""แผน!AH62"")"),0)</f>
        <v>0</v>
      </c>
      <c r="M202" s="496"/>
      <c r="N202" s="817">
        <v>0</v>
      </c>
      <c r="O202" s="496"/>
      <c r="P202" s="496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>
      <c r="A203" s="170"/>
      <c r="B203" s="171"/>
      <c r="C203" s="210" t="s">
        <v>16</v>
      </c>
      <c r="D203" s="823" t="s">
        <v>38</v>
      </c>
      <c r="E203" s="173"/>
      <c r="F203" s="173"/>
      <c r="G203" s="174"/>
      <c r="H203" s="753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53" t="s">
        <v>96</v>
      </c>
      <c r="I204" s="269">
        <f ca="1">IFERROR(__xludf.DUMMYFUNCTION("IMPORTRANGE(""https://docs.google.com/spreadsheets/d/1QqKyyYR6Q21VydFLVH3TRQUabQu_ym0Zz7PgGX0-kHA/edit?usp=sharing"",""แผน!AI62"")"),2)</f>
        <v>2</v>
      </c>
      <c r="J204" s="214">
        <v>2</v>
      </c>
      <c r="K204" s="163">
        <f ca="1">IF(I204&gt;0,J204*100/I204,0)</f>
        <v>100</v>
      </c>
      <c r="L204" s="496"/>
      <c r="M204" s="496"/>
      <c r="N204" s="496"/>
      <c r="O204" s="496"/>
      <c r="P204" s="496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6" t="s">
        <v>59</v>
      </c>
      <c r="E205" s="178"/>
      <c r="F205" s="178"/>
      <c r="G205" s="179"/>
      <c r="H205" s="753"/>
      <c r="I205" s="269"/>
      <c r="J205" s="269"/>
      <c r="K205" s="163"/>
      <c r="L205" s="496"/>
      <c r="M205" s="496"/>
      <c r="N205" s="496"/>
      <c r="O205" s="496"/>
      <c r="P205" s="496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25" t="s">
        <v>102</v>
      </c>
      <c r="F206" s="287"/>
      <c r="G206" s="288"/>
      <c r="H206" s="289" t="s">
        <v>96</v>
      </c>
      <c r="I206" s="269">
        <v>2</v>
      </c>
      <c r="J206" s="214">
        <v>0</v>
      </c>
      <c r="K206" s="163">
        <f t="shared" ref="K206:K208" si="100">IF(I206&gt;0,J206*100/I206,0)</f>
        <v>0</v>
      </c>
      <c r="L206" s="496"/>
      <c r="M206" s="496"/>
      <c r="N206" s="496"/>
      <c r="O206" s="496"/>
      <c r="P206" s="496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6"/>
      <c r="E207" s="446" t="s">
        <v>103</v>
      </c>
      <c r="F207" s="178"/>
      <c r="G207" s="178"/>
      <c r="H207" s="290" t="s">
        <v>104</v>
      </c>
      <c r="I207" s="269">
        <v>0</v>
      </c>
      <c r="J207" s="214">
        <v>0</v>
      </c>
      <c r="K207" s="163">
        <f t="shared" si="100"/>
        <v>0</v>
      </c>
      <c r="L207" s="496"/>
      <c r="M207" s="496"/>
      <c r="N207" s="496"/>
      <c r="O207" s="496"/>
      <c r="P207" s="496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 hidden="1">
      <c r="A208" s="255"/>
      <c r="B208" s="263"/>
      <c r="C208" s="270" t="s">
        <v>105</v>
      </c>
      <c r="D208" s="256"/>
      <c r="E208" s="256"/>
      <c r="F208" s="291"/>
      <c r="G208" s="258"/>
      <c r="H208" s="277" t="s">
        <v>96</v>
      </c>
      <c r="I208" s="271">
        <f t="shared" ref="I208:J208" ca="1" si="101">I215</f>
        <v>0</v>
      </c>
      <c r="J208" s="271">
        <f t="shared" si="101"/>
        <v>0</v>
      </c>
      <c r="K208" s="272">
        <f t="shared" ca="1" si="100"/>
        <v>0</v>
      </c>
      <c r="L208" s="261"/>
      <c r="M208" s="261"/>
      <c r="N208" s="261"/>
      <c r="O208" s="261"/>
      <c r="P208" s="261"/>
    </row>
    <row r="209" spans="1:26" ht="19.5" hidden="1">
      <c r="A209" s="147"/>
      <c r="B209" s="148"/>
      <c r="C209" s="149" t="s">
        <v>16</v>
      </c>
      <c r="D209" s="826" t="s">
        <v>17</v>
      </c>
      <c r="E209" s="148"/>
      <c r="F209" s="148"/>
      <c r="G209" s="151"/>
      <c r="H209" s="274" t="s">
        <v>12</v>
      </c>
      <c r="I209" s="418"/>
      <c r="J209" s="418"/>
      <c r="K209" s="279"/>
      <c r="L209" s="155">
        <f ca="1">L210+L211+L212</f>
        <v>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 hidden="1">
      <c r="A210" s="159"/>
      <c r="B210" s="280"/>
      <c r="C210" s="33"/>
      <c r="D210" s="281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6">
        <f ca="1">IFERROR(__xludf.DUMMYFUNCTION("IMPORTRANGE(""https://docs.google.com/spreadsheets/d/1QqKyyYR6Q21VydFLVH3TRQUabQu_ym0Zz7PgGX0-kHA/edit?usp=sharing"",""แผน!AK62"")"),0)</f>
        <v>0</v>
      </c>
      <c r="M210" s="496"/>
      <c r="N210" s="817">
        <v>0</v>
      </c>
      <c r="O210" s="496"/>
      <c r="P210" s="496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 hidden="1">
      <c r="A211" s="284"/>
      <c r="B211" s="280"/>
      <c r="C211" s="292"/>
      <c r="D211" s="281" t="s">
        <v>99</v>
      </c>
      <c r="E211" s="33"/>
      <c r="F211" s="33"/>
      <c r="G211" s="35"/>
      <c r="H211" s="161" t="s">
        <v>12</v>
      </c>
      <c r="I211" s="269"/>
      <c r="J211" s="269"/>
      <c r="K211" s="496"/>
      <c r="L211" s="496">
        <f ca="1">IFERROR(__xludf.DUMMYFUNCTION("IMPORTRANGE(""https://docs.google.com/spreadsheets/d/1QqKyyYR6Q21VydFLVH3TRQUabQu_ym0Zz7PgGX0-kHA/edit?usp=sharing"",""แผน!AL62"")"),0)</f>
        <v>0</v>
      </c>
      <c r="M211" s="496"/>
      <c r="N211" s="817">
        <v>0</v>
      </c>
      <c r="O211" s="496"/>
      <c r="P211" s="496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 hidden="1">
      <c r="A212" s="284"/>
      <c r="B212" s="280"/>
      <c r="C212" s="292"/>
      <c r="D212" s="281" t="s">
        <v>98</v>
      </c>
      <c r="E212" s="33"/>
      <c r="F212" s="33"/>
      <c r="G212" s="35"/>
      <c r="H212" s="161" t="s">
        <v>12</v>
      </c>
      <c r="I212" s="269"/>
      <c r="J212" s="269"/>
      <c r="K212" s="496"/>
      <c r="L212" s="496">
        <f ca="1">IFERROR(__xludf.DUMMYFUNCTION("IMPORTRANGE(""https://docs.google.com/spreadsheets/d/1QqKyyYR6Q21VydFLVH3TRQUabQu_ym0Zz7PgGX0-kHA/edit?usp=sharing"",""แผน!AM62"")"),0)</f>
        <v>0</v>
      </c>
      <c r="M212" s="496"/>
      <c r="N212" s="817">
        <v>0</v>
      </c>
      <c r="O212" s="496"/>
      <c r="P212" s="496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 hidden="1">
      <c r="A213" s="170"/>
      <c r="B213" s="171"/>
      <c r="C213" s="292" t="s">
        <v>16</v>
      </c>
      <c r="D213" s="823" t="s">
        <v>38</v>
      </c>
      <c r="E213" s="173"/>
      <c r="F213" s="173"/>
      <c r="G213" s="174"/>
      <c r="H213" s="753"/>
      <c r="I213" s="184"/>
      <c r="J213" s="269"/>
      <c r="K213" s="496"/>
      <c r="L213" s="496"/>
      <c r="M213" s="496"/>
      <c r="N213" s="496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 hidden="1">
      <c r="A214" s="170"/>
      <c r="B214" s="171"/>
      <c r="C214" s="171"/>
      <c r="D214" s="176" t="s">
        <v>106</v>
      </c>
      <c r="E214" s="178"/>
      <c r="F214" s="178"/>
      <c r="G214" s="179"/>
      <c r="H214" s="753" t="s">
        <v>96</v>
      </c>
      <c r="I214" s="269">
        <f ca="1">IFERROR(__xludf.DUMMYFUNCTION("IMPORTRANGE(""https://docs.google.com/spreadsheets/d/1QqKyyYR6Q21VydFLVH3TRQUabQu_ym0Zz7PgGX0-kHA/edit?usp=sharing"",""แผน!AN62"")"),0)</f>
        <v>0</v>
      </c>
      <c r="J214" s="214">
        <v>0</v>
      </c>
      <c r="K214" s="496">
        <f t="shared" ref="K214:K216" ca="1" si="102">IF(I214&gt;0,J214*100/I214,0)</f>
        <v>0</v>
      </c>
      <c r="L214" s="496"/>
      <c r="M214" s="496"/>
      <c r="N214" s="496"/>
      <c r="O214" s="496"/>
      <c r="P214" s="496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 hidden="1">
      <c r="A215" s="170"/>
      <c r="B215" s="171"/>
      <c r="C215" s="171"/>
      <c r="D215" s="176" t="s">
        <v>107</v>
      </c>
      <c r="E215" s="178"/>
      <c r="F215" s="178"/>
      <c r="G215" s="179"/>
      <c r="H215" s="753" t="s">
        <v>96</v>
      </c>
      <c r="I215" s="269">
        <f ca="1">IFERROR(__xludf.DUMMYFUNCTION("IMPORTRANGE(""https://docs.google.com/spreadsheets/d/1QqKyyYR6Q21VydFLVH3TRQUabQu_ym0Zz7PgGX0-kHA/edit?usp=sharing"",""แผน!AN62"")"),0)</f>
        <v>0</v>
      </c>
      <c r="J215" s="214">
        <v>0</v>
      </c>
      <c r="K215" s="496">
        <f t="shared" ca="1" si="102"/>
        <v>0</v>
      </c>
      <c r="L215" s="496"/>
      <c r="M215" s="496"/>
      <c r="N215" s="496"/>
      <c r="O215" s="496"/>
      <c r="P215" s="496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5"/>
      <c r="B216" s="263"/>
      <c r="C216" s="270" t="s">
        <v>108</v>
      </c>
      <c r="D216" s="256"/>
      <c r="E216" s="256"/>
      <c r="F216" s="291"/>
      <c r="G216" s="258"/>
      <c r="H216" s="259" t="s">
        <v>109</v>
      </c>
      <c r="I216" s="271">
        <f t="shared" ref="I216:J216" ca="1" si="103">I224</f>
        <v>20000</v>
      </c>
      <c r="J216" s="271">
        <f t="shared" si="103"/>
        <v>0</v>
      </c>
      <c r="K216" s="272">
        <f t="shared" ca="1" si="102"/>
        <v>0</v>
      </c>
      <c r="L216" s="261"/>
      <c r="M216" s="261"/>
      <c r="N216" s="261"/>
      <c r="O216" s="261"/>
      <c r="P216" s="261"/>
    </row>
    <row r="217" spans="1:26" ht="19.5">
      <c r="A217" s="147"/>
      <c r="B217" s="148"/>
      <c r="C217" s="149" t="s">
        <v>16</v>
      </c>
      <c r="D217" s="826" t="s">
        <v>17</v>
      </c>
      <c r="E217" s="148"/>
      <c r="F217" s="148"/>
      <c r="G217" s="151"/>
      <c r="H217" s="274" t="s">
        <v>12</v>
      </c>
      <c r="I217" s="418"/>
      <c r="J217" s="418"/>
      <c r="K217" s="279"/>
      <c r="L217" s="155">
        <f ca="1">L218+L219+L220</f>
        <v>8000</v>
      </c>
      <c r="M217" s="155"/>
      <c r="N217" s="155">
        <f>N218+N219+N220</f>
        <v>0</v>
      </c>
      <c r="O217" s="155">
        <f ca="1">IF(L217&gt;0,N217*100/L217,0)</f>
        <v>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0"/>
      <c r="C218" s="33"/>
      <c r="D218" s="281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6">
        <f ca="1">IFERROR(__xludf.DUMMYFUNCTION("IMPORTRANGE(""https://docs.google.com/spreadsheets/d/1QqKyyYR6Q21VydFLVH3TRQUabQu_ym0Zz7PgGX0-kHA/edit?usp=sharing"",""แผน!AP62"")"),3000)</f>
        <v>3000</v>
      </c>
      <c r="M218" s="496"/>
      <c r="N218" s="817">
        <v>0</v>
      </c>
      <c r="O218" s="496"/>
      <c r="P218" s="496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4"/>
      <c r="B219" s="280"/>
      <c r="C219" s="292"/>
      <c r="D219" s="281" t="s">
        <v>110</v>
      </c>
      <c r="E219" s="33"/>
      <c r="F219" s="33"/>
      <c r="G219" s="35"/>
      <c r="H219" s="161" t="s">
        <v>12</v>
      </c>
      <c r="I219" s="269"/>
      <c r="J219" s="269"/>
      <c r="K219" s="496"/>
      <c r="L219" s="496">
        <f ca="1">IFERROR(__xludf.DUMMYFUNCTION("IMPORTRANGE(""https://docs.google.com/spreadsheets/d/1QqKyyYR6Q21VydFLVH3TRQUabQu_ym0Zz7PgGX0-kHA/edit?usp=sharing"",""แผน!AQ62"")"),5000)</f>
        <v>5000</v>
      </c>
      <c r="M219" s="496"/>
      <c r="N219" s="817">
        <v>0</v>
      </c>
      <c r="O219" s="496"/>
      <c r="P219" s="496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0"/>
      <c r="C220" s="292"/>
      <c r="D220" s="281" t="s">
        <v>98</v>
      </c>
      <c r="E220" s="33"/>
      <c r="F220" s="33"/>
      <c r="G220" s="35"/>
      <c r="H220" s="161" t="s">
        <v>12</v>
      </c>
      <c r="I220" s="269"/>
      <c r="J220" s="269"/>
      <c r="K220" s="496"/>
      <c r="L220" s="496">
        <f ca="1">IFERROR(__xludf.DUMMYFUNCTION("IMPORTRANGE(""https://docs.google.com/spreadsheets/d/1QqKyyYR6Q21VydFLVH3TRQUabQu_ym0Zz7PgGX0-kHA/edit?usp=sharing"",""แผน!AR62"")"),0)</f>
        <v>0</v>
      </c>
      <c r="M220" s="496"/>
      <c r="N220" s="817">
        <v>0</v>
      </c>
      <c r="O220" s="496"/>
      <c r="P220" s="496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70"/>
      <c r="B221" s="171"/>
      <c r="C221" s="292" t="s">
        <v>16</v>
      </c>
      <c r="D221" s="823" t="s">
        <v>38</v>
      </c>
      <c r="E221" s="173"/>
      <c r="F221" s="173"/>
      <c r="G221" s="174"/>
      <c r="H221" s="753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1" t="s">
        <v>111</v>
      </c>
      <c r="E222" s="178"/>
      <c r="F222" s="178"/>
      <c r="G222" s="179"/>
      <c r="H222" s="753"/>
      <c r="I222" s="269"/>
      <c r="J222" s="269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55" t="s">
        <v>109</v>
      </c>
      <c r="I223" s="269">
        <f ca="1">IFERROR(__xludf.DUMMYFUNCTION("IMPORTRANGE(""https://docs.google.com/spreadsheets/d/1QqKyyYR6Q21VydFLVH3TRQUabQu_ym0Zz7PgGX0-kHA/edit?usp=sharing"",""แผน!AT62"")"),20000)</f>
        <v>20000</v>
      </c>
      <c r="J223" s="214">
        <v>0</v>
      </c>
      <c r="K223" s="163">
        <f t="shared" ref="K223:K226" ca="1" si="104">IF(I223&gt;0,J223*100/I223,0)</f>
        <v>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55" t="s">
        <v>109</v>
      </c>
      <c r="I224" s="269">
        <f ca="1">IFERROR(__xludf.DUMMYFUNCTION("IMPORTRANGE(""https://docs.google.com/spreadsheets/d/1QqKyyYR6Q21VydFLVH3TRQUabQu_ym0Zz7PgGX0-kHA/edit?usp=sharing"",""แผน!AT62"")"),20000)</f>
        <v>20000</v>
      </c>
      <c r="J224" s="214">
        <v>0</v>
      </c>
      <c r="K224" s="163">
        <f t="shared" ca="1" si="104"/>
        <v>0</v>
      </c>
      <c r="L224" s="496"/>
      <c r="M224" s="496"/>
      <c r="N224" s="496"/>
      <c r="O224" s="496"/>
      <c r="P224" s="496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1" t="s">
        <v>114</v>
      </c>
      <c r="E225" s="178"/>
      <c r="F225" s="178"/>
      <c r="G225" s="179"/>
      <c r="H225" s="755" t="s">
        <v>35</v>
      </c>
      <c r="I225" s="269">
        <f ca="1">IFERROR(__xludf.DUMMYFUNCTION("IMPORTRANGE(""https://docs.google.com/spreadsheets/d/1QqKyyYR6Q21VydFLVH3TRQUabQu_ym0Zz7PgGX0-kHA/edit?usp=sharing"",""แผน!AS62"")"),0)</f>
        <v>0</v>
      </c>
      <c r="J225" s="214">
        <v>0</v>
      </c>
      <c r="K225" s="163">
        <f t="shared" ca="1" si="104"/>
        <v>0</v>
      </c>
      <c r="L225" s="496"/>
      <c r="M225" s="496"/>
      <c r="N225" s="496"/>
      <c r="O225" s="496"/>
      <c r="P225" s="496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5"/>
      <c r="B226" s="263"/>
      <c r="C226" s="341" t="s">
        <v>115</v>
      </c>
      <c r="D226" s="256"/>
      <c r="E226" s="256"/>
      <c r="F226" s="256"/>
      <c r="G226" s="258"/>
      <c r="H226" s="265" t="s">
        <v>35</v>
      </c>
      <c r="I226" s="344">
        <f t="shared" ref="I226:J226" ca="1" si="105">I237+I248</f>
        <v>0</v>
      </c>
      <c r="J226" s="344">
        <f t="shared" si="105"/>
        <v>0</v>
      </c>
      <c r="K226" s="345">
        <f t="shared" ca="1" si="104"/>
        <v>0</v>
      </c>
      <c r="L226" s="261"/>
      <c r="M226" s="261"/>
      <c r="N226" s="261"/>
      <c r="O226" s="261"/>
      <c r="P226" s="261"/>
    </row>
    <row r="227" spans="1:26" ht="19.5" hidden="1">
      <c r="A227" s="347"/>
      <c r="B227" s="348"/>
      <c r="C227" s="349" t="s">
        <v>16</v>
      </c>
      <c r="D227" s="827" t="s">
        <v>17</v>
      </c>
      <c r="E227" s="348"/>
      <c r="F227" s="348"/>
      <c r="G227" s="351"/>
      <c r="H227" s="352" t="s">
        <v>12</v>
      </c>
      <c r="I227" s="353"/>
      <c r="J227" s="353"/>
      <c r="K227" s="354"/>
      <c r="L227" s="355">
        <f t="shared" ref="L227:L231" ca="1" si="106">L238+L249</f>
        <v>0</v>
      </c>
      <c r="M227" s="355"/>
      <c r="N227" s="355">
        <f t="shared" ref="N227:N231" si="107">N238+N249</f>
        <v>0</v>
      </c>
      <c r="O227" s="828"/>
      <c r="P227" s="828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6"/>
      <c r="C228" s="40"/>
      <c r="D228" s="222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0</v>
      </c>
      <c r="M228" s="93"/>
      <c r="N228" s="93">
        <f t="shared" si="107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8"/>
      <c r="B229" s="356"/>
      <c r="C229" s="359"/>
      <c r="D229" s="222" t="s">
        <v>98</v>
      </c>
      <c r="E229" s="40"/>
      <c r="F229" s="40"/>
      <c r="G229" s="42"/>
      <c r="H229" s="165" t="s">
        <v>12</v>
      </c>
      <c r="I229" s="610"/>
      <c r="J229" s="610"/>
      <c r="K229" s="93"/>
      <c r="L229" s="93">
        <f t="shared" ca="1" si="106"/>
        <v>0</v>
      </c>
      <c r="M229" s="93"/>
      <c r="N229" s="93">
        <f t="shared" si="107"/>
        <v>0</v>
      </c>
      <c r="O229" s="93"/>
      <c r="P229" s="93"/>
      <c r="Q229" s="360"/>
      <c r="R229" s="360"/>
      <c r="S229" s="360"/>
      <c r="T229" s="360"/>
      <c r="U229" s="360"/>
      <c r="V229" s="360"/>
      <c r="W229" s="360"/>
      <c r="X229" s="360"/>
      <c r="Y229" s="360"/>
      <c r="Z229" s="360"/>
    </row>
    <row r="230" spans="1:26" ht="19.5" hidden="1">
      <c r="A230" s="358"/>
      <c r="B230" s="356"/>
      <c r="C230" s="359"/>
      <c r="D230" s="222" t="s">
        <v>116</v>
      </c>
      <c r="E230" s="40"/>
      <c r="F230" s="40"/>
      <c r="G230" s="42"/>
      <c r="H230" s="165" t="s">
        <v>12</v>
      </c>
      <c r="I230" s="610"/>
      <c r="J230" s="610"/>
      <c r="K230" s="93"/>
      <c r="L230" s="93">
        <f t="shared" ca="1" si="106"/>
        <v>0</v>
      </c>
      <c r="M230" s="93"/>
      <c r="N230" s="93">
        <f t="shared" si="107"/>
        <v>0</v>
      </c>
      <c r="O230" s="93"/>
      <c r="P230" s="93"/>
      <c r="Q230" s="360"/>
      <c r="R230" s="360"/>
      <c r="S230" s="360"/>
      <c r="T230" s="360"/>
      <c r="U230" s="360"/>
      <c r="V230" s="360"/>
      <c r="W230" s="360"/>
      <c r="X230" s="360"/>
      <c r="Y230" s="360"/>
      <c r="Z230" s="360"/>
    </row>
    <row r="231" spans="1:26" ht="19.5" hidden="1">
      <c r="A231" s="358"/>
      <c r="B231" s="356"/>
      <c r="C231" s="359"/>
      <c r="D231" s="222" t="s">
        <v>100</v>
      </c>
      <c r="E231" s="40"/>
      <c r="F231" s="40"/>
      <c r="G231" s="42"/>
      <c r="H231" s="165" t="s">
        <v>12</v>
      </c>
      <c r="I231" s="610"/>
      <c r="J231" s="610"/>
      <c r="K231" s="93"/>
      <c r="L231" s="93">
        <f t="shared" ca="1" si="106"/>
        <v>0</v>
      </c>
      <c r="M231" s="93"/>
      <c r="N231" s="93">
        <f t="shared" si="107"/>
        <v>0</v>
      </c>
      <c r="O231" s="93"/>
      <c r="P231" s="93"/>
      <c r="Q231" s="360"/>
      <c r="R231" s="360"/>
      <c r="S231" s="360"/>
      <c r="T231" s="360"/>
      <c r="U231" s="360"/>
      <c r="V231" s="360"/>
      <c r="W231" s="360"/>
      <c r="X231" s="360"/>
      <c r="Y231" s="360"/>
      <c r="Z231" s="360"/>
    </row>
    <row r="232" spans="1:26" ht="19.5" hidden="1">
      <c r="A232" s="361"/>
      <c r="B232" s="362"/>
      <c r="C232" s="359" t="s">
        <v>16</v>
      </c>
      <c r="D232" s="266" t="s">
        <v>38</v>
      </c>
      <c r="E232" s="363"/>
      <c r="F232" s="363"/>
      <c r="G232" s="364"/>
      <c r="H232" s="365"/>
      <c r="I232" s="166"/>
      <c r="J232" s="610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1"/>
      <c r="B233" s="362"/>
      <c r="C233" s="362"/>
      <c r="D233" s="366" t="s">
        <v>117</v>
      </c>
      <c r="E233" s="372"/>
      <c r="F233" s="372"/>
      <c r="G233" s="368"/>
      <c r="H233" s="369" t="s">
        <v>35</v>
      </c>
      <c r="I233" s="610">
        <f t="shared" ref="I233:J233" ca="1" si="108">I244+I255</f>
        <v>0</v>
      </c>
      <c r="J233" s="610">
        <f t="shared" si="108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1"/>
      <c r="B234" s="362"/>
      <c r="C234" s="362"/>
      <c r="D234" s="371" t="s">
        <v>43</v>
      </c>
      <c r="E234" s="372"/>
      <c r="F234" s="372"/>
      <c r="G234" s="368"/>
      <c r="H234" s="369"/>
      <c r="I234" s="610"/>
      <c r="J234" s="610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1"/>
      <c r="B235" s="362"/>
      <c r="C235" s="362"/>
      <c r="D235" s="362"/>
      <c r="E235" s="373" t="s">
        <v>118</v>
      </c>
      <c r="F235" s="372"/>
      <c r="G235" s="368"/>
      <c r="H235" s="369" t="s">
        <v>35</v>
      </c>
      <c r="I235" s="610">
        <f t="shared" ref="I235:J236" si="109">I246+I257</f>
        <v>0</v>
      </c>
      <c r="J235" s="610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1"/>
      <c r="B236" s="362"/>
      <c r="C236" s="362"/>
      <c r="D236" s="362"/>
      <c r="E236" s="373" t="s">
        <v>119</v>
      </c>
      <c r="F236" s="372"/>
      <c r="G236" s="368"/>
      <c r="H236" s="369" t="s">
        <v>69</v>
      </c>
      <c r="I236" s="610">
        <f t="shared" si="109"/>
        <v>0</v>
      </c>
      <c r="J236" s="610">
        <f t="shared" si="109"/>
        <v>0</v>
      </c>
      <c r="K236" s="93">
        <f t="shared" si="110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5"/>
      <c r="B237" s="263"/>
      <c r="C237" s="270" t="s">
        <v>120</v>
      </c>
      <c r="D237" s="256"/>
      <c r="E237" s="256"/>
      <c r="F237" s="256"/>
      <c r="G237" s="258"/>
      <c r="H237" s="259" t="s">
        <v>35</v>
      </c>
      <c r="I237" s="271">
        <f t="shared" ref="I237:J237" ca="1" si="111">I244</f>
        <v>0</v>
      </c>
      <c r="J237" s="271">
        <f t="shared" si="111"/>
        <v>0</v>
      </c>
      <c r="K237" s="272">
        <f t="shared" ca="1" si="110"/>
        <v>0</v>
      </c>
      <c r="L237" s="261"/>
      <c r="M237" s="261"/>
      <c r="N237" s="261"/>
      <c r="O237" s="261"/>
      <c r="P237" s="261"/>
    </row>
    <row r="238" spans="1:26" ht="19.5" hidden="1">
      <c r="A238" s="147"/>
      <c r="B238" s="148"/>
      <c r="C238" s="149" t="s">
        <v>16</v>
      </c>
      <c r="D238" s="822" t="s">
        <v>17</v>
      </c>
      <c r="E238" s="148"/>
      <c r="F238" s="148"/>
      <c r="G238" s="151"/>
      <c r="H238" s="274" t="s">
        <v>12</v>
      </c>
      <c r="I238" s="418"/>
      <c r="J238" s="418"/>
      <c r="K238" s="279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4"/>
      <c r="B239" s="315"/>
      <c r="C239" s="316"/>
      <c r="D239" s="324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282">
        <f ca="1">IFERROR(__xludf.DUMMYFUNCTION("IMPORTRANGE(""https://docs.google.com/spreadsheets/d/1QqKyyYR6Q21VydFLVH3TRQUabQu_ym0Zz7PgGX0-kHA/edit?usp=sharing"",""แผน!AV62"")"),0)</f>
        <v>0</v>
      </c>
      <c r="M239" s="282"/>
      <c r="N239" s="829">
        <v>0</v>
      </c>
      <c r="O239" s="282"/>
      <c r="P239" s="28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 hidden="1">
      <c r="A240" s="322"/>
      <c r="B240" s="315"/>
      <c r="C240" s="323"/>
      <c r="D240" s="324" t="s">
        <v>98</v>
      </c>
      <c r="E240" s="316"/>
      <c r="F240" s="316"/>
      <c r="G240" s="318"/>
      <c r="H240" s="319" t="s">
        <v>12</v>
      </c>
      <c r="I240" s="325"/>
      <c r="J240" s="325"/>
      <c r="K240" s="282"/>
      <c r="L240" s="282">
        <f ca="1">IFERROR(__xludf.DUMMYFUNCTION("IMPORTRANGE(""https://docs.google.com/spreadsheets/d/1QqKyyYR6Q21VydFLVH3TRQUabQu_ym0Zz7PgGX0-kHA/edit?usp=sharing"",""แผน!AW62"")"),0)</f>
        <v>0</v>
      </c>
      <c r="M240" s="282"/>
      <c r="N240" s="829">
        <v>0</v>
      </c>
      <c r="O240" s="282"/>
      <c r="P240" s="282"/>
      <c r="Q240" s="326"/>
      <c r="R240" s="326"/>
      <c r="S240" s="326"/>
      <c r="T240" s="326"/>
      <c r="U240" s="326"/>
      <c r="V240" s="326"/>
      <c r="W240" s="326"/>
      <c r="X240" s="326"/>
      <c r="Y240" s="326"/>
      <c r="Z240" s="326"/>
    </row>
    <row r="241" spans="1:26" ht="19.5" hidden="1">
      <c r="A241" s="322"/>
      <c r="B241" s="315"/>
      <c r="C241" s="323"/>
      <c r="D241" s="324" t="s">
        <v>116</v>
      </c>
      <c r="E241" s="316"/>
      <c r="F241" s="316"/>
      <c r="G241" s="318"/>
      <c r="H241" s="319" t="s">
        <v>12</v>
      </c>
      <c r="I241" s="325"/>
      <c r="J241" s="325"/>
      <c r="K241" s="282"/>
      <c r="L241" s="282">
        <f ca="1">IFERROR(__xludf.DUMMYFUNCTION("IMPORTRANGE(""https://docs.google.com/spreadsheets/d/1QqKyyYR6Q21VydFLVH3TRQUabQu_ym0Zz7PgGX0-kHA/edit?usp=sharing"",""แผน!AX62"")"),0)</f>
        <v>0</v>
      </c>
      <c r="M241" s="282"/>
      <c r="N241" s="829">
        <v>0</v>
      </c>
      <c r="O241" s="282"/>
      <c r="P241" s="282"/>
      <c r="Q241" s="326"/>
      <c r="R241" s="326"/>
      <c r="S241" s="326"/>
      <c r="T241" s="326"/>
      <c r="U241" s="326"/>
      <c r="V241" s="326"/>
      <c r="W241" s="326"/>
      <c r="X241" s="326"/>
      <c r="Y241" s="326"/>
      <c r="Z241" s="326"/>
    </row>
    <row r="242" spans="1:26" ht="19.5" hidden="1">
      <c r="A242" s="322"/>
      <c r="B242" s="315"/>
      <c r="C242" s="323"/>
      <c r="D242" s="324" t="s">
        <v>100</v>
      </c>
      <c r="E242" s="316"/>
      <c r="F242" s="316"/>
      <c r="G242" s="318"/>
      <c r="H242" s="319" t="s">
        <v>12</v>
      </c>
      <c r="I242" s="325"/>
      <c r="J242" s="325"/>
      <c r="K242" s="282"/>
      <c r="L242" s="282">
        <f ca="1">IFERROR(__xludf.DUMMYFUNCTION("IMPORTRANGE(""https://docs.google.com/spreadsheets/d/1QqKyyYR6Q21VydFLVH3TRQUabQu_ym0Zz7PgGX0-kHA/edit?usp=sharing"",""แผน!AY62"")"),0)</f>
        <v>0</v>
      </c>
      <c r="M242" s="282"/>
      <c r="N242" s="829">
        <v>0</v>
      </c>
      <c r="O242" s="282"/>
      <c r="P242" s="282"/>
      <c r="Q242" s="326"/>
      <c r="R242" s="326"/>
      <c r="S242" s="326"/>
      <c r="T242" s="326"/>
      <c r="U242" s="326"/>
      <c r="V242" s="326"/>
      <c r="W242" s="326"/>
      <c r="X242" s="326"/>
      <c r="Y242" s="326"/>
      <c r="Z242" s="326"/>
    </row>
    <row r="243" spans="1:26" ht="19.5" hidden="1">
      <c r="A243" s="170"/>
      <c r="B243" s="171"/>
      <c r="C243" s="292" t="s">
        <v>16</v>
      </c>
      <c r="D243" s="823" t="s">
        <v>38</v>
      </c>
      <c r="E243" s="173"/>
      <c r="F243" s="173"/>
      <c r="G243" s="174"/>
      <c r="H243" s="753"/>
      <c r="I243" s="184"/>
      <c r="J243" s="269"/>
      <c r="K243" s="496"/>
      <c r="L243" s="496"/>
      <c r="M243" s="496"/>
      <c r="N243" s="496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46" t="s">
        <v>117</v>
      </c>
      <c r="E244" s="178"/>
      <c r="F244" s="178"/>
      <c r="G244" s="179"/>
      <c r="H244" s="755" t="s">
        <v>35</v>
      </c>
      <c r="I244" s="269">
        <f ca="1">IFERROR(__xludf.DUMMYFUNCTION("IMPORTRANGE(""https://docs.google.com/spreadsheets/d/1QqKyyYR6Q21VydFLVH3TRQUabQu_ym0Zz7PgGX0-kHA/edit?usp=sharing"",""แผน!BE62"")"),0)</f>
        <v>0</v>
      </c>
      <c r="J244" s="214">
        <v>0</v>
      </c>
      <c r="K244" s="496">
        <f ca="1">IF(I244&gt;0,J244*100/I244,0)</f>
        <v>0</v>
      </c>
      <c r="L244" s="496"/>
      <c r="M244" s="496"/>
      <c r="N244" s="496"/>
      <c r="O244" s="496"/>
      <c r="P244" s="496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830" t="s">
        <v>43</v>
      </c>
      <c r="E245" s="178"/>
      <c r="F245" s="178"/>
      <c r="G245" s="179"/>
      <c r="H245" s="755"/>
      <c r="I245" s="269"/>
      <c r="J245" s="269"/>
      <c r="K245" s="496"/>
      <c r="L245" s="496"/>
      <c r="M245" s="496"/>
      <c r="N245" s="496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176" t="s">
        <v>118</v>
      </c>
      <c r="F246" s="178"/>
      <c r="G246" s="179"/>
      <c r="H246" s="755" t="s">
        <v>35</v>
      </c>
      <c r="I246" s="269"/>
      <c r="J246" s="214">
        <v>0</v>
      </c>
      <c r="K246" s="496">
        <f t="shared" ref="K246:K248" si="112">IF(I246&gt;0,J246*100/I246,0)</f>
        <v>0</v>
      </c>
      <c r="L246" s="496"/>
      <c r="M246" s="496"/>
      <c r="N246" s="496"/>
      <c r="O246" s="496"/>
      <c r="P246" s="496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176" t="s">
        <v>119</v>
      </c>
      <c r="F247" s="178"/>
      <c r="G247" s="179"/>
      <c r="H247" s="755" t="s">
        <v>69</v>
      </c>
      <c r="I247" s="269"/>
      <c r="J247" s="214">
        <v>0</v>
      </c>
      <c r="K247" s="496">
        <f t="shared" si="112"/>
        <v>0</v>
      </c>
      <c r="L247" s="496"/>
      <c r="M247" s="496"/>
      <c r="N247" s="496"/>
      <c r="O247" s="496"/>
      <c r="P247" s="496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5"/>
      <c r="B248" s="263"/>
      <c r="C248" s="270" t="s">
        <v>121</v>
      </c>
      <c r="D248" s="256"/>
      <c r="E248" s="256"/>
      <c r="F248" s="256"/>
      <c r="G248" s="258"/>
      <c r="H248" s="259" t="s">
        <v>35</v>
      </c>
      <c r="I248" s="271">
        <f t="shared" ref="I248:J248" ca="1" si="113">I255</f>
        <v>0</v>
      </c>
      <c r="J248" s="271">
        <f t="shared" si="113"/>
        <v>0</v>
      </c>
      <c r="K248" s="272">
        <f t="shared" ca="1" si="112"/>
        <v>0</v>
      </c>
      <c r="L248" s="261"/>
      <c r="M248" s="261"/>
      <c r="N248" s="261"/>
      <c r="O248" s="261"/>
      <c r="P248" s="261"/>
    </row>
    <row r="249" spans="1:26" ht="19.5" hidden="1">
      <c r="A249" s="147"/>
      <c r="B249" s="148"/>
      <c r="C249" s="149" t="s">
        <v>16</v>
      </c>
      <c r="D249" s="826" t="s">
        <v>17</v>
      </c>
      <c r="E249" s="148"/>
      <c r="F249" s="148"/>
      <c r="G249" s="151"/>
      <c r="H249" s="274" t="s">
        <v>12</v>
      </c>
      <c r="I249" s="418"/>
      <c r="J249" s="418"/>
      <c r="K249" s="279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4"/>
      <c r="B250" s="315"/>
      <c r="C250" s="316"/>
      <c r="D250" s="324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282">
        <f ca="1">IFERROR(__xludf.DUMMYFUNCTION("IMPORTRANGE(""https://docs.google.com/spreadsheets/d/1QqKyyYR6Q21VydFLVH3TRQUabQu_ym0Zz7PgGX0-kHA/edit?usp=sharing"",""แผน!AZ62"")"),0)</f>
        <v>0</v>
      </c>
      <c r="M250" s="282"/>
      <c r="N250" s="829">
        <v>0</v>
      </c>
      <c r="O250" s="282"/>
      <c r="P250" s="282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9.5" hidden="1">
      <c r="A251" s="322"/>
      <c r="B251" s="315"/>
      <c r="C251" s="323"/>
      <c r="D251" s="324" t="s">
        <v>98</v>
      </c>
      <c r="E251" s="316"/>
      <c r="F251" s="316"/>
      <c r="G251" s="318"/>
      <c r="H251" s="319" t="s">
        <v>12</v>
      </c>
      <c r="I251" s="325"/>
      <c r="J251" s="325"/>
      <c r="K251" s="282"/>
      <c r="L251" s="282">
        <f ca="1">IFERROR(__xludf.DUMMYFUNCTION("IMPORTRANGE(""https://docs.google.com/spreadsheets/d/1QqKyyYR6Q21VydFLVH3TRQUabQu_ym0Zz7PgGX0-kHA/edit?usp=sharing"",""แผน!BA62"")"),0)</f>
        <v>0</v>
      </c>
      <c r="M251" s="282"/>
      <c r="N251" s="829">
        <v>0</v>
      </c>
      <c r="O251" s="282"/>
      <c r="P251" s="282"/>
      <c r="Q251" s="326"/>
      <c r="R251" s="326"/>
      <c r="S251" s="326"/>
      <c r="T251" s="326"/>
      <c r="U251" s="326"/>
      <c r="V251" s="326"/>
      <c r="W251" s="326"/>
      <c r="X251" s="326"/>
      <c r="Y251" s="326"/>
      <c r="Z251" s="326"/>
    </row>
    <row r="252" spans="1:26" ht="19.5" hidden="1">
      <c r="A252" s="322"/>
      <c r="B252" s="315"/>
      <c r="C252" s="323"/>
      <c r="D252" s="324" t="s">
        <v>116</v>
      </c>
      <c r="E252" s="316"/>
      <c r="F252" s="316"/>
      <c r="G252" s="318"/>
      <c r="H252" s="319" t="s">
        <v>12</v>
      </c>
      <c r="I252" s="325"/>
      <c r="J252" s="325"/>
      <c r="K252" s="282"/>
      <c r="L252" s="282">
        <f ca="1">IFERROR(__xludf.DUMMYFUNCTION("IMPORTRANGE(""https://docs.google.com/spreadsheets/d/1QqKyyYR6Q21VydFLVH3TRQUabQu_ym0Zz7PgGX0-kHA/edit?usp=sharing"",""แผน!BB62"")"),0)</f>
        <v>0</v>
      </c>
      <c r="M252" s="282"/>
      <c r="N252" s="829">
        <v>0</v>
      </c>
      <c r="O252" s="282"/>
      <c r="P252" s="282"/>
      <c r="Q252" s="326"/>
      <c r="R252" s="326"/>
      <c r="S252" s="326"/>
      <c r="T252" s="326"/>
      <c r="U252" s="326"/>
      <c r="V252" s="326"/>
      <c r="W252" s="326"/>
      <c r="X252" s="326"/>
      <c r="Y252" s="326"/>
      <c r="Z252" s="326"/>
    </row>
    <row r="253" spans="1:26" ht="19.5" hidden="1">
      <c r="A253" s="322"/>
      <c r="B253" s="315"/>
      <c r="C253" s="323"/>
      <c r="D253" s="324" t="s">
        <v>100</v>
      </c>
      <c r="E253" s="316"/>
      <c r="F253" s="316"/>
      <c r="G253" s="318"/>
      <c r="H253" s="319" t="s">
        <v>12</v>
      </c>
      <c r="I253" s="325"/>
      <c r="J253" s="325"/>
      <c r="K253" s="282"/>
      <c r="L253" s="282">
        <f ca="1">IFERROR(__xludf.DUMMYFUNCTION("IMPORTRANGE(""https://docs.google.com/spreadsheets/d/1QqKyyYR6Q21VydFLVH3TRQUabQu_ym0Zz7PgGX0-kHA/edit?usp=sharing"",""แผน!BC62"")"),0)</f>
        <v>0</v>
      </c>
      <c r="M253" s="282"/>
      <c r="N253" s="829">
        <v>0</v>
      </c>
      <c r="O253" s="282"/>
      <c r="P253" s="282"/>
      <c r="Q253" s="326"/>
      <c r="R253" s="326"/>
      <c r="S253" s="326"/>
      <c r="T253" s="326"/>
      <c r="U253" s="326"/>
      <c r="V253" s="326"/>
      <c r="W253" s="326"/>
      <c r="X253" s="326"/>
      <c r="Y253" s="326"/>
      <c r="Z253" s="326"/>
    </row>
    <row r="254" spans="1:26" ht="19.5" hidden="1">
      <c r="A254" s="170"/>
      <c r="B254" s="171"/>
      <c r="C254" s="292" t="s">
        <v>16</v>
      </c>
      <c r="D254" s="823" t="s">
        <v>38</v>
      </c>
      <c r="E254" s="173"/>
      <c r="F254" s="173"/>
      <c r="G254" s="174"/>
      <c r="H254" s="753"/>
      <c r="I254" s="184"/>
      <c r="J254" s="269"/>
      <c r="K254" s="496"/>
      <c r="L254" s="496"/>
      <c r="M254" s="496"/>
      <c r="N254" s="496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6" t="s">
        <v>117</v>
      </c>
      <c r="E255" s="178"/>
      <c r="F255" s="178"/>
      <c r="G255" s="179"/>
      <c r="H255" s="755" t="s">
        <v>35</v>
      </c>
      <c r="I255" s="269">
        <f ca="1">IFERROR(__xludf.DUMMYFUNCTION("IMPORTRANGE(""https://docs.google.com/spreadsheets/d/1QqKyyYR6Q21VydFLVH3TRQUabQu_ym0Zz7PgGX0-kHA/edit?usp=sharing"",""แผน!BF62"")"),0)</f>
        <v>0</v>
      </c>
      <c r="J255" s="214">
        <v>0</v>
      </c>
      <c r="K255" s="496">
        <f ca="1">IF(I255&gt;0,J255*100/I255,0)</f>
        <v>0</v>
      </c>
      <c r="L255" s="496"/>
      <c r="M255" s="496"/>
      <c r="N255" s="496"/>
      <c r="O255" s="496"/>
      <c r="P255" s="496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30" t="s">
        <v>43</v>
      </c>
      <c r="E256" s="178"/>
      <c r="F256" s="178"/>
      <c r="G256" s="179"/>
      <c r="H256" s="755"/>
      <c r="I256" s="269"/>
      <c r="J256" s="269"/>
      <c r="K256" s="496"/>
      <c r="L256" s="496"/>
      <c r="M256" s="496"/>
      <c r="N256" s="496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55" t="s">
        <v>35</v>
      </c>
      <c r="I257" s="269"/>
      <c r="J257" s="214">
        <v>0</v>
      </c>
      <c r="K257" s="496">
        <f t="shared" ref="K257:K258" si="114">IF(I257&gt;0,J257*100/I257,0)</f>
        <v>0</v>
      </c>
      <c r="L257" s="496"/>
      <c r="M257" s="496"/>
      <c r="N257" s="496"/>
      <c r="O257" s="496"/>
      <c r="P257" s="496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55" t="s">
        <v>69</v>
      </c>
      <c r="I258" s="269"/>
      <c r="J258" s="214">
        <v>0</v>
      </c>
      <c r="K258" s="496">
        <f t="shared" si="114"/>
        <v>0</v>
      </c>
      <c r="L258" s="496"/>
      <c r="M258" s="496"/>
      <c r="N258" s="496"/>
      <c r="O258" s="496"/>
      <c r="P258" s="496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1" t="s">
        <v>122</v>
      </c>
      <c r="B259" s="242"/>
      <c r="C259" s="242"/>
      <c r="D259" s="243"/>
      <c r="E259" s="243"/>
      <c r="F259" s="243"/>
      <c r="G259" s="244"/>
      <c r="H259" s="245"/>
      <c r="I259" s="246"/>
      <c r="J259" s="246"/>
      <c r="K259" s="247"/>
      <c r="L259" s="247"/>
      <c r="M259" s="247"/>
      <c r="N259" s="247"/>
      <c r="O259" s="247"/>
      <c r="P259" s="247"/>
    </row>
    <row r="260" spans="1:26" ht="19.5">
      <c r="A260" s="248"/>
      <c r="B260" s="249" t="s">
        <v>123</v>
      </c>
      <c r="C260" s="250"/>
      <c r="D260" s="173"/>
      <c r="E260" s="173"/>
      <c r="F260" s="173"/>
      <c r="G260" s="174"/>
      <c r="H260" s="251" t="s">
        <v>35</v>
      </c>
      <c r="I260" s="252">
        <f t="shared" ref="I260:J260" ca="1" si="115">I271</f>
        <v>22</v>
      </c>
      <c r="J260" s="252">
        <f t="shared" si="115"/>
        <v>0</v>
      </c>
      <c r="K260" s="253">
        <f ca="1">IF(I260&gt;0,J260*100/I260,0)</f>
        <v>0</v>
      </c>
      <c r="L260" s="254"/>
      <c r="M260" s="254"/>
      <c r="N260" s="254"/>
      <c r="O260" s="254"/>
      <c r="P260" s="254"/>
    </row>
    <row r="261" spans="1:26" ht="19.5">
      <c r="A261" s="147"/>
      <c r="B261" s="148"/>
      <c r="C261" s="149" t="s">
        <v>16</v>
      </c>
      <c r="D261" s="822" t="s">
        <v>17</v>
      </c>
      <c r="E261" s="148"/>
      <c r="F261" s="148"/>
      <c r="G261" s="151"/>
      <c r="H261" s="152" t="s">
        <v>12</v>
      </c>
      <c r="I261" s="419"/>
      <c r="J261" s="419"/>
      <c r="K261" s="154"/>
      <c r="L261" s="155">
        <f t="shared" ref="L261:N261" ca="1" si="116">L262+L263</f>
        <v>26900</v>
      </c>
      <c r="M261" s="155">
        <f t="shared" ca="1" si="116"/>
        <v>0</v>
      </c>
      <c r="N261" s="155">
        <f t="shared" ca="1" si="116"/>
        <v>0</v>
      </c>
      <c r="O261" s="155">
        <f t="shared" ref="O261:O269" ca="1" si="117">IF(L261&gt;0,N261*100/L261,0)</f>
        <v>0</v>
      </c>
      <c r="P261" s="155">
        <f t="shared" ref="P261:P269" ca="1" si="118">IF(M261&gt;0,N261*100/M261,0)</f>
        <v>0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2" t="s">
        <v>18</v>
      </c>
      <c r="F262" s="40"/>
      <c r="G262" s="157"/>
      <c r="H262" s="158" t="s">
        <v>12</v>
      </c>
      <c r="I262" s="610"/>
      <c r="J262" s="610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2" t="s">
        <v>19</v>
      </c>
      <c r="F263" s="40"/>
      <c r="G263" s="157"/>
      <c r="H263" s="158" t="s">
        <v>12</v>
      </c>
      <c r="I263" s="610"/>
      <c r="J263" s="610"/>
      <c r="K263" s="93"/>
      <c r="L263" s="93">
        <f t="shared" ca="1" si="119"/>
        <v>26900</v>
      </c>
      <c r="M263" s="93">
        <f t="shared" ca="1" si="119"/>
        <v>0</v>
      </c>
      <c r="N263" s="93">
        <f t="shared" ca="1" si="119"/>
        <v>0</v>
      </c>
      <c r="O263" s="93">
        <f t="shared" ca="1" si="117"/>
        <v>0</v>
      </c>
      <c r="P263" s="93">
        <f t="shared" ca="1" si="118"/>
        <v>0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1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6">
        <f t="shared" ref="L264:N264" ca="1" si="120">L265+L266</f>
        <v>26900</v>
      </c>
      <c r="M264" s="496">
        <f t="shared" ca="1" si="120"/>
        <v>0</v>
      </c>
      <c r="N264" s="496">
        <f t="shared" ca="1" si="120"/>
        <v>0</v>
      </c>
      <c r="O264" s="496">
        <f t="shared" ca="1" si="117"/>
        <v>0</v>
      </c>
      <c r="P264" s="496">
        <f t="shared" ca="1" si="118"/>
        <v>0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2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2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IFERROR(__xludf.DUMMYFUNCTION("IMPORTRANGE(""https://docs.google.com/spreadsheets/d/1MeEWN-I1oV_STSDYn1IFDPWt_1FKiwhDph83XaGc0o0/edit?usp=sharing"",""งบพรบ!CY62"")"),26900)</f>
        <v>26900</v>
      </c>
      <c r="M266" s="93">
        <f ca="1">IFERROR(__xludf.DUMMYFUNCTION("IMPORTRANGE(""https://docs.google.com/spreadsheets/d/1MeEWN-I1oV_STSDYn1IFDPWt_1FKiwhDph83XaGc0o0/edit?usp=sharing"",""งบพรบ!DD62"")"),0)</f>
        <v>0</v>
      </c>
      <c r="N266" s="93">
        <f ca="1">IFERROR(__xludf.DUMMYFUNCTION("IMPORTRANGE(""https://docs.google.com/spreadsheets/d/1MeEWN-I1oV_STSDYn1IFDPWt_1FKiwhDph83XaGc0o0/edit?usp=sharing"",""งบพรบ!DF62"")"),0)</f>
        <v>0</v>
      </c>
      <c r="O266" s="93">
        <f t="shared" ca="1" si="117"/>
        <v>0</v>
      </c>
      <c r="P266" s="93">
        <f t="shared" ca="1" si="118"/>
        <v>0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1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6">
        <f t="shared" ref="L267:N267" ca="1" si="121">L268+L269</f>
        <v>0</v>
      </c>
      <c r="M267" s="496">
        <f t="shared" ca="1" si="121"/>
        <v>0</v>
      </c>
      <c r="N267" s="496">
        <f t="shared" ca="1" si="121"/>
        <v>0</v>
      </c>
      <c r="O267" s="496">
        <f t="shared" ca="1" si="117"/>
        <v>0</v>
      </c>
      <c r="P267" s="496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2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2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IFERROR(__xludf.DUMMYFUNCTION("IMPORTRANGE(""https://docs.google.com/spreadsheets/d/1MeEWN-I1oV_STSDYn1IFDPWt_1FKiwhDph83XaGc0o0/edit?usp=sharing"",""งบพรบ!DB62"")"),0)</f>
        <v>0</v>
      </c>
      <c r="M269" s="93">
        <f ca="1">IFERROR(__xludf.DUMMYFUNCTION("IMPORTRANGE(""https://docs.google.com/spreadsheets/d/1MeEWN-I1oV_STSDYn1IFDPWt_1FKiwhDph83XaGc0o0/edit?usp=sharing"",""งบพรบ!DE62"")"),0)</f>
        <v>0</v>
      </c>
      <c r="N269" s="93">
        <f ca="1">IFERROR(__xludf.DUMMYFUNCTION("IMPORTRANGE(""https://docs.google.com/spreadsheets/d/1MeEWN-I1oV_STSDYn1IFDPWt_1FKiwhDph83XaGc0o0/edit?usp=sharing"",""งบพรบ!DG62"")"),0)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1" t="s">
        <v>16</v>
      </c>
      <c r="D270" s="823" t="s">
        <v>38</v>
      </c>
      <c r="E270" s="173"/>
      <c r="F270" s="173"/>
      <c r="G270" s="174"/>
      <c r="H270" s="753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5" t="s">
        <v>124</v>
      </c>
      <c r="E271" s="178"/>
      <c r="F271" s="366"/>
      <c r="G271" s="179"/>
      <c r="H271" s="376" t="s">
        <v>35</v>
      </c>
      <c r="I271" s="269">
        <f ca="1">IFERROR(__xludf.DUMMYFUNCTION("IMPORTRANGE(""https://docs.google.com/spreadsheets/d/1QqKyyYR6Q21VydFLVH3TRQUabQu_ym0Zz7PgGX0-kHA/edit?usp=sharing"",""แผน!EA62"")"),22)</f>
        <v>22</v>
      </c>
      <c r="J271" s="214">
        <v>0</v>
      </c>
      <c r="K271" s="163">
        <f ca="1">IF(I271&gt;0,J271*100/I271,0)</f>
        <v>0</v>
      </c>
      <c r="L271" s="163"/>
      <c r="M271" s="163"/>
      <c r="N271" s="163"/>
      <c r="O271" s="163"/>
      <c r="P271" s="163"/>
    </row>
    <row r="272" spans="1:26" ht="18.75" hidden="1">
      <c r="A272" s="377"/>
      <c r="B272" s="378"/>
      <c r="C272" s="378"/>
      <c r="D272" s="379" t="s">
        <v>125</v>
      </c>
      <c r="E272" s="380"/>
      <c r="F272" s="380"/>
      <c r="G272" s="381"/>
      <c r="H272" s="50" t="s">
        <v>35</v>
      </c>
      <c r="I272" s="499">
        <v>0</v>
      </c>
      <c r="J272" s="499">
        <v>0</v>
      </c>
      <c r="K272" s="384">
        <v>0</v>
      </c>
      <c r="L272" s="384"/>
      <c r="M272" s="384"/>
      <c r="N272" s="384"/>
      <c r="O272" s="384"/>
      <c r="P272" s="384"/>
    </row>
    <row r="273" spans="1:26" ht="19.5">
      <c r="A273" s="385" t="s">
        <v>126</v>
      </c>
      <c r="B273" s="386"/>
      <c r="C273" s="386"/>
      <c r="D273" s="386"/>
      <c r="E273" s="387"/>
      <c r="F273" s="387"/>
      <c r="G273" s="388"/>
      <c r="H273" s="389"/>
      <c r="I273" s="390"/>
      <c r="J273" s="390"/>
      <c r="K273" s="391"/>
      <c r="L273" s="391"/>
      <c r="M273" s="391"/>
      <c r="N273" s="391"/>
      <c r="O273" s="391"/>
      <c r="P273" s="391"/>
    </row>
    <row r="274" spans="1:26" ht="19.5" hidden="1">
      <c r="A274" s="392" t="s">
        <v>127</v>
      </c>
      <c r="B274" s="393"/>
      <c r="C274" s="394"/>
      <c r="D274" s="393"/>
      <c r="E274" s="393"/>
      <c r="F274" s="393"/>
      <c r="G274" s="393"/>
      <c r="H274" s="395"/>
      <c r="I274" s="396"/>
      <c r="J274" s="397"/>
      <c r="K274" s="398"/>
      <c r="L274" s="398"/>
      <c r="M274" s="398"/>
      <c r="N274" s="398"/>
      <c r="O274" s="398"/>
      <c r="P274" s="398"/>
    </row>
    <row r="275" spans="1:26" ht="19.5" hidden="1">
      <c r="A275" s="399"/>
      <c r="B275" s="408" t="s">
        <v>128</v>
      </c>
      <c r="C275" s="401"/>
      <c r="D275" s="402"/>
      <c r="E275" s="401"/>
      <c r="F275" s="401"/>
      <c r="G275" s="403"/>
      <c r="H275" s="404" t="s">
        <v>35</v>
      </c>
      <c r="I275" s="405">
        <f t="shared" ref="I275:J275" ca="1" si="122">I288</f>
        <v>0</v>
      </c>
      <c r="J275" s="405">
        <f t="shared" ca="1" si="122"/>
        <v>0</v>
      </c>
      <c r="K275" s="406">
        <f t="shared" ref="K275:K276" ca="1" si="123">IF(I275&gt;0,J275*100/I275,0)</f>
        <v>0</v>
      </c>
      <c r="L275" s="407"/>
      <c r="M275" s="407"/>
      <c r="N275" s="407"/>
      <c r="O275" s="407"/>
      <c r="P275" s="407"/>
    </row>
    <row r="276" spans="1:26" ht="19.5" hidden="1">
      <c r="A276" s="399"/>
      <c r="B276" s="408"/>
      <c r="C276" s="401"/>
      <c r="D276" s="402"/>
      <c r="E276" s="401"/>
      <c r="F276" s="401"/>
      <c r="G276" s="403"/>
      <c r="H276" s="404" t="s">
        <v>46</v>
      </c>
      <c r="I276" s="831">
        <f t="shared" ref="I276:J276" ca="1" si="124">I287</f>
        <v>0</v>
      </c>
      <c r="J276" s="831">
        <f t="shared" si="124"/>
        <v>0</v>
      </c>
      <c r="K276" s="407">
        <f t="shared" ca="1" si="123"/>
        <v>0</v>
      </c>
      <c r="L276" s="407"/>
      <c r="M276" s="407"/>
      <c r="N276" s="407"/>
      <c r="O276" s="407"/>
      <c r="P276" s="407"/>
    </row>
    <row r="277" spans="1:26" ht="19.5" hidden="1">
      <c r="A277" s="147"/>
      <c r="B277" s="148"/>
      <c r="C277" s="149" t="s">
        <v>16</v>
      </c>
      <c r="D277" s="822" t="s">
        <v>17</v>
      </c>
      <c r="E277" s="148"/>
      <c r="F277" s="148"/>
      <c r="G277" s="151"/>
      <c r="H277" s="152" t="s">
        <v>12</v>
      </c>
      <c r="I277" s="419"/>
      <c r="J277" s="419"/>
      <c r="K277" s="154"/>
      <c r="L277" s="155">
        <f t="shared" ref="L277:N277" ca="1" si="125">L278+L279</f>
        <v>0</v>
      </c>
      <c r="M277" s="155">
        <f t="shared" ca="1" si="125"/>
        <v>0</v>
      </c>
      <c r="N277" s="155">
        <f t="shared" ca="1" si="125"/>
        <v>0</v>
      </c>
      <c r="O277" s="155">
        <f t="shared" ref="O277:O285" ca="1" si="126">IF(L277&gt;0,N277*100/L277,0)</f>
        <v>0</v>
      </c>
      <c r="P277" s="155">
        <f t="shared" ref="P277:P285" ca="1" si="127">IF(M277&gt;0,N277*100/M277,0)</f>
        <v>0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2" t="s">
        <v>18</v>
      </c>
      <c r="F278" s="40"/>
      <c r="G278" s="157"/>
      <c r="H278" s="158" t="s">
        <v>12</v>
      </c>
      <c r="I278" s="610"/>
      <c r="J278" s="610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2" t="s">
        <v>19</v>
      </c>
      <c r="F279" s="40"/>
      <c r="G279" s="157"/>
      <c r="H279" s="158" t="s">
        <v>12</v>
      </c>
      <c r="I279" s="610"/>
      <c r="J279" s="610"/>
      <c r="K279" s="93"/>
      <c r="L279" s="93">
        <f t="shared" ca="1" si="128"/>
        <v>0</v>
      </c>
      <c r="M279" s="93">
        <f t="shared" ca="1" si="128"/>
        <v>0</v>
      </c>
      <c r="N279" s="93">
        <f t="shared" ca="1" si="128"/>
        <v>0</v>
      </c>
      <c r="O279" s="93">
        <f t="shared" ca="1" si="126"/>
        <v>0</v>
      </c>
      <c r="P279" s="93">
        <f t="shared" ca="1" si="127"/>
        <v>0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 hidden="1">
      <c r="A280" s="159"/>
      <c r="B280" s="33"/>
      <c r="C280" s="281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6">
        <f t="shared" ref="L280:N280" ca="1" si="129">L281+L282</f>
        <v>0</v>
      </c>
      <c r="M280" s="496">
        <f t="shared" ca="1" si="129"/>
        <v>0</v>
      </c>
      <c r="N280" s="496">
        <f t="shared" ca="1" si="129"/>
        <v>0</v>
      </c>
      <c r="O280" s="496">
        <f t="shared" ca="1" si="126"/>
        <v>0</v>
      </c>
      <c r="P280" s="496">
        <f t="shared" ca="1" si="127"/>
        <v>0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2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2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IFERROR(__xludf.DUMMYFUNCTION("IMPORTRANGE(""https://docs.google.com/spreadsheets/d/1MeEWN-I1oV_STSDYn1IFDPWt_1FKiwhDph83XaGc0o0/edit?usp=sharing"",""งบพรบ!DI62"")"),0)</f>
        <v>0</v>
      </c>
      <c r="M282" s="93">
        <f ca="1">IFERROR(__xludf.DUMMYFUNCTION("IMPORTRANGE(""https://docs.google.com/spreadsheets/d/1MeEWN-I1oV_STSDYn1IFDPWt_1FKiwhDph83XaGc0o0/edit?usp=sharing"",""งบพรบ!DN62"")"),0)</f>
        <v>0</v>
      </c>
      <c r="N282" s="93">
        <f ca="1">IFERROR(__xludf.DUMMYFUNCTION("IMPORTRANGE(""https://docs.google.com/spreadsheets/d/1MeEWN-I1oV_STSDYn1IFDPWt_1FKiwhDph83XaGc0o0/edit?usp=sharing"",""งบพรบ!DP62"")"),0)</f>
        <v>0</v>
      </c>
      <c r="O282" s="93">
        <f t="shared" ca="1" si="126"/>
        <v>0</v>
      </c>
      <c r="P282" s="93">
        <f t="shared" ca="1" si="127"/>
        <v>0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 hidden="1">
      <c r="A283" s="159"/>
      <c r="B283" s="33"/>
      <c r="C283" s="281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6">
        <f t="shared" ref="L283:N283" ca="1" si="130">L284+L285</f>
        <v>0</v>
      </c>
      <c r="M283" s="496">
        <f t="shared" ca="1" si="130"/>
        <v>0</v>
      </c>
      <c r="N283" s="496">
        <f t="shared" ca="1" si="130"/>
        <v>0</v>
      </c>
      <c r="O283" s="496">
        <f t="shared" ca="1" si="126"/>
        <v>0</v>
      </c>
      <c r="P283" s="496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2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2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IFERROR(__xludf.DUMMYFUNCTION("IMPORTRANGE(""https://docs.google.com/spreadsheets/d/1MeEWN-I1oV_STSDYn1IFDPWt_1FKiwhDph83XaGc0o0/edit?usp=sharing"",""งบพรบ!DL62"")"),0)</f>
        <v>0</v>
      </c>
      <c r="M285" s="93">
        <f ca="1">IFERROR(__xludf.DUMMYFUNCTION("IMPORTRANGE(""https://docs.google.com/spreadsheets/d/1MeEWN-I1oV_STSDYn1IFDPWt_1FKiwhDph83XaGc0o0/edit?usp=sharing"",""งบพรบ!DO62"")"),0)</f>
        <v>0</v>
      </c>
      <c r="N285" s="93">
        <f ca="1">IFERROR(__xludf.DUMMYFUNCTION("IMPORTRANGE(""https://docs.google.com/spreadsheets/d/1MeEWN-I1oV_STSDYn1IFDPWt_1FKiwhDph83XaGc0o0/edit?usp=sharing"",""งบพรบ!DQ62"")"),0)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 hidden="1">
      <c r="A286" s="170"/>
      <c r="B286" s="171"/>
      <c r="C286" s="164" t="s">
        <v>16</v>
      </c>
      <c r="D286" s="823" t="s">
        <v>38</v>
      </c>
      <c r="E286" s="173"/>
      <c r="F286" s="173"/>
      <c r="G286" s="174"/>
      <c r="H286" s="753"/>
      <c r="I286" s="184"/>
      <c r="J286" s="184"/>
      <c r="K286" s="163"/>
      <c r="L286" s="163"/>
      <c r="M286" s="163"/>
      <c r="N286" s="163"/>
      <c r="O286" s="163"/>
      <c r="P286" s="163"/>
    </row>
    <row r="287" spans="1:26" ht="18.75" hidden="1">
      <c r="A287" s="170"/>
      <c r="B287" s="171"/>
      <c r="C287" s="171"/>
      <c r="D287" s="619" t="s">
        <v>129</v>
      </c>
      <c r="E287" s="171"/>
      <c r="F287" s="178"/>
      <c r="G287" s="179"/>
      <c r="H287" s="185" t="s">
        <v>46</v>
      </c>
      <c r="I287" s="269">
        <f ca="1">IFERROR(__xludf.DUMMYFUNCTION("IMPORTRANGE(""https://docs.google.com/spreadsheets/d/1QqKyyYR6Q21VydFLVH3TRQUabQu_ym0Zz7PgGX0-kHA/edit?usp=sharing"",""แผน!EC62"")"),0)</f>
        <v>0</v>
      </c>
      <c r="J287" s="269">
        <v>0</v>
      </c>
      <c r="K287" s="163">
        <f t="shared" ref="K287:K288" ca="1" si="131">IF(I287&gt;0,J287*100/I287,0)</f>
        <v>0</v>
      </c>
      <c r="L287" s="163"/>
      <c r="M287" s="163"/>
      <c r="N287" s="163"/>
      <c r="O287" s="163"/>
      <c r="P287" s="163"/>
    </row>
    <row r="288" spans="1:26" ht="19.5" hidden="1">
      <c r="A288" s="170"/>
      <c r="B288" s="171"/>
      <c r="C288" s="171"/>
      <c r="D288" s="619" t="s">
        <v>130</v>
      </c>
      <c r="E288" s="171"/>
      <c r="F288" s="178"/>
      <c r="G288" s="179"/>
      <c r="H288" s="180" t="s">
        <v>35</v>
      </c>
      <c r="I288" s="674">
        <f ca="1">IFERROR(__xludf.DUMMYFUNCTION("IMPORTRANGE(""https://docs.google.com/spreadsheets/d/1QqKyyYR6Q21VydFLVH3TRQUabQu_ym0Zz7PgGX0-kHA/edit?usp=sharing"",""แผน!EB62"")"),0)</f>
        <v>0</v>
      </c>
      <c r="J288" s="674">
        <f ca="1">IF(AND(J291&gt;=I288,J294&gt;=I288),J294,0)</f>
        <v>0</v>
      </c>
      <c r="K288" s="410">
        <f t="shared" ca="1" si="131"/>
        <v>0</v>
      </c>
      <c r="L288" s="163"/>
      <c r="M288" s="163"/>
      <c r="N288" s="163"/>
      <c r="O288" s="163"/>
      <c r="P288" s="163"/>
    </row>
    <row r="289" spans="1:26" ht="19.5" hidden="1">
      <c r="A289" s="170"/>
      <c r="B289" s="171"/>
      <c r="C289" s="171"/>
      <c r="D289" s="411"/>
      <c r="E289" s="412" t="s">
        <v>131</v>
      </c>
      <c r="F289" s="178"/>
      <c r="G289" s="179"/>
      <c r="H289" s="755"/>
      <c r="I289" s="184"/>
      <c r="J289" s="269"/>
      <c r="K289" s="163"/>
      <c r="L289" s="163"/>
      <c r="M289" s="163"/>
      <c r="N289" s="163"/>
      <c r="O289" s="163"/>
      <c r="P289" s="163"/>
    </row>
    <row r="290" spans="1:26" ht="19.5" hidden="1">
      <c r="A290" s="170"/>
      <c r="B290" s="171"/>
      <c r="C290" s="171"/>
      <c r="D290" s="411"/>
      <c r="E290" s="619" t="s">
        <v>132</v>
      </c>
      <c r="F290" s="178"/>
      <c r="G290" s="179"/>
      <c r="H290" s="755" t="s">
        <v>35</v>
      </c>
      <c r="I290" s="184">
        <f ca="1">IFERROR(__xludf.DUMMYFUNCTION("IMPORTRANGE(""https://docs.google.com/spreadsheets/d/1QqKyyYR6Q21VydFLVH3TRQUabQu_ym0Zz7PgGX0-kHA/edit?usp=sharing"",""แผน!EB62"")"),0)</f>
        <v>0</v>
      </c>
      <c r="J290" s="214">
        <v>0</v>
      </c>
      <c r="K290" s="163">
        <f t="shared" ref="K290:K291" ca="1" si="132">IF(I290&gt;0,J290*100/I290,0)</f>
        <v>0</v>
      </c>
      <c r="L290" s="163"/>
      <c r="M290" s="163"/>
      <c r="N290" s="163"/>
      <c r="O290" s="163"/>
      <c r="P290" s="163"/>
    </row>
    <row r="291" spans="1:26" ht="19.5" hidden="1">
      <c r="A291" s="170"/>
      <c r="B291" s="171"/>
      <c r="C291" s="171"/>
      <c r="D291" s="178"/>
      <c r="E291" s="619" t="s">
        <v>333</v>
      </c>
      <c r="F291" s="178"/>
      <c r="G291" s="179"/>
      <c r="H291" s="755" t="s">
        <v>35</v>
      </c>
      <c r="I291" s="184">
        <f ca="1">IFERROR(__xludf.DUMMYFUNCTION("IMPORTRANGE(""https://docs.google.com/spreadsheets/d/1QqKyyYR6Q21VydFLVH3TRQUabQu_ym0Zz7PgGX0-kHA/edit?usp=sharing"",""แผน!EB62"")"),0)</f>
        <v>0</v>
      </c>
      <c r="J291" s="214">
        <v>0</v>
      </c>
      <c r="K291" s="163">
        <f t="shared" ca="1" si="132"/>
        <v>0</v>
      </c>
      <c r="L291" s="163"/>
      <c r="M291" s="163"/>
      <c r="N291" s="163"/>
      <c r="O291" s="163"/>
      <c r="P291" s="163"/>
    </row>
    <row r="292" spans="1:26" ht="19.5" hidden="1">
      <c r="A292" s="413"/>
      <c r="B292" s="414"/>
      <c r="C292" s="414"/>
      <c r="D292" s="415"/>
      <c r="E292" s="416" t="s">
        <v>134</v>
      </c>
      <c r="F292" s="287"/>
      <c r="G292" s="288"/>
      <c r="H292" s="417"/>
      <c r="I292" s="418"/>
      <c r="J292" s="419"/>
      <c r="K292" s="279"/>
      <c r="L292" s="279"/>
      <c r="M292" s="279"/>
      <c r="N292" s="279"/>
      <c r="O292" s="279"/>
      <c r="P292" s="279"/>
    </row>
    <row r="293" spans="1:26" ht="19.5" hidden="1">
      <c r="A293" s="170"/>
      <c r="B293" s="171"/>
      <c r="C293" s="171"/>
      <c r="D293" s="411"/>
      <c r="E293" s="619" t="s">
        <v>132</v>
      </c>
      <c r="F293" s="178"/>
      <c r="G293" s="179"/>
      <c r="H293" s="755" t="s">
        <v>35</v>
      </c>
      <c r="I293" s="184">
        <f ca="1">IFERROR(__xludf.DUMMYFUNCTION("IMPORTRANGE(""https://docs.google.com/spreadsheets/d/1QqKyyYR6Q21VydFLVH3TRQUabQu_ym0Zz7PgGX0-kHA/edit?usp=sharing"",""แผน!EB62"")"),0)</f>
        <v>0</v>
      </c>
      <c r="J293" s="214">
        <v>0</v>
      </c>
      <c r="K293" s="163">
        <f t="shared" ref="K293:K294" ca="1" si="133">IF(I293&gt;0,J293*100/I293,0)</f>
        <v>0</v>
      </c>
      <c r="L293" s="163"/>
      <c r="M293" s="163"/>
      <c r="N293" s="163"/>
      <c r="O293" s="163"/>
      <c r="P293" s="163"/>
    </row>
    <row r="294" spans="1:26" ht="19.5" hidden="1">
      <c r="A294" s="377"/>
      <c r="B294" s="378"/>
      <c r="C294" s="378"/>
      <c r="D294" s="380"/>
      <c r="E294" s="725" t="s">
        <v>333</v>
      </c>
      <c r="F294" s="380"/>
      <c r="G294" s="381"/>
      <c r="H294" s="421" t="s">
        <v>35</v>
      </c>
      <c r="I294" s="422">
        <f ca="1">IFERROR(__xludf.DUMMYFUNCTION("IMPORTRANGE(""https://docs.google.com/spreadsheets/d/1QqKyyYR6Q21VydFLVH3TRQUabQu_ym0Zz7PgGX0-kHA/edit?usp=sharing"",""แผน!EB62"")"),0)</f>
        <v>0</v>
      </c>
      <c r="J294" s="423">
        <v>0</v>
      </c>
      <c r="K294" s="384">
        <f t="shared" ca="1" si="133"/>
        <v>0</v>
      </c>
      <c r="L294" s="384"/>
      <c r="M294" s="384"/>
      <c r="N294" s="384"/>
      <c r="O294" s="384"/>
      <c r="P294" s="384"/>
    </row>
    <row r="295" spans="1:26" ht="19.5" hidden="1">
      <c r="A295" s="424" t="s">
        <v>137</v>
      </c>
      <c r="B295" s="425"/>
      <c r="C295" s="425"/>
      <c r="D295" s="425"/>
      <c r="E295" s="426"/>
      <c r="F295" s="426"/>
      <c r="G295" s="427"/>
      <c r="H295" s="428"/>
      <c r="I295" s="429"/>
      <c r="J295" s="429"/>
      <c r="K295" s="430"/>
      <c r="L295" s="430"/>
      <c r="M295" s="430"/>
      <c r="N295" s="430"/>
      <c r="O295" s="430"/>
      <c r="P295" s="430"/>
    </row>
    <row r="296" spans="1:26" ht="19.5" hidden="1">
      <c r="A296" s="431" t="s">
        <v>138</v>
      </c>
      <c r="B296" s="432"/>
      <c r="C296" s="432"/>
      <c r="D296" s="433"/>
      <c r="E296" s="433"/>
      <c r="F296" s="433"/>
      <c r="G296" s="434"/>
      <c r="H296" s="435"/>
      <c r="I296" s="436"/>
      <c r="J296" s="436"/>
      <c r="K296" s="437"/>
      <c r="L296" s="437"/>
      <c r="M296" s="437"/>
      <c r="N296" s="437"/>
      <c r="O296" s="437"/>
      <c r="P296" s="437"/>
    </row>
    <row r="297" spans="1:26" ht="19.5" hidden="1">
      <c r="A297" s="438"/>
      <c r="B297" s="439" t="s">
        <v>139</v>
      </c>
      <c r="C297" s="440"/>
      <c r="D297" s="440"/>
      <c r="E297" s="440"/>
      <c r="F297" s="440"/>
      <c r="G297" s="441"/>
      <c r="H297" s="442" t="s">
        <v>35</v>
      </c>
      <c r="I297" s="443">
        <f t="shared" ref="I297:J297" ca="1" si="134">I309</f>
        <v>0</v>
      </c>
      <c r="J297" s="443">
        <f t="shared" si="134"/>
        <v>0</v>
      </c>
      <c r="K297" s="444">
        <f ca="1">IF(I297&gt;0,J297*100/I297,0)</f>
        <v>0</v>
      </c>
      <c r="L297" s="445"/>
      <c r="M297" s="445"/>
      <c r="N297" s="445"/>
      <c r="O297" s="445"/>
      <c r="P297" s="445"/>
    </row>
    <row r="298" spans="1:26" ht="19.5" hidden="1">
      <c r="A298" s="147"/>
      <c r="B298" s="148"/>
      <c r="C298" s="149" t="s">
        <v>16</v>
      </c>
      <c r="D298" s="822" t="s">
        <v>17</v>
      </c>
      <c r="E298" s="148"/>
      <c r="F298" s="148"/>
      <c r="G298" s="151"/>
      <c r="H298" s="152" t="s">
        <v>12</v>
      </c>
      <c r="I298" s="419"/>
      <c r="J298" s="419"/>
      <c r="K298" s="154"/>
      <c r="L298" s="155">
        <f t="shared" ref="L298:N298" ca="1" si="135">L299+L300</f>
        <v>0</v>
      </c>
      <c r="M298" s="155">
        <f t="shared" ca="1" si="135"/>
        <v>0</v>
      </c>
      <c r="N298" s="155">
        <f t="shared" ca="1" si="135"/>
        <v>0</v>
      </c>
      <c r="O298" s="155">
        <f t="shared" ref="O298:O306" ca="1" si="136">IF(L298&gt;0,N298*100/L298,0)</f>
        <v>0</v>
      </c>
      <c r="P298" s="155">
        <f t="shared" ref="P298:P306" ca="1" si="137">IF(M298&gt;0,N298*100/M298,0)</f>
        <v>0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2" t="s">
        <v>18</v>
      </c>
      <c r="F299" s="40"/>
      <c r="G299" s="157"/>
      <c r="H299" s="158" t="s">
        <v>12</v>
      </c>
      <c r="I299" s="610"/>
      <c r="J299" s="610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2" t="s">
        <v>19</v>
      </c>
      <c r="F300" s="40"/>
      <c r="G300" s="157"/>
      <c r="H300" s="158" t="s">
        <v>12</v>
      </c>
      <c r="I300" s="610"/>
      <c r="J300" s="610"/>
      <c r="K300" s="93"/>
      <c r="L300" s="93">
        <f t="shared" ca="1" si="138"/>
        <v>0</v>
      </c>
      <c r="M300" s="93">
        <f t="shared" ca="1" si="138"/>
        <v>0</v>
      </c>
      <c r="N300" s="93">
        <f t="shared" ca="1" si="138"/>
        <v>0</v>
      </c>
      <c r="O300" s="93">
        <f t="shared" ca="1" si="136"/>
        <v>0</v>
      </c>
      <c r="P300" s="93">
        <f t="shared" ca="1" si="137"/>
        <v>0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 hidden="1">
      <c r="A301" s="159"/>
      <c r="B301" s="33"/>
      <c r="C301" s="281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6">
        <f t="shared" ref="L301:N301" ca="1" si="139">L302+L303</f>
        <v>0</v>
      </c>
      <c r="M301" s="496">
        <f t="shared" ca="1" si="139"/>
        <v>0</v>
      </c>
      <c r="N301" s="496">
        <f t="shared" ca="1" si="139"/>
        <v>0</v>
      </c>
      <c r="O301" s="496">
        <f t="shared" ca="1" si="136"/>
        <v>0</v>
      </c>
      <c r="P301" s="496">
        <f t="shared" ca="1" si="137"/>
        <v>0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2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2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IFERROR(__xludf.DUMMYFUNCTION("IMPORTRANGE(""https://docs.google.com/spreadsheets/d/1MeEWN-I1oV_STSDYn1IFDPWt_1FKiwhDph83XaGc0o0/edit?usp=sharing"",""งบพรบ!DS62"")"),0)</f>
        <v>0</v>
      </c>
      <c r="M303" s="93">
        <f ca="1">IFERROR(__xludf.DUMMYFUNCTION("IMPORTRANGE(""https://docs.google.com/spreadsheets/d/1MeEWN-I1oV_STSDYn1IFDPWt_1FKiwhDph83XaGc0o0/edit?usp=sharing"",""งบพรบ!DX62"")"),0)</f>
        <v>0</v>
      </c>
      <c r="N303" s="93">
        <f ca="1">IFERROR(__xludf.DUMMYFUNCTION("IMPORTRANGE(""https://docs.google.com/spreadsheets/d/1MeEWN-I1oV_STSDYn1IFDPWt_1FKiwhDph83XaGc0o0/edit?usp=sharing"",""งบพรบ!DZ62"")"),0)</f>
        <v>0</v>
      </c>
      <c r="O303" s="93">
        <f t="shared" ca="1" si="136"/>
        <v>0</v>
      </c>
      <c r="P303" s="93">
        <f t="shared" ca="1" si="137"/>
        <v>0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 hidden="1">
      <c r="A304" s="159"/>
      <c r="B304" s="33"/>
      <c r="C304" s="281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6">
        <f t="shared" ref="L304:N304" ca="1" si="140">L305+L306</f>
        <v>0</v>
      </c>
      <c r="M304" s="496">
        <f t="shared" ca="1" si="140"/>
        <v>0</v>
      </c>
      <c r="N304" s="496">
        <f t="shared" ca="1" si="140"/>
        <v>0</v>
      </c>
      <c r="O304" s="496">
        <f t="shared" ca="1" si="136"/>
        <v>0</v>
      </c>
      <c r="P304" s="496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2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2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IFERROR(__xludf.DUMMYFUNCTION("IMPORTRANGE(""https://docs.google.com/spreadsheets/d/1MeEWN-I1oV_STSDYn1IFDPWt_1FKiwhDph83XaGc0o0/edit?usp=sharing"",""งบพรบ!DV62"")"),0)</f>
        <v>0</v>
      </c>
      <c r="M306" s="93">
        <f ca="1">IFERROR(__xludf.DUMMYFUNCTION("IMPORTRANGE(""https://docs.google.com/spreadsheets/d/1MeEWN-I1oV_STSDYn1IFDPWt_1FKiwhDph83XaGc0o0/edit?usp=sharing"",""งบพรบ!DY62"")"),0)</f>
        <v>0</v>
      </c>
      <c r="N306" s="93">
        <f ca="1">IFERROR(__xludf.DUMMYFUNCTION("IMPORTRANGE(""https://docs.google.com/spreadsheets/d/1MeEWN-I1oV_STSDYn1IFDPWt_1FKiwhDph83XaGc0o0/edit?usp=sharing"",""งบพรบ!EA62"")"),0)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 hidden="1">
      <c r="A307" s="170"/>
      <c r="B307" s="171"/>
      <c r="C307" s="164" t="s">
        <v>16</v>
      </c>
      <c r="D307" s="823" t="s">
        <v>38</v>
      </c>
      <c r="E307" s="173"/>
      <c r="F307" s="173"/>
      <c r="G307" s="174"/>
      <c r="H307" s="753"/>
      <c r="I307" s="269"/>
      <c r="J307" s="269"/>
      <c r="K307" s="496"/>
      <c r="L307" s="496"/>
      <c r="M307" s="496"/>
      <c r="N307" s="496"/>
      <c r="O307" s="496"/>
      <c r="P307" s="496"/>
    </row>
    <row r="308" spans="1:26" ht="18.75" hidden="1">
      <c r="A308" s="170"/>
      <c r="B308" s="171"/>
      <c r="C308" s="171"/>
      <c r="D308" s="446" t="s">
        <v>140</v>
      </c>
      <c r="E308" s="446"/>
      <c r="F308" s="446"/>
      <c r="G308" s="179"/>
      <c r="H308" s="755"/>
      <c r="I308" s="269"/>
      <c r="J308" s="214">
        <v>0</v>
      </c>
      <c r="K308" s="496"/>
      <c r="L308" s="496"/>
      <c r="M308" s="496"/>
      <c r="N308" s="496"/>
      <c r="O308" s="496"/>
      <c r="P308" s="496"/>
    </row>
    <row r="309" spans="1:26" ht="18.75" hidden="1">
      <c r="A309" s="170"/>
      <c r="B309" s="171"/>
      <c r="C309" s="171"/>
      <c r="D309" s="446" t="s">
        <v>141</v>
      </c>
      <c r="E309" s="446"/>
      <c r="F309" s="446"/>
      <c r="G309" s="179"/>
      <c r="H309" s="755" t="s">
        <v>35</v>
      </c>
      <c r="I309" s="269">
        <f ca="1">IFERROR(__xludf.DUMMYFUNCTION("IMPORTRANGE(""https://docs.google.com/spreadsheets/d/1QqKyyYR6Q21VydFLVH3TRQUabQu_ym0Zz7PgGX0-kHA/edit?usp=sharing"",""แผน!ED62"")"),0)</f>
        <v>0</v>
      </c>
      <c r="J309" s="214">
        <v>0</v>
      </c>
      <c r="K309" s="496">
        <f t="shared" ref="K309:K312" ca="1" si="141">IF(I309&gt;0,J309*100/I309,0)</f>
        <v>0</v>
      </c>
      <c r="L309" s="496"/>
      <c r="M309" s="496"/>
      <c r="N309" s="496"/>
      <c r="O309" s="496"/>
      <c r="P309" s="496"/>
    </row>
    <row r="310" spans="1:26" ht="18.75" hidden="1">
      <c r="A310" s="170"/>
      <c r="B310" s="171"/>
      <c r="C310" s="171"/>
      <c r="D310" s="446" t="s">
        <v>142</v>
      </c>
      <c r="E310" s="446"/>
      <c r="F310" s="446"/>
      <c r="G310" s="179"/>
      <c r="H310" s="755" t="s">
        <v>35</v>
      </c>
      <c r="I310" s="269">
        <f ca="1">IFERROR(__xludf.DUMMYFUNCTION("IMPORTRANGE(""https://docs.google.com/spreadsheets/d/1QqKyyYR6Q21VydFLVH3TRQUabQu_ym0Zz7PgGX0-kHA/edit?usp=sharing"",""แผน!ED62"")"),0)</f>
        <v>0</v>
      </c>
      <c r="J310" s="214">
        <v>0</v>
      </c>
      <c r="K310" s="496">
        <f t="shared" ca="1" si="141"/>
        <v>0</v>
      </c>
      <c r="L310" s="496"/>
      <c r="M310" s="496"/>
      <c r="N310" s="496"/>
      <c r="O310" s="496"/>
      <c r="P310" s="496"/>
    </row>
    <row r="311" spans="1:26" ht="18.75" hidden="1">
      <c r="A311" s="170"/>
      <c r="B311" s="171"/>
      <c r="C311" s="171"/>
      <c r="D311" s="446" t="s">
        <v>59</v>
      </c>
      <c r="E311" s="446"/>
      <c r="F311" s="446"/>
      <c r="G311" s="179"/>
      <c r="H311" s="755" t="s">
        <v>35</v>
      </c>
      <c r="I311" s="269">
        <f ca="1">IFERROR(__xludf.DUMMYFUNCTION("IMPORTRANGE(""https://docs.google.com/spreadsheets/d/1QqKyyYR6Q21VydFLVH3TRQUabQu_ym0Zz7PgGX0-kHA/edit?usp=sharing"",""แผน!ED62"")"),0)</f>
        <v>0</v>
      </c>
      <c r="J311" s="214">
        <v>0</v>
      </c>
      <c r="K311" s="496">
        <f t="shared" ca="1" si="141"/>
        <v>0</v>
      </c>
      <c r="L311" s="496"/>
      <c r="M311" s="496"/>
      <c r="N311" s="496"/>
      <c r="O311" s="496"/>
      <c r="P311" s="496"/>
    </row>
    <row r="312" spans="1:26" ht="18.75" hidden="1">
      <c r="A312" s="170"/>
      <c r="B312" s="171"/>
      <c r="C312" s="171"/>
      <c r="D312" s="446" t="s">
        <v>143</v>
      </c>
      <c r="E312" s="446"/>
      <c r="F312" s="446"/>
      <c r="G312" s="179"/>
      <c r="H312" s="755" t="s">
        <v>35</v>
      </c>
      <c r="I312" s="269">
        <f ca="1">IFERROR(__xludf.DUMMYFUNCTION("IMPORTRANGE(""https://docs.google.com/spreadsheets/d/1QqKyyYR6Q21VydFLVH3TRQUabQu_ym0Zz7PgGX0-kHA/edit?usp=sharing"",""แผน!EE62"")"),0)</f>
        <v>0</v>
      </c>
      <c r="J312" s="214">
        <v>0</v>
      </c>
      <c r="K312" s="496">
        <f t="shared" ca="1" si="141"/>
        <v>0</v>
      </c>
      <c r="L312" s="496"/>
      <c r="M312" s="496"/>
      <c r="N312" s="496"/>
      <c r="O312" s="496"/>
      <c r="P312" s="496"/>
    </row>
    <row r="313" spans="1:26" ht="19.5" hidden="1">
      <c r="A313" s="431" t="s">
        <v>144</v>
      </c>
      <c r="B313" s="432"/>
      <c r="C313" s="432"/>
      <c r="D313" s="433"/>
      <c r="E313" s="432"/>
      <c r="F313" s="432"/>
      <c r="G313" s="432"/>
      <c r="H313" s="448"/>
      <c r="I313" s="436"/>
      <c r="J313" s="436"/>
      <c r="K313" s="437"/>
      <c r="L313" s="437"/>
      <c r="M313" s="437"/>
      <c r="N313" s="437"/>
      <c r="O313" s="437"/>
      <c r="P313" s="437"/>
    </row>
    <row r="314" spans="1:26" ht="19.5" hidden="1">
      <c r="A314" s="449"/>
      <c r="B314" s="439" t="s">
        <v>145</v>
      </c>
      <c r="C314" s="450"/>
      <c r="D314" s="451"/>
      <c r="E314" s="440"/>
      <c r="F314" s="440"/>
      <c r="G314" s="441"/>
      <c r="H314" s="442" t="s">
        <v>146</v>
      </c>
      <c r="I314" s="443">
        <f t="shared" ref="I314:J314" ca="1" si="142">I325</f>
        <v>0</v>
      </c>
      <c r="J314" s="443">
        <f t="shared" si="142"/>
        <v>0</v>
      </c>
      <c r="K314" s="444">
        <f ca="1">IF(I314&gt;0,J314*100/I314,0)</f>
        <v>0</v>
      </c>
      <c r="L314" s="445"/>
      <c r="M314" s="445"/>
      <c r="N314" s="445"/>
      <c r="O314" s="445"/>
      <c r="P314" s="445"/>
    </row>
    <row r="315" spans="1:26" ht="19.5" hidden="1">
      <c r="A315" s="147"/>
      <c r="B315" s="148"/>
      <c r="C315" s="149" t="s">
        <v>16</v>
      </c>
      <c r="D315" s="822" t="s">
        <v>17</v>
      </c>
      <c r="E315" s="148"/>
      <c r="F315" s="148"/>
      <c r="G315" s="151"/>
      <c r="H315" s="152" t="s">
        <v>12</v>
      </c>
      <c r="I315" s="419"/>
      <c r="J315" s="419"/>
      <c r="K315" s="154"/>
      <c r="L315" s="155">
        <f t="shared" ref="L315:N315" ca="1" si="143">L316+L317</f>
        <v>0</v>
      </c>
      <c r="M315" s="155">
        <f t="shared" ca="1" si="143"/>
        <v>0</v>
      </c>
      <c r="N315" s="155">
        <f t="shared" ca="1" si="143"/>
        <v>0</v>
      </c>
      <c r="O315" s="155">
        <f t="shared" ref="O315:O323" ca="1" si="144">IF(L315&gt;0,N315*100/L315,0)</f>
        <v>0</v>
      </c>
      <c r="P315" s="155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2" t="s">
        <v>18</v>
      </c>
      <c r="F316" s="40"/>
      <c r="G316" s="157"/>
      <c r="H316" s="158" t="s">
        <v>12</v>
      </c>
      <c r="I316" s="610"/>
      <c r="J316" s="610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2" t="s">
        <v>19</v>
      </c>
      <c r="F317" s="40"/>
      <c r="G317" s="157"/>
      <c r="H317" s="158" t="s">
        <v>12</v>
      </c>
      <c r="I317" s="610"/>
      <c r="J317" s="610"/>
      <c r="K317" s="93"/>
      <c r="L317" s="93">
        <f t="shared" ca="1" si="146"/>
        <v>0</v>
      </c>
      <c r="M317" s="93">
        <f t="shared" ca="1" si="146"/>
        <v>0</v>
      </c>
      <c r="N317" s="93">
        <f t="shared" ca="1" si="146"/>
        <v>0</v>
      </c>
      <c r="O317" s="93">
        <f t="shared" ca="1" si="144"/>
        <v>0</v>
      </c>
      <c r="P317" s="93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1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6">
        <f t="shared" ref="L318:N318" ca="1" si="147">L319+L320</f>
        <v>0</v>
      </c>
      <c r="M318" s="496">
        <f t="shared" ca="1" si="147"/>
        <v>0</v>
      </c>
      <c r="N318" s="496">
        <f t="shared" ca="1" si="147"/>
        <v>0</v>
      </c>
      <c r="O318" s="496">
        <f t="shared" ca="1" si="144"/>
        <v>0</v>
      </c>
      <c r="P318" s="496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2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2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IFERROR(__xludf.DUMMYFUNCTION("IMPORTRANGE(""https://docs.google.com/spreadsheets/d/1MeEWN-I1oV_STSDYn1IFDPWt_1FKiwhDph83XaGc0o0/edit?usp=sharing"",""งบพรบ!EC62"")"),0)</f>
        <v>0</v>
      </c>
      <c r="M320" s="93">
        <f ca="1">IFERROR(__xludf.DUMMYFUNCTION("IMPORTRANGE(""https://docs.google.com/spreadsheets/d/1MeEWN-I1oV_STSDYn1IFDPWt_1FKiwhDph83XaGc0o0/edit?usp=sharing"",""งบพรบ!EH62"")"),0)</f>
        <v>0</v>
      </c>
      <c r="N320" s="93">
        <f ca="1">IFERROR(__xludf.DUMMYFUNCTION("IMPORTRANGE(""https://docs.google.com/spreadsheets/d/1MeEWN-I1oV_STSDYn1IFDPWt_1FKiwhDph83XaGc0o0/edit?usp=sharing"",""งบพรบ!EJ62"")"),0)</f>
        <v>0</v>
      </c>
      <c r="O320" s="93">
        <f t="shared" ca="1" si="144"/>
        <v>0</v>
      </c>
      <c r="P320" s="93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1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6">
        <f t="shared" ref="L321:N321" ca="1" si="148">L322+L323</f>
        <v>0</v>
      </c>
      <c r="M321" s="496">
        <f t="shared" ca="1" si="148"/>
        <v>0</v>
      </c>
      <c r="N321" s="496">
        <f t="shared" ca="1" si="148"/>
        <v>0</v>
      </c>
      <c r="O321" s="496">
        <f t="shared" ca="1" si="144"/>
        <v>0</v>
      </c>
      <c r="P321" s="496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2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2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IFERROR(__xludf.DUMMYFUNCTION("IMPORTRANGE(""https://docs.google.com/spreadsheets/d/1MeEWN-I1oV_STSDYn1IFDPWt_1FKiwhDph83XaGc0o0/edit?usp=sharing"",""งบพรบ!EF62"")"),0)</f>
        <v>0</v>
      </c>
      <c r="M323" s="93">
        <f ca="1">IFERROR(__xludf.DUMMYFUNCTION("IMPORTRANGE(""https://docs.google.com/spreadsheets/d/1MeEWN-I1oV_STSDYn1IFDPWt_1FKiwhDph83XaGc0o0/edit?usp=sharing"",""งบพรบ!EI62"")"),0)</f>
        <v>0</v>
      </c>
      <c r="N323" s="93">
        <f ca="1">IFERROR(__xludf.DUMMYFUNCTION("IMPORTRANGE(""https://docs.google.com/spreadsheets/d/1MeEWN-I1oV_STSDYn1IFDPWt_1FKiwhDph83XaGc0o0/edit?usp=sharing"",""งบพรบ!EK62"")"),0)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23" t="s">
        <v>38</v>
      </c>
      <c r="E324" s="173"/>
      <c r="F324" s="173"/>
      <c r="G324" s="174"/>
      <c r="H324" s="753"/>
      <c r="I324" s="184"/>
      <c r="J324" s="269"/>
      <c r="K324" s="496"/>
      <c r="L324" s="496"/>
      <c r="M324" s="496"/>
      <c r="N324" s="496"/>
      <c r="O324" s="163"/>
      <c r="P324" s="163"/>
    </row>
    <row r="325" spans="1:26" ht="18.75" hidden="1">
      <c r="A325" s="170"/>
      <c r="B325" s="171"/>
      <c r="C325" s="171"/>
      <c r="D325" s="176" t="s">
        <v>147</v>
      </c>
      <c r="E325" s="178"/>
      <c r="F325" s="446"/>
      <c r="G325" s="179"/>
      <c r="H325" s="616" t="s">
        <v>146</v>
      </c>
      <c r="I325" s="269">
        <f ca="1">IFERROR(__xludf.DUMMYFUNCTION("IMPORTRANGE(""https://docs.google.com/spreadsheets/d/1QqKyyYR6Q21VydFLVH3TRQUabQu_ym0Zz7PgGX0-kHA/edit?usp=sharing"",""แผน!EF62"")"),0)</f>
        <v>0</v>
      </c>
      <c r="J325" s="214">
        <v>0</v>
      </c>
      <c r="K325" s="496">
        <f ca="1">IF(I325&gt;0,J325*100/I325,0)</f>
        <v>0</v>
      </c>
      <c r="L325" s="496"/>
      <c r="M325" s="496"/>
      <c r="N325" s="496"/>
      <c r="O325" s="163"/>
      <c r="P325" s="163"/>
    </row>
    <row r="326" spans="1:26" ht="19.5">
      <c r="A326" s="431" t="s">
        <v>148</v>
      </c>
      <c r="B326" s="432"/>
      <c r="C326" s="432"/>
      <c r="D326" s="433"/>
      <c r="E326" s="432"/>
      <c r="F326" s="432"/>
      <c r="G326" s="432"/>
      <c r="H326" s="448"/>
      <c r="I326" s="436"/>
      <c r="J326" s="436"/>
      <c r="K326" s="437"/>
      <c r="L326" s="437"/>
      <c r="M326" s="437"/>
      <c r="N326" s="437"/>
      <c r="O326" s="437"/>
      <c r="P326" s="437"/>
    </row>
    <row r="327" spans="1:26" ht="19.5">
      <c r="A327" s="438"/>
      <c r="B327" s="439" t="s">
        <v>149</v>
      </c>
      <c r="C327" s="451"/>
      <c r="D327" s="440"/>
      <c r="E327" s="440"/>
      <c r="F327" s="440"/>
      <c r="G327" s="441"/>
      <c r="H327" s="442" t="s">
        <v>35</v>
      </c>
      <c r="I327" s="443">
        <f ca="1">IFERROR(__xludf.DUMMYFUNCTION("IMPORTRANGE(""https://docs.google.com/spreadsheets/d/1QqKyyYR6Q21VydFLVH3TRQUabQu_ym0Zz7PgGX0-kHA/edit?usp=sharing"",""แผน!EG62"")"),800)</f>
        <v>800</v>
      </c>
      <c r="J327" s="443">
        <f ca="1">J338+J341+J342+J343</f>
        <v>398</v>
      </c>
      <c r="K327" s="444">
        <f ca="1">IF(I327&gt;0,J327*100/I327,0)</f>
        <v>49.75</v>
      </c>
      <c r="L327" s="445"/>
      <c r="M327" s="445"/>
      <c r="N327" s="445"/>
      <c r="O327" s="445"/>
      <c r="P327" s="445"/>
    </row>
    <row r="328" spans="1:26" ht="19.5">
      <c r="A328" s="147"/>
      <c r="B328" s="148"/>
      <c r="C328" s="149" t="s">
        <v>16</v>
      </c>
      <c r="D328" s="822" t="s">
        <v>17</v>
      </c>
      <c r="E328" s="148"/>
      <c r="F328" s="148"/>
      <c r="G328" s="151"/>
      <c r="H328" s="152" t="s">
        <v>12</v>
      </c>
      <c r="I328" s="419"/>
      <c r="J328" s="419"/>
      <c r="K328" s="154"/>
      <c r="L328" s="155">
        <f t="shared" ref="L328:N328" ca="1" si="149">L329+L330</f>
        <v>159000</v>
      </c>
      <c r="M328" s="155">
        <f t="shared" ca="1" si="149"/>
        <v>79500</v>
      </c>
      <c r="N328" s="155">
        <f t="shared" ca="1" si="149"/>
        <v>16610</v>
      </c>
      <c r="O328" s="155">
        <f t="shared" ref="O328:O336" ca="1" si="150">IF(L328&gt;0,N328*100/L328,0)</f>
        <v>10.446540880503145</v>
      </c>
      <c r="P328" s="155">
        <f t="shared" ref="P328:P336" ca="1" si="151">IF(M328&gt;0,N328*100/M328,0)</f>
        <v>20.89308176100629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2" t="s">
        <v>18</v>
      </c>
      <c r="F329" s="40"/>
      <c r="G329" s="157"/>
      <c r="H329" s="158" t="s">
        <v>12</v>
      </c>
      <c r="I329" s="610"/>
      <c r="J329" s="610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2" t="s">
        <v>19</v>
      </c>
      <c r="F330" s="40"/>
      <c r="G330" s="157"/>
      <c r="H330" s="158" t="s">
        <v>12</v>
      </c>
      <c r="I330" s="610"/>
      <c r="J330" s="610"/>
      <c r="K330" s="93"/>
      <c r="L330" s="93">
        <f t="shared" ca="1" si="152"/>
        <v>159000</v>
      </c>
      <c r="M330" s="93">
        <f t="shared" ca="1" si="152"/>
        <v>79500</v>
      </c>
      <c r="N330" s="93">
        <f t="shared" ca="1" si="152"/>
        <v>16610</v>
      </c>
      <c r="O330" s="93">
        <f t="shared" ca="1" si="150"/>
        <v>10.446540880503145</v>
      </c>
      <c r="P330" s="93">
        <f t="shared" ca="1" si="151"/>
        <v>20.89308176100629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1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6">
        <f t="shared" ref="L331:N331" ca="1" si="153">L332+L333</f>
        <v>159000</v>
      </c>
      <c r="M331" s="496">
        <f t="shared" ca="1" si="153"/>
        <v>79500</v>
      </c>
      <c r="N331" s="496">
        <f t="shared" ca="1" si="153"/>
        <v>16610</v>
      </c>
      <c r="O331" s="496">
        <f t="shared" ca="1" si="150"/>
        <v>10.446540880503145</v>
      </c>
      <c r="P331" s="496">
        <f t="shared" ca="1" si="151"/>
        <v>20.89308176100629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2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2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IFERROR(__xludf.DUMMYFUNCTION("IMPORTRANGE(""https://docs.google.com/spreadsheets/d/1MeEWN-I1oV_STSDYn1IFDPWt_1FKiwhDph83XaGc0o0/edit?usp=sharing"",""งบพรบ!EM62"")"),159000)</f>
        <v>159000</v>
      </c>
      <c r="M333" s="93">
        <f ca="1">IFERROR(__xludf.DUMMYFUNCTION("IMPORTRANGE(""https://docs.google.com/spreadsheets/d/1MeEWN-I1oV_STSDYn1IFDPWt_1FKiwhDph83XaGc0o0/edit?usp=sharing"",""งบพรบ!ER62"")"),79500)</f>
        <v>79500</v>
      </c>
      <c r="N333" s="93">
        <f ca="1">IFERROR(__xludf.DUMMYFUNCTION("IMPORTRANGE(""https://docs.google.com/spreadsheets/d/1MeEWN-I1oV_STSDYn1IFDPWt_1FKiwhDph83XaGc0o0/edit?usp=sharing"",""งบพรบ!ET62"")"),16610)</f>
        <v>16610</v>
      </c>
      <c r="O333" s="93">
        <f t="shared" ca="1" si="150"/>
        <v>10.446540880503145</v>
      </c>
      <c r="P333" s="93">
        <f t="shared" ca="1" si="151"/>
        <v>20.89308176100629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1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6">
        <f t="shared" ref="L334:N334" ca="1" si="154">L335+L336</f>
        <v>0</v>
      </c>
      <c r="M334" s="496">
        <f t="shared" ca="1" si="154"/>
        <v>0</v>
      </c>
      <c r="N334" s="496">
        <f t="shared" ca="1" si="154"/>
        <v>0</v>
      </c>
      <c r="O334" s="496">
        <f t="shared" ca="1" si="150"/>
        <v>0</v>
      </c>
      <c r="P334" s="496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2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2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IFERROR(__xludf.DUMMYFUNCTION("IMPORTRANGE(""https://docs.google.com/spreadsheets/d/1MeEWN-I1oV_STSDYn1IFDPWt_1FKiwhDph83XaGc0o0/edit?usp=sharing"",""งบพรบ!EP62"")"),0)</f>
        <v>0</v>
      </c>
      <c r="M336" s="93">
        <f ca="1">IFERROR(__xludf.DUMMYFUNCTION("IMPORTRANGE(""https://docs.google.com/spreadsheets/d/1MeEWN-I1oV_STSDYn1IFDPWt_1FKiwhDph83XaGc0o0/edit?usp=sharing"",""งบพรบ!ES62"")"),0)</f>
        <v>0</v>
      </c>
      <c r="N336" s="93">
        <f ca="1">IFERROR(__xludf.DUMMYFUNCTION("IMPORTRANGE(""https://docs.google.com/spreadsheets/d/1MeEWN-I1oV_STSDYn1IFDPWt_1FKiwhDph83XaGc0o0/edit?usp=sharing"",""งบพรบ!EU62"")"),0)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23" t="s">
        <v>38</v>
      </c>
      <c r="E337" s="173"/>
      <c r="F337" s="173"/>
      <c r="G337" s="174"/>
      <c r="H337" s="753"/>
      <c r="I337" s="184"/>
      <c r="J337" s="269"/>
      <c r="K337" s="496"/>
      <c r="L337" s="496"/>
      <c r="M337" s="496"/>
      <c r="N337" s="496"/>
      <c r="O337" s="163"/>
      <c r="P337" s="163"/>
    </row>
    <row r="338" spans="1:26" ht="18.75">
      <c r="A338" s="284"/>
      <c r="B338" s="33"/>
      <c r="C338" s="280"/>
      <c r="D338" s="446" t="s">
        <v>150</v>
      </c>
      <c r="E338" s="171"/>
      <c r="F338" s="33"/>
      <c r="G338" s="35"/>
      <c r="H338" s="276" t="s">
        <v>35</v>
      </c>
      <c r="I338" s="269">
        <f ca="1">IFERROR(__xludf.DUMMYFUNCTION("IMPORTRANGE(""https://docs.google.com/spreadsheets/d/1QqKyyYR6Q21VydFLVH3TRQUabQu_ym0Zz7PgGX0-kHA/edit?usp=sharing"",""แผน!EG62"")"),800)</f>
        <v>800</v>
      </c>
      <c r="J338" s="269">
        <f ca="1">IFERROR(__xludf.DUMMYFUNCTION("IMPORTRANGE(""https://docs.google.com/spreadsheets/d/1kVcqe37tkHyjCSG3S0O1AXqVkqjo8mSIZil3BcpIysc/edit?usp=sharing"",""ศูนย์!D62"")"),351)</f>
        <v>351</v>
      </c>
      <c r="K338" s="496">
        <f ca="1">IF(I338&gt;0,J338*100/I338,0)</f>
        <v>43.875</v>
      </c>
      <c r="L338" s="496"/>
      <c r="M338" s="496"/>
      <c r="N338" s="496"/>
      <c r="O338" s="496"/>
      <c r="P338" s="496"/>
    </row>
    <row r="339" spans="1:26" ht="18.75">
      <c r="A339" s="284"/>
      <c r="B339" s="33"/>
      <c r="C339" s="280"/>
      <c r="D339" s="446" t="s">
        <v>151</v>
      </c>
      <c r="E339" s="171"/>
      <c r="F339" s="33"/>
      <c r="G339" s="35"/>
      <c r="H339" s="276"/>
      <c r="I339" s="269"/>
      <c r="J339" s="269"/>
      <c r="K339" s="496"/>
      <c r="L339" s="496"/>
      <c r="M339" s="496"/>
      <c r="N339" s="496"/>
      <c r="O339" s="496"/>
      <c r="P339" s="496"/>
    </row>
    <row r="340" spans="1:26" ht="18.75">
      <c r="A340" s="284"/>
      <c r="B340" s="33"/>
      <c r="C340" s="280"/>
      <c r="D340" s="178"/>
      <c r="E340" s="446" t="s">
        <v>152</v>
      </c>
      <c r="F340" s="33"/>
      <c r="G340" s="35"/>
      <c r="H340" s="276" t="s">
        <v>153</v>
      </c>
      <c r="I340" s="269">
        <f ca="1">IFERROR(__xludf.DUMMYFUNCTION("IMPORTRANGE(""https://docs.google.com/spreadsheets/d/1QqKyyYR6Q21VydFLVH3TRQUabQu_ym0Zz7PgGX0-kHA/edit?usp=sharing"",""แผน!EH62"")"),3)</f>
        <v>3</v>
      </c>
      <c r="J340" s="269">
        <f ca="1">IFERROR(__xludf.DUMMYFUNCTION("IMPORTRANGE(""https://docs.google.com/spreadsheets/d/1kVcqe37tkHyjCSG3S0O1AXqVkqjo8mSIZil3BcpIysc/edit?usp=sharing"",""ศูนย์!E62"")"),0)</f>
        <v>0</v>
      </c>
      <c r="K340" s="496">
        <f ca="1">IF(I340&gt;0,J340*100/I340,0)</f>
        <v>0</v>
      </c>
      <c r="L340" s="496"/>
      <c r="M340" s="496"/>
      <c r="N340" s="496"/>
      <c r="O340" s="496"/>
      <c r="P340" s="496"/>
    </row>
    <row r="341" spans="1:26" ht="18.75">
      <c r="A341" s="284"/>
      <c r="B341" s="33"/>
      <c r="C341" s="280"/>
      <c r="D341" s="178"/>
      <c r="E341" s="446" t="s">
        <v>154</v>
      </c>
      <c r="F341" s="33"/>
      <c r="G341" s="35"/>
      <c r="H341" s="276" t="s">
        <v>35</v>
      </c>
      <c r="I341" s="269"/>
      <c r="J341" s="269">
        <f ca="1">IFERROR(__xludf.DUMMYFUNCTION("IMPORTRANGE(""https://docs.google.com/spreadsheets/d/1kVcqe37tkHyjCSG3S0O1AXqVkqjo8mSIZil3BcpIysc/edit?usp=sharing"",""ศูนย์!F62"")"),0)</f>
        <v>0</v>
      </c>
      <c r="K341" s="496"/>
      <c r="L341" s="496"/>
      <c r="M341" s="496"/>
      <c r="N341" s="496"/>
      <c r="O341" s="496"/>
      <c r="P341" s="496"/>
    </row>
    <row r="342" spans="1:26" ht="18.75">
      <c r="A342" s="284"/>
      <c r="B342" s="33"/>
      <c r="C342" s="280"/>
      <c r="D342" s="446" t="s">
        <v>155</v>
      </c>
      <c r="E342" s="178"/>
      <c r="F342" s="178"/>
      <c r="G342" s="35"/>
      <c r="H342" s="276" t="s">
        <v>35</v>
      </c>
      <c r="I342" s="269"/>
      <c r="J342" s="269">
        <f ca="1">IFERROR(__xludf.DUMMYFUNCTION("IMPORTRANGE(""https://docs.google.com/spreadsheets/d/1kVcqe37tkHyjCSG3S0O1AXqVkqjo8mSIZil3BcpIysc/edit?usp=sharing"",""ศูนย์!G62"")"),0)</f>
        <v>0</v>
      </c>
      <c r="K342" s="496"/>
      <c r="L342" s="496"/>
      <c r="M342" s="496"/>
      <c r="N342" s="496"/>
      <c r="O342" s="496"/>
      <c r="P342" s="496"/>
    </row>
    <row r="343" spans="1:26" ht="18.75">
      <c r="A343" s="284"/>
      <c r="B343" s="33"/>
      <c r="C343" s="280"/>
      <c r="D343" s="446" t="s">
        <v>156</v>
      </c>
      <c r="E343" s="178"/>
      <c r="F343" s="178"/>
      <c r="G343" s="35"/>
      <c r="H343" s="276" t="s">
        <v>35</v>
      </c>
      <c r="I343" s="269"/>
      <c r="J343" s="269">
        <f ca="1">IFERROR(__xludf.DUMMYFUNCTION("IMPORTRANGE(""https://docs.google.com/spreadsheets/d/1kVcqe37tkHyjCSG3S0O1AXqVkqjo8mSIZil3BcpIysc/edit?usp=sharing"",""ศูนย์!H62"")"),47)</f>
        <v>47</v>
      </c>
      <c r="K343" s="496"/>
      <c r="L343" s="496"/>
      <c r="M343" s="496"/>
      <c r="N343" s="496"/>
      <c r="O343" s="496"/>
      <c r="P343" s="496"/>
    </row>
    <row r="344" spans="1:26" ht="19.5">
      <c r="A344" s="438"/>
      <c r="B344" s="439" t="s">
        <v>157</v>
      </c>
      <c r="C344" s="451"/>
      <c r="D344" s="440"/>
      <c r="E344" s="440"/>
      <c r="F344" s="440"/>
      <c r="G344" s="441"/>
      <c r="H344" s="442"/>
      <c r="I344" s="452"/>
      <c r="J344" s="452"/>
      <c r="K344" s="445"/>
      <c r="L344" s="445"/>
      <c r="M344" s="445"/>
      <c r="N344" s="445"/>
      <c r="O344" s="445"/>
      <c r="P344" s="445"/>
    </row>
    <row r="345" spans="1:26" ht="19.5">
      <c r="A345" s="147"/>
      <c r="B345" s="148"/>
      <c r="C345" s="149" t="s">
        <v>16</v>
      </c>
      <c r="D345" s="822" t="s">
        <v>17</v>
      </c>
      <c r="E345" s="148"/>
      <c r="F345" s="148"/>
      <c r="G345" s="151"/>
      <c r="H345" s="152" t="s">
        <v>12</v>
      </c>
      <c r="I345" s="419"/>
      <c r="J345" s="419"/>
      <c r="K345" s="154"/>
      <c r="L345" s="155">
        <f t="shared" ref="L345:N345" ca="1" si="155">L346+L347</f>
        <v>636860</v>
      </c>
      <c r="M345" s="155">
        <f t="shared" ca="1" si="155"/>
        <v>394230</v>
      </c>
      <c r="N345" s="155">
        <f t="shared" ca="1" si="155"/>
        <v>188229.04</v>
      </c>
      <c r="O345" s="155">
        <f t="shared" ref="O345:O353" ca="1" si="156">IF(L345&gt;0,N345*100/L345,0)</f>
        <v>29.55579562227177</v>
      </c>
      <c r="P345" s="155">
        <f t="shared" ref="P345:P353" ca="1" si="157">IF(M345&gt;0,N345*100/M345,0)</f>
        <v>47.745995992187304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2" t="s">
        <v>18</v>
      </c>
      <c r="F346" s="40"/>
      <c r="G346" s="157"/>
      <c r="H346" s="158" t="s">
        <v>12</v>
      </c>
      <c r="I346" s="610"/>
      <c r="J346" s="610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2" t="s">
        <v>19</v>
      </c>
      <c r="F347" s="40"/>
      <c r="G347" s="157"/>
      <c r="H347" s="158" t="s">
        <v>12</v>
      </c>
      <c r="I347" s="610"/>
      <c r="J347" s="610"/>
      <c r="K347" s="93"/>
      <c r="L347" s="93">
        <f t="shared" ca="1" si="158"/>
        <v>636860</v>
      </c>
      <c r="M347" s="93">
        <f t="shared" ca="1" si="158"/>
        <v>394230</v>
      </c>
      <c r="N347" s="93">
        <f t="shared" ca="1" si="158"/>
        <v>188229.04</v>
      </c>
      <c r="O347" s="93">
        <f t="shared" ca="1" si="156"/>
        <v>29.55579562227177</v>
      </c>
      <c r="P347" s="93">
        <f t="shared" ca="1" si="157"/>
        <v>47.745995992187304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1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6">
        <f t="shared" ref="L348:N348" ca="1" si="159">L349+L350</f>
        <v>485260</v>
      </c>
      <c r="M348" s="496">
        <f t="shared" ca="1" si="159"/>
        <v>242630</v>
      </c>
      <c r="N348" s="496">
        <f t="shared" ca="1" si="159"/>
        <v>36629.040000000001</v>
      </c>
      <c r="O348" s="496">
        <f t="shared" ca="1" si="156"/>
        <v>7.5483328524914475</v>
      </c>
      <c r="P348" s="496">
        <f t="shared" ca="1" si="157"/>
        <v>15.096665704982895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2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2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IFERROR(__xludf.DUMMYFUNCTION("IMPORTRANGE(""https://docs.google.com/spreadsheets/d/1MeEWN-I1oV_STSDYn1IFDPWt_1FKiwhDph83XaGc0o0/edit?usp=sharing"",""งบพรบ!EW62"")"),485260)</f>
        <v>485260</v>
      </c>
      <c r="M350" s="93">
        <f ca="1">IFERROR(__xludf.DUMMYFUNCTION("IMPORTRANGE(""https://docs.google.com/spreadsheets/d/1MeEWN-I1oV_STSDYn1IFDPWt_1FKiwhDph83XaGc0o0/edit?usp=sharing"",""งบพรบ!FB62"")"),242630)</f>
        <v>242630</v>
      </c>
      <c r="N350" s="93">
        <f ca="1">IFERROR(__xludf.DUMMYFUNCTION("IMPORTRANGE(""https://docs.google.com/spreadsheets/d/1MeEWN-I1oV_STSDYn1IFDPWt_1FKiwhDph83XaGc0o0/edit?usp=sharing"",""งบพรบ!FD62"")"),36629.04)</f>
        <v>36629.040000000001</v>
      </c>
      <c r="O350" s="93">
        <f t="shared" ca="1" si="156"/>
        <v>7.5483328524914475</v>
      </c>
      <c r="P350" s="93">
        <f t="shared" ca="1" si="157"/>
        <v>15.096665704982895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1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6">
        <f t="shared" ref="L351:N351" ca="1" si="160">L352+L353</f>
        <v>151600</v>
      </c>
      <c r="M351" s="496">
        <f t="shared" ca="1" si="160"/>
        <v>151600</v>
      </c>
      <c r="N351" s="496">
        <f t="shared" ca="1" si="160"/>
        <v>151600</v>
      </c>
      <c r="O351" s="496">
        <f t="shared" ca="1" si="156"/>
        <v>100</v>
      </c>
      <c r="P351" s="496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2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2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IFERROR(__xludf.DUMMYFUNCTION("IMPORTRANGE(""https://docs.google.com/spreadsheets/d/1MeEWN-I1oV_STSDYn1IFDPWt_1FKiwhDph83XaGc0o0/edit?usp=sharing"",""งบพรบ!EZ62"")"),151600)</f>
        <v>151600</v>
      </c>
      <c r="M353" s="93">
        <f ca="1">IFERROR(__xludf.DUMMYFUNCTION("IMPORTRANGE(""https://docs.google.com/spreadsheets/d/1MeEWN-I1oV_STSDYn1IFDPWt_1FKiwhDph83XaGc0o0/edit?usp=sharing"",""งบพรบ!FC62"")"),151600)</f>
        <v>151600</v>
      </c>
      <c r="N353" s="93">
        <f ca="1">IFERROR(__xludf.DUMMYFUNCTION("IMPORTRANGE(""https://docs.google.com/spreadsheets/d/1MeEWN-I1oV_STSDYn1IFDPWt_1FKiwhDph83XaGc0o0/edit?usp=sharing"",""งบพรบ!FE62"")"),151600)</f>
        <v>151600</v>
      </c>
      <c r="O353" s="93">
        <f t="shared" ca="1" si="156"/>
        <v>100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5"/>
      <c r="B354" s="263"/>
      <c r="C354" s="256"/>
      <c r="D354" s="832" t="s">
        <v>158</v>
      </c>
      <c r="E354" s="256"/>
      <c r="F354" s="256"/>
      <c r="G354" s="258"/>
      <c r="H354" s="454"/>
      <c r="I354" s="260"/>
      <c r="J354" s="260"/>
      <c r="K354" s="261"/>
      <c r="L354" s="261"/>
      <c r="M354" s="261"/>
      <c r="N354" s="261"/>
      <c r="O354" s="261"/>
      <c r="P354" s="261"/>
    </row>
    <row r="355" spans="1:26" ht="19.5">
      <c r="A355" s="455"/>
      <c r="B355" s="456"/>
      <c r="C355" s="457"/>
      <c r="D355" s="833" t="s">
        <v>159</v>
      </c>
      <c r="E355" s="459"/>
      <c r="F355" s="459"/>
      <c r="G355" s="460"/>
      <c r="H355" s="461" t="s">
        <v>35</v>
      </c>
      <c r="I355" s="463">
        <f ca="1">IFERROR(__xludf.DUMMYFUNCTION("IMPORTRANGE(""https://docs.google.com/spreadsheets/d/1QqKyyYR6Q21VydFLVH3TRQUabQu_ym0Zz7PgGX0-kHA/edit?usp=sharing"",""แผน!EP62"")"),90)</f>
        <v>90</v>
      </c>
      <c r="J355" s="463">
        <f ca="1">J362</f>
        <v>1</v>
      </c>
      <c r="K355" s="464">
        <f ca="1">IF(I355&gt;0,J355*100/I355,0)</f>
        <v>1.1111111111111112</v>
      </c>
      <c r="L355" s="465"/>
      <c r="M355" s="465"/>
      <c r="N355" s="465"/>
      <c r="O355" s="465"/>
      <c r="P355" s="465"/>
    </row>
    <row r="356" spans="1:26" ht="19.5">
      <c r="A356" s="455"/>
      <c r="B356" s="456"/>
      <c r="C356" s="457"/>
      <c r="D356" s="466" t="s">
        <v>160</v>
      </c>
      <c r="E356" s="459"/>
      <c r="F356" s="459"/>
      <c r="G356" s="460"/>
      <c r="H356" s="467"/>
      <c r="I356" s="468"/>
      <c r="J356" s="468"/>
      <c r="K356" s="465"/>
      <c r="L356" s="465"/>
      <c r="M356" s="465"/>
      <c r="N356" s="465"/>
      <c r="O356" s="465"/>
      <c r="P356" s="465"/>
    </row>
    <row r="357" spans="1:26" ht="19.5">
      <c r="A357" s="170"/>
      <c r="B357" s="171"/>
      <c r="C357" s="164" t="s">
        <v>16</v>
      </c>
      <c r="D357" s="823" t="s">
        <v>38</v>
      </c>
      <c r="E357" s="173"/>
      <c r="F357" s="173"/>
      <c r="G357" s="174"/>
      <c r="H357" s="753"/>
      <c r="I357" s="269"/>
      <c r="J357" s="269"/>
      <c r="K357" s="496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69">
        <v>0</v>
      </c>
      <c r="J358" s="269">
        <f ca="1">IFERROR(__xludf.DUMMYFUNCTION("IMPORTRANGE(""https://docs.google.com/spreadsheets/d/1XWAQStnk-4SwqDmLtmXYiTMKHgktTP8We1SCoS47DrQ/edit?usp=sharing"",""จัดที่ดิน!W62"")"),1)</f>
        <v>1</v>
      </c>
      <c r="K358" s="496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69">
        <f ca="1">IFERROR(__xludf.DUMMYFUNCTION("IMPORTRANGE(""https://docs.google.com/spreadsheets/d/1QqKyyYR6Q21VydFLVH3TRQUabQu_ym0Zz7PgGX0-kHA/edit?usp=sharing"",""แผน!EO62"")"),760)</f>
        <v>760</v>
      </c>
      <c r="J359" s="269">
        <f ca="1">IFERROR(__xludf.DUMMYFUNCTION("IMPORTRANGE(""https://docs.google.com/spreadsheets/d/1XWAQStnk-4SwqDmLtmXYiTMKHgktTP8We1SCoS47DrQ/edit?usp=sharing"",""จัดที่ดิน!X62"")"),10.91)</f>
        <v>10.91</v>
      </c>
      <c r="K359" s="496">
        <f t="shared" ca="1" si="161"/>
        <v>1.4355263157894738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755" t="s">
        <v>35</v>
      </c>
      <c r="I360" s="269">
        <f ca="1">IFERROR(__xludf.DUMMYFUNCTION("IMPORTRANGE(""https://docs.google.com/spreadsheets/d/1QqKyyYR6Q21VydFLVH3TRQUabQu_ym0Zz7PgGX0-kHA/edit?usp=sharing"",""แผน!EP62"")"),90)</f>
        <v>90</v>
      </c>
      <c r="J360" s="269">
        <f ca="1">IFERROR(__xludf.DUMMYFUNCTION("IMPORTRANGE(""https://docs.google.com/spreadsheets/d/1XWAQStnk-4SwqDmLtmXYiTMKHgktTP8We1SCoS47DrQ/edit?usp=sharing"",""จัดที่ดิน!Y62"")"),1)</f>
        <v>1</v>
      </c>
      <c r="K360" s="496">
        <f t="shared" ca="1" si="161"/>
        <v>1.1111111111111112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755" t="s">
        <v>46</v>
      </c>
      <c r="I361" s="269">
        <v>0</v>
      </c>
      <c r="J361" s="269">
        <f ca="1">IFERROR(__xludf.DUMMYFUNCTION("IMPORTRANGE(""https://docs.google.com/spreadsheets/d/1XWAQStnk-4SwqDmLtmXYiTMKHgktTP8We1SCoS47DrQ/edit?usp=sharing"",""จัดที่ดิน!Z62"")"),10.91)</f>
        <v>10.91</v>
      </c>
      <c r="K361" s="496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755" t="s">
        <v>35</v>
      </c>
      <c r="I362" s="269">
        <f ca="1">IFERROR(__xludf.DUMMYFUNCTION("IMPORTRANGE(""https://docs.google.com/spreadsheets/d/1QqKyyYR6Q21VydFLVH3TRQUabQu_ym0Zz7PgGX0-kHA/edit?usp=sharing"",""แผน!EP62"")"),90)</f>
        <v>90</v>
      </c>
      <c r="J362" s="269">
        <f ca="1">IFERROR(__xludf.DUMMYFUNCTION("IMPORTRANGE(""https://docs.google.com/spreadsheets/d/1XWAQStnk-4SwqDmLtmXYiTMKHgktTP8We1SCoS47DrQ/edit?usp=sharing"",""จัดที่ดิน!AA62"")"),1)</f>
        <v>1</v>
      </c>
      <c r="K362" s="496">
        <f t="shared" ca="1" si="161"/>
        <v>1.1111111111111112</v>
      </c>
      <c r="L362" s="163"/>
      <c r="M362" s="163"/>
      <c r="N362" s="163"/>
      <c r="O362" s="163"/>
      <c r="P362" s="163"/>
    </row>
    <row r="363" spans="1:26" ht="18.75">
      <c r="A363" s="469" t="s">
        <v>164</v>
      </c>
      <c r="B363" s="178"/>
      <c r="C363" s="171"/>
      <c r="D363" s="178"/>
      <c r="E363" s="446"/>
      <c r="F363" s="178"/>
      <c r="G363" s="179"/>
      <c r="H363" s="755" t="s">
        <v>46</v>
      </c>
      <c r="I363" s="269">
        <v>0</v>
      </c>
      <c r="J363" s="269">
        <f ca="1">IFERROR(__xludf.DUMMYFUNCTION("IMPORTRANGE(""https://docs.google.com/spreadsheets/d/1XWAQStnk-4SwqDmLtmXYiTMKHgktTP8We1SCoS47DrQ/edit?usp=sharing"",""จัดที่ดิน!AB62"")"),10.91)</f>
        <v>10.91</v>
      </c>
      <c r="K363" s="496">
        <f t="shared" si="161"/>
        <v>0</v>
      </c>
      <c r="L363" s="163"/>
      <c r="M363" s="163"/>
      <c r="N363" s="163"/>
      <c r="O363" s="163"/>
      <c r="P363" s="163"/>
    </row>
    <row r="364" spans="1:26" ht="19.5">
      <c r="A364" s="470"/>
      <c r="B364" s="471"/>
      <c r="C364" s="472"/>
      <c r="D364" s="473" t="s">
        <v>165</v>
      </c>
      <c r="E364" s="474"/>
      <c r="F364" s="474"/>
      <c r="G364" s="475"/>
      <c r="H364" s="476" t="s">
        <v>35</v>
      </c>
      <c r="I364" s="477">
        <f t="shared" ref="I364:J364" ca="1" si="162">I365+I374</f>
        <v>140</v>
      </c>
      <c r="J364" s="477">
        <f t="shared" ca="1" si="162"/>
        <v>25</v>
      </c>
      <c r="K364" s="478">
        <f t="shared" ca="1" si="161"/>
        <v>17.857142857142858</v>
      </c>
      <c r="L364" s="479"/>
      <c r="M364" s="479"/>
      <c r="N364" s="479"/>
      <c r="O364" s="479"/>
      <c r="P364" s="479"/>
      <c r="Q364" s="480"/>
      <c r="R364" s="480"/>
      <c r="S364" s="480"/>
      <c r="T364" s="480"/>
      <c r="U364" s="480"/>
      <c r="V364" s="480"/>
      <c r="W364" s="480"/>
      <c r="X364" s="480"/>
      <c r="Y364" s="480"/>
      <c r="Z364" s="480"/>
    </row>
    <row r="365" spans="1:26" ht="19.5">
      <c r="A365" s="481"/>
      <c r="B365" s="482"/>
      <c r="C365" s="484"/>
      <c r="D365" s="484" t="s">
        <v>166</v>
      </c>
      <c r="E365" s="485"/>
      <c r="F365" s="485"/>
      <c r="G365" s="486"/>
      <c r="H365" s="487" t="s">
        <v>35</v>
      </c>
      <c r="I365" s="489">
        <f ca="1">IFERROR(__xludf.DUMMYFUNCTION("IMPORTRANGE(""https://docs.google.com/spreadsheets/d/1QqKyyYR6Q21VydFLVH3TRQUabQu_ym0Zz7PgGX0-kHA/edit?usp=sharing"",""แผน!EJ62"")"),60)</f>
        <v>60</v>
      </c>
      <c r="J365" s="489">
        <f ca="1">J372</f>
        <v>0</v>
      </c>
      <c r="K365" s="490">
        <f t="shared" ca="1" si="161"/>
        <v>0</v>
      </c>
      <c r="L365" s="491"/>
      <c r="M365" s="491"/>
      <c r="N365" s="491"/>
      <c r="O365" s="491"/>
      <c r="P365" s="491"/>
      <c r="Q365" s="480"/>
      <c r="R365" s="480"/>
      <c r="S365" s="480"/>
      <c r="T365" s="480"/>
      <c r="U365" s="480"/>
      <c r="V365" s="480"/>
      <c r="W365" s="480"/>
      <c r="X365" s="480"/>
      <c r="Y365" s="480"/>
      <c r="Z365" s="480"/>
    </row>
    <row r="366" spans="1:26" ht="19.5">
      <c r="A366" s="481"/>
      <c r="B366" s="482"/>
      <c r="C366" s="484"/>
      <c r="D366" s="492" t="s">
        <v>167</v>
      </c>
      <c r="E366" s="485"/>
      <c r="F366" s="485"/>
      <c r="G366" s="486"/>
      <c r="H366" s="493"/>
      <c r="I366" s="494"/>
      <c r="J366" s="494"/>
      <c r="K366" s="491"/>
      <c r="L366" s="491"/>
      <c r="M366" s="491"/>
      <c r="N366" s="491"/>
      <c r="O366" s="491"/>
      <c r="P366" s="491"/>
      <c r="Q366" s="480"/>
      <c r="R366" s="480"/>
      <c r="S366" s="480"/>
      <c r="T366" s="480"/>
      <c r="U366" s="480"/>
      <c r="V366" s="480"/>
      <c r="W366" s="480"/>
      <c r="X366" s="480"/>
      <c r="Y366" s="480"/>
      <c r="Z366" s="480"/>
    </row>
    <row r="367" spans="1:26" ht="19.5">
      <c r="A367" s="170"/>
      <c r="B367" s="171"/>
      <c r="C367" s="164" t="s">
        <v>16</v>
      </c>
      <c r="D367" s="823" t="s">
        <v>38</v>
      </c>
      <c r="E367" s="173"/>
      <c r="F367" s="173"/>
      <c r="G367" s="174"/>
      <c r="H367" s="753"/>
      <c r="I367" s="269"/>
      <c r="J367" s="269"/>
      <c r="K367" s="496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69">
        <v>0</v>
      </c>
      <c r="J368" s="269">
        <f ca="1">IFERROR(__xludf.DUMMYFUNCTION("IMPORTRANGE(""https://docs.google.com/spreadsheets/d/1XWAQStnk-4SwqDmLtmXYiTMKHgktTP8We1SCoS47DrQ/edit?usp=sharing"",""จัดที่ดิน!E62"")"),0)</f>
        <v>0</v>
      </c>
      <c r="K368" s="496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69">
        <f ca="1">IFERROR(__xludf.DUMMYFUNCTION("IMPORTRANGE(""https://docs.google.com/spreadsheets/d/1QqKyyYR6Q21VydFLVH3TRQUabQu_ym0Zz7PgGX0-kHA/edit?usp=sharing"",""แผน!EI62"")"),500)</f>
        <v>500</v>
      </c>
      <c r="J369" s="269">
        <f ca="1">IFERROR(__xludf.DUMMYFUNCTION("IMPORTRANGE(""https://docs.google.com/spreadsheets/d/1XWAQStnk-4SwqDmLtmXYiTMKHgktTP8We1SCoS47DrQ/edit?usp=sharing"",""จัดที่ดิน!F62"")"),0)</f>
        <v>0</v>
      </c>
      <c r="K369" s="496">
        <f t="shared" ca="1" si="163"/>
        <v>0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55" t="s">
        <v>35</v>
      </c>
      <c r="I370" s="269">
        <f ca="1">IFERROR(__xludf.DUMMYFUNCTION("IMPORTRANGE(""https://docs.google.com/spreadsheets/d/1QqKyyYR6Q21VydFLVH3TRQUabQu_ym0Zz7PgGX0-kHA/edit?usp=sharing"",""แผน!EJ62"")"),60)</f>
        <v>60</v>
      </c>
      <c r="J370" s="269">
        <f ca="1">IFERROR(__xludf.DUMMYFUNCTION("IMPORTRANGE(""https://docs.google.com/spreadsheets/d/1XWAQStnk-4SwqDmLtmXYiTMKHgktTP8We1SCoS47DrQ/edit?usp=sharing"",""จัดที่ดิน!G62"")"),0)</f>
        <v>0</v>
      </c>
      <c r="K370" s="496">
        <f t="shared" ca="1" si="163"/>
        <v>0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55" t="s">
        <v>46</v>
      </c>
      <c r="I371" s="269">
        <v>0</v>
      </c>
      <c r="J371" s="269">
        <f ca="1">IFERROR(__xludf.DUMMYFUNCTION("IMPORTRANGE(""https://docs.google.com/spreadsheets/d/1XWAQStnk-4SwqDmLtmXYiTMKHgktTP8We1SCoS47DrQ/edit?usp=sharing"",""จัดที่ดิน!H62"")"),0)</f>
        <v>0</v>
      </c>
      <c r="K371" s="496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55" t="s">
        <v>35</v>
      </c>
      <c r="I372" s="269">
        <f ca="1">IFERROR(__xludf.DUMMYFUNCTION("IMPORTRANGE(""https://docs.google.com/spreadsheets/d/1QqKyyYR6Q21VydFLVH3TRQUabQu_ym0Zz7PgGX0-kHA/edit?usp=sharing"",""แผน!EJ62"")"),60)</f>
        <v>60</v>
      </c>
      <c r="J372" s="269">
        <f ca="1">IFERROR(__xludf.DUMMYFUNCTION("IMPORTRANGE(""https://docs.google.com/spreadsheets/d/1XWAQStnk-4SwqDmLtmXYiTMKHgktTP8We1SCoS47DrQ/edit?usp=sharing"",""จัดที่ดิน!I62"")"),0)</f>
        <v>0</v>
      </c>
      <c r="K372" s="496">
        <f t="shared" ca="1" si="163"/>
        <v>0</v>
      </c>
      <c r="L372" s="163"/>
      <c r="M372" s="163"/>
      <c r="N372" s="163"/>
      <c r="O372" s="163"/>
      <c r="P372" s="163"/>
    </row>
    <row r="373" spans="1:26" ht="18.75">
      <c r="A373" s="469" t="s">
        <v>164</v>
      </c>
      <c r="B373" s="178"/>
      <c r="C373" s="171"/>
      <c r="D373" s="178"/>
      <c r="E373" s="446"/>
      <c r="F373" s="178"/>
      <c r="G373" s="179"/>
      <c r="H373" s="755" t="s">
        <v>46</v>
      </c>
      <c r="I373" s="269">
        <v>0</v>
      </c>
      <c r="J373" s="269">
        <f ca="1">IFERROR(__xludf.DUMMYFUNCTION("IMPORTRANGE(""https://docs.google.com/spreadsheets/d/1XWAQStnk-4SwqDmLtmXYiTMKHgktTP8We1SCoS47DrQ/edit?usp=sharing"",""จัดที่ดิน!J62"")"),0)</f>
        <v>0</v>
      </c>
      <c r="K373" s="496">
        <f t="shared" si="163"/>
        <v>0</v>
      </c>
      <c r="L373" s="163"/>
      <c r="M373" s="163"/>
      <c r="N373" s="163"/>
      <c r="O373" s="163"/>
      <c r="P373" s="163"/>
    </row>
    <row r="374" spans="1:26" ht="19.5">
      <c r="A374" s="481"/>
      <c r="B374" s="482"/>
      <c r="C374" s="484"/>
      <c r="D374" s="484" t="s">
        <v>168</v>
      </c>
      <c r="E374" s="485"/>
      <c r="F374" s="485"/>
      <c r="G374" s="486"/>
      <c r="H374" s="487" t="s">
        <v>35</v>
      </c>
      <c r="I374" s="495">
        <f ca="1">IFERROR(__xludf.DUMMYFUNCTION("IMPORTRANGE(""https://docs.google.com/spreadsheets/d/1QqKyyYR6Q21VydFLVH3TRQUabQu_ym0Zz7PgGX0-kHA/edit?usp=sharing"",""แผน!EU62"")"),80)</f>
        <v>80</v>
      </c>
      <c r="J374" s="489">
        <f ca="1">J381</f>
        <v>25</v>
      </c>
      <c r="K374" s="490">
        <f t="shared" ca="1" si="163"/>
        <v>31.25</v>
      </c>
      <c r="L374" s="491"/>
      <c r="M374" s="491"/>
      <c r="N374" s="491"/>
      <c r="O374" s="491"/>
      <c r="P374" s="491"/>
      <c r="Q374" s="480"/>
      <c r="R374" s="480"/>
      <c r="S374" s="480"/>
      <c r="T374" s="480"/>
      <c r="U374" s="480"/>
      <c r="V374" s="480"/>
      <c r="W374" s="480"/>
      <c r="X374" s="480"/>
      <c r="Y374" s="480"/>
      <c r="Z374" s="480"/>
    </row>
    <row r="375" spans="1:26" ht="19.5">
      <c r="A375" s="481"/>
      <c r="B375" s="482"/>
      <c r="C375" s="484"/>
      <c r="D375" s="492" t="s">
        <v>169</v>
      </c>
      <c r="E375" s="485"/>
      <c r="F375" s="485"/>
      <c r="G375" s="486"/>
      <c r="H375" s="493"/>
      <c r="I375" s="494"/>
      <c r="J375" s="494"/>
      <c r="K375" s="491"/>
      <c r="L375" s="491"/>
      <c r="M375" s="491"/>
      <c r="N375" s="491"/>
      <c r="O375" s="491"/>
      <c r="P375" s="491"/>
      <c r="Q375" s="480"/>
      <c r="R375" s="480"/>
      <c r="S375" s="480"/>
      <c r="T375" s="480"/>
      <c r="U375" s="480"/>
      <c r="V375" s="480"/>
      <c r="W375" s="480"/>
      <c r="X375" s="480"/>
      <c r="Y375" s="480"/>
      <c r="Z375" s="480"/>
    </row>
    <row r="376" spans="1:26" ht="19.5">
      <c r="A376" s="170"/>
      <c r="B376" s="171"/>
      <c r="C376" s="164" t="s">
        <v>16</v>
      </c>
      <c r="D376" s="823" t="s">
        <v>38</v>
      </c>
      <c r="E376" s="173"/>
      <c r="F376" s="173"/>
      <c r="G376" s="174"/>
      <c r="H376" s="753"/>
      <c r="I376" s="269"/>
      <c r="J376" s="269"/>
      <c r="K376" s="496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69">
        <v>0</v>
      </c>
      <c r="J377" s="269">
        <f ca="1">IFERROR(__xludf.DUMMYFUNCTION("IMPORTRANGE(""https://docs.google.com/spreadsheets/d/1XWAQStnk-4SwqDmLtmXYiTMKHgktTP8We1SCoS47DrQ/edit?usp=sharing"",""จัดที่ดิน!AH62"")"),1)</f>
        <v>1</v>
      </c>
      <c r="K377" s="496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69">
        <f ca="1">IFERROR(__xludf.DUMMYFUNCTION("IMPORTRANGE(""https://docs.google.com/spreadsheets/d/1QqKyyYR6Q21VydFLVH3TRQUabQu_ym0Zz7PgGX0-kHA/edit?usp=sharing"",""แผน!ET62"")"),260)</f>
        <v>260</v>
      </c>
      <c r="J378" s="269">
        <f ca="1">IFERROR(__xludf.DUMMYFUNCTION("IMPORTRANGE(""https://docs.google.com/spreadsheets/d/1XWAQStnk-4SwqDmLtmXYiTMKHgktTP8We1SCoS47DrQ/edit?usp=sharing"",""จัดที่ดิน!AI62"")"),10.91)</f>
        <v>10.91</v>
      </c>
      <c r="K378" s="496">
        <f t="shared" ca="1" si="164"/>
        <v>4.1961538461538463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55" t="s">
        <v>35</v>
      </c>
      <c r="I379" s="269">
        <f ca="1">IFERROR(__xludf.DUMMYFUNCTION("IMPORTRANGE(""https://docs.google.com/spreadsheets/d/1QqKyyYR6Q21VydFLVH3TRQUabQu_ym0Zz7PgGX0-kHA/edit?usp=sharing"",""แผน!EU62"")"),80)</f>
        <v>80</v>
      </c>
      <c r="J379" s="269">
        <f ca="1">IFERROR(__xludf.DUMMYFUNCTION("IMPORTRANGE(""https://docs.google.com/spreadsheets/d/1XWAQStnk-4SwqDmLtmXYiTMKHgktTP8We1SCoS47DrQ/edit?usp=sharing"",""จัดที่ดิน!AJ62"")"),24)</f>
        <v>24</v>
      </c>
      <c r="K379" s="496">
        <f t="shared" ca="1" si="164"/>
        <v>30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55" t="s">
        <v>46</v>
      </c>
      <c r="I380" s="269">
        <v>0</v>
      </c>
      <c r="J380" s="269">
        <f ca="1">IFERROR(__xludf.DUMMYFUNCTION("IMPORTRANGE(""https://docs.google.com/spreadsheets/d/1XWAQStnk-4SwqDmLtmXYiTMKHgktTP8We1SCoS47DrQ/edit?usp=sharing"",""จัดที่ดิน!AK62"")"),290.71)</f>
        <v>290.70999999999998</v>
      </c>
      <c r="K380" s="496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55" t="s">
        <v>35</v>
      </c>
      <c r="I381" s="269">
        <f ca="1">IFERROR(__xludf.DUMMYFUNCTION("IMPORTRANGE(""https://docs.google.com/spreadsheets/d/1QqKyyYR6Q21VydFLVH3TRQUabQu_ym0Zz7PgGX0-kHA/edit?usp=sharing"",""แผน!EU62"")"),80)</f>
        <v>80</v>
      </c>
      <c r="J381" s="269">
        <f ca="1">IFERROR(__xludf.DUMMYFUNCTION("IMPORTRANGE(""https://docs.google.com/spreadsheets/d/1XWAQStnk-4SwqDmLtmXYiTMKHgktTP8We1SCoS47DrQ/edit?usp=sharing"",""จัดที่ดิน!AL62"")"),25)</f>
        <v>25</v>
      </c>
      <c r="K381" s="496">
        <f t="shared" ca="1" si="164"/>
        <v>31.25</v>
      </c>
      <c r="L381" s="163"/>
      <c r="M381" s="163"/>
      <c r="N381" s="163"/>
      <c r="O381" s="163"/>
      <c r="P381" s="163"/>
    </row>
    <row r="382" spans="1:26" ht="18.75">
      <c r="A382" s="469" t="s">
        <v>164</v>
      </c>
      <c r="B382" s="178"/>
      <c r="C382" s="171"/>
      <c r="D382" s="178"/>
      <c r="E382" s="446"/>
      <c r="F382" s="178"/>
      <c r="G382" s="179"/>
      <c r="H382" s="755" t="s">
        <v>46</v>
      </c>
      <c r="I382" s="269">
        <v>0</v>
      </c>
      <c r="J382" s="269">
        <f ca="1">IFERROR(__xludf.DUMMYFUNCTION("IMPORTRANGE(""https://docs.google.com/spreadsheets/d/1XWAQStnk-4SwqDmLtmXYiTMKHgktTP8We1SCoS47DrQ/edit?usp=sharing"",""จัดที่ดิน!AM62"")"),305.02)</f>
        <v>305.02</v>
      </c>
      <c r="K382" s="496">
        <f t="shared" si="164"/>
        <v>0</v>
      </c>
      <c r="L382" s="163"/>
      <c r="M382" s="163"/>
      <c r="N382" s="163"/>
      <c r="O382" s="163"/>
      <c r="P382" s="163"/>
    </row>
    <row r="383" spans="1:26" ht="19.5">
      <c r="A383" s="255"/>
      <c r="B383" s="263"/>
      <c r="C383" s="256"/>
      <c r="D383" s="832" t="s">
        <v>170</v>
      </c>
      <c r="E383" s="256"/>
      <c r="F383" s="256"/>
      <c r="G383" s="258"/>
      <c r="H383" s="454"/>
      <c r="I383" s="260"/>
      <c r="J383" s="260"/>
      <c r="K383" s="261"/>
      <c r="L383" s="261"/>
      <c r="M383" s="261"/>
      <c r="N383" s="261"/>
      <c r="O383" s="261"/>
      <c r="P383" s="261"/>
    </row>
    <row r="384" spans="1:26" ht="19.5">
      <c r="A384" s="170"/>
      <c r="B384" s="171"/>
      <c r="C384" s="33" t="s">
        <v>16</v>
      </c>
      <c r="D384" s="823" t="s">
        <v>38</v>
      </c>
      <c r="E384" s="173"/>
      <c r="F384" s="173"/>
      <c r="G384" s="174"/>
      <c r="H384" s="753"/>
      <c r="I384" s="269"/>
      <c r="J384" s="269"/>
      <c r="K384" s="496"/>
      <c r="L384" s="163"/>
      <c r="M384" s="163"/>
      <c r="N384" s="163"/>
      <c r="O384" s="163"/>
      <c r="P384" s="163"/>
    </row>
    <row r="385" spans="1:26" ht="18.75">
      <c r="A385" s="377"/>
      <c r="B385" s="380"/>
      <c r="C385" s="378"/>
      <c r="D385" s="380"/>
      <c r="E385" s="497" t="s">
        <v>163</v>
      </c>
      <c r="F385" s="380"/>
      <c r="G385" s="381"/>
      <c r="H385" s="498" t="s">
        <v>35</v>
      </c>
      <c r="I385" s="499">
        <f ca="1">IFERROR(__xludf.DUMMYFUNCTION("IMPORTRANGE(""https://docs.google.com/spreadsheets/d/1QqKyyYR6Q21VydFLVH3TRQUabQu_ym0Zz7PgGX0-kHA/edit?usp=sharing"",""แผน!EW62"")"),15)</f>
        <v>15</v>
      </c>
      <c r="J385" s="499">
        <f ca="1">IFERROR(__xludf.DUMMYFUNCTION("IMPORTRANGE(""https://docs.google.com/spreadsheets/d/1XWAQStnk-4SwqDmLtmXYiTMKHgktTP8We1SCoS47DrQ/edit?usp=sharing"",""จัดที่ดิน!AP62"")"),0)</f>
        <v>0</v>
      </c>
      <c r="K385" s="500">
        <f ca="1">IF(I385&gt;0,J385*100/I385,0)</f>
        <v>0</v>
      </c>
      <c r="L385" s="384"/>
      <c r="M385" s="384"/>
      <c r="N385" s="384"/>
      <c r="O385" s="384"/>
      <c r="P385" s="384"/>
    </row>
    <row r="386" spans="1:26" ht="19.5" hidden="1">
      <c r="A386" s="501" t="s">
        <v>171</v>
      </c>
      <c r="B386" s="502"/>
      <c r="C386" s="502"/>
      <c r="D386" s="502"/>
      <c r="E386" s="503"/>
      <c r="F386" s="503"/>
      <c r="G386" s="504"/>
      <c r="H386" s="505"/>
      <c r="I386" s="506"/>
      <c r="J386" s="506"/>
      <c r="K386" s="507"/>
      <c r="L386" s="507"/>
      <c r="M386" s="507"/>
      <c r="N386" s="507"/>
      <c r="O386" s="507"/>
      <c r="P386" s="507"/>
    </row>
    <row r="387" spans="1:26" ht="19.5" hidden="1">
      <c r="A387" s="508" t="s">
        <v>172</v>
      </c>
      <c r="B387" s="509"/>
      <c r="C387" s="509"/>
      <c r="D387" s="510"/>
      <c r="E387" s="509"/>
      <c r="F387" s="509"/>
      <c r="G387" s="509"/>
      <c r="H387" s="511"/>
      <c r="I387" s="512"/>
      <c r="J387" s="512"/>
      <c r="K387" s="513"/>
      <c r="L387" s="513"/>
      <c r="M387" s="513"/>
      <c r="N387" s="513"/>
      <c r="O387" s="513"/>
      <c r="P387" s="513"/>
    </row>
    <row r="388" spans="1:26" ht="19.5" hidden="1">
      <c r="A388" s="514"/>
      <c r="B388" s="515" t="s">
        <v>173</v>
      </c>
      <c r="C388" s="516"/>
      <c r="D388" s="517"/>
      <c r="E388" s="517"/>
      <c r="F388" s="517"/>
      <c r="G388" s="518"/>
      <c r="H388" s="519" t="s">
        <v>69</v>
      </c>
      <c r="I388" s="520">
        <f t="shared" ref="I388:J388" si="165">I400</f>
        <v>0</v>
      </c>
      <c r="J388" s="520">
        <f t="shared" si="165"/>
        <v>0</v>
      </c>
      <c r="K388" s="521">
        <f>IF(I388&gt;0,J388*100/I388,0)</f>
        <v>0</v>
      </c>
      <c r="L388" s="522"/>
      <c r="M388" s="522"/>
      <c r="N388" s="522"/>
      <c r="O388" s="522"/>
      <c r="P388" s="522"/>
    </row>
    <row r="389" spans="1:26" ht="19.5" hidden="1">
      <c r="A389" s="147"/>
      <c r="B389" s="148"/>
      <c r="C389" s="149" t="s">
        <v>16</v>
      </c>
      <c r="D389" s="822" t="s">
        <v>17</v>
      </c>
      <c r="E389" s="148"/>
      <c r="F389" s="148"/>
      <c r="G389" s="151"/>
      <c r="H389" s="152" t="s">
        <v>12</v>
      </c>
      <c r="I389" s="419"/>
      <c r="J389" s="419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2" t="s">
        <v>18</v>
      </c>
      <c r="F390" s="40"/>
      <c r="G390" s="157"/>
      <c r="H390" s="158" t="s">
        <v>12</v>
      </c>
      <c r="I390" s="610"/>
      <c r="J390" s="610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2" t="s">
        <v>19</v>
      </c>
      <c r="F391" s="40"/>
      <c r="G391" s="157"/>
      <c r="H391" s="158" t="s">
        <v>12</v>
      </c>
      <c r="I391" s="610"/>
      <c r="J391" s="610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1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6">
        <f t="shared" ref="L392:N392" ca="1" si="170">L393+L394</f>
        <v>0</v>
      </c>
      <c r="M392" s="496">
        <f t="shared" ca="1" si="170"/>
        <v>0</v>
      </c>
      <c r="N392" s="496">
        <f t="shared" ca="1" si="170"/>
        <v>0</v>
      </c>
      <c r="O392" s="496">
        <f t="shared" ca="1" si="167"/>
        <v>0</v>
      </c>
      <c r="P392" s="496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2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2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IFERROR(__xludf.DUMMYFUNCTION("IMPORTRANGE(""https://docs.google.com/spreadsheets/d/1MeEWN-I1oV_STSDYn1IFDPWt_1FKiwhDph83XaGc0o0/edit?usp=sharing"",""งบพรบ!FG62"")"),0)</f>
        <v>0</v>
      </c>
      <c r="M394" s="93">
        <f ca="1">IFERROR(__xludf.DUMMYFUNCTION("IMPORTRANGE(""https://docs.google.com/spreadsheets/d/1MeEWN-I1oV_STSDYn1IFDPWt_1FKiwhDph83XaGc0o0/edit?usp=sharing"",""งบพรบ!FL62"")"),0)</f>
        <v>0</v>
      </c>
      <c r="N394" s="93">
        <f ca="1">IFERROR(__xludf.DUMMYFUNCTION("IMPORTRANGE(""https://docs.google.com/spreadsheets/d/1MeEWN-I1oV_STSDYn1IFDPWt_1FKiwhDph83XaGc0o0/edit?usp=sharing"",""งบพรบ!FN62"")"),0)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1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6">
        <f t="shared" ref="L395:N395" ca="1" si="171">L396+L397</f>
        <v>0</v>
      </c>
      <c r="M395" s="496">
        <f t="shared" ca="1" si="171"/>
        <v>0</v>
      </c>
      <c r="N395" s="496">
        <f t="shared" ca="1" si="171"/>
        <v>0</v>
      </c>
      <c r="O395" s="496">
        <f t="shared" ca="1" si="167"/>
        <v>0</v>
      </c>
      <c r="P395" s="496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2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2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IFERROR(__xludf.DUMMYFUNCTION("IMPORTRANGE(""https://docs.google.com/spreadsheets/d/1MeEWN-I1oV_STSDYn1IFDPWt_1FKiwhDph83XaGc0o0/edit?usp=sharing"",""งบพรบ!FJ62"")"),0)</f>
        <v>0</v>
      </c>
      <c r="M397" s="93">
        <f ca="1">IFERROR(__xludf.DUMMYFUNCTION("IMPORTRANGE(""https://docs.google.com/spreadsheets/d/1MeEWN-I1oV_STSDYn1IFDPWt_1FKiwhDph83XaGc0o0/edit?usp=sharing"",""งบพรบ!FM62"")"),0)</f>
        <v>0</v>
      </c>
      <c r="N397" s="93">
        <f ca="1">IFERROR(__xludf.DUMMYFUNCTION("IMPORTRANGE(""https://docs.google.com/spreadsheets/d/1MeEWN-I1oV_STSDYn1IFDPWt_1FKiwhDph83XaGc0o0/edit?usp=sharing"",""งบพรบ!FO62"")"),0)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23" t="s">
        <v>38</v>
      </c>
      <c r="E398" s="173"/>
      <c r="F398" s="173"/>
      <c r="G398" s="174"/>
      <c r="H398" s="753"/>
      <c r="I398" s="184"/>
      <c r="J398" s="269"/>
      <c r="K398" s="496"/>
      <c r="L398" s="496"/>
      <c r="M398" s="496"/>
      <c r="N398" s="496"/>
      <c r="O398" s="163"/>
      <c r="P398" s="163"/>
    </row>
    <row r="399" spans="1:26" ht="18.75" hidden="1">
      <c r="A399" s="523"/>
      <c r="B399" s="148"/>
      <c r="C399" s="524"/>
      <c r="D399" s="525" t="s">
        <v>174</v>
      </c>
      <c r="E399" s="414"/>
      <c r="F399" s="148"/>
      <c r="G399" s="151"/>
      <c r="H399" s="526" t="s">
        <v>9</v>
      </c>
      <c r="I399" s="269">
        <v>0</v>
      </c>
      <c r="J399" s="214">
        <v>0</v>
      </c>
      <c r="K399" s="496">
        <f t="shared" ref="K399:K401" si="172">IF(I399&gt;0,J399*100/I399,0)</f>
        <v>0</v>
      </c>
      <c r="L399" s="527"/>
      <c r="M399" s="527"/>
      <c r="N399" s="527"/>
      <c r="O399" s="527"/>
      <c r="P399" s="527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4"/>
      <c r="B400" s="33"/>
      <c r="C400" s="280"/>
      <c r="D400" s="446" t="s">
        <v>175</v>
      </c>
      <c r="E400" s="171"/>
      <c r="F400" s="33"/>
      <c r="G400" s="35"/>
      <c r="H400" s="276" t="s">
        <v>69</v>
      </c>
      <c r="I400" s="269">
        <v>0</v>
      </c>
      <c r="J400" s="214">
        <v>0</v>
      </c>
      <c r="K400" s="496">
        <f t="shared" si="172"/>
        <v>0</v>
      </c>
      <c r="L400" s="496"/>
      <c r="M400" s="496"/>
      <c r="N400" s="496"/>
      <c r="O400" s="496"/>
      <c r="P400" s="496"/>
    </row>
    <row r="401" spans="1:26" ht="19.5" hidden="1">
      <c r="A401" s="514"/>
      <c r="B401" s="515" t="s">
        <v>176</v>
      </c>
      <c r="C401" s="516"/>
      <c r="D401" s="517"/>
      <c r="E401" s="517"/>
      <c r="F401" s="517"/>
      <c r="G401" s="518"/>
      <c r="H401" s="519" t="s">
        <v>69</v>
      </c>
      <c r="I401" s="520">
        <f t="shared" ref="I401:J401" si="173">I412</f>
        <v>0</v>
      </c>
      <c r="J401" s="520">
        <f t="shared" si="173"/>
        <v>0</v>
      </c>
      <c r="K401" s="521">
        <f t="shared" si="172"/>
        <v>0</v>
      </c>
      <c r="L401" s="522"/>
      <c r="M401" s="522"/>
      <c r="N401" s="522"/>
      <c r="O401" s="522"/>
      <c r="P401" s="522"/>
    </row>
    <row r="402" spans="1:26" ht="19.5" hidden="1">
      <c r="A402" s="147"/>
      <c r="B402" s="148"/>
      <c r="C402" s="149" t="s">
        <v>16</v>
      </c>
      <c r="D402" s="822" t="s">
        <v>17</v>
      </c>
      <c r="E402" s="148"/>
      <c r="F402" s="148"/>
      <c r="G402" s="151"/>
      <c r="H402" s="152" t="s">
        <v>12</v>
      </c>
      <c r="I402" s="419"/>
      <c r="J402" s="419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2" t="s">
        <v>18</v>
      </c>
      <c r="F403" s="40"/>
      <c r="G403" s="157"/>
      <c r="H403" s="158" t="s">
        <v>12</v>
      </c>
      <c r="I403" s="610"/>
      <c r="J403" s="610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2" t="s">
        <v>19</v>
      </c>
      <c r="F404" s="40"/>
      <c r="G404" s="157"/>
      <c r="H404" s="158" t="s">
        <v>12</v>
      </c>
      <c r="I404" s="610"/>
      <c r="J404" s="610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1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6">
        <f t="shared" ref="L405:N405" ca="1" si="178">L406+L407</f>
        <v>0</v>
      </c>
      <c r="M405" s="496">
        <f t="shared" ca="1" si="178"/>
        <v>0</v>
      </c>
      <c r="N405" s="496">
        <f t="shared" ca="1" si="178"/>
        <v>0</v>
      </c>
      <c r="O405" s="496">
        <f t="shared" ca="1" si="175"/>
        <v>0</v>
      </c>
      <c r="P405" s="496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2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2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IFERROR(__xludf.DUMMYFUNCTION("IMPORTRANGE(""https://docs.google.com/spreadsheets/d/1MeEWN-I1oV_STSDYn1IFDPWt_1FKiwhDph83XaGc0o0/edit?usp=sharing"",""งบพรบ!FQ62"")"),0)</f>
        <v>0</v>
      </c>
      <c r="M407" s="93">
        <f ca="1">IFERROR(__xludf.DUMMYFUNCTION("IMPORTRANGE(""https://docs.google.com/spreadsheets/d/1MeEWN-I1oV_STSDYn1IFDPWt_1FKiwhDph83XaGc0o0/edit?usp=sharing"",""งบพรบ!FV62"")"),0)</f>
        <v>0</v>
      </c>
      <c r="N407" s="93">
        <f ca="1">IFERROR(__xludf.DUMMYFUNCTION("IMPORTRANGE(""https://docs.google.com/spreadsheets/d/1MeEWN-I1oV_STSDYn1IFDPWt_1FKiwhDph83XaGc0o0/edit?usp=sharing"",""งบพรบ!FX62"")"),0)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1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6">
        <f t="shared" ref="L408:N408" ca="1" si="179">L409+L410</f>
        <v>0</v>
      </c>
      <c r="M408" s="496">
        <f t="shared" ca="1" si="179"/>
        <v>0</v>
      </c>
      <c r="N408" s="496">
        <f t="shared" ca="1" si="179"/>
        <v>0</v>
      </c>
      <c r="O408" s="496">
        <f t="shared" ca="1" si="175"/>
        <v>0</v>
      </c>
      <c r="P408" s="496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2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2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IFERROR(__xludf.DUMMYFUNCTION("IMPORTRANGE(""https://docs.google.com/spreadsheets/d/1MeEWN-I1oV_STSDYn1IFDPWt_1FKiwhDph83XaGc0o0/edit?usp=sharing"",""งบพรบ!FT62"")"),0)</f>
        <v>0</v>
      </c>
      <c r="M410" s="93">
        <f ca="1">IFERROR(__xludf.DUMMYFUNCTION("IMPORTRANGE(""https://docs.google.com/spreadsheets/d/1MeEWN-I1oV_STSDYn1IFDPWt_1FKiwhDph83XaGc0o0/edit?usp=sharing"",""งบพรบ!FW62"")"),0)</f>
        <v>0</v>
      </c>
      <c r="N410" s="93">
        <f ca="1">IFERROR(__xludf.DUMMYFUNCTION("IMPORTRANGE(""https://docs.google.com/spreadsheets/d/1MeEWN-I1oV_STSDYn1IFDPWt_1FKiwhDph83XaGc0o0/edit?usp=sharing"",""งบพรบ!FY62"")"),0)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34" t="s">
        <v>38</v>
      </c>
      <c r="E411" s="529"/>
      <c r="F411" s="529"/>
      <c r="G411" s="530"/>
      <c r="H411" s="753"/>
      <c r="I411" s="269"/>
      <c r="J411" s="269"/>
      <c r="K411" s="496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6" t="s">
        <v>177</v>
      </c>
      <c r="E412" s="178"/>
      <c r="F412" s="178"/>
      <c r="G412" s="179"/>
      <c r="H412" s="531" t="s">
        <v>69</v>
      </c>
      <c r="I412" s="269">
        <v>0</v>
      </c>
      <c r="J412" s="214">
        <v>0</v>
      </c>
      <c r="K412" s="496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2"/>
      <c r="B413" s="533"/>
      <c r="C413" s="533"/>
      <c r="D413" s="534" t="s">
        <v>178</v>
      </c>
      <c r="E413" s="533"/>
      <c r="F413" s="533"/>
      <c r="G413" s="535"/>
      <c r="H413" s="536" t="s">
        <v>179</v>
      </c>
      <c r="I413" s="537">
        <v>0</v>
      </c>
      <c r="J413" s="538">
        <v>0</v>
      </c>
      <c r="K413" s="539">
        <f t="shared" si="180"/>
        <v>0</v>
      </c>
      <c r="L413" s="540"/>
      <c r="M413" s="540"/>
      <c r="N413" s="540"/>
      <c r="O413" s="540"/>
      <c r="P413" s="540"/>
    </row>
    <row r="414" spans="1:26" ht="19.5">
      <c r="A414" s="541" t="s">
        <v>180</v>
      </c>
      <c r="B414" s="542"/>
      <c r="C414" s="542"/>
      <c r="D414" s="542"/>
      <c r="E414" s="542"/>
      <c r="F414" s="542"/>
      <c r="G414" s="543"/>
      <c r="H414" s="544"/>
      <c r="I414" s="545"/>
      <c r="J414" s="545"/>
      <c r="K414" s="546"/>
      <c r="L414" s="547">
        <f t="shared" ref="L414:N414" ca="1" si="181">L419+L444+L467+L502+L523+L544+L629+L655+L685+L737+L754+L770+L786+L805</f>
        <v>1052935</v>
      </c>
      <c r="M414" s="547">
        <f t="shared" si="181"/>
        <v>0</v>
      </c>
      <c r="N414" s="547">
        <f t="shared" si="181"/>
        <v>80510</v>
      </c>
      <c r="O414" s="547">
        <f ca="1">IF(L414&gt;0,N414*100/L414,0)</f>
        <v>7.6462459695992626</v>
      </c>
      <c r="P414" s="547">
        <f>IF(M414&gt;0,N414*100/M414,0)</f>
        <v>0</v>
      </c>
    </row>
    <row r="415" spans="1:26" ht="19.5">
      <c r="A415" s="548" t="s">
        <v>181</v>
      </c>
      <c r="B415" s="549"/>
      <c r="C415" s="549"/>
      <c r="D415" s="549"/>
      <c r="E415" s="549"/>
      <c r="F415" s="549"/>
      <c r="G415" s="549"/>
      <c r="H415" s="550"/>
      <c r="I415" s="551"/>
      <c r="J415" s="551"/>
      <c r="K415" s="552"/>
      <c r="L415" s="553"/>
      <c r="M415" s="553"/>
      <c r="N415" s="553"/>
      <c r="O415" s="553"/>
      <c r="P415" s="553"/>
    </row>
    <row r="416" spans="1:26" ht="19.5">
      <c r="A416" s="548" t="s">
        <v>182</v>
      </c>
      <c r="B416" s="549"/>
      <c r="C416" s="549"/>
      <c r="D416" s="549"/>
      <c r="E416" s="549"/>
      <c r="F416" s="549"/>
      <c r="G416" s="554"/>
      <c r="H416" s="555"/>
      <c r="I416" s="556"/>
      <c r="J416" s="556"/>
      <c r="K416" s="553"/>
      <c r="L416" s="553"/>
      <c r="M416" s="553"/>
      <c r="N416" s="553"/>
      <c r="O416" s="553"/>
      <c r="P416" s="553"/>
    </row>
    <row r="417" spans="1:26" ht="39">
      <c r="A417" s="557">
        <v>1</v>
      </c>
      <c r="B417" s="559" t="s">
        <v>183</v>
      </c>
      <c r="C417" s="559"/>
      <c r="D417" s="560"/>
      <c r="E417" s="560"/>
      <c r="F417" s="560"/>
      <c r="G417" s="561"/>
      <c r="H417" s="562" t="s">
        <v>35</v>
      </c>
      <c r="I417" s="563">
        <f t="shared" ref="I417:J418" ca="1" si="182">I433</f>
        <v>15</v>
      </c>
      <c r="J417" s="563">
        <f t="shared" ca="1" si="182"/>
        <v>0</v>
      </c>
      <c r="K417" s="564">
        <f t="shared" ref="K417:K418" ca="1" si="183">IF(I417&gt;0,J417*100/I417,0)</f>
        <v>0</v>
      </c>
      <c r="L417" s="565"/>
      <c r="M417" s="565"/>
      <c r="N417" s="565"/>
      <c r="O417" s="565"/>
      <c r="P417" s="565"/>
    </row>
    <row r="418" spans="1:26" ht="19.5">
      <c r="A418" s="566"/>
      <c r="B418" s="557"/>
      <c r="C418" s="559"/>
      <c r="D418" s="560"/>
      <c r="E418" s="560"/>
      <c r="F418" s="560"/>
      <c r="G418" s="561"/>
      <c r="H418" s="562" t="s">
        <v>49</v>
      </c>
      <c r="I418" s="563">
        <f t="shared" ca="1" si="182"/>
        <v>1</v>
      </c>
      <c r="J418" s="563">
        <f t="shared" si="182"/>
        <v>0</v>
      </c>
      <c r="K418" s="564">
        <f t="shared" ca="1" si="183"/>
        <v>0</v>
      </c>
      <c r="L418" s="565"/>
      <c r="M418" s="565"/>
      <c r="N418" s="565"/>
      <c r="O418" s="565"/>
      <c r="P418" s="565"/>
    </row>
    <row r="419" spans="1:26" ht="19.5">
      <c r="A419" s="147"/>
      <c r="B419" s="148"/>
      <c r="C419" s="148" t="s">
        <v>16</v>
      </c>
      <c r="D419" s="868" t="s">
        <v>17</v>
      </c>
      <c r="E419" s="862"/>
      <c r="F419" s="862"/>
      <c r="G419" s="151"/>
      <c r="H419" s="274" t="s">
        <v>12</v>
      </c>
      <c r="I419" s="419"/>
      <c r="J419" s="419"/>
      <c r="K419" s="154"/>
      <c r="L419" s="155">
        <f t="shared" ref="L419:N419" ca="1" si="184">L420+L421</f>
        <v>66560</v>
      </c>
      <c r="M419" s="155">
        <f t="shared" si="184"/>
        <v>0</v>
      </c>
      <c r="N419" s="155">
        <f t="shared" si="184"/>
        <v>980</v>
      </c>
      <c r="O419" s="155">
        <f t="shared" ref="O419:O424" ca="1" si="185">IF(L419&gt;0,N419*100/L419,0)</f>
        <v>1.4723557692307692</v>
      </c>
      <c r="P419" s="155">
        <f t="shared" ref="P419:P424" si="186">IF(M419&gt;0,N419*100/M419,0)</f>
        <v>0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2"/>
      <c r="E420" s="222" t="s">
        <v>184</v>
      </c>
      <c r="F420" s="40"/>
      <c r="G420" s="157"/>
      <c r="H420" s="165" t="s">
        <v>12</v>
      </c>
      <c r="I420" s="610"/>
      <c r="J420" s="610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2"/>
      <c r="E421" s="222" t="s">
        <v>185</v>
      </c>
      <c r="F421" s="40"/>
      <c r="G421" s="157"/>
      <c r="H421" s="165" t="s">
        <v>12</v>
      </c>
      <c r="I421" s="610"/>
      <c r="J421" s="610"/>
      <c r="K421" s="93"/>
      <c r="L421" s="93">
        <f t="shared" ca="1" si="187"/>
        <v>66560</v>
      </c>
      <c r="M421" s="93">
        <f t="shared" si="187"/>
        <v>0</v>
      </c>
      <c r="N421" s="93">
        <f t="shared" si="187"/>
        <v>980</v>
      </c>
      <c r="O421" s="93">
        <f t="shared" ca="1" si="185"/>
        <v>1.4723557692307692</v>
      </c>
      <c r="P421" s="93">
        <f t="shared" si="186"/>
        <v>0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0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6">
        <f t="shared" ref="L422:N422" ca="1" si="188">L423+L424</f>
        <v>66560</v>
      </c>
      <c r="M422" s="496">
        <f t="shared" si="188"/>
        <v>0</v>
      </c>
      <c r="N422" s="496">
        <f t="shared" si="188"/>
        <v>980</v>
      </c>
      <c r="O422" s="496">
        <f t="shared" ca="1" si="185"/>
        <v>1.4723557692307692</v>
      </c>
      <c r="P422" s="496">
        <f t="shared" si="186"/>
        <v>0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2"/>
      <c r="E423" s="222" t="s">
        <v>184</v>
      </c>
      <c r="F423" s="40"/>
      <c r="G423" s="157"/>
      <c r="H423" s="165" t="s">
        <v>12</v>
      </c>
      <c r="I423" s="610"/>
      <c r="J423" s="610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2"/>
      <c r="E424" s="222" t="s">
        <v>185</v>
      </c>
      <c r="F424" s="40"/>
      <c r="G424" s="157"/>
      <c r="H424" s="165" t="s">
        <v>12</v>
      </c>
      <c r="I424" s="610"/>
      <c r="J424" s="610"/>
      <c r="K424" s="93"/>
      <c r="L424" s="93">
        <f ca="1">IFERROR(__xludf.DUMMYFUNCTION("IMPORTRANGE(""https://docs.google.com/spreadsheets/d/1QqKyyYR6Q21VydFLVH3TRQUabQu_ym0Zz7PgGX0-kHA/edit?usp=sharing"",""แผน!EY62"")"),66560)</f>
        <v>66560</v>
      </c>
      <c r="M424" s="93">
        <v>0</v>
      </c>
      <c r="N424" s="93">
        <f>N425+N426+N427+N428</f>
        <v>980</v>
      </c>
      <c r="O424" s="93">
        <f t="shared" ca="1" si="185"/>
        <v>1.4723557692307692</v>
      </c>
      <c r="P424" s="93">
        <f t="shared" si="186"/>
        <v>0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67"/>
      <c r="B425" s="568"/>
      <c r="C425" s="754"/>
      <c r="D425" s="754"/>
      <c r="E425" s="754"/>
      <c r="F425" s="754" t="s">
        <v>186</v>
      </c>
      <c r="G425" s="189"/>
      <c r="H425" s="161" t="s">
        <v>12</v>
      </c>
      <c r="I425" s="269"/>
      <c r="J425" s="269"/>
      <c r="K425" s="496"/>
      <c r="L425" s="496"/>
      <c r="M425" s="496"/>
      <c r="N425" s="817">
        <v>0</v>
      </c>
      <c r="O425" s="496"/>
      <c r="P425" s="496"/>
      <c r="Q425" s="571"/>
      <c r="R425" s="571"/>
      <c r="S425" s="571"/>
      <c r="T425" s="571"/>
      <c r="U425" s="571"/>
      <c r="V425" s="571"/>
      <c r="W425" s="571"/>
      <c r="X425" s="571"/>
      <c r="Y425" s="571"/>
      <c r="Z425" s="571"/>
    </row>
    <row r="426" spans="1:26" ht="18.75">
      <c r="A426" s="567"/>
      <c r="B426" s="568"/>
      <c r="C426" s="754"/>
      <c r="D426" s="754"/>
      <c r="E426" s="754"/>
      <c r="F426" s="754" t="s">
        <v>187</v>
      </c>
      <c r="G426" s="189"/>
      <c r="H426" s="161" t="s">
        <v>12</v>
      </c>
      <c r="I426" s="269"/>
      <c r="J426" s="269"/>
      <c r="K426" s="496"/>
      <c r="L426" s="496"/>
      <c r="M426" s="496"/>
      <c r="N426" s="817">
        <v>0</v>
      </c>
      <c r="O426" s="496"/>
      <c r="P426" s="496"/>
      <c r="Q426" s="571"/>
      <c r="R426" s="571"/>
      <c r="S426" s="571"/>
      <c r="T426" s="571"/>
      <c r="U426" s="571"/>
      <c r="V426" s="571"/>
      <c r="W426" s="571"/>
      <c r="X426" s="571"/>
      <c r="Y426" s="571"/>
      <c r="Z426" s="571"/>
    </row>
    <row r="427" spans="1:26" ht="18.75">
      <c r="A427" s="567"/>
      <c r="B427" s="568"/>
      <c r="C427" s="754"/>
      <c r="D427" s="754"/>
      <c r="E427" s="754"/>
      <c r="F427" s="754" t="s">
        <v>188</v>
      </c>
      <c r="G427" s="189"/>
      <c r="H427" s="161" t="s">
        <v>12</v>
      </c>
      <c r="I427" s="269"/>
      <c r="J427" s="269"/>
      <c r="K427" s="496"/>
      <c r="L427" s="496"/>
      <c r="M427" s="496"/>
      <c r="N427" s="817">
        <v>0</v>
      </c>
      <c r="O427" s="496"/>
      <c r="P427" s="496"/>
      <c r="Q427" s="571"/>
      <c r="R427" s="571"/>
      <c r="S427" s="571"/>
      <c r="T427" s="571"/>
      <c r="U427" s="571"/>
      <c r="V427" s="571"/>
      <c r="W427" s="571"/>
      <c r="X427" s="571"/>
      <c r="Y427" s="571"/>
      <c r="Z427" s="571"/>
    </row>
    <row r="428" spans="1:26" ht="18.75">
      <c r="A428" s="284"/>
      <c r="B428" s="280"/>
      <c r="C428" s="33"/>
      <c r="D428" s="33"/>
      <c r="E428" s="33"/>
      <c r="F428" s="281" t="s">
        <v>189</v>
      </c>
      <c r="G428" s="213"/>
      <c r="H428" s="161" t="s">
        <v>12</v>
      </c>
      <c r="I428" s="269"/>
      <c r="J428" s="269"/>
      <c r="K428" s="496"/>
      <c r="L428" s="496"/>
      <c r="M428" s="496"/>
      <c r="N428" s="817">
        <v>980</v>
      </c>
      <c r="O428" s="496"/>
      <c r="P428" s="496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0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6">
        <f t="shared" ref="L429:N429" ca="1" si="189">L430+L431</f>
        <v>0</v>
      </c>
      <c r="M429" s="496">
        <f t="shared" si="189"/>
        <v>0</v>
      </c>
      <c r="N429" s="496">
        <f t="shared" si="189"/>
        <v>0</v>
      </c>
      <c r="O429" s="496">
        <f t="shared" ref="O429:O431" ca="1" si="190">IF(L429&gt;0,N429*100/L429,0)</f>
        <v>0</v>
      </c>
      <c r="P429" s="496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6"/>
      <c r="C430" s="40"/>
      <c r="D430" s="40"/>
      <c r="E430" s="222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6"/>
      <c r="C431" s="40"/>
      <c r="D431" s="40"/>
      <c r="E431" s="222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IFERROR(__xludf.DUMMYFUNCTION("IMPORTRANGE(""https://docs.google.com/spreadsheets/d/1QqKyyYR6Q21VydFLVH3TRQUabQu_ym0Zz7PgGX0-kHA/edit?usp=sharing"",""แผน!FB62"")"),0)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3"/>
      <c r="B432" s="414"/>
      <c r="C432" s="148" t="s">
        <v>16</v>
      </c>
      <c r="D432" s="835" t="s">
        <v>38</v>
      </c>
      <c r="E432" s="573"/>
      <c r="F432" s="573"/>
      <c r="G432" s="574"/>
      <c r="H432" s="575"/>
      <c r="I432" s="419"/>
      <c r="J432" s="419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190</v>
      </c>
      <c r="E433" s="178"/>
      <c r="F433" s="178"/>
      <c r="G433" s="179"/>
      <c r="H433" s="196" t="s">
        <v>35</v>
      </c>
      <c r="I433" s="674">
        <f ca="1">I435</f>
        <v>15</v>
      </c>
      <c r="J433" s="674">
        <f ca="1">IF(AND(J435=I435,J437=I437,J439=I439),I437+I439,IF(AND(J435=I437,J437=I437),I437,IF(AND(J435=I439,J439=I439),I439,0)))</f>
        <v>0</v>
      </c>
      <c r="K433" s="195">
        <f t="shared" ref="K433:K435" ca="1" si="192">IF(I433&gt;0,J433*100/I433,0)</f>
        <v>0</v>
      </c>
      <c r="L433" s="496"/>
      <c r="M433" s="496"/>
      <c r="N433" s="496"/>
      <c r="O433" s="496"/>
      <c r="P433" s="496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191</v>
      </c>
      <c r="E434" s="178"/>
      <c r="F434" s="178"/>
      <c r="G434" s="179"/>
      <c r="H434" s="196" t="s">
        <v>49</v>
      </c>
      <c r="I434" s="674">
        <f t="shared" ref="I434:J434" ca="1" si="193">I438+I440</f>
        <v>1</v>
      </c>
      <c r="J434" s="674">
        <f t="shared" si="193"/>
        <v>0</v>
      </c>
      <c r="K434" s="195">
        <f t="shared" ca="1" si="192"/>
        <v>0</v>
      </c>
      <c r="L434" s="496"/>
      <c r="M434" s="496"/>
      <c r="N434" s="496"/>
      <c r="O434" s="496"/>
      <c r="P434" s="496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6" t="s">
        <v>192</v>
      </c>
      <c r="E435" s="178"/>
      <c r="F435" s="178"/>
      <c r="G435" s="179"/>
      <c r="H435" s="616" t="s">
        <v>35</v>
      </c>
      <c r="I435" s="576">
        <f ca="1">IFERROR(__xludf.DUMMYFUNCTION("IMPORTRANGE(""https://docs.google.com/spreadsheets/d/1QqKyyYR6Q21VydFLVH3TRQUabQu_ym0Zz7PgGX0-kHA/edit?usp=sharing"",""แผน!FC62"")"),15)</f>
        <v>15</v>
      </c>
      <c r="J435" s="577">
        <v>0</v>
      </c>
      <c r="K435" s="496">
        <f t="shared" ca="1" si="192"/>
        <v>0</v>
      </c>
      <c r="L435" s="496"/>
      <c r="M435" s="496"/>
      <c r="N435" s="496"/>
      <c r="O435" s="496"/>
      <c r="P435" s="496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6" t="s">
        <v>193</v>
      </c>
      <c r="E436" s="178"/>
      <c r="F436" s="178"/>
      <c r="G436" s="179"/>
      <c r="H436" s="616"/>
      <c r="I436" s="269"/>
      <c r="J436" s="269"/>
      <c r="K436" s="496"/>
      <c r="L436" s="496"/>
      <c r="M436" s="496"/>
      <c r="N436" s="496"/>
      <c r="O436" s="496"/>
      <c r="P436" s="496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6" t="s">
        <v>194</v>
      </c>
      <c r="E437" s="178"/>
      <c r="F437" s="178"/>
      <c r="G437" s="179"/>
      <c r="H437" s="616" t="s">
        <v>35</v>
      </c>
      <c r="I437" s="576">
        <f ca="1">IFERROR(__xludf.DUMMYFUNCTION("IMPORTRANGE(""https://docs.google.com/spreadsheets/d/1QqKyyYR6Q21VydFLVH3TRQUabQu_ym0Zz7PgGX0-kHA/edit?usp=sharing"",""แผน!FD62"")"),0)</f>
        <v>0</v>
      </c>
      <c r="J437" s="577">
        <v>0</v>
      </c>
      <c r="K437" s="496">
        <f t="shared" ref="K437:K443" ca="1" si="194">IF(I437&gt;0,J437*100/I437,0)</f>
        <v>0</v>
      </c>
      <c r="L437" s="496"/>
      <c r="M437" s="496"/>
      <c r="N437" s="496"/>
      <c r="O437" s="496"/>
      <c r="P437" s="496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6" t="s">
        <v>195</v>
      </c>
      <c r="E438" s="178"/>
      <c r="F438" s="178"/>
      <c r="G438" s="179"/>
      <c r="H438" s="616" t="s">
        <v>49</v>
      </c>
      <c r="I438" s="269">
        <f ca="1">IFERROR(__xludf.DUMMYFUNCTION("IMPORTRANGE(""https://docs.google.com/spreadsheets/d/1QqKyyYR6Q21VydFLVH3TRQUabQu_ym0Zz7PgGX0-kHA/edit?usp=sharing"",""แผน!FE62"")"),0)</f>
        <v>0</v>
      </c>
      <c r="J438" s="214">
        <v>0</v>
      </c>
      <c r="K438" s="496">
        <f t="shared" ca="1" si="194"/>
        <v>0</v>
      </c>
      <c r="L438" s="496"/>
      <c r="M438" s="496"/>
      <c r="N438" s="496"/>
      <c r="O438" s="496"/>
      <c r="P438" s="496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6" t="s">
        <v>196</v>
      </c>
      <c r="E439" s="178"/>
      <c r="F439" s="178"/>
      <c r="G439" s="179"/>
      <c r="H439" s="616" t="s">
        <v>35</v>
      </c>
      <c r="I439" s="576">
        <f ca="1">IFERROR(__xludf.DUMMYFUNCTION("IMPORTRANGE(""https://docs.google.com/spreadsheets/d/1QqKyyYR6Q21VydFLVH3TRQUabQu_ym0Zz7PgGX0-kHA/edit?usp=sharing"",""แผน!FF62"")"),15)</f>
        <v>15</v>
      </c>
      <c r="J439" s="577">
        <v>0</v>
      </c>
      <c r="K439" s="496">
        <f t="shared" ca="1" si="194"/>
        <v>0</v>
      </c>
      <c r="L439" s="496"/>
      <c r="M439" s="496"/>
      <c r="N439" s="496"/>
      <c r="O439" s="496"/>
      <c r="P439" s="496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6" t="s">
        <v>197</v>
      </c>
      <c r="E440" s="178"/>
      <c r="F440" s="178"/>
      <c r="G440" s="179"/>
      <c r="H440" s="616" t="s">
        <v>49</v>
      </c>
      <c r="I440" s="269">
        <f ca="1">IFERROR(__xludf.DUMMYFUNCTION("IMPORTRANGE(""https://docs.google.com/spreadsheets/d/1QqKyyYR6Q21VydFLVH3TRQUabQu_ym0Zz7PgGX0-kHA/edit?usp=sharing"",""แผน!FG62"")"),1)</f>
        <v>1</v>
      </c>
      <c r="J440" s="214">
        <v>0</v>
      </c>
      <c r="K440" s="496">
        <f t="shared" ca="1" si="194"/>
        <v>0</v>
      </c>
      <c r="L440" s="496"/>
      <c r="M440" s="496"/>
      <c r="N440" s="496"/>
      <c r="O440" s="496"/>
      <c r="P440" s="496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>
      <c r="A441" s="170"/>
      <c r="B441" s="171"/>
      <c r="C441" s="171"/>
      <c r="D441" s="446" t="s">
        <v>198</v>
      </c>
      <c r="E441" s="178"/>
      <c r="F441" s="178"/>
      <c r="G441" s="179"/>
      <c r="H441" s="616" t="s">
        <v>35</v>
      </c>
      <c r="I441" s="269">
        <f ca="1">IFERROR(__xludf.DUMMYFUNCTION("IMPORTRANGE(""https://docs.google.com/spreadsheets/d/1QqKyyYR6Q21VydFLVH3TRQUabQu_ym0Zz7PgGX0-kHA/edit?usp=sharing"",""แผน!FH62"")"),0)</f>
        <v>0</v>
      </c>
      <c r="J441" s="269">
        <v>0</v>
      </c>
      <c r="K441" s="496">
        <f t="shared" ca="1" si="194"/>
        <v>0</v>
      </c>
      <c r="L441" s="496"/>
      <c r="M441" s="496"/>
      <c r="N441" s="496"/>
      <c r="O441" s="496"/>
      <c r="P441" s="496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 hidden="1">
      <c r="A442" s="578">
        <v>2</v>
      </c>
      <c r="B442" s="579" t="s">
        <v>199</v>
      </c>
      <c r="C442" s="580"/>
      <c r="D442" s="580"/>
      <c r="E442" s="580"/>
      <c r="F442" s="580"/>
      <c r="G442" s="581"/>
      <c r="H442" s="582" t="s">
        <v>35</v>
      </c>
      <c r="I442" s="583">
        <f t="shared" ref="I442:J442" ca="1" si="195">I460</f>
        <v>0</v>
      </c>
      <c r="J442" s="583">
        <f t="shared" si="195"/>
        <v>0</v>
      </c>
      <c r="K442" s="584">
        <f t="shared" ca="1" si="194"/>
        <v>0</v>
      </c>
      <c r="L442" s="585"/>
      <c r="M442" s="585"/>
      <c r="N442" s="585"/>
      <c r="O442" s="585"/>
      <c r="P442" s="585"/>
      <c r="Q442" s="571"/>
      <c r="R442" s="571"/>
      <c r="S442" s="571"/>
      <c r="T442" s="571"/>
      <c r="U442" s="571"/>
      <c r="V442" s="571"/>
      <c r="W442" s="571"/>
      <c r="X442" s="571"/>
      <c r="Y442" s="571"/>
      <c r="Z442" s="571"/>
    </row>
    <row r="443" spans="1:26" ht="19.5" hidden="1">
      <c r="A443" s="586"/>
      <c r="B443" s="587"/>
      <c r="C443" s="588"/>
      <c r="D443" s="588"/>
      <c r="E443" s="588"/>
      <c r="F443" s="588"/>
      <c r="G443" s="589"/>
      <c r="H443" s="562" t="s">
        <v>46</v>
      </c>
      <c r="I443" s="563">
        <f t="shared" ref="I443:J443" ca="1" si="196">I462</f>
        <v>0</v>
      </c>
      <c r="J443" s="563">
        <f t="shared" si="196"/>
        <v>0</v>
      </c>
      <c r="K443" s="564">
        <f t="shared" ca="1" si="194"/>
        <v>0</v>
      </c>
      <c r="L443" s="565"/>
      <c r="M443" s="565"/>
      <c r="N443" s="565"/>
      <c r="O443" s="565"/>
      <c r="P443" s="565"/>
      <c r="Q443" s="571"/>
      <c r="R443" s="571"/>
      <c r="S443" s="571"/>
      <c r="T443" s="571"/>
      <c r="U443" s="571"/>
      <c r="V443" s="571"/>
      <c r="W443" s="571"/>
      <c r="X443" s="571"/>
      <c r="Y443" s="571"/>
      <c r="Z443" s="571"/>
    </row>
    <row r="444" spans="1:26" ht="19.5" hidden="1">
      <c r="A444" s="590"/>
      <c r="B444" s="754"/>
      <c r="C444" s="754" t="s">
        <v>16</v>
      </c>
      <c r="D444" s="863" t="s">
        <v>17</v>
      </c>
      <c r="E444" s="857"/>
      <c r="F444" s="857"/>
      <c r="G444" s="189"/>
      <c r="H444" s="591" t="s">
        <v>12</v>
      </c>
      <c r="I444" s="269"/>
      <c r="J444" s="269"/>
      <c r="K444" s="496"/>
      <c r="L444" s="195">
        <f t="shared" ref="L444:N444" ca="1" si="197">L445+L446</f>
        <v>0</v>
      </c>
      <c r="M444" s="195">
        <f t="shared" si="197"/>
        <v>0</v>
      </c>
      <c r="N444" s="195">
        <f t="shared" si="197"/>
        <v>0</v>
      </c>
      <c r="O444" s="195">
        <f t="shared" ref="O444:O449" ca="1" si="198">IF(L444&gt;0,N444*100/L444,0)</f>
        <v>0</v>
      </c>
      <c r="P444" s="195">
        <f t="shared" ref="P444:P449" si="199">IF(M444&gt;0,N444*100/M444,0)</f>
        <v>0</v>
      </c>
      <c r="Q444" s="571"/>
      <c r="R444" s="571"/>
      <c r="S444" s="571"/>
      <c r="T444" s="571"/>
      <c r="U444" s="571"/>
      <c r="V444" s="571"/>
      <c r="W444" s="571"/>
      <c r="X444" s="571"/>
      <c r="Y444" s="571"/>
      <c r="Z444" s="571"/>
    </row>
    <row r="445" spans="1:26" ht="18.75" hidden="1">
      <c r="A445" s="592"/>
      <c r="B445" s="750"/>
      <c r="C445" s="750"/>
      <c r="D445" s="711"/>
      <c r="E445" s="750" t="s">
        <v>184</v>
      </c>
      <c r="F445" s="750"/>
      <c r="G445" s="596"/>
      <c r="H445" s="165" t="s">
        <v>12</v>
      </c>
      <c r="I445" s="610"/>
      <c r="J445" s="610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597"/>
      <c r="R445" s="597"/>
      <c r="S445" s="597"/>
      <c r="T445" s="597"/>
      <c r="U445" s="597"/>
      <c r="V445" s="597"/>
      <c r="W445" s="597"/>
      <c r="X445" s="597"/>
      <c r="Y445" s="597"/>
      <c r="Z445" s="597"/>
    </row>
    <row r="446" spans="1:26" ht="18.75" hidden="1">
      <c r="A446" s="592"/>
      <c r="B446" s="600"/>
      <c r="C446" s="750"/>
      <c r="D446" s="711"/>
      <c r="E446" s="750" t="s">
        <v>185</v>
      </c>
      <c r="F446" s="750"/>
      <c r="G446" s="596"/>
      <c r="H446" s="165" t="s">
        <v>12</v>
      </c>
      <c r="I446" s="610"/>
      <c r="J446" s="610"/>
      <c r="K446" s="93"/>
      <c r="L446" s="93">
        <f t="shared" ca="1" si="200"/>
        <v>0</v>
      </c>
      <c r="M446" s="93">
        <f t="shared" si="200"/>
        <v>0</v>
      </c>
      <c r="N446" s="93">
        <f t="shared" si="200"/>
        <v>0</v>
      </c>
      <c r="O446" s="93">
        <f t="shared" ca="1" si="198"/>
        <v>0</v>
      </c>
      <c r="P446" s="93">
        <f t="shared" si="199"/>
        <v>0</v>
      </c>
      <c r="Q446" s="597"/>
      <c r="R446" s="597"/>
      <c r="S446" s="597"/>
      <c r="T446" s="597"/>
      <c r="U446" s="597"/>
      <c r="V446" s="597"/>
      <c r="W446" s="597"/>
      <c r="X446" s="597"/>
      <c r="Y446" s="597"/>
      <c r="Z446" s="597"/>
    </row>
    <row r="447" spans="1:26" ht="18.75" hidden="1">
      <c r="A447" s="590"/>
      <c r="B447" s="568"/>
      <c r="C447" s="754"/>
      <c r="D447" s="599" t="s">
        <v>20</v>
      </c>
      <c r="E447" s="754"/>
      <c r="F447" s="754"/>
      <c r="G447" s="189"/>
      <c r="H447" s="161" t="s">
        <v>12</v>
      </c>
      <c r="I447" s="184"/>
      <c r="J447" s="184"/>
      <c r="K447" s="163"/>
      <c r="L447" s="496">
        <f t="shared" ref="L447:N447" ca="1" si="201">L448+L449</f>
        <v>0</v>
      </c>
      <c r="M447" s="496">
        <f t="shared" si="201"/>
        <v>0</v>
      </c>
      <c r="N447" s="496">
        <f t="shared" si="201"/>
        <v>0</v>
      </c>
      <c r="O447" s="496">
        <f t="shared" ca="1" si="198"/>
        <v>0</v>
      </c>
      <c r="P447" s="496">
        <f t="shared" si="199"/>
        <v>0</v>
      </c>
      <c r="Q447" s="571"/>
      <c r="R447" s="571"/>
      <c r="S447" s="571"/>
      <c r="T447" s="571"/>
      <c r="U447" s="571"/>
      <c r="V447" s="571"/>
      <c r="W447" s="571"/>
      <c r="X447" s="571"/>
      <c r="Y447" s="571"/>
      <c r="Z447" s="571"/>
    </row>
    <row r="448" spans="1:26" ht="18.75" hidden="1">
      <c r="A448" s="592"/>
      <c r="B448" s="600"/>
      <c r="C448" s="750"/>
      <c r="D448" s="711"/>
      <c r="E448" s="750" t="s">
        <v>184</v>
      </c>
      <c r="F448" s="750"/>
      <c r="G448" s="596"/>
      <c r="H448" s="165" t="s">
        <v>12</v>
      </c>
      <c r="I448" s="610"/>
      <c r="J448" s="610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597"/>
      <c r="R448" s="597"/>
      <c r="S448" s="597"/>
      <c r="T448" s="597"/>
      <c r="U448" s="597"/>
      <c r="V448" s="597"/>
      <c r="W448" s="597"/>
      <c r="X448" s="597"/>
      <c r="Y448" s="597"/>
      <c r="Z448" s="597"/>
    </row>
    <row r="449" spans="1:26" ht="18.75" hidden="1">
      <c r="A449" s="592"/>
      <c r="B449" s="600"/>
      <c r="C449" s="750"/>
      <c r="D449" s="711"/>
      <c r="E449" s="750" t="s">
        <v>185</v>
      </c>
      <c r="F449" s="750"/>
      <c r="G449" s="596"/>
      <c r="H449" s="165" t="s">
        <v>12</v>
      </c>
      <c r="I449" s="610"/>
      <c r="J449" s="610"/>
      <c r="K449" s="93"/>
      <c r="L449" s="93">
        <f ca="1">IFERROR(__xludf.DUMMYFUNCTION("IMPORTRANGE(""https://docs.google.com/spreadsheets/d/1QqKyyYR6Q21VydFLVH3TRQUabQu_ym0Zz7PgGX0-kHA/edit?usp=sharing"",""แผน!FJ62"")"),0)</f>
        <v>0</v>
      </c>
      <c r="M449" s="93">
        <v>0</v>
      </c>
      <c r="N449" s="93">
        <f>N450+N451+N452+N453</f>
        <v>0</v>
      </c>
      <c r="O449" s="93">
        <f t="shared" ca="1" si="198"/>
        <v>0</v>
      </c>
      <c r="P449" s="93">
        <f t="shared" si="199"/>
        <v>0</v>
      </c>
      <c r="Q449" s="597"/>
      <c r="R449" s="597"/>
      <c r="S449" s="597"/>
      <c r="T449" s="597"/>
      <c r="U449" s="597"/>
      <c r="V449" s="597"/>
      <c r="W449" s="597"/>
      <c r="X449" s="597"/>
      <c r="Y449" s="597"/>
      <c r="Z449" s="597"/>
    </row>
    <row r="450" spans="1:26" ht="18.75" hidden="1">
      <c r="A450" s="567"/>
      <c r="B450" s="568"/>
      <c r="C450" s="754"/>
      <c r="D450" s="754"/>
      <c r="E450" s="754"/>
      <c r="F450" s="754" t="s">
        <v>186</v>
      </c>
      <c r="G450" s="189"/>
      <c r="H450" s="161" t="s">
        <v>12</v>
      </c>
      <c r="I450" s="269"/>
      <c r="J450" s="269"/>
      <c r="K450" s="496"/>
      <c r="L450" s="496"/>
      <c r="M450" s="496"/>
      <c r="N450" s="817">
        <v>0</v>
      </c>
      <c r="O450" s="496"/>
      <c r="P450" s="496"/>
      <c r="Q450" s="571"/>
      <c r="R450" s="571"/>
      <c r="S450" s="571"/>
      <c r="T450" s="571"/>
      <c r="U450" s="571"/>
      <c r="V450" s="571"/>
      <c r="W450" s="571"/>
      <c r="X450" s="571"/>
      <c r="Y450" s="571"/>
      <c r="Z450" s="571"/>
    </row>
    <row r="451" spans="1:26" ht="18.75" hidden="1">
      <c r="A451" s="567"/>
      <c r="B451" s="568"/>
      <c r="C451" s="754"/>
      <c r="D451" s="754"/>
      <c r="E451" s="754"/>
      <c r="F451" s="754" t="s">
        <v>187</v>
      </c>
      <c r="G451" s="189"/>
      <c r="H451" s="161" t="s">
        <v>12</v>
      </c>
      <c r="I451" s="269"/>
      <c r="J451" s="269"/>
      <c r="K451" s="496"/>
      <c r="L451" s="496"/>
      <c r="M451" s="496"/>
      <c r="N451" s="817">
        <v>0</v>
      </c>
      <c r="O451" s="496"/>
      <c r="P451" s="496"/>
      <c r="Q451" s="571"/>
      <c r="R451" s="571"/>
      <c r="S451" s="571"/>
      <c r="T451" s="571"/>
      <c r="U451" s="571"/>
      <c r="V451" s="571"/>
      <c r="W451" s="571"/>
      <c r="X451" s="571"/>
      <c r="Y451" s="571"/>
      <c r="Z451" s="571"/>
    </row>
    <row r="452" spans="1:26" ht="18.75" hidden="1">
      <c r="A452" s="567"/>
      <c r="B452" s="568"/>
      <c r="C452" s="568"/>
      <c r="D452" s="568"/>
      <c r="E452" s="568"/>
      <c r="F452" s="754" t="s">
        <v>188</v>
      </c>
      <c r="G452" s="189"/>
      <c r="H452" s="161" t="s">
        <v>12</v>
      </c>
      <c r="I452" s="269"/>
      <c r="J452" s="269"/>
      <c r="K452" s="496"/>
      <c r="L452" s="496"/>
      <c r="M452" s="496"/>
      <c r="N452" s="817">
        <v>0</v>
      </c>
      <c r="O452" s="496"/>
      <c r="P452" s="496"/>
      <c r="Q452" s="571"/>
      <c r="R452" s="571"/>
      <c r="S452" s="571"/>
      <c r="T452" s="571"/>
      <c r="U452" s="571"/>
      <c r="V452" s="571"/>
      <c r="W452" s="571"/>
      <c r="X452" s="571"/>
      <c r="Y452" s="571"/>
      <c r="Z452" s="571"/>
    </row>
    <row r="453" spans="1:26" ht="18.75" hidden="1">
      <c r="A453" s="567"/>
      <c r="B453" s="568"/>
      <c r="C453" s="568"/>
      <c r="D453" s="568"/>
      <c r="E453" s="568"/>
      <c r="F453" s="754" t="s">
        <v>189</v>
      </c>
      <c r="G453" s="189"/>
      <c r="H453" s="161" t="s">
        <v>12</v>
      </c>
      <c r="I453" s="269"/>
      <c r="J453" s="269"/>
      <c r="K453" s="496"/>
      <c r="L453" s="496"/>
      <c r="M453" s="496"/>
      <c r="N453" s="817">
        <v>0</v>
      </c>
      <c r="O453" s="496"/>
      <c r="P453" s="496"/>
      <c r="Q453" s="571"/>
      <c r="R453" s="571"/>
      <c r="S453" s="571"/>
      <c r="T453" s="571"/>
      <c r="U453" s="571"/>
      <c r="V453" s="571"/>
      <c r="W453" s="571"/>
      <c r="X453" s="571"/>
      <c r="Y453" s="571"/>
      <c r="Z453" s="571"/>
    </row>
    <row r="454" spans="1:26" ht="18.75" hidden="1">
      <c r="A454" s="590"/>
      <c r="B454" s="568"/>
      <c r="C454" s="568"/>
      <c r="D454" s="599" t="s">
        <v>21</v>
      </c>
      <c r="E454" s="568"/>
      <c r="F454" s="754"/>
      <c r="G454" s="189"/>
      <c r="H454" s="168" t="s">
        <v>12</v>
      </c>
      <c r="I454" s="184"/>
      <c r="J454" s="184"/>
      <c r="K454" s="163"/>
      <c r="L454" s="496">
        <f t="shared" ref="L454:N454" ca="1" si="202">L455+L456</f>
        <v>0</v>
      </c>
      <c r="M454" s="496">
        <f t="shared" si="202"/>
        <v>0</v>
      </c>
      <c r="N454" s="496">
        <f t="shared" si="202"/>
        <v>0</v>
      </c>
      <c r="O454" s="496">
        <f t="shared" ref="O454:O456" ca="1" si="203">IF(L454&gt;0,N454*100/L454,0)</f>
        <v>0</v>
      </c>
      <c r="P454" s="496">
        <f t="shared" ref="P454:P456" si="204">IF(M454&gt;0,N454*100/M454,0)</f>
        <v>0</v>
      </c>
      <c r="Q454" s="571"/>
      <c r="R454" s="571"/>
      <c r="S454" s="571"/>
      <c r="T454" s="571"/>
      <c r="U454" s="571"/>
      <c r="V454" s="571"/>
      <c r="W454" s="571"/>
      <c r="X454" s="571"/>
      <c r="Y454" s="571"/>
      <c r="Z454" s="571"/>
    </row>
    <row r="455" spans="1:26" ht="18.75" hidden="1">
      <c r="A455" s="592"/>
      <c r="B455" s="600"/>
      <c r="C455" s="600"/>
      <c r="D455" s="600"/>
      <c r="E455" s="600" t="s">
        <v>18</v>
      </c>
      <c r="F455" s="750"/>
      <c r="G455" s="596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597"/>
      <c r="R455" s="597"/>
      <c r="S455" s="597"/>
      <c r="T455" s="597"/>
      <c r="U455" s="597"/>
      <c r="V455" s="597"/>
      <c r="W455" s="597"/>
      <c r="X455" s="597"/>
      <c r="Y455" s="597"/>
      <c r="Z455" s="597"/>
    </row>
    <row r="456" spans="1:26" ht="18.75" hidden="1">
      <c r="A456" s="592"/>
      <c r="B456" s="600"/>
      <c r="C456" s="600"/>
      <c r="D456" s="600"/>
      <c r="E456" s="600" t="s">
        <v>19</v>
      </c>
      <c r="F456" s="750"/>
      <c r="G456" s="596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IFERROR(__xludf.DUMMYFUNCTION("IMPORTRANGE(""https://docs.google.com/spreadsheets/d/1QqKyyYR6Q21VydFLVH3TRQUabQu_ym0Zz7PgGX0-kHA/edit?usp=sharing"",""แผน!FM62"")"),0)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597"/>
      <c r="R456" s="597"/>
      <c r="S456" s="597"/>
      <c r="T456" s="597"/>
      <c r="U456" s="597"/>
      <c r="V456" s="597"/>
      <c r="W456" s="597"/>
      <c r="X456" s="597"/>
      <c r="Y456" s="597"/>
      <c r="Z456" s="597"/>
    </row>
    <row r="457" spans="1:26" ht="19.5" hidden="1">
      <c r="A457" s="601"/>
      <c r="B457" s="611"/>
      <c r="C457" s="568" t="s">
        <v>16</v>
      </c>
      <c r="D457" s="836" t="s">
        <v>38</v>
      </c>
      <c r="E457" s="604"/>
      <c r="F457" s="752"/>
      <c r="G457" s="606"/>
      <c r="H457" s="753"/>
      <c r="I457" s="269"/>
      <c r="J457" s="269"/>
      <c r="K457" s="496"/>
      <c r="L457" s="496"/>
      <c r="M457" s="496"/>
      <c r="N457" s="496"/>
      <c r="O457" s="496"/>
      <c r="P457" s="496"/>
      <c r="Q457" s="571"/>
      <c r="R457" s="571"/>
      <c r="S457" s="571"/>
      <c r="T457" s="571"/>
      <c r="U457" s="571"/>
      <c r="V457" s="571"/>
      <c r="W457" s="571"/>
      <c r="X457" s="571"/>
      <c r="Y457" s="571"/>
      <c r="Z457" s="571"/>
    </row>
    <row r="458" spans="1:26" ht="18.75" hidden="1">
      <c r="A458" s="607"/>
      <c r="B458" s="609"/>
      <c r="C458" s="609"/>
      <c r="D458" s="609" t="s">
        <v>200</v>
      </c>
      <c r="E458" s="609"/>
      <c r="F458" s="711"/>
      <c r="G458" s="365"/>
      <c r="H458" s="369" t="s">
        <v>35</v>
      </c>
      <c r="I458" s="610">
        <v>0</v>
      </c>
      <c r="J458" s="610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597"/>
      <c r="R458" s="597"/>
      <c r="S458" s="597"/>
      <c r="T458" s="597"/>
      <c r="U458" s="597"/>
      <c r="V458" s="597"/>
      <c r="W458" s="597"/>
      <c r="X458" s="597"/>
      <c r="Y458" s="597"/>
      <c r="Z458" s="597"/>
    </row>
    <row r="459" spans="1:26" ht="18.75" hidden="1">
      <c r="A459" s="607"/>
      <c r="B459" s="609"/>
      <c r="C459" s="609"/>
      <c r="D459" s="609" t="s">
        <v>201</v>
      </c>
      <c r="E459" s="609"/>
      <c r="F459" s="711"/>
      <c r="G459" s="365"/>
      <c r="H459" s="369"/>
      <c r="I459" s="610"/>
      <c r="J459" s="610"/>
      <c r="K459" s="93"/>
      <c r="L459" s="93"/>
      <c r="M459" s="93"/>
      <c r="N459" s="93"/>
      <c r="O459" s="93"/>
      <c r="P459" s="93"/>
      <c r="Q459" s="597"/>
      <c r="R459" s="597"/>
      <c r="S459" s="597"/>
      <c r="T459" s="597"/>
      <c r="U459" s="597"/>
      <c r="V459" s="597"/>
      <c r="W459" s="597"/>
      <c r="X459" s="597"/>
      <c r="Y459" s="597"/>
      <c r="Z459" s="597"/>
    </row>
    <row r="460" spans="1:26" ht="18.75" hidden="1">
      <c r="A460" s="601"/>
      <c r="B460" s="611"/>
      <c r="C460" s="611"/>
      <c r="D460" s="611" t="s">
        <v>202</v>
      </c>
      <c r="E460" s="611"/>
      <c r="F460" s="619"/>
      <c r="G460" s="753"/>
      <c r="H460" s="755" t="s">
        <v>35</v>
      </c>
      <c r="I460" s="269">
        <f ca="1">IFERROR(__xludf.DUMMYFUNCTION("IMPORTRANGE(""https://docs.google.com/spreadsheets/d/1QqKyyYR6Q21VydFLVH3TRQUabQu_ym0Zz7PgGX0-kHA/edit?usp=sharing"",""แผน!FN62"")"),0)</f>
        <v>0</v>
      </c>
      <c r="J460" s="214">
        <v>0</v>
      </c>
      <c r="K460" s="496">
        <f ca="1">IF(I460&gt;0,J460*100/I460,0)</f>
        <v>0</v>
      </c>
      <c r="L460" s="496"/>
      <c r="M460" s="496"/>
      <c r="N460" s="496"/>
      <c r="O460" s="496"/>
      <c r="P460" s="496"/>
      <c r="Q460" s="571"/>
      <c r="R460" s="571"/>
      <c r="S460" s="571"/>
      <c r="T460" s="571"/>
      <c r="U460" s="571"/>
      <c r="V460" s="571"/>
      <c r="W460" s="571"/>
      <c r="X460" s="571"/>
      <c r="Y460" s="571"/>
      <c r="Z460" s="571"/>
    </row>
    <row r="461" spans="1:26" ht="18.75" hidden="1">
      <c r="A461" s="601"/>
      <c r="B461" s="611"/>
      <c r="C461" s="611"/>
      <c r="D461" s="611" t="s">
        <v>203</v>
      </c>
      <c r="E461" s="619"/>
      <c r="F461" s="619"/>
      <c r="G461" s="753"/>
      <c r="H461" s="755"/>
      <c r="I461" s="269"/>
      <c r="J461" s="269"/>
      <c r="K461" s="496"/>
      <c r="L461" s="496"/>
      <c r="M461" s="496"/>
      <c r="N461" s="496"/>
      <c r="O461" s="496"/>
      <c r="P461" s="496"/>
      <c r="Q461" s="571"/>
      <c r="R461" s="571"/>
      <c r="S461" s="571"/>
      <c r="T461" s="571"/>
      <c r="U461" s="571"/>
      <c r="V461" s="571"/>
      <c r="W461" s="571"/>
      <c r="X461" s="571"/>
      <c r="Y461" s="571"/>
      <c r="Z461" s="571"/>
    </row>
    <row r="462" spans="1:26" ht="18.75" hidden="1">
      <c r="A462" s="601"/>
      <c r="B462" s="611"/>
      <c r="C462" s="611"/>
      <c r="D462" s="611" t="s">
        <v>204</v>
      </c>
      <c r="E462" s="619"/>
      <c r="F462" s="619"/>
      <c r="G462" s="753"/>
      <c r="H462" s="755" t="s">
        <v>46</v>
      </c>
      <c r="I462" s="269">
        <f ca="1">IFERROR(__xludf.DUMMYFUNCTION("IMPORTRANGE(""https://docs.google.com/spreadsheets/d/1QqKyyYR6Q21VydFLVH3TRQUabQu_ym0Zz7PgGX0-kHA/edit?usp=sharing"",""แผน!FO62"")"),0)</f>
        <v>0</v>
      </c>
      <c r="J462" s="214">
        <v>0</v>
      </c>
      <c r="K462" s="496">
        <f ca="1">IF(I462&gt;0,J462*100/I462,0)</f>
        <v>0</v>
      </c>
      <c r="L462" s="496"/>
      <c r="M462" s="496"/>
      <c r="N462" s="496"/>
      <c r="O462" s="496"/>
      <c r="P462" s="496"/>
      <c r="Q462" s="571"/>
      <c r="R462" s="571"/>
      <c r="S462" s="571"/>
      <c r="T462" s="571"/>
      <c r="U462" s="571"/>
      <c r="V462" s="571"/>
      <c r="W462" s="571"/>
      <c r="X462" s="571"/>
      <c r="Y462" s="571"/>
      <c r="Z462" s="571"/>
    </row>
    <row r="463" spans="1:26" ht="18.75" hidden="1">
      <c r="A463" s="601"/>
      <c r="B463" s="611"/>
      <c r="C463" s="611"/>
      <c r="D463" s="611" t="s">
        <v>59</v>
      </c>
      <c r="E463" s="619"/>
      <c r="F463" s="754"/>
      <c r="G463" s="189"/>
      <c r="H463" s="755" t="s">
        <v>46</v>
      </c>
      <c r="I463" s="269">
        <f ca="1">IFERROR(__xludf.DUMMYFUNCTION("IMPORTRANGE(""https://docs.google.com/spreadsheets/d/1QqKyyYR6Q21VydFLVH3TRQUabQu_ym0Zz7PgGX0-kHA/edit?usp=sharing"",""แผน!FO62"")"),0)</f>
        <v>0</v>
      </c>
      <c r="J463" s="214">
        <v>0</v>
      </c>
      <c r="K463" s="496"/>
      <c r="L463" s="496"/>
      <c r="M463" s="496"/>
      <c r="N463" s="496"/>
      <c r="O463" s="496"/>
      <c r="P463" s="496"/>
      <c r="Q463" s="571"/>
      <c r="R463" s="571"/>
      <c r="S463" s="571"/>
      <c r="T463" s="571"/>
      <c r="U463" s="571"/>
      <c r="V463" s="571"/>
      <c r="W463" s="571"/>
      <c r="X463" s="571"/>
      <c r="Y463" s="571"/>
      <c r="Z463" s="571"/>
    </row>
    <row r="464" spans="1:26" ht="19.5" hidden="1">
      <c r="A464" s="601"/>
      <c r="B464" s="611"/>
      <c r="C464" s="611"/>
      <c r="D464" s="611"/>
      <c r="E464" s="619"/>
      <c r="F464" s="619"/>
      <c r="G464" s="613"/>
      <c r="H464" s="755" t="s">
        <v>35</v>
      </c>
      <c r="I464" s="269">
        <f ca="1">IFERROR(__xludf.DUMMYFUNCTION("IMPORTRANGE(""https://docs.google.com/spreadsheets/d/1QqKyyYR6Q21VydFLVH3TRQUabQu_ym0Zz7PgGX0-kHA/edit?usp=sharing"",""แผน!FN62"")"),0)</f>
        <v>0</v>
      </c>
      <c r="J464" s="214">
        <v>0</v>
      </c>
      <c r="K464" s="496"/>
      <c r="L464" s="496"/>
      <c r="M464" s="496"/>
      <c r="N464" s="496"/>
      <c r="O464" s="496"/>
      <c r="P464" s="496"/>
      <c r="Q464" s="571"/>
      <c r="R464" s="571"/>
      <c r="S464" s="571"/>
      <c r="T464" s="571"/>
      <c r="U464" s="571"/>
      <c r="V464" s="571"/>
      <c r="W464" s="571"/>
      <c r="X464" s="571"/>
      <c r="Y464" s="571"/>
      <c r="Z464" s="571"/>
    </row>
    <row r="465" spans="1:26" ht="19.5">
      <c r="A465" s="578">
        <v>3</v>
      </c>
      <c r="B465" s="579" t="s">
        <v>205</v>
      </c>
      <c r="C465" s="580"/>
      <c r="D465" s="580"/>
      <c r="E465" s="580"/>
      <c r="F465" s="580"/>
      <c r="G465" s="581"/>
      <c r="H465" s="582" t="s">
        <v>35</v>
      </c>
      <c r="I465" s="583">
        <f ca="1">IFERROR(__xludf.DUMMYFUNCTION("IMPORTRANGE(""https://docs.google.com/spreadsheets/d/1QqKyyYR6Q21VydFLVH3TRQUabQu_ym0Zz7PgGX0-kHA/edit?usp=sharing"",""แผน!FX62"")"),51)</f>
        <v>51</v>
      </c>
      <c r="J465" s="583">
        <f>J485+J489+J492</f>
        <v>1</v>
      </c>
      <c r="K465" s="584">
        <f t="shared" ref="K465:K466" ca="1" si="205">IF(I465&gt;0,J465*100/I465,0)</f>
        <v>1.9607843137254901</v>
      </c>
      <c r="L465" s="585"/>
      <c r="M465" s="585"/>
      <c r="N465" s="585"/>
      <c r="O465" s="585"/>
      <c r="P465" s="585"/>
      <c r="Q465" s="571"/>
      <c r="R465" s="571"/>
      <c r="S465" s="571"/>
      <c r="T465" s="571"/>
      <c r="U465" s="571"/>
      <c r="V465" s="571"/>
      <c r="W465" s="571"/>
      <c r="X465" s="571"/>
      <c r="Y465" s="571"/>
      <c r="Z465" s="571"/>
    </row>
    <row r="466" spans="1:26" ht="19.5">
      <c r="A466" s="586"/>
      <c r="B466" s="587"/>
      <c r="C466" s="588"/>
      <c r="D466" s="588"/>
      <c r="E466" s="588"/>
      <c r="F466" s="588"/>
      <c r="G466" s="589"/>
      <c r="H466" s="562" t="s">
        <v>46</v>
      </c>
      <c r="I466" s="563">
        <f ca="1">IFERROR(__xludf.DUMMYFUNCTION("IMPORTRANGE(""https://docs.google.com/spreadsheets/d/1QqKyyYR6Q21VydFLVH3TRQUabQu_ym0Zz7PgGX0-kHA/edit?usp=sharing"",""แผน!FW62"")"),500)</f>
        <v>500</v>
      </c>
      <c r="J466" s="563">
        <f>J483+J487</f>
        <v>0</v>
      </c>
      <c r="K466" s="564">
        <f t="shared" ca="1" si="205"/>
        <v>0</v>
      </c>
      <c r="L466" s="565"/>
      <c r="M466" s="565"/>
      <c r="N466" s="565"/>
      <c r="O466" s="565"/>
      <c r="P466" s="565"/>
      <c r="Q466" s="571"/>
      <c r="R466" s="571"/>
      <c r="S466" s="571"/>
      <c r="T466" s="571"/>
      <c r="U466" s="571"/>
      <c r="V466" s="571"/>
      <c r="W466" s="571"/>
      <c r="X466" s="571"/>
      <c r="Y466" s="571"/>
      <c r="Z466" s="571"/>
    </row>
    <row r="467" spans="1:26" ht="19.5">
      <c r="A467" s="590"/>
      <c r="B467" s="754"/>
      <c r="C467" s="754" t="s">
        <v>16</v>
      </c>
      <c r="D467" s="863" t="s">
        <v>17</v>
      </c>
      <c r="E467" s="857"/>
      <c r="F467" s="857"/>
      <c r="G467" s="189"/>
      <c r="H467" s="591" t="s">
        <v>12</v>
      </c>
      <c r="I467" s="269"/>
      <c r="J467" s="269"/>
      <c r="K467" s="496"/>
      <c r="L467" s="195">
        <f t="shared" ref="L467:N467" ca="1" si="206">L468+L469</f>
        <v>403983</v>
      </c>
      <c r="M467" s="195">
        <f t="shared" si="206"/>
        <v>0</v>
      </c>
      <c r="N467" s="195">
        <f t="shared" si="206"/>
        <v>18490</v>
      </c>
      <c r="O467" s="195">
        <f t="shared" ref="O467:O472" ca="1" si="207">IF(L467&gt;0,N467*100/L467,0)</f>
        <v>4.57692526665726</v>
      </c>
      <c r="P467" s="195">
        <f t="shared" ref="P467:P472" si="208">IF(M467&gt;0,N467*100/M467,0)</f>
        <v>0</v>
      </c>
      <c r="Q467" s="571"/>
      <c r="R467" s="571"/>
      <c r="S467" s="571"/>
      <c r="T467" s="571"/>
      <c r="U467" s="571"/>
      <c r="V467" s="571"/>
      <c r="W467" s="571"/>
      <c r="X467" s="571"/>
      <c r="Y467" s="571"/>
      <c r="Z467" s="571"/>
    </row>
    <row r="468" spans="1:26" ht="18.75" hidden="1">
      <c r="A468" s="592"/>
      <c r="B468" s="750"/>
      <c r="C468" s="750"/>
      <c r="D468" s="711"/>
      <c r="E468" s="750" t="s">
        <v>184</v>
      </c>
      <c r="F468" s="750"/>
      <c r="G468" s="596"/>
      <c r="H468" s="165" t="s">
        <v>12</v>
      </c>
      <c r="I468" s="610"/>
      <c r="J468" s="610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597"/>
      <c r="R468" s="597"/>
      <c r="S468" s="597"/>
      <c r="T468" s="597"/>
      <c r="U468" s="597"/>
      <c r="V468" s="597"/>
      <c r="W468" s="597"/>
      <c r="X468" s="597"/>
      <c r="Y468" s="597"/>
      <c r="Z468" s="597"/>
    </row>
    <row r="469" spans="1:26" ht="18.75" hidden="1">
      <c r="A469" s="592"/>
      <c r="B469" s="600"/>
      <c r="C469" s="750"/>
      <c r="D469" s="711"/>
      <c r="E469" s="750" t="s">
        <v>185</v>
      </c>
      <c r="F469" s="750"/>
      <c r="G469" s="596"/>
      <c r="H469" s="165" t="s">
        <v>12</v>
      </c>
      <c r="I469" s="610"/>
      <c r="J469" s="610"/>
      <c r="K469" s="93"/>
      <c r="L469" s="93">
        <f t="shared" ca="1" si="209"/>
        <v>403983</v>
      </c>
      <c r="M469" s="93">
        <f t="shared" si="209"/>
        <v>0</v>
      </c>
      <c r="N469" s="93">
        <f t="shared" si="209"/>
        <v>18490</v>
      </c>
      <c r="O469" s="93">
        <f t="shared" ca="1" si="207"/>
        <v>4.57692526665726</v>
      </c>
      <c r="P469" s="93">
        <f t="shared" si="208"/>
        <v>0</v>
      </c>
      <c r="Q469" s="597"/>
      <c r="R469" s="597"/>
      <c r="S469" s="597"/>
      <c r="T469" s="597"/>
      <c r="U469" s="597"/>
      <c r="V469" s="597"/>
      <c r="W469" s="597"/>
      <c r="X469" s="597"/>
      <c r="Y469" s="597"/>
      <c r="Z469" s="597"/>
    </row>
    <row r="470" spans="1:26" ht="18.75">
      <c r="A470" s="590"/>
      <c r="B470" s="568"/>
      <c r="C470" s="754"/>
      <c r="D470" s="599" t="s">
        <v>20</v>
      </c>
      <c r="E470" s="754"/>
      <c r="F470" s="754"/>
      <c r="G470" s="189"/>
      <c r="H470" s="161" t="s">
        <v>12</v>
      </c>
      <c r="I470" s="184"/>
      <c r="J470" s="184"/>
      <c r="K470" s="163"/>
      <c r="L470" s="496">
        <f t="shared" ref="L470:N470" ca="1" si="210">L471+L472</f>
        <v>403983</v>
      </c>
      <c r="M470" s="496">
        <f t="shared" si="210"/>
        <v>0</v>
      </c>
      <c r="N470" s="496">
        <f t="shared" si="210"/>
        <v>18490</v>
      </c>
      <c r="O470" s="496">
        <f t="shared" ca="1" si="207"/>
        <v>4.57692526665726</v>
      </c>
      <c r="P470" s="496">
        <f t="shared" si="208"/>
        <v>0</v>
      </c>
      <c r="Q470" s="571"/>
      <c r="R470" s="571"/>
      <c r="S470" s="571"/>
      <c r="T470" s="571"/>
      <c r="U470" s="571"/>
      <c r="V470" s="571"/>
      <c r="W470" s="571"/>
      <c r="X470" s="571"/>
      <c r="Y470" s="571"/>
      <c r="Z470" s="571"/>
    </row>
    <row r="471" spans="1:26" ht="18.75" hidden="1">
      <c r="A471" s="592"/>
      <c r="B471" s="600"/>
      <c r="C471" s="750"/>
      <c r="D471" s="711"/>
      <c r="E471" s="750" t="s">
        <v>184</v>
      </c>
      <c r="F471" s="750"/>
      <c r="G471" s="596"/>
      <c r="H471" s="165" t="s">
        <v>12</v>
      </c>
      <c r="I471" s="610"/>
      <c r="J471" s="610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597"/>
      <c r="R471" s="597"/>
      <c r="S471" s="597"/>
      <c r="T471" s="597"/>
      <c r="U471" s="597"/>
      <c r="V471" s="597"/>
      <c r="W471" s="597"/>
      <c r="X471" s="597"/>
      <c r="Y471" s="597"/>
      <c r="Z471" s="597"/>
    </row>
    <row r="472" spans="1:26" ht="18.75" hidden="1">
      <c r="A472" s="592"/>
      <c r="B472" s="600"/>
      <c r="C472" s="750"/>
      <c r="D472" s="711"/>
      <c r="E472" s="750" t="s">
        <v>185</v>
      </c>
      <c r="F472" s="750"/>
      <c r="G472" s="596"/>
      <c r="H472" s="165" t="s">
        <v>12</v>
      </c>
      <c r="I472" s="610"/>
      <c r="J472" s="610"/>
      <c r="K472" s="93"/>
      <c r="L472" s="93">
        <f ca="1">IFERROR(__xludf.DUMMYFUNCTION("IMPORTRANGE(""https://docs.google.com/spreadsheets/d/1QqKyyYR6Q21VydFLVH3TRQUabQu_ym0Zz7PgGX0-kHA/edit?usp=sharing"",""แผน!FS62"")"),403983)</f>
        <v>403983</v>
      </c>
      <c r="M472" s="93">
        <v>0</v>
      </c>
      <c r="N472" s="93">
        <f>N473+N474+N475+N476</f>
        <v>18490</v>
      </c>
      <c r="O472" s="93">
        <f t="shared" ca="1" si="207"/>
        <v>4.57692526665726</v>
      </c>
      <c r="P472" s="93">
        <f t="shared" si="208"/>
        <v>0</v>
      </c>
      <c r="Q472" s="597"/>
      <c r="R472" s="597"/>
      <c r="S472" s="597"/>
      <c r="T472" s="597"/>
      <c r="U472" s="597"/>
      <c r="V472" s="597"/>
      <c r="W472" s="597"/>
      <c r="X472" s="597"/>
      <c r="Y472" s="597"/>
      <c r="Z472" s="597"/>
    </row>
    <row r="473" spans="1:26" ht="18.75">
      <c r="A473" s="567"/>
      <c r="B473" s="568"/>
      <c r="C473" s="754"/>
      <c r="D473" s="754"/>
      <c r="E473" s="754"/>
      <c r="F473" s="754" t="s">
        <v>186</v>
      </c>
      <c r="G473" s="189"/>
      <c r="H473" s="161" t="s">
        <v>12</v>
      </c>
      <c r="I473" s="269"/>
      <c r="J473" s="269"/>
      <c r="K473" s="496"/>
      <c r="L473" s="496"/>
      <c r="M473" s="496"/>
      <c r="N473" s="817">
        <f>8520+6550</f>
        <v>15070</v>
      </c>
      <c r="O473" s="496"/>
      <c r="P473" s="496"/>
      <c r="Q473" s="571"/>
      <c r="R473" s="571"/>
      <c r="S473" s="571"/>
      <c r="T473" s="571"/>
      <c r="U473" s="571"/>
      <c r="V473" s="571"/>
      <c r="W473" s="571"/>
      <c r="X473" s="571"/>
      <c r="Y473" s="571"/>
      <c r="Z473" s="571"/>
    </row>
    <row r="474" spans="1:26" ht="18.75">
      <c r="A474" s="567"/>
      <c r="B474" s="568"/>
      <c r="C474" s="754"/>
      <c r="D474" s="754"/>
      <c r="E474" s="754"/>
      <c r="F474" s="754" t="s">
        <v>187</v>
      </c>
      <c r="G474" s="189"/>
      <c r="H474" s="161" t="s">
        <v>12</v>
      </c>
      <c r="I474" s="269"/>
      <c r="J474" s="269"/>
      <c r="K474" s="496"/>
      <c r="L474" s="496"/>
      <c r="M474" s="496"/>
      <c r="N474" s="817">
        <v>0</v>
      </c>
      <c r="O474" s="496"/>
      <c r="P474" s="496"/>
      <c r="Q474" s="571"/>
      <c r="R474" s="571"/>
      <c r="S474" s="571"/>
      <c r="T474" s="571"/>
      <c r="U474" s="571"/>
      <c r="V474" s="571"/>
      <c r="W474" s="571"/>
      <c r="X474" s="571"/>
      <c r="Y474" s="571"/>
      <c r="Z474" s="571"/>
    </row>
    <row r="475" spans="1:26" ht="18.75">
      <c r="A475" s="567"/>
      <c r="B475" s="568"/>
      <c r="C475" s="568"/>
      <c r="D475" s="568"/>
      <c r="E475" s="568"/>
      <c r="F475" s="754" t="s">
        <v>188</v>
      </c>
      <c r="G475" s="189"/>
      <c r="H475" s="161" t="s">
        <v>12</v>
      </c>
      <c r="I475" s="269"/>
      <c r="J475" s="269"/>
      <c r="K475" s="496"/>
      <c r="L475" s="496"/>
      <c r="M475" s="496"/>
      <c r="N475" s="817">
        <v>0</v>
      </c>
      <c r="O475" s="496"/>
      <c r="P475" s="496"/>
      <c r="Q475" s="571"/>
      <c r="R475" s="571"/>
      <c r="S475" s="571"/>
      <c r="T475" s="571"/>
      <c r="U475" s="571"/>
      <c r="V475" s="571"/>
      <c r="W475" s="571"/>
      <c r="X475" s="571"/>
      <c r="Y475" s="571"/>
      <c r="Z475" s="571"/>
    </row>
    <row r="476" spans="1:26" ht="18.75">
      <c r="A476" s="567"/>
      <c r="B476" s="568"/>
      <c r="C476" s="568"/>
      <c r="D476" s="568"/>
      <c r="E476" s="568"/>
      <c r="F476" s="754" t="s">
        <v>189</v>
      </c>
      <c r="G476" s="189"/>
      <c r="H476" s="161" t="s">
        <v>12</v>
      </c>
      <c r="I476" s="269"/>
      <c r="J476" s="269"/>
      <c r="K476" s="496"/>
      <c r="L476" s="496"/>
      <c r="M476" s="496"/>
      <c r="N476" s="817">
        <f>1270+2150</f>
        <v>3420</v>
      </c>
      <c r="O476" s="496"/>
      <c r="P476" s="496"/>
      <c r="Q476" s="571"/>
      <c r="R476" s="571"/>
      <c r="S476" s="571"/>
      <c r="T476" s="571"/>
      <c r="U476" s="571"/>
      <c r="V476" s="571"/>
      <c r="W476" s="571"/>
      <c r="X476" s="571"/>
      <c r="Y476" s="571"/>
      <c r="Z476" s="571"/>
    </row>
    <row r="477" spans="1:26" ht="18.75">
      <c r="A477" s="590"/>
      <c r="B477" s="568"/>
      <c r="C477" s="568"/>
      <c r="D477" s="599" t="s">
        <v>21</v>
      </c>
      <c r="E477" s="568"/>
      <c r="F477" s="568"/>
      <c r="G477" s="189"/>
      <c r="H477" s="168" t="s">
        <v>12</v>
      </c>
      <c r="I477" s="184"/>
      <c r="J477" s="184"/>
      <c r="K477" s="163"/>
      <c r="L477" s="496">
        <f t="shared" ref="L477:N477" ca="1" si="211">L478+L479</f>
        <v>0</v>
      </c>
      <c r="M477" s="496">
        <f t="shared" si="211"/>
        <v>0</v>
      </c>
      <c r="N477" s="496">
        <f t="shared" si="211"/>
        <v>0</v>
      </c>
      <c r="O477" s="496">
        <f t="shared" ref="O477:O479" ca="1" si="212">IF(L477&gt;0,N477*100/L477,0)</f>
        <v>0</v>
      </c>
      <c r="P477" s="496">
        <f t="shared" ref="P477:P479" si="213">IF(M477&gt;0,N477*100/M477,0)</f>
        <v>0</v>
      </c>
      <c r="Q477" s="571"/>
      <c r="R477" s="571"/>
      <c r="S477" s="571"/>
      <c r="T477" s="571"/>
      <c r="U477" s="571"/>
      <c r="V477" s="571"/>
      <c r="W477" s="571"/>
      <c r="X477" s="571"/>
      <c r="Y477" s="571"/>
      <c r="Z477" s="571"/>
    </row>
    <row r="478" spans="1:26" ht="18.75" hidden="1">
      <c r="A478" s="592"/>
      <c r="B478" s="600"/>
      <c r="C478" s="600"/>
      <c r="D478" s="600"/>
      <c r="E478" s="600" t="s">
        <v>18</v>
      </c>
      <c r="F478" s="600"/>
      <c r="G478" s="596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597"/>
      <c r="R478" s="597"/>
      <c r="S478" s="597"/>
      <c r="T478" s="597"/>
      <c r="U478" s="597"/>
      <c r="V478" s="597"/>
      <c r="W478" s="597"/>
      <c r="X478" s="597"/>
      <c r="Y478" s="597"/>
      <c r="Z478" s="597"/>
    </row>
    <row r="479" spans="1:26" ht="18.75" hidden="1">
      <c r="A479" s="592"/>
      <c r="B479" s="600"/>
      <c r="C479" s="600"/>
      <c r="D479" s="600"/>
      <c r="E479" s="600" t="s">
        <v>19</v>
      </c>
      <c r="F479" s="600"/>
      <c r="G479" s="596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IFERROR(__xludf.DUMMYFUNCTION("IMPORTRANGE(""https://docs.google.com/spreadsheets/d/1QqKyyYR6Q21VydFLVH3TRQUabQu_ym0Zz7PgGX0-kHA/edit?usp=sharing"",""แผน!FV62"")"),0)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597"/>
      <c r="R479" s="597"/>
      <c r="S479" s="597"/>
      <c r="T479" s="597"/>
      <c r="U479" s="597"/>
      <c r="V479" s="597"/>
      <c r="W479" s="597"/>
      <c r="X479" s="597"/>
      <c r="Y479" s="597"/>
      <c r="Z479" s="597"/>
    </row>
    <row r="480" spans="1:26" ht="19.5">
      <c r="A480" s="601"/>
      <c r="B480" s="611"/>
      <c r="C480" s="568" t="s">
        <v>16</v>
      </c>
      <c r="D480" s="837" t="s">
        <v>38</v>
      </c>
      <c r="E480" s="604"/>
      <c r="F480" s="752"/>
      <c r="G480" s="606"/>
      <c r="H480" s="753"/>
      <c r="I480" s="269"/>
      <c r="J480" s="269"/>
      <c r="K480" s="496"/>
      <c r="L480" s="496"/>
      <c r="M480" s="496"/>
      <c r="N480" s="496"/>
      <c r="O480" s="496"/>
      <c r="P480" s="496"/>
      <c r="Q480" s="571"/>
      <c r="R480" s="571"/>
      <c r="S480" s="571"/>
      <c r="T480" s="571"/>
      <c r="U480" s="571"/>
      <c r="V480" s="571"/>
      <c r="W480" s="571"/>
      <c r="X480" s="571"/>
      <c r="Y480" s="571"/>
      <c r="Z480" s="571"/>
    </row>
    <row r="481" spans="1:26" ht="19.5">
      <c r="A481" s="601"/>
      <c r="B481" s="611"/>
      <c r="C481" s="611"/>
      <c r="D481" s="618" t="s">
        <v>206</v>
      </c>
      <c r="E481" s="611"/>
      <c r="F481" s="611"/>
      <c r="G481" s="753"/>
      <c r="H481" s="189"/>
      <c r="I481" s="269"/>
      <c r="J481" s="269"/>
      <c r="K481" s="496"/>
      <c r="L481" s="496"/>
      <c r="M481" s="496"/>
      <c r="N481" s="496"/>
      <c r="O481" s="496"/>
      <c r="P481" s="496"/>
      <c r="Q481" s="571"/>
      <c r="R481" s="571"/>
      <c r="S481" s="571"/>
      <c r="T481" s="571"/>
      <c r="U481" s="571"/>
      <c r="V481" s="571"/>
      <c r="W481" s="571"/>
      <c r="X481" s="571"/>
      <c r="Y481" s="571"/>
      <c r="Z481" s="571"/>
    </row>
    <row r="482" spans="1:26" ht="18.75">
      <c r="A482" s="601"/>
      <c r="B482" s="611"/>
      <c r="C482" s="611"/>
      <c r="D482" s="611"/>
      <c r="E482" s="611" t="s">
        <v>207</v>
      </c>
      <c r="F482" s="611"/>
      <c r="G482" s="753"/>
      <c r="H482" s="189"/>
      <c r="I482" s="269"/>
      <c r="J482" s="269"/>
      <c r="K482" s="496"/>
      <c r="L482" s="496"/>
      <c r="M482" s="496"/>
      <c r="N482" s="496"/>
      <c r="O482" s="496"/>
      <c r="P482" s="496"/>
      <c r="Q482" s="571"/>
      <c r="R482" s="571"/>
      <c r="S482" s="571"/>
      <c r="T482" s="571"/>
      <c r="U482" s="571"/>
      <c r="V482" s="571"/>
      <c r="W482" s="571"/>
      <c r="X482" s="571"/>
      <c r="Y482" s="571"/>
      <c r="Z482" s="571"/>
    </row>
    <row r="483" spans="1:26" ht="18.75">
      <c r="A483" s="601"/>
      <c r="B483" s="611"/>
      <c r="C483" s="611"/>
      <c r="D483" s="611"/>
      <c r="E483" s="611"/>
      <c r="F483" s="611" t="s">
        <v>208</v>
      </c>
      <c r="G483" s="753"/>
      <c r="H483" s="616" t="s">
        <v>46</v>
      </c>
      <c r="I483" s="269">
        <f ca="1">IFERROR(__xludf.DUMMYFUNCTION("IMPORTRANGE(""https://docs.google.com/spreadsheets/d/1QqKyyYR6Q21VydFLVH3TRQUabQu_ym0Zz7PgGX0-kHA/edit?usp=sharing"",""แผน!FY62"")"),450)</f>
        <v>450</v>
      </c>
      <c r="J483" s="214">
        <v>0</v>
      </c>
      <c r="K483" s="496">
        <f ca="1">IF(I483&gt;0,J483*100/I483,0)</f>
        <v>0</v>
      </c>
      <c r="L483" s="496"/>
      <c r="M483" s="496"/>
      <c r="N483" s="496"/>
      <c r="O483" s="496"/>
      <c r="P483" s="496"/>
      <c r="Q483" s="571"/>
      <c r="R483" s="571"/>
      <c r="S483" s="571"/>
      <c r="T483" s="571"/>
      <c r="U483" s="571"/>
      <c r="V483" s="571"/>
      <c r="W483" s="571"/>
      <c r="X483" s="571"/>
      <c r="Y483" s="571"/>
      <c r="Z483" s="571"/>
    </row>
    <row r="484" spans="1:26" ht="18.75">
      <c r="A484" s="601"/>
      <c r="B484" s="611"/>
      <c r="C484" s="611"/>
      <c r="D484" s="611"/>
      <c r="E484" s="611"/>
      <c r="F484" s="611" t="s">
        <v>209</v>
      </c>
      <c r="G484" s="753"/>
      <c r="H484" s="616" t="s">
        <v>35</v>
      </c>
      <c r="I484" s="269"/>
      <c r="J484" s="214">
        <v>0</v>
      </c>
      <c r="K484" s="496"/>
      <c r="L484" s="496"/>
      <c r="M484" s="496"/>
      <c r="N484" s="496"/>
      <c r="O484" s="496"/>
      <c r="P484" s="496"/>
      <c r="Q484" s="571"/>
      <c r="R484" s="571"/>
      <c r="S484" s="571"/>
      <c r="T484" s="571"/>
      <c r="U484" s="571"/>
      <c r="V484" s="571"/>
      <c r="W484" s="571"/>
      <c r="X484" s="571"/>
      <c r="Y484" s="571"/>
      <c r="Z484" s="571"/>
    </row>
    <row r="485" spans="1:26" ht="18.75">
      <c r="A485" s="601"/>
      <c r="B485" s="611"/>
      <c r="C485" s="611"/>
      <c r="D485" s="611"/>
      <c r="E485" s="611"/>
      <c r="F485" s="611" t="s">
        <v>210</v>
      </c>
      <c r="G485" s="753"/>
      <c r="H485" s="616" t="s">
        <v>35</v>
      </c>
      <c r="I485" s="269">
        <f ca="1">IFERROR(__xludf.DUMMYFUNCTION("IMPORTRANGE(""https://docs.google.com/spreadsheets/d/1QqKyyYR6Q21VydFLVH3TRQUabQu_ym0Zz7PgGX0-kHA/edit?usp=sharing"",""แผน!FZ62"")"),45)</f>
        <v>45</v>
      </c>
      <c r="J485" s="214"/>
      <c r="K485" s="496">
        <f ca="1">IF(I485&gt;0,J485*100/I485,0)</f>
        <v>0</v>
      </c>
      <c r="L485" s="496"/>
      <c r="M485" s="496"/>
      <c r="N485" s="496"/>
      <c r="O485" s="496"/>
      <c r="P485" s="496"/>
      <c r="Q485" s="571"/>
      <c r="R485" s="571"/>
      <c r="S485" s="571"/>
      <c r="T485" s="571"/>
      <c r="U485" s="571"/>
      <c r="V485" s="571"/>
      <c r="W485" s="571"/>
      <c r="X485" s="571"/>
      <c r="Y485" s="571"/>
      <c r="Z485" s="571"/>
    </row>
    <row r="486" spans="1:26" ht="18.75">
      <c r="A486" s="601"/>
      <c r="B486" s="611"/>
      <c r="C486" s="611"/>
      <c r="D486" s="611"/>
      <c r="E486" s="611" t="s">
        <v>62</v>
      </c>
      <c r="F486" s="611"/>
      <c r="G486" s="753"/>
      <c r="H486" s="616"/>
      <c r="I486" s="269"/>
      <c r="J486" s="269"/>
      <c r="K486" s="496"/>
      <c r="L486" s="496"/>
      <c r="M486" s="496"/>
      <c r="N486" s="496"/>
      <c r="O486" s="496"/>
      <c r="P486" s="496"/>
      <c r="Q486" s="571"/>
      <c r="R486" s="571"/>
      <c r="S486" s="571"/>
      <c r="T486" s="571"/>
      <c r="U486" s="571"/>
      <c r="V486" s="571"/>
      <c r="W486" s="571"/>
      <c r="X486" s="571"/>
      <c r="Y486" s="571"/>
      <c r="Z486" s="571"/>
    </row>
    <row r="487" spans="1:26" ht="18.75">
      <c r="A487" s="601"/>
      <c r="B487" s="611"/>
      <c r="C487" s="611"/>
      <c r="D487" s="611"/>
      <c r="E487" s="611"/>
      <c r="F487" s="611" t="s">
        <v>208</v>
      </c>
      <c r="G487" s="753"/>
      <c r="H487" s="616" t="s">
        <v>46</v>
      </c>
      <c r="I487" s="269">
        <f ca="1">IFERROR(__xludf.DUMMYFUNCTION("IMPORTRANGE(""https://docs.google.com/spreadsheets/d/1QqKyyYR6Q21VydFLVH3TRQUabQu_ym0Zz7PgGX0-kHA/edit?usp=sharing"",""แผน!GA62"")"),50)</f>
        <v>50</v>
      </c>
      <c r="J487" s="214">
        <v>0</v>
      </c>
      <c r="K487" s="496">
        <f ca="1">IF(I487&gt;0,J487*100/I487,0)</f>
        <v>0</v>
      </c>
      <c r="L487" s="496"/>
      <c r="M487" s="496"/>
      <c r="N487" s="496"/>
      <c r="O487" s="496"/>
      <c r="P487" s="496"/>
      <c r="Q487" s="571"/>
      <c r="R487" s="571"/>
      <c r="S487" s="571"/>
      <c r="T487" s="571"/>
      <c r="U487" s="571"/>
      <c r="V487" s="571"/>
      <c r="W487" s="571"/>
      <c r="X487" s="571"/>
      <c r="Y487" s="571"/>
      <c r="Z487" s="571"/>
    </row>
    <row r="488" spans="1:26" ht="18.75">
      <c r="A488" s="601"/>
      <c r="B488" s="611"/>
      <c r="C488" s="611"/>
      <c r="D488" s="611"/>
      <c r="E488" s="611"/>
      <c r="F488" s="611" t="s">
        <v>211</v>
      </c>
      <c r="G488" s="753"/>
      <c r="H488" s="616" t="s">
        <v>35</v>
      </c>
      <c r="I488" s="269"/>
      <c r="J488" s="214">
        <v>0</v>
      </c>
      <c r="K488" s="496"/>
      <c r="L488" s="496"/>
      <c r="M488" s="496"/>
      <c r="N488" s="496"/>
      <c r="O488" s="496"/>
      <c r="P488" s="496"/>
      <c r="Q488" s="571"/>
      <c r="R488" s="571"/>
      <c r="S488" s="571"/>
      <c r="T488" s="571"/>
      <c r="U488" s="571"/>
      <c r="V488" s="571"/>
      <c r="W488" s="571"/>
      <c r="X488" s="571"/>
      <c r="Y488" s="571"/>
      <c r="Z488" s="571"/>
    </row>
    <row r="489" spans="1:26" ht="18.75">
      <c r="A489" s="601"/>
      <c r="B489" s="611"/>
      <c r="C489" s="611"/>
      <c r="D489" s="611"/>
      <c r="E489" s="611"/>
      <c r="F489" s="611" t="s">
        <v>212</v>
      </c>
      <c r="G489" s="753"/>
      <c r="H489" s="616" t="s">
        <v>35</v>
      </c>
      <c r="I489" s="269">
        <f ca="1">IFERROR(__xludf.DUMMYFUNCTION("IMPORTRANGE(""https://docs.google.com/spreadsheets/d/1QqKyyYR6Q21VydFLVH3TRQUabQu_ym0Zz7PgGX0-kHA/edit?usp=sharing"",""แผน!GB62"")"),5)</f>
        <v>5</v>
      </c>
      <c r="J489" s="214">
        <v>0</v>
      </c>
      <c r="K489" s="496">
        <f ca="1">IF(I489&gt;0,J489*100/I489,0)</f>
        <v>0</v>
      </c>
      <c r="L489" s="496"/>
      <c r="M489" s="496"/>
      <c r="N489" s="496"/>
      <c r="O489" s="496"/>
      <c r="P489" s="496"/>
      <c r="Q489" s="571"/>
      <c r="R489" s="571"/>
      <c r="S489" s="571"/>
      <c r="T489" s="571"/>
      <c r="U489" s="571"/>
      <c r="V489" s="571"/>
      <c r="W489" s="571"/>
      <c r="X489" s="571"/>
      <c r="Y489" s="571"/>
      <c r="Z489" s="571"/>
    </row>
    <row r="490" spans="1:26" ht="18.75">
      <c r="A490" s="601"/>
      <c r="B490" s="611"/>
      <c r="C490" s="611"/>
      <c r="D490" s="611"/>
      <c r="E490" s="611" t="s">
        <v>63</v>
      </c>
      <c r="F490" s="619"/>
      <c r="G490" s="753"/>
      <c r="H490" s="616"/>
      <c r="I490" s="269"/>
      <c r="J490" s="269"/>
      <c r="K490" s="496"/>
      <c r="L490" s="496"/>
      <c r="M490" s="496"/>
      <c r="N490" s="496"/>
      <c r="O490" s="496"/>
      <c r="P490" s="496"/>
      <c r="Q490" s="571"/>
      <c r="R490" s="571"/>
      <c r="S490" s="571"/>
      <c r="T490" s="571"/>
      <c r="U490" s="571"/>
      <c r="V490" s="571"/>
      <c r="W490" s="571"/>
      <c r="X490" s="571"/>
      <c r="Y490" s="571"/>
      <c r="Z490" s="571"/>
    </row>
    <row r="491" spans="1:26" ht="18.75">
      <c r="A491" s="601"/>
      <c r="B491" s="611"/>
      <c r="C491" s="611"/>
      <c r="D491" s="611"/>
      <c r="E491" s="611"/>
      <c r="F491" s="611" t="s">
        <v>213</v>
      </c>
      <c r="G491" s="753"/>
      <c r="H491" s="616" t="s">
        <v>35</v>
      </c>
      <c r="I491" s="269"/>
      <c r="J491" s="214"/>
      <c r="K491" s="496"/>
      <c r="L491" s="496"/>
      <c r="M491" s="496"/>
      <c r="N491" s="496"/>
      <c r="O491" s="496"/>
      <c r="P491" s="496"/>
      <c r="Q491" s="571"/>
      <c r="R491" s="571"/>
      <c r="S491" s="571"/>
      <c r="T491" s="571"/>
      <c r="U491" s="571"/>
      <c r="V491" s="571"/>
      <c r="W491" s="571"/>
      <c r="X491" s="571"/>
      <c r="Y491" s="571"/>
      <c r="Z491" s="571"/>
    </row>
    <row r="492" spans="1:26" ht="18.75">
      <c r="A492" s="601"/>
      <c r="B492" s="611"/>
      <c r="C492" s="611"/>
      <c r="D492" s="611"/>
      <c r="E492" s="611"/>
      <c r="F492" s="611" t="s">
        <v>214</v>
      </c>
      <c r="G492" s="753"/>
      <c r="H492" s="616" t="s">
        <v>35</v>
      </c>
      <c r="I492" s="269">
        <f ca="1">IFERROR(__xludf.DUMMYFUNCTION("IMPORTRANGE(""https://docs.google.com/spreadsheets/d/1QqKyyYR6Q21VydFLVH3TRQUabQu_ym0Zz7PgGX0-kHA/edit?usp=sharing"",""แผน!GC62"")"),1)</f>
        <v>1</v>
      </c>
      <c r="J492" s="214">
        <v>1</v>
      </c>
      <c r="K492" s="496">
        <f ca="1">IF(I492&gt;0,J492*100/I492,0)</f>
        <v>100</v>
      </c>
      <c r="L492" s="496"/>
      <c r="M492" s="496"/>
      <c r="N492" s="496"/>
      <c r="O492" s="496"/>
      <c r="P492" s="496"/>
      <c r="Q492" s="571"/>
      <c r="R492" s="571"/>
      <c r="S492" s="571"/>
      <c r="T492" s="571"/>
      <c r="U492" s="571"/>
      <c r="V492" s="571"/>
      <c r="W492" s="571"/>
      <c r="X492" s="571"/>
      <c r="Y492" s="571"/>
      <c r="Z492" s="571"/>
    </row>
    <row r="493" spans="1:26" ht="19.5">
      <c r="A493" s="601"/>
      <c r="B493" s="611"/>
      <c r="C493" s="611"/>
      <c r="D493" s="618" t="s">
        <v>59</v>
      </c>
      <c r="E493" s="611"/>
      <c r="F493" s="619"/>
      <c r="G493" s="753"/>
      <c r="H493" s="189"/>
      <c r="I493" s="269"/>
      <c r="J493" s="269"/>
      <c r="K493" s="496"/>
      <c r="L493" s="496"/>
      <c r="M493" s="496"/>
      <c r="N493" s="496"/>
      <c r="O493" s="496"/>
      <c r="P493" s="496"/>
      <c r="Q493" s="571"/>
      <c r="R493" s="571"/>
      <c r="S493" s="571"/>
      <c r="T493" s="571"/>
      <c r="U493" s="571"/>
      <c r="V493" s="571"/>
      <c r="W493" s="571"/>
      <c r="X493" s="571"/>
      <c r="Y493" s="571"/>
      <c r="Z493" s="571"/>
    </row>
    <row r="494" spans="1:26" ht="18.75">
      <c r="A494" s="601"/>
      <c r="B494" s="611"/>
      <c r="C494" s="611"/>
      <c r="D494" s="611"/>
      <c r="E494" s="611" t="s">
        <v>207</v>
      </c>
      <c r="F494" s="619"/>
      <c r="G494" s="753"/>
      <c r="H494" s="189"/>
      <c r="I494" s="269"/>
      <c r="J494" s="269"/>
      <c r="K494" s="496"/>
      <c r="L494" s="496"/>
      <c r="M494" s="496"/>
      <c r="N494" s="496"/>
      <c r="O494" s="496"/>
      <c r="P494" s="496"/>
      <c r="Q494" s="571"/>
      <c r="R494" s="571"/>
      <c r="S494" s="571"/>
      <c r="T494" s="571"/>
      <c r="U494" s="571"/>
      <c r="V494" s="571"/>
      <c r="W494" s="571"/>
      <c r="X494" s="571"/>
      <c r="Y494" s="571"/>
      <c r="Z494" s="571"/>
    </row>
    <row r="495" spans="1:26" ht="18.75">
      <c r="A495" s="601"/>
      <c r="B495" s="611"/>
      <c r="C495" s="611"/>
      <c r="D495" s="611"/>
      <c r="E495" s="611"/>
      <c r="F495" s="619" t="s">
        <v>215</v>
      </c>
      <c r="G495" s="753"/>
      <c r="H495" s="616" t="s">
        <v>46</v>
      </c>
      <c r="I495" s="269">
        <f ca="1">IFERROR(__xludf.DUMMYFUNCTION("IMPORTRANGE(""https://docs.google.com/spreadsheets/d/1QqKyyYR6Q21VydFLVH3TRQUabQu_ym0Zz7PgGX0-kHA/edit?usp=sharing"",""แผน!FY62"")"),450)</f>
        <v>450</v>
      </c>
      <c r="J495" s="214">
        <v>0</v>
      </c>
      <c r="K495" s="496">
        <f ca="1">IF(I495&gt;0,J495*100/I495,0)</f>
        <v>0</v>
      </c>
      <c r="L495" s="496"/>
      <c r="M495" s="496"/>
      <c r="N495" s="496"/>
      <c r="O495" s="496"/>
      <c r="P495" s="496"/>
      <c r="Q495" s="571"/>
      <c r="R495" s="571"/>
      <c r="S495" s="571"/>
      <c r="T495" s="571"/>
      <c r="U495" s="571"/>
      <c r="V495" s="571"/>
      <c r="W495" s="571"/>
      <c r="X495" s="571"/>
      <c r="Y495" s="571"/>
      <c r="Z495" s="571"/>
    </row>
    <row r="496" spans="1:26" ht="18.75">
      <c r="A496" s="601"/>
      <c r="B496" s="611"/>
      <c r="C496" s="611"/>
      <c r="D496" s="611"/>
      <c r="E496" s="611"/>
      <c r="F496" s="619" t="s">
        <v>216</v>
      </c>
      <c r="G496" s="753"/>
      <c r="H496" s="616" t="s">
        <v>46</v>
      </c>
      <c r="I496" s="269"/>
      <c r="J496" s="214">
        <v>0</v>
      </c>
      <c r="K496" s="496"/>
      <c r="L496" s="496"/>
      <c r="M496" s="496"/>
      <c r="N496" s="496"/>
      <c r="O496" s="496"/>
      <c r="P496" s="496"/>
      <c r="Q496" s="571"/>
      <c r="R496" s="571"/>
      <c r="S496" s="571"/>
      <c r="T496" s="571"/>
      <c r="U496" s="571"/>
      <c r="V496" s="571"/>
      <c r="W496" s="571"/>
      <c r="X496" s="571"/>
      <c r="Y496" s="571"/>
      <c r="Z496" s="571"/>
    </row>
    <row r="497" spans="1:26" ht="18.75">
      <c r="A497" s="601"/>
      <c r="B497" s="611"/>
      <c r="C497" s="611"/>
      <c r="D497" s="611"/>
      <c r="E497" s="611" t="s">
        <v>62</v>
      </c>
      <c r="F497" s="619"/>
      <c r="G497" s="753"/>
      <c r="H497" s="189"/>
      <c r="I497" s="269"/>
      <c r="J497" s="269"/>
      <c r="K497" s="496"/>
      <c r="L497" s="496"/>
      <c r="M497" s="496"/>
      <c r="N497" s="496"/>
      <c r="O497" s="496"/>
      <c r="P497" s="496"/>
      <c r="Q497" s="571"/>
      <c r="R497" s="571"/>
      <c r="S497" s="571"/>
      <c r="T497" s="571"/>
      <c r="U497" s="571"/>
      <c r="V497" s="571"/>
      <c r="W497" s="571"/>
      <c r="X497" s="571"/>
      <c r="Y497" s="571"/>
      <c r="Z497" s="571"/>
    </row>
    <row r="498" spans="1:26" ht="18.75">
      <c r="A498" s="601"/>
      <c r="B498" s="611"/>
      <c r="C498" s="611"/>
      <c r="D498" s="611"/>
      <c r="E498" s="619"/>
      <c r="F498" s="619" t="s">
        <v>217</v>
      </c>
      <c r="G498" s="753"/>
      <c r="H498" s="616" t="s">
        <v>46</v>
      </c>
      <c r="I498" s="269">
        <f ca="1">IFERROR(__xludf.DUMMYFUNCTION("IMPORTRANGE(""https://docs.google.com/spreadsheets/d/1QqKyyYR6Q21VydFLVH3TRQUabQu_ym0Zz7PgGX0-kHA/edit?usp=sharing"",""แผน!GA62"")"),50)</f>
        <v>50</v>
      </c>
      <c r="J498" s="214">
        <v>0</v>
      </c>
      <c r="K498" s="496">
        <f ca="1">IF(I498&gt;0,J498*100/I498,0)</f>
        <v>0</v>
      </c>
      <c r="L498" s="496"/>
      <c r="M498" s="496"/>
      <c r="N498" s="496"/>
      <c r="O498" s="496"/>
      <c r="P498" s="496"/>
      <c r="Q498" s="571"/>
      <c r="R498" s="571"/>
      <c r="S498" s="571"/>
      <c r="T498" s="571"/>
      <c r="U498" s="571"/>
      <c r="V498" s="571"/>
      <c r="W498" s="571"/>
      <c r="X498" s="571"/>
      <c r="Y498" s="571"/>
      <c r="Z498" s="571"/>
    </row>
    <row r="499" spans="1:26" ht="18.75">
      <c r="A499" s="601"/>
      <c r="B499" s="611"/>
      <c r="C499" s="611"/>
      <c r="D499" s="611"/>
      <c r="E499" s="619"/>
      <c r="F499" s="619" t="s">
        <v>218</v>
      </c>
      <c r="G499" s="753"/>
      <c r="H499" s="616" t="s">
        <v>46</v>
      </c>
      <c r="I499" s="269"/>
      <c r="J499" s="214">
        <v>0</v>
      </c>
      <c r="K499" s="496"/>
      <c r="L499" s="496"/>
      <c r="M499" s="496"/>
      <c r="N499" s="496"/>
      <c r="O499" s="496"/>
      <c r="P499" s="496"/>
      <c r="Q499" s="571"/>
      <c r="R499" s="571"/>
      <c r="S499" s="571"/>
      <c r="T499" s="571"/>
      <c r="U499" s="571"/>
      <c r="V499" s="571"/>
      <c r="W499" s="571"/>
      <c r="X499" s="571"/>
      <c r="Y499" s="571"/>
      <c r="Z499" s="571"/>
    </row>
    <row r="500" spans="1:26" ht="19.5" hidden="1">
      <c r="A500" s="620">
        <v>4</v>
      </c>
      <c r="B500" s="621" t="s">
        <v>219</v>
      </c>
      <c r="C500" s="622"/>
      <c r="D500" s="623"/>
      <c r="E500" s="623"/>
      <c r="F500" s="623"/>
      <c r="G500" s="624"/>
      <c r="H500" s="625" t="s">
        <v>109</v>
      </c>
      <c r="I500" s="626"/>
      <c r="J500" s="626">
        <f t="shared" ref="J500:J501" si="214">J516</f>
        <v>0</v>
      </c>
      <c r="K500" s="627">
        <f t="shared" ref="K500:K501" si="215">IF(I500&gt;0,J500*100/I500,0)</f>
        <v>0</v>
      </c>
      <c r="L500" s="628"/>
      <c r="M500" s="628"/>
      <c r="N500" s="628"/>
      <c r="O500" s="628"/>
      <c r="P500" s="628"/>
      <c r="Q500" s="597"/>
      <c r="R500" s="597"/>
      <c r="S500" s="597"/>
      <c r="T500" s="597"/>
      <c r="U500" s="597"/>
      <c r="V500" s="597"/>
      <c r="W500" s="597"/>
      <c r="X500" s="597"/>
      <c r="Y500" s="597"/>
      <c r="Z500" s="597"/>
    </row>
    <row r="501" spans="1:26" ht="19.5" hidden="1">
      <c r="A501" s="629"/>
      <c r="B501" s="631" t="s">
        <v>220</v>
      </c>
      <c r="C501" s="631"/>
      <c r="D501" s="632"/>
      <c r="E501" s="632"/>
      <c r="F501" s="632"/>
      <c r="G501" s="633"/>
      <c r="H501" s="634" t="s">
        <v>35</v>
      </c>
      <c r="I501" s="635"/>
      <c r="J501" s="635">
        <f t="shared" si="214"/>
        <v>0</v>
      </c>
      <c r="K501" s="636">
        <f t="shared" si="215"/>
        <v>0</v>
      </c>
      <c r="L501" s="637"/>
      <c r="M501" s="637"/>
      <c r="N501" s="637"/>
      <c r="O501" s="637"/>
      <c r="P501" s="637"/>
      <c r="Q501" s="597"/>
      <c r="R501" s="597"/>
      <c r="S501" s="597"/>
      <c r="T501" s="597"/>
      <c r="U501" s="597"/>
      <c r="V501" s="597"/>
      <c r="W501" s="597"/>
      <c r="X501" s="597"/>
      <c r="Y501" s="597"/>
      <c r="Z501" s="597"/>
    </row>
    <row r="502" spans="1:26" ht="19.5" hidden="1">
      <c r="A502" s="592"/>
      <c r="B502" s="750"/>
      <c r="C502" s="750" t="s">
        <v>16</v>
      </c>
      <c r="D502" s="864" t="s">
        <v>17</v>
      </c>
      <c r="E502" s="857"/>
      <c r="F502" s="857"/>
      <c r="G502" s="596"/>
      <c r="H502" s="639" t="s">
        <v>12</v>
      </c>
      <c r="I502" s="610"/>
      <c r="J502" s="610"/>
      <c r="K502" s="93"/>
      <c r="L502" s="640">
        <f t="shared" ref="L502:N502" si="216">L503+L504</f>
        <v>0</v>
      </c>
      <c r="M502" s="640">
        <f t="shared" si="216"/>
        <v>0</v>
      </c>
      <c r="N502" s="640">
        <f t="shared" si="216"/>
        <v>0</v>
      </c>
      <c r="O502" s="640">
        <f t="shared" ref="O502:O507" si="217">IF(L502&gt;0,N502*100/L502,0)</f>
        <v>0</v>
      </c>
      <c r="P502" s="640">
        <f t="shared" ref="P502:P507" si="218">IF(M502&gt;0,N502*100/M502,0)</f>
        <v>0</v>
      </c>
      <c r="Q502" s="597"/>
      <c r="R502" s="597"/>
      <c r="S502" s="597"/>
      <c r="T502" s="597"/>
      <c r="U502" s="597"/>
      <c r="V502" s="597"/>
      <c r="W502" s="597"/>
      <c r="X502" s="597"/>
      <c r="Y502" s="597"/>
      <c r="Z502" s="597"/>
    </row>
    <row r="503" spans="1:26" ht="18.75" hidden="1">
      <c r="A503" s="592"/>
      <c r="B503" s="750"/>
      <c r="C503" s="750"/>
      <c r="D503" s="711"/>
      <c r="E503" s="750" t="s">
        <v>184</v>
      </c>
      <c r="F503" s="750"/>
      <c r="G503" s="596"/>
      <c r="H503" s="165" t="s">
        <v>12</v>
      </c>
      <c r="I503" s="610"/>
      <c r="J503" s="610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597"/>
      <c r="R503" s="597"/>
      <c r="S503" s="597"/>
      <c r="T503" s="597"/>
      <c r="U503" s="597"/>
      <c r="V503" s="597"/>
      <c r="W503" s="597"/>
      <c r="X503" s="597"/>
      <c r="Y503" s="597"/>
      <c r="Z503" s="597"/>
    </row>
    <row r="504" spans="1:26" ht="18.75" hidden="1">
      <c r="A504" s="592"/>
      <c r="B504" s="600"/>
      <c r="C504" s="750"/>
      <c r="D504" s="711"/>
      <c r="E504" s="750" t="s">
        <v>185</v>
      </c>
      <c r="F504" s="750"/>
      <c r="G504" s="596"/>
      <c r="H504" s="165" t="s">
        <v>12</v>
      </c>
      <c r="I504" s="610"/>
      <c r="J504" s="610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597"/>
      <c r="R504" s="597"/>
      <c r="S504" s="597"/>
      <c r="T504" s="597"/>
      <c r="U504" s="597"/>
      <c r="V504" s="597"/>
      <c r="W504" s="597"/>
      <c r="X504" s="597"/>
      <c r="Y504" s="597"/>
      <c r="Z504" s="597"/>
    </row>
    <row r="505" spans="1:26" ht="18.75" hidden="1">
      <c r="A505" s="592"/>
      <c r="B505" s="600"/>
      <c r="C505" s="750"/>
      <c r="D505" s="641" t="s">
        <v>20</v>
      </c>
      <c r="E505" s="750"/>
      <c r="F505" s="750"/>
      <c r="G505" s="596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597"/>
      <c r="R505" s="597"/>
      <c r="S505" s="597"/>
      <c r="T505" s="597"/>
      <c r="U505" s="597"/>
      <c r="V505" s="597"/>
      <c r="W505" s="597"/>
      <c r="X505" s="597"/>
      <c r="Y505" s="597"/>
      <c r="Z505" s="597"/>
    </row>
    <row r="506" spans="1:26" ht="18.75" hidden="1">
      <c r="A506" s="592"/>
      <c r="B506" s="600"/>
      <c r="C506" s="750"/>
      <c r="D506" s="711"/>
      <c r="E506" s="750" t="s">
        <v>184</v>
      </c>
      <c r="F506" s="750"/>
      <c r="G506" s="596"/>
      <c r="H506" s="165" t="s">
        <v>12</v>
      </c>
      <c r="I506" s="610"/>
      <c r="J506" s="610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597"/>
      <c r="R506" s="597"/>
      <c r="S506" s="597"/>
      <c r="T506" s="597"/>
      <c r="U506" s="597"/>
      <c r="V506" s="597"/>
      <c r="W506" s="597"/>
      <c r="X506" s="597"/>
      <c r="Y506" s="597"/>
      <c r="Z506" s="597"/>
    </row>
    <row r="507" spans="1:26" ht="18.75" hidden="1">
      <c r="A507" s="592"/>
      <c r="B507" s="600"/>
      <c r="C507" s="750"/>
      <c r="D507" s="711"/>
      <c r="E507" s="750" t="s">
        <v>185</v>
      </c>
      <c r="F507" s="750"/>
      <c r="G507" s="596"/>
      <c r="H507" s="165" t="s">
        <v>12</v>
      </c>
      <c r="I507" s="610"/>
      <c r="J507" s="610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597"/>
      <c r="R507" s="597"/>
      <c r="S507" s="597"/>
      <c r="T507" s="597"/>
      <c r="U507" s="597"/>
      <c r="V507" s="597"/>
      <c r="W507" s="597"/>
      <c r="X507" s="597"/>
      <c r="Y507" s="597"/>
      <c r="Z507" s="597"/>
    </row>
    <row r="508" spans="1:26" ht="18.75" hidden="1">
      <c r="A508" s="642"/>
      <c r="B508" s="600"/>
      <c r="C508" s="750"/>
      <c r="D508" s="750"/>
      <c r="E508" s="750"/>
      <c r="F508" s="750" t="s">
        <v>186</v>
      </c>
      <c r="G508" s="596"/>
      <c r="H508" s="165" t="s">
        <v>12</v>
      </c>
      <c r="I508" s="610"/>
      <c r="J508" s="610"/>
      <c r="K508" s="93"/>
      <c r="L508" s="93"/>
      <c r="M508" s="93"/>
      <c r="N508" s="93">
        <v>0</v>
      </c>
      <c r="O508" s="93"/>
      <c r="P508" s="93"/>
      <c r="Q508" s="597"/>
      <c r="R508" s="597"/>
      <c r="S508" s="597"/>
      <c r="T508" s="597"/>
      <c r="U508" s="597"/>
      <c r="V508" s="597"/>
      <c r="W508" s="597"/>
      <c r="X508" s="597"/>
      <c r="Y508" s="597"/>
      <c r="Z508" s="597"/>
    </row>
    <row r="509" spans="1:26" ht="18.75" hidden="1">
      <c r="A509" s="642"/>
      <c r="B509" s="600"/>
      <c r="C509" s="750"/>
      <c r="D509" s="750"/>
      <c r="E509" s="750"/>
      <c r="F509" s="750" t="s">
        <v>187</v>
      </c>
      <c r="G509" s="596"/>
      <c r="H509" s="165" t="s">
        <v>12</v>
      </c>
      <c r="I509" s="610"/>
      <c r="J509" s="610"/>
      <c r="K509" s="93"/>
      <c r="L509" s="93"/>
      <c r="M509" s="93"/>
      <c r="N509" s="93">
        <v>0</v>
      </c>
      <c r="O509" s="93"/>
      <c r="P509" s="93"/>
      <c r="Q509" s="597"/>
      <c r="R509" s="597"/>
      <c r="S509" s="597"/>
      <c r="T509" s="597"/>
      <c r="U509" s="597"/>
      <c r="V509" s="597"/>
      <c r="W509" s="597"/>
      <c r="X509" s="597"/>
      <c r="Y509" s="597"/>
      <c r="Z509" s="597"/>
    </row>
    <row r="510" spans="1:26" ht="18.75" hidden="1">
      <c r="A510" s="642"/>
      <c r="B510" s="600"/>
      <c r="C510" s="600"/>
      <c r="D510" s="600"/>
      <c r="E510" s="750"/>
      <c r="F510" s="750" t="s">
        <v>188</v>
      </c>
      <c r="G510" s="596"/>
      <c r="H510" s="165" t="s">
        <v>12</v>
      </c>
      <c r="I510" s="610"/>
      <c r="J510" s="610"/>
      <c r="K510" s="93"/>
      <c r="L510" s="93"/>
      <c r="M510" s="93"/>
      <c r="N510" s="93">
        <v>0</v>
      </c>
      <c r="O510" s="93"/>
      <c r="P510" s="93"/>
      <c r="Q510" s="597"/>
      <c r="R510" s="597"/>
      <c r="S510" s="597"/>
      <c r="T510" s="597"/>
      <c r="U510" s="597"/>
      <c r="V510" s="597"/>
      <c r="W510" s="597"/>
      <c r="X510" s="597"/>
      <c r="Y510" s="597"/>
      <c r="Z510" s="597"/>
    </row>
    <row r="511" spans="1:26" ht="18.75" hidden="1">
      <c r="A511" s="642"/>
      <c r="B511" s="600"/>
      <c r="C511" s="600"/>
      <c r="D511" s="600"/>
      <c r="E511" s="750"/>
      <c r="F511" s="750" t="s">
        <v>189</v>
      </c>
      <c r="G511" s="596"/>
      <c r="H511" s="165" t="s">
        <v>12</v>
      </c>
      <c r="I511" s="610"/>
      <c r="J511" s="610"/>
      <c r="K511" s="93"/>
      <c r="L511" s="93"/>
      <c r="M511" s="93"/>
      <c r="N511" s="93">
        <v>0</v>
      </c>
      <c r="O511" s="93"/>
      <c r="P511" s="93"/>
      <c r="Q511" s="597"/>
      <c r="R511" s="597"/>
      <c r="S511" s="597"/>
      <c r="T511" s="597"/>
      <c r="U511" s="597"/>
      <c r="V511" s="597"/>
      <c r="W511" s="597"/>
      <c r="X511" s="597"/>
      <c r="Y511" s="597"/>
      <c r="Z511" s="597"/>
    </row>
    <row r="512" spans="1:26" ht="18.75" hidden="1">
      <c r="A512" s="592"/>
      <c r="B512" s="600"/>
      <c r="C512" s="600"/>
      <c r="D512" s="641" t="s">
        <v>21</v>
      </c>
      <c r="E512" s="600"/>
      <c r="F512" s="750"/>
      <c r="G512" s="596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597"/>
      <c r="R512" s="597"/>
      <c r="S512" s="597"/>
      <c r="T512" s="597"/>
      <c r="U512" s="597"/>
      <c r="V512" s="597"/>
      <c r="W512" s="597"/>
      <c r="X512" s="597"/>
      <c r="Y512" s="597"/>
      <c r="Z512" s="597"/>
    </row>
    <row r="513" spans="1:26" ht="18.75" hidden="1">
      <c r="A513" s="592"/>
      <c r="B513" s="600"/>
      <c r="C513" s="600"/>
      <c r="D513" s="600"/>
      <c r="E513" s="600" t="s">
        <v>18</v>
      </c>
      <c r="F513" s="750"/>
      <c r="G513" s="596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597"/>
      <c r="R513" s="597"/>
      <c r="S513" s="597"/>
      <c r="T513" s="597"/>
      <c r="U513" s="597"/>
      <c r="V513" s="597"/>
      <c r="W513" s="597"/>
      <c r="X513" s="597"/>
      <c r="Y513" s="597"/>
      <c r="Z513" s="597"/>
    </row>
    <row r="514" spans="1:26" ht="18.75" hidden="1">
      <c r="A514" s="592"/>
      <c r="B514" s="600"/>
      <c r="C514" s="600"/>
      <c r="D514" s="750"/>
      <c r="E514" s="600" t="s">
        <v>19</v>
      </c>
      <c r="F514" s="750"/>
      <c r="G514" s="596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597"/>
      <c r="R514" s="597"/>
      <c r="S514" s="597"/>
      <c r="T514" s="597"/>
      <c r="U514" s="597"/>
      <c r="V514" s="597"/>
      <c r="W514" s="597"/>
      <c r="X514" s="597"/>
      <c r="Y514" s="597"/>
      <c r="Z514" s="597"/>
    </row>
    <row r="515" spans="1:26" ht="19.5" hidden="1">
      <c r="A515" s="607"/>
      <c r="B515" s="609"/>
      <c r="C515" s="600" t="s">
        <v>16</v>
      </c>
      <c r="D515" s="838" t="s">
        <v>38</v>
      </c>
      <c r="E515" s="644"/>
      <c r="F515" s="644"/>
      <c r="G515" s="645"/>
      <c r="H515" s="365"/>
      <c r="I515" s="166"/>
      <c r="J515" s="166"/>
      <c r="K515" s="167"/>
      <c r="L515" s="167"/>
      <c r="M515" s="167"/>
      <c r="N515" s="167"/>
      <c r="O515" s="167"/>
      <c r="P515" s="167"/>
      <c r="Q515" s="597"/>
      <c r="R515" s="597"/>
      <c r="S515" s="597"/>
      <c r="T515" s="597"/>
      <c r="U515" s="597"/>
      <c r="V515" s="597"/>
      <c r="W515" s="597"/>
      <c r="X515" s="597"/>
      <c r="Y515" s="597"/>
      <c r="Z515" s="597"/>
    </row>
    <row r="516" spans="1:26" ht="18.75" hidden="1">
      <c r="A516" s="607"/>
      <c r="B516" s="609"/>
      <c r="C516" s="609"/>
      <c r="D516" s="609" t="s">
        <v>221</v>
      </c>
      <c r="E516" s="711"/>
      <c r="F516" s="711"/>
      <c r="G516" s="365"/>
      <c r="H516" s="646" t="s">
        <v>109</v>
      </c>
      <c r="I516" s="610"/>
      <c r="J516" s="610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597"/>
      <c r="R516" s="597"/>
      <c r="S516" s="597"/>
      <c r="T516" s="597"/>
      <c r="U516" s="597"/>
      <c r="V516" s="597"/>
      <c r="W516" s="597"/>
      <c r="X516" s="597"/>
      <c r="Y516" s="597"/>
      <c r="Z516" s="597"/>
    </row>
    <row r="517" spans="1:26" ht="19.5" hidden="1">
      <c r="A517" s="607"/>
      <c r="B517" s="609"/>
      <c r="C517" s="609"/>
      <c r="D517" s="609" t="s">
        <v>222</v>
      </c>
      <c r="E517" s="711"/>
      <c r="F517" s="711"/>
      <c r="G517" s="365"/>
      <c r="H517" s="647" t="s">
        <v>35</v>
      </c>
      <c r="I517" s="648"/>
      <c r="J517" s="648">
        <f>J518+J519</f>
        <v>0</v>
      </c>
      <c r="K517" s="649">
        <f t="shared" si="224"/>
        <v>0</v>
      </c>
      <c r="L517" s="167"/>
      <c r="M517" s="167"/>
      <c r="N517" s="167"/>
      <c r="O517" s="167"/>
      <c r="P517" s="167"/>
      <c r="Q517" s="597"/>
      <c r="R517" s="597"/>
      <c r="S517" s="597"/>
      <c r="T517" s="597"/>
      <c r="U517" s="597"/>
      <c r="V517" s="597"/>
      <c r="W517" s="597"/>
      <c r="X517" s="597"/>
      <c r="Y517" s="597"/>
      <c r="Z517" s="597"/>
    </row>
    <row r="518" spans="1:26" ht="18.75" hidden="1">
      <c r="A518" s="607"/>
      <c r="B518" s="609"/>
      <c r="C518" s="609"/>
      <c r="D518" s="609"/>
      <c r="E518" s="609" t="s">
        <v>223</v>
      </c>
      <c r="F518" s="711"/>
      <c r="G518" s="365"/>
      <c r="H518" s="369" t="s">
        <v>35</v>
      </c>
      <c r="I518" s="610"/>
      <c r="J518" s="610"/>
      <c r="K518" s="167"/>
      <c r="L518" s="167"/>
      <c r="M518" s="167"/>
      <c r="N518" s="167"/>
      <c r="O518" s="167"/>
      <c r="P518" s="167"/>
      <c r="Q518" s="597"/>
      <c r="R518" s="597"/>
      <c r="S518" s="597"/>
      <c r="T518" s="597"/>
      <c r="U518" s="597"/>
      <c r="V518" s="597"/>
      <c r="W518" s="597"/>
      <c r="X518" s="597"/>
      <c r="Y518" s="597"/>
      <c r="Z518" s="597"/>
    </row>
    <row r="519" spans="1:26" ht="18.75" hidden="1">
      <c r="A519" s="607"/>
      <c r="B519" s="609"/>
      <c r="C519" s="609"/>
      <c r="D519" s="609"/>
      <c r="E519" s="609" t="s">
        <v>224</v>
      </c>
      <c r="F519" s="711"/>
      <c r="G519" s="365"/>
      <c r="H519" s="646" t="s">
        <v>35</v>
      </c>
      <c r="I519" s="610"/>
      <c r="J519" s="610"/>
      <c r="K519" s="167"/>
      <c r="L519" s="167"/>
      <c r="M519" s="167"/>
      <c r="N519" s="167"/>
      <c r="O519" s="167"/>
      <c r="P519" s="167"/>
      <c r="Q519" s="597"/>
      <c r="R519" s="597"/>
      <c r="S519" s="597"/>
      <c r="T519" s="597"/>
      <c r="U519" s="597"/>
      <c r="V519" s="597"/>
      <c r="W519" s="597"/>
      <c r="X519" s="597"/>
      <c r="Y519" s="597"/>
      <c r="Z519" s="597"/>
    </row>
    <row r="520" spans="1:26" ht="19.5">
      <c r="A520" s="650" t="s">
        <v>137</v>
      </c>
      <c r="B520" s="651"/>
      <c r="C520" s="651"/>
      <c r="D520" s="652"/>
      <c r="E520" s="652"/>
      <c r="F520" s="652"/>
      <c r="G520" s="653"/>
      <c r="H520" s="654"/>
      <c r="I520" s="655"/>
      <c r="J520" s="655"/>
      <c r="K520" s="656"/>
      <c r="L520" s="656"/>
      <c r="M520" s="656"/>
      <c r="N520" s="656"/>
      <c r="O520" s="656"/>
      <c r="P520" s="656"/>
    </row>
    <row r="521" spans="1:26" ht="19.5" hidden="1">
      <c r="A521" s="657">
        <v>5</v>
      </c>
      <c r="B521" s="658" t="s">
        <v>225</v>
      </c>
      <c r="C521" s="659"/>
      <c r="D521" s="660"/>
      <c r="E521" s="660"/>
      <c r="F521" s="660"/>
      <c r="G521" s="660"/>
      <c r="H521" s="661"/>
      <c r="I521" s="662"/>
      <c r="J521" s="662"/>
      <c r="K521" s="663"/>
      <c r="L521" s="663"/>
      <c r="M521" s="663"/>
      <c r="N521" s="663"/>
      <c r="O521" s="663"/>
      <c r="P521" s="663"/>
      <c r="Q521" s="571"/>
      <c r="R521" s="571"/>
      <c r="S521" s="571"/>
      <c r="T521" s="571"/>
      <c r="U521" s="571"/>
      <c r="V521" s="571"/>
      <c r="W521" s="571"/>
      <c r="X521" s="571"/>
      <c r="Y521" s="571"/>
      <c r="Z521" s="571"/>
    </row>
    <row r="522" spans="1:26" ht="19.5" hidden="1">
      <c r="A522" s="664"/>
      <c r="B522" s="665" t="s">
        <v>226</v>
      </c>
      <c r="C522" s="666"/>
      <c r="D522" s="666"/>
      <c r="E522" s="666"/>
      <c r="F522" s="666"/>
      <c r="G522" s="667"/>
      <c r="H522" s="668" t="s">
        <v>35</v>
      </c>
      <c r="I522" s="699">
        <f t="shared" ref="I522:J522" ca="1" si="225">I537</f>
        <v>0</v>
      </c>
      <c r="J522" s="699">
        <f t="shared" ca="1" si="225"/>
        <v>0</v>
      </c>
      <c r="K522" s="670">
        <f ca="1">IF(I522&gt;0,J522*100/I522,0)</f>
        <v>0</v>
      </c>
      <c r="L522" s="671"/>
      <c r="M522" s="671"/>
      <c r="N522" s="671"/>
      <c r="O522" s="671"/>
      <c r="P522" s="671"/>
      <c r="Q522" s="571"/>
      <c r="R522" s="571"/>
      <c r="S522" s="571"/>
      <c r="T522" s="571"/>
      <c r="U522" s="571"/>
      <c r="V522" s="571"/>
      <c r="W522" s="571"/>
      <c r="X522" s="571"/>
      <c r="Y522" s="571"/>
      <c r="Z522" s="571"/>
    </row>
    <row r="523" spans="1:26" ht="19.5" hidden="1">
      <c r="A523" s="590"/>
      <c r="B523" s="754"/>
      <c r="C523" s="754" t="s">
        <v>16</v>
      </c>
      <c r="D523" s="863" t="s">
        <v>17</v>
      </c>
      <c r="E523" s="857"/>
      <c r="F523" s="857"/>
      <c r="G523" s="189"/>
      <c r="H523" s="591" t="s">
        <v>12</v>
      </c>
      <c r="I523" s="269"/>
      <c r="J523" s="269"/>
      <c r="K523" s="496"/>
      <c r="L523" s="195">
        <f t="shared" ref="L523:N523" ca="1" si="226">L524+L525</f>
        <v>0</v>
      </c>
      <c r="M523" s="195">
        <f t="shared" si="226"/>
        <v>0</v>
      </c>
      <c r="N523" s="195">
        <f t="shared" si="226"/>
        <v>0</v>
      </c>
      <c r="O523" s="195">
        <f t="shared" ref="O523:O528" ca="1" si="227">IF(L523&gt;0,N523*100/L523,0)</f>
        <v>0</v>
      </c>
      <c r="P523" s="195">
        <f t="shared" ref="P523:P528" si="228">IF(M523&gt;0,N523*100/M523,0)</f>
        <v>0</v>
      </c>
      <c r="Q523" s="571"/>
      <c r="R523" s="571"/>
      <c r="S523" s="571"/>
      <c r="T523" s="571"/>
      <c r="U523" s="571"/>
      <c r="V523" s="571"/>
      <c r="W523" s="571"/>
      <c r="X523" s="571"/>
      <c r="Y523" s="571"/>
      <c r="Z523" s="571"/>
    </row>
    <row r="524" spans="1:26" ht="18.75" hidden="1">
      <c r="A524" s="592"/>
      <c r="B524" s="750"/>
      <c r="C524" s="750"/>
      <c r="D524" s="711"/>
      <c r="E524" s="750" t="s">
        <v>184</v>
      </c>
      <c r="F524" s="750"/>
      <c r="G524" s="596"/>
      <c r="H524" s="165" t="s">
        <v>12</v>
      </c>
      <c r="I524" s="610"/>
      <c r="J524" s="610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597"/>
      <c r="R524" s="597"/>
      <c r="S524" s="597"/>
      <c r="T524" s="597"/>
      <c r="U524" s="597"/>
      <c r="V524" s="597"/>
      <c r="W524" s="597"/>
      <c r="X524" s="597"/>
      <c r="Y524" s="597"/>
      <c r="Z524" s="597"/>
    </row>
    <row r="525" spans="1:26" ht="18.75" hidden="1">
      <c r="A525" s="592"/>
      <c r="B525" s="600"/>
      <c r="C525" s="750"/>
      <c r="D525" s="711"/>
      <c r="E525" s="750" t="s">
        <v>185</v>
      </c>
      <c r="F525" s="750"/>
      <c r="G525" s="596"/>
      <c r="H525" s="165" t="s">
        <v>12</v>
      </c>
      <c r="I525" s="610"/>
      <c r="J525" s="610"/>
      <c r="K525" s="93"/>
      <c r="L525" s="93">
        <f t="shared" ca="1" si="229"/>
        <v>0</v>
      </c>
      <c r="M525" s="93">
        <f t="shared" si="229"/>
        <v>0</v>
      </c>
      <c r="N525" s="93">
        <f t="shared" si="229"/>
        <v>0</v>
      </c>
      <c r="O525" s="93">
        <f t="shared" ca="1" si="227"/>
        <v>0</v>
      </c>
      <c r="P525" s="93">
        <f t="shared" si="228"/>
        <v>0</v>
      </c>
      <c r="Q525" s="597"/>
      <c r="R525" s="597"/>
      <c r="S525" s="597"/>
      <c r="T525" s="597"/>
      <c r="U525" s="597"/>
      <c r="V525" s="597"/>
      <c r="W525" s="597"/>
      <c r="X525" s="597"/>
      <c r="Y525" s="597"/>
      <c r="Z525" s="597"/>
    </row>
    <row r="526" spans="1:26" ht="18.75" hidden="1">
      <c r="A526" s="590"/>
      <c r="B526" s="568"/>
      <c r="C526" s="754"/>
      <c r="D526" s="599" t="s">
        <v>20</v>
      </c>
      <c r="E526" s="754"/>
      <c r="F526" s="754"/>
      <c r="G526" s="189"/>
      <c r="H526" s="161" t="s">
        <v>12</v>
      </c>
      <c r="I526" s="184"/>
      <c r="J526" s="184"/>
      <c r="K526" s="163"/>
      <c r="L526" s="496">
        <f t="shared" ref="L526:N526" ca="1" si="230">L527+L528</f>
        <v>0</v>
      </c>
      <c r="M526" s="496">
        <f t="shared" si="230"/>
        <v>0</v>
      </c>
      <c r="N526" s="496">
        <f t="shared" si="230"/>
        <v>0</v>
      </c>
      <c r="O526" s="496">
        <f t="shared" ca="1" si="227"/>
        <v>0</v>
      </c>
      <c r="P526" s="496">
        <f t="shared" si="228"/>
        <v>0</v>
      </c>
      <c r="Q526" s="571"/>
      <c r="R526" s="571"/>
      <c r="S526" s="571"/>
      <c r="T526" s="571"/>
      <c r="U526" s="571"/>
      <c r="V526" s="571"/>
      <c r="W526" s="571"/>
      <c r="X526" s="571"/>
      <c r="Y526" s="571"/>
      <c r="Z526" s="571"/>
    </row>
    <row r="527" spans="1:26" ht="18.75" hidden="1">
      <c r="A527" s="592"/>
      <c r="B527" s="600"/>
      <c r="C527" s="750"/>
      <c r="D527" s="711"/>
      <c r="E527" s="750" t="s">
        <v>184</v>
      </c>
      <c r="F527" s="750"/>
      <c r="G527" s="596"/>
      <c r="H527" s="165" t="s">
        <v>12</v>
      </c>
      <c r="I527" s="610"/>
      <c r="J527" s="610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597"/>
      <c r="R527" s="597"/>
      <c r="S527" s="597"/>
      <c r="T527" s="597"/>
      <c r="U527" s="597"/>
      <c r="V527" s="597"/>
      <c r="W527" s="597"/>
      <c r="X527" s="597"/>
      <c r="Y527" s="597"/>
      <c r="Z527" s="597"/>
    </row>
    <row r="528" spans="1:26" ht="18.75" hidden="1">
      <c r="A528" s="592"/>
      <c r="B528" s="600"/>
      <c r="C528" s="750"/>
      <c r="D528" s="711"/>
      <c r="E528" s="750" t="s">
        <v>185</v>
      </c>
      <c r="F528" s="750"/>
      <c r="G528" s="596"/>
      <c r="H528" s="165" t="s">
        <v>12</v>
      </c>
      <c r="I528" s="610"/>
      <c r="J528" s="610"/>
      <c r="K528" s="93"/>
      <c r="L528" s="93">
        <f ca="1">IFERROR(__xludf.DUMMYFUNCTION("IMPORTRANGE(""https://docs.google.com/spreadsheets/d/1QqKyyYR6Q21VydFLVH3TRQUabQu_ym0Zz7PgGX0-kHA/edit?usp=sharing"",""แผน!GQ62"")"),0)</f>
        <v>0</v>
      </c>
      <c r="M528" s="93">
        <v>0</v>
      </c>
      <c r="N528" s="93">
        <f>N529+N530+N531+N532</f>
        <v>0</v>
      </c>
      <c r="O528" s="93">
        <f t="shared" ca="1" si="227"/>
        <v>0</v>
      </c>
      <c r="P528" s="93">
        <f t="shared" si="228"/>
        <v>0</v>
      </c>
      <c r="Q528" s="597"/>
      <c r="R528" s="597"/>
      <c r="S528" s="597"/>
      <c r="T528" s="597"/>
      <c r="U528" s="597"/>
      <c r="V528" s="597"/>
      <c r="W528" s="597"/>
      <c r="X528" s="597"/>
      <c r="Y528" s="597"/>
      <c r="Z528" s="597"/>
    </row>
    <row r="529" spans="1:26" ht="18.75" hidden="1">
      <c r="A529" s="567"/>
      <c r="B529" s="568"/>
      <c r="C529" s="754"/>
      <c r="D529" s="754"/>
      <c r="E529" s="754"/>
      <c r="F529" s="754" t="s">
        <v>186</v>
      </c>
      <c r="G529" s="189"/>
      <c r="H529" s="161" t="s">
        <v>12</v>
      </c>
      <c r="I529" s="269"/>
      <c r="J529" s="269"/>
      <c r="K529" s="496"/>
      <c r="L529" s="496"/>
      <c r="M529" s="496"/>
      <c r="N529" s="817">
        <v>0</v>
      </c>
      <c r="O529" s="496"/>
      <c r="P529" s="496"/>
      <c r="Q529" s="571"/>
      <c r="R529" s="571"/>
      <c r="S529" s="571"/>
      <c r="T529" s="571"/>
      <c r="U529" s="571"/>
      <c r="V529" s="571"/>
      <c r="W529" s="571"/>
      <c r="X529" s="571"/>
      <c r="Y529" s="571"/>
      <c r="Z529" s="571"/>
    </row>
    <row r="530" spans="1:26" ht="18.75" hidden="1">
      <c r="A530" s="567"/>
      <c r="B530" s="568"/>
      <c r="C530" s="754"/>
      <c r="D530" s="754"/>
      <c r="E530" s="754"/>
      <c r="F530" s="754" t="s">
        <v>187</v>
      </c>
      <c r="G530" s="189"/>
      <c r="H530" s="161" t="s">
        <v>12</v>
      </c>
      <c r="I530" s="269"/>
      <c r="J530" s="269"/>
      <c r="K530" s="496"/>
      <c r="L530" s="496"/>
      <c r="M530" s="496"/>
      <c r="N530" s="817">
        <v>0</v>
      </c>
      <c r="O530" s="496"/>
      <c r="P530" s="496"/>
      <c r="Q530" s="571"/>
      <c r="R530" s="571"/>
      <c r="S530" s="571"/>
      <c r="T530" s="571"/>
      <c r="U530" s="571"/>
      <c r="V530" s="571"/>
      <c r="W530" s="571"/>
      <c r="X530" s="571"/>
      <c r="Y530" s="571"/>
      <c r="Z530" s="571"/>
    </row>
    <row r="531" spans="1:26" ht="18.75" hidden="1">
      <c r="A531" s="567"/>
      <c r="B531" s="568"/>
      <c r="C531" s="754"/>
      <c r="D531" s="754"/>
      <c r="E531" s="754"/>
      <c r="F531" s="754" t="s">
        <v>188</v>
      </c>
      <c r="G531" s="189"/>
      <c r="H531" s="161" t="s">
        <v>12</v>
      </c>
      <c r="I531" s="269"/>
      <c r="J531" s="269"/>
      <c r="K531" s="496"/>
      <c r="L531" s="496"/>
      <c r="M531" s="496"/>
      <c r="N531" s="817">
        <v>0</v>
      </c>
      <c r="O531" s="496"/>
      <c r="P531" s="496"/>
      <c r="Q531" s="571"/>
      <c r="R531" s="571"/>
      <c r="S531" s="571"/>
      <c r="T531" s="571"/>
      <c r="U531" s="571"/>
      <c r="V531" s="571"/>
      <c r="W531" s="571"/>
      <c r="X531" s="571"/>
      <c r="Y531" s="571"/>
      <c r="Z531" s="571"/>
    </row>
    <row r="532" spans="1:26" ht="18.75" hidden="1">
      <c r="A532" s="567"/>
      <c r="B532" s="568"/>
      <c r="C532" s="754"/>
      <c r="D532" s="754"/>
      <c r="E532" s="754"/>
      <c r="F532" s="754" t="s">
        <v>189</v>
      </c>
      <c r="G532" s="189"/>
      <c r="H532" s="161" t="s">
        <v>12</v>
      </c>
      <c r="I532" s="269"/>
      <c r="J532" s="269"/>
      <c r="K532" s="496"/>
      <c r="L532" s="496"/>
      <c r="M532" s="496"/>
      <c r="N532" s="817">
        <v>0</v>
      </c>
      <c r="O532" s="496"/>
      <c r="P532" s="496"/>
      <c r="Q532" s="571"/>
      <c r="R532" s="571"/>
      <c r="S532" s="571"/>
      <c r="T532" s="571"/>
      <c r="U532" s="571"/>
      <c r="V532" s="571"/>
      <c r="W532" s="571"/>
      <c r="X532" s="571"/>
      <c r="Y532" s="571"/>
      <c r="Z532" s="571"/>
    </row>
    <row r="533" spans="1:26" ht="18.75" hidden="1">
      <c r="A533" s="590"/>
      <c r="B533" s="568"/>
      <c r="C533" s="754"/>
      <c r="D533" s="599" t="s">
        <v>21</v>
      </c>
      <c r="E533" s="754"/>
      <c r="F533" s="754"/>
      <c r="G533" s="189"/>
      <c r="H533" s="168" t="s">
        <v>12</v>
      </c>
      <c r="I533" s="184"/>
      <c r="J533" s="184"/>
      <c r="K533" s="163"/>
      <c r="L533" s="496">
        <f t="shared" ref="L533:N533" ca="1" si="231">L534+L535</f>
        <v>0</v>
      </c>
      <c r="M533" s="496">
        <f t="shared" si="231"/>
        <v>0</v>
      </c>
      <c r="N533" s="496">
        <f t="shared" si="231"/>
        <v>0</v>
      </c>
      <c r="O533" s="496">
        <f t="shared" ref="O533:O535" ca="1" si="232">IF(L533&gt;0,N533*100/L533,0)</f>
        <v>0</v>
      </c>
      <c r="P533" s="496">
        <f t="shared" ref="P533:P535" si="233">IF(M533&gt;0,N533*100/M533,0)</f>
        <v>0</v>
      </c>
      <c r="Q533" s="571"/>
      <c r="R533" s="571"/>
      <c r="S533" s="571"/>
      <c r="T533" s="571"/>
      <c r="U533" s="571"/>
      <c r="V533" s="571"/>
      <c r="W533" s="571"/>
      <c r="X533" s="571"/>
      <c r="Y533" s="571"/>
      <c r="Z533" s="571"/>
    </row>
    <row r="534" spans="1:26" ht="18.75" hidden="1">
      <c r="A534" s="592"/>
      <c r="B534" s="600"/>
      <c r="C534" s="750"/>
      <c r="D534" s="750"/>
      <c r="E534" s="750" t="s">
        <v>18</v>
      </c>
      <c r="F534" s="750"/>
      <c r="G534" s="596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597"/>
      <c r="R534" s="597"/>
      <c r="S534" s="597"/>
      <c r="T534" s="597"/>
      <c r="U534" s="597"/>
      <c r="V534" s="597"/>
      <c r="W534" s="597"/>
      <c r="X534" s="597"/>
      <c r="Y534" s="597"/>
      <c r="Z534" s="597"/>
    </row>
    <row r="535" spans="1:26" ht="18.75" hidden="1">
      <c r="A535" s="592"/>
      <c r="B535" s="600"/>
      <c r="C535" s="750"/>
      <c r="D535" s="750"/>
      <c r="E535" s="750" t="s">
        <v>19</v>
      </c>
      <c r="F535" s="750"/>
      <c r="G535" s="596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IFERROR(__xludf.DUMMYFUNCTION("IMPORTRANGE(""https://docs.google.com/spreadsheets/d/1QqKyyYR6Q21VydFLVH3TRQUabQu_ym0Zz7PgGX0-kHA/edit?usp=sharing"",""แผน!GT62"")"),0)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597"/>
      <c r="R535" s="597"/>
      <c r="S535" s="597"/>
      <c r="T535" s="597"/>
      <c r="U535" s="597"/>
      <c r="V535" s="597"/>
      <c r="W535" s="597"/>
      <c r="X535" s="597"/>
      <c r="Y535" s="597"/>
      <c r="Z535" s="597"/>
    </row>
    <row r="536" spans="1:26" ht="19.5" hidden="1">
      <c r="A536" s="601"/>
      <c r="B536" s="611"/>
      <c r="C536" s="754" t="s">
        <v>16</v>
      </c>
      <c r="D536" s="839" t="s">
        <v>38</v>
      </c>
      <c r="E536" s="752"/>
      <c r="F536" s="752"/>
      <c r="G536" s="606"/>
      <c r="H536" s="753"/>
      <c r="I536" s="184"/>
      <c r="J536" s="184"/>
      <c r="K536" s="163"/>
      <c r="L536" s="163"/>
      <c r="M536" s="163"/>
      <c r="N536" s="163"/>
      <c r="O536" s="163"/>
      <c r="P536" s="163"/>
      <c r="Q536" s="571"/>
      <c r="R536" s="571"/>
      <c r="S536" s="571"/>
      <c r="T536" s="571"/>
      <c r="U536" s="571"/>
      <c r="V536" s="571"/>
      <c r="W536" s="571"/>
      <c r="X536" s="571"/>
      <c r="Y536" s="571"/>
      <c r="Z536" s="571"/>
    </row>
    <row r="537" spans="1:26" ht="19.5" hidden="1">
      <c r="A537" s="567"/>
      <c r="B537" s="568"/>
      <c r="C537" s="754"/>
      <c r="D537" s="754" t="s">
        <v>227</v>
      </c>
      <c r="E537" s="754"/>
      <c r="F537" s="754"/>
      <c r="G537" s="189"/>
      <c r="H537" s="616" t="s">
        <v>35</v>
      </c>
      <c r="I537" s="674">
        <f ca="1">IFERROR(__xludf.DUMMYFUNCTION("IMPORTRANGE(""https://docs.google.com/spreadsheets/d/1QqKyyYR6Q21VydFLVH3TRQUabQu_ym0Zz7PgGX0-kHA/edit?usp=sharing"",""แผน!GU62"")"),0)</f>
        <v>0</v>
      </c>
      <c r="J537" s="674">
        <f ca="1">IF(AND(J538=I538,J539=I539,J540=I540,J541=I541),I537,0)</f>
        <v>0</v>
      </c>
      <c r="K537" s="496">
        <f t="shared" ref="K537:K543" ca="1" si="234">IF(I537&gt;0,J537*100/I537,0)</f>
        <v>0</v>
      </c>
      <c r="L537" s="496"/>
      <c r="M537" s="496"/>
      <c r="N537" s="496"/>
      <c r="O537" s="496"/>
      <c r="P537" s="496"/>
      <c r="Q537" s="675"/>
      <c r="R537" s="675"/>
      <c r="S537" s="675"/>
      <c r="T537" s="675"/>
      <c r="U537" s="675"/>
      <c r="V537" s="675"/>
      <c r="W537" s="675"/>
      <c r="X537" s="675"/>
      <c r="Y537" s="675"/>
      <c r="Z537" s="675"/>
    </row>
    <row r="538" spans="1:26" ht="18.75" hidden="1">
      <c r="A538" s="567"/>
      <c r="B538" s="568"/>
      <c r="C538" s="754"/>
      <c r="D538" s="754"/>
      <c r="E538" s="754" t="s">
        <v>228</v>
      </c>
      <c r="F538" s="754"/>
      <c r="G538" s="189"/>
      <c r="H538" s="616" t="s">
        <v>35</v>
      </c>
      <c r="I538" s="269">
        <f ca="1">IFERROR(__xludf.DUMMYFUNCTION("IMPORTRANGE(""https://docs.google.com/spreadsheets/d/1QqKyyYR6Q21VydFLVH3TRQUabQu_ym0Zz7PgGX0-kHA/edit?usp=sharing"",""แผน!GV62"")"),0)</f>
        <v>0</v>
      </c>
      <c r="J538" s="214">
        <v>0</v>
      </c>
      <c r="K538" s="496">
        <f t="shared" ca="1" si="234"/>
        <v>0</v>
      </c>
      <c r="L538" s="496"/>
      <c r="M538" s="496"/>
      <c r="N538" s="496"/>
      <c r="O538" s="496"/>
      <c r="P538" s="496"/>
      <c r="Q538" s="675"/>
      <c r="R538" s="675"/>
      <c r="S538" s="675"/>
      <c r="T538" s="675"/>
      <c r="U538" s="675"/>
      <c r="V538" s="675"/>
      <c r="W538" s="675"/>
      <c r="X538" s="675"/>
      <c r="Y538" s="675"/>
      <c r="Z538" s="675"/>
    </row>
    <row r="539" spans="1:26" ht="18.75" hidden="1">
      <c r="A539" s="567"/>
      <c r="B539" s="568"/>
      <c r="C539" s="754"/>
      <c r="D539" s="754"/>
      <c r="E539" s="754" t="s">
        <v>229</v>
      </c>
      <c r="F539" s="754"/>
      <c r="G539" s="189"/>
      <c r="H539" s="616" t="s">
        <v>35</v>
      </c>
      <c r="I539" s="269">
        <f ca="1">IFERROR(__xludf.DUMMYFUNCTION("IMPORTRANGE(""https://docs.google.com/spreadsheets/d/1QqKyyYR6Q21VydFLVH3TRQUabQu_ym0Zz7PgGX0-kHA/edit?usp=sharing"",""แผน!GW62"")"),0)</f>
        <v>0</v>
      </c>
      <c r="J539" s="214">
        <v>0</v>
      </c>
      <c r="K539" s="496">
        <f t="shared" ca="1" si="234"/>
        <v>0</v>
      </c>
      <c r="L539" s="496"/>
      <c r="M539" s="496"/>
      <c r="N539" s="496"/>
      <c r="O539" s="496"/>
      <c r="P539" s="496"/>
      <c r="Q539" s="675"/>
      <c r="R539" s="675"/>
      <c r="S539" s="675"/>
      <c r="T539" s="675"/>
      <c r="U539" s="675"/>
      <c r="V539" s="675"/>
      <c r="W539" s="675"/>
      <c r="X539" s="675"/>
      <c r="Y539" s="675"/>
      <c r="Z539" s="675"/>
    </row>
    <row r="540" spans="1:26" ht="18.75" hidden="1">
      <c r="A540" s="567"/>
      <c r="B540" s="568"/>
      <c r="C540" s="754"/>
      <c r="D540" s="754"/>
      <c r="E540" s="754" t="s">
        <v>230</v>
      </c>
      <c r="F540" s="754"/>
      <c r="G540" s="189"/>
      <c r="H540" s="616" t="s">
        <v>35</v>
      </c>
      <c r="I540" s="269">
        <f ca="1">IFERROR(__xludf.DUMMYFUNCTION("IMPORTRANGE(""https://docs.google.com/spreadsheets/d/1QqKyyYR6Q21VydFLVH3TRQUabQu_ym0Zz7PgGX0-kHA/edit?usp=sharing"",""แผน!GX62"")"),0)</f>
        <v>0</v>
      </c>
      <c r="J540" s="214">
        <v>0</v>
      </c>
      <c r="K540" s="496">
        <f t="shared" ca="1" si="234"/>
        <v>0</v>
      </c>
      <c r="L540" s="496"/>
      <c r="M540" s="496"/>
      <c r="N540" s="496"/>
      <c r="O540" s="496"/>
      <c r="P540" s="496"/>
      <c r="Q540" s="675"/>
      <c r="R540" s="675"/>
      <c r="S540" s="675"/>
      <c r="T540" s="675"/>
      <c r="U540" s="675"/>
      <c r="V540" s="675"/>
      <c r="W540" s="675"/>
      <c r="X540" s="675"/>
      <c r="Y540" s="675"/>
      <c r="Z540" s="675"/>
    </row>
    <row r="541" spans="1:26" ht="18.75" hidden="1">
      <c r="A541" s="567"/>
      <c r="B541" s="568"/>
      <c r="C541" s="754"/>
      <c r="D541" s="754"/>
      <c r="E541" s="760" t="s">
        <v>231</v>
      </c>
      <c r="F541" s="754"/>
      <c r="G541" s="189"/>
      <c r="H541" s="616" t="s">
        <v>35</v>
      </c>
      <c r="I541" s="269">
        <f ca="1">IFERROR(__xludf.DUMMYFUNCTION("IMPORTRANGE(""https://docs.google.com/spreadsheets/d/1QqKyyYR6Q21VydFLVH3TRQUabQu_ym0Zz7PgGX0-kHA/edit?usp=sharing"",""แผน!GY62"")"),0)</f>
        <v>0</v>
      </c>
      <c r="J541" s="214">
        <v>0</v>
      </c>
      <c r="K541" s="496">
        <f t="shared" ca="1" si="234"/>
        <v>0</v>
      </c>
      <c r="L541" s="496"/>
      <c r="M541" s="496"/>
      <c r="N541" s="496"/>
      <c r="O541" s="496"/>
      <c r="P541" s="496"/>
      <c r="Q541" s="675"/>
      <c r="R541" s="675"/>
      <c r="S541" s="675"/>
      <c r="T541" s="675"/>
      <c r="U541" s="675"/>
      <c r="V541" s="675"/>
      <c r="W541" s="675"/>
      <c r="X541" s="675"/>
      <c r="Y541" s="675"/>
      <c r="Z541" s="675"/>
    </row>
    <row r="542" spans="1:26" ht="18.75" hidden="1">
      <c r="A542" s="567"/>
      <c r="B542" s="568"/>
      <c r="C542" s="754"/>
      <c r="D542" s="754" t="s">
        <v>59</v>
      </c>
      <c r="E542" s="754"/>
      <c r="F542" s="754"/>
      <c r="G542" s="189"/>
      <c r="H542" s="616" t="s">
        <v>35</v>
      </c>
      <c r="I542" s="269">
        <f ca="1">IFERROR(__xludf.DUMMYFUNCTION("IMPORTRANGE(""https://docs.google.com/spreadsheets/d/1QqKyyYR6Q21VydFLVH3TRQUabQu_ym0Zz7PgGX0-kHA/edit?usp=sharing"",""แผน!GZ62"")"),0)</f>
        <v>0</v>
      </c>
      <c r="J542" s="214">
        <v>0</v>
      </c>
      <c r="K542" s="496">
        <f t="shared" ca="1" si="234"/>
        <v>0</v>
      </c>
      <c r="L542" s="496"/>
      <c r="M542" s="496"/>
      <c r="N542" s="496"/>
      <c r="O542" s="496"/>
      <c r="P542" s="496"/>
      <c r="Q542" s="675"/>
      <c r="R542" s="675"/>
      <c r="S542" s="675"/>
      <c r="T542" s="675"/>
      <c r="U542" s="675"/>
      <c r="V542" s="675"/>
      <c r="W542" s="675"/>
      <c r="X542" s="675"/>
      <c r="Y542" s="675"/>
      <c r="Z542" s="675"/>
    </row>
    <row r="543" spans="1:26" ht="19.5">
      <c r="A543" s="657">
        <v>6</v>
      </c>
      <c r="B543" s="678" t="s">
        <v>232</v>
      </c>
      <c r="C543" s="660"/>
      <c r="D543" s="660"/>
      <c r="E543" s="660"/>
      <c r="F543" s="660"/>
      <c r="G543" s="661"/>
      <c r="H543" s="679" t="s">
        <v>46</v>
      </c>
      <c r="I543" s="680">
        <f t="shared" ref="I543:J543" ca="1" si="235">I559</f>
        <v>18118</v>
      </c>
      <c r="J543" s="680">
        <f t="shared" si="235"/>
        <v>0</v>
      </c>
      <c r="K543" s="681">
        <f t="shared" ca="1" si="234"/>
        <v>0</v>
      </c>
      <c r="L543" s="663"/>
      <c r="M543" s="663"/>
      <c r="N543" s="663"/>
      <c r="O543" s="663"/>
      <c r="P543" s="663"/>
      <c r="Q543" s="571"/>
      <c r="R543" s="571"/>
      <c r="S543" s="571"/>
      <c r="T543" s="571"/>
      <c r="U543" s="571"/>
      <c r="V543" s="571"/>
      <c r="W543" s="571"/>
      <c r="X543" s="571"/>
      <c r="Y543" s="571"/>
      <c r="Z543" s="571"/>
    </row>
    <row r="544" spans="1:26" ht="19.5">
      <c r="A544" s="682"/>
      <c r="B544" s="683"/>
      <c r="C544" s="683" t="s">
        <v>16</v>
      </c>
      <c r="D544" s="867" t="s">
        <v>17</v>
      </c>
      <c r="E544" s="862"/>
      <c r="F544" s="862"/>
      <c r="G544" s="684"/>
      <c r="H544" s="274" t="s">
        <v>12</v>
      </c>
      <c r="I544" s="419"/>
      <c r="J544" s="419"/>
      <c r="K544" s="154"/>
      <c r="L544" s="155">
        <f t="shared" ref="L544:N544" ca="1" si="236">L545+L546</f>
        <v>252762</v>
      </c>
      <c r="M544" s="155">
        <f t="shared" si="236"/>
        <v>0</v>
      </c>
      <c r="N544" s="155">
        <f t="shared" si="236"/>
        <v>48040</v>
      </c>
      <c r="O544" s="155">
        <f t="shared" ref="O544:O549" ca="1" si="237">IF(L544&gt;0,N544*100/L544,0)</f>
        <v>19.006021474746994</v>
      </c>
      <c r="P544" s="155">
        <f t="shared" ref="P544:P549" si="238">IF(M544&gt;0,N544*100/M544,0)</f>
        <v>0</v>
      </c>
      <c r="Q544" s="571"/>
      <c r="R544" s="571"/>
      <c r="S544" s="571"/>
      <c r="T544" s="571"/>
      <c r="U544" s="571"/>
      <c r="V544" s="571"/>
      <c r="W544" s="571"/>
      <c r="X544" s="571"/>
      <c r="Y544" s="571"/>
      <c r="Z544" s="571"/>
    </row>
    <row r="545" spans="1:26" ht="18.75" hidden="1">
      <c r="A545" s="592"/>
      <c r="B545" s="750"/>
      <c r="C545" s="750"/>
      <c r="D545" s="750"/>
      <c r="E545" s="750" t="s">
        <v>184</v>
      </c>
      <c r="F545" s="750"/>
      <c r="G545" s="596"/>
      <c r="H545" s="165" t="s">
        <v>12</v>
      </c>
      <c r="I545" s="610"/>
      <c r="J545" s="610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597"/>
      <c r="R545" s="597"/>
      <c r="S545" s="597"/>
      <c r="T545" s="597"/>
      <c r="U545" s="597"/>
      <c r="V545" s="597"/>
      <c r="W545" s="597"/>
      <c r="X545" s="597"/>
      <c r="Y545" s="597"/>
      <c r="Z545" s="597"/>
    </row>
    <row r="546" spans="1:26" ht="18.75" hidden="1">
      <c r="A546" s="592"/>
      <c r="B546" s="600"/>
      <c r="C546" s="750"/>
      <c r="D546" s="750"/>
      <c r="E546" s="750" t="s">
        <v>185</v>
      </c>
      <c r="F546" s="750"/>
      <c r="G546" s="596"/>
      <c r="H546" s="165" t="s">
        <v>12</v>
      </c>
      <c r="I546" s="610"/>
      <c r="J546" s="610"/>
      <c r="K546" s="93"/>
      <c r="L546" s="93">
        <f t="shared" ca="1" si="239"/>
        <v>252762</v>
      </c>
      <c r="M546" s="93">
        <f t="shared" si="240"/>
        <v>0</v>
      </c>
      <c r="N546" s="93">
        <f t="shared" si="240"/>
        <v>48040</v>
      </c>
      <c r="O546" s="93">
        <f t="shared" ca="1" si="237"/>
        <v>19.006021474746994</v>
      </c>
      <c r="P546" s="93">
        <f t="shared" si="238"/>
        <v>0</v>
      </c>
      <c r="Q546" s="597"/>
      <c r="R546" s="597"/>
      <c r="S546" s="597"/>
      <c r="T546" s="597"/>
      <c r="U546" s="597"/>
      <c r="V546" s="597"/>
      <c r="W546" s="597"/>
      <c r="X546" s="597"/>
      <c r="Y546" s="597"/>
      <c r="Z546" s="597"/>
    </row>
    <row r="547" spans="1:26" ht="18.75">
      <c r="A547" s="590"/>
      <c r="B547" s="568"/>
      <c r="C547" s="754"/>
      <c r="D547" s="599" t="s">
        <v>20</v>
      </c>
      <c r="E547" s="754"/>
      <c r="F547" s="754"/>
      <c r="G547" s="189"/>
      <c r="H547" s="161" t="s">
        <v>12</v>
      </c>
      <c r="I547" s="184"/>
      <c r="J547" s="184"/>
      <c r="K547" s="163"/>
      <c r="L547" s="496">
        <f t="shared" ref="L547:N547" ca="1" si="241">L548+L549</f>
        <v>252762</v>
      </c>
      <c r="M547" s="496">
        <f t="shared" si="241"/>
        <v>0</v>
      </c>
      <c r="N547" s="496">
        <f t="shared" si="241"/>
        <v>48040</v>
      </c>
      <c r="O547" s="496">
        <f t="shared" ca="1" si="237"/>
        <v>19.006021474746994</v>
      </c>
      <c r="P547" s="496">
        <f t="shared" si="238"/>
        <v>0</v>
      </c>
      <c r="Q547" s="571"/>
      <c r="R547" s="571"/>
      <c r="S547" s="571"/>
      <c r="T547" s="571"/>
      <c r="U547" s="571"/>
      <c r="V547" s="571"/>
      <c r="W547" s="571"/>
      <c r="X547" s="571"/>
      <c r="Y547" s="571"/>
      <c r="Z547" s="571"/>
    </row>
    <row r="548" spans="1:26" ht="18.75" hidden="1">
      <c r="A548" s="592"/>
      <c r="B548" s="600"/>
      <c r="C548" s="750"/>
      <c r="D548" s="711"/>
      <c r="E548" s="750" t="s">
        <v>184</v>
      </c>
      <c r="F548" s="750"/>
      <c r="G548" s="596"/>
      <c r="H548" s="165" t="s">
        <v>12</v>
      </c>
      <c r="I548" s="610"/>
      <c r="J548" s="610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597"/>
      <c r="R548" s="597"/>
      <c r="S548" s="597"/>
      <c r="T548" s="597"/>
      <c r="U548" s="597"/>
      <c r="V548" s="597"/>
      <c r="W548" s="597"/>
      <c r="X548" s="597"/>
      <c r="Y548" s="597"/>
      <c r="Z548" s="597"/>
    </row>
    <row r="549" spans="1:26" ht="18.75" hidden="1">
      <c r="A549" s="592"/>
      <c r="B549" s="600"/>
      <c r="C549" s="750"/>
      <c r="D549" s="711"/>
      <c r="E549" s="750" t="s">
        <v>185</v>
      </c>
      <c r="F549" s="750"/>
      <c r="G549" s="596"/>
      <c r="H549" s="165" t="s">
        <v>12</v>
      </c>
      <c r="I549" s="610"/>
      <c r="J549" s="610"/>
      <c r="K549" s="93"/>
      <c r="L549" s="93">
        <f ca="1">IFERROR(__xludf.DUMMYFUNCTION("IMPORTRANGE(""https://docs.google.com/spreadsheets/d/1QqKyyYR6Q21VydFLVH3TRQUabQu_ym0Zz7PgGX0-kHA/edit?usp=sharing"",""แผน!HB62"")"),252762)</f>
        <v>252762</v>
      </c>
      <c r="M549" s="93">
        <v>0</v>
      </c>
      <c r="N549" s="93">
        <f>N550+N551+N552+N553+N554</f>
        <v>48040</v>
      </c>
      <c r="O549" s="93">
        <f t="shared" ca="1" si="237"/>
        <v>19.006021474746994</v>
      </c>
      <c r="P549" s="93">
        <f t="shared" si="238"/>
        <v>0</v>
      </c>
      <c r="Q549" s="597"/>
      <c r="R549" s="597"/>
      <c r="S549" s="597"/>
      <c r="T549" s="597"/>
      <c r="U549" s="597"/>
      <c r="V549" s="597"/>
      <c r="W549" s="597"/>
      <c r="X549" s="597"/>
      <c r="Y549" s="597"/>
      <c r="Z549" s="597"/>
    </row>
    <row r="550" spans="1:26" ht="18.75">
      <c r="A550" s="567"/>
      <c r="B550" s="568"/>
      <c r="C550" s="754"/>
      <c r="D550" s="754"/>
      <c r="E550" s="754"/>
      <c r="F550" s="754" t="s">
        <v>186</v>
      </c>
      <c r="G550" s="189"/>
      <c r="H550" s="161" t="s">
        <v>12</v>
      </c>
      <c r="I550" s="269"/>
      <c r="J550" s="269"/>
      <c r="K550" s="496"/>
      <c r="L550" s="496"/>
      <c r="M550" s="496"/>
      <c r="N550" s="817">
        <v>0</v>
      </c>
      <c r="O550" s="496"/>
      <c r="P550" s="496"/>
      <c r="Q550" s="571"/>
      <c r="R550" s="571"/>
      <c r="S550" s="571"/>
      <c r="T550" s="571"/>
      <c r="U550" s="571"/>
      <c r="V550" s="571"/>
      <c r="W550" s="571"/>
      <c r="X550" s="571"/>
      <c r="Y550" s="571"/>
      <c r="Z550" s="571"/>
    </row>
    <row r="551" spans="1:26" ht="18.75">
      <c r="A551" s="567"/>
      <c r="B551" s="568"/>
      <c r="C551" s="568"/>
      <c r="D551" s="568"/>
      <c r="E551" s="754"/>
      <c r="F551" s="754" t="s">
        <v>187</v>
      </c>
      <c r="G551" s="189"/>
      <c r="H551" s="161" t="s">
        <v>12</v>
      </c>
      <c r="I551" s="269"/>
      <c r="J551" s="269"/>
      <c r="K551" s="496"/>
      <c r="L551" s="496"/>
      <c r="M551" s="496"/>
      <c r="N551" s="817">
        <v>0</v>
      </c>
      <c r="O551" s="496"/>
      <c r="P551" s="496"/>
      <c r="Q551" s="571"/>
      <c r="R551" s="571"/>
      <c r="S551" s="571"/>
      <c r="T551" s="571"/>
      <c r="U551" s="571"/>
      <c r="V551" s="571"/>
      <c r="W551" s="571"/>
      <c r="X551" s="571"/>
      <c r="Y551" s="571"/>
      <c r="Z551" s="571"/>
    </row>
    <row r="552" spans="1:26" ht="18.75">
      <c r="A552" s="567"/>
      <c r="B552" s="568"/>
      <c r="C552" s="754"/>
      <c r="D552" s="754"/>
      <c r="E552" s="754"/>
      <c r="F552" s="754" t="s">
        <v>188</v>
      </c>
      <c r="G552" s="189"/>
      <c r="H552" s="161" t="s">
        <v>12</v>
      </c>
      <c r="I552" s="269"/>
      <c r="J552" s="269"/>
      <c r="K552" s="496"/>
      <c r="L552" s="496"/>
      <c r="M552" s="496"/>
      <c r="N552" s="817">
        <v>13000</v>
      </c>
      <c r="O552" s="496"/>
      <c r="P552" s="496"/>
      <c r="Q552" s="571"/>
      <c r="R552" s="571"/>
      <c r="S552" s="571"/>
      <c r="T552" s="571"/>
      <c r="U552" s="571"/>
      <c r="V552" s="571"/>
      <c r="W552" s="571"/>
      <c r="X552" s="571"/>
      <c r="Y552" s="571"/>
      <c r="Z552" s="571"/>
    </row>
    <row r="553" spans="1:26" ht="18.75">
      <c r="A553" s="567"/>
      <c r="B553" s="568"/>
      <c r="C553" s="568"/>
      <c r="D553" s="568"/>
      <c r="E553" s="754"/>
      <c r="F553" s="754" t="s">
        <v>189</v>
      </c>
      <c r="G553" s="189"/>
      <c r="H553" s="161" t="s">
        <v>12</v>
      </c>
      <c r="I553" s="269"/>
      <c r="J553" s="269"/>
      <c r="K553" s="496"/>
      <c r="L553" s="496"/>
      <c r="M553" s="496"/>
      <c r="N553" s="817">
        <f>15920+11820+2520+4780</f>
        <v>35040</v>
      </c>
      <c r="O553" s="496"/>
      <c r="P553" s="496"/>
      <c r="Q553" s="571"/>
      <c r="R553" s="571"/>
      <c r="S553" s="571"/>
      <c r="T553" s="571"/>
      <c r="U553" s="571"/>
      <c r="V553" s="571"/>
      <c r="W553" s="571"/>
      <c r="X553" s="571"/>
      <c r="Y553" s="571"/>
      <c r="Z553" s="571"/>
    </row>
    <row r="554" spans="1:26" ht="18.75">
      <c r="A554" s="567"/>
      <c r="B554" s="568"/>
      <c r="C554" s="568"/>
      <c r="D554" s="568"/>
      <c r="E554" s="754"/>
      <c r="F554" s="754" t="s">
        <v>233</v>
      </c>
      <c r="G554" s="189"/>
      <c r="H554" s="161" t="s">
        <v>12</v>
      </c>
      <c r="I554" s="269"/>
      <c r="J554" s="269"/>
      <c r="K554" s="496"/>
      <c r="L554" s="496"/>
      <c r="M554" s="496"/>
      <c r="N554" s="817">
        <v>0</v>
      </c>
      <c r="O554" s="496"/>
      <c r="P554" s="496"/>
      <c r="Q554" s="571"/>
      <c r="R554" s="571"/>
      <c r="S554" s="571"/>
      <c r="T554" s="571"/>
      <c r="U554" s="571"/>
      <c r="V554" s="571"/>
      <c r="W554" s="571"/>
      <c r="X554" s="571"/>
      <c r="Y554" s="571"/>
      <c r="Z554" s="571"/>
    </row>
    <row r="555" spans="1:26" ht="18.75">
      <c r="A555" s="590"/>
      <c r="B555" s="568"/>
      <c r="C555" s="568"/>
      <c r="D555" s="599" t="s">
        <v>21</v>
      </c>
      <c r="E555" s="754"/>
      <c r="F555" s="754"/>
      <c r="G555" s="189"/>
      <c r="H555" s="168" t="s">
        <v>12</v>
      </c>
      <c r="I555" s="184"/>
      <c r="J555" s="184"/>
      <c r="K555" s="163"/>
      <c r="L555" s="496">
        <f t="shared" ref="L555:N555" ca="1" si="242">L556+L557</f>
        <v>0</v>
      </c>
      <c r="M555" s="496">
        <f t="shared" si="242"/>
        <v>0</v>
      </c>
      <c r="N555" s="496">
        <f t="shared" si="242"/>
        <v>0</v>
      </c>
      <c r="O555" s="496">
        <f t="shared" ref="O555:O557" ca="1" si="243">IF(L555&gt;0,N555*100/L555,0)</f>
        <v>0</v>
      </c>
      <c r="P555" s="496">
        <f t="shared" ref="P555:P557" si="244">IF(M555&gt;0,N555*100/M555,0)</f>
        <v>0</v>
      </c>
      <c r="Q555" s="571"/>
      <c r="R555" s="571"/>
      <c r="S555" s="571"/>
      <c r="T555" s="571"/>
      <c r="U555" s="571"/>
      <c r="V555" s="571"/>
      <c r="W555" s="571"/>
      <c r="X555" s="571"/>
      <c r="Y555" s="571"/>
      <c r="Z555" s="571"/>
    </row>
    <row r="556" spans="1:26" ht="18.75" hidden="1">
      <c r="A556" s="592"/>
      <c r="B556" s="600"/>
      <c r="C556" s="600"/>
      <c r="D556" s="750"/>
      <c r="E556" s="750" t="s">
        <v>18</v>
      </c>
      <c r="F556" s="750"/>
      <c r="G556" s="596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597"/>
      <c r="R556" s="597"/>
      <c r="S556" s="597"/>
      <c r="T556" s="597"/>
      <c r="U556" s="597"/>
      <c r="V556" s="597"/>
      <c r="W556" s="597"/>
      <c r="X556" s="597"/>
      <c r="Y556" s="597"/>
      <c r="Z556" s="597"/>
    </row>
    <row r="557" spans="1:26" ht="18.75" hidden="1">
      <c r="A557" s="592"/>
      <c r="B557" s="600"/>
      <c r="C557" s="600"/>
      <c r="D557" s="750"/>
      <c r="E557" s="750" t="s">
        <v>19</v>
      </c>
      <c r="F557" s="750"/>
      <c r="G557" s="596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IFERROR(__xludf.DUMMYFUNCTION("IMPORTRANGE(""https://docs.google.com/spreadsheets/d/1QqKyyYR6Q21VydFLVH3TRQUabQu_ym0Zz7PgGX0-kHA/edit?usp=sharing"",""แผน!HF62"")"),0)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597"/>
      <c r="R557" s="597"/>
      <c r="S557" s="597"/>
      <c r="T557" s="597"/>
      <c r="U557" s="597"/>
      <c r="V557" s="597"/>
      <c r="W557" s="597"/>
      <c r="X557" s="597"/>
      <c r="Y557" s="597"/>
      <c r="Z557" s="597"/>
    </row>
    <row r="558" spans="1:26" ht="19.5">
      <c r="A558" s="601"/>
      <c r="B558" s="611"/>
      <c r="C558" s="568" t="s">
        <v>16</v>
      </c>
      <c r="D558" s="839" t="s">
        <v>38</v>
      </c>
      <c r="E558" s="752"/>
      <c r="F558" s="752"/>
      <c r="G558" s="606"/>
      <c r="H558" s="753"/>
      <c r="I558" s="184"/>
      <c r="J558" s="184"/>
      <c r="K558" s="163"/>
      <c r="L558" s="163"/>
      <c r="M558" s="163"/>
      <c r="N558" s="163"/>
      <c r="O558" s="163"/>
      <c r="P558" s="163"/>
      <c r="Q558" s="571"/>
      <c r="R558" s="571"/>
      <c r="S558" s="571"/>
      <c r="T558" s="571"/>
      <c r="U558" s="571"/>
      <c r="V558" s="571"/>
      <c r="W558" s="571"/>
      <c r="X558" s="571"/>
      <c r="Y558" s="571"/>
      <c r="Z558" s="571"/>
    </row>
    <row r="559" spans="1:26" ht="19.5">
      <c r="A559" s="685"/>
      <c r="B559" s="686" t="s">
        <v>234</v>
      </c>
      <c r="C559" s="687"/>
      <c r="D559" s="687"/>
      <c r="E559" s="666"/>
      <c r="F559" s="666"/>
      <c r="G559" s="667"/>
      <c r="H559" s="688" t="s">
        <v>46</v>
      </c>
      <c r="I559" s="699">
        <f t="shared" ref="I559:J559" ca="1" si="245">I576</f>
        <v>18118</v>
      </c>
      <c r="J559" s="699">
        <f t="shared" si="245"/>
        <v>0</v>
      </c>
      <c r="K559" s="670">
        <f t="shared" ref="K559:K561" ca="1" si="246">IF(I559&gt;0,J559*100/I559,0)</f>
        <v>0</v>
      </c>
      <c r="L559" s="671"/>
      <c r="M559" s="671"/>
      <c r="N559" s="671"/>
      <c r="O559" s="671"/>
      <c r="P559" s="671"/>
      <c r="Q559" s="571"/>
      <c r="R559" s="571"/>
      <c r="S559" s="571"/>
      <c r="T559" s="571"/>
      <c r="U559" s="571"/>
      <c r="V559" s="571"/>
      <c r="W559" s="571"/>
      <c r="X559" s="571"/>
      <c r="Y559" s="571"/>
      <c r="Z559" s="571"/>
    </row>
    <row r="560" spans="1:26" ht="19.5">
      <c r="A560" s="601"/>
      <c r="B560" s="611"/>
      <c r="C560" s="618" t="s">
        <v>235</v>
      </c>
      <c r="D560" s="611"/>
      <c r="E560" s="619"/>
      <c r="F560" s="619"/>
      <c r="G560" s="753"/>
      <c r="H560" s="758" t="s">
        <v>46</v>
      </c>
      <c r="I560" s="193">
        <f ca="1">IFERROR(__xludf.DUMMYFUNCTION("IMPORTRANGE(""https://docs.google.com/spreadsheets/d/1QqKyyYR6Q21VydFLVH3TRQUabQu_ym0Zz7PgGX0-kHA/edit?usp=sharing"",""แผน!HH62"")"),18118)</f>
        <v>18118</v>
      </c>
      <c r="J560" s="193">
        <f t="shared" ref="J560:J561" si="247">J562+J564+J566</f>
        <v>18118</v>
      </c>
      <c r="K560" s="410">
        <f t="shared" ca="1" si="246"/>
        <v>100</v>
      </c>
      <c r="L560" s="163"/>
      <c r="M560" s="163"/>
      <c r="N560" s="163"/>
      <c r="O560" s="163"/>
      <c r="P560" s="163"/>
      <c r="Q560" s="571"/>
      <c r="R560" s="571"/>
      <c r="S560" s="571"/>
      <c r="T560" s="571"/>
      <c r="U560" s="571"/>
      <c r="V560" s="571"/>
      <c r="W560" s="571"/>
      <c r="X560" s="571"/>
      <c r="Y560" s="571"/>
      <c r="Z560" s="571"/>
    </row>
    <row r="561" spans="1:26" ht="19.5">
      <c r="A561" s="601"/>
      <c r="B561" s="611"/>
      <c r="C561" s="611"/>
      <c r="D561" s="619"/>
      <c r="E561" s="619"/>
      <c r="F561" s="619"/>
      <c r="G561" s="753"/>
      <c r="H561" s="758" t="s">
        <v>34</v>
      </c>
      <c r="I561" s="193">
        <f ca="1">IFERROR(__xludf.DUMMYFUNCTION("IMPORTRANGE(""https://docs.google.com/spreadsheets/d/1QqKyyYR6Q21VydFLVH3TRQUabQu_ym0Zz7PgGX0-kHA/edit?usp=sharing"",""แผน!HG62"")"),1162)</f>
        <v>1162</v>
      </c>
      <c r="J561" s="193">
        <f t="shared" si="247"/>
        <v>1162</v>
      </c>
      <c r="K561" s="410">
        <f t="shared" ca="1" si="246"/>
        <v>100</v>
      </c>
      <c r="L561" s="163"/>
      <c r="M561" s="163"/>
      <c r="N561" s="163"/>
      <c r="O561" s="163"/>
      <c r="P561" s="163"/>
      <c r="Q561" s="571"/>
      <c r="R561" s="571"/>
      <c r="S561" s="571"/>
      <c r="T561" s="571"/>
      <c r="U561" s="571"/>
      <c r="V561" s="571"/>
      <c r="W561" s="571"/>
      <c r="X561" s="571"/>
      <c r="Y561" s="571"/>
      <c r="Z561" s="571"/>
    </row>
    <row r="562" spans="1:26" ht="18.75">
      <c r="A562" s="601"/>
      <c r="B562" s="611"/>
      <c r="C562" s="611"/>
      <c r="D562" s="619" t="s">
        <v>236</v>
      </c>
      <c r="E562" s="619"/>
      <c r="F562" s="619"/>
      <c r="G562" s="753"/>
      <c r="H562" s="755" t="s">
        <v>46</v>
      </c>
      <c r="I562" s="184"/>
      <c r="J562" s="214">
        <v>12704</v>
      </c>
      <c r="K562" s="163"/>
      <c r="L562" s="163"/>
      <c r="M562" s="163"/>
      <c r="N562" s="163"/>
      <c r="O562" s="163"/>
      <c r="P562" s="163"/>
      <c r="Q562" s="571"/>
      <c r="R562" s="571"/>
      <c r="S562" s="571"/>
      <c r="T562" s="571"/>
      <c r="U562" s="571"/>
      <c r="V562" s="571"/>
      <c r="W562" s="571"/>
      <c r="X562" s="571"/>
      <c r="Y562" s="571"/>
      <c r="Z562" s="571"/>
    </row>
    <row r="563" spans="1:26" ht="18.75">
      <c r="A563" s="601"/>
      <c r="B563" s="611"/>
      <c r="C563" s="611"/>
      <c r="D563" s="611"/>
      <c r="E563" s="619"/>
      <c r="F563" s="619"/>
      <c r="G563" s="753"/>
      <c r="H563" s="755" t="s">
        <v>34</v>
      </c>
      <c r="I563" s="184"/>
      <c r="J563" s="214">
        <v>895</v>
      </c>
      <c r="K563" s="163"/>
      <c r="L563" s="163"/>
      <c r="M563" s="163"/>
      <c r="N563" s="163"/>
      <c r="O563" s="163"/>
      <c r="P563" s="163"/>
      <c r="Q563" s="571"/>
      <c r="R563" s="571"/>
      <c r="S563" s="571"/>
      <c r="T563" s="571"/>
      <c r="U563" s="571"/>
      <c r="V563" s="571"/>
      <c r="W563" s="571"/>
      <c r="X563" s="571"/>
      <c r="Y563" s="571"/>
      <c r="Z563" s="571"/>
    </row>
    <row r="564" spans="1:26" ht="18.75">
      <c r="A564" s="601"/>
      <c r="B564" s="611"/>
      <c r="C564" s="611"/>
      <c r="D564" s="619" t="s">
        <v>237</v>
      </c>
      <c r="E564" s="619"/>
      <c r="F564" s="619"/>
      <c r="G564" s="753"/>
      <c r="H564" s="755" t="s">
        <v>46</v>
      </c>
      <c r="I564" s="184"/>
      <c r="J564" s="214">
        <v>4966</v>
      </c>
      <c r="K564" s="163"/>
      <c r="L564" s="163"/>
      <c r="M564" s="163"/>
      <c r="N564" s="163"/>
      <c r="O564" s="163"/>
      <c r="P564" s="163"/>
      <c r="Q564" s="571"/>
      <c r="R564" s="571"/>
      <c r="S564" s="571"/>
      <c r="T564" s="571"/>
      <c r="U564" s="571"/>
      <c r="V564" s="571"/>
      <c r="W564" s="571"/>
      <c r="X564" s="571"/>
      <c r="Y564" s="571"/>
      <c r="Z564" s="571"/>
    </row>
    <row r="565" spans="1:26" ht="18.75">
      <c r="A565" s="601"/>
      <c r="B565" s="611"/>
      <c r="C565" s="611"/>
      <c r="D565" s="619"/>
      <c r="E565" s="619"/>
      <c r="F565" s="619"/>
      <c r="G565" s="753"/>
      <c r="H565" s="755" t="s">
        <v>34</v>
      </c>
      <c r="I565" s="184"/>
      <c r="J565" s="214">
        <v>228</v>
      </c>
      <c r="K565" s="163"/>
      <c r="L565" s="163"/>
      <c r="M565" s="163"/>
      <c r="N565" s="163"/>
      <c r="O565" s="163"/>
      <c r="P565" s="163"/>
      <c r="Q565" s="571"/>
      <c r="R565" s="571"/>
      <c r="S565" s="571"/>
      <c r="T565" s="571"/>
      <c r="U565" s="571"/>
      <c r="V565" s="571"/>
      <c r="W565" s="571"/>
      <c r="X565" s="571"/>
      <c r="Y565" s="571"/>
      <c r="Z565" s="571"/>
    </row>
    <row r="566" spans="1:26" ht="18.75">
      <c r="A566" s="601"/>
      <c r="B566" s="611"/>
      <c r="C566" s="611"/>
      <c r="D566" s="619" t="s">
        <v>238</v>
      </c>
      <c r="E566" s="619"/>
      <c r="F566" s="619"/>
      <c r="G566" s="753"/>
      <c r="H566" s="755" t="s">
        <v>46</v>
      </c>
      <c r="I566" s="184"/>
      <c r="J566" s="214">
        <v>448</v>
      </c>
      <c r="K566" s="163"/>
      <c r="L566" s="163"/>
      <c r="M566" s="163"/>
      <c r="N566" s="163"/>
      <c r="O566" s="163"/>
      <c r="P566" s="163"/>
      <c r="Q566" s="571"/>
      <c r="R566" s="571"/>
      <c r="S566" s="571"/>
      <c r="T566" s="571"/>
      <c r="U566" s="571"/>
      <c r="V566" s="571"/>
      <c r="W566" s="571"/>
      <c r="X566" s="571"/>
      <c r="Y566" s="571"/>
      <c r="Z566" s="571"/>
    </row>
    <row r="567" spans="1:26" ht="18.75">
      <c r="A567" s="601"/>
      <c r="B567" s="611"/>
      <c r="C567" s="611"/>
      <c r="D567" s="619"/>
      <c r="E567" s="619"/>
      <c r="F567" s="619"/>
      <c r="G567" s="753"/>
      <c r="H567" s="755" t="s">
        <v>34</v>
      </c>
      <c r="I567" s="184"/>
      <c r="J567" s="214">
        <v>39</v>
      </c>
      <c r="K567" s="163"/>
      <c r="L567" s="163"/>
      <c r="M567" s="163"/>
      <c r="N567" s="163"/>
      <c r="O567" s="163"/>
      <c r="P567" s="163"/>
      <c r="Q567" s="571"/>
      <c r="R567" s="571"/>
      <c r="S567" s="571"/>
      <c r="T567" s="571"/>
      <c r="U567" s="571"/>
      <c r="V567" s="571"/>
      <c r="W567" s="571"/>
      <c r="X567" s="571"/>
      <c r="Y567" s="571"/>
      <c r="Z567" s="571"/>
    </row>
    <row r="568" spans="1:26" ht="19.5">
      <c r="A568" s="601"/>
      <c r="B568" s="611"/>
      <c r="C568" s="618" t="s">
        <v>239</v>
      </c>
      <c r="D568" s="619"/>
      <c r="E568" s="619"/>
      <c r="F568" s="619"/>
      <c r="G568" s="753"/>
      <c r="H568" s="758" t="s">
        <v>46</v>
      </c>
      <c r="I568" s="193">
        <f ca="1">IFERROR(__xludf.DUMMYFUNCTION("IMPORTRANGE(""https://docs.google.com/spreadsheets/d/1QqKyyYR6Q21VydFLVH3TRQUabQu_ym0Zz7PgGX0-kHA/edit?usp=sharing"",""แผน!HH62"")"),18118)</f>
        <v>18118</v>
      </c>
      <c r="J568" s="674">
        <f t="shared" ref="J568:J569" si="248">J570+J572+J574</f>
        <v>0</v>
      </c>
      <c r="K568" s="410">
        <f t="shared" ref="K568:K569" ca="1" si="249">IF(I568&gt;0,J568*100/I568,0)</f>
        <v>0</v>
      </c>
      <c r="L568" s="163"/>
      <c r="M568" s="163"/>
      <c r="N568" s="163"/>
      <c r="O568" s="163"/>
      <c r="P568" s="163"/>
      <c r="Q568" s="571"/>
      <c r="R568" s="571"/>
      <c r="S568" s="571"/>
      <c r="T568" s="571"/>
      <c r="U568" s="571"/>
      <c r="V568" s="571"/>
      <c r="W568" s="571"/>
      <c r="X568" s="571"/>
      <c r="Y568" s="571"/>
      <c r="Z568" s="571"/>
    </row>
    <row r="569" spans="1:26" ht="19.5">
      <c r="A569" s="601"/>
      <c r="B569" s="611"/>
      <c r="C569" s="611"/>
      <c r="D569" s="611"/>
      <c r="E569" s="619"/>
      <c r="F569" s="619"/>
      <c r="G569" s="753"/>
      <c r="H569" s="758" t="s">
        <v>34</v>
      </c>
      <c r="I569" s="193">
        <f ca="1">IFERROR(__xludf.DUMMYFUNCTION("IMPORTRANGE(""https://docs.google.com/spreadsheets/d/1QqKyyYR6Q21VydFLVH3TRQUabQu_ym0Zz7PgGX0-kHA/edit?usp=sharing"",""แผน!HG62"")"),1162)</f>
        <v>1162</v>
      </c>
      <c r="J569" s="674">
        <f t="shared" si="248"/>
        <v>0</v>
      </c>
      <c r="K569" s="410">
        <f t="shared" ca="1" si="249"/>
        <v>0</v>
      </c>
      <c r="L569" s="163"/>
      <c r="M569" s="163"/>
      <c r="N569" s="163"/>
      <c r="O569" s="163"/>
      <c r="P569" s="163"/>
      <c r="Q569" s="571"/>
      <c r="R569" s="571"/>
      <c r="S569" s="571"/>
      <c r="T569" s="571"/>
      <c r="U569" s="571"/>
      <c r="V569" s="571"/>
      <c r="W569" s="571"/>
      <c r="X569" s="571"/>
      <c r="Y569" s="571"/>
      <c r="Z569" s="571"/>
    </row>
    <row r="570" spans="1:26" ht="18.75">
      <c r="A570" s="601"/>
      <c r="B570" s="611"/>
      <c r="C570" s="611"/>
      <c r="D570" s="619" t="s">
        <v>240</v>
      </c>
      <c r="E570" s="611"/>
      <c r="F570" s="619"/>
      <c r="G570" s="753"/>
      <c r="H570" s="755" t="s">
        <v>46</v>
      </c>
      <c r="I570" s="184"/>
      <c r="J570" s="214">
        <v>0</v>
      </c>
      <c r="K570" s="163"/>
      <c r="L570" s="163"/>
      <c r="M570" s="163"/>
      <c r="N570" s="163"/>
      <c r="O570" s="163"/>
      <c r="P570" s="163"/>
      <c r="Q570" s="571"/>
      <c r="R570" s="571"/>
      <c r="S570" s="571"/>
      <c r="T570" s="571"/>
      <c r="U570" s="571"/>
      <c r="V570" s="571"/>
      <c r="W570" s="571"/>
      <c r="X570" s="571"/>
      <c r="Y570" s="571"/>
      <c r="Z570" s="571"/>
    </row>
    <row r="571" spans="1:26" ht="18.75">
      <c r="A571" s="601"/>
      <c r="B571" s="611"/>
      <c r="C571" s="611"/>
      <c r="D571" s="611"/>
      <c r="E571" s="619"/>
      <c r="F571" s="619"/>
      <c r="G571" s="753"/>
      <c r="H571" s="755" t="s">
        <v>34</v>
      </c>
      <c r="I571" s="184"/>
      <c r="J571" s="214">
        <v>0</v>
      </c>
      <c r="K571" s="163"/>
      <c r="L571" s="163"/>
      <c r="M571" s="163"/>
      <c r="N571" s="163"/>
      <c r="O571" s="163"/>
      <c r="P571" s="163"/>
      <c r="Q571" s="571"/>
      <c r="R571" s="571"/>
      <c r="S571" s="571"/>
      <c r="T571" s="571"/>
      <c r="U571" s="571"/>
      <c r="V571" s="571"/>
      <c r="W571" s="571"/>
      <c r="X571" s="571"/>
      <c r="Y571" s="571"/>
      <c r="Z571" s="571"/>
    </row>
    <row r="572" spans="1:26" ht="18.75">
      <c r="A572" s="601"/>
      <c r="B572" s="611"/>
      <c r="C572" s="611"/>
      <c r="D572" s="619" t="s">
        <v>241</v>
      </c>
      <c r="E572" s="619"/>
      <c r="F572" s="619"/>
      <c r="G572" s="753"/>
      <c r="H572" s="755" t="s">
        <v>46</v>
      </c>
      <c r="I572" s="184"/>
      <c r="J572" s="214">
        <v>0</v>
      </c>
      <c r="K572" s="163"/>
      <c r="L572" s="163"/>
      <c r="M572" s="163"/>
      <c r="N572" s="163"/>
      <c r="O572" s="163"/>
      <c r="P572" s="163"/>
      <c r="Q572" s="571"/>
      <c r="R572" s="571"/>
      <c r="S572" s="571"/>
      <c r="T572" s="571"/>
      <c r="U572" s="571"/>
      <c r="V572" s="571"/>
      <c r="W572" s="571"/>
      <c r="X572" s="571"/>
      <c r="Y572" s="571"/>
      <c r="Z572" s="571"/>
    </row>
    <row r="573" spans="1:26" ht="18.75">
      <c r="A573" s="601"/>
      <c r="B573" s="611"/>
      <c r="C573" s="611"/>
      <c r="D573" s="619"/>
      <c r="E573" s="619"/>
      <c r="F573" s="619"/>
      <c r="G573" s="753"/>
      <c r="H573" s="755" t="s">
        <v>34</v>
      </c>
      <c r="I573" s="184"/>
      <c r="J573" s="214">
        <v>0</v>
      </c>
      <c r="K573" s="163"/>
      <c r="L573" s="163"/>
      <c r="M573" s="163"/>
      <c r="N573" s="163"/>
      <c r="O573" s="163"/>
      <c r="P573" s="163"/>
      <c r="Q573" s="571"/>
      <c r="R573" s="571"/>
      <c r="S573" s="571"/>
      <c r="T573" s="571"/>
      <c r="U573" s="571"/>
      <c r="V573" s="571"/>
      <c r="W573" s="571"/>
      <c r="X573" s="571"/>
      <c r="Y573" s="571"/>
      <c r="Z573" s="571"/>
    </row>
    <row r="574" spans="1:26" ht="18.75">
      <c r="A574" s="601"/>
      <c r="B574" s="611"/>
      <c r="C574" s="611"/>
      <c r="D574" s="619" t="s">
        <v>242</v>
      </c>
      <c r="E574" s="619"/>
      <c r="F574" s="619"/>
      <c r="G574" s="753"/>
      <c r="H574" s="755" t="s">
        <v>46</v>
      </c>
      <c r="I574" s="184"/>
      <c r="J574" s="214">
        <v>0</v>
      </c>
      <c r="K574" s="163"/>
      <c r="L574" s="163"/>
      <c r="M574" s="163"/>
      <c r="N574" s="163"/>
      <c r="O574" s="163"/>
      <c r="P574" s="163"/>
      <c r="Q574" s="571"/>
      <c r="R574" s="571"/>
      <c r="S574" s="571"/>
      <c r="T574" s="571"/>
      <c r="U574" s="571"/>
      <c r="V574" s="571"/>
      <c r="W574" s="571"/>
      <c r="X574" s="571"/>
      <c r="Y574" s="571"/>
      <c r="Z574" s="571"/>
    </row>
    <row r="575" spans="1:26" ht="18.75">
      <c r="A575" s="601"/>
      <c r="B575" s="611"/>
      <c r="C575" s="611"/>
      <c r="D575" s="611"/>
      <c r="E575" s="619"/>
      <c r="F575" s="619"/>
      <c r="G575" s="753"/>
      <c r="H575" s="755" t="s">
        <v>34</v>
      </c>
      <c r="I575" s="184"/>
      <c r="J575" s="214">
        <v>0</v>
      </c>
      <c r="K575" s="163"/>
      <c r="L575" s="163"/>
      <c r="M575" s="163"/>
      <c r="N575" s="163"/>
      <c r="O575" s="163"/>
      <c r="P575" s="163"/>
      <c r="Q575" s="571"/>
      <c r="R575" s="571"/>
      <c r="S575" s="571"/>
      <c r="T575" s="571"/>
      <c r="U575" s="571"/>
      <c r="V575" s="571"/>
      <c r="W575" s="571"/>
      <c r="X575" s="571"/>
      <c r="Y575" s="571"/>
      <c r="Z575" s="571"/>
    </row>
    <row r="576" spans="1:26" ht="19.5">
      <c r="A576" s="601"/>
      <c r="B576" s="611"/>
      <c r="C576" s="618" t="s">
        <v>243</v>
      </c>
      <c r="D576" s="611"/>
      <c r="E576" s="611"/>
      <c r="F576" s="619"/>
      <c r="G576" s="753"/>
      <c r="H576" s="758" t="s">
        <v>46</v>
      </c>
      <c r="I576" s="193">
        <f ca="1">IFERROR(__xludf.DUMMYFUNCTION("IMPORTRANGE(""https://docs.google.com/spreadsheets/d/1QqKyyYR6Q21VydFLVH3TRQUabQu_ym0Zz7PgGX0-kHA/edit?usp=sharing"",""แผน!HH62"")"),18118)</f>
        <v>18118</v>
      </c>
      <c r="J576" s="674">
        <f t="shared" ref="J576:J577" si="250">J578+J580+J582+J588+J590</f>
        <v>0</v>
      </c>
      <c r="K576" s="410">
        <f t="shared" ref="K576:K577" ca="1" si="251">IF(I576&gt;0,J576*100/I576,0)</f>
        <v>0</v>
      </c>
      <c r="L576" s="163"/>
      <c r="M576" s="163"/>
      <c r="N576" s="163"/>
      <c r="O576" s="163"/>
      <c r="P576" s="163"/>
      <c r="Q576" s="571"/>
      <c r="R576" s="571"/>
      <c r="S576" s="571"/>
      <c r="T576" s="571"/>
      <c r="U576" s="571"/>
      <c r="V576" s="571"/>
      <c r="W576" s="571"/>
      <c r="X576" s="571"/>
      <c r="Y576" s="571"/>
      <c r="Z576" s="571"/>
    </row>
    <row r="577" spans="1:26" ht="19.5">
      <c r="A577" s="601"/>
      <c r="B577" s="611"/>
      <c r="C577" s="611"/>
      <c r="D577" s="611"/>
      <c r="E577" s="619"/>
      <c r="F577" s="619"/>
      <c r="G577" s="753"/>
      <c r="H577" s="758" t="s">
        <v>34</v>
      </c>
      <c r="I577" s="193">
        <f ca="1">IFERROR(__xludf.DUMMYFUNCTION("IMPORTRANGE(""https://docs.google.com/spreadsheets/d/1QqKyyYR6Q21VydFLVH3TRQUabQu_ym0Zz7PgGX0-kHA/edit?usp=sharing"",""แผน!HG62"")"),1162)</f>
        <v>1162</v>
      </c>
      <c r="J577" s="674">
        <f t="shared" si="250"/>
        <v>0</v>
      </c>
      <c r="K577" s="410">
        <f t="shared" ca="1" si="251"/>
        <v>0</v>
      </c>
      <c r="L577" s="163"/>
      <c r="M577" s="163"/>
      <c r="N577" s="163"/>
      <c r="O577" s="163"/>
      <c r="P577" s="163"/>
      <c r="Q577" s="571"/>
      <c r="R577" s="571"/>
      <c r="S577" s="571"/>
      <c r="T577" s="571"/>
      <c r="U577" s="571"/>
      <c r="V577" s="571"/>
      <c r="W577" s="571"/>
      <c r="X577" s="571"/>
      <c r="Y577" s="571"/>
      <c r="Z577" s="571"/>
    </row>
    <row r="578" spans="1:26" ht="18.75">
      <c r="A578" s="601"/>
      <c r="B578" s="611"/>
      <c r="C578" s="611"/>
      <c r="D578" s="619" t="s">
        <v>244</v>
      </c>
      <c r="E578" s="619"/>
      <c r="F578" s="619"/>
      <c r="G578" s="753"/>
      <c r="H578" s="755" t="s">
        <v>46</v>
      </c>
      <c r="I578" s="184"/>
      <c r="J578" s="214">
        <v>0</v>
      </c>
      <c r="K578" s="163"/>
      <c r="L578" s="163"/>
      <c r="M578" s="163"/>
      <c r="N578" s="163"/>
      <c r="O578" s="163"/>
      <c r="P578" s="163"/>
      <c r="Q578" s="571"/>
      <c r="R578" s="571"/>
      <c r="S578" s="571"/>
      <c r="T578" s="571"/>
      <c r="U578" s="571"/>
      <c r="V578" s="571"/>
      <c r="W578" s="571"/>
      <c r="X578" s="571"/>
      <c r="Y578" s="571"/>
      <c r="Z578" s="571"/>
    </row>
    <row r="579" spans="1:26" ht="18.75">
      <c r="A579" s="601"/>
      <c r="B579" s="611"/>
      <c r="C579" s="611"/>
      <c r="D579" s="611"/>
      <c r="E579" s="619"/>
      <c r="F579" s="619"/>
      <c r="G579" s="753"/>
      <c r="H579" s="755" t="s">
        <v>34</v>
      </c>
      <c r="I579" s="184"/>
      <c r="J579" s="214">
        <v>0</v>
      </c>
      <c r="K579" s="163"/>
      <c r="L579" s="163"/>
      <c r="M579" s="163"/>
      <c r="N579" s="163"/>
      <c r="O579" s="163"/>
      <c r="P579" s="163"/>
      <c r="Q579" s="571"/>
      <c r="R579" s="571"/>
      <c r="S579" s="571"/>
      <c r="T579" s="571"/>
      <c r="U579" s="571"/>
      <c r="V579" s="571"/>
      <c r="W579" s="571"/>
      <c r="X579" s="571"/>
      <c r="Y579" s="571"/>
      <c r="Z579" s="571"/>
    </row>
    <row r="580" spans="1:26" ht="18.75">
      <c r="A580" s="601"/>
      <c r="B580" s="611"/>
      <c r="C580" s="611"/>
      <c r="D580" s="619" t="s">
        <v>245</v>
      </c>
      <c r="E580" s="619"/>
      <c r="F580" s="619"/>
      <c r="G580" s="753"/>
      <c r="H580" s="755" t="s">
        <v>46</v>
      </c>
      <c r="I580" s="184"/>
      <c r="J580" s="214">
        <v>0</v>
      </c>
      <c r="K580" s="163"/>
      <c r="L580" s="163"/>
      <c r="M580" s="163"/>
      <c r="N580" s="163"/>
      <c r="O580" s="163"/>
      <c r="P580" s="163"/>
      <c r="Q580" s="571"/>
      <c r="R580" s="571"/>
      <c r="S580" s="571"/>
      <c r="T580" s="571"/>
      <c r="U580" s="571"/>
      <c r="V580" s="571"/>
      <c r="W580" s="571"/>
      <c r="X580" s="571"/>
      <c r="Y580" s="571"/>
      <c r="Z580" s="571"/>
    </row>
    <row r="581" spans="1:26" ht="18.75">
      <c r="A581" s="601"/>
      <c r="B581" s="611"/>
      <c r="C581" s="611"/>
      <c r="D581" s="611"/>
      <c r="E581" s="619"/>
      <c r="F581" s="619"/>
      <c r="G581" s="753"/>
      <c r="H581" s="755" t="s">
        <v>34</v>
      </c>
      <c r="I581" s="184"/>
      <c r="J581" s="214">
        <v>0</v>
      </c>
      <c r="K581" s="163"/>
      <c r="L581" s="163"/>
      <c r="M581" s="163"/>
      <c r="N581" s="163"/>
      <c r="O581" s="163"/>
      <c r="P581" s="163"/>
      <c r="Q581" s="571"/>
      <c r="R581" s="571"/>
      <c r="S581" s="571"/>
      <c r="T581" s="571"/>
      <c r="U581" s="571"/>
      <c r="V581" s="571"/>
      <c r="W581" s="571"/>
      <c r="X581" s="571"/>
      <c r="Y581" s="571"/>
      <c r="Z581" s="571"/>
    </row>
    <row r="582" spans="1:26" ht="19.5">
      <c r="A582" s="601"/>
      <c r="B582" s="611"/>
      <c r="C582" s="611"/>
      <c r="D582" s="619" t="s">
        <v>246</v>
      </c>
      <c r="E582" s="619"/>
      <c r="F582" s="619"/>
      <c r="G582" s="753"/>
      <c r="H582" s="755" t="s">
        <v>46</v>
      </c>
      <c r="I582" s="184"/>
      <c r="J582" s="674">
        <f t="shared" ref="J582:J583" si="252">J584+J586</f>
        <v>0</v>
      </c>
      <c r="K582" s="410"/>
      <c r="L582" s="163"/>
      <c r="M582" s="163"/>
      <c r="N582" s="163"/>
      <c r="O582" s="163"/>
      <c r="P582" s="163"/>
      <c r="Q582" s="571"/>
      <c r="R582" s="571"/>
      <c r="S582" s="571"/>
      <c r="T582" s="571"/>
      <c r="U582" s="571"/>
      <c r="V582" s="571"/>
      <c r="W582" s="571"/>
      <c r="X582" s="571"/>
      <c r="Y582" s="571"/>
      <c r="Z582" s="571"/>
    </row>
    <row r="583" spans="1:26" ht="19.5">
      <c r="A583" s="601"/>
      <c r="B583" s="611"/>
      <c r="C583" s="611"/>
      <c r="D583" s="611"/>
      <c r="E583" s="619"/>
      <c r="F583" s="619"/>
      <c r="G583" s="753"/>
      <c r="H583" s="755" t="s">
        <v>34</v>
      </c>
      <c r="I583" s="184"/>
      <c r="J583" s="674">
        <f t="shared" si="252"/>
        <v>0</v>
      </c>
      <c r="K583" s="410"/>
      <c r="L583" s="163"/>
      <c r="M583" s="163"/>
      <c r="N583" s="163"/>
      <c r="O583" s="163"/>
      <c r="P583" s="163"/>
      <c r="Q583" s="571"/>
      <c r="R583" s="571"/>
      <c r="S583" s="571"/>
      <c r="T583" s="571"/>
      <c r="U583" s="571"/>
      <c r="V583" s="571"/>
      <c r="W583" s="571"/>
      <c r="X583" s="571"/>
      <c r="Y583" s="571"/>
      <c r="Z583" s="571"/>
    </row>
    <row r="584" spans="1:26" ht="18.75">
      <c r="A584" s="601"/>
      <c r="B584" s="611"/>
      <c r="C584" s="611"/>
      <c r="D584" s="611"/>
      <c r="E584" s="619" t="s">
        <v>247</v>
      </c>
      <c r="F584" s="619"/>
      <c r="G584" s="753"/>
      <c r="H584" s="755" t="s">
        <v>46</v>
      </c>
      <c r="I584" s="184"/>
      <c r="J584" s="214">
        <v>0</v>
      </c>
      <c r="K584" s="163"/>
      <c r="L584" s="163"/>
      <c r="M584" s="163"/>
      <c r="N584" s="163"/>
      <c r="O584" s="163"/>
      <c r="P584" s="163"/>
      <c r="Q584" s="571"/>
      <c r="R584" s="571"/>
      <c r="S584" s="571"/>
      <c r="T584" s="571"/>
      <c r="U584" s="571"/>
      <c r="V584" s="571"/>
      <c r="W584" s="571"/>
      <c r="X584" s="571"/>
      <c r="Y584" s="571"/>
      <c r="Z584" s="571"/>
    </row>
    <row r="585" spans="1:26" ht="18.75">
      <c r="A585" s="601"/>
      <c r="B585" s="611"/>
      <c r="C585" s="611"/>
      <c r="D585" s="611"/>
      <c r="E585" s="619"/>
      <c r="F585" s="619"/>
      <c r="G585" s="753"/>
      <c r="H585" s="755" t="s">
        <v>34</v>
      </c>
      <c r="I585" s="184"/>
      <c r="J585" s="214">
        <v>0</v>
      </c>
      <c r="K585" s="163"/>
      <c r="L585" s="163"/>
      <c r="M585" s="163"/>
      <c r="N585" s="163"/>
      <c r="O585" s="163"/>
      <c r="P585" s="163"/>
      <c r="Q585" s="571"/>
      <c r="R585" s="571"/>
      <c r="S585" s="571"/>
      <c r="T585" s="571"/>
      <c r="U585" s="571"/>
      <c r="V585" s="571"/>
      <c r="W585" s="571"/>
      <c r="X585" s="571"/>
      <c r="Y585" s="571"/>
      <c r="Z585" s="571"/>
    </row>
    <row r="586" spans="1:26" ht="18.75">
      <c r="A586" s="601"/>
      <c r="B586" s="611"/>
      <c r="C586" s="611"/>
      <c r="D586" s="611"/>
      <c r="E586" s="619" t="s">
        <v>248</v>
      </c>
      <c r="F586" s="619"/>
      <c r="G586" s="753"/>
      <c r="H586" s="755" t="s">
        <v>46</v>
      </c>
      <c r="I586" s="184"/>
      <c r="J586" s="214">
        <v>0</v>
      </c>
      <c r="K586" s="163"/>
      <c r="L586" s="163"/>
      <c r="M586" s="163"/>
      <c r="N586" s="163"/>
      <c r="O586" s="163"/>
      <c r="P586" s="163"/>
      <c r="Q586" s="571"/>
      <c r="R586" s="571"/>
      <c r="S586" s="571"/>
      <c r="T586" s="571"/>
      <c r="U586" s="571"/>
      <c r="V586" s="571"/>
      <c r="W586" s="571"/>
      <c r="X586" s="571"/>
      <c r="Y586" s="571"/>
      <c r="Z586" s="571"/>
    </row>
    <row r="587" spans="1:26" ht="18.75">
      <c r="A587" s="601"/>
      <c r="B587" s="611"/>
      <c r="C587" s="611"/>
      <c r="D587" s="611"/>
      <c r="E587" s="611"/>
      <c r="F587" s="619"/>
      <c r="G587" s="753"/>
      <c r="H587" s="755" t="s">
        <v>34</v>
      </c>
      <c r="I587" s="184"/>
      <c r="J587" s="214">
        <v>0</v>
      </c>
      <c r="K587" s="163"/>
      <c r="L587" s="163"/>
      <c r="M587" s="163"/>
      <c r="N587" s="163"/>
      <c r="O587" s="163"/>
      <c r="P587" s="163"/>
      <c r="Q587" s="571"/>
      <c r="R587" s="571"/>
      <c r="S587" s="571"/>
      <c r="T587" s="571"/>
      <c r="U587" s="571"/>
      <c r="V587" s="571"/>
      <c r="W587" s="571"/>
      <c r="X587" s="571"/>
      <c r="Y587" s="571"/>
      <c r="Z587" s="571"/>
    </row>
    <row r="588" spans="1:26" ht="18.75">
      <c r="A588" s="601"/>
      <c r="B588" s="611"/>
      <c r="C588" s="611"/>
      <c r="D588" s="619" t="s">
        <v>249</v>
      </c>
      <c r="E588" s="619"/>
      <c r="F588" s="619"/>
      <c r="G588" s="753"/>
      <c r="H588" s="755" t="s">
        <v>46</v>
      </c>
      <c r="I588" s="184"/>
      <c r="J588" s="214">
        <v>0</v>
      </c>
      <c r="K588" s="163"/>
      <c r="L588" s="163"/>
      <c r="M588" s="163"/>
      <c r="N588" s="163"/>
      <c r="O588" s="163"/>
      <c r="P588" s="163"/>
      <c r="Q588" s="571"/>
      <c r="R588" s="571"/>
      <c r="S588" s="571"/>
      <c r="T588" s="571"/>
      <c r="U588" s="571"/>
      <c r="V588" s="571"/>
      <c r="W588" s="571"/>
      <c r="X588" s="571"/>
      <c r="Y588" s="571"/>
      <c r="Z588" s="571"/>
    </row>
    <row r="589" spans="1:26" ht="18.75">
      <c r="A589" s="601"/>
      <c r="B589" s="611"/>
      <c r="C589" s="611"/>
      <c r="D589" s="611"/>
      <c r="E589" s="611"/>
      <c r="F589" s="619"/>
      <c r="G589" s="753"/>
      <c r="H589" s="755" t="s">
        <v>34</v>
      </c>
      <c r="I589" s="184"/>
      <c r="J589" s="214">
        <v>0</v>
      </c>
      <c r="K589" s="163"/>
      <c r="L589" s="163"/>
      <c r="M589" s="163"/>
      <c r="N589" s="163"/>
      <c r="O589" s="163"/>
      <c r="P589" s="163"/>
      <c r="Q589" s="571"/>
      <c r="R589" s="571"/>
      <c r="S589" s="571"/>
      <c r="T589" s="571"/>
      <c r="U589" s="571"/>
      <c r="V589" s="571"/>
      <c r="W589" s="571"/>
      <c r="X589" s="571"/>
      <c r="Y589" s="571"/>
      <c r="Z589" s="571"/>
    </row>
    <row r="590" spans="1:26" ht="18.75">
      <c r="A590" s="601"/>
      <c r="B590" s="611"/>
      <c r="C590" s="611"/>
      <c r="D590" s="619" t="s">
        <v>250</v>
      </c>
      <c r="E590" s="619"/>
      <c r="F590" s="619"/>
      <c r="G590" s="753"/>
      <c r="H590" s="755" t="s">
        <v>46</v>
      </c>
      <c r="I590" s="184"/>
      <c r="J590" s="214">
        <v>0</v>
      </c>
      <c r="K590" s="163"/>
      <c r="L590" s="163"/>
      <c r="M590" s="163"/>
      <c r="N590" s="163"/>
      <c r="O590" s="163"/>
      <c r="P590" s="163"/>
      <c r="Q590" s="571"/>
      <c r="R590" s="571"/>
      <c r="S590" s="571"/>
      <c r="T590" s="571"/>
      <c r="U590" s="571"/>
      <c r="V590" s="571"/>
      <c r="W590" s="571"/>
      <c r="X590" s="571"/>
      <c r="Y590" s="571"/>
      <c r="Z590" s="571"/>
    </row>
    <row r="591" spans="1:26" ht="18.75">
      <c r="A591" s="689"/>
      <c r="B591" s="690"/>
      <c r="C591" s="690"/>
      <c r="D591" s="690"/>
      <c r="E591" s="571"/>
      <c r="F591" s="571"/>
      <c r="G591" s="691"/>
      <c r="H591" s="692" t="s">
        <v>34</v>
      </c>
      <c r="I591" s="693"/>
      <c r="J591" s="694">
        <v>0</v>
      </c>
      <c r="K591" s="695"/>
      <c r="L591" s="695"/>
      <c r="M591" s="695"/>
      <c r="N591" s="695"/>
      <c r="O591" s="695"/>
      <c r="P591" s="695"/>
      <c r="Q591" s="571"/>
      <c r="R591" s="571"/>
      <c r="S591" s="571"/>
      <c r="T591" s="571"/>
      <c r="U591" s="571"/>
      <c r="V591" s="571"/>
      <c r="W591" s="571"/>
      <c r="X591" s="571"/>
      <c r="Y591" s="571"/>
      <c r="Z591" s="571"/>
    </row>
    <row r="592" spans="1:26" ht="19.5" hidden="1">
      <c r="A592" s="685"/>
      <c r="B592" s="686" t="s">
        <v>251</v>
      </c>
      <c r="C592" s="687"/>
      <c r="D592" s="687"/>
      <c r="E592" s="666"/>
      <c r="F592" s="666"/>
      <c r="G592" s="667"/>
      <c r="H592" s="688" t="s">
        <v>46</v>
      </c>
      <c r="I592" s="699">
        <f t="shared" ref="I592:J592" ca="1" si="253">I593</f>
        <v>0</v>
      </c>
      <c r="J592" s="699">
        <f t="shared" si="253"/>
        <v>0</v>
      </c>
      <c r="K592" s="670">
        <f t="shared" ref="K592:K594" ca="1" si="254">IF(I592&gt;0,J592*100/I592,0)</f>
        <v>0</v>
      </c>
      <c r="L592" s="671"/>
      <c r="M592" s="671"/>
      <c r="N592" s="671"/>
      <c r="O592" s="671"/>
      <c r="P592" s="671"/>
      <c r="Q592" s="571"/>
      <c r="R592" s="571"/>
      <c r="S592" s="571"/>
      <c r="T592" s="571"/>
      <c r="U592" s="571"/>
      <c r="V592" s="571"/>
      <c r="W592" s="571"/>
      <c r="X592" s="571"/>
      <c r="Y592" s="571"/>
      <c r="Z592" s="571"/>
    </row>
    <row r="593" spans="1:26" ht="19.5" hidden="1">
      <c r="A593" s="601"/>
      <c r="B593" s="611"/>
      <c r="C593" s="618" t="s">
        <v>252</v>
      </c>
      <c r="D593" s="611"/>
      <c r="E593" s="611"/>
      <c r="F593" s="619"/>
      <c r="G593" s="753"/>
      <c r="H593" s="758" t="s">
        <v>46</v>
      </c>
      <c r="I593" s="193">
        <f ca="1">IFERROR(__xludf.DUMMYFUNCTION("IMPORTRANGE(""https://docs.google.com/spreadsheets/d/1QqKyyYR6Q21VydFLVH3TRQUabQu_ym0Zz7PgGX0-kHA/edit?usp=sharing"",""แผน!HJ62"")"),0)</f>
        <v>0</v>
      </c>
      <c r="J593" s="193">
        <f t="shared" ref="J593:J594" si="255">J595+J603+J609</f>
        <v>0</v>
      </c>
      <c r="K593" s="410">
        <f t="shared" ca="1" si="254"/>
        <v>0</v>
      </c>
      <c r="L593" s="163"/>
      <c r="M593" s="163"/>
      <c r="N593" s="163"/>
      <c r="O593" s="163"/>
      <c r="P593" s="163"/>
      <c r="Q593" s="571"/>
      <c r="R593" s="571"/>
      <c r="S593" s="571"/>
      <c r="T593" s="571"/>
      <c r="U593" s="571"/>
      <c r="V593" s="571"/>
      <c r="W593" s="571"/>
      <c r="X593" s="571"/>
      <c r="Y593" s="571"/>
      <c r="Z593" s="571"/>
    </row>
    <row r="594" spans="1:26" ht="19.5" hidden="1">
      <c r="A594" s="601"/>
      <c r="B594" s="611"/>
      <c r="C594" s="611"/>
      <c r="D594" s="611"/>
      <c r="E594" s="619"/>
      <c r="F594" s="619"/>
      <c r="G594" s="753"/>
      <c r="H594" s="758" t="s">
        <v>34</v>
      </c>
      <c r="I594" s="193">
        <f ca="1">IFERROR(__xludf.DUMMYFUNCTION("IMPORTRANGE(""https://docs.google.com/spreadsheets/d/1QqKyyYR6Q21VydFLVH3TRQUabQu_ym0Zz7PgGX0-kHA/edit?usp=sharing"",""แผน!HI62"")"),0)</f>
        <v>0</v>
      </c>
      <c r="J594" s="193">
        <f t="shared" si="255"/>
        <v>0</v>
      </c>
      <c r="K594" s="410">
        <f t="shared" ca="1" si="254"/>
        <v>0</v>
      </c>
      <c r="L594" s="163"/>
      <c r="M594" s="163"/>
      <c r="N594" s="163"/>
      <c r="O594" s="163"/>
      <c r="P594" s="163"/>
      <c r="Q594" s="571"/>
      <c r="R594" s="571"/>
      <c r="S594" s="571"/>
      <c r="T594" s="571"/>
      <c r="U594" s="571"/>
      <c r="V594" s="571"/>
      <c r="W594" s="571"/>
      <c r="X594" s="571"/>
      <c r="Y594" s="571"/>
      <c r="Z594" s="571"/>
    </row>
    <row r="595" spans="1:26" ht="18.75" hidden="1">
      <c r="A595" s="601"/>
      <c r="B595" s="611"/>
      <c r="C595" s="611" t="s">
        <v>253</v>
      </c>
      <c r="D595" s="611"/>
      <c r="E595" s="611"/>
      <c r="F595" s="619"/>
      <c r="G595" s="753"/>
      <c r="H595" s="755" t="s">
        <v>46</v>
      </c>
      <c r="I595" s="184"/>
      <c r="J595" s="184">
        <f t="shared" ref="J595:J596" si="256">J597+J599</f>
        <v>0</v>
      </c>
      <c r="K595" s="163"/>
      <c r="L595" s="163"/>
      <c r="M595" s="163"/>
      <c r="N595" s="163"/>
      <c r="O595" s="163"/>
      <c r="P595" s="163"/>
      <c r="Q595" s="571"/>
      <c r="R595" s="571"/>
      <c r="S595" s="571"/>
      <c r="T595" s="571"/>
      <c r="U595" s="571"/>
      <c r="V595" s="571"/>
      <c r="W595" s="571"/>
      <c r="X595" s="571"/>
      <c r="Y595" s="571"/>
      <c r="Z595" s="571"/>
    </row>
    <row r="596" spans="1:26" ht="18.75" hidden="1">
      <c r="A596" s="601"/>
      <c r="B596" s="611"/>
      <c r="C596" s="611"/>
      <c r="D596" s="611"/>
      <c r="E596" s="619"/>
      <c r="F596" s="619"/>
      <c r="G596" s="753"/>
      <c r="H596" s="755" t="s">
        <v>34</v>
      </c>
      <c r="I596" s="184"/>
      <c r="J596" s="184">
        <f t="shared" si="256"/>
        <v>0</v>
      </c>
      <c r="K596" s="163"/>
      <c r="L596" s="163"/>
      <c r="M596" s="163"/>
      <c r="N596" s="163"/>
      <c r="O596" s="163"/>
      <c r="P596" s="163"/>
      <c r="Q596" s="571"/>
      <c r="R596" s="571"/>
      <c r="S596" s="571"/>
      <c r="T596" s="571"/>
      <c r="U596" s="571"/>
      <c r="V596" s="571"/>
      <c r="W596" s="571"/>
      <c r="X596" s="571"/>
      <c r="Y596" s="571"/>
      <c r="Z596" s="571"/>
    </row>
    <row r="597" spans="1:26" ht="18.75" hidden="1">
      <c r="A597" s="601"/>
      <c r="B597" s="611"/>
      <c r="C597" s="611"/>
      <c r="D597" s="737" t="s">
        <v>254</v>
      </c>
      <c r="E597" s="619"/>
      <c r="F597" s="619"/>
      <c r="G597" s="753"/>
      <c r="H597" s="755" t="s">
        <v>46</v>
      </c>
      <c r="I597" s="184"/>
      <c r="J597" s="214">
        <v>0</v>
      </c>
      <c r="K597" s="163"/>
      <c r="L597" s="163"/>
      <c r="M597" s="163"/>
      <c r="N597" s="163"/>
      <c r="O597" s="163"/>
      <c r="P597" s="163"/>
      <c r="Q597" s="571"/>
      <c r="R597" s="571"/>
      <c r="S597" s="571"/>
      <c r="T597" s="571"/>
      <c r="U597" s="571"/>
      <c r="V597" s="571"/>
      <c r="W597" s="571"/>
      <c r="X597" s="571"/>
      <c r="Y597" s="571"/>
      <c r="Z597" s="571"/>
    </row>
    <row r="598" spans="1:26" ht="18.75" hidden="1">
      <c r="A598" s="601"/>
      <c r="B598" s="611"/>
      <c r="C598" s="611"/>
      <c r="D598" s="611"/>
      <c r="E598" s="619"/>
      <c r="F598" s="619"/>
      <c r="G598" s="753"/>
      <c r="H598" s="755" t="s">
        <v>34</v>
      </c>
      <c r="I598" s="269"/>
      <c r="J598" s="214">
        <v>0</v>
      </c>
      <c r="K598" s="163"/>
      <c r="L598" s="163"/>
      <c r="M598" s="163"/>
      <c r="N598" s="163"/>
      <c r="O598" s="163"/>
      <c r="P598" s="163"/>
      <c r="Q598" s="571"/>
      <c r="R598" s="571"/>
      <c r="S598" s="571"/>
      <c r="T598" s="571"/>
      <c r="U598" s="571"/>
      <c r="V598" s="571"/>
      <c r="W598" s="571"/>
      <c r="X598" s="571"/>
      <c r="Y598" s="571"/>
      <c r="Z598" s="571"/>
    </row>
    <row r="599" spans="1:26" ht="18.75" hidden="1">
      <c r="A599" s="601"/>
      <c r="B599" s="611"/>
      <c r="C599" s="611"/>
      <c r="D599" s="737" t="s">
        <v>255</v>
      </c>
      <c r="E599" s="619"/>
      <c r="F599" s="619"/>
      <c r="G599" s="753"/>
      <c r="H599" s="755" t="s">
        <v>46</v>
      </c>
      <c r="I599" s="269"/>
      <c r="J599" s="214">
        <v>0</v>
      </c>
      <c r="K599" s="163"/>
      <c r="L599" s="163"/>
      <c r="M599" s="163"/>
      <c r="N599" s="163"/>
      <c r="O599" s="163"/>
      <c r="P599" s="163"/>
      <c r="Q599" s="571"/>
      <c r="R599" s="571"/>
      <c r="S599" s="571"/>
      <c r="T599" s="571"/>
      <c r="U599" s="571"/>
      <c r="V599" s="571"/>
      <c r="W599" s="571"/>
      <c r="X599" s="571"/>
      <c r="Y599" s="571"/>
      <c r="Z599" s="571"/>
    </row>
    <row r="600" spans="1:26" ht="18.75" hidden="1">
      <c r="A600" s="601"/>
      <c r="B600" s="611"/>
      <c r="C600" s="611"/>
      <c r="D600" s="611"/>
      <c r="E600" s="619"/>
      <c r="F600" s="619"/>
      <c r="G600" s="753"/>
      <c r="H600" s="755" t="s">
        <v>34</v>
      </c>
      <c r="I600" s="269"/>
      <c r="J600" s="214">
        <v>0</v>
      </c>
      <c r="K600" s="163"/>
      <c r="L600" s="163"/>
      <c r="M600" s="163"/>
      <c r="N600" s="163"/>
      <c r="O600" s="163"/>
      <c r="P600" s="163"/>
      <c r="Q600" s="571"/>
      <c r="R600" s="571"/>
      <c r="S600" s="571"/>
      <c r="T600" s="571"/>
      <c r="U600" s="571"/>
      <c r="V600" s="571"/>
      <c r="W600" s="571"/>
      <c r="X600" s="571"/>
      <c r="Y600" s="571"/>
      <c r="Z600" s="571"/>
    </row>
    <row r="601" spans="1:26" ht="18.75" hidden="1">
      <c r="A601" s="601"/>
      <c r="B601" s="611"/>
      <c r="C601" s="611"/>
      <c r="D601" s="737" t="s">
        <v>256</v>
      </c>
      <c r="E601" s="619"/>
      <c r="F601" s="619"/>
      <c r="G601" s="753"/>
      <c r="H601" s="755" t="s">
        <v>46</v>
      </c>
      <c r="I601" s="269"/>
      <c r="J601" s="214">
        <v>0</v>
      </c>
      <c r="K601" s="163"/>
      <c r="L601" s="163"/>
      <c r="M601" s="163"/>
      <c r="N601" s="163"/>
      <c r="O601" s="163"/>
      <c r="P601" s="163"/>
      <c r="Q601" s="571"/>
      <c r="R601" s="571"/>
      <c r="S601" s="571"/>
      <c r="T601" s="571"/>
      <c r="U601" s="571"/>
      <c r="V601" s="571"/>
      <c r="W601" s="571"/>
      <c r="X601" s="571"/>
      <c r="Y601" s="571"/>
      <c r="Z601" s="571"/>
    </row>
    <row r="602" spans="1:26" ht="18.75" hidden="1">
      <c r="A602" s="601"/>
      <c r="B602" s="611"/>
      <c r="C602" s="611"/>
      <c r="D602" s="611"/>
      <c r="E602" s="619"/>
      <c r="F602" s="619"/>
      <c r="G602" s="753"/>
      <c r="H602" s="755" t="s">
        <v>34</v>
      </c>
      <c r="I602" s="269"/>
      <c r="J602" s="214">
        <v>0</v>
      </c>
      <c r="K602" s="163"/>
      <c r="L602" s="163"/>
      <c r="M602" s="163"/>
      <c r="N602" s="163"/>
      <c r="O602" s="163"/>
      <c r="P602" s="163"/>
      <c r="Q602" s="571"/>
      <c r="R602" s="571"/>
      <c r="S602" s="571"/>
      <c r="T602" s="571"/>
      <c r="U602" s="571"/>
      <c r="V602" s="571"/>
      <c r="W602" s="571"/>
      <c r="X602" s="571"/>
      <c r="Y602" s="571"/>
      <c r="Z602" s="571"/>
    </row>
    <row r="603" spans="1:26" ht="18.75" hidden="1">
      <c r="A603" s="601"/>
      <c r="B603" s="611"/>
      <c r="C603" s="696" t="s">
        <v>257</v>
      </c>
      <c r="D603" s="611"/>
      <c r="E603" s="611"/>
      <c r="F603" s="619"/>
      <c r="G603" s="753"/>
      <c r="H603" s="755" t="s">
        <v>46</v>
      </c>
      <c r="I603" s="269"/>
      <c r="J603" s="269">
        <f t="shared" ref="J603:J604" si="257">J605+J607</f>
        <v>0</v>
      </c>
      <c r="K603" s="163"/>
      <c r="L603" s="163"/>
      <c r="M603" s="163"/>
      <c r="N603" s="163"/>
      <c r="O603" s="163"/>
      <c r="P603" s="163"/>
      <c r="Q603" s="571"/>
      <c r="R603" s="571"/>
      <c r="S603" s="571"/>
      <c r="T603" s="571"/>
      <c r="U603" s="571"/>
      <c r="V603" s="571"/>
      <c r="W603" s="571"/>
      <c r="X603" s="571"/>
      <c r="Y603" s="571"/>
      <c r="Z603" s="571"/>
    </row>
    <row r="604" spans="1:26" ht="18.75" hidden="1">
      <c r="A604" s="601"/>
      <c r="B604" s="611"/>
      <c r="C604" s="611"/>
      <c r="D604" s="611"/>
      <c r="E604" s="619"/>
      <c r="F604" s="619"/>
      <c r="G604" s="753"/>
      <c r="H604" s="755" t="s">
        <v>34</v>
      </c>
      <c r="I604" s="269"/>
      <c r="J604" s="269">
        <f t="shared" si="257"/>
        <v>0</v>
      </c>
      <c r="K604" s="163"/>
      <c r="L604" s="163"/>
      <c r="M604" s="163"/>
      <c r="N604" s="163"/>
      <c r="O604" s="163"/>
      <c r="P604" s="163"/>
      <c r="Q604" s="571"/>
      <c r="R604" s="571"/>
      <c r="S604" s="571"/>
      <c r="T604" s="571"/>
      <c r="U604" s="571"/>
      <c r="V604" s="571"/>
      <c r="W604" s="571"/>
      <c r="X604" s="571"/>
      <c r="Y604" s="571"/>
      <c r="Z604" s="571"/>
    </row>
    <row r="605" spans="1:26" ht="18.75" hidden="1">
      <c r="A605" s="601"/>
      <c r="B605" s="611"/>
      <c r="C605" s="611"/>
      <c r="D605" s="696" t="s">
        <v>258</v>
      </c>
      <c r="E605" s="619"/>
      <c r="F605" s="619"/>
      <c r="G605" s="753"/>
      <c r="H605" s="755" t="s">
        <v>46</v>
      </c>
      <c r="I605" s="269"/>
      <c r="J605" s="214">
        <v>0</v>
      </c>
      <c r="K605" s="163"/>
      <c r="L605" s="163"/>
      <c r="M605" s="163"/>
      <c r="N605" s="163"/>
      <c r="O605" s="163"/>
      <c r="P605" s="163"/>
      <c r="Q605" s="571"/>
      <c r="R605" s="571"/>
      <c r="S605" s="571"/>
      <c r="T605" s="571"/>
      <c r="U605" s="571"/>
      <c r="V605" s="571"/>
      <c r="W605" s="571"/>
      <c r="X605" s="571"/>
      <c r="Y605" s="571"/>
      <c r="Z605" s="571"/>
    </row>
    <row r="606" spans="1:26" ht="18.75" hidden="1">
      <c r="A606" s="601"/>
      <c r="B606" s="611"/>
      <c r="C606" s="611"/>
      <c r="D606" s="611"/>
      <c r="E606" s="611"/>
      <c r="F606" s="619"/>
      <c r="G606" s="753"/>
      <c r="H606" s="755" t="s">
        <v>34</v>
      </c>
      <c r="I606" s="269"/>
      <c r="J606" s="214">
        <v>0</v>
      </c>
      <c r="K606" s="163"/>
      <c r="L606" s="163"/>
      <c r="M606" s="163"/>
      <c r="N606" s="163"/>
      <c r="O606" s="163"/>
      <c r="P606" s="163"/>
      <c r="Q606" s="571"/>
      <c r="R606" s="571"/>
      <c r="S606" s="571"/>
      <c r="T606" s="571"/>
      <c r="U606" s="571"/>
      <c r="V606" s="571"/>
      <c r="W606" s="571"/>
      <c r="X606" s="571"/>
      <c r="Y606" s="571"/>
      <c r="Z606" s="571"/>
    </row>
    <row r="607" spans="1:26" ht="18.75" hidden="1">
      <c r="A607" s="601"/>
      <c r="B607" s="611"/>
      <c r="C607" s="611"/>
      <c r="D607" s="696" t="s">
        <v>259</v>
      </c>
      <c r="E607" s="611"/>
      <c r="F607" s="619"/>
      <c r="G607" s="753"/>
      <c r="H607" s="755" t="s">
        <v>46</v>
      </c>
      <c r="I607" s="269"/>
      <c r="J607" s="214">
        <v>0</v>
      </c>
      <c r="K607" s="163"/>
      <c r="L607" s="163"/>
      <c r="M607" s="163"/>
      <c r="N607" s="163"/>
      <c r="O607" s="163"/>
      <c r="P607" s="163"/>
      <c r="Q607" s="571"/>
      <c r="R607" s="571"/>
      <c r="S607" s="571"/>
      <c r="T607" s="571"/>
      <c r="U607" s="571"/>
      <c r="V607" s="571"/>
      <c r="W607" s="571"/>
      <c r="X607" s="571"/>
      <c r="Y607" s="571"/>
      <c r="Z607" s="571"/>
    </row>
    <row r="608" spans="1:26" ht="18.75" hidden="1">
      <c r="A608" s="601"/>
      <c r="B608" s="611"/>
      <c r="C608" s="611"/>
      <c r="D608" s="611"/>
      <c r="E608" s="619"/>
      <c r="F608" s="619"/>
      <c r="G608" s="753"/>
      <c r="H608" s="755" t="s">
        <v>34</v>
      </c>
      <c r="I608" s="269"/>
      <c r="J608" s="214">
        <v>0</v>
      </c>
      <c r="K608" s="163"/>
      <c r="L608" s="163"/>
      <c r="M608" s="163"/>
      <c r="N608" s="163"/>
      <c r="O608" s="163"/>
      <c r="P608" s="163"/>
      <c r="Q608" s="571"/>
      <c r="R608" s="571"/>
      <c r="S608" s="571"/>
      <c r="T608" s="571"/>
      <c r="U608" s="571"/>
      <c r="V608" s="571"/>
      <c r="W608" s="571"/>
      <c r="X608" s="571"/>
      <c r="Y608" s="571"/>
      <c r="Z608" s="571"/>
    </row>
    <row r="609" spans="1:26" ht="18.75" hidden="1">
      <c r="A609" s="601"/>
      <c r="B609" s="611"/>
      <c r="C609" s="611" t="s">
        <v>260</v>
      </c>
      <c r="D609" s="611"/>
      <c r="E609" s="611"/>
      <c r="F609" s="619"/>
      <c r="G609" s="753"/>
      <c r="H609" s="755" t="s">
        <v>46</v>
      </c>
      <c r="I609" s="269"/>
      <c r="J609" s="214">
        <v>0</v>
      </c>
      <c r="K609" s="163"/>
      <c r="L609" s="163"/>
      <c r="M609" s="163"/>
      <c r="N609" s="163"/>
      <c r="O609" s="163"/>
      <c r="P609" s="163"/>
      <c r="Q609" s="571"/>
      <c r="R609" s="571"/>
      <c r="S609" s="571"/>
      <c r="T609" s="571"/>
      <c r="U609" s="571"/>
      <c r="V609" s="571"/>
      <c r="W609" s="571"/>
      <c r="X609" s="571"/>
      <c r="Y609" s="571"/>
      <c r="Z609" s="571"/>
    </row>
    <row r="610" spans="1:26" ht="18.75" hidden="1">
      <c r="A610" s="601"/>
      <c r="B610" s="611"/>
      <c r="C610" s="611"/>
      <c r="D610" s="611"/>
      <c r="E610" s="619"/>
      <c r="F610" s="619"/>
      <c r="G610" s="753"/>
      <c r="H610" s="755" t="s">
        <v>34</v>
      </c>
      <c r="I610" s="269"/>
      <c r="J610" s="214">
        <v>0</v>
      </c>
      <c r="K610" s="163"/>
      <c r="L610" s="163"/>
      <c r="M610" s="163"/>
      <c r="N610" s="163"/>
      <c r="O610" s="163"/>
      <c r="P610" s="163"/>
      <c r="Q610" s="571"/>
      <c r="R610" s="571"/>
      <c r="S610" s="571"/>
      <c r="T610" s="571"/>
      <c r="U610" s="571"/>
      <c r="V610" s="571"/>
      <c r="W610" s="571"/>
      <c r="X610" s="571"/>
      <c r="Y610" s="571"/>
      <c r="Z610" s="571"/>
    </row>
    <row r="611" spans="1:26" ht="19.5" hidden="1">
      <c r="A611" s="685"/>
      <c r="B611" s="697" t="s">
        <v>261</v>
      </c>
      <c r="C611" s="687"/>
      <c r="D611" s="687"/>
      <c r="E611" s="666"/>
      <c r="F611" s="666"/>
      <c r="G611" s="667"/>
      <c r="H611" s="698" t="s">
        <v>46</v>
      </c>
      <c r="I611" s="699">
        <v>0</v>
      </c>
      <c r="J611" s="699">
        <f>J614+J616</f>
        <v>0</v>
      </c>
      <c r="K611" s="670">
        <f t="shared" ref="K611:K613" si="258">IF(I611&gt;0,J611*100/I611,0)</f>
        <v>0</v>
      </c>
      <c r="L611" s="671"/>
      <c r="M611" s="671"/>
      <c r="N611" s="671"/>
      <c r="O611" s="671"/>
      <c r="P611" s="671"/>
      <c r="Q611" s="571"/>
      <c r="R611" s="571"/>
      <c r="S611" s="571"/>
      <c r="T611" s="571"/>
      <c r="U611" s="571"/>
      <c r="V611" s="571"/>
      <c r="W611" s="571"/>
      <c r="X611" s="571"/>
      <c r="Y611" s="571"/>
      <c r="Z611" s="571"/>
    </row>
    <row r="612" spans="1:26" ht="19.5" hidden="1">
      <c r="A612" s="700"/>
      <c r="B612" s="710"/>
      <c r="C612" s="702" t="s">
        <v>262</v>
      </c>
      <c r="D612" s="710"/>
      <c r="E612" s="710"/>
      <c r="F612" s="703"/>
      <c r="G612" s="704"/>
      <c r="H612" s="705" t="s">
        <v>46</v>
      </c>
      <c r="I612" s="707">
        <v>0</v>
      </c>
      <c r="J612" s="707">
        <f t="shared" ref="J612:J613" si="259">J614+J616</f>
        <v>0</v>
      </c>
      <c r="K612" s="708">
        <f t="shared" si="258"/>
        <v>0</v>
      </c>
      <c r="L612" s="709"/>
      <c r="M612" s="709"/>
      <c r="N612" s="709"/>
      <c r="O612" s="709"/>
      <c r="P612" s="709"/>
      <c r="Q612" s="597"/>
      <c r="R612" s="597"/>
      <c r="S612" s="597"/>
      <c r="T612" s="597"/>
      <c r="U612" s="597"/>
      <c r="V612" s="597"/>
      <c r="W612" s="597"/>
      <c r="X612" s="597"/>
      <c r="Y612" s="597"/>
      <c r="Z612" s="597"/>
    </row>
    <row r="613" spans="1:26" ht="19.5" hidden="1">
      <c r="A613" s="700"/>
      <c r="B613" s="710"/>
      <c r="C613" s="710" t="s">
        <v>263</v>
      </c>
      <c r="D613" s="710"/>
      <c r="E613" s="710"/>
      <c r="F613" s="703"/>
      <c r="G613" s="704"/>
      <c r="H613" s="705" t="s">
        <v>34</v>
      </c>
      <c r="I613" s="707">
        <v>0</v>
      </c>
      <c r="J613" s="707">
        <f t="shared" si="259"/>
        <v>0</v>
      </c>
      <c r="K613" s="708">
        <f t="shared" si="258"/>
        <v>0</v>
      </c>
      <c r="L613" s="709"/>
      <c r="M613" s="709"/>
      <c r="N613" s="709"/>
      <c r="O613" s="709"/>
      <c r="P613" s="709"/>
      <c r="Q613" s="597"/>
      <c r="R613" s="597"/>
      <c r="S613" s="597"/>
      <c r="T613" s="597"/>
      <c r="U613" s="597"/>
      <c r="V613" s="597"/>
      <c r="W613" s="597"/>
      <c r="X613" s="597"/>
      <c r="Y613" s="597"/>
      <c r="Z613" s="597"/>
    </row>
    <row r="614" spans="1:26" ht="18.75" hidden="1">
      <c r="A614" s="607"/>
      <c r="B614" s="609"/>
      <c r="C614" s="609"/>
      <c r="D614" s="711" t="s">
        <v>264</v>
      </c>
      <c r="E614" s="609"/>
      <c r="F614" s="711"/>
      <c r="G614" s="365"/>
      <c r="H614" s="369" t="s">
        <v>46</v>
      </c>
      <c r="I614" s="610"/>
      <c r="J614" s="610">
        <v>0</v>
      </c>
      <c r="K614" s="167"/>
      <c r="L614" s="167"/>
      <c r="M614" s="167"/>
      <c r="N614" s="167"/>
      <c r="O614" s="167"/>
      <c r="P614" s="167"/>
      <c r="Q614" s="597"/>
      <c r="R614" s="597"/>
      <c r="S614" s="597"/>
      <c r="T614" s="597"/>
      <c r="U614" s="597"/>
      <c r="V614" s="597"/>
      <c r="W614" s="597"/>
      <c r="X614" s="597"/>
      <c r="Y614" s="597"/>
      <c r="Z614" s="597"/>
    </row>
    <row r="615" spans="1:26" ht="18.75" hidden="1">
      <c r="A615" s="607"/>
      <c r="B615" s="609"/>
      <c r="C615" s="609"/>
      <c r="D615" s="609"/>
      <c r="E615" s="609"/>
      <c r="F615" s="711"/>
      <c r="G615" s="365"/>
      <c r="H615" s="369" t="s">
        <v>34</v>
      </c>
      <c r="I615" s="610"/>
      <c r="J615" s="610">
        <v>0</v>
      </c>
      <c r="K615" s="167"/>
      <c r="L615" s="167"/>
      <c r="M615" s="167"/>
      <c r="N615" s="167"/>
      <c r="O615" s="167"/>
      <c r="P615" s="167"/>
      <c r="Q615" s="597"/>
      <c r="R615" s="597"/>
      <c r="S615" s="597"/>
      <c r="T615" s="597"/>
      <c r="U615" s="597"/>
      <c r="V615" s="597"/>
      <c r="W615" s="597"/>
      <c r="X615" s="597"/>
      <c r="Y615" s="597"/>
      <c r="Z615" s="597"/>
    </row>
    <row r="616" spans="1:26" ht="18.75" hidden="1">
      <c r="A616" s="607"/>
      <c r="B616" s="609"/>
      <c r="C616" s="609"/>
      <c r="D616" s="712" t="s">
        <v>264</v>
      </c>
      <c r="E616" s="711"/>
      <c r="F616" s="711"/>
      <c r="G616" s="365"/>
      <c r="H616" s="369" t="s">
        <v>46</v>
      </c>
      <c r="I616" s="610"/>
      <c r="J616" s="610">
        <v>0</v>
      </c>
      <c r="K616" s="167"/>
      <c r="L616" s="167"/>
      <c r="M616" s="167"/>
      <c r="N616" s="167"/>
      <c r="O616" s="167"/>
      <c r="P616" s="167"/>
      <c r="Q616" s="597"/>
      <c r="R616" s="597"/>
      <c r="S616" s="597"/>
      <c r="T616" s="597"/>
      <c r="U616" s="597"/>
      <c r="V616" s="597"/>
      <c r="W616" s="597"/>
      <c r="X616" s="597"/>
      <c r="Y616" s="597"/>
      <c r="Z616" s="597"/>
    </row>
    <row r="617" spans="1:26" ht="18.75" hidden="1">
      <c r="A617" s="607"/>
      <c r="B617" s="609"/>
      <c r="C617" s="609"/>
      <c r="D617" s="609"/>
      <c r="E617" s="711"/>
      <c r="F617" s="711"/>
      <c r="G617" s="365"/>
      <c r="H617" s="369" t="s">
        <v>34</v>
      </c>
      <c r="I617" s="610"/>
      <c r="J617" s="610">
        <v>0</v>
      </c>
      <c r="K617" s="167"/>
      <c r="L617" s="167"/>
      <c r="M617" s="167"/>
      <c r="N617" s="167"/>
      <c r="O617" s="167"/>
      <c r="P617" s="167"/>
      <c r="Q617" s="597"/>
      <c r="R617" s="597"/>
      <c r="S617" s="597"/>
      <c r="T617" s="597"/>
      <c r="U617" s="597"/>
      <c r="V617" s="597"/>
      <c r="W617" s="597"/>
      <c r="X617" s="597"/>
      <c r="Y617" s="597"/>
      <c r="Z617" s="597"/>
    </row>
    <row r="618" spans="1:26" ht="18.75" hidden="1">
      <c r="A618" s="607"/>
      <c r="B618" s="609"/>
      <c r="C618" s="609"/>
      <c r="D618" s="712" t="s">
        <v>265</v>
      </c>
      <c r="E618" s="711"/>
      <c r="F618" s="711"/>
      <c r="G618" s="365"/>
      <c r="H618" s="369" t="s">
        <v>46</v>
      </c>
      <c r="I618" s="610"/>
      <c r="J618" s="610">
        <v>0</v>
      </c>
      <c r="K618" s="167"/>
      <c r="L618" s="167"/>
      <c r="M618" s="167"/>
      <c r="N618" s="167"/>
      <c r="O618" s="167"/>
      <c r="P618" s="167"/>
      <c r="Q618" s="597"/>
      <c r="R618" s="597"/>
      <c r="S618" s="597"/>
      <c r="T618" s="597"/>
      <c r="U618" s="597"/>
      <c r="V618" s="597"/>
      <c r="W618" s="597"/>
      <c r="X618" s="597"/>
      <c r="Y618" s="597"/>
      <c r="Z618" s="597"/>
    </row>
    <row r="619" spans="1:26" ht="18.75" hidden="1">
      <c r="A619" s="607"/>
      <c r="B619" s="609"/>
      <c r="C619" s="609"/>
      <c r="D619" s="609"/>
      <c r="E619" s="711"/>
      <c r="F619" s="711"/>
      <c r="G619" s="365"/>
      <c r="H619" s="369" t="s">
        <v>34</v>
      </c>
      <c r="I619" s="610"/>
      <c r="J619" s="610">
        <v>0</v>
      </c>
      <c r="K619" s="167"/>
      <c r="L619" s="167"/>
      <c r="M619" s="167"/>
      <c r="N619" s="167"/>
      <c r="O619" s="167"/>
      <c r="P619" s="167"/>
      <c r="Q619" s="597"/>
      <c r="R619" s="597"/>
      <c r="S619" s="597"/>
      <c r="T619" s="597"/>
      <c r="U619" s="597"/>
      <c r="V619" s="597"/>
      <c r="W619" s="597"/>
      <c r="X619" s="597"/>
      <c r="Y619" s="597"/>
      <c r="Z619" s="597"/>
    </row>
    <row r="620" spans="1:26" ht="19.5" hidden="1">
      <c r="A620" s="713"/>
      <c r="B620" s="722"/>
      <c r="C620" s="715" t="s">
        <v>266</v>
      </c>
      <c r="D620" s="722"/>
      <c r="E620" s="722"/>
      <c r="F620" s="716"/>
      <c r="G620" s="717"/>
      <c r="H620" s="718" t="s">
        <v>46</v>
      </c>
      <c r="I620" s="719">
        <f ca="1">IFERROR(__xludf.DUMMYFUNCTION("IMPORTRANGE(""https://docs.google.com/spreadsheets/d/1QqKyyYR6Q21VydFLVH3TRQUabQu_ym0Zz7PgGX0-kHA/edit?usp=sharing"",""แผน!HL62"")"),0)</f>
        <v>0</v>
      </c>
      <c r="J620" s="719">
        <f t="shared" ref="J620:J621" si="260">J622+J624+J626</f>
        <v>0</v>
      </c>
      <c r="K620" s="720">
        <f t="shared" ref="K620:K621" ca="1" si="261">IF(I620&gt;0,J620*100/I620,0)</f>
        <v>0</v>
      </c>
      <c r="L620" s="721"/>
      <c r="M620" s="721"/>
      <c r="N620" s="721"/>
      <c r="O620" s="721"/>
      <c r="P620" s="721"/>
      <c r="Q620" s="571"/>
      <c r="R620" s="571"/>
      <c r="S620" s="571"/>
      <c r="T620" s="571"/>
      <c r="U620" s="571"/>
      <c r="V620" s="571"/>
      <c r="W620" s="571"/>
      <c r="X620" s="571"/>
      <c r="Y620" s="571"/>
      <c r="Z620" s="571"/>
    </row>
    <row r="621" spans="1:26" ht="19.5" hidden="1">
      <c r="A621" s="713"/>
      <c r="B621" s="722"/>
      <c r="C621" s="722" t="s">
        <v>267</v>
      </c>
      <c r="D621" s="722"/>
      <c r="E621" s="722"/>
      <c r="F621" s="716"/>
      <c r="G621" s="717"/>
      <c r="H621" s="718" t="s">
        <v>34</v>
      </c>
      <c r="I621" s="719">
        <f ca="1">IFERROR(__xludf.DUMMYFUNCTION("IMPORTRANGE(""https://docs.google.com/spreadsheets/d/1QqKyyYR6Q21VydFLVH3TRQUabQu_ym0Zz7PgGX0-kHA/edit?usp=sharing"",""แผน!HK62"")"),0)</f>
        <v>0</v>
      </c>
      <c r="J621" s="719">
        <f t="shared" si="260"/>
        <v>0</v>
      </c>
      <c r="K621" s="720">
        <f t="shared" ca="1" si="261"/>
        <v>0</v>
      </c>
      <c r="L621" s="721"/>
      <c r="M621" s="721"/>
      <c r="N621" s="721"/>
      <c r="O621" s="721"/>
      <c r="P621" s="721"/>
      <c r="Q621" s="571"/>
      <c r="R621" s="571"/>
      <c r="S621" s="571"/>
      <c r="T621" s="571"/>
      <c r="U621" s="571"/>
      <c r="V621" s="571"/>
      <c r="W621" s="571"/>
      <c r="X621" s="571"/>
      <c r="Y621" s="571"/>
      <c r="Z621" s="571"/>
    </row>
    <row r="622" spans="1:26" ht="18.75" hidden="1">
      <c r="A622" s="601"/>
      <c r="B622" s="611"/>
      <c r="C622" s="611"/>
      <c r="D622" s="737" t="s">
        <v>268</v>
      </c>
      <c r="E622" s="619"/>
      <c r="F622" s="619"/>
      <c r="G622" s="753"/>
      <c r="H622" s="755" t="s">
        <v>46</v>
      </c>
      <c r="I622" s="269"/>
      <c r="J622" s="214">
        <v>0</v>
      </c>
      <c r="K622" s="163"/>
      <c r="L622" s="163"/>
      <c r="M622" s="163"/>
      <c r="N622" s="163"/>
      <c r="O622" s="163"/>
      <c r="P622" s="163"/>
      <c r="Q622" s="571"/>
      <c r="R622" s="571"/>
      <c r="S622" s="571"/>
      <c r="T622" s="571"/>
      <c r="U622" s="571"/>
      <c r="V622" s="571"/>
      <c r="W622" s="571"/>
      <c r="X622" s="571"/>
      <c r="Y622" s="571"/>
      <c r="Z622" s="571"/>
    </row>
    <row r="623" spans="1:26" ht="18.75" hidden="1">
      <c r="A623" s="601"/>
      <c r="B623" s="611"/>
      <c r="C623" s="611"/>
      <c r="D623" s="611"/>
      <c r="E623" s="619"/>
      <c r="F623" s="619"/>
      <c r="G623" s="753"/>
      <c r="H623" s="755" t="s">
        <v>34</v>
      </c>
      <c r="I623" s="269"/>
      <c r="J623" s="214">
        <v>0</v>
      </c>
      <c r="K623" s="163"/>
      <c r="L623" s="163"/>
      <c r="M623" s="163"/>
      <c r="N623" s="163"/>
      <c r="O623" s="163"/>
      <c r="P623" s="163"/>
      <c r="Q623" s="571"/>
      <c r="R623" s="571"/>
      <c r="S623" s="571"/>
      <c r="T623" s="571"/>
      <c r="U623" s="571"/>
      <c r="V623" s="571"/>
      <c r="W623" s="571"/>
      <c r="X623" s="571"/>
      <c r="Y623" s="571"/>
      <c r="Z623" s="571"/>
    </row>
    <row r="624" spans="1:26" ht="18.75" hidden="1">
      <c r="A624" s="601"/>
      <c r="B624" s="611"/>
      <c r="C624" s="611"/>
      <c r="D624" s="737" t="s">
        <v>264</v>
      </c>
      <c r="E624" s="619"/>
      <c r="F624" s="619"/>
      <c r="G624" s="753"/>
      <c r="H624" s="755" t="s">
        <v>46</v>
      </c>
      <c r="I624" s="269"/>
      <c r="J624" s="214">
        <v>0</v>
      </c>
      <c r="K624" s="163"/>
      <c r="L624" s="163"/>
      <c r="M624" s="163"/>
      <c r="N624" s="163"/>
      <c r="O624" s="163"/>
      <c r="P624" s="163"/>
      <c r="Q624" s="571"/>
      <c r="R624" s="571"/>
      <c r="S624" s="571"/>
      <c r="T624" s="571"/>
      <c r="U624" s="571"/>
      <c r="V624" s="571"/>
      <c r="W624" s="571"/>
      <c r="X624" s="571"/>
      <c r="Y624" s="571"/>
      <c r="Z624" s="571"/>
    </row>
    <row r="625" spans="1:26" ht="18.75" hidden="1">
      <c r="A625" s="601"/>
      <c r="B625" s="611"/>
      <c r="C625" s="611"/>
      <c r="D625" s="611"/>
      <c r="E625" s="619"/>
      <c r="F625" s="619"/>
      <c r="G625" s="753"/>
      <c r="H625" s="755" t="s">
        <v>34</v>
      </c>
      <c r="I625" s="269"/>
      <c r="J625" s="214">
        <v>0</v>
      </c>
      <c r="K625" s="163"/>
      <c r="L625" s="163"/>
      <c r="M625" s="163"/>
      <c r="N625" s="163"/>
      <c r="O625" s="163"/>
      <c r="P625" s="163"/>
      <c r="Q625" s="571"/>
      <c r="R625" s="571"/>
      <c r="S625" s="571"/>
      <c r="T625" s="571"/>
      <c r="U625" s="571"/>
      <c r="V625" s="571"/>
      <c r="W625" s="571"/>
      <c r="X625" s="571"/>
      <c r="Y625" s="571"/>
      <c r="Z625" s="571"/>
    </row>
    <row r="626" spans="1:26" ht="18.75" hidden="1">
      <c r="A626" s="601"/>
      <c r="B626" s="611"/>
      <c r="C626" s="611"/>
      <c r="D626" s="737" t="s">
        <v>269</v>
      </c>
      <c r="E626" s="619"/>
      <c r="F626" s="619"/>
      <c r="G626" s="753"/>
      <c r="H626" s="755" t="s">
        <v>46</v>
      </c>
      <c r="I626" s="269"/>
      <c r="J626" s="214">
        <v>0</v>
      </c>
      <c r="K626" s="163"/>
      <c r="L626" s="163"/>
      <c r="M626" s="163"/>
      <c r="N626" s="163"/>
      <c r="O626" s="163"/>
      <c r="P626" s="163"/>
      <c r="Q626" s="571"/>
      <c r="R626" s="571"/>
      <c r="S626" s="571"/>
      <c r="T626" s="571"/>
      <c r="U626" s="571"/>
      <c r="V626" s="571"/>
      <c r="W626" s="571"/>
      <c r="X626" s="571"/>
      <c r="Y626" s="571"/>
      <c r="Z626" s="571"/>
    </row>
    <row r="627" spans="1:26" ht="18.75" hidden="1">
      <c r="A627" s="723"/>
      <c r="B627" s="724"/>
      <c r="C627" s="724"/>
      <c r="D627" s="724"/>
      <c r="E627" s="725"/>
      <c r="F627" s="725"/>
      <c r="G627" s="726"/>
      <c r="H627" s="421" t="s">
        <v>34</v>
      </c>
      <c r="I627" s="499"/>
      <c r="J627" s="423">
        <v>0</v>
      </c>
      <c r="K627" s="384"/>
      <c r="L627" s="384"/>
      <c r="M627" s="384"/>
      <c r="N627" s="384"/>
      <c r="O627" s="384"/>
      <c r="P627" s="384"/>
      <c r="Q627" s="571"/>
      <c r="R627" s="571"/>
      <c r="S627" s="571"/>
      <c r="T627" s="571"/>
      <c r="U627" s="571"/>
      <c r="V627" s="571"/>
      <c r="W627" s="571"/>
      <c r="X627" s="571"/>
      <c r="Y627" s="571"/>
      <c r="Z627" s="571"/>
    </row>
    <row r="628" spans="1:26" ht="19.5">
      <c r="A628" s="727">
        <v>7</v>
      </c>
      <c r="B628" s="728" t="s">
        <v>270</v>
      </c>
      <c r="C628" s="729"/>
      <c r="D628" s="729"/>
      <c r="E628" s="729"/>
      <c r="F628" s="729"/>
      <c r="G628" s="730"/>
      <c r="H628" s="731" t="s">
        <v>35</v>
      </c>
      <c r="I628" s="732">
        <f t="shared" ref="I628:J628" ca="1" si="262">I651</f>
        <v>60</v>
      </c>
      <c r="J628" s="732">
        <f t="shared" ca="1" si="262"/>
        <v>0</v>
      </c>
      <c r="K628" s="733">
        <f ca="1">IF(I628&gt;0,J628*100/I628,0)</f>
        <v>0</v>
      </c>
      <c r="L628" s="734"/>
      <c r="M628" s="734"/>
      <c r="N628" s="734"/>
      <c r="O628" s="734"/>
      <c r="P628" s="734"/>
      <c r="Q628" s="571"/>
      <c r="R628" s="571"/>
      <c r="S628" s="571"/>
      <c r="T628" s="571"/>
      <c r="U628" s="571"/>
      <c r="V628" s="571"/>
      <c r="W628" s="571"/>
      <c r="X628" s="571"/>
      <c r="Y628" s="571"/>
      <c r="Z628" s="571"/>
    </row>
    <row r="629" spans="1:26" ht="19.5">
      <c r="A629" s="590"/>
      <c r="B629" s="754"/>
      <c r="C629" s="754" t="s">
        <v>16</v>
      </c>
      <c r="D629" s="863" t="s">
        <v>17</v>
      </c>
      <c r="E629" s="857"/>
      <c r="F629" s="857"/>
      <c r="G629" s="189"/>
      <c r="H629" s="591" t="s">
        <v>12</v>
      </c>
      <c r="I629" s="269"/>
      <c r="J629" s="269"/>
      <c r="K629" s="496"/>
      <c r="L629" s="195">
        <f t="shared" ref="L629:N629" ca="1" si="263">L630+L631</f>
        <v>329630</v>
      </c>
      <c r="M629" s="195">
        <f t="shared" si="263"/>
        <v>0</v>
      </c>
      <c r="N629" s="195">
        <f t="shared" si="263"/>
        <v>13000</v>
      </c>
      <c r="O629" s="195">
        <f t="shared" ref="O629:O634" ca="1" si="264">IF(L629&gt;0,N629*100/L629,0)</f>
        <v>3.9438157934654008</v>
      </c>
      <c r="P629" s="195">
        <f t="shared" ref="P629:P634" si="265">IF(M629&gt;0,N629*100/M629,0)</f>
        <v>0</v>
      </c>
      <c r="Q629" s="571"/>
      <c r="R629" s="571"/>
      <c r="S629" s="571"/>
      <c r="T629" s="571"/>
      <c r="U629" s="571"/>
      <c r="V629" s="571"/>
      <c r="W629" s="571"/>
      <c r="X629" s="571"/>
      <c r="Y629" s="571"/>
      <c r="Z629" s="571"/>
    </row>
    <row r="630" spans="1:26" ht="18.75" hidden="1">
      <c r="A630" s="592"/>
      <c r="B630" s="750"/>
      <c r="C630" s="750"/>
      <c r="D630" s="711"/>
      <c r="E630" s="750" t="s">
        <v>184</v>
      </c>
      <c r="F630" s="750"/>
      <c r="G630" s="596"/>
      <c r="H630" s="165" t="s">
        <v>12</v>
      </c>
      <c r="I630" s="610"/>
      <c r="J630" s="610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597"/>
      <c r="R630" s="597"/>
      <c r="S630" s="597"/>
      <c r="T630" s="597"/>
      <c r="U630" s="597"/>
      <c r="V630" s="597"/>
      <c r="W630" s="597"/>
      <c r="X630" s="597"/>
      <c r="Y630" s="597"/>
      <c r="Z630" s="597"/>
    </row>
    <row r="631" spans="1:26" ht="18.75" hidden="1">
      <c r="A631" s="592"/>
      <c r="B631" s="600"/>
      <c r="C631" s="750"/>
      <c r="D631" s="711"/>
      <c r="E631" s="750" t="s">
        <v>185</v>
      </c>
      <c r="F631" s="750"/>
      <c r="G631" s="596"/>
      <c r="H631" s="165" t="s">
        <v>12</v>
      </c>
      <c r="I631" s="610"/>
      <c r="J631" s="610"/>
      <c r="K631" s="93"/>
      <c r="L631" s="93">
        <f t="shared" ca="1" si="266"/>
        <v>329630</v>
      </c>
      <c r="M631" s="93">
        <f t="shared" si="266"/>
        <v>0</v>
      </c>
      <c r="N631" s="93">
        <f t="shared" si="266"/>
        <v>13000</v>
      </c>
      <c r="O631" s="93">
        <f t="shared" ca="1" si="264"/>
        <v>3.9438157934654008</v>
      </c>
      <c r="P631" s="93">
        <f t="shared" si="265"/>
        <v>0</v>
      </c>
      <c r="Q631" s="597"/>
      <c r="R631" s="597"/>
      <c r="S631" s="597"/>
      <c r="T631" s="597"/>
      <c r="U631" s="597"/>
      <c r="V631" s="597"/>
      <c r="W631" s="597"/>
      <c r="X631" s="597"/>
      <c r="Y631" s="597"/>
      <c r="Z631" s="597"/>
    </row>
    <row r="632" spans="1:26" ht="18.75">
      <c r="A632" s="590"/>
      <c r="B632" s="568"/>
      <c r="C632" s="754"/>
      <c r="D632" s="599" t="s">
        <v>20</v>
      </c>
      <c r="E632" s="754"/>
      <c r="F632" s="754"/>
      <c r="G632" s="189"/>
      <c r="H632" s="161" t="s">
        <v>12</v>
      </c>
      <c r="I632" s="184"/>
      <c r="J632" s="184"/>
      <c r="K632" s="163"/>
      <c r="L632" s="496">
        <f t="shared" ref="L632:N632" ca="1" si="267">L633+L634</f>
        <v>329630</v>
      </c>
      <c r="M632" s="496">
        <f t="shared" si="267"/>
        <v>0</v>
      </c>
      <c r="N632" s="496">
        <f t="shared" si="267"/>
        <v>13000</v>
      </c>
      <c r="O632" s="496">
        <f t="shared" ca="1" si="264"/>
        <v>3.9438157934654008</v>
      </c>
      <c r="P632" s="496">
        <f t="shared" si="265"/>
        <v>0</v>
      </c>
      <c r="Q632" s="571"/>
      <c r="R632" s="571"/>
      <c r="S632" s="571"/>
      <c r="T632" s="571"/>
      <c r="U632" s="571"/>
      <c r="V632" s="571"/>
      <c r="W632" s="571"/>
      <c r="X632" s="571"/>
      <c r="Y632" s="571"/>
      <c r="Z632" s="571"/>
    </row>
    <row r="633" spans="1:26" ht="18.75" hidden="1">
      <c r="A633" s="592"/>
      <c r="B633" s="600"/>
      <c r="C633" s="750"/>
      <c r="D633" s="711"/>
      <c r="E633" s="750" t="s">
        <v>184</v>
      </c>
      <c r="F633" s="750"/>
      <c r="G633" s="596"/>
      <c r="H633" s="165" t="s">
        <v>12</v>
      </c>
      <c r="I633" s="610"/>
      <c r="J633" s="610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597"/>
      <c r="R633" s="597"/>
      <c r="S633" s="597"/>
      <c r="T633" s="597"/>
      <c r="U633" s="597"/>
      <c r="V633" s="597"/>
      <c r="W633" s="597"/>
      <c r="X633" s="597"/>
      <c r="Y633" s="597"/>
      <c r="Z633" s="597"/>
    </row>
    <row r="634" spans="1:26" ht="18.75" hidden="1">
      <c r="A634" s="592"/>
      <c r="B634" s="600"/>
      <c r="C634" s="750"/>
      <c r="D634" s="711"/>
      <c r="E634" s="750" t="s">
        <v>185</v>
      </c>
      <c r="F634" s="750"/>
      <c r="G634" s="596"/>
      <c r="H634" s="165" t="s">
        <v>12</v>
      </c>
      <c r="I634" s="610"/>
      <c r="J634" s="610"/>
      <c r="K634" s="93"/>
      <c r="L634" s="93">
        <f ca="1">IFERROR(__xludf.DUMMYFUNCTION("IMPORTRANGE(""https://docs.google.com/spreadsheets/d/1QqKyyYR6Q21VydFLVH3TRQUabQu_ym0Zz7PgGX0-kHA/edit?usp=sharing"",""แผน!HN62"")"),329630)</f>
        <v>329630</v>
      </c>
      <c r="M634" s="93">
        <v>0</v>
      </c>
      <c r="N634" s="93">
        <f>N635+N636+N637+N638</f>
        <v>13000</v>
      </c>
      <c r="O634" s="93">
        <f t="shared" ca="1" si="264"/>
        <v>3.9438157934654008</v>
      </c>
      <c r="P634" s="93">
        <f t="shared" si="265"/>
        <v>0</v>
      </c>
      <c r="Q634" s="597"/>
      <c r="R634" s="597"/>
      <c r="S634" s="597"/>
      <c r="T634" s="597"/>
      <c r="U634" s="597"/>
      <c r="V634" s="597"/>
      <c r="W634" s="597"/>
      <c r="X634" s="597"/>
      <c r="Y634" s="597"/>
      <c r="Z634" s="597"/>
    </row>
    <row r="635" spans="1:26" ht="18.75">
      <c r="A635" s="567"/>
      <c r="B635" s="568"/>
      <c r="C635" s="754"/>
      <c r="D635" s="754"/>
      <c r="E635" s="754"/>
      <c r="F635" s="754" t="s">
        <v>186</v>
      </c>
      <c r="G635" s="189"/>
      <c r="H635" s="161" t="s">
        <v>12</v>
      </c>
      <c r="I635" s="269"/>
      <c r="J635" s="269"/>
      <c r="K635" s="496"/>
      <c r="L635" s="496"/>
      <c r="M635" s="496"/>
      <c r="N635" s="817">
        <v>0</v>
      </c>
      <c r="O635" s="496"/>
      <c r="P635" s="496"/>
      <c r="Q635" s="571"/>
      <c r="R635" s="571"/>
      <c r="S635" s="571"/>
      <c r="T635" s="571"/>
      <c r="U635" s="571"/>
      <c r="V635" s="571"/>
      <c r="W635" s="571"/>
      <c r="X635" s="571"/>
      <c r="Y635" s="571"/>
      <c r="Z635" s="571"/>
    </row>
    <row r="636" spans="1:26" ht="18.75">
      <c r="A636" s="567"/>
      <c r="B636" s="568"/>
      <c r="C636" s="754"/>
      <c r="D636" s="754"/>
      <c r="E636" s="754"/>
      <c r="F636" s="754" t="s">
        <v>187</v>
      </c>
      <c r="G636" s="189"/>
      <c r="H636" s="161" t="s">
        <v>12</v>
      </c>
      <c r="I636" s="269"/>
      <c r="J636" s="269"/>
      <c r="K636" s="496"/>
      <c r="L636" s="496"/>
      <c r="M636" s="496"/>
      <c r="N636" s="817">
        <v>0</v>
      </c>
      <c r="O636" s="496"/>
      <c r="P636" s="496"/>
      <c r="Q636" s="571"/>
      <c r="R636" s="571"/>
      <c r="S636" s="571"/>
      <c r="T636" s="571"/>
      <c r="U636" s="571"/>
      <c r="V636" s="571"/>
      <c r="W636" s="571"/>
      <c r="X636" s="571"/>
      <c r="Y636" s="571"/>
      <c r="Z636" s="571"/>
    </row>
    <row r="637" spans="1:26" ht="18.75">
      <c r="A637" s="567"/>
      <c r="B637" s="568"/>
      <c r="C637" s="754"/>
      <c r="D637" s="754"/>
      <c r="E637" s="754"/>
      <c r="F637" s="754" t="s">
        <v>188</v>
      </c>
      <c r="G637" s="189"/>
      <c r="H637" s="161" t="s">
        <v>12</v>
      </c>
      <c r="I637" s="269"/>
      <c r="J637" s="269"/>
      <c r="K637" s="496"/>
      <c r="L637" s="496"/>
      <c r="M637" s="496"/>
      <c r="N637" s="817">
        <v>13000</v>
      </c>
      <c r="O637" s="496"/>
      <c r="P637" s="496"/>
      <c r="Q637" s="571"/>
      <c r="R637" s="571"/>
      <c r="S637" s="571"/>
      <c r="T637" s="571"/>
      <c r="U637" s="571"/>
      <c r="V637" s="571"/>
      <c r="W637" s="571"/>
      <c r="X637" s="571"/>
      <c r="Y637" s="571"/>
      <c r="Z637" s="571"/>
    </row>
    <row r="638" spans="1:26" ht="18.75">
      <c r="A638" s="567"/>
      <c r="B638" s="568"/>
      <c r="C638" s="754"/>
      <c r="D638" s="754"/>
      <c r="E638" s="754"/>
      <c r="F638" s="754" t="s">
        <v>189</v>
      </c>
      <c r="G638" s="189"/>
      <c r="H638" s="161" t="s">
        <v>12</v>
      </c>
      <c r="I638" s="269"/>
      <c r="J638" s="269"/>
      <c r="K638" s="496"/>
      <c r="L638" s="496"/>
      <c r="M638" s="496"/>
      <c r="N638" s="817">
        <v>0</v>
      </c>
      <c r="O638" s="496"/>
      <c r="P638" s="496"/>
      <c r="Q638" s="571"/>
      <c r="R638" s="571"/>
      <c r="S638" s="571"/>
      <c r="T638" s="571"/>
      <c r="U638" s="571"/>
      <c r="V638" s="571"/>
      <c r="W638" s="571"/>
      <c r="X638" s="571"/>
      <c r="Y638" s="571"/>
      <c r="Z638" s="571"/>
    </row>
    <row r="639" spans="1:26" ht="18.75">
      <c r="A639" s="590"/>
      <c r="B639" s="568"/>
      <c r="C639" s="754"/>
      <c r="D639" s="599" t="s">
        <v>21</v>
      </c>
      <c r="E639" s="754"/>
      <c r="F639" s="754"/>
      <c r="G639" s="189"/>
      <c r="H639" s="168" t="s">
        <v>12</v>
      </c>
      <c r="I639" s="184"/>
      <c r="J639" s="184"/>
      <c r="K639" s="163"/>
      <c r="L639" s="496">
        <f t="shared" ref="L639:N639" ca="1" si="268">L640+L641</f>
        <v>0</v>
      </c>
      <c r="M639" s="496">
        <f t="shared" si="268"/>
        <v>0</v>
      </c>
      <c r="N639" s="496">
        <f t="shared" si="268"/>
        <v>0</v>
      </c>
      <c r="O639" s="496">
        <f t="shared" ref="O639:O641" ca="1" si="269">IF(L639&gt;0,N639*100/L639,0)</f>
        <v>0</v>
      </c>
      <c r="P639" s="496">
        <f t="shared" ref="P639:P641" si="270">IF(M639&gt;0,N639*100/M639,0)</f>
        <v>0</v>
      </c>
      <c r="Q639" s="571"/>
      <c r="R639" s="571"/>
      <c r="S639" s="571"/>
      <c r="T639" s="571"/>
      <c r="U639" s="571"/>
      <c r="V639" s="571"/>
      <c r="W639" s="571"/>
      <c r="X639" s="571"/>
      <c r="Y639" s="571"/>
      <c r="Z639" s="571"/>
    </row>
    <row r="640" spans="1:26" ht="18.75" hidden="1">
      <c r="A640" s="592"/>
      <c r="B640" s="600"/>
      <c r="C640" s="750"/>
      <c r="D640" s="750"/>
      <c r="E640" s="750" t="s">
        <v>18</v>
      </c>
      <c r="F640" s="750"/>
      <c r="G640" s="596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597"/>
      <c r="R640" s="597"/>
      <c r="S640" s="597"/>
      <c r="T640" s="597"/>
      <c r="U640" s="597"/>
      <c r="V640" s="597"/>
      <c r="W640" s="597"/>
      <c r="X640" s="597"/>
      <c r="Y640" s="597"/>
      <c r="Z640" s="597"/>
    </row>
    <row r="641" spans="1:26" ht="18.75" hidden="1">
      <c r="A641" s="592"/>
      <c r="B641" s="600"/>
      <c r="C641" s="750"/>
      <c r="D641" s="750"/>
      <c r="E641" s="750" t="s">
        <v>19</v>
      </c>
      <c r="F641" s="750"/>
      <c r="G641" s="596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IFERROR(__xludf.DUMMYFUNCTION("IMPORTRANGE(""https://docs.google.com/spreadsheets/d/1QqKyyYR6Q21VydFLVH3TRQUabQu_ym0Zz7PgGX0-kHA/edit?usp=sharing"",""แผน!HQ62"")"),0)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597"/>
      <c r="R641" s="597"/>
      <c r="S641" s="597"/>
      <c r="T641" s="597"/>
      <c r="U641" s="597"/>
      <c r="V641" s="597"/>
      <c r="W641" s="597"/>
      <c r="X641" s="597"/>
      <c r="Y641" s="597"/>
      <c r="Z641" s="597"/>
    </row>
    <row r="642" spans="1:26" ht="19.5">
      <c r="A642" s="601"/>
      <c r="B642" s="611"/>
      <c r="C642" s="754" t="s">
        <v>16</v>
      </c>
      <c r="D642" s="839" t="s">
        <v>38</v>
      </c>
      <c r="E642" s="752"/>
      <c r="F642" s="752"/>
      <c r="G642" s="606"/>
      <c r="H642" s="753"/>
      <c r="I642" s="184"/>
      <c r="J642" s="184"/>
      <c r="K642" s="163"/>
      <c r="L642" s="163"/>
      <c r="M642" s="163"/>
      <c r="N642" s="163"/>
      <c r="O642" s="163"/>
      <c r="P642" s="163"/>
      <c r="Q642" s="571"/>
      <c r="R642" s="571"/>
      <c r="S642" s="571"/>
      <c r="T642" s="571"/>
      <c r="U642" s="571"/>
      <c r="V642" s="571"/>
      <c r="W642" s="571"/>
      <c r="X642" s="571"/>
      <c r="Y642" s="571"/>
      <c r="Z642" s="571"/>
    </row>
    <row r="643" spans="1:26" ht="18.75">
      <c r="A643" s="735"/>
      <c r="B643" s="568"/>
      <c r="C643" s="754"/>
      <c r="D643" s="619"/>
      <c r="E643" s="737" t="s">
        <v>271</v>
      </c>
      <c r="F643" s="619"/>
      <c r="G643" s="753"/>
      <c r="H643" s="755" t="s">
        <v>272</v>
      </c>
      <c r="I643" s="269">
        <f ca="1">IFERROR(__xludf.DUMMYFUNCTION("IMPORTRANGE(""https://docs.google.com/spreadsheets/d/1QqKyyYR6Q21VydFLVH3TRQUabQu_ym0Zz7PgGX0-kHA/edit?usp=sharing"",""แผน!HR62"")"),0)</f>
        <v>0</v>
      </c>
      <c r="J643" s="214">
        <v>0</v>
      </c>
      <c r="K643" s="163">
        <f t="shared" ref="K643:K652" ca="1" si="271">IF(I643&gt;0,J643*100/I643,0)</f>
        <v>0</v>
      </c>
      <c r="L643" s="163"/>
      <c r="M643" s="163"/>
      <c r="N643" s="496"/>
      <c r="O643" s="163"/>
      <c r="P643" s="163"/>
      <c r="Q643" s="571"/>
      <c r="R643" s="571"/>
      <c r="S643" s="571"/>
      <c r="T643" s="571"/>
      <c r="U643" s="571"/>
      <c r="V643" s="571"/>
      <c r="W643" s="571"/>
      <c r="X643" s="571"/>
      <c r="Y643" s="571"/>
      <c r="Z643" s="571"/>
    </row>
    <row r="644" spans="1:26" ht="18.75">
      <c r="A644" s="735"/>
      <c r="B644" s="568"/>
      <c r="C644" s="754"/>
      <c r="D644" s="619"/>
      <c r="E644" s="737" t="s">
        <v>273</v>
      </c>
      <c r="F644" s="619"/>
      <c r="G644" s="753"/>
      <c r="H644" s="755" t="s">
        <v>274</v>
      </c>
      <c r="I644" s="269">
        <f ca="1">IFERROR(__xludf.DUMMYFUNCTION("IMPORTRANGE(""https://docs.google.com/spreadsheets/d/1QqKyyYR6Q21VydFLVH3TRQUabQu_ym0Zz7PgGX0-kHA/edit?usp=sharing"",""แผน!HR62"")"),0)</f>
        <v>0</v>
      </c>
      <c r="J644" s="214">
        <v>0</v>
      </c>
      <c r="K644" s="163">
        <f t="shared" ca="1" si="271"/>
        <v>0</v>
      </c>
      <c r="L644" s="163"/>
      <c r="M644" s="163"/>
      <c r="N644" s="496"/>
      <c r="O644" s="163"/>
      <c r="P644" s="163"/>
      <c r="Q644" s="571"/>
      <c r="R644" s="571"/>
      <c r="S644" s="571"/>
      <c r="T644" s="571"/>
      <c r="U644" s="571"/>
      <c r="V644" s="571"/>
      <c r="W644" s="571"/>
      <c r="X644" s="571"/>
      <c r="Y644" s="571"/>
      <c r="Z644" s="571"/>
    </row>
    <row r="645" spans="1:26" ht="18.75">
      <c r="A645" s="735"/>
      <c r="B645" s="568"/>
      <c r="C645" s="754"/>
      <c r="D645" s="619"/>
      <c r="E645" s="737" t="s">
        <v>275</v>
      </c>
      <c r="F645" s="619"/>
      <c r="G645" s="753"/>
      <c r="H645" s="755" t="s">
        <v>34</v>
      </c>
      <c r="I645" s="269">
        <v>0</v>
      </c>
      <c r="J645" s="269">
        <f ca="1">IFERROR(__xludf.DUMMYFUNCTION("IMPORTRANGE(""https://docs.google.com/spreadsheets/d/1XWAQStnk-4SwqDmLtmXYiTMKHgktTP8We1SCoS47DrQ/edit?usp=sharing"",""จัดที่ดิน!AS62"")"),0)</f>
        <v>0</v>
      </c>
      <c r="K645" s="163">
        <f t="shared" si="271"/>
        <v>0</v>
      </c>
      <c r="L645" s="163"/>
      <c r="M645" s="163"/>
      <c r="N645" s="496"/>
      <c r="O645" s="163"/>
      <c r="P645" s="163"/>
      <c r="Q645" s="571"/>
      <c r="R645" s="571"/>
      <c r="S645" s="571"/>
      <c r="T645" s="571"/>
      <c r="U645" s="571"/>
      <c r="V645" s="571"/>
      <c r="W645" s="571"/>
      <c r="X645" s="571"/>
      <c r="Y645" s="571"/>
      <c r="Z645" s="571"/>
    </row>
    <row r="646" spans="1:26" ht="18.75">
      <c r="A646" s="735"/>
      <c r="B646" s="568"/>
      <c r="C646" s="754"/>
      <c r="D646" s="619"/>
      <c r="E646" s="619"/>
      <c r="F646" s="619"/>
      <c r="G646" s="753"/>
      <c r="H646" s="755" t="s">
        <v>46</v>
      </c>
      <c r="I646" s="269">
        <v>0</v>
      </c>
      <c r="J646" s="269">
        <f ca="1">IFERROR(__xludf.DUMMYFUNCTION("IMPORTRANGE(""https://docs.google.com/spreadsheets/d/1XWAQStnk-4SwqDmLtmXYiTMKHgktTP8We1SCoS47DrQ/edit?usp=sharing"",""จัดที่ดิน!AT62"")"),0)</f>
        <v>0</v>
      </c>
      <c r="K646" s="496">
        <f t="shared" si="271"/>
        <v>0</v>
      </c>
      <c r="L646" s="163"/>
      <c r="M646" s="163"/>
      <c r="N646" s="496"/>
      <c r="O646" s="163"/>
      <c r="P646" s="163"/>
      <c r="Q646" s="571"/>
      <c r="R646" s="571"/>
      <c r="S646" s="571"/>
      <c r="T646" s="571"/>
      <c r="U646" s="571"/>
      <c r="V646" s="571"/>
      <c r="W646" s="571"/>
      <c r="X646" s="571"/>
      <c r="Y646" s="571"/>
      <c r="Z646" s="571"/>
    </row>
    <row r="647" spans="1:26" ht="18.75">
      <c r="A647" s="735"/>
      <c r="B647" s="568"/>
      <c r="C647" s="754"/>
      <c r="D647" s="619"/>
      <c r="E647" s="737" t="s">
        <v>162</v>
      </c>
      <c r="F647" s="619"/>
      <c r="G647" s="753"/>
      <c r="H647" s="755" t="s">
        <v>35</v>
      </c>
      <c r="I647" s="269">
        <f ca="1">IFERROR(__xludf.DUMMYFUNCTION("IMPORTRANGE(""https://docs.google.com/spreadsheets/d/1QqKyyYR6Q21VydFLVH3TRQUabQu_ym0Zz7PgGX0-kHA/edit?usp=sharing"",""แผน!HS62"")"),60)</f>
        <v>60</v>
      </c>
      <c r="J647" s="269">
        <f ca="1">IFERROR(__xludf.DUMMYFUNCTION("IMPORTRANGE(""https://docs.google.com/spreadsheets/d/1XWAQStnk-4SwqDmLtmXYiTMKHgktTP8We1SCoS47DrQ/edit?usp=sharing"",""จัดที่ดิน!AU62"")"),0)</f>
        <v>0</v>
      </c>
      <c r="K647" s="163">
        <f t="shared" ca="1" si="271"/>
        <v>0</v>
      </c>
      <c r="L647" s="163"/>
      <c r="M647" s="163"/>
      <c r="N647" s="163"/>
      <c r="O647" s="163"/>
      <c r="P647" s="163"/>
      <c r="Q647" s="571"/>
      <c r="R647" s="571"/>
      <c r="S647" s="571"/>
      <c r="T647" s="571"/>
      <c r="U647" s="571"/>
      <c r="V647" s="571"/>
      <c r="W647" s="571"/>
      <c r="X647" s="571"/>
      <c r="Y647" s="571"/>
      <c r="Z647" s="571"/>
    </row>
    <row r="648" spans="1:26" ht="18.75">
      <c r="A648" s="735"/>
      <c r="B648" s="568"/>
      <c r="C648" s="754"/>
      <c r="D648" s="619"/>
      <c r="E648" s="619"/>
      <c r="F648" s="619"/>
      <c r="G648" s="753"/>
      <c r="H648" s="755" t="s">
        <v>46</v>
      </c>
      <c r="I648" s="269">
        <v>0</v>
      </c>
      <c r="J648" s="269">
        <f ca="1">IFERROR(__xludf.DUMMYFUNCTION("IMPORTRANGE(""https://docs.google.com/spreadsheets/d/1XWAQStnk-4SwqDmLtmXYiTMKHgktTP8We1SCoS47DrQ/edit?usp=sharing"",""จัดที่ดิน!AV62"")"),0)</f>
        <v>0</v>
      </c>
      <c r="K648" s="496">
        <f t="shared" si="271"/>
        <v>0</v>
      </c>
      <c r="L648" s="163"/>
      <c r="M648" s="163"/>
      <c r="N648" s="163"/>
      <c r="O648" s="163"/>
      <c r="P648" s="163"/>
      <c r="Q648" s="571"/>
      <c r="R648" s="571"/>
      <c r="S648" s="571"/>
      <c r="T648" s="571"/>
      <c r="U648" s="571"/>
      <c r="V648" s="571"/>
      <c r="W648" s="571"/>
      <c r="X648" s="571"/>
      <c r="Y648" s="571"/>
      <c r="Z648" s="571"/>
    </row>
    <row r="649" spans="1:26" ht="18.75">
      <c r="A649" s="735"/>
      <c r="B649" s="568"/>
      <c r="C649" s="754"/>
      <c r="D649" s="619"/>
      <c r="E649" s="737" t="s">
        <v>276</v>
      </c>
      <c r="F649" s="619"/>
      <c r="G649" s="753"/>
      <c r="H649" s="755" t="s">
        <v>35</v>
      </c>
      <c r="I649" s="269">
        <f ca="1">IFERROR(__xludf.DUMMYFUNCTION("IMPORTRANGE(""https://docs.google.com/spreadsheets/d/1QqKyyYR6Q21VydFLVH3TRQUabQu_ym0Zz7PgGX0-kHA/edit?usp=sharing"",""แผน!HS62"")"),60)</f>
        <v>60</v>
      </c>
      <c r="J649" s="269">
        <f ca="1">IFERROR(__xludf.DUMMYFUNCTION("IMPORTRANGE(""https://docs.google.com/spreadsheets/d/1XWAQStnk-4SwqDmLtmXYiTMKHgktTP8We1SCoS47DrQ/edit?usp=sharing"",""จัดที่ดิน!AW62"")"),0)</f>
        <v>0</v>
      </c>
      <c r="K649" s="163">
        <f t="shared" ca="1" si="271"/>
        <v>0</v>
      </c>
      <c r="L649" s="163"/>
      <c r="M649" s="163"/>
      <c r="N649" s="163"/>
      <c r="O649" s="163"/>
      <c r="P649" s="163"/>
      <c r="Q649" s="571"/>
      <c r="R649" s="571"/>
      <c r="S649" s="571"/>
      <c r="T649" s="571"/>
      <c r="U649" s="571"/>
      <c r="V649" s="571"/>
      <c r="W649" s="571"/>
      <c r="X649" s="571"/>
      <c r="Y649" s="571"/>
      <c r="Z649" s="571"/>
    </row>
    <row r="650" spans="1:26" ht="18.75">
      <c r="A650" s="735"/>
      <c r="B650" s="568"/>
      <c r="C650" s="754"/>
      <c r="D650" s="619"/>
      <c r="E650" s="619"/>
      <c r="F650" s="619"/>
      <c r="G650" s="753"/>
      <c r="H650" s="755" t="s">
        <v>46</v>
      </c>
      <c r="I650" s="269">
        <v>0</v>
      </c>
      <c r="J650" s="269">
        <f ca="1">IFERROR(__xludf.DUMMYFUNCTION("IMPORTRANGE(""https://docs.google.com/spreadsheets/d/1XWAQStnk-4SwqDmLtmXYiTMKHgktTP8We1SCoS47DrQ/edit?usp=sharing"",""จัดที่ดิน!AX62"")"),0)</f>
        <v>0</v>
      </c>
      <c r="K650" s="496">
        <f t="shared" si="271"/>
        <v>0</v>
      </c>
      <c r="L650" s="163"/>
      <c r="M650" s="163"/>
      <c r="N650" s="163"/>
      <c r="O650" s="163"/>
      <c r="P650" s="163"/>
      <c r="Q650" s="571"/>
      <c r="R650" s="571"/>
      <c r="S650" s="571"/>
      <c r="T650" s="571"/>
      <c r="U650" s="571"/>
      <c r="V650" s="571"/>
      <c r="W650" s="571"/>
      <c r="X650" s="571"/>
      <c r="Y650" s="571"/>
      <c r="Z650" s="571"/>
    </row>
    <row r="651" spans="1:26" ht="18.75">
      <c r="A651" s="735"/>
      <c r="B651" s="568"/>
      <c r="C651" s="754"/>
      <c r="D651" s="619"/>
      <c r="E651" s="737" t="s">
        <v>277</v>
      </c>
      <c r="F651" s="619"/>
      <c r="G651" s="753"/>
      <c r="H651" s="755" t="s">
        <v>35</v>
      </c>
      <c r="I651" s="269">
        <f ca="1">IFERROR(__xludf.DUMMYFUNCTION("IMPORTRANGE(""https://docs.google.com/spreadsheets/d/1QqKyyYR6Q21VydFLVH3TRQUabQu_ym0Zz7PgGX0-kHA/edit?usp=sharing"",""แผน!HS62"")"),60)</f>
        <v>60</v>
      </c>
      <c r="J651" s="269">
        <f ca="1">IFERROR(__xludf.DUMMYFUNCTION("IMPORTRANGE(""https://docs.google.com/spreadsheets/d/1XWAQStnk-4SwqDmLtmXYiTMKHgktTP8We1SCoS47DrQ/edit?usp=sharing"",""จัดที่ดิน!AY62"")"),0)</f>
        <v>0</v>
      </c>
      <c r="K651" s="163">
        <f t="shared" ca="1" si="271"/>
        <v>0</v>
      </c>
      <c r="L651" s="163"/>
      <c r="M651" s="163"/>
      <c r="N651" s="163"/>
      <c r="O651" s="163"/>
      <c r="P651" s="163"/>
      <c r="Q651" s="571"/>
      <c r="R651" s="571"/>
      <c r="S651" s="571"/>
      <c r="T651" s="571"/>
      <c r="U651" s="571"/>
      <c r="V651" s="571"/>
      <c r="W651" s="571"/>
      <c r="X651" s="571"/>
      <c r="Y651" s="571"/>
      <c r="Z651" s="571"/>
    </row>
    <row r="652" spans="1:26" ht="18.75">
      <c r="A652" s="738"/>
      <c r="B652" s="739"/>
      <c r="C652" s="740"/>
      <c r="D652" s="725"/>
      <c r="E652" s="725"/>
      <c r="F652" s="725"/>
      <c r="G652" s="726"/>
      <c r="H652" s="498" t="s">
        <v>46</v>
      </c>
      <c r="I652" s="499">
        <v>0</v>
      </c>
      <c r="J652" s="499">
        <f ca="1">IFERROR(__xludf.DUMMYFUNCTION("IMPORTRANGE(""https://docs.google.com/spreadsheets/d/1XWAQStnk-4SwqDmLtmXYiTMKHgktTP8We1SCoS47DrQ/edit?usp=sharing"",""จัดที่ดิน!AZ62"")"),0)</f>
        <v>0</v>
      </c>
      <c r="K652" s="500">
        <f t="shared" si="271"/>
        <v>0</v>
      </c>
      <c r="L652" s="384"/>
      <c r="M652" s="384"/>
      <c r="N652" s="384"/>
      <c r="O652" s="384"/>
      <c r="P652" s="384"/>
      <c r="Q652" s="571"/>
      <c r="R652" s="571"/>
      <c r="S652" s="571"/>
      <c r="T652" s="571"/>
      <c r="U652" s="571"/>
      <c r="V652" s="571"/>
      <c r="W652" s="571"/>
      <c r="X652" s="571"/>
      <c r="Y652" s="571"/>
      <c r="Z652" s="571"/>
    </row>
    <row r="653" spans="1:26" ht="19.5" hidden="1">
      <c r="A653" s="741">
        <v>8</v>
      </c>
      <c r="B653" s="728" t="s">
        <v>278</v>
      </c>
      <c r="C653" s="729"/>
      <c r="D653" s="729"/>
      <c r="E653" s="729"/>
      <c r="F653" s="729"/>
      <c r="G653" s="730"/>
      <c r="H653" s="730"/>
      <c r="I653" s="742"/>
      <c r="J653" s="742"/>
      <c r="K653" s="734"/>
      <c r="L653" s="734"/>
      <c r="M653" s="734"/>
      <c r="N653" s="734"/>
      <c r="O653" s="734"/>
      <c r="P653" s="734"/>
      <c r="Q653" s="571"/>
      <c r="R653" s="571"/>
      <c r="S653" s="571"/>
      <c r="T653" s="571"/>
      <c r="U653" s="571"/>
      <c r="V653" s="571"/>
      <c r="W653" s="571"/>
      <c r="X653" s="571"/>
      <c r="Y653" s="571"/>
      <c r="Z653" s="571"/>
    </row>
    <row r="654" spans="1:26" ht="19.5" hidden="1">
      <c r="A654" s="666"/>
      <c r="B654" s="665" t="s">
        <v>279</v>
      </c>
      <c r="C654" s="666"/>
      <c r="D654" s="666"/>
      <c r="E654" s="666"/>
      <c r="F654" s="666"/>
      <c r="G654" s="667"/>
      <c r="H654" s="698" t="s">
        <v>46</v>
      </c>
      <c r="I654" s="699">
        <f t="shared" ref="I654:J654" ca="1" si="272">I669</f>
        <v>0</v>
      </c>
      <c r="J654" s="699">
        <f t="shared" si="272"/>
        <v>0</v>
      </c>
      <c r="K654" s="670">
        <f ca="1">IF(I654&gt;0,J654*100/I654,0)</f>
        <v>0</v>
      </c>
      <c r="L654" s="671"/>
      <c r="M654" s="671"/>
      <c r="N654" s="671"/>
      <c r="O654" s="671"/>
      <c r="P654" s="671"/>
      <c r="Q654" s="571"/>
      <c r="R654" s="571"/>
      <c r="S654" s="571"/>
      <c r="T654" s="571"/>
      <c r="U654" s="571"/>
      <c r="V654" s="571"/>
      <c r="W654" s="571"/>
      <c r="X654" s="571"/>
      <c r="Y654" s="571"/>
      <c r="Z654" s="571"/>
    </row>
    <row r="655" spans="1:26" ht="19.5" hidden="1">
      <c r="A655" s="590"/>
      <c r="B655" s="754"/>
      <c r="C655" s="754" t="s">
        <v>16</v>
      </c>
      <c r="D655" s="863" t="s">
        <v>17</v>
      </c>
      <c r="E655" s="857"/>
      <c r="F655" s="857"/>
      <c r="G655" s="189"/>
      <c r="H655" s="591" t="s">
        <v>12</v>
      </c>
      <c r="I655" s="269"/>
      <c r="J655" s="269"/>
      <c r="K655" s="496"/>
      <c r="L655" s="195">
        <f t="shared" ref="L655:N655" ca="1" si="273">L656+L657</f>
        <v>0</v>
      </c>
      <c r="M655" s="195">
        <f t="shared" si="273"/>
        <v>0</v>
      </c>
      <c r="N655" s="195">
        <f t="shared" si="273"/>
        <v>0</v>
      </c>
      <c r="O655" s="195">
        <f t="shared" ref="O655:O660" ca="1" si="274">IF(L655&gt;0,N655*100/L655,0)</f>
        <v>0</v>
      </c>
      <c r="P655" s="195">
        <f t="shared" ref="P655:P660" si="275">IF(M655&gt;0,N655*100/M655,0)</f>
        <v>0</v>
      </c>
      <c r="Q655" s="571"/>
      <c r="R655" s="571"/>
      <c r="S655" s="571"/>
      <c r="T655" s="571"/>
      <c r="U655" s="571"/>
      <c r="V655" s="571"/>
      <c r="W655" s="571"/>
      <c r="X655" s="571"/>
      <c r="Y655" s="571"/>
      <c r="Z655" s="571"/>
    </row>
    <row r="656" spans="1:26" ht="18.75" hidden="1">
      <c r="A656" s="592"/>
      <c r="B656" s="750"/>
      <c r="C656" s="750"/>
      <c r="D656" s="711"/>
      <c r="E656" s="750" t="s">
        <v>184</v>
      </c>
      <c r="F656" s="750"/>
      <c r="G656" s="596"/>
      <c r="H656" s="165" t="s">
        <v>12</v>
      </c>
      <c r="I656" s="610"/>
      <c r="J656" s="610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597"/>
      <c r="R656" s="597"/>
      <c r="S656" s="597"/>
      <c r="T656" s="597"/>
      <c r="U656" s="597"/>
      <c r="V656" s="597"/>
      <c r="W656" s="597"/>
      <c r="X656" s="597"/>
      <c r="Y656" s="597"/>
      <c r="Z656" s="597"/>
    </row>
    <row r="657" spans="1:26" ht="18.75" hidden="1">
      <c r="A657" s="592"/>
      <c r="B657" s="600"/>
      <c r="C657" s="750"/>
      <c r="D657" s="711"/>
      <c r="E657" s="750" t="s">
        <v>185</v>
      </c>
      <c r="F657" s="750"/>
      <c r="G657" s="596"/>
      <c r="H657" s="165" t="s">
        <v>12</v>
      </c>
      <c r="I657" s="610"/>
      <c r="J657" s="610"/>
      <c r="K657" s="93"/>
      <c r="L657" s="93">
        <f t="shared" ca="1" si="276"/>
        <v>0</v>
      </c>
      <c r="M657" s="93">
        <f t="shared" si="276"/>
        <v>0</v>
      </c>
      <c r="N657" s="93">
        <f t="shared" si="276"/>
        <v>0</v>
      </c>
      <c r="O657" s="93">
        <f t="shared" ca="1" si="274"/>
        <v>0</v>
      </c>
      <c r="P657" s="93">
        <f t="shared" si="275"/>
        <v>0</v>
      </c>
      <c r="Q657" s="597"/>
      <c r="R657" s="597"/>
      <c r="S657" s="597"/>
      <c r="T657" s="597"/>
      <c r="U657" s="597"/>
      <c r="V657" s="597"/>
      <c r="W657" s="597"/>
      <c r="X657" s="597"/>
      <c r="Y657" s="597"/>
      <c r="Z657" s="597"/>
    </row>
    <row r="658" spans="1:26" ht="18.75" hidden="1">
      <c r="A658" s="590"/>
      <c r="B658" s="568"/>
      <c r="C658" s="754"/>
      <c r="D658" s="599" t="s">
        <v>20</v>
      </c>
      <c r="E658" s="754"/>
      <c r="F658" s="754"/>
      <c r="G658" s="189"/>
      <c r="H658" s="161" t="s">
        <v>12</v>
      </c>
      <c r="I658" s="184"/>
      <c r="J658" s="184"/>
      <c r="K658" s="163"/>
      <c r="L658" s="496">
        <f t="shared" ref="L658:N658" ca="1" si="277">L659+L660</f>
        <v>0</v>
      </c>
      <c r="M658" s="496">
        <f t="shared" si="277"/>
        <v>0</v>
      </c>
      <c r="N658" s="496">
        <f t="shared" si="277"/>
        <v>0</v>
      </c>
      <c r="O658" s="496">
        <f t="shared" ca="1" si="274"/>
        <v>0</v>
      </c>
      <c r="P658" s="496">
        <f t="shared" si="275"/>
        <v>0</v>
      </c>
      <c r="Q658" s="571"/>
      <c r="R658" s="571"/>
      <c r="S658" s="571"/>
      <c r="T658" s="571"/>
      <c r="U658" s="571"/>
      <c r="V658" s="571"/>
      <c r="W658" s="571"/>
      <c r="X658" s="571"/>
      <c r="Y658" s="571"/>
      <c r="Z658" s="571"/>
    </row>
    <row r="659" spans="1:26" ht="18.75" hidden="1">
      <c r="A659" s="592"/>
      <c r="B659" s="600"/>
      <c r="C659" s="750"/>
      <c r="D659" s="711"/>
      <c r="E659" s="750" t="s">
        <v>184</v>
      </c>
      <c r="F659" s="750"/>
      <c r="G659" s="596"/>
      <c r="H659" s="165" t="s">
        <v>12</v>
      </c>
      <c r="I659" s="610"/>
      <c r="J659" s="610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597"/>
      <c r="R659" s="597"/>
      <c r="S659" s="597"/>
      <c r="T659" s="597"/>
      <c r="U659" s="597"/>
      <c r="V659" s="597"/>
      <c r="W659" s="597"/>
      <c r="X659" s="597"/>
      <c r="Y659" s="597"/>
      <c r="Z659" s="597"/>
    </row>
    <row r="660" spans="1:26" ht="18.75" hidden="1">
      <c r="A660" s="592"/>
      <c r="B660" s="600"/>
      <c r="C660" s="750"/>
      <c r="D660" s="711"/>
      <c r="E660" s="750" t="s">
        <v>185</v>
      </c>
      <c r="F660" s="750"/>
      <c r="G660" s="596"/>
      <c r="H660" s="165" t="s">
        <v>12</v>
      </c>
      <c r="I660" s="610"/>
      <c r="J660" s="610"/>
      <c r="K660" s="93"/>
      <c r="L660" s="93">
        <f ca="1">IFERROR(__xludf.DUMMYFUNCTION("IMPORTRANGE(""https://docs.google.com/spreadsheets/d/1QqKyyYR6Q21VydFLVH3TRQUabQu_ym0Zz7PgGX0-kHA/edit?usp=sharing"",""แผน!HV62"")"),0)</f>
        <v>0</v>
      </c>
      <c r="M660" s="93">
        <v>0</v>
      </c>
      <c r="N660" s="93">
        <f>N661+N662+N663+N664</f>
        <v>0</v>
      </c>
      <c r="O660" s="93">
        <f t="shared" ca="1" si="274"/>
        <v>0</v>
      </c>
      <c r="P660" s="93">
        <f t="shared" si="275"/>
        <v>0</v>
      </c>
      <c r="Q660" s="597"/>
      <c r="R660" s="597"/>
      <c r="S660" s="597"/>
      <c r="T660" s="597"/>
      <c r="U660" s="597"/>
      <c r="V660" s="597"/>
      <c r="W660" s="597"/>
      <c r="X660" s="597"/>
      <c r="Y660" s="597"/>
      <c r="Z660" s="597"/>
    </row>
    <row r="661" spans="1:26" ht="18.75" hidden="1">
      <c r="A661" s="567"/>
      <c r="B661" s="568"/>
      <c r="C661" s="754"/>
      <c r="D661" s="754"/>
      <c r="E661" s="754"/>
      <c r="F661" s="754" t="s">
        <v>186</v>
      </c>
      <c r="G661" s="189"/>
      <c r="H661" s="161" t="s">
        <v>12</v>
      </c>
      <c r="I661" s="269"/>
      <c r="J661" s="269"/>
      <c r="K661" s="496"/>
      <c r="L661" s="496"/>
      <c r="M661" s="496"/>
      <c r="N661" s="817">
        <v>0</v>
      </c>
      <c r="O661" s="496"/>
      <c r="P661" s="496"/>
      <c r="Q661" s="571"/>
      <c r="R661" s="571"/>
      <c r="S661" s="571"/>
      <c r="T661" s="571"/>
      <c r="U661" s="571"/>
      <c r="V661" s="571"/>
      <c r="W661" s="571"/>
      <c r="X661" s="571"/>
      <c r="Y661" s="571"/>
      <c r="Z661" s="571"/>
    </row>
    <row r="662" spans="1:26" ht="18.75" hidden="1">
      <c r="A662" s="567"/>
      <c r="B662" s="568"/>
      <c r="C662" s="754"/>
      <c r="D662" s="754"/>
      <c r="E662" s="754"/>
      <c r="F662" s="754" t="s">
        <v>187</v>
      </c>
      <c r="G662" s="189"/>
      <c r="H662" s="161" t="s">
        <v>12</v>
      </c>
      <c r="I662" s="269"/>
      <c r="J662" s="269"/>
      <c r="K662" s="496"/>
      <c r="L662" s="496"/>
      <c r="M662" s="496"/>
      <c r="N662" s="817">
        <v>0</v>
      </c>
      <c r="O662" s="496"/>
      <c r="P662" s="496"/>
      <c r="Q662" s="571"/>
      <c r="R662" s="571"/>
      <c r="S662" s="571"/>
      <c r="T662" s="571"/>
      <c r="U662" s="571"/>
      <c r="V662" s="571"/>
      <c r="W662" s="571"/>
      <c r="X662" s="571"/>
      <c r="Y662" s="571"/>
      <c r="Z662" s="571"/>
    </row>
    <row r="663" spans="1:26" ht="18.75" hidden="1">
      <c r="A663" s="567"/>
      <c r="B663" s="568"/>
      <c r="C663" s="568"/>
      <c r="D663" s="754"/>
      <c r="E663" s="754"/>
      <c r="F663" s="754" t="s">
        <v>188</v>
      </c>
      <c r="G663" s="189"/>
      <c r="H663" s="161" t="s">
        <v>12</v>
      </c>
      <c r="I663" s="269"/>
      <c r="J663" s="269"/>
      <c r="K663" s="496"/>
      <c r="L663" s="496"/>
      <c r="M663" s="496"/>
      <c r="N663" s="817">
        <v>0</v>
      </c>
      <c r="O663" s="496"/>
      <c r="P663" s="496"/>
      <c r="Q663" s="571"/>
      <c r="R663" s="571"/>
      <c r="S663" s="571"/>
      <c r="T663" s="571"/>
      <c r="U663" s="571"/>
      <c r="V663" s="571"/>
      <c r="W663" s="571"/>
      <c r="X663" s="571"/>
      <c r="Y663" s="571"/>
      <c r="Z663" s="571"/>
    </row>
    <row r="664" spans="1:26" ht="18.75" hidden="1">
      <c r="A664" s="567"/>
      <c r="B664" s="568"/>
      <c r="C664" s="568"/>
      <c r="D664" s="568"/>
      <c r="E664" s="754"/>
      <c r="F664" s="754" t="s">
        <v>189</v>
      </c>
      <c r="G664" s="189"/>
      <c r="H664" s="161" t="s">
        <v>12</v>
      </c>
      <c r="I664" s="269"/>
      <c r="J664" s="269"/>
      <c r="K664" s="496"/>
      <c r="L664" s="496"/>
      <c r="M664" s="496"/>
      <c r="N664" s="817">
        <v>0</v>
      </c>
      <c r="O664" s="496"/>
      <c r="P664" s="496"/>
      <c r="Q664" s="571"/>
      <c r="R664" s="571"/>
      <c r="S664" s="571"/>
      <c r="T664" s="571"/>
      <c r="U664" s="571"/>
      <c r="V664" s="571"/>
      <c r="W664" s="571"/>
      <c r="X664" s="571"/>
      <c r="Y664" s="571"/>
      <c r="Z664" s="571"/>
    </row>
    <row r="665" spans="1:26" ht="18.75" hidden="1">
      <c r="A665" s="590"/>
      <c r="B665" s="568"/>
      <c r="C665" s="568"/>
      <c r="D665" s="599" t="s">
        <v>21</v>
      </c>
      <c r="E665" s="754"/>
      <c r="F665" s="754"/>
      <c r="G665" s="189"/>
      <c r="H665" s="168" t="s">
        <v>12</v>
      </c>
      <c r="I665" s="184"/>
      <c r="J665" s="184"/>
      <c r="K665" s="163"/>
      <c r="L665" s="496">
        <f t="shared" ref="L665:N665" si="278">L666+L667</f>
        <v>0</v>
      </c>
      <c r="M665" s="496">
        <f t="shared" si="278"/>
        <v>0</v>
      </c>
      <c r="N665" s="496">
        <f t="shared" si="278"/>
        <v>0</v>
      </c>
      <c r="O665" s="496">
        <f t="shared" ref="O665:O667" si="279">IF(L665&gt;0,N665*100/L665,0)</f>
        <v>0</v>
      </c>
      <c r="P665" s="496">
        <f t="shared" ref="P665:P667" si="280">IF(M665&gt;0,N665*100/M665,0)</f>
        <v>0</v>
      </c>
      <c r="Q665" s="571"/>
      <c r="R665" s="571"/>
      <c r="S665" s="571"/>
      <c r="T665" s="571"/>
      <c r="U665" s="571"/>
      <c r="V665" s="571"/>
      <c r="W665" s="571"/>
      <c r="X665" s="571"/>
      <c r="Y665" s="571"/>
      <c r="Z665" s="571"/>
    </row>
    <row r="666" spans="1:26" ht="18.75" hidden="1">
      <c r="A666" s="592"/>
      <c r="B666" s="600"/>
      <c r="C666" s="600"/>
      <c r="D666" s="600"/>
      <c r="E666" s="750" t="s">
        <v>18</v>
      </c>
      <c r="F666" s="750"/>
      <c r="G666" s="596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597"/>
      <c r="R666" s="597"/>
      <c r="S666" s="597"/>
      <c r="T666" s="597"/>
      <c r="U666" s="597"/>
      <c r="V666" s="597"/>
      <c r="W666" s="597"/>
      <c r="X666" s="597"/>
      <c r="Y666" s="597"/>
      <c r="Z666" s="597"/>
    </row>
    <row r="667" spans="1:26" ht="18.75" hidden="1">
      <c r="A667" s="592"/>
      <c r="B667" s="600"/>
      <c r="C667" s="600"/>
      <c r="D667" s="600"/>
      <c r="E667" s="750" t="s">
        <v>19</v>
      </c>
      <c r="F667" s="750"/>
      <c r="G667" s="596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597"/>
      <c r="R667" s="597"/>
      <c r="S667" s="597"/>
      <c r="T667" s="597"/>
      <c r="U667" s="597"/>
      <c r="V667" s="597"/>
      <c r="W667" s="597"/>
      <c r="X667" s="597"/>
      <c r="Y667" s="597"/>
      <c r="Z667" s="597"/>
    </row>
    <row r="668" spans="1:26" ht="19.5" hidden="1">
      <c r="A668" s="601"/>
      <c r="B668" s="611"/>
      <c r="C668" s="568" t="s">
        <v>16</v>
      </c>
      <c r="D668" s="836" t="s">
        <v>38</v>
      </c>
      <c r="E668" s="752"/>
      <c r="F668" s="752"/>
      <c r="G668" s="606"/>
      <c r="H668" s="753"/>
      <c r="I668" s="184"/>
      <c r="J668" s="184"/>
      <c r="K668" s="163"/>
      <c r="L668" s="163"/>
      <c r="M668" s="163"/>
      <c r="N668" s="163"/>
      <c r="O668" s="163"/>
      <c r="P668" s="163"/>
      <c r="Q668" s="571"/>
      <c r="R668" s="571"/>
      <c r="S668" s="571"/>
      <c r="T668" s="571"/>
      <c r="U668" s="571"/>
      <c r="V668" s="571"/>
      <c r="W668" s="571"/>
      <c r="X668" s="571"/>
      <c r="Y668" s="571"/>
      <c r="Z668" s="571"/>
    </row>
    <row r="669" spans="1:26" ht="19.5" hidden="1">
      <c r="A669" s="601"/>
      <c r="B669" s="611"/>
      <c r="C669" s="611"/>
      <c r="D669" s="611" t="s">
        <v>280</v>
      </c>
      <c r="E669" s="619"/>
      <c r="F669" s="619"/>
      <c r="G669" s="753"/>
      <c r="H669" s="758" t="s">
        <v>46</v>
      </c>
      <c r="I669" s="674">
        <f ca="1">IFERROR(__xludf.DUMMYFUNCTION("IMPORTRANGE(""https://docs.google.com/spreadsheets/d/1QqKyyYR6Q21VydFLVH3TRQUabQu_ym0Zz7PgGX0-kHA/edit?usp=sharing"",""แผน!IA62"")"),0)</f>
        <v>0</v>
      </c>
      <c r="J669" s="674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1"/>
      <c r="R669" s="571"/>
      <c r="S669" s="571"/>
      <c r="T669" s="571"/>
      <c r="U669" s="571"/>
      <c r="V669" s="571"/>
      <c r="W669" s="571"/>
      <c r="X669" s="571"/>
      <c r="Y669" s="571"/>
      <c r="Z669" s="571"/>
    </row>
    <row r="670" spans="1:26" ht="18.75" hidden="1">
      <c r="A670" s="601"/>
      <c r="B670" s="611"/>
      <c r="C670" s="611"/>
      <c r="D670" s="611"/>
      <c r="E670" s="619" t="s">
        <v>281</v>
      </c>
      <c r="F670" s="619"/>
      <c r="G670" s="753"/>
      <c r="H670" s="755" t="s">
        <v>69</v>
      </c>
      <c r="I670" s="269">
        <f ca="1">IFERROR(__xludf.DUMMYFUNCTION("IMPORTRANGE(""https://docs.google.com/spreadsheets/d/1QqKyyYR6Q21VydFLVH3TRQUabQu_ym0Zz7PgGX0-kHA/edit?usp=sharing"",""แผน!HZ62"")"),0)</f>
        <v>0</v>
      </c>
      <c r="J670" s="214">
        <v>0</v>
      </c>
      <c r="K670" s="496">
        <f ca="1">IF(I670&gt;0,(J670*100)/I670,0)</f>
        <v>0</v>
      </c>
      <c r="L670" s="163"/>
      <c r="M670" s="163"/>
      <c r="N670" s="163"/>
      <c r="O670" s="163"/>
      <c r="P670" s="163"/>
      <c r="Q670" s="571"/>
      <c r="R670" s="571"/>
      <c r="S670" s="571"/>
      <c r="T670" s="571"/>
      <c r="U670" s="571"/>
      <c r="V670" s="571"/>
      <c r="W670" s="571"/>
      <c r="X670" s="571"/>
      <c r="Y670" s="571"/>
      <c r="Z670" s="571"/>
    </row>
    <row r="671" spans="1:26" ht="18.75" hidden="1">
      <c r="A671" s="601"/>
      <c r="B671" s="611"/>
      <c r="C671" s="611"/>
      <c r="D671" s="611"/>
      <c r="E671" s="619" t="s">
        <v>282</v>
      </c>
      <c r="F671" s="619"/>
      <c r="G671" s="753"/>
      <c r="H671" s="755" t="s">
        <v>69</v>
      </c>
      <c r="I671" s="269">
        <f ca="1">IFERROR(__xludf.DUMMYFUNCTION("IMPORTRANGE(""https://docs.google.com/spreadsheets/d/1QqKyyYR6Q21VydFLVH3TRQUabQu_ym0Zz7PgGX0-kHA/edit?usp=sharing"",""แผน!HZ62"")"),0)</f>
        <v>0</v>
      </c>
      <c r="J671" s="214">
        <v>0</v>
      </c>
      <c r="K671" s="496">
        <f ca="1">IF(I$671&gt;0,J671*100/I$671,0)</f>
        <v>0</v>
      </c>
      <c r="L671" s="163"/>
      <c r="M671" s="163"/>
      <c r="N671" s="163"/>
      <c r="O671" s="163"/>
      <c r="P671" s="163"/>
      <c r="Q671" s="571"/>
      <c r="R671" s="571"/>
      <c r="S671" s="571"/>
      <c r="T671" s="571"/>
      <c r="U671" s="571"/>
      <c r="V671" s="571"/>
      <c r="W671" s="571"/>
      <c r="X671" s="571"/>
      <c r="Y671" s="571"/>
      <c r="Z671" s="571"/>
    </row>
    <row r="672" spans="1:26" ht="18.75" hidden="1">
      <c r="A672" s="601"/>
      <c r="B672" s="611"/>
      <c r="C672" s="611"/>
      <c r="D672" s="611"/>
      <c r="E672" s="619" t="s">
        <v>283</v>
      </c>
      <c r="F672" s="619"/>
      <c r="G672" s="753"/>
      <c r="H672" s="755" t="s">
        <v>46</v>
      </c>
      <c r="I672" s="269"/>
      <c r="J672" s="214">
        <v>0</v>
      </c>
      <c r="K672" s="496">
        <f t="shared" ref="K672:K675" ca="1" si="281">IF(I$669&gt;0,J672*100/I$669,0)</f>
        <v>0</v>
      </c>
      <c r="L672" s="163"/>
      <c r="M672" s="163"/>
      <c r="N672" s="163"/>
      <c r="O672" s="163"/>
      <c r="P672" s="163"/>
      <c r="Q672" s="571"/>
      <c r="R672" s="571"/>
      <c r="S672" s="571"/>
      <c r="T672" s="571"/>
      <c r="U672" s="571"/>
      <c r="V672" s="571"/>
      <c r="W672" s="571"/>
      <c r="X672" s="571"/>
      <c r="Y672" s="571"/>
      <c r="Z672" s="571"/>
    </row>
    <row r="673" spans="1:26" ht="18.75" hidden="1">
      <c r="A673" s="601"/>
      <c r="B673" s="611"/>
      <c r="C673" s="611"/>
      <c r="D673" s="611"/>
      <c r="E673" s="619" t="s">
        <v>284</v>
      </c>
      <c r="F673" s="619"/>
      <c r="G673" s="753"/>
      <c r="H673" s="755" t="s">
        <v>46</v>
      </c>
      <c r="I673" s="269"/>
      <c r="J673" s="214">
        <v>0</v>
      </c>
      <c r="K673" s="496">
        <f t="shared" ca="1" si="281"/>
        <v>0</v>
      </c>
      <c r="L673" s="163"/>
      <c r="M673" s="163"/>
      <c r="N673" s="163"/>
      <c r="O673" s="163"/>
      <c r="P673" s="163"/>
      <c r="Q673" s="571"/>
      <c r="R673" s="571"/>
      <c r="S673" s="571"/>
      <c r="T673" s="571"/>
      <c r="U673" s="571"/>
      <c r="V673" s="571"/>
      <c r="W673" s="571"/>
      <c r="X673" s="571"/>
      <c r="Y673" s="571"/>
      <c r="Z673" s="571"/>
    </row>
    <row r="674" spans="1:26" ht="18.75" hidden="1">
      <c r="A674" s="601"/>
      <c r="B674" s="611"/>
      <c r="C674" s="611"/>
      <c r="D674" s="611"/>
      <c r="E674" s="619" t="s">
        <v>285</v>
      </c>
      <c r="F674" s="619"/>
      <c r="G674" s="753"/>
      <c r="H674" s="755" t="s">
        <v>46</v>
      </c>
      <c r="I674" s="269"/>
      <c r="J674" s="214">
        <v>0</v>
      </c>
      <c r="K674" s="496">
        <f t="shared" ca="1" si="281"/>
        <v>0</v>
      </c>
      <c r="L674" s="163"/>
      <c r="M674" s="163"/>
      <c r="N674" s="163"/>
      <c r="O674" s="163"/>
      <c r="P674" s="163"/>
      <c r="Q674" s="571"/>
      <c r="R674" s="571"/>
      <c r="S674" s="571"/>
      <c r="T674" s="571"/>
      <c r="U674" s="571"/>
      <c r="V674" s="571"/>
      <c r="W674" s="571"/>
      <c r="X674" s="571"/>
      <c r="Y674" s="571"/>
      <c r="Z674" s="571"/>
    </row>
    <row r="675" spans="1:26" ht="19.5" hidden="1">
      <c r="A675" s="601"/>
      <c r="B675" s="611"/>
      <c r="C675" s="611"/>
      <c r="D675" s="611"/>
      <c r="E675" s="619" t="s">
        <v>286</v>
      </c>
      <c r="F675" s="619"/>
      <c r="G675" s="753"/>
      <c r="H675" s="755" t="s">
        <v>46</v>
      </c>
      <c r="I675" s="269"/>
      <c r="J675" s="674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71"/>
      <c r="R675" s="571"/>
      <c r="S675" s="571"/>
      <c r="T675" s="571"/>
      <c r="U675" s="571"/>
      <c r="V675" s="571"/>
      <c r="W675" s="571"/>
      <c r="X675" s="571"/>
      <c r="Y675" s="571"/>
      <c r="Z675" s="571"/>
    </row>
    <row r="676" spans="1:26" ht="18.75" hidden="1">
      <c r="A676" s="601"/>
      <c r="B676" s="611"/>
      <c r="C676" s="611"/>
      <c r="D676" s="611"/>
      <c r="E676" s="619"/>
      <c r="F676" s="619" t="s">
        <v>287</v>
      </c>
      <c r="G676" s="753"/>
      <c r="H676" s="755" t="s">
        <v>46</v>
      </c>
      <c r="I676" s="269"/>
      <c r="J676" s="214">
        <v>0</v>
      </c>
      <c r="K676" s="496"/>
      <c r="L676" s="163"/>
      <c r="M676" s="163"/>
      <c r="N676" s="163"/>
      <c r="O676" s="163"/>
      <c r="P676" s="163"/>
      <c r="Q676" s="571"/>
      <c r="R676" s="571"/>
      <c r="S676" s="571"/>
      <c r="T676" s="571"/>
      <c r="U676" s="571"/>
      <c r="V676" s="571"/>
      <c r="W676" s="571"/>
      <c r="X676" s="571"/>
      <c r="Y676" s="571"/>
      <c r="Z676" s="571"/>
    </row>
    <row r="677" spans="1:26" ht="18.75" hidden="1">
      <c r="A677" s="601"/>
      <c r="B677" s="611"/>
      <c r="C677" s="611"/>
      <c r="D677" s="611"/>
      <c r="E677" s="619"/>
      <c r="F677" s="619" t="s">
        <v>288</v>
      </c>
      <c r="G677" s="753"/>
      <c r="H677" s="755" t="s">
        <v>46</v>
      </c>
      <c r="I677" s="269"/>
      <c r="J677" s="214">
        <v>0</v>
      </c>
      <c r="K677" s="496"/>
      <c r="L677" s="163"/>
      <c r="M677" s="163"/>
      <c r="N677" s="163"/>
      <c r="O677" s="163"/>
      <c r="P677" s="163"/>
      <c r="Q677" s="571"/>
      <c r="R677" s="571"/>
      <c r="S677" s="571"/>
      <c r="T677" s="571"/>
      <c r="U677" s="571"/>
      <c r="V677" s="571"/>
      <c r="W677" s="571"/>
      <c r="X677" s="571"/>
      <c r="Y677" s="571"/>
      <c r="Z677" s="571"/>
    </row>
    <row r="678" spans="1:26" ht="19.5" hidden="1">
      <c r="A678" s="601"/>
      <c r="B678" s="611"/>
      <c r="C678" s="611"/>
      <c r="D678" s="611" t="s">
        <v>289</v>
      </c>
      <c r="E678" s="619"/>
      <c r="F678" s="619"/>
      <c r="G678" s="753"/>
      <c r="H678" s="755" t="s">
        <v>46</v>
      </c>
      <c r="I678" s="674">
        <f ca="1">IFERROR(__xludf.DUMMYFUNCTION("IMPORTRANGE(""https://docs.google.com/spreadsheets/d/1QqKyyYR6Q21VydFLVH3TRQUabQu_ym0Zz7PgGX0-kHA/edit?usp=sharing"",""แผน!IB62"")"),0)</f>
        <v>0</v>
      </c>
      <c r="J678" s="674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1"/>
      <c r="R678" s="571"/>
      <c r="S678" s="571"/>
      <c r="T678" s="571"/>
      <c r="U678" s="571"/>
      <c r="V678" s="571"/>
      <c r="W678" s="571"/>
      <c r="X678" s="571"/>
      <c r="Y678" s="571"/>
      <c r="Z678" s="571"/>
    </row>
    <row r="679" spans="1:26" ht="18.75" hidden="1">
      <c r="A679" s="601"/>
      <c r="B679" s="611"/>
      <c r="C679" s="611"/>
      <c r="D679" s="611"/>
      <c r="E679" s="619" t="s">
        <v>290</v>
      </c>
      <c r="F679" s="619"/>
      <c r="G679" s="753"/>
      <c r="H679" s="755" t="s">
        <v>46</v>
      </c>
      <c r="I679" s="269"/>
      <c r="J679" s="269">
        <f>J680+J681</f>
        <v>0</v>
      </c>
      <c r="K679" s="496"/>
      <c r="L679" s="163"/>
      <c r="M679" s="163"/>
      <c r="N679" s="163"/>
      <c r="O679" s="163"/>
      <c r="P679" s="163"/>
      <c r="Q679" s="571"/>
      <c r="R679" s="571"/>
      <c r="S679" s="571"/>
      <c r="T679" s="571"/>
      <c r="U679" s="571"/>
      <c r="V679" s="571"/>
      <c r="W679" s="571"/>
      <c r="X679" s="571"/>
      <c r="Y679" s="571"/>
      <c r="Z679" s="571"/>
    </row>
    <row r="680" spans="1:26" ht="18.75" hidden="1">
      <c r="A680" s="601"/>
      <c r="B680" s="611"/>
      <c r="C680" s="611"/>
      <c r="D680" s="611"/>
      <c r="E680" s="619"/>
      <c r="F680" s="619" t="s">
        <v>287</v>
      </c>
      <c r="G680" s="753"/>
      <c r="H680" s="755" t="s">
        <v>46</v>
      </c>
      <c r="I680" s="269"/>
      <c r="J680" s="214">
        <v>0</v>
      </c>
      <c r="K680" s="496"/>
      <c r="L680" s="163"/>
      <c r="M680" s="163"/>
      <c r="N680" s="163"/>
      <c r="O680" s="163"/>
      <c r="P680" s="163"/>
      <c r="Q680" s="571"/>
      <c r="R680" s="571"/>
      <c r="S680" s="571"/>
      <c r="T680" s="571"/>
      <c r="U680" s="571"/>
      <c r="V680" s="571"/>
      <c r="W680" s="571"/>
      <c r="X680" s="571"/>
      <c r="Y680" s="571"/>
      <c r="Z680" s="571"/>
    </row>
    <row r="681" spans="1:26" ht="18.75" hidden="1">
      <c r="A681" s="601"/>
      <c r="B681" s="611"/>
      <c r="C681" s="611"/>
      <c r="D681" s="611"/>
      <c r="E681" s="619"/>
      <c r="F681" s="619" t="s">
        <v>288</v>
      </c>
      <c r="G681" s="753"/>
      <c r="H681" s="755" t="s">
        <v>46</v>
      </c>
      <c r="I681" s="269"/>
      <c r="J681" s="214">
        <v>0</v>
      </c>
      <c r="K681" s="496"/>
      <c r="L681" s="163"/>
      <c r="M681" s="163"/>
      <c r="N681" s="163"/>
      <c r="O681" s="163"/>
      <c r="P681" s="163"/>
      <c r="Q681" s="571"/>
      <c r="R681" s="571"/>
      <c r="S681" s="571"/>
      <c r="T681" s="571"/>
      <c r="U681" s="571"/>
      <c r="V681" s="571"/>
      <c r="W681" s="571"/>
      <c r="X681" s="571"/>
      <c r="Y681" s="571"/>
      <c r="Z681" s="571"/>
    </row>
    <row r="682" spans="1:26" ht="18.75" hidden="1">
      <c r="A682" s="601"/>
      <c r="B682" s="611"/>
      <c r="C682" s="611"/>
      <c r="D682" s="611"/>
      <c r="E682" s="619" t="s">
        <v>291</v>
      </c>
      <c r="F682" s="619"/>
      <c r="G682" s="753"/>
      <c r="H682" s="755" t="s">
        <v>46</v>
      </c>
      <c r="I682" s="269"/>
      <c r="J682" s="214">
        <v>0</v>
      </c>
      <c r="K682" s="496"/>
      <c r="L682" s="163"/>
      <c r="M682" s="163"/>
      <c r="N682" s="163"/>
      <c r="O682" s="163"/>
      <c r="P682" s="163"/>
      <c r="Q682" s="571"/>
      <c r="R682" s="571"/>
      <c r="S682" s="571"/>
      <c r="T682" s="571"/>
      <c r="U682" s="571"/>
      <c r="V682" s="571"/>
      <c r="W682" s="571"/>
      <c r="X682" s="571"/>
      <c r="Y682" s="571"/>
      <c r="Z682" s="571"/>
    </row>
    <row r="683" spans="1:26" ht="18.75" hidden="1">
      <c r="A683" s="601"/>
      <c r="B683" s="611"/>
      <c r="C683" s="611"/>
      <c r="D683" s="611"/>
      <c r="E683" s="619"/>
      <c r="F683" s="619" t="s">
        <v>292</v>
      </c>
      <c r="G683" s="753"/>
      <c r="H683" s="755" t="s">
        <v>46</v>
      </c>
      <c r="I683" s="269"/>
      <c r="J683" s="214">
        <v>0</v>
      </c>
      <c r="K683" s="496"/>
      <c r="L683" s="163"/>
      <c r="M683" s="163"/>
      <c r="N683" s="163"/>
      <c r="O683" s="163"/>
      <c r="P683" s="163"/>
      <c r="Q683" s="571"/>
      <c r="R683" s="571"/>
      <c r="S683" s="571"/>
      <c r="T683" s="571"/>
      <c r="U683" s="571"/>
      <c r="V683" s="571"/>
      <c r="W683" s="571"/>
      <c r="X683" s="571"/>
      <c r="Y683" s="571"/>
      <c r="Z683" s="571"/>
    </row>
    <row r="684" spans="1:26" ht="19.5" hidden="1">
      <c r="A684" s="744"/>
      <c r="B684" s="745" t="s">
        <v>293</v>
      </c>
      <c r="C684" s="744"/>
      <c r="D684" s="744"/>
      <c r="E684" s="744"/>
      <c r="F684" s="744"/>
      <c r="G684" s="746"/>
      <c r="H684" s="746"/>
      <c r="I684" s="747"/>
      <c r="J684" s="747"/>
      <c r="K684" s="748"/>
      <c r="L684" s="748"/>
      <c r="M684" s="748"/>
      <c r="N684" s="748"/>
      <c r="O684" s="748"/>
      <c r="P684" s="748"/>
      <c r="Q684" s="571"/>
      <c r="R684" s="571"/>
      <c r="S684" s="571"/>
      <c r="T684" s="571"/>
      <c r="U684" s="571"/>
      <c r="V684" s="571"/>
      <c r="W684" s="571"/>
      <c r="X684" s="571"/>
      <c r="Y684" s="571"/>
      <c r="Z684" s="571"/>
    </row>
    <row r="685" spans="1:26" ht="19.5" hidden="1">
      <c r="A685" s="590"/>
      <c r="B685" s="754"/>
      <c r="C685" s="754" t="s">
        <v>16</v>
      </c>
      <c r="D685" s="863" t="s">
        <v>17</v>
      </c>
      <c r="E685" s="857"/>
      <c r="F685" s="857"/>
      <c r="G685" s="189"/>
      <c r="H685" s="591" t="s">
        <v>12</v>
      </c>
      <c r="I685" s="269"/>
      <c r="J685" s="269"/>
      <c r="K685" s="496"/>
      <c r="L685" s="195">
        <f t="shared" ref="L685:N685" ca="1" si="282">L686+L687</f>
        <v>0</v>
      </c>
      <c r="M685" s="195">
        <f t="shared" si="282"/>
        <v>0</v>
      </c>
      <c r="N685" s="195">
        <f t="shared" si="282"/>
        <v>0</v>
      </c>
      <c r="O685" s="195">
        <f t="shared" ref="O685:O688" ca="1" si="283">IF(L685&gt;0,N685*100/L685,0)</f>
        <v>0</v>
      </c>
      <c r="P685" s="195">
        <f t="shared" ref="P685:P688" si="284">IF(M685&gt;0,N685*100/M685,0)</f>
        <v>0</v>
      </c>
      <c r="Q685" s="571"/>
      <c r="R685" s="571"/>
      <c r="S685" s="571"/>
      <c r="T685" s="571"/>
      <c r="U685" s="571"/>
      <c r="V685" s="571"/>
      <c r="W685" s="571"/>
      <c r="X685" s="571"/>
      <c r="Y685" s="571"/>
      <c r="Z685" s="571"/>
    </row>
    <row r="686" spans="1:26" ht="18.75" hidden="1">
      <c r="A686" s="592"/>
      <c r="B686" s="750"/>
      <c r="C686" s="750"/>
      <c r="D686" s="711"/>
      <c r="E686" s="750" t="s">
        <v>184</v>
      </c>
      <c r="F686" s="750"/>
      <c r="G686" s="596"/>
      <c r="H686" s="165" t="s">
        <v>12</v>
      </c>
      <c r="I686" s="610"/>
      <c r="J686" s="610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597"/>
      <c r="R686" s="597"/>
      <c r="S686" s="597"/>
      <c r="T686" s="597"/>
      <c r="U686" s="597"/>
      <c r="V686" s="597"/>
      <c r="W686" s="597"/>
      <c r="X686" s="597"/>
      <c r="Y686" s="597"/>
      <c r="Z686" s="597"/>
    </row>
    <row r="687" spans="1:26" ht="18.75" hidden="1">
      <c r="A687" s="592"/>
      <c r="B687" s="600"/>
      <c r="C687" s="750"/>
      <c r="D687" s="711"/>
      <c r="E687" s="750" t="s">
        <v>185</v>
      </c>
      <c r="F687" s="750"/>
      <c r="G687" s="596"/>
      <c r="H687" s="165" t="s">
        <v>12</v>
      </c>
      <c r="I687" s="610"/>
      <c r="J687" s="610"/>
      <c r="K687" s="93"/>
      <c r="L687" s="93">
        <f t="shared" ca="1" si="285"/>
        <v>0</v>
      </c>
      <c r="M687" s="93">
        <f t="shared" si="285"/>
        <v>0</v>
      </c>
      <c r="N687" s="93">
        <f t="shared" si="285"/>
        <v>0</v>
      </c>
      <c r="O687" s="93">
        <f t="shared" ca="1" si="283"/>
        <v>0</v>
      </c>
      <c r="P687" s="93">
        <f t="shared" si="284"/>
        <v>0</v>
      </c>
      <c r="Q687" s="597"/>
      <c r="R687" s="597"/>
      <c r="S687" s="597"/>
      <c r="T687" s="597"/>
      <c r="U687" s="597"/>
      <c r="V687" s="597"/>
      <c r="W687" s="597"/>
      <c r="X687" s="597"/>
      <c r="Y687" s="597"/>
      <c r="Z687" s="597"/>
    </row>
    <row r="688" spans="1:26" ht="18.75" hidden="1">
      <c r="A688" s="590"/>
      <c r="B688" s="568"/>
      <c r="C688" s="754"/>
      <c r="D688" s="599" t="s">
        <v>20</v>
      </c>
      <c r="E688" s="754"/>
      <c r="F688" s="754"/>
      <c r="G688" s="189"/>
      <c r="H688" s="161" t="s">
        <v>12</v>
      </c>
      <c r="I688" s="184"/>
      <c r="J688" s="184"/>
      <c r="K688" s="163"/>
      <c r="L688" s="496">
        <f t="shared" ref="L688:N688" ca="1" si="286">L689+L690</f>
        <v>0</v>
      </c>
      <c r="M688" s="496">
        <f t="shared" si="286"/>
        <v>0</v>
      </c>
      <c r="N688" s="496">
        <f t="shared" si="286"/>
        <v>0</v>
      </c>
      <c r="O688" s="496">
        <f t="shared" ca="1" si="283"/>
        <v>0</v>
      </c>
      <c r="P688" s="496">
        <f t="shared" si="284"/>
        <v>0</v>
      </c>
      <c r="Q688" s="571"/>
      <c r="R688" s="571"/>
      <c r="S688" s="571"/>
      <c r="T688" s="571"/>
      <c r="U688" s="571"/>
      <c r="V688" s="571"/>
      <c r="W688" s="571"/>
      <c r="X688" s="571"/>
      <c r="Y688" s="571"/>
      <c r="Z688" s="571"/>
    </row>
    <row r="689" spans="1:26" ht="18.75" hidden="1">
      <c r="A689" s="592"/>
      <c r="B689" s="600"/>
      <c r="C689" s="750"/>
      <c r="D689" s="711"/>
      <c r="E689" s="750" t="s">
        <v>184</v>
      </c>
      <c r="F689" s="750"/>
      <c r="G689" s="596"/>
      <c r="H689" s="165" t="s">
        <v>12</v>
      </c>
      <c r="I689" s="610"/>
      <c r="J689" s="610"/>
      <c r="K689" s="93"/>
      <c r="L689" s="93">
        <v>0</v>
      </c>
      <c r="M689" s="93">
        <v>0</v>
      </c>
      <c r="N689" s="93">
        <v>0</v>
      </c>
      <c r="O689" s="93"/>
      <c r="P689" s="93"/>
      <c r="Q689" s="597"/>
      <c r="R689" s="597"/>
      <c r="S689" s="597"/>
      <c r="T689" s="597"/>
      <c r="U689" s="597"/>
      <c r="V689" s="597"/>
      <c r="W689" s="597"/>
      <c r="X689" s="597"/>
      <c r="Y689" s="597"/>
      <c r="Z689" s="597"/>
    </row>
    <row r="690" spans="1:26" ht="18.75" hidden="1">
      <c r="A690" s="592"/>
      <c r="B690" s="600"/>
      <c r="C690" s="750"/>
      <c r="D690" s="711"/>
      <c r="E690" s="750" t="s">
        <v>185</v>
      </c>
      <c r="F690" s="750"/>
      <c r="G690" s="596"/>
      <c r="H690" s="165" t="s">
        <v>12</v>
      </c>
      <c r="I690" s="610"/>
      <c r="J690" s="610"/>
      <c r="K690" s="93"/>
      <c r="L690" s="93">
        <f ca="1">IFERROR(__xludf.DUMMYFUNCTION("IMPORTRANGE(""https://docs.google.com/spreadsheets/d/1QqKyyYR6Q21VydFLVH3TRQUabQu_ym0Zz7PgGX0-kHA/edit?usp=sharing"",""แผน!HW62"")"),0)</f>
        <v>0</v>
      </c>
      <c r="M690" s="93">
        <v>0</v>
      </c>
      <c r="N690" s="93">
        <f>N691+N692+N693+N694</f>
        <v>0</v>
      </c>
      <c r="O690" s="93">
        <f ca="1">IF(L690&gt;0,N690*100/L690,0)</f>
        <v>0</v>
      </c>
      <c r="P690" s="93">
        <f>IF(M690&gt;0,N690*100/M690,0)</f>
        <v>0</v>
      </c>
      <c r="Q690" s="597"/>
      <c r="R690" s="597"/>
      <c r="S690" s="597"/>
      <c r="T690" s="597"/>
      <c r="U690" s="597"/>
      <c r="V690" s="597"/>
      <c r="W690" s="597"/>
      <c r="X690" s="597"/>
      <c r="Y690" s="597"/>
      <c r="Z690" s="597"/>
    </row>
    <row r="691" spans="1:26" ht="18.75" hidden="1">
      <c r="A691" s="567"/>
      <c r="B691" s="568"/>
      <c r="C691" s="754"/>
      <c r="D691" s="754"/>
      <c r="E691" s="754"/>
      <c r="F691" s="754" t="s">
        <v>186</v>
      </c>
      <c r="G691" s="189"/>
      <c r="H691" s="161" t="s">
        <v>12</v>
      </c>
      <c r="I691" s="269"/>
      <c r="J691" s="269"/>
      <c r="K691" s="496"/>
      <c r="L691" s="496"/>
      <c r="M691" s="496"/>
      <c r="N691" s="817">
        <v>0</v>
      </c>
      <c r="O691" s="496"/>
      <c r="P691" s="496"/>
      <c r="Q691" s="571"/>
      <c r="R691" s="571"/>
      <c r="S691" s="571"/>
      <c r="T691" s="571"/>
      <c r="U691" s="571"/>
      <c r="V691" s="571"/>
      <c r="W691" s="571"/>
      <c r="X691" s="571"/>
      <c r="Y691" s="571"/>
      <c r="Z691" s="571"/>
    </row>
    <row r="692" spans="1:26" ht="18.75" hidden="1">
      <c r="A692" s="567"/>
      <c r="B692" s="568"/>
      <c r="C692" s="754"/>
      <c r="D692" s="754"/>
      <c r="E692" s="754"/>
      <c r="F692" s="754" t="s">
        <v>187</v>
      </c>
      <c r="G692" s="189"/>
      <c r="H692" s="161" t="s">
        <v>12</v>
      </c>
      <c r="I692" s="269"/>
      <c r="J692" s="269"/>
      <c r="K692" s="496"/>
      <c r="L692" s="496"/>
      <c r="M692" s="496"/>
      <c r="N692" s="817">
        <v>0</v>
      </c>
      <c r="O692" s="496"/>
      <c r="P692" s="496"/>
      <c r="Q692" s="571"/>
      <c r="R692" s="571"/>
      <c r="S692" s="571"/>
      <c r="T692" s="571"/>
      <c r="U692" s="571"/>
      <c r="V692" s="571"/>
      <c r="W692" s="571"/>
      <c r="X692" s="571"/>
      <c r="Y692" s="571"/>
      <c r="Z692" s="571"/>
    </row>
    <row r="693" spans="1:26" ht="18.75" hidden="1">
      <c r="A693" s="567"/>
      <c r="B693" s="568"/>
      <c r="C693" s="754"/>
      <c r="D693" s="754"/>
      <c r="E693" s="754"/>
      <c r="F693" s="754" t="s">
        <v>188</v>
      </c>
      <c r="G693" s="189"/>
      <c r="H693" s="161" t="s">
        <v>12</v>
      </c>
      <c r="I693" s="269"/>
      <c r="J693" s="269"/>
      <c r="K693" s="496"/>
      <c r="L693" s="496"/>
      <c r="M693" s="496"/>
      <c r="N693" s="817">
        <v>0</v>
      </c>
      <c r="O693" s="496"/>
      <c r="P693" s="496"/>
      <c r="Q693" s="571"/>
      <c r="R693" s="571"/>
      <c r="S693" s="571"/>
      <c r="T693" s="571"/>
      <c r="U693" s="571"/>
      <c r="V693" s="571"/>
      <c r="W693" s="571"/>
      <c r="X693" s="571"/>
      <c r="Y693" s="571"/>
      <c r="Z693" s="571"/>
    </row>
    <row r="694" spans="1:26" ht="18.75" hidden="1">
      <c r="A694" s="567"/>
      <c r="B694" s="568"/>
      <c r="C694" s="754"/>
      <c r="D694" s="754"/>
      <c r="E694" s="754"/>
      <c r="F694" s="754" t="s">
        <v>189</v>
      </c>
      <c r="G694" s="189"/>
      <c r="H694" s="161" t="s">
        <v>12</v>
      </c>
      <c r="I694" s="269"/>
      <c r="J694" s="269"/>
      <c r="K694" s="496"/>
      <c r="L694" s="496"/>
      <c r="M694" s="496"/>
      <c r="N694" s="817">
        <v>0</v>
      </c>
      <c r="O694" s="496"/>
      <c r="P694" s="496"/>
      <c r="Q694" s="571"/>
      <c r="R694" s="571"/>
      <c r="S694" s="571"/>
      <c r="T694" s="571"/>
      <c r="U694" s="571"/>
      <c r="V694" s="571"/>
      <c r="W694" s="571"/>
      <c r="X694" s="571"/>
      <c r="Y694" s="571"/>
      <c r="Z694" s="571"/>
    </row>
    <row r="695" spans="1:26" ht="18.75" hidden="1">
      <c r="A695" s="590"/>
      <c r="B695" s="568"/>
      <c r="C695" s="754"/>
      <c r="D695" s="599" t="s">
        <v>21</v>
      </c>
      <c r="E695" s="754"/>
      <c r="F695" s="754"/>
      <c r="G695" s="189"/>
      <c r="H695" s="168" t="s">
        <v>12</v>
      </c>
      <c r="I695" s="184"/>
      <c r="J695" s="184"/>
      <c r="K695" s="163"/>
      <c r="L695" s="496">
        <f t="shared" ref="L695:N695" si="287">L696+L697</f>
        <v>0</v>
      </c>
      <c r="M695" s="496">
        <f t="shared" si="287"/>
        <v>0</v>
      </c>
      <c r="N695" s="496">
        <f t="shared" si="287"/>
        <v>0</v>
      </c>
      <c r="O695" s="496">
        <f t="shared" ref="O695:O697" si="288">IF(L695&gt;0,N695*100/L695,0)</f>
        <v>0</v>
      </c>
      <c r="P695" s="496">
        <f t="shared" ref="P695:P697" si="289">IF(M695&gt;0,N695*100/M695,0)</f>
        <v>0</v>
      </c>
      <c r="Q695" s="571"/>
      <c r="R695" s="571"/>
      <c r="S695" s="571"/>
      <c r="T695" s="571"/>
      <c r="U695" s="571"/>
      <c r="V695" s="571"/>
      <c r="W695" s="571"/>
      <c r="X695" s="571"/>
      <c r="Y695" s="571"/>
      <c r="Z695" s="571"/>
    </row>
    <row r="696" spans="1:26" ht="18.75" hidden="1">
      <c r="A696" s="592"/>
      <c r="B696" s="600"/>
      <c r="C696" s="750"/>
      <c r="D696" s="750"/>
      <c r="E696" s="750" t="s">
        <v>18</v>
      </c>
      <c r="F696" s="750"/>
      <c r="G696" s="596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597"/>
      <c r="R696" s="597"/>
      <c r="S696" s="597"/>
      <c r="T696" s="597"/>
      <c r="U696" s="597"/>
      <c r="V696" s="597"/>
      <c r="W696" s="597"/>
      <c r="X696" s="597"/>
      <c r="Y696" s="597"/>
      <c r="Z696" s="597"/>
    </row>
    <row r="697" spans="1:26" ht="18.75" hidden="1">
      <c r="A697" s="592"/>
      <c r="B697" s="600"/>
      <c r="C697" s="750"/>
      <c r="D697" s="750"/>
      <c r="E697" s="750" t="s">
        <v>19</v>
      </c>
      <c r="F697" s="750"/>
      <c r="G697" s="596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597"/>
      <c r="R697" s="597"/>
      <c r="S697" s="597"/>
      <c r="T697" s="597"/>
      <c r="U697" s="597"/>
      <c r="V697" s="597"/>
      <c r="W697" s="597"/>
      <c r="X697" s="597"/>
      <c r="Y697" s="597"/>
      <c r="Z697" s="597"/>
    </row>
    <row r="698" spans="1:26" ht="19.5" hidden="1">
      <c r="A698" s="601"/>
      <c r="B698" s="611"/>
      <c r="C698" s="754" t="s">
        <v>16</v>
      </c>
      <c r="D698" s="840" t="s">
        <v>38</v>
      </c>
      <c r="E698" s="752"/>
      <c r="F698" s="752"/>
      <c r="G698" s="606"/>
      <c r="H698" s="753"/>
      <c r="I698" s="184"/>
      <c r="J698" s="184"/>
      <c r="K698" s="163"/>
      <c r="L698" s="163"/>
      <c r="M698" s="163"/>
      <c r="N698" s="163"/>
      <c r="O698" s="163"/>
      <c r="P698" s="163"/>
      <c r="Q698" s="571"/>
      <c r="R698" s="571"/>
      <c r="S698" s="571"/>
      <c r="T698" s="571"/>
      <c r="U698" s="571"/>
      <c r="V698" s="571"/>
      <c r="W698" s="571"/>
      <c r="X698" s="571"/>
      <c r="Y698" s="571"/>
      <c r="Z698" s="571"/>
    </row>
    <row r="699" spans="1:26" ht="18.75" hidden="1">
      <c r="A699" s="735"/>
      <c r="B699" s="754"/>
      <c r="C699" s="754"/>
      <c r="D699" s="754" t="s">
        <v>294</v>
      </c>
      <c r="E699" s="754"/>
      <c r="F699" s="754"/>
      <c r="G699" s="189"/>
      <c r="H699" s="755" t="s">
        <v>46</v>
      </c>
      <c r="I699" s="756">
        <f ca="1">IFERROR(__xludf.DUMMYFUNCTION("IMPORTRANGE(""https://docs.google.com/spreadsheets/d/1QqKyyYR6Q21VydFLVH3TRQUabQu_ym0Zz7PgGX0-kHA/edit?usp=sharing"",""แผน!IC62"")"),0)</f>
        <v>0</v>
      </c>
      <c r="J699" s="269">
        <f ca="1">IFERROR(__xludf.DUMMYFUNCTION("IMPORTRANGE(""https://docs.google.com/spreadsheets/d/1XWAQStnk-4SwqDmLtmXYiTMKHgktTP8We1SCoS47DrQ/edit?usp=sharing"",""จัดที่ดิน!BB62"")"),0)</f>
        <v>0</v>
      </c>
      <c r="K699" s="496">
        <f t="shared" ref="K699:K701" ca="1" si="290">IF(I699&gt;0,J699*100/I699,0)</f>
        <v>0</v>
      </c>
      <c r="L699" s="496"/>
      <c r="M699" s="189"/>
      <c r="N699" s="757"/>
      <c r="O699" s="496"/>
      <c r="P699" s="496"/>
      <c r="Q699" s="571"/>
      <c r="R699" s="571"/>
      <c r="S699" s="571"/>
      <c r="T699" s="571"/>
      <c r="U699" s="571"/>
      <c r="V699" s="571"/>
      <c r="W699" s="571"/>
      <c r="X699" s="571"/>
      <c r="Y699" s="571"/>
      <c r="Z699" s="571"/>
    </row>
    <row r="700" spans="1:26" ht="18.75" hidden="1">
      <c r="A700" s="735"/>
      <c r="B700" s="754"/>
      <c r="C700" s="754"/>
      <c r="D700" s="754" t="s">
        <v>295</v>
      </c>
      <c r="E700" s="754"/>
      <c r="F700" s="754"/>
      <c r="G700" s="189"/>
      <c r="H700" s="755" t="s">
        <v>35</v>
      </c>
      <c r="I700" s="756">
        <f ca="1">IFERROR(__xludf.DUMMYFUNCTION("IMPORTRANGE(""https://docs.google.com/spreadsheets/d/1QqKyyYR6Q21VydFLVH3TRQUabQu_ym0Zz7PgGX0-kHA/edit?usp=sharing"",""แผน!ID62"")"),0)</f>
        <v>0</v>
      </c>
      <c r="J700" s="269">
        <f ca="1">IFERROR(__xludf.DUMMYFUNCTION("IMPORTRANGE(""https://docs.google.com/spreadsheets/d/1XWAQStnk-4SwqDmLtmXYiTMKHgktTP8We1SCoS47DrQ/edit?usp=sharing"",""จัดที่ดิน!BD62"")"),0)</f>
        <v>0</v>
      </c>
      <c r="K700" s="496">
        <f t="shared" ca="1" si="290"/>
        <v>0</v>
      </c>
      <c r="L700" s="496"/>
      <c r="M700" s="189"/>
      <c r="N700" s="757"/>
      <c r="O700" s="496"/>
      <c r="P700" s="496"/>
      <c r="Q700" s="571"/>
      <c r="R700" s="571"/>
      <c r="S700" s="571"/>
      <c r="T700" s="571"/>
      <c r="U700" s="571"/>
      <c r="V700" s="571"/>
      <c r="W700" s="571"/>
      <c r="X700" s="571"/>
      <c r="Y700" s="571"/>
      <c r="Z700" s="571"/>
    </row>
    <row r="701" spans="1:26" ht="19.5" hidden="1">
      <c r="A701" s="735"/>
      <c r="B701" s="754"/>
      <c r="C701" s="754"/>
      <c r="D701" s="754" t="s">
        <v>296</v>
      </c>
      <c r="E701" s="754"/>
      <c r="F701" s="754"/>
      <c r="G701" s="189"/>
      <c r="H701" s="758" t="s">
        <v>46</v>
      </c>
      <c r="I701" s="759">
        <f ca="1">IFERROR(__xludf.DUMMYFUNCTION("IMPORTRANGE(""https://docs.google.com/spreadsheets/d/1QqKyyYR6Q21VydFLVH3TRQUabQu_ym0Zz7PgGX0-kHA/edit?usp=sharing"",""แผน!IE62"")"),0)</f>
        <v>0</v>
      </c>
      <c r="J701" s="674">
        <f>J704+J707</f>
        <v>0</v>
      </c>
      <c r="K701" s="195">
        <f t="shared" ca="1" si="290"/>
        <v>0</v>
      </c>
      <c r="L701" s="496"/>
      <c r="M701" s="189"/>
      <c r="N701" s="757"/>
      <c r="O701" s="496"/>
      <c r="P701" s="496"/>
      <c r="Q701" s="571"/>
      <c r="R701" s="571"/>
      <c r="S701" s="571"/>
      <c r="T701" s="571"/>
      <c r="U701" s="571"/>
      <c r="V701" s="571"/>
      <c r="W701" s="571"/>
      <c r="X701" s="571"/>
      <c r="Y701" s="571"/>
      <c r="Z701" s="571"/>
    </row>
    <row r="702" spans="1:26" ht="18.75" hidden="1">
      <c r="A702" s="735"/>
      <c r="B702" s="754"/>
      <c r="C702" s="754"/>
      <c r="D702" s="754"/>
      <c r="E702" s="754" t="s">
        <v>297</v>
      </c>
      <c r="F702" s="754"/>
      <c r="G702" s="189"/>
      <c r="H702" s="755" t="s">
        <v>35</v>
      </c>
      <c r="I702" s="756"/>
      <c r="J702" s="214">
        <v>0</v>
      </c>
      <c r="K702" s="496"/>
      <c r="L702" s="496"/>
      <c r="M702" s="189"/>
      <c r="N702" s="757"/>
      <c r="O702" s="496"/>
      <c r="P702" s="496"/>
      <c r="Q702" s="571"/>
      <c r="R702" s="571"/>
      <c r="S702" s="571"/>
      <c r="T702" s="571"/>
      <c r="U702" s="571"/>
      <c r="V702" s="571"/>
      <c r="W702" s="571"/>
      <c r="X702" s="571"/>
      <c r="Y702" s="571"/>
      <c r="Z702" s="571"/>
    </row>
    <row r="703" spans="1:26" ht="18.75" hidden="1">
      <c r="A703" s="735"/>
      <c r="B703" s="754"/>
      <c r="C703" s="754"/>
      <c r="D703" s="754"/>
      <c r="E703" s="754"/>
      <c r="F703" s="754"/>
      <c r="G703" s="189"/>
      <c r="H703" s="755" t="s">
        <v>34</v>
      </c>
      <c r="I703" s="756"/>
      <c r="J703" s="214">
        <v>0</v>
      </c>
      <c r="K703" s="496"/>
      <c r="L703" s="496"/>
      <c r="M703" s="189"/>
      <c r="N703" s="757"/>
      <c r="O703" s="496"/>
      <c r="P703" s="496"/>
      <c r="Q703" s="571"/>
      <c r="R703" s="571"/>
      <c r="S703" s="571"/>
      <c r="T703" s="571"/>
      <c r="U703" s="571"/>
      <c r="V703" s="571"/>
      <c r="W703" s="571"/>
      <c r="X703" s="571"/>
      <c r="Y703" s="571"/>
      <c r="Z703" s="571"/>
    </row>
    <row r="704" spans="1:26" ht="18.75" hidden="1">
      <c r="A704" s="735"/>
      <c r="B704" s="754"/>
      <c r="C704" s="754"/>
      <c r="D704" s="754"/>
      <c r="E704" s="754"/>
      <c r="F704" s="754"/>
      <c r="G704" s="189"/>
      <c r="H704" s="755" t="s">
        <v>46</v>
      </c>
      <c r="I704" s="756">
        <f ca="1">IFERROR(__xludf.DUMMYFUNCTION("IMPORTRANGE(""https://docs.google.com/spreadsheets/d/1QqKyyYR6Q21VydFLVH3TRQUabQu_ym0Zz7PgGX0-kHA/edit?usp=sharing"",""แผน!IF62"")"),0)</f>
        <v>0</v>
      </c>
      <c r="J704" s="214">
        <v>0</v>
      </c>
      <c r="K704" s="496"/>
      <c r="L704" s="496"/>
      <c r="M704" s="189"/>
      <c r="N704" s="757"/>
      <c r="O704" s="496"/>
      <c r="P704" s="496"/>
      <c r="Q704" s="571"/>
      <c r="R704" s="571"/>
      <c r="S704" s="571"/>
      <c r="T704" s="571"/>
      <c r="U704" s="571"/>
      <c r="V704" s="571"/>
      <c r="W704" s="571"/>
      <c r="X704" s="571"/>
      <c r="Y704" s="571"/>
      <c r="Z704" s="571"/>
    </row>
    <row r="705" spans="1:26" ht="18.75" hidden="1">
      <c r="A705" s="735"/>
      <c r="B705" s="754"/>
      <c r="C705" s="754"/>
      <c r="D705" s="754"/>
      <c r="E705" s="754" t="s">
        <v>298</v>
      </c>
      <c r="F705" s="754"/>
      <c r="G705" s="189"/>
      <c r="H705" s="755" t="s">
        <v>35</v>
      </c>
      <c r="I705" s="756"/>
      <c r="J705" s="214">
        <v>0</v>
      </c>
      <c r="K705" s="496"/>
      <c r="L705" s="496"/>
      <c r="M705" s="189"/>
      <c r="N705" s="757"/>
      <c r="O705" s="496"/>
      <c r="P705" s="496"/>
      <c r="Q705" s="571"/>
      <c r="R705" s="571"/>
      <c r="S705" s="571"/>
      <c r="T705" s="571"/>
      <c r="U705" s="571"/>
      <c r="V705" s="571"/>
      <c r="W705" s="571"/>
      <c r="X705" s="571"/>
      <c r="Y705" s="571"/>
      <c r="Z705" s="571"/>
    </row>
    <row r="706" spans="1:26" ht="18.75" hidden="1">
      <c r="A706" s="735"/>
      <c r="B706" s="754"/>
      <c r="C706" s="754"/>
      <c r="D706" s="754"/>
      <c r="E706" s="754"/>
      <c r="F706" s="754"/>
      <c r="G706" s="189"/>
      <c r="H706" s="755" t="s">
        <v>34</v>
      </c>
      <c r="I706" s="756"/>
      <c r="J706" s="214">
        <v>0</v>
      </c>
      <c r="K706" s="496"/>
      <c r="L706" s="496"/>
      <c r="M706" s="189"/>
      <c r="N706" s="757"/>
      <c r="O706" s="496"/>
      <c r="P706" s="496"/>
      <c r="Q706" s="571"/>
      <c r="R706" s="571"/>
      <c r="S706" s="571"/>
      <c r="T706" s="571"/>
      <c r="U706" s="571"/>
      <c r="V706" s="571"/>
      <c r="W706" s="571"/>
      <c r="X706" s="571"/>
      <c r="Y706" s="571"/>
      <c r="Z706" s="571"/>
    </row>
    <row r="707" spans="1:26" ht="18.75" hidden="1">
      <c r="A707" s="735"/>
      <c r="B707" s="754"/>
      <c r="C707" s="754"/>
      <c r="D707" s="754"/>
      <c r="E707" s="754"/>
      <c r="F707" s="754"/>
      <c r="G707" s="189"/>
      <c r="H707" s="755" t="s">
        <v>46</v>
      </c>
      <c r="I707" s="756">
        <f ca="1">IFERROR(__xludf.DUMMYFUNCTION("IMPORTRANGE(""https://docs.google.com/spreadsheets/d/1QqKyyYR6Q21VydFLVH3TRQUabQu_ym0Zz7PgGX0-kHA/edit?usp=sharing"",""แผน!IG62"")"),0)</f>
        <v>0</v>
      </c>
      <c r="J707" s="214">
        <v>0</v>
      </c>
      <c r="K707" s="496"/>
      <c r="L707" s="496"/>
      <c r="M707" s="189"/>
      <c r="N707" s="757"/>
      <c r="O707" s="496"/>
      <c r="P707" s="496"/>
      <c r="Q707" s="571"/>
      <c r="R707" s="571"/>
      <c r="S707" s="571"/>
      <c r="T707" s="571"/>
      <c r="U707" s="571"/>
      <c r="V707" s="571"/>
      <c r="W707" s="571"/>
      <c r="X707" s="571"/>
      <c r="Y707" s="571"/>
      <c r="Z707" s="571"/>
    </row>
    <row r="708" spans="1:26" ht="19.5" hidden="1">
      <c r="A708" s="735"/>
      <c r="B708" s="754"/>
      <c r="C708" s="754"/>
      <c r="D708" s="760" t="s">
        <v>299</v>
      </c>
      <c r="E708" s="754"/>
      <c r="F708" s="754"/>
      <c r="G708" s="189"/>
      <c r="H708" s="758" t="s">
        <v>46</v>
      </c>
      <c r="I708" s="759">
        <f ca="1">IFERROR(__xludf.DUMMYFUNCTION("IMPORTRANGE(""https://docs.google.com/spreadsheets/d/1QqKyyYR6Q21VydFLVH3TRQUabQu_ym0Zz7PgGX0-kHA/edit?usp=sharing"",""แผน!IH62"")"),0)</f>
        <v>0</v>
      </c>
      <c r="J708" s="674">
        <f>J714+J717</f>
        <v>0</v>
      </c>
      <c r="K708" s="195">
        <f ca="1">IF(I708&gt;0,J708*100/I708,0)</f>
        <v>0</v>
      </c>
      <c r="L708" s="496"/>
      <c r="M708" s="189"/>
      <c r="N708" s="757"/>
      <c r="O708" s="496"/>
      <c r="P708" s="496"/>
      <c r="Q708" s="571"/>
      <c r="R708" s="571"/>
      <c r="S708" s="571"/>
      <c r="T708" s="571"/>
      <c r="U708" s="571"/>
      <c r="V708" s="571"/>
      <c r="W708" s="571"/>
      <c r="X708" s="571"/>
      <c r="Y708" s="571"/>
      <c r="Z708" s="571"/>
    </row>
    <row r="709" spans="1:26" ht="18.75" hidden="1">
      <c r="A709" s="735"/>
      <c r="B709" s="754"/>
      <c r="C709" s="754"/>
      <c r="D709" s="754"/>
      <c r="E709" s="754" t="s">
        <v>300</v>
      </c>
      <c r="F709" s="754"/>
      <c r="G709" s="189"/>
      <c r="H709" s="755" t="s">
        <v>34</v>
      </c>
      <c r="I709" s="756"/>
      <c r="J709" s="214">
        <v>0</v>
      </c>
      <c r="K709" s="496"/>
      <c r="L709" s="757"/>
      <c r="M709" s="189"/>
      <c r="N709" s="757"/>
      <c r="O709" s="496"/>
      <c r="P709" s="496"/>
      <c r="Q709" s="571"/>
      <c r="R709" s="571"/>
      <c r="S709" s="571"/>
      <c r="T709" s="571"/>
      <c r="U709" s="571"/>
      <c r="V709" s="571"/>
      <c r="W709" s="571"/>
      <c r="X709" s="571"/>
      <c r="Y709" s="571"/>
      <c r="Z709" s="571"/>
    </row>
    <row r="710" spans="1:26" ht="18.75" hidden="1">
      <c r="A710" s="735"/>
      <c r="B710" s="754"/>
      <c r="C710" s="754"/>
      <c r="D710" s="754"/>
      <c r="E710" s="754"/>
      <c r="F710" s="754"/>
      <c r="G710" s="189"/>
      <c r="H710" s="755" t="s">
        <v>46</v>
      </c>
      <c r="I710" s="756"/>
      <c r="J710" s="214">
        <v>0</v>
      </c>
      <c r="K710" s="496"/>
      <c r="L710" s="757"/>
      <c r="M710" s="189"/>
      <c r="N710" s="757"/>
      <c r="O710" s="496"/>
      <c r="P710" s="496"/>
      <c r="Q710" s="571"/>
      <c r="R710" s="571"/>
      <c r="S710" s="571"/>
      <c r="T710" s="571"/>
      <c r="U710" s="571"/>
      <c r="V710" s="571"/>
      <c r="W710" s="571"/>
      <c r="X710" s="571"/>
      <c r="Y710" s="571"/>
      <c r="Z710" s="571"/>
    </row>
    <row r="711" spans="1:26" ht="18.75" hidden="1">
      <c r="A711" s="735"/>
      <c r="B711" s="754"/>
      <c r="C711" s="754"/>
      <c r="D711" s="754"/>
      <c r="E711" s="754" t="s">
        <v>301</v>
      </c>
      <c r="F711" s="754"/>
      <c r="G711" s="189"/>
      <c r="H711" s="753"/>
      <c r="I711" s="756"/>
      <c r="J711" s="269"/>
      <c r="K711" s="496"/>
      <c r="L711" s="757"/>
      <c r="M711" s="189"/>
      <c r="N711" s="757"/>
      <c r="O711" s="496"/>
      <c r="P711" s="496"/>
      <c r="Q711" s="571"/>
      <c r="R711" s="571"/>
      <c r="S711" s="571"/>
      <c r="T711" s="571"/>
      <c r="U711" s="571"/>
      <c r="V711" s="571"/>
      <c r="W711" s="571"/>
      <c r="X711" s="571"/>
      <c r="Y711" s="571"/>
      <c r="Z711" s="571"/>
    </row>
    <row r="712" spans="1:26" ht="18.75" hidden="1">
      <c r="A712" s="735"/>
      <c r="B712" s="754"/>
      <c r="C712" s="754"/>
      <c r="D712" s="754"/>
      <c r="E712" s="754"/>
      <c r="F712" s="754" t="s">
        <v>302</v>
      </c>
      <c r="G712" s="189"/>
      <c r="H712" s="755" t="s">
        <v>35</v>
      </c>
      <c r="I712" s="756"/>
      <c r="J712" s="214">
        <v>0</v>
      </c>
      <c r="K712" s="496"/>
      <c r="L712" s="757"/>
      <c r="M712" s="189"/>
      <c r="N712" s="757"/>
      <c r="O712" s="496"/>
      <c r="P712" s="496"/>
      <c r="Q712" s="571"/>
      <c r="R712" s="571"/>
      <c r="S712" s="571"/>
      <c r="T712" s="571"/>
      <c r="U712" s="571"/>
      <c r="V712" s="571"/>
      <c r="W712" s="571"/>
      <c r="X712" s="571"/>
      <c r="Y712" s="571"/>
      <c r="Z712" s="571"/>
    </row>
    <row r="713" spans="1:26" ht="18.75" hidden="1">
      <c r="A713" s="735"/>
      <c r="B713" s="754"/>
      <c r="C713" s="754"/>
      <c r="D713" s="754"/>
      <c r="E713" s="754"/>
      <c r="F713" s="754"/>
      <c r="G713" s="189"/>
      <c r="H713" s="755" t="s">
        <v>34</v>
      </c>
      <c r="I713" s="756"/>
      <c r="J713" s="214">
        <v>0</v>
      </c>
      <c r="K713" s="496"/>
      <c r="L713" s="757"/>
      <c r="M713" s="189"/>
      <c r="N713" s="757"/>
      <c r="O713" s="496"/>
      <c r="P713" s="496"/>
      <c r="Q713" s="571"/>
      <c r="R713" s="571"/>
      <c r="S713" s="571"/>
      <c r="T713" s="571"/>
      <c r="U713" s="571"/>
      <c r="V713" s="571"/>
      <c r="W713" s="571"/>
      <c r="X713" s="571"/>
      <c r="Y713" s="571"/>
      <c r="Z713" s="571"/>
    </row>
    <row r="714" spans="1:26" ht="18.75" hidden="1">
      <c r="A714" s="735"/>
      <c r="B714" s="754"/>
      <c r="C714" s="754"/>
      <c r="D714" s="754"/>
      <c r="E714" s="754"/>
      <c r="F714" s="754"/>
      <c r="G714" s="189"/>
      <c r="H714" s="755" t="s">
        <v>46</v>
      </c>
      <c r="I714" s="756"/>
      <c r="J714" s="214">
        <v>0</v>
      </c>
      <c r="K714" s="496"/>
      <c r="L714" s="757"/>
      <c r="M714" s="189"/>
      <c r="N714" s="757"/>
      <c r="O714" s="496"/>
      <c r="P714" s="496"/>
      <c r="Q714" s="571"/>
      <c r="R714" s="571"/>
      <c r="S714" s="571"/>
      <c r="T714" s="571"/>
      <c r="U714" s="571"/>
      <c r="V714" s="571"/>
      <c r="W714" s="571"/>
      <c r="X714" s="571"/>
      <c r="Y714" s="571"/>
      <c r="Z714" s="571"/>
    </row>
    <row r="715" spans="1:26" ht="18.75" hidden="1">
      <c r="A715" s="735"/>
      <c r="B715" s="754"/>
      <c r="C715" s="754"/>
      <c r="D715" s="754"/>
      <c r="E715" s="754"/>
      <c r="F715" s="754" t="s">
        <v>303</v>
      </c>
      <c r="G715" s="189"/>
      <c r="H715" s="755" t="s">
        <v>35</v>
      </c>
      <c r="I715" s="756"/>
      <c r="J715" s="214">
        <v>0</v>
      </c>
      <c r="K715" s="496"/>
      <c r="L715" s="757"/>
      <c r="M715" s="189"/>
      <c r="N715" s="757"/>
      <c r="O715" s="496"/>
      <c r="P715" s="496"/>
      <c r="Q715" s="571"/>
      <c r="R715" s="571"/>
      <c r="S715" s="571"/>
      <c r="T715" s="571"/>
      <c r="U715" s="571"/>
      <c r="V715" s="571"/>
      <c r="W715" s="571"/>
      <c r="X715" s="571"/>
      <c r="Y715" s="571"/>
      <c r="Z715" s="571"/>
    </row>
    <row r="716" spans="1:26" ht="18.75" hidden="1">
      <c r="A716" s="735"/>
      <c r="B716" s="754"/>
      <c r="C716" s="754"/>
      <c r="D716" s="754"/>
      <c r="E716" s="754"/>
      <c r="F716" s="754"/>
      <c r="G716" s="189"/>
      <c r="H716" s="755" t="s">
        <v>34</v>
      </c>
      <c r="I716" s="756"/>
      <c r="J716" s="214">
        <v>0</v>
      </c>
      <c r="K716" s="496"/>
      <c r="L716" s="757"/>
      <c r="M716" s="189"/>
      <c r="N716" s="757"/>
      <c r="O716" s="496"/>
      <c r="P716" s="496"/>
      <c r="Q716" s="571"/>
      <c r="R716" s="571"/>
      <c r="S716" s="571"/>
      <c r="T716" s="571"/>
      <c r="U716" s="571"/>
      <c r="V716" s="571"/>
      <c r="W716" s="571"/>
      <c r="X716" s="571"/>
      <c r="Y716" s="571"/>
      <c r="Z716" s="571"/>
    </row>
    <row r="717" spans="1:26" ht="18.75" hidden="1">
      <c r="A717" s="735"/>
      <c r="B717" s="754"/>
      <c r="C717" s="754"/>
      <c r="D717" s="754"/>
      <c r="E717" s="754"/>
      <c r="F717" s="754"/>
      <c r="G717" s="189"/>
      <c r="H717" s="755" t="s">
        <v>46</v>
      </c>
      <c r="I717" s="756"/>
      <c r="J717" s="214">
        <v>0</v>
      </c>
      <c r="K717" s="496"/>
      <c r="L717" s="757"/>
      <c r="M717" s="189"/>
      <c r="N717" s="757"/>
      <c r="O717" s="496"/>
      <c r="P717" s="496"/>
      <c r="Q717" s="571"/>
      <c r="R717" s="571"/>
      <c r="S717" s="571"/>
      <c r="T717" s="571"/>
      <c r="U717" s="571"/>
      <c r="V717" s="571"/>
      <c r="W717" s="571"/>
      <c r="X717" s="571"/>
      <c r="Y717" s="571"/>
      <c r="Z717" s="571"/>
    </row>
    <row r="718" spans="1:26" ht="18.75" hidden="1">
      <c r="A718" s="735"/>
      <c r="B718" s="754"/>
      <c r="C718" s="754"/>
      <c r="D718" s="754" t="s">
        <v>304</v>
      </c>
      <c r="E718" s="754"/>
      <c r="F718" s="754"/>
      <c r="G718" s="189"/>
      <c r="H718" s="755" t="s">
        <v>35</v>
      </c>
      <c r="I718" s="756"/>
      <c r="J718" s="269">
        <f ca="1">IFERROR(__xludf.DUMMYFUNCTION("IMPORTRANGE(""https://docs.google.com/spreadsheets/d/1XWAQStnk-4SwqDmLtmXYiTMKHgktTP8We1SCoS47DrQ/edit?usp=sharing"",""จัดที่ดิน!BF62"")"),0)</f>
        <v>0</v>
      </c>
      <c r="K718" s="496"/>
      <c r="L718" s="496"/>
      <c r="M718" s="189"/>
      <c r="N718" s="757"/>
      <c r="O718" s="496"/>
      <c r="P718" s="496"/>
      <c r="Q718" s="571"/>
      <c r="R718" s="571"/>
      <c r="S718" s="571"/>
      <c r="T718" s="571"/>
      <c r="U718" s="571"/>
      <c r="V718" s="571"/>
      <c r="W718" s="571"/>
      <c r="X718" s="571"/>
      <c r="Y718" s="571"/>
      <c r="Z718" s="571"/>
    </row>
    <row r="719" spans="1:26" ht="18.75" hidden="1">
      <c r="A719" s="735"/>
      <c r="B719" s="754"/>
      <c r="C719" s="754"/>
      <c r="D719" s="754"/>
      <c r="E719" s="754"/>
      <c r="F719" s="754"/>
      <c r="G719" s="189"/>
      <c r="H719" s="755" t="s">
        <v>34</v>
      </c>
      <c r="I719" s="756"/>
      <c r="J719" s="269">
        <f ca="1">IFERROR(__xludf.DUMMYFUNCTION("IMPORTRANGE(""https://docs.google.com/spreadsheets/d/1XWAQStnk-4SwqDmLtmXYiTMKHgktTP8We1SCoS47DrQ/edit?usp=sharing"",""จัดที่ดิน!BG62"")"),0)</f>
        <v>0</v>
      </c>
      <c r="K719" s="496"/>
      <c r="L719" s="757"/>
      <c r="M719" s="189"/>
      <c r="N719" s="757"/>
      <c r="O719" s="496"/>
      <c r="P719" s="496"/>
      <c r="Q719" s="571"/>
      <c r="R719" s="571"/>
      <c r="S719" s="571"/>
      <c r="T719" s="571"/>
      <c r="U719" s="571"/>
      <c r="V719" s="571"/>
      <c r="W719" s="571"/>
      <c r="X719" s="571"/>
      <c r="Y719" s="571"/>
      <c r="Z719" s="571"/>
    </row>
    <row r="720" spans="1:26" ht="18.75" hidden="1">
      <c r="A720" s="735"/>
      <c r="B720" s="754"/>
      <c r="C720" s="754"/>
      <c r="D720" s="754"/>
      <c r="E720" s="754"/>
      <c r="F720" s="754"/>
      <c r="G720" s="189"/>
      <c r="H720" s="755" t="s">
        <v>46</v>
      </c>
      <c r="I720" s="756">
        <f ca="1">IFERROR(__xludf.DUMMYFUNCTION("IMPORTRANGE(""https://docs.google.com/spreadsheets/d/1QqKyyYR6Q21VydFLVH3TRQUabQu_ym0Zz7PgGX0-kHA/edit?usp=sharing"",""แผน!II62"")"),0)</f>
        <v>0</v>
      </c>
      <c r="J720" s="269">
        <f ca="1">IFERROR(__xludf.DUMMYFUNCTION("IMPORTRANGE(""https://docs.google.com/spreadsheets/d/1XWAQStnk-4SwqDmLtmXYiTMKHgktTP8We1SCoS47DrQ/edit?usp=sharing"",""จัดที่ดิน!BH62"")"),0)</f>
        <v>0</v>
      </c>
      <c r="K720" s="496">
        <f t="shared" ref="K720:K723" ca="1" si="291">IF(I720&gt;0,J720*100/I720,0)</f>
        <v>0</v>
      </c>
      <c r="L720" s="757"/>
      <c r="M720" s="189"/>
      <c r="N720" s="757"/>
      <c r="O720" s="496"/>
      <c r="P720" s="496"/>
      <c r="Q720" s="571"/>
      <c r="R720" s="571"/>
      <c r="S720" s="571"/>
      <c r="T720" s="571"/>
      <c r="U720" s="571"/>
      <c r="V720" s="571"/>
      <c r="W720" s="571"/>
      <c r="X720" s="571"/>
      <c r="Y720" s="571"/>
      <c r="Z720" s="571"/>
    </row>
    <row r="721" spans="1:26" ht="19.5" hidden="1">
      <c r="A721" s="735"/>
      <c r="B721" s="754"/>
      <c r="C721" s="754"/>
      <c r="D721" s="754" t="s">
        <v>305</v>
      </c>
      <c r="E721" s="754"/>
      <c r="F721" s="754"/>
      <c r="G721" s="189"/>
      <c r="H721" s="758" t="s">
        <v>35</v>
      </c>
      <c r="I721" s="759">
        <f ca="1">IFERROR(__xludf.DUMMYFUNCTION("IMPORTRANGE(""https://docs.google.com/spreadsheets/d/1QqKyyYR6Q21VydFLVH3TRQUabQu_ym0Zz7PgGX0-kHA/edit?usp=sharing"",""แผน!IJ62"")"),0)</f>
        <v>0</v>
      </c>
      <c r="J721" s="674">
        <f ca="1">J723+J726</f>
        <v>0</v>
      </c>
      <c r="K721" s="195">
        <f t="shared" ca="1" si="291"/>
        <v>0</v>
      </c>
      <c r="L721" s="757"/>
      <c r="M721" s="189"/>
      <c r="N721" s="757"/>
      <c r="O721" s="496"/>
      <c r="P721" s="496"/>
      <c r="Q721" s="571"/>
      <c r="R721" s="571"/>
      <c r="S721" s="571"/>
      <c r="T721" s="571"/>
      <c r="U721" s="571"/>
      <c r="V721" s="571"/>
      <c r="W721" s="571"/>
      <c r="X721" s="571"/>
      <c r="Y721" s="571"/>
      <c r="Z721" s="571"/>
    </row>
    <row r="722" spans="1:26" ht="19.5" hidden="1">
      <c r="A722" s="735"/>
      <c r="B722" s="754"/>
      <c r="C722" s="754"/>
      <c r="D722" s="754"/>
      <c r="E722" s="754"/>
      <c r="F722" s="754"/>
      <c r="G722" s="189"/>
      <c r="H722" s="758" t="s">
        <v>46</v>
      </c>
      <c r="I722" s="759">
        <f ca="1">IFERROR(__xludf.DUMMYFUNCTION("IMPORTRANGE(""https://docs.google.com/spreadsheets/d/1QqKyyYR6Q21VydFLVH3TRQUabQu_ym0Zz7PgGX0-kHA/edit?usp=sharing"",""แผน!IK62"")"),0)</f>
        <v>0</v>
      </c>
      <c r="J722" s="674">
        <f ca="1">J725+J728</f>
        <v>0</v>
      </c>
      <c r="K722" s="195">
        <f t="shared" ca="1" si="291"/>
        <v>0</v>
      </c>
      <c r="L722" s="496"/>
      <c r="M722" s="189"/>
      <c r="N722" s="757"/>
      <c r="O722" s="496"/>
      <c r="P722" s="496"/>
      <c r="Q722" s="571"/>
      <c r="R722" s="571"/>
      <c r="S722" s="571"/>
      <c r="T722" s="571"/>
      <c r="U722" s="571"/>
      <c r="V722" s="571"/>
      <c r="W722" s="571"/>
      <c r="X722" s="571"/>
      <c r="Y722" s="571"/>
      <c r="Z722" s="571"/>
    </row>
    <row r="723" spans="1:26" ht="18.75" hidden="1">
      <c r="A723" s="735"/>
      <c r="B723" s="754"/>
      <c r="C723" s="754"/>
      <c r="D723" s="754"/>
      <c r="E723" s="754" t="s">
        <v>306</v>
      </c>
      <c r="F723" s="754"/>
      <c r="G723" s="189"/>
      <c r="H723" s="755" t="s">
        <v>35</v>
      </c>
      <c r="I723" s="756">
        <f ca="1">IFERROR(__xludf.DUMMYFUNCTION("IMPORTRANGE(""https://docs.google.com/spreadsheets/d/1QqKyyYR6Q21VydFLVH3TRQUabQu_ym0Zz7PgGX0-kHA/edit?usp=sharing"",""แผน!IL62"")"),0)</f>
        <v>0</v>
      </c>
      <c r="J723" s="269">
        <f ca="1">IFERROR(__xludf.DUMMYFUNCTION("IMPORTRANGE(""https://docs.google.com/spreadsheets/d/1XWAQStnk-4SwqDmLtmXYiTMKHgktTP8We1SCoS47DrQ/edit?usp=sharing"",""จัดที่ดิน!BM62"")"),0)</f>
        <v>0</v>
      </c>
      <c r="K723" s="496">
        <f t="shared" ca="1" si="291"/>
        <v>0</v>
      </c>
      <c r="L723" s="496"/>
      <c r="M723" s="189"/>
      <c r="N723" s="757"/>
      <c r="O723" s="496"/>
      <c r="P723" s="496"/>
      <c r="Q723" s="571"/>
      <c r="R723" s="571"/>
      <c r="S723" s="571"/>
      <c r="T723" s="571"/>
      <c r="U723" s="571"/>
      <c r="V723" s="571"/>
      <c r="W723" s="571"/>
      <c r="X723" s="571"/>
      <c r="Y723" s="571"/>
      <c r="Z723" s="571"/>
    </row>
    <row r="724" spans="1:26" ht="18.75" hidden="1">
      <c r="A724" s="735"/>
      <c r="B724" s="754"/>
      <c r="C724" s="754"/>
      <c r="D724" s="754"/>
      <c r="E724" s="754"/>
      <c r="F724" s="754"/>
      <c r="G724" s="189"/>
      <c r="H724" s="755" t="s">
        <v>34</v>
      </c>
      <c r="I724" s="756"/>
      <c r="J724" s="269">
        <f ca="1">IFERROR(__xludf.DUMMYFUNCTION("IMPORTRANGE(""https://docs.google.com/spreadsheets/d/1XWAQStnk-4SwqDmLtmXYiTMKHgktTP8We1SCoS47DrQ/edit?usp=sharing"",""จัดที่ดิน!BN62"")"),0)</f>
        <v>0</v>
      </c>
      <c r="K724" s="496"/>
      <c r="L724" s="757"/>
      <c r="M724" s="189"/>
      <c r="N724" s="757"/>
      <c r="O724" s="496"/>
      <c r="P724" s="496"/>
      <c r="Q724" s="571"/>
      <c r="R724" s="571"/>
      <c r="S724" s="571"/>
      <c r="T724" s="571"/>
      <c r="U724" s="571"/>
      <c r="V724" s="571"/>
      <c r="W724" s="571"/>
      <c r="X724" s="571"/>
      <c r="Y724" s="571"/>
      <c r="Z724" s="571"/>
    </row>
    <row r="725" spans="1:26" ht="18.75" hidden="1">
      <c r="A725" s="735"/>
      <c r="B725" s="754"/>
      <c r="C725" s="754"/>
      <c r="D725" s="754"/>
      <c r="E725" s="754"/>
      <c r="F725" s="754"/>
      <c r="G725" s="189"/>
      <c r="H725" s="755" t="s">
        <v>46</v>
      </c>
      <c r="I725" s="756">
        <f ca="1">IFERROR(__xludf.DUMMYFUNCTION("IMPORTRANGE(""https://docs.google.com/spreadsheets/d/1QqKyyYR6Q21VydFLVH3TRQUabQu_ym0Zz7PgGX0-kHA/edit?usp=sharing"",""แผน!IM62"")"),0)</f>
        <v>0</v>
      </c>
      <c r="J725" s="269">
        <f ca="1">IFERROR(__xludf.DUMMYFUNCTION("IMPORTRANGE(""https://docs.google.com/spreadsheets/d/1XWAQStnk-4SwqDmLtmXYiTMKHgktTP8We1SCoS47DrQ/edit?usp=sharing"",""จัดที่ดิน!BO62"")"),0)</f>
        <v>0</v>
      </c>
      <c r="K725" s="496">
        <f t="shared" ref="K725:K726" ca="1" si="292">IF(I725&gt;0,J725*100/I725,0)</f>
        <v>0</v>
      </c>
      <c r="L725" s="757"/>
      <c r="M725" s="189"/>
      <c r="N725" s="757"/>
      <c r="O725" s="496"/>
      <c r="P725" s="496"/>
      <c r="Q725" s="571"/>
      <c r="R725" s="571"/>
      <c r="S725" s="571"/>
      <c r="T725" s="571"/>
      <c r="U725" s="571"/>
      <c r="V725" s="571"/>
      <c r="W725" s="571"/>
      <c r="X725" s="571"/>
      <c r="Y725" s="571"/>
      <c r="Z725" s="571"/>
    </row>
    <row r="726" spans="1:26" ht="18.75" hidden="1">
      <c r="A726" s="735"/>
      <c r="B726" s="754"/>
      <c r="C726" s="754"/>
      <c r="D726" s="754"/>
      <c r="E726" s="754" t="s">
        <v>307</v>
      </c>
      <c r="F726" s="754"/>
      <c r="G726" s="189"/>
      <c r="H726" s="755" t="s">
        <v>35</v>
      </c>
      <c r="I726" s="756">
        <f ca="1">IFERROR(__xludf.DUMMYFUNCTION("IMPORTRANGE(""https://docs.google.com/spreadsheets/d/1QqKyyYR6Q21VydFLVH3TRQUabQu_ym0Zz7PgGX0-kHA/edit?usp=sharing"",""แผน!IN62"")"),0)</f>
        <v>0</v>
      </c>
      <c r="J726" s="269">
        <f ca="1">IFERROR(__xludf.DUMMYFUNCTION("IMPORTRANGE(""https://docs.google.com/spreadsheets/d/1XWAQStnk-4SwqDmLtmXYiTMKHgktTP8We1SCoS47DrQ/edit?usp=sharing"",""จัดที่ดิน!BR62"")"),0)</f>
        <v>0</v>
      </c>
      <c r="K726" s="496">
        <f t="shared" ca="1" si="292"/>
        <v>0</v>
      </c>
      <c r="L726" s="496"/>
      <c r="M726" s="189"/>
      <c r="N726" s="757"/>
      <c r="O726" s="496"/>
      <c r="P726" s="496"/>
      <c r="Q726" s="571"/>
      <c r="R726" s="571"/>
      <c r="S726" s="571"/>
      <c r="T726" s="571"/>
      <c r="U726" s="571"/>
      <c r="V726" s="571"/>
      <c r="W726" s="571"/>
      <c r="X726" s="571"/>
      <c r="Y726" s="571"/>
      <c r="Z726" s="571"/>
    </row>
    <row r="727" spans="1:26" ht="18.75" hidden="1">
      <c r="A727" s="735"/>
      <c r="B727" s="754"/>
      <c r="C727" s="754"/>
      <c r="D727" s="754"/>
      <c r="E727" s="754"/>
      <c r="F727" s="754"/>
      <c r="G727" s="189"/>
      <c r="H727" s="755" t="s">
        <v>34</v>
      </c>
      <c r="I727" s="756"/>
      <c r="J727" s="269">
        <f ca="1">IFERROR(__xludf.DUMMYFUNCTION("IMPORTRANGE(""https://docs.google.com/spreadsheets/d/1XWAQStnk-4SwqDmLtmXYiTMKHgktTP8We1SCoS47DrQ/edit?usp=sharing"",""จัดที่ดิน!BS62"")"),0)</f>
        <v>0</v>
      </c>
      <c r="K727" s="496"/>
      <c r="L727" s="757"/>
      <c r="M727" s="189"/>
      <c r="N727" s="757"/>
      <c r="O727" s="496"/>
      <c r="P727" s="496"/>
      <c r="Q727" s="571"/>
      <c r="R727" s="571"/>
      <c r="S727" s="571"/>
      <c r="T727" s="571"/>
      <c r="U727" s="571"/>
      <c r="V727" s="571"/>
      <c r="W727" s="571"/>
      <c r="X727" s="571"/>
      <c r="Y727" s="571"/>
      <c r="Z727" s="571"/>
    </row>
    <row r="728" spans="1:26" ht="18.75" hidden="1">
      <c r="A728" s="735"/>
      <c r="B728" s="754"/>
      <c r="C728" s="754"/>
      <c r="D728" s="754"/>
      <c r="E728" s="754"/>
      <c r="F728" s="754"/>
      <c r="G728" s="189"/>
      <c r="H728" s="755" t="s">
        <v>46</v>
      </c>
      <c r="I728" s="756">
        <f ca="1">IFERROR(__xludf.DUMMYFUNCTION("IMPORTRANGE(""https://docs.google.com/spreadsheets/d/1QqKyyYR6Q21VydFLVH3TRQUabQu_ym0Zz7PgGX0-kHA/edit?usp=sharing"",""แผน!IO62"")"),0)</f>
        <v>0</v>
      </c>
      <c r="J728" s="269">
        <f ca="1">IFERROR(__xludf.DUMMYFUNCTION("IMPORTRANGE(""https://docs.google.com/spreadsheets/d/1XWAQStnk-4SwqDmLtmXYiTMKHgktTP8We1SCoS47DrQ/edit?usp=sharing"",""จัดที่ดิน!BT62"")"),0)</f>
        <v>0</v>
      </c>
      <c r="K728" s="496">
        <f t="shared" ref="K728:K729" ca="1" si="293">IF(I728&gt;0,J728*100/I728,0)</f>
        <v>0</v>
      </c>
      <c r="L728" s="757"/>
      <c r="M728" s="189"/>
      <c r="N728" s="757"/>
      <c r="O728" s="496"/>
      <c r="P728" s="496"/>
      <c r="Q728" s="571"/>
      <c r="R728" s="571"/>
      <c r="S728" s="571"/>
      <c r="T728" s="571"/>
      <c r="U728" s="571"/>
      <c r="V728" s="571"/>
      <c r="W728" s="571"/>
      <c r="X728" s="571"/>
      <c r="Y728" s="571"/>
      <c r="Z728" s="571"/>
    </row>
    <row r="729" spans="1:26" ht="19.5" hidden="1">
      <c r="A729" s="735"/>
      <c r="B729" s="754"/>
      <c r="C729" s="754"/>
      <c r="D729" s="754" t="s">
        <v>308</v>
      </c>
      <c r="E729" s="754"/>
      <c r="F729" s="754"/>
      <c r="G729" s="189"/>
      <c r="H729" s="758" t="s">
        <v>46</v>
      </c>
      <c r="I729" s="759">
        <f ca="1">IFERROR(__xludf.DUMMYFUNCTION("IMPORTRANGE(""https://docs.google.com/spreadsheets/d/1QqKyyYR6Q21VydFLVH3TRQUabQu_ym0Zz7PgGX0-kHA/edit?usp=sharing"",""แผน!IP62"")"),0)</f>
        <v>0</v>
      </c>
      <c r="J729" s="674">
        <f>J732+J735</f>
        <v>0</v>
      </c>
      <c r="K729" s="195">
        <f t="shared" ca="1" si="293"/>
        <v>0</v>
      </c>
      <c r="L729" s="496"/>
      <c r="M729" s="189"/>
      <c r="N729" s="757"/>
      <c r="O729" s="496"/>
      <c r="P729" s="496"/>
      <c r="Q729" s="571"/>
      <c r="R729" s="571"/>
      <c r="S729" s="571"/>
      <c r="T729" s="571"/>
      <c r="U729" s="571"/>
      <c r="V729" s="571"/>
      <c r="W729" s="571"/>
      <c r="X729" s="571"/>
      <c r="Y729" s="571"/>
      <c r="Z729" s="571"/>
    </row>
    <row r="730" spans="1:26" ht="18.75" hidden="1">
      <c r="A730" s="735"/>
      <c r="B730" s="754"/>
      <c r="C730" s="754"/>
      <c r="D730" s="754"/>
      <c r="E730" s="754" t="s">
        <v>309</v>
      </c>
      <c r="F730" s="754"/>
      <c r="G730" s="189"/>
      <c r="H730" s="755" t="s">
        <v>35</v>
      </c>
      <c r="I730" s="756"/>
      <c r="J730" s="214">
        <v>0</v>
      </c>
      <c r="K730" s="496"/>
      <c r="L730" s="757"/>
      <c r="M730" s="496"/>
      <c r="N730" s="757"/>
      <c r="O730" s="496"/>
      <c r="P730" s="496"/>
      <c r="Q730" s="571"/>
      <c r="R730" s="571"/>
      <c r="S730" s="571"/>
      <c r="T730" s="571"/>
      <c r="U730" s="571"/>
      <c r="V730" s="571"/>
      <c r="W730" s="571"/>
      <c r="X730" s="571"/>
      <c r="Y730" s="571"/>
      <c r="Z730" s="571"/>
    </row>
    <row r="731" spans="1:26" ht="18.75" hidden="1">
      <c r="A731" s="735"/>
      <c r="B731" s="754"/>
      <c r="C731" s="754"/>
      <c r="D731" s="754"/>
      <c r="E731" s="754"/>
      <c r="F731" s="754"/>
      <c r="G731" s="189"/>
      <c r="H731" s="755" t="s">
        <v>34</v>
      </c>
      <c r="I731" s="756"/>
      <c r="J731" s="214">
        <v>0</v>
      </c>
      <c r="K731" s="496"/>
      <c r="L731" s="757"/>
      <c r="M731" s="496"/>
      <c r="N731" s="757"/>
      <c r="O731" s="496"/>
      <c r="P731" s="496"/>
      <c r="Q731" s="571"/>
      <c r="R731" s="571"/>
      <c r="S731" s="571"/>
      <c r="T731" s="571"/>
      <c r="U731" s="571"/>
      <c r="V731" s="571"/>
      <c r="W731" s="571"/>
      <c r="X731" s="571"/>
      <c r="Y731" s="571"/>
      <c r="Z731" s="571"/>
    </row>
    <row r="732" spans="1:26" ht="18.75" hidden="1">
      <c r="A732" s="735"/>
      <c r="B732" s="754"/>
      <c r="C732" s="754"/>
      <c r="D732" s="754"/>
      <c r="E732" s="754"/>
      <c r="F732" s="754"/>
      <c r="G732" s="189"/>
      <c r="H732" s="755" t="s">
        <v>46</v>
      </c>
      <c r="I732" s="756"/>
      <c r="J732" s="214">
        <v>0</v>
      </c>
      <c r="K732" s="496"/>
      <c r="L732" s="757"/>
      <c r="M732" s="496"/>
      <c r="N732" s="757"/>
      <c r="O732" s="496"/>
      <c r="P732" s="496"/>
      <c r="Q732" s="571"/>
      <c r="R732" s="571"/>
      <c r="S732" s="571"/>
      <c r="T732" s="571"/>
      <c r="U732" s="571"/>
      <c r="V732" s="571"/>
      <c r="W732" s="571"/>
      <c r="X732" s="571"/>
      <c r="Y732" s="571"/>
      <c r="Z732" s="571"/>
    </row>
    <row r="733" spans="1:26" ht="18.75" hidden="1">
      <c r="A733" s="735"/>
      <c r="B733" s="754"/>
      <c r="C733" s="754"/>
      <c r="D733" s="754"/>
      <c r="E733" s="754" t="s">
        <v>310</v>
      </c>
      <c r="F733" s="754"/>
      <c r="G733" s="189"/>
      <c r="H733" s="755" t="s">
        <v>35</v>
      </c>
      <c r="I733" s="756"/>
      <c r="J733" s="214">
        <v>0</v>
      </c>
      <c r="K733" s="496"/>
      <c r="L733" s="757"/>
      <c r="M733" s="496"/>
      <c r="N733" s="757"/>
      <c r="O733" s="496"/>
      <c r="P733" s="496"/>
      <c r="Q733" s="571"/>
      <c r="R733" s="571"/>
      <c r="S733" s="571"/>
      <c r="T733" s="571"/>
      <c r="U733" s="571"/>
      <c r="V733" s="571"/>
      <c r="W733" s="571"/>
      <c r="X733" s="571"/>
      <c r="Y733" s="571"/>
      <c r="Z733" s="571"/>
    </row>
    <row r="734" spans="1:26" ht="18.75" hidden="1">
      <c r="A734" s="735"/>
      <c r="B734" s="754"/>
      <c r="C734" s="754"/>
      <c r="D734" s="754"/>
      <c r="E734" s="754"/>
      <c r="F734" s="754"/>
      <c r="G734" s="189"/>
      <c r="H734" s="755" t="s">
        <v>34</v>
      </c>
      <c r="I734" s="756"/>
      <c r="J734" s="214">
        <v>0</v>
      </c>
      <c r="K734" s="496"/>
      <c r="L734" s="757"/>
      <c r="M734" s="496"/>
      <c r="N734" s="757"/>
      <c r="O734" s="496"/>
      <c r="P734" s="496"/>
      <c r="Q734" s="571"/>
      <c r="R734" s="571"/>
      <c r="S734" s="571"/>
      <c r="T734" s="571"/>
      <c r="U734" s="571"/>
      <c r="V734" s="571"/>
      <c r="W734" s="571"/>
      <c r="X734" s="571"/>
      <c r="Y734" s="571"/>
      <c r="Z734" s="571"/>
    </row>
    <row r="735" spans="1:26" ht="19.5" hidden="1">
      <c r="A735" s="761"/>
      <c r="B735" s="762" t="s">
        <v>311</v>
      </c>
      <c r="C735" s="725"/>
      <c r="D735" s="725"/>
      <c r="E735" s="725"/>
      <c r="F735" s="725"/>
      <c r="G735" s="726"/>
      <c r="H735" s="421" t="s">
        <v>46</v>
      </c>
      <c r="I735" s="763"/>
      <c r="J735" s="423">
        <v>0</v>
      </c>
      <c r="K735" s="500"/>
      <c r="L735" s="764"/>
      <c r="M735" s="500"/>
      <c r="N735" s="764"/>
      <c r="O735" s="500"/>
      <c r="P735" s="500"/>
      <c r="Q735" s="571"/>
      <c r="R735" s="571"/>
      <c r="S735" s="571"/>
      <c r="T735" s="571"/>
      <c r="U735" s="571"/>
      <c r="V735" s="571"/>
      <c r="W735" s="571"/>
      <c r="X735" s="571"/>
      <c r="Y735" s="571"/>
      <c r="Z735" s="571"/>
    </row>
    <row r="736" spans="1:26" ht="19.5" hidden="1">
      <c r="A736" s="765">
        <v>9</v>
      </c>
      <c r="B736" s="766" t="s">
        <v>312</v>
      </c>
      <c r="C736" s="767"/>
      <c r="D736" s="767"/>
      <c r="E736" s="767"/>
      <c r="F736" s="767"/>
      <c r="G736" s="768"/>
      <c r="H736" s="769" t="s">
        <v>46</v>
      </c>
      <c r="I736" s="770"/>
      <c r="J736" s="770">
        <f>J751</f>
        <v>0</v>
      </c>
      <c r="K736" s="771">
        <f>IF(I736&gt;0,J736*100/I736,0)</f>
        <v>0</v>
      </c>
      <c r="L736" s="772"/>
      <c r="M736" s="772"/>
      <c r="N736" s="772"/>
      <c r="O736" s="772"/>
      <c r="P736" s="772"/>
      <c r="Q736" s="597"/>
      <c r="R736" s="597"/>
      <c r="S736" s="597"/>
      <c r="T736" s="597"/>
      <c r="U736" s="597"/>
      <c r="V736" s="597"/>
      <c r="W736" s="597"/>
      <c r="X736" s="597"/>
      <c r="Y736" s="597"/>
      <c r="Z736" s="597"/>
    </row>
    <row r="737" spans="1:26" ht="19.5" hidden="1">
      <c r="A737" s="592"/>
      <c r="B737" s="750"/>
      <c r="C737" s="750" t="s">
        <v>16</v>
      </c>
      <c r="D737" s="864" t="s">
        <v>17</v>
      </c>
      <c r="E737" s="857"/>
      <c r="F737" s="857"/>
      <c r="G737" s="596"/>
      <c r="H737" s="639" t="s">
        <v>12</v>
      </c>
      <c r="I737" s="610"/>
      <c r="J737" s="610"/>
      <c r="K737" s="93"/>
      <c r="L737" s="640">
        <f t="shared" ref="L737:N737" si="294">L738+L739</f>
        <v>0</v>
      </c>
      <c r="M737" s="640">
        <f t="shared" si="294"/>
        <v>0</v>
      </c>
      <c r="N737" s="640">
        <f t="shared" si="294"/>
        <v>0</v>
      </c>
      <c r="O737" s="640">
        <f t="shared" ref="O737:O742" si="295">IF(L737&gt;0,N737*100/L737,0)</f>
        <v>0</v>
      </c>
      <c r="P737" s="640">
        <f t="shared" ref="P737:P742" si="296">IF(M737&gt;0,N737*100/M737,0)</f>
        <v>0</v>
      </c>
      <c r="Q737" s="597"/>
      <c r="R737" s="597"/>
      <c r="S737" s="597"/>
      <c r="T737" s="597"/>
      <c r="U737" s="597"/>
      <c r="V737" s="597"/>
      <c r="W737" s="597"/>
      <c r="X737" s="597"/>
      <c r="Y737" s="597"/>
      <c r="Z737" s="597"/>
    </row>
    <row r="738" spans="1:26" ht="18.75" hidden="1">
      <c r="A738" s="592"/>
      <c r="B738" s="750"/>
      <c r="C738" s="750"/>
      <c r="D738" s="711"/>
      <c r="E738" s="750" t="s">
        <v>184</v>
      </c>
      <c r="F738" s="750"/>
      <c r="G738" s="596"/>
      <c r="H738" s="165" t="s">
        <v>12</v>
      </c>
      <c r="I738" s="610"/>
      <c r="J738" s="610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597"/>
      <c r="R738" s="597"/>
      <c r="S738" s="597"/>
      <c r="T738" s="597"/>
      <c r="U738" s="597"/>
      <c r="V738" s="597"/>
      <c r="W738" s="597"/>
      <c r="X738" s="597"/>
      <c r="Y738" s="597"/>
      <c r="Z738" s="597"/>
    </row>
    <row r="739" spans="1:26" ht="18.75" hidden="1">
      <c r="A739" s="592"/>
      <c r="B739" s="600"/>
      <c r="C739" s="750"/>
      <c r="D739" s="711"/>
      <c r="E739" s="750" t="s">
        <v>185</v>
      </c>
      <c r="F739" s="750"/>
      <c r="G739" s="596"/>
      <c r="H739" s="165" t="s">
        <v>12</v>
      </c>
      <c r="I739" s="610"/>
      <c r="J739" s="610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597"/>
      <c r="R739" s="597"/>
      <c r="S739" s="597"/>
      <c r="T739" s="597"/>
      <c r="U739" s="597"/>
      <c r="V739" s="597"/>
      <c r="W739" s="597"/>
      <c r="X739" s="597"/>
      <c r="Y739" s="597"/>
      <c r="Z739" s="597"/>
    </row>
    <row r="740" spans="1:26" ht="19.5" hidden="1">
      <c r="A740" s="592"/>
      <c r="B740" s="600"/>
      <c r="C740" s="750"/>
      <c r="D740" s="638" t="s">
        <v>20</v>
      </c>
      <c r="E740" s="750"/>
      <c r="F740" s="750"/>
      <c r="G740" s="596"/>
      <c r="H740" s="639" t="s">
        <v>12</v>
      </c>
      <c r="I740" s="166"/>
      <c r="J740" s="166"/>
      <c r="K740" s="167"/>
      <c r="L740" s="640">
        <f t="shared" ref="L740:N740" si="298">L741+L742</f>
        <v>0</v>
      </c>
      <c r="M740" s="640">
        <f t="shared" si="298"/>
        <v>0</v>
      </c>
      <c r="N740" s="640">
        <f t="shared" si="298"/>
        <v>0</v>
      </c>
      <c r="O740" s="640">
        <f t="shared" si="295"/>
        <v>0</v>
      </c>
      <c r="P740" s="640">
        <f t="shared" si="296"/>
        <v>0</v>
      </c>
      <c r="Q740" s="597"/>
      <c r="R740" s="597"/>
      <c r="S740" s="597"/>
      <c r="T740" s="597"/>
      <c r="U740" s="597"/>
      <c r="V740" s="597"/>
      <c r="W740" s="597"/>
      <c r="X740" s="597"/>
      <c r="Y740" s="597"/>
      <c r="Z740" s="597"/>
    </row>
    <row r="741" spans="1:26" ht="18.75" hidden="1">
      <c r="A741" s="592"/>
      <c r="B741" s="600"/>
      <c r="C741" s="750"/>
      <c r="D741" s="711"/>
      <c r="E741" s="750" t="s">
        <v>184</v>
      </c>
      <c r="F741" s="750"/>
      <c r="G741" s="596"/>
      <c r="H741" s="165" t="s">
        <v>12</v>
      </c>
      <c r="I741" s="610"/>
      <c r="J741" s="610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597"/>
      <c r="R741" s="597"/>
      <c r="S741" s="597"/>
      <c r="T741" s="597"/>
      <c r="U741" s="597"/>
      <c r="V741" s="597"/>
      <c r="W741" s="597"/>
      <c r="X741" s="597"/>
      <c r="Y741" s="597"/>
      <c r="Z741" s="597"/>
    </row>
    <row r="742" spans="1:26" ht="18.75" hidden="1">
      <c r="A742" s="592"/>
      <c r="B742" s="600"/>
      <c r="C742" s="750"/>
      <c r="D742" s="711"/>
      <c r="E742" s="750" t="s">
        <v>185</v>
      </c>
      <c r="F742" s="750"/>
      <c r="G742" s="596"/>
      <c r="H742" s="165" t="s">
        <v>12</v>
      </c>
      <c r="I742" s="610"/>
      <c r="J742" s="610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597"/>
      <c r="R742" s="597"/>
      <c r="S742" s="597"/>
      <c r="T742" s="597"/>
      <c r="U742" s="597"/>
      <c r="V742" s="597"/>
      <c r="W742" s="597"/>
      <c r="X742" s="597"/>
      <c r="Y742" s="597"/>
      <c r="Z742" s="597"/>
    </row>
    <row r="743" spans="1:26" ht="18.75" hidden="1">
      <c r="A743" s="642"/>
      <c r="B743" s="600"/>
      <c r="C743" s="750"/>
      <c r="D743" s="750"/>
      <c r="E743" s="750"/>
      <c r="F743" s="750" t="s">
        <v>186</v>
      </c>
      <c r="G743" s="596"/>
      <c r="H743" s="165" t="s">
        <v>12</v>
      </c>
      <c r="I743" s="610"/>
      <c r="J743" s="610"/>
      <c r="K743" s="93"/>
      <c r="L743" s="93"/>
      <c r="M743" s="93"/>
      <c r="N743" s="93"/>
      <c r="O743" s="93"/>
      <c r="P743" s="93"/>
      <c r="Q743" s="597"/>
      <c r="R743" s="597"/>
      <c r="S743" s="597"/>
      <c r="T743" s="597"/>
      <c r="U743" s="597"/>
      <c r="V743" s="597"/>
      <c r="W743" s="597"/>
      <c r="X743" s="597"/>
      <c r="Y743" s="597"/>
      <c r="Z743" s="597"/>
    </row>
    <row r="744" spans="1:26" ht="18.75" hidden="1">
      <c r="A744" s="642"/>
      <c r="B744" s="600"/>
      <c r="C744" s="750"/>
      <c r="D744" s="750"/>
      <c r="E744" s="750"/>
      <c r="F744" s="750" t="s">
        <v>187</v>
      </c>
      <c r="G744" s="596"/>
      <c r="H744" s="165" t="s">
        <v>12</v>
      </c>
      <c r="I744" s="610"/>
      <c r="J744" s="610"/>
      <c r="K744" s="93"/>
      <c r="L744" s="93"/>
      <c r="M744" s="93"/>
      <c r="N744" s="93"/>
      <c r="O744" s="93"/>
      <c r="P744" s="93"/>
      <c r="Q744" s="597"/>
      <c r="R744" s="597"/>
      <c r="S744" s="597"/>
      <c r="T744" s="597"/>
      <c r="U744" s="597"/>
      <c r="V744" s="597"/>
      <c r="W744" s="597"/>
      <c r="X744" s="597"/>
      <c r="Y744" s="597"/>
      <c r="Z744" s="597"/>
    </row>
    <row r="745" spans="1:26" ht="18.75" hidden="1">
      <c r="A745" s="642"/>
      <c r="B745" s="600"/>
      <c r="C745" s="750"/>
      <c r="D745" s="750"/>
      <c r="E745" s="750"/>
      <c r="F745" s="750" t="s">
        <v>188</v>
      </c>
      <c r="G745" s="596"/>
      <c r="H745" s="165" t="s">
        <v>12</v>
      </c>
      <c r="I745" s="610"/>
      <c r="J745" s="610"/>
      <c r="K745" s="93"/>
      <c r="L745" s="93"/>
      <c r="M745" s="93"/>
      <c r="N745" s="93"/>
      <c r="O745" s="93"/>
      <c r="P745" s="93"/>
      <c r="Q745" s="597"/>
      <c r="R745" s="597"/>
      <c r="S745" s="597"/>
      <c r="T745" s="597"/>
      <c r="U745" s="597"/>
      <c r="V745" s="597"/>
      <c r="W745" s="597"/>
      <c r="X745" s="597"/>
      <c r="Y745" s="597"/>
      <c r="Z745" s="597"/>
    </row>
    <row r="746" spans="1:26" ht="18.75" hidden="1">
      <c r="A746" s="642"/>
      <c r="B746" s="600"/>
      <c r="C746" s="750"/>
      <c r="D746" s="750"/>
      <c r="E746" s="750"/>
      <c r="F746" s="750" t="s">
        <v>189</v>
      </c>
      <c r="G746" s="596"/>
      <c r="H746" s="165" t="s">
        <v>12</v>
      </c>
      <c r="I746" s="610"/>
      <c r="J746" s="610"/>
      <c r="K746" s="93"/>
      <c r="L746" s="93"/>
      <c r="M746" s="93"/>
      <c r="N746" s="93"/>
      <c r="O746" s="93"/>
      <c r="P746" s="93"/>
      <c r="Q746" s="597"/>
      <c r="R746" s="597"/>
      <c r="S746" s="597"/>
      <c r="T746" s="597"/>
      <c r="U746" s="597"/>
      <c r="V746" s="597"/>
      <c r="W746" s="597"/>
      <c r="X746" s="597"/>
      <c r="Y746" s="597"/>
      <c r="Z746" s="597"/>
    </row>
    <row r="747" spans="1:26" ht="19.5" hidden="1">
      <c r="A747" s="592"/>
      <c r="B747" s="600"/>
      <c r="C747" s="750"/>
      <c r="D747" s="638" t="s">
        <v>21</v>
      </c>
      <c r="E747" s="750"/>
      <c r="F747" s="750"/>
      <c r="G747" s="596"/>
      <c r="H747" s="774" t="s">
        <v>12</v>
      </c>
      <c r="I747" s="166"/>
      <c r="J747" s="166"/>
      <c r="K747" s="167"/>
      <c r="L747" s="640">
        <f t="shared" ref="L747:N747" si="299">L748+L749</f>
        <v>0</v>
      </c>
      <c r="M747" s="640">
        <f t="shared" si="299"/>
        <v>0</v>
      </c>
      <c r="N747" s="640">
        <f t="shared" si="299"/>
        <v>0</v>
      </c>
      <c r="O747" s="640">
        <f t="shared" ref="O747:O749" si="300">IF(L747&gt;0,N747*100/L747,0)</f>
        <v>0</v>
      </c>
      <c r="P747" s="640">
        <f t="shared" ref="P747:P749" si="301">IF(M747&gt;0,N747*100/M747,0)</f>
        <v>0</v>
      </c>
      <c r="Q747" s="597"/>
      <c r="R747" s="597"/>
      <c r="S747" s="597"/>
      <c r="T747" s="597"/>
      <c r="U747" s="597"/>
      <c r="V747" s="597"/>
      <c r="W747" s="597"/>
      <c r="X747" s="597"/>
      <c r="Y747" s="597"/>
      <c r="Z747" s="597"/>
    </row>
    <row r="748" spans="1:26" ht="18.75" hidden="1">
      <c r="A748" s="592"/>
      <c r="B748" s="600"/>
      <c r="C748" s="750"/>
      <c r="D748" s="750"/>
      <c r="E748" s="750" t="s">
        <v>18</v>
      </c>
      <c r="F748" s="750"/>
      <c r="G748" s="596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597"/>
      <c r="R748" s="597"/>
      <c r="S748" s="597"/>
      <c r="T748" s="597"/>
      <c r="U748" s="597"/>
      <c r="V748" s="597"/>
      <c r="W748" s="597"/>
      <c r="X748" s="597"/>
      <c r="Y748" s="597"/>
      <c r="Z748" s="597"/>
    </row>
    <row r="749" spans="1:26" ht="18.75" hidden="1">
      <c r="A749" s="592"/>
      <c r="B749" s="600"/>
      <c r="C749" s="750"/>
      <c r="D749" s="750"/>
      <c r="E749" s="750" t="s">
        <v>19</v>
      </c>
      <c r="F749" s="750"/>
      <c r="G749" s="596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597"/>
      <c r="R749" s="597"/>
      <c r="S749" s="597"/>
      <c r="T749" s="597"/>
      <c r="U749" s="597"/>
      <c r="V749" s="597"/>
      <c r="W749" s="597"/>
      <c r="X749" s="597"/>
      <c r="Y749" s="597"/>
      <c r="Z749" s="597"/>
    </row>
    <row r="750" spans="1:26" ht="19.5" hidden="1">
      <c r="A750" s="607"/>
      <c r="B750" s="609"/>
      <c r="C750" s="750" t="s">
        <v>16</v>
      </c>
      <c r="D750" s="841" t="s">
        <v>38</v>
      </c>
      <c r="E750" s="644"/>
      <c r="F750" s="644"/>
      <c r="G750" s="645"/>
      <c r="H750" s="365"/>
      <c r="I750" s="166"/>
      <c r="J750" s="166"/>
      <c r="K750" s="167"/>
      <c r="L750" s="167"/>
      <c r="M750" s="167"/>
      <c r="N750" s="167"/>
      <c r="O750" s="167"/>
      <c r="P750" s="167"/>
      <c r="Q750" s="597"/>
      <c r="R750" s="597"/>
      <c r="S750" s="597"/>
      <c r="T750" s="597"/>
      <c r="U750" s="597"/>
      <c r="V750" s="597"/>
      <c r="W750" s="597"/>
      <c r="X750" s="597"/>
      <c r="Y750" s="597"/>
      <c r="Z750" s="597"/>
    </row>
    <row r="751" spans="1:26" ht="18.75" hidden="1">
      <c r="A751" s="642"/>
      <c r="B751" s="600"/>
      <c r="C751" s="750"/>
      <c r="D751" s="750"/>
      <c r="E751" s="750" t="s">
        <v>313</v>
      </c>
      <c r="F751" s="750"/>
      <c r="G751" s="596"/>
      <c r="H751" s="165" t="s">
        <v>46</v>
      </c>
      <c r="I751" s="610"/>
      <c r="J751" s="610"/>
      <c r="K751" s="93"/>
      <c r="L751" s="93"/>
      <c r="M751" s="93"/>
      <c r="N751" s="93"/>
      <c r="O751" s="93"/>
      <c r="P751" s="93"/>
      <c r="Q751" s="597"/>
      <c r="R751" s="597"/>
      <c r="S751" s="597"/>
      <c r="T751" s="597"/>
      <c r="U751" s="597"/>
      <c r="V751" s="597"/>
      <c r="W751" s="597"/>
      <c r="X751" s="597"/>
      <c r="Y751" s="597"/>
      <c r="Z751" s="597"/>
    </row>
    <row r="752" spans="1:26" ht="18.75" hidden="1">
      <c r="A752" s="642"/>
      <c r="B752" s="600"/>
      <c r="C752" s="750"/>
      <c r="D752" s="750"/>
      <c r="E752" s="750"/>
      <c r="F752" s="750"/>
      <c r="G752" s="596"/>
      <c r="H752" s="165" t="s">
        <v>314</v>
      </c>
      <c r="I752" s="610"/>
      <c r="J752" s="610"/>
      <c r="K752" s="93"/>
      <c r="L752" s="93"/>
      <c r="M752" s="93"/>
      <c r="N752" s="93"/>
      <c r="O752" s="93"/>
      <c r="P752" s="93"/>
      <c r="Q752" s="597"/>
      <c r="R752" s="597"/>
      <c r="S752" s="597"/>
      <c r="T752" s="597"/>
      <c r="U752" s="597"/>
      <c r="V752" s="597"/>
      <c r="W752" s="597"/>
      <c r="X752" s="597"/>
      <c r="Y752" s="597"/>
      <c r="Z752" s="597"/>
    </row>
    <row r="753" spans="1:26" ht="19.5" hidden="1">
      <c r="A753" s="776">
        <v>10</v>
      </c>
      <c r="B753" s="777" t="s">
        <v>315</v>
      </c>
      <c r="C753" s="778"/>
      <c r="D753" s="778"/>
      <c r="E753" s="778"/>
      <c r="F753" s="778"/>
      <c r="G753" s="779"/>
      <c r="H753" s="780" t="s">
        <v>46</v>
      </c>
      <c r="I753" s="781"/>
      <c r="J753" s="781">
        <f>J768</f>
        <v>0</v>
      </c>
      <c r="K753" s="782">
        <f>IF(I753&gt;0,J753*100/I753,0)</f>
        <v>0</v>
      </c>
      <c r="L753" s="783"/>
      <c r="M753" s="783"/>
      <c r="N753" s="783"/>
      <c r="O753" s="783"/>
      <c r="P753" s="783"/>
      <c r="Q753" s="597"/>
      <c r="R753" s="597"/>
      <c r="S753" s="597"/>
      <c r="T753" s="597"/>
      <c r="U753" s="597"/>
      <c r="V753" s="597"/>
      <c r="W753" s="597"/>
      <c r="X753" s="597"/>
      <c r="Y753" s="597"/>
      <c r="Z753" s="597"/>
    </row>
    <row r="754" spans="1:26" ht="19.5" hidden="1">
      <c r="A754" s="592"/>
      <c r="B754" s="750"/>
      <c r="C754" s="750" t="s">
        <v>16</v>
      </c>
      <c r="D754" s="864" t="s">
        <v>17</v>
      </c>
      <c r="E754" s="857"/>
      <c r="F754" s="857"/>
      <c r="G754" s="596"/>
      <c r="H754" s="639" t="s">
        <v>12</v>
      </c>
      <c r="I754" s="610"/>
      <c r="J754" s="610"/>
      <c r="K754" s="93"/>
      <c r="L754" s="640">
        <f t="shared" ref="L754:N754" si="302">L755+L756</f>
        <v>0</v>
      </c>
      <c r="M754" s="640">
        <f t="shared" si="302"/>
        <v>0</v>
      </c>
      <c r="N754" s="640">
        <f t="shared" si="302"/>
        <v>0</v>
      </c>
      <c r="O754" s="640">
        <f t="shared" ref="O754:O759" si="303">IF(L754&gt;0,N754*100/L754,0)</f>
        <v>0</v>
      </c>
      <c r="P754" s="640">
        <f t="shared" ref="P754:P759" si="304">IF(M754&gt;0,N754*100/M754,0)</f>
        <v>0</v>
      </c>
      <c r="Q754" s="597"/>
      <c r="R754" s="597"/>
      <c r="S754" s="597"/>
      <c r="T754" s="597"/>
      <c r="U754" s="597"/>
      <c r="V754" s="597"/>
      <c r="W754" s="597"/>
      <c r="X754" s="597"/>
      <c r="Y754" s="597"/>
      <c r="Z754" s="597"/>
    </row>
    <row r="755" spans="1:26" ht="18.75" hidden="1">
      <c r="A755" s="592"/>
      <c r="B755" s="750"/>
      <c r="C755" s="750"/>
      <c r="D755" s="711"/>
      <c r="E755" s="750" t="s">
        <v>184</v>
      </c>
      <c r="F755" s="750"/>
      <c r="G755" s="596"/>
      <c r="H755" s="165" t="s">
        <v>12</v>
      </c>
      <c r="I755" s="610"/>
      <c r="J755" s="610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597"/>
      <c r="R755" s="597"/>
      <c r="S755" s="597"/>
      <c r="T755" s="597"/>
      <c r="U755" s="597"/>
      <c r="V755" s="597"/>
      <c r="W755" s="597"/>
      <c r="X755" s="597"/>
      <c r="Y755" s="597"/>
      <c r="Z755" s="597"/>
    </row>
    <row r="756" spans="1:26" ht="18.75" hidden="1">
      <c r="A756" s="592"/>
      <c r="B756" s="600"/>
      <c r="C756" s="750"/>
      <c r="D756" s="711"/>
      <c r="E756" s="750" t="s">
        <v>185</v>
      </c>
      <c r="F756" s="750"/>
      <c r="G756" s="596"/>
      <c r="H756" s="165" t="s">
        <v>12</v>
      </c>
      <c r="I756" s="610"/>
      <c r="J756" s="610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597"/>
      <c r="R756" s="597"/>
      <c r="S756" s="597"/>
      <c r="T756" s="597"/>
      <c r="U756" s="597"/>
      <c r="V756" s="597"/>
      <c r="W756" s="597"/>
      <c r="X756" s="597"/>
      <c r="Y756" s="597"/>
      <c r="Z756" s="597"/>
    </row>
    <row r="757" spans="1:26" ht="19.5" hidden="1">
      <c r="A757" s="592"/>
      <c r="B757" s="600"/>
      <c r="C757" s="750"/>
      <c r="D757" s="638" t="s">
        <v>20</v>
      </c>
      <c r="E757" s="750"/>
      <c r="F757" s="750"/>
      <c r="G757" s="596"/>
      <c r="H757" s="639" t="s">
        <v>12</v>
      </c>
      <c r="I757" s="166"/>
      <c r="J757" s="166"/>
      <c r="K757" s="167"/>
      <c r="L757" s="640">
        <f t="shared" ref="L757:N757" si="306">L758+L759</f>
        <v>0</v>
      </c>
      <c r="M757" s="640">
        <f t="shared" si="306"/>
        <v>0</v>
      </c>
      <c r="N757" s="640">
        <f t="shared" si="306"/>
        <v>0</v>
      </c>
      <c r="O757" s="640">
        <f t="shared" si="303"/>
        <v>0</v>
      </c>
      <c r="P757" s="640">
        <f t="shared" si="304"/>
        <v>0</v>
      </c>
      <c r="Q757" s="597"/>
      <c r="R757" s="597"/>
      <c r="S757" s="597"/>
      <c r="T757" s="597"/>
      <c r="U757" s="597"/>
      <c r="V757" s="597"/>
      <c r="W757" s="597"/>
      <c r="X757" s="597"/>
      <c r="Y757" s="597"/>
      <c r="Z757" s="597"/>
    </row>
    <row r="758" spans="1:26" ht="18.75" hidden="1">
      <c r="A758" s="592"/>
      <c r="B758" s="600"/>
      <c r="C758" s="750"/>
      <c r="D758" s="711"/>
      <c r="E758" s="750" t="s">
        <v>184</v>
      </c>
      <c r="F758" s="750"/>
      <c r="G758" s="596"/>
      <c r="H758" s="165" t="s">
        <v>12</v>
      </c>
      <c r="I758" s="610"/>
      <c r="J758" s="610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597"/>
      <c r="R758" s="597"/>
      <c r="S758" s="597"/>
      <c r="T758" s="597"/>
      <c r="U758" s="597"/>
      <c r="V758" s="597"/>
      <c r="W758" s="597"/>
      <c r="X758" s="597"/>
      <c r="Y758" s="597"/>
      <c r="Z758" s="597"/>
    </row>
    <row r="759" spans="1:26" ht="18.75" hidden="1">
      <c r="A759" s="592"/>
      <c r="B759" s="600"/>
      <c r="C759" s="750"/>
      <c r="D759" s="711"/>
      <c r="E759" s="750" t="s">
        <v>185</v>
      </c>
      <c r="F759" s="750"/>
      <c r="G759" s="596"/>
      <c r="H759" s="165" t="s">
        <v>12</v>
      </c>
      <c r="I759" s="610"/>
      <c r="J759" s="610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597"/>
      <c r="R759" s="597"/>
      <c r="S759" s="597"/>
      <c r="T759" s="597"/>
      <c r="U759" s="597"/>
      <c r="V759" s="597"/>
      <c r="W759" s="597"/>
      <c r="X759" s="597"/>
      <c r="Y759" s="597"/>
      <c r="Z759" s="597"/>
    </row>
    <row r="760" spans="1:26" ht="18.75" hidden="1">
      <c r="A760" s="642"/>
      <c r="B760" s="600"/>
      <c r="C760" s="750"/>
      <c r="D760" s="750"/>
      <c r="E760" s="750"/>
      <c r="F760" s="750" t="s">
        <v>186</v>
      </c>
      <c r="G760" s="596"/>
      <c r="H760" s="165" t="s">
        <v>12</v>
      </c>
      <c r="I760" s="610"/>
      <c r="J760" s="610"/>
      <c r="K760" s="93"/>
      <c r="L760" s="93"/>
      <c r="M760" s="93"/>
      <c r="N760" s="93"/>
      <c r="O760" s="93"/>
      <c r="P760" s="93"/>
      <c r="Q760" s="597"/>
      <c r="R760" s="597"/>
      <c r="S760" s="597"/>
      <c r="T760" s="597"/>
      <c r="U760" s="597"/>
      <c r="V760" s="597"/>
      <c r="W760" s="597"/>
      <c r="X760" s="597"/>
      <c r="Y760" s="597"/>
      <c r="Z760" s="597"/>
    </row>
    <row r="761" spans="1:26" ht="18.75" hidden="1">
      <c r="A761" s="642"/>
      <c r="B761" s="600"/>
      <c r="C761" s="750"/>
      <c r="D761" s="750"/>
      <c r="E761" s="750"/>
      <c r="F761" s="750" t="s">
        <v>187</v>
      </c>
      <c r="G761" s="596"/>
      <c r="H761" s="165" t="s">
        <v>12</v>
      </c>
      <c r="I761" s="610"/>
      <c r="J761" s="610"/>
      <c r="K761" s="93"/>
      <c r="L761" s="93"/>
      <c r="M761" s="93"/>
      <c r="N761" s="93"/>
      <c r="O761" s="93"/>
      <c r="P761" s="93"/>
      <c r="Q761" s="597"/>
      <c r="R761" s="597"/>
      <c r="S761" s="597"/>
      <c r="T761" s="597"/>
      <c r="U761" s="597"/>
      <c r="V761" s="597"/>
      <c r="W761" s="597"/>
      <c r="X761" s="597"/>
      <c r="Y761" s="597"/>
      <c r="Z761" s="597"/>
    </row>
    <row r="762" spans="1:26" ht="18.75" hidden="1">
      <c r="A762" s="642"/>
      <c r="B762" s="600"/>
      <c r="C762" s="750"/>
      <c r="D762" s="750"/>
      <c r="E762" s="750"/>
      <c r="F762" s="750" t="s">
        <v>188</v>
      </c>
      <c r="G762" s="596"/>
      <c r="H762" s="165" t="s">
        <v>12</v>
      </c>
      <c r="I762" s="610"/>
      <c r="J762" s="610"/>
      <c r="K762" s="93"/>
      <c r="L762" s="93"/>
      <c r="M762" s="93"/>
      <c r="N762" s="93"/>
      <c r="O762" s="93"/>
      <c r="P762" s="93"/>
      <c r="Q762" s="597"/>
      <c r="R762" s="597"/>
      <c r="S762" s="597"/>
      <c r="T762" s="597"/>
      <c r="U762" s="597"/>
      <c r="V762" s="597"/>
      <c r="W762" s="597"/>
      <c r="X762" s="597"/>
      <c r="Y762" s="597"/>
      <c r="Z762" s="597"/>
    </row>
    <row r="763" spans="1:26" ht="18.75" hidden="1">
      <c r="A763" s="642"/>
      <c r="B763" s="600"/>
      <c r="C763" s="750"/>
      <c r="D763" s="750"/>
      <c r="E763" s="750"/>
      <c r="F763" s="750" t="s">
        <v>189</v>
      </c>
      <c r="G763" s="596"/>
      <c r="H763" s="165" t="s">
        <v>12</v>
      </c>
      <c r="I763" s="610"/>
      <c r="J763" s="610"/>
      <c r="K763" s="93"/>
      <c r="L763" s="93"/>
      <c r="M763" s="93"/>
      <c r="N763" s="93"/>
      <c r="O763" s="93"/>
      <c r="P763" s="93"/>
      <c r="Q763" s="597"/>
      <c r="R763" s="597"/>
      <c r="S763" s="597"/>
      <c r="T763" s="597"/>
      <c r="U763" s="597"/>
      <c r="V763" s="597"/>
      <c r="W763" s="597"/>
      <c r="X763" s="597"/>
      <c r="Y763" s="597"/>
      <c r="Z763" s="597"/>
    </row>
    <row r="764" spans="1:26" ht="19.5" hidden="1">
      <c r="A764" s="592"/>
      <c r="B764" s="600"/>
      <c r="C764" s="750"/>
      <c r="D764" s="638" t="s">
        <v>21</v>
      </c>
      <c r="E764" s="750"/>
      <c r="F764" s="750"/>
      <c r="G764" s="596"/>
      <c r="H764" s="774" t="s">
        <v>12</v>
      </c>
      <c r="I764" s="166"/>
      <c r="J764" s="166"/>
      <c r="K764" s="167"/>
      <c r="L764" s="640">
        <f t="shared" ref="L764:N764" si="307">L765+L766</f>
        <v>0</v>
      </c>
      <c r="M764" s="640">
        <f t="shared" si="307"/>
        <v>0</v>
      </c>
      <c r="N764" s="640">
        <f t="shared" si="307"/>
        <v>0</v>
      </c>
      <c r="O764" s="640">
        <f t="shared" ref="O764:O766" si="308">IF(L764&gt;0,N764*100/L764,0)</f>
        <v>0</v>
      </c>
      <c r="P764" s="640">
        <f t="shared" ref="P764:P766" si="309">IF(M764&gt;0,N764*100/M764,0)</f>
        <v>0</v>
      </c>
      <c r="Q764" s="597"/>
      <c r="R764" s="597"/>
      <c r="S764" s="597"/>
      <c r="T764" s="597"/>
      <c r="U764" s="597"/>
      <c r="V764" s="597"/>
      <c r="W764" s="597"/>
      <c r="X764" s="597"/>
      <c r="Y764" s="597"/>
      <c r="Z764" s="597"/>
    </row>
    <row r="765" spans="1:26" ht="18.75" hidden="1">
      <c r="A765" s="592"/>
      <c r="B765" s="600"/>
      <c r="C765" s="750"/>
      <c r="D765" s="750"/>
      <c r="E765" s="750" t="s">
        <v>18</v>
      </c>
      <c r="F765" s="750"/>
      <c r="G765" s="596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597"/>
      <c r="R765" s="597"/>
      <c r="S765" s="597"/>
      <c r="T765" s="597"/>
      <c r="U765" s="597"/>
      <c r="V765" s="597"/>
      <c r="W765" s="597"/>
      <c r="X765" s="597"/>
      <c r="Y765" s="597"/>
      <c r="Z765" s="597"/>
    </row>
    <row r="766" spans="1:26" ht="18.75" hidden="1">
      <c r="A766" s="592"/>
      <c r="B766" s="600"/>
      <c r="C766" s="750"/>
      <c r="D766" s="750"/>
      <c r="E766" s="750" t="s">
        <v>19</v>
      </c>
      <c r="F766" s="750"/>
      <c r="G766" s="596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597"/>
      <c r="R766" s="597"/>
      <c r="S766" s="597"/>
      <c r="T766" s="597"/>
      <c r="U766" s="597"/>
      <c r="V766" s="597"/>
      <c r="W766" s="597"/>
      <c r="X766" s="597"/>
      <c r="Y766" s="597"/>
      <c r="Z766" s="597"/>
    </row>
    <row r="767" spans="1:26" ht="19.5" hidden="1">
      <c r="A767" s="607"/>
      <c r="B767" s="609"/>
      <c r="C767" s="750" t="s">
        <v>16</v>
      </c>
      <c r="D767" s="841" t="s">
        <v>38</v>
      </c>
      <c r="E767" s="644"/>
      <c r="F767" s="644"/>
      <c r="G767" s="645"/>
      <c r="H767" s="365"/>
      <c r="I767" s="166"/>
      <c r="J767" s="166"/>
      <c r="K767" s="167"/>
      <c r="L767" s="167"/>
      <c r="M767" s="167"/>
      <c r="N767" s="167"/>
      <c r="O767" s="167"/>
      <c r="P767" s="167"/>
      <c r="Q767" s="597"/>
      <c r="R767" s="597"/>
      <c r="S767" s="597"/>
      <c r="T767" s="597"/>
      <c r="U767" s="597"/>
      <c r="V767" s="597"/>
      <c r="W767" s="597"/>
      <c r="X767" s="597"/>
      <c r="Y767" s="597"/>
      <c r="Z767" s="597"/>
    </row>
    <row r="768" spans="1:26" ht="18.75" hidden="1">
      <c r="A768" s="642"/>
      <c r="B768" s="600"/>
      <c r="C768" s="750"/>
      <c r="D768" s="750"/>
      <c r="E768" s="750" t="s">
        <v>316</v>
      </c>
      <c r="F768" s="750"/>
      <c r="G768" s="596"/>
      <c r="H768" s="165" t="s">
        <v>46</v>
      </c>
      <c r="I768" s="610"/>
      <c r="J768" s="610"/>
      <c r="K768" s="93"/>
      <c r="L768" s="93"/>
      <c r="M768" s="93"/>
      <c r="N768" s="93"/>
      <c r="O768" s="93"/>
      <c r="P768" s="93"/>
      <c r="Q768" s="597"/>
      <c r="R768" s="597"/>
      <c r="S768" s="597"/>
      <c r="T768" s="597"/>
      <c r="U768" s="597"/>
      <c r="V768" s="597"/>
      <c r="W768" s="597"/>
      <c r="X768" s="597"/>
      <c r="Y768" s="597"/>
      <c r="Z768" s="597"/>
    </row>
    <row r="769" spans="1:26" ht="19.5" hidden="1">
      <c r="A769" s="784">
        <v>11</v>
      </c>
      <c r="B769" s="785" t="s">
        <v>317</v>
      </c>
      <c r="C769" s="786"/>
      <c r="D769" s="786"/>
      <c r="E769" s="786"/>
      <c r="F769" s="786"/>
      <c r="G769" s="787"/>
      <c r="H769" s="788" t="s">
        <v>46</v>
      </c>
      <c r="I769" s="789"/>
      <c r="J769" s="789">
        <f>J784</f>
        <v>0</v>
      </c>
      <c r="K769" s="790">
        <f>IF(I769&gt;0,J769*100/I769,0)</f>
        <v>0</v>
      </c>
      <c r="L769" s="791"/>
      <c r="M769" s="791"/>
      <c r="N769" s="791"/>
      <c r="O769" s="791"/>
      <c r="P769" s="791"/>
      <c r="Q769" s="597"/>
      <c r="R769" s="597"/>
      <c r="S769" s="597"/>
      <c r="T769" s="597"/>
      <c r="U769" s="597"/>
      <c r="V769" s="597"/>
      <c r="W769" s="597"/>
      <c r="X769" s="597"/>
      <c r="Y769" s="597"/>
      <c r="Z769" s="597"/>
    </row>
    <row r="770" spans="1:26" ht="19.5" hidden="1">
      <c r="A770" s="592"/>
      <c r="B770" s="750"/>
      <c r="C770" s="750" t="s">
        <v>16</v>
      </c>
      <c r="D770" s="864" t="s">
        <v>17</v>
      </c>
      <c r="E770" s="857"/>
      <c r="F770" s="857"/>
      <c r="G770" s="596"/>
      <c r="H770" s="639" t="s">
        <v>12</v>
      </c>
      <c r="I770" s="610"/>
      <c r="J770" s="610"/>
      <c r="K770" s="93"/>
      <c r="L770" s="640">
        <f t="shared" ref="L770:N770" si="310">L771+L772</f>
        <v>0</v>
      </c>
      <c r="M770" s="640">
        <f t="shared" si="310"/>
        <v>0</v>
      </c>
      <c r="N770" s="640">
        <f t="shared" si="310"/>
        <v>0</v>
      </c>
      <c r="O770" s="640">
        <f t="shared" ref="O770:O775" si="311">IF(L770&gt;0,N770*100/L770,0)</f>
        <v>0</v>
      </c>
      <c r="P770" s="640">
        <f t="shared" ref="P770:P775" si="312">IF(M770&gt;0,N770*100/M770,0)</f>
        <v>0</v>
      </c>
      <c r="Q770" s="597"/>
      <c r="R770" s="597"/>
      <c r="S770" s="597"/>
      <c r="T770" s="597"/>
      <c r="U770" s="597"/>
      <c r="V770" s="597"/>
      <c r="W770" s="597"/>
      <c r="X770" s="597"/>
      <c r="Y770" s="597"/>
      <c r="Z770" s="597"/>
    </row>
    <row r="771" spans="1:26" ht="18.75" hidden="1">
      <c r="A771" s="592"/>
      <c r="B771" s="750"/>
      <c r="C771" s="750"/>
      <c r="D771" s="711"/>
      <c r="E771" s="750" t="s">
        <v>184</v>
      </c>
      <c r="F771" s="750"/>
      <c r="G771" s="596"/>
      <c r="H771" s="165" t="s">
        <v>12</v>
      </c>
      <c r="I771" s="610"/>
      <c r="J771" s="610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597"/>
      <c r="R771" s="597"/>
      <c r="S771" s="597"/>
      <c r="T771" s="597"/>
      <c r="U771" s="597"/>
      <c r="V771" s="597"/>
      <c r="W771" s="597"/>
      <c r="X771" s="597"/>
      <c r="Y771" s="597"/>
      <c r="Z771" s="597"/>
    </row>
    <row r="772" spans="1:26" ht="18.75" hidden="1">
      <c r="A772" s="592"/>
      <c r="B772" s="600"/>
      <c r="C772" s="750"/>
      <c r="D772" s="711"/>
      <c r="E772" s="750" t="s">
        <v>185</v>
      </c>
      <c r="F772" s="750"/>
      <c r="G772" s="596"/>
      <c r="H772" s="165" t="s">
        <v>12</v>
      </c>
      <c r="I772" s="610"/>
      <c r="J772" s="610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597"/>
      <c r="R772" s="597"/>
      <c r="S772" s="597"/>
      <c r="T772" s="597"/>
      <c r="U772" s="597"/>
      <c r="V772" s="597"/>
      <c r="W772" s="597"/>
      <c r="X772" s="597"/>
      <c r="Y772" s="597"/>
      <c r="Z772" s="597"/>
    </row>
    <row r="773" spans="1:26" ht="19.5" hidden="1">
      <c r="A773" s="592"/>
      <c r="B773" s="600"/>
      <c r="C773" s="750"/>
      <c r="D773" s="638" t="s">
        <v>20</v>
      </c>
      <c r="E773" s="750"/>
      <c r="F773" s="750"/>
      <c r="G773" s="596"/>
      <c r="H773" s="639" t="s">
        <v>12</v>
      </c>
      <c r="I773" s="166"/>
      <c r="J773" s="166"/>
      <c r="K773" s="167"/>
      <c r="L773" s="640">
        <f t="shared" ref="L773:N773" si="314">L774+L775</f>
        <v>0</v>
      </c>
      <c r="M773" s="640">
        <f t="shared" si="314"/>
        <v>0</v>
      </c>
      <c r="N773" s="640">
        <f t="shared" si="314"/>
        <v>0</v>
      </c>
      <c r="O773" s="640">
        <f t="shared" si="311"/>
        <v>0</v>
      </c>
      <c r="P773" s="640">
        <f t="shared" si="312"/>
        <v>0</v>
      </c>
      <c r="Q773" s="597"/>
      <c r="R773" s="597"/>
      <c r="S773" s="597"/>
      <c r="T773" s="597"/>
      <c r="U773" s="597"/>
      <c r="V773" s="597"/>
      <c r="W773" s="597"/>
      <c r="X773" s="597"/>
      <c r="Y773" s="597"/>
      <c r="Z773" s="597"/>
    </row>
    <row r="774" spans="1:26" ht="18.75" hidden="1">
      <c r="A774" s="592"/>
      <c r="B774" s="600"/>
      <c r="C774" s="750"/>
      <c r="D774" s="711"/>
      <c r="E774" s="750" t="s">
        <v>184</v>
      </c>
      <c r="F774" s="750"/>
      <c r="G774" s="596"/>
      <c r="H774" s="165" t="s">
        <v>12</v>
      </c>
      <c r="I774" s="610"/>
      <c r="J774" s="610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597"/>
      <c r="R774" s="597"/>
      <c r="S774" s="597"/>
      <c r="T774" s="597"/>
      <c r="U774" s="597"/>
      <c r="V774" s="597"/>
      <c r="W774" s="597"/>
      <c r="X774" s="597"/>
      <c r="Y774" s="597"/>
      <c r="Z774" s="597"/>
    </row>
    <row r="775" spans="1:26" ht="18.75" hidden="1">
      <c r="A775" s="592"/>
      <c r="B775" s="600"/>
      <c r="C775" s="750"/>
      <c r="D775" s="711"/>
      <c r="E775" s="750" t="s">
        <v>185</v>
      </c>
      <c r="F775" s="750"/>
      <c r="G775" s="596"/>
      <c r="H775" s="165" t="s">
        <v>12</v>
      </c>
      <c r="I775" s="610"/>
      <c r="J775" s="610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597"/>
      <c r="R775" s="597"/>
      <c r="S775" s="597"/>
      <c r="T775" s="597"/>
      <c r="U775" s="597"/>
      <c r="V775" s="597"/>
      <c r="W775" s="597"/>
      <c r="X775" s="597"/>
      <c r="Y775" s="597"/>
      <c r="Z775" s="597"/>
    </row>
    <row r="776" spans="1:26" ht="18.75" hidden="1">
      <c r="A776" s="642"/>
      <c r="B776" s="600"/>
      <c r="C776" s="750"/>
      <c r="D776" s="750"/>
      <c r="E776" s="750"/>
      <c r="F776" s="750" t="s">
        <v>186</v>
      </c>
      <c r="G776" s="596"/>
      <c r="H776" s="165" t="s">
        <v>12</v>
      </c>
      <c r="I776" s="610"/>
      <c r="J776" s="610"/>
      <c r="K776" s="93"/>
      <c r="L776" s="93"/>
      <c r="M776" s="93"/>
      <c r="N776" s="93"/>
      <c r="O776" s="93"/>
      <c r="P776" s="93"/>
      <c r="Q776" s="597"/>
      <c r="R776" s="597"/>
      <c r="S776" s="597"/>
      <c r="T776" s="597"/>
      <c r="U776" s="597"/>
      <c r="V776" s="597"/>
      <c r="W776" s="597"/>
      <c r="X776" s="597"/>
      <c r="Y776" s="597"/>
      <c r="Z776" s="597"/>
    </row>
    <row r="777" spans="1:26" ht="18.75" hidden="1">
      <c r="A777" s="642"/>
      <c r="B777" s="600"/>
      <c r="C777" s="750"/>
      <c r="D777" s="750"/>
      <c r="E777" s="750"/>
      <c r="F777" s="750" t="s">
        <v>187</v>
      </c>
      <c r="G777" s="596"/>
      <c r="H777" s="165" t="s">
        <v>12</v>
      </c>
      <c r="I777" s="610"/>
      <c r="J777" s="610"/>
      <c r="K777" s="93"/>
      <c r="L777" s="93"/>
      <c r="M777" s="93"/>
      <c r="N777" s="93"/>
      <c r="O777" s="93"/>
      <c r="P777" s="93"/>
      <c r="Q777" s="597"/>
      <c r="R777" s="597"/>
      <c r="S777" s="597"/>
      <c r="T777" s="597"/>
      <c r="U777" s="597"/>
      <c r="V777" s="597"/>
      <c r="W777" s="597"/>
      <c r="X777" s="597"/>
      <c r="Y777" s="597"/>
      <c r="Z777" s="597"/>
    </row>
    <row r="778" spans="1:26" ht="18.75" hidden="1">
      <c r="A778" s="642"/>
      <c r="B778" s="600"/>
      <c r="C778" s="750"/>
      <c r="D778" s="750"/>
      <c r="E778" s="750"/>
      <c r="F778" s="750" t="s">
        <v>188</v>
      </c>
      <c r="G778" s="596"/>
      <c r="H778" s="165" t="s">
        <v>12</v>
      </c>
      <c r="I778" s="610"/>
      <c r="J778" s="610"/>
      <c r="K778" s="93"/>
      <c r="L778" s="93"/>
      <c r="M778" s="93"/>
      <c r="N778" s="93"/>
      <c r="O778" s="93"/>
      <c r="P778" s="93"/>
      <c r="Q778" s="597"/>
      <c r="R778" s="597"/>
      <c r="S778" s="597"/>
      <c r="T778" s="597"/>
      <c r="U778" s="597"/>
      <c r="V778" s="597"/>
      <c r="W778" s="597"/>
      <c r="X778" s="597"/>
      <c r="Y778" s="597"/>
      <c r="Z778" s="597"/>
    </row>
    <row r="779" spans="1:26" ht="18.75" hidden="1">
      <c r="A779" s="642"/>
      <c r="B779" s="600"/>
      <c r="C779" s="750"/>
      <c r="D779" s="750"/>
      <c r="E779" s="750"/>
      <c r="F779" s="750" t="s">
        <v>189</v>
      </c>
      <c r="G779" s="596"/>
      <c r="H779" s="165" t="s">
        <v>12</v>
      </c>
      <c r="I779" s="610"/>
      <c r="J779" s="610"/>
      <c r="K779" s="93"/>
      <c r="L779" s="93"/>
      <c r="M779" s="93"/>
      <c r="N779" s="93"/>
      <c r="O779" s="93"/>
      <c r="P779" s="93"/>
      <c r="Q779" s="597"/>
      <c r="R779" s="597"/>
      <c r="S779" s="597"/>
      <c r="T779" s="597"/>
      <c r="U779" s="597"/>
      <c r="V779" s="597"/>
      <c r="W779" s="597"/>
      <c r="X779" s="597"/>
      <c r="Y779" s="597"/>
      <c r="Z779" s="597"/>
    </row>
    <row r="780" spans="1:26" ht="19.5" hidden="1">
      <c r="A780" s="592"/>
      <c r="B780" s="600"/>
      <c r="C780" s="750"/>
      <c r="D780" s="638" t="s">
        <v>21</v>
      </c>
      <c r="E780" s="750"/>
      <c r="F780" s="750"/>
      <c r="G780" s="596"/>
      <c r="H780" s="774" t="s">
        <v>12</v>
      </c>
      <c r="I780" s="166"/>
      <c r="J780" s="166"/>
      <c r="K780" s="167"/>
      <c r="L780" s="640">
        <f t="shared" ref="L780:N780" si="315">L781+L782</f>
        <v>0</v>
      </c>
      <c r="M780" s="640">
        <f t="shared" si="315"/>
        <v>0</v>
      </c>
      <c r="N780" s="640">
        <f t="shared" si="315"/>
        <v>0</v>
      </c>
      <c r="O780" s="640">
        <f t="shared" ref="O780:O782" si="316">IF(L780&gt;0,N780*100/L780,0)</f>
        <v>0</v>
      </c>
      <c r="P780" s="640">
        <f t="shared" ref="P780:P782" si="317">IF(M780&gt;0,N780*100/M780,0)</f>
        <v>0</v>
      </c>
      <c r="Q780" s="597"/>
      <c r="R780" s="597"/>
      <c r="S780" s="597"/>
      <c r="T780" s="597"/>
      <c r="U780" s="597"/>
      <c r="V780" s="597"/>
      <c r="W780" s="597"/>
      <c r="X780" s="597"/>
      <c r="Y780" s="597"/>
      <c r="Z780" s="597"/>
    </row>
    <row r="781" spans="1:26" ht="18.75" hidden="1">
      <c r="A781" s="592"/>
      <c r="B781" s="600"/>
      <c r="C781" s="750"/>
      <c r="D781" s="750"/>
      <c r="E781" s="750" t="s">
        <v>18</v>
      </c>
      <c r="F781" s="750"/>
      <c r="G781" s="596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597"/>
      <c r="R781" s="597"/>
      <c r="S781" s="597"/>
      <c r="T781" s="597"/>
      <c r="U781" s="597"/>
      <c r="V781" s="597"/>
      <c r="W781" s="597"/>
      <c r="X781" s="597"/>
      <c r="Y781" s="597"/>
      <c r="Z781" s="597"/>
    </row>
    <row r="782" spans="1:26" ht="18.75" hidden="1">
      <c r="A782" s="592"/>
      <c r="B782" s="600"/>
      <c r="C782" s="750"/>
      <c r="D782" s="750"/>
      <c r="E782" s="750" t="s">
        <v>19</v>
      </c>
      <c r="F782" s="750"/>
      <c r="G782" s="596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597"/>
      <c r="R782" s="597"/>
      <c r="S782" s="597"/>
      <c r="T782" s="597"/>
      <c r="U782" s="597"/>
      <c r="V782" s="597"/>
      <c r="W782" s="597"/>
      <c r="X782" s="597"/>
      <c r="Y782" s="597"/>
      <c r="Z782" s="597"/>
    </row>
    <row r="783" spans="1:26" ht="19.5" hidden="1">
      <c r="A783" s="607"/>
      <c r="B783" s="609"/>
      <c r="C783" s="750" t="s">
        <v>16</v>
      </c>
      <c r="D783" s="841" t="s">
        <v>38</v>
      </c>
      <c r="E783" s="644"/>
      <c r="F783" s="644"/>
      <c r="G783" s="645"/>
      <c r="H783" s="792"/>
      <c r="I783" s="166"/>
      <c r="J783" s="166"/>
      <c r="K783" s="167"/>
      <c r="L783" s="167"/>
      <c r="M783" s="167"/>
      <c r="N783" s="167"/>
      <c r="O783" s="167"/>
      <c r="P783" s="167"/>
      <c r="Q783" s="597"/>
      <c r="R783" s="597"/>
      <c r="S783" s="597"/>
      <c r="T783" s="597"/>
      <c r="U783" s="597"/>
      <c r="V783" s="597"/>
      <c r="W783" s="597"/>
      <c r="X783" s="597"/>
      <c r="Y783" s="597"/>
      <c r="Z783" s="597"/>
    </row>
    <row r="784" spans="1:26" ht="18.75" hidden="1">
      <c r="A784" s="642"/>
      <c r="B784" s="600"/>
      <c r="C784" s="750"/>
      <c r="D784" s="750"/>
      <c r="E784" s="750" t="s">
        <v>318</v>
      </c>
      <c r="F784" s="750"/>
      <c r="G784" s="596"/>
      <c r="H784" s="165" t="s">
        <v>46</v>
      </c>
      <c r="I784" s="610"/>
      <c r="J784" s="610"/>
      <c r="K784" s="93"/>
      <c r="L784" s="93"/>
      <c r="M784" s="93"/>
      <c r="N784" s="93"/>
      <c r="O784" s="93"/>
      <c r="P784" s="93"/>
      <c r="Q784" s="597"/>
      <c r="R784" s="597"/>
      <c r="S784" s="597"/>
      <c r="T784" s="597"/>
      <c r="U784" s="597"/>
      <c r="V784" s="597"/>
      <c r="W784" s="597"/>
      <c r="X784" s="597"/>
      <c r="Y784" s="597"/>
      <c r="Z784" s="597"/>
    </row>
    <row r="785" spans="1:26" ht="19.5" hidden="1">
      <c r="A785" s="793">
        <v>12</v>
      </c>
      <c r="B785" s="794" t="s">
        <v>319</v>
      </c>
      <c r="C785" s="795"/>
      <c r="D785" s="795"/>
      <c r="E785" s="795"/>
      <c r="F785" s="795"/>
      <c r="G785" s="796"/>
      <c r="H785" s="797" t="s">
        <v>46</v>
      </c>
      <c r="I785" s="798">
        <f t="shared" ref="I785:J785" ca="1" si="318">I800</f>
        <v>0</v>
      </c>
      <c r="J785" s="799">
        <f t="shared" ca="1" si="318"/>
        <v>0</v>
      </c>
      <c r="K785" s="800">
        <f ca="1">IF(I785&gt;0,J785*100/I785,0)</f>
        <v>0</v>
      </c>
      <c r="L785" s="801"/>
      <c r="M785" s="801"/>
      <c r="N785" s="801"/>
      <c r="O785" s="801"/>
      <c r="P785" s="801"/>
      <c r="Q785" s="571"/>
      <c r="R785" s="571"/>
      <c r="S785" s="571"/>
      <c r="T785" s="571"/>
      <c r="U785" s="571"/>
      <c r="V785" s="571"/>
      <c r="W785" s="571"/>
      <c r="X785" s="571"/>
      <c r="Y785" s="571"/>
      <c r="Z785" s="571"/>
    </row>
    <row r="786" spans="1:26" ht="19.5" hidden="1">
      <c r="A786" s="590"/>
      <c r="B786" s="568"/>
      <c r="C786" s="754" t="s">
        <v>16</v>
      </c>
      <c r="D786" s="863" t="s">
        <v>17</v>
      </c>
      <c r="E786" s="857"/>
      <c r="F786" s="857"/>
      <c r="G786" s="189"/>
      <c r="H786" s="591" t="s">
        <v>12</v>
      </c>
      <c r="I786" s="269"/>
      <c r="J786" s="269"/>
      <c r="K786" s="496"/>
      <c r="L786" s="195">
        <f t="shared" ref="L786:N786" ca="1" si="319">L787+L788</f>
        <v>0</v>
      </c>
      <c r="M786" s="195">
        <f t="shared" si="319"/>
        <v>0</v>
      </c>
      <c r="N786" s="195">
        <f t="shared" si="319"/>
        <v>0</v>
      </c>
      <c r="O786" s="195">
        <f t="shared" ref="O786:O791" ca="1" si="320">IF(L786&gt;0,N786*100/L786,0)</f>
        <v>0</v>
      </c>
      <c r="P786" s="195">
        <f t="shared" ref="P786:P791" si="321">IF(M786&gt;0,N786*100/M786,0)</f>
        <v>0</v>
      </c>
      <c r="Q786" s="571"/>
      <c r="R786" s="571"/>
      <c r="S786" s="571"/>
      <c r="T786" s="571"/>
      <c r="U786" s="571"/>
      <c r="V786" s="571"/>
      <c r="W786" s="571"/>
      <c r="X786" s="571"/>
      <c r="Y786" s="571"/>
      <c r="Z786" s="571"/>
    </row>
    <row r="787" spans="1:26" ht="18.75" hidden="1">
      <c r="A787" s="592"/>
      <c r="B787" s="600"/>
      <c r="C787" s="750"/>
      <c r="D787" s="711"/>
      <c r="E787" s="750" t="s">
        <v>184</v>
      </c>
      <c r="F787" s="750"/>
      <c r="G787" s="596"/>
      <c r="H787" s="165" t="s">
        <v>12</v>
      </c>
      <c r="I787" s="610"/>
      <c r="J787" s="610"/>
      <c r="K787" s="93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597"/>
      <c r="R787" s="597"/>
      <c r="S787" s="597"/>
      <c r="T787" s="597"/>
      <c r="U787" s="597"/>
      <c r="V787" s="597"/>
      <c r="W787" s="597"/>
      <c r="X787" s="597"/>
      <c r="Y787" s="597"/>
      <c r="Z787" s="597"/>
    </row>
    <row r="788" spans="1:26" ht="18.75" hidden="1">
      <c r="A788" s="592"/>
      <c r="B788" s="600"/>
      <c r="C788" s="600"/>
      <c r="D788" s="609"/>
      <c r="E788" s="750" t="s">
        <v>185</v>
      </c>
      <c r="F788" s="750"/>
      <c r="G788" s="596"/>
      <c r="H788" s="165" t="s">
        <v>12</v>
      </c>
      <c r="I788" s="610"/>
      <c r="J788" s="610"/>
      <c r="K788" s="93"/>
      <c r="L788" s="93">
        <f t="shared" ca="1" si="322"/>
        <v>0</v>
      </c>
      <c r="M788" s="93">
        <f t="shared" si="322"/>
        <v>0</v>
      </c>
      <c r="N788" s="93">
        <f t="shared" si="322"/>
        <v>0</v>
      </c>
      <c r="O788" s="93">
        <f t="shared" ca="1" si="320"/>
        <v>0</v>
      </c>
      <c r="P788" s="93">
        <f t="shared" si="321"/>
        <v>0</v>
      </c>
      <c r="Q788" s="597"/>
      <c r="R788" s="597"/>
      <c r="S788" s="597"/>
      <c r="T788" s="597"/>
      <c r="U788" s="597"/>
      <c r="V788" s="597"/>
      <c r="W788" s="597"/>
      <c r="X788" s="597"/>
      <c r="Y788" s="597"/>
      <c r="Z788" s="597"/>
    </row>
    <row r="789" spans="1:26" ht="18.75" hidden="1">
      <c r="A789" s="590"/>
      <c r="B789" s="568"/>
      <c r="C789" s="568"/>
      <c r="D789" s="599" t="s">
        <v>20</v>
      </c>
      <c r="E789" s="754"/>
      <c r="F789" s="754"/>
      <c r="G789" s="189"/>
      <c r="H789" s="161" t="s">
        <v>12</v>
      </c>
      <c r="I789" s="184"/>
      <c r="J789" s="184"/>
      <c r="K789" s="163"/>
      <c r="L789" s="496">
        <f t="shared" ref="L789:N789" ca="1" si="323">L790+L791</f>
        <v>0</v>
      </c>
      <c r="M789" s="496">
        <f t="shared" si="323"/>
        <v>0</v>
      </c>
      <c r="N789" s="496">
        <f t="shared" si="323"/>
        <v>0</v>
      </c>
      <c r="O789" s="496">
        <f t="shared" ca="1" si="320"/>
        <v>0</v>
      </c>
      <c r="P789" s="496">
        <f t="shared" si="321"/>
        <v>0</v>
      </c>
      <c r="Q789" s="571"/>
      <c r="R789" s="571"/>
      <c r="S789" s="571"/>
      <c r="T789" s="571"/>
      <c r="U789" s="571"/>
      <c r="V789" s="571"/>
      <c r="W789" s="571"/>
      <c r="X789" s="571"/>
      <c r="Y789" s="571"/>
      <c r="Z789" s="571"/>
    </row>
    <row r="790" spans="1:26" ht="18.75" hidden="1">
      <c r="A790" s="592"/>
      <c r="B790" s="600"/>
      <c r="C790" s="600"/>
      <c r="D790" s="609"/>
      <c r="E790" s="750" t="s">
        <v>184</v>
      </c>
      <c r="F790" s="750"/>
      <c r="G790" s="596"/>
      <c r="H790" s="165" t="s">
        <v>12</v>
      </c>
      <c r="I790" s="610"/>
      <c r="J790" s="610"/>
      <c r="K790" s="93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597"/>
      <c r="R790" s="597"/>
      <c r="S790" s="597"/>
      <c r="T790" s="597"/>
      <c r="U790" s="597"/>
      <c r="V790" s="597"/>
      <c r="W790" s="597"/>
      <c r="X790" s="597"/>
      <c r="Y790" s="597"/>
      <c r="Z790" s="597"/>
    </row>
    <row r="791" spans="1:26" ht="18.75" hidden="1">
      <c r="A791" s="592"/>
      <c r="B791" s="600"/>
      <c r="C791" s="600"/>
      <c r="D791" s="609"/>
      <c r="E791" s="750" t="s">
        <v>185</v>
      </c>
      <c r="F791" s="750"/>
      <c r="G791" s="596"/>
      <c r="H791" s="165" t="s">
        <v>12</v>
      </c>
      <c r="I791" s="610"/>
      <c r="J791" s="610"/>
      <c r="K791" s="93"/>
      <c r="L791" s="93">
        <f ca="1">IFERROR(__xludf.DUMMYFUNCTION("IMPORTRANGE(""https://docs.google.com/spreadsheets/d/1QqKyyYR6Q21VydFLVH3TRQUabQu_ym0Zz7PgGX0-kHA/edit?usp=sharing"",""แผน!JJ62"")"),0)</f>
        <v>0</v>
      </c>
      <c r="M791" s="93">
        <v>0</v>
      </c>
      <c r="N791" s="93">
        <f>N792+N793+N794+N795</f>
        <v>0</v>
      </c>
      <c r="O791" s="93">
        <f t="shared" ca="1" si="320"/>
        <v>0</v>
      </c>
      <c r="P791" s="93">
        <f t="shared" si="321"/>
        <v>0</v>
      </c>
      <c r="Q791" s="597"/>
      <c r="R791" s="597"/>
      <c r="S791" s="597"/>
      <c r="T791" s="597"/>
      <c r="U791" s="597"/>
      <c r="V791" s="597"/>
      <c r="W791" s="597"/>
      <c r="X791" s="597"/>
      <c r="Y791" s="597"/>
      <c r="Z791" s="597"/>
    </row>
    <row r="792" spans="1:26" ht="18.75" hidden="1">
      <c r="A792" s="567"/>
      <c r="B792" s="568"/>
      <c r="C792" s="754"/>
      <c r="D792" s="754"/>
      <c r="E792" s="754"/>
      <c r="F792" s="754" t="s">
        <v>186</v>
      </c>
      <c r="G792" s="189"/>
      <c r="H792" s="161" t="s">
        <v>12</v>
      </c>
      <c r="I792" s="269"/>
      <c r="J792" s="269"/>
      <c r="K792" s="496"/>
      <c r="L792" s="496"/>
      <c r="M792" s="496"/>
      <c r="N792" s="817">
        <v>0</v>
      </c>
      <c r="O792" s="496"/>
      <c r="P792" s="496"/>
      <c r="Q792" s="571"/>
      <c r="R792" s="571"/>
      <c r="S792" s="571"/>
      <c r="T792" s="571"/>
      <c r="U792" s="571"/>
      <c r="V792" s="571"/>
      <c r="W792" s="571"/>
      <c r="X792" s="571"/>
      <c r="Y792" s="571"/>
      <c r="Z792" s="571"/>
    </row>
    <row r="793" spans="1:26" ht="18.75" hidden="1">
      <c r="A793" s="567"/>
      <c r="B793" s="568"/>
      <c r="C793" s="754"/>
      <c r="D793" s="754"/>
      <c r="E793" s="754"/>
      <c r="F793" s="754" t="s">
        <v>187</v>
      </c>
      <c r="G793" s="189"/>
      <c r="H793" s="161" t="s">
        <v>12</v>
      </c>
      <c r="I793" s="269"/>
      <c r="J793" s="269"/>
      <c r="K793" s="496"/>
      <c r="L793" s="496"/>
      <c r="M793" s="496"/>
      <c r="N793" s="817">
        <v>0</v>
      </c>
      <c r="O793" s="496"/>
      <c r="P793" s="496"/>
      <c r="Q793" s="571"/>
      <c r="R793" s="571"/>
      <c r="S793" s="571"/>
      <c r="T793" s="571"/>
      <c r="U793" s="571"/>
      <c r="V793" s="571"/>
      <c r="W793" s="571"/>
      <c r="X793" s="571"/>
      <c r="Y793" s="571"/>
      <c r="Z793" s="571"/>
    </row>
    <row r="794" spans="1:26" ht="18.75" hidden="1">
      <c r="A794" s="567"/>
      <c r="B794" s="568"/>
      <c r="C794" s="754"/>
      <c r="D794" s="754"/>
      <c r="E794" s="754"/>
      <c r="F794" s="754" t="s">
        <v>188</v>
      </c>
      <c r="G794" s="189"/>
      <c r="H794" s="161" t="s">
        <v>12</v>
      </c>
      <c r="I794" s="269"/>
      <c r="J794" s="269"/>
      <c r="K794" s="496"/>
      <c r="L794" s="496"/>
      <c r="M794" s="496"/>
      <c r="N794" s="817">
        <v>0</v>
      </c>
      <c r="O794" s="496"/>
      <c r="P794" s="496"/>
      <c r="Q794" s="571"/>
      <c r="R794" s="571"/>
      <c r="S794" s="571"/>
      <c r="T794" s="571"/>
      <c r="U794" s="571"/>
      <c r="V794" s="571"/>
      <c r="W794" s="571"/>
      <c r="X794" s="571"/>
      <c r="Y794" s="571"/>
      <c r="Z794" s="571"/>
    </row>
    <row r="795" spans="1:26" ht="18.75" hidden="1">
      <c r="A795" s="567"/>
      <c r="B795" s="568"/>
      <c r="C795" s="754"/>
      <c r="D795" s="754"/>
      <c r="E795" s="754"/>
      <c r="F795" s="754" t="s">
        <v>189</v>
      </c>
      <c r="G795" s="189"/>
      <c r="H795" s="161" t="s">
        <v>12</v>
      </c>
      <c r="I795" s="269"/>
      <c r="J795" s="269"/>
      <c r="K795" s="496"/>
      <c r="L795" s="496"/>
      <c r="M795" s="496"/>
      <c r="N795" s="817">
        <v>0</v>
      </c>
      <c r="O795" s="496"/>
      <c r="P795" s="496"/>
      <c r="Q795" s="571"/>
      <c r="R795" s="571"/>
      <c r="S795" s="571"/>
      <c r="T795" s="571"/>
      <c r="U795" s="571"/>
      <c r="V795" s="571"/>
      <c r="W795" s="571"/>
      <c r="X795" s="571"/>
      <c r="Y795" s="571"/>
      <c r="Z795" s="571"/>
    </row>
    <row r="796" spans="1:26" ht="18.75" hidden="1">
      <c r="A796" s="590"/>
      <c r="B796" s="568"/>
      <c r="C796" s="754"/>
      <c r="D796" s="599" t="s">
        <v>21</v>
      </c>
      <c r="E796" s="754"/>
      <c r="F796" s="754"/>
      <c r="G796" s="189"/>
      <c r="H796" s="168" t="s">
        <v>12</v>
      </c>
      <c r="I796" s="184"/>
      <c r="J796" s="184"/>
      <c r="K796" s="163"/>
      <c r="L796" s="496">
        <f t="shared" ref="L796:N796" si="324">L797+L798</f>
        <v>0</v>
      </c>
      <c r="M796" s="496">
        <f t="shared" si="324"/>
        <v>0</v>
      </c>
      <c r="N796" s="496">
        <f t="shared" si="324"/>
        <v>0</v>
      </c>
      <c r="O796" s="496">
        <f t="shared" ref="O796:O798" si="325">IF(L796&gt;0,N796*100/L796,0)</f>
        <v>0</v>
      </c>
      <c r="P796" s="496">
        <f t="shared" ref="P796:P798" si="326">IF(M796&gt;0,N796*100/M796,0)</f>
        <v>0</v>
      </c>
      <c r="Q796" s="571"/>
      <c r="R796" s="571"/>
      <c r="S796" s="571"/>
      <c r="T796" s="571"/>
      <c r="U796" s="571"/>
      <c r="V796" s="571"/>
      <c r="W796" s="571"/>
      <c r="X796" s="571"/>
      <c r="Y796" s="571"/>
      <c r="Z796" s="571"/>
    </row>
    <row r="797" spans="1:26" ht="18.75" hidden="1">
      <c r="A797" s="592"/>
      <c r="B797" s="600"/>
      <c r="C797" s="750"/>
      <c r="D797" s="750"/>
      <c r="E797" s="750" t="s">
        <v>18</v>
      </c>
      <c r="F797" s="750"/>
      <c r="G797" s="596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597"/>
      <c r="R797" s="597"/>
      <c r="S797" s="597"/>
      <c r="T797" s="597"/>
      <c r="U797" s="597"/>
      <c r="V797" s="597"/>
      <c r="W797" s="597"/>
      <c r="X797" s="597"/>
      <c r="Y797" s="597"/>
      <c r="Z797" s="597"/>
    </row>
    <row r="798" spans="1:26" ht="18.75" hidden="1">
      <c r="A798" s="592"/>
      <c r="B798" s="600"/>
      <c r="C798" s="750"/>
      <c r="D798" s="750"/>
      <c r="E798" s="750" t="s">
        <v>19</v>
      </c>
      <c r="F798" s="750"/>
      <c r="G798" s="596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597"/>
      <c r="R798" s="597"/>
      <c r="S798" s="597"/>
      <c r="T798" s="597"/>
      <c r="U798" s="597"/>
      <c r="V798" s="597"/>
      <c r="W798" s="597"/>
      <c r="X798" s="597"/>
      <c r="Y798" s="597"/>
      <c r="Z798" s="597"/>
    </row>
    <row r="799" spans="1:26" ht="19.5" hidden="1">
      <c r="A799" s="601"/>
      <c r="B799" s="611"/>
      <c r="C799" s="754" t="s">
        <v>16</v>
      </c>
      <c r="D799" s="840" t="s">
        <v>38</v>
      </c>
      <c r="E799" s="752"/>
      <c r="F799" s="752"/>
      <c r="G799" s="606"/>
      <c r="H799" s="802"/>
      <c r="I799" s="184"/>
      <c r="J799" s="184"/>
      <c r="K799" s="163"/>
      <c r="L799" s="163"/>
      <c r="M799" s="163"/>
      <c r="N799" s="163"/>
      <c r="O799" s="163"/>
      <c r="P799" s="163"/>
      <c r="Q799" s="571"/>
      <c r="R799" s="571"/>
      <c r="S799" s="571"/>
      <c r="T799" s="571"/>
      <c r="U799" s="571"/>
      <c r="V799" s="571"/>
      <c r="W799" s="571"/>
      <c r="X799" s="571"/>
      <c r="Y799" s="571"/>
      <c r="Z799" s="571"/>
    </row>
    <row r="800" spans="1:26" ht="18.75" hidden="1">
      <c r="A800" s="601"/>
      <c r="B800" s="611"/>
      <c r="C800" s="611"/>
      <c r="D800" s="611"/>
      <c r="E800" s="619"/>
      <c r="F800" s="619" t="s">
        <v>320</v>
      </c>
      <c r="G800" s="753"/>
      <c r="H800" s="185" t="s">
        <v>46</v>
      </c>
      <c r="I800" s="184">
        <f ca="1">IFERROR(__xludf.DUMMYFUNCTION("IMPORTRANGE(""https://docs.google.com/spreadsheets/d/1QqKyyYR6Q21VydFLVH3TRQUabQu_ym0Zz7PgGX0-kHA/edit?usp=sharing"",""แผน!JN62"")"),0)</f>
        <v>0</v>
      </c>
      <c r="J800" s="184">
        <f ca="1">IFERROR(__xludf.DUMMYFUNCTION("IMPORTRANGE(""https://docs.google.com/spreadsheets/d/1MaWodYyGHDf7siQLGxnXhG4mBNTNIuy296niS2xXulU/edit?usp=sharing"",""RTK!H62"")"),0)</f>
        <v>0</v>
      </c>
      <c r="K800" s="496">
        <f ca="1">IF(I800&gt;0,J800*100/I800,0)</f>
        <v>0</v>
      </c>
      <c r="L800" s="496"/>
      <c r="M800" s="496"/>
      <c r="N800" s="496"/>
      <c r="O800" s="163"/>
      <c r="P800" s="163"/>
      <c r="Q800" s="571"/>
      <c r="R800" s="571"/>
      <c r="S800" s="571"/>
      <c r="T800" s="571"/>
      <c r="U800" s="571"/>
      <c r="V800" s="571"/>
      <c r="W800" s="571"/>
      <c r="X800" s="571"/>
      <c r="Y800" s="571"/>
      <c r="Z800" s="571"/>
    </row>
    <row r="801" spans="1:26" ht="18.75" hidden="1">
      <c r="A801" s="601"/>
      <c r="B801" s="611"/>
      <c r="C801" s="611"/>
      <c r="D801" s="611"/>
      <c r="E801" s="619"/>
      <c r="F801" s="619"/>
      <c r="G801" s="753"/>
      <c r="H801" s="161" t="s">
        <v>34</v>
      </c>
      <c r="I801" s="184"/>
      <c r="J801" s="269">
        <f ca="1">IFERROR(__xludf.DUMMYFUNCTION("IMPORTRANGE(""https://docs.google.com/spreadsheets/d/1MaWodYyGHDf7siQLGxnXhG4mBNTNIuy296niS2xXulU/edit?usp=sharing"",""RTK!I62"")"),0)</f>
        <v>0</v>
      </c>
      <c r="K801" s="496"/>
      <c r="L801" s="496"/>
      <c r="M801" s="496"/>
      <c r="N801" s="496"/>
      <c r="O801" s="163"/>
      <c r="P801" s="163"/>
      <c r="Q801" s="571"/>
      <c r="R801" s="571"/>
      <c r="S801" s="571"/>
      <c r="T801" s="571"/>
      <c r="U801" s="571"/>
      <c r="V801" s="571"/>
      <c r="W801" s="571"/>
      <c r="X801" s="571"/>
      <c r="Y801" s="571"/>
      <c r="Z801" s="571"/>
    </row>
    <row r="802" spans="1:26" ht="18.75" hidden="1">
      <c r="A802" s="607"/>
      <c r="B802" s="609"/>
      <c r="C802" s="609"/>
      <c r="D802" s="609"/>
      <c r="E802" s="711"/>
      <c r="F802" s="711" t="s">
        <v>321</v>
      </c>
      <c r="G802" s="365"/>
      <c r="H802" s="646" t="s">
        <v>46</v>
      </c>
      <c r="I802" s="166"/>
      <c r="J802" s="610"/>
      <c r="K802" s="167">
        <f>IF(I802&gt;0,J802*100/I802,0)</f>
        <v>0</v>
      </c>
      <c r="L802" s="167"/>
      <c r="M802" s="167"/>
      <c r="N802" s="167"/>
      <c r="O802" s="167"/>
      <c r="P802" s="167"/>
      <c r="Q802" s="597"/>
      <c r="R802" s="597"/>
      <c r="S802" s="597"/>
      <c r="T802" s="597"/>
      <c r="U802" s="597"/>
      <c r="V802" s="597"/>
      <c r="W802" s="597"/>
      <c r="X802" s="597"/>
      <c r="Y802" s="597"/>
      <c r="Z802" s="597"/>
    </row>
    <row r="803" spans="1:26" ht="18.75" hidden="1">
      <c r="A803" s="607"/>
      <c r="B803" s="609"/>
      <c r="C803" s="609"/>
      <c r="D803" s="609"/>
      <c r="E803" s="711"/>
      <c r="F803" s="711"/>
      <c r="G803" s="365"/>
      <c r="H803" s="646" t="s">
        <v>34</v>
      </c>
      <c r="I803" s="166"/>
      <c r="J803" s="610"/>
      <c r="K803" s="167"/>
      <c r="L803" s="167"/>
      <c r="M803" s="167"/>
      <c r="N803" s="167"/>
      <c r="O803" s="167"/>
      <c r="P803" s="167"/>
      <c r="Q803" s="597"/>
      <c r="R803" s="597"/>
      <c r="S803" s="597"/>
      <c r="T803" s="597"/>
      <c r="U803" s="597"/>
      <c r="V803" s="597"/>
      <c r="W803" s="597"/>
      <c r="X803" s="597"/>
      <c r="Y803" s="597"/>
      <c r="Z803" s="597"/>
    </row>
    <row r="804" spans="1:26" ht="19.5" hidden="1">
      <c r="A804" s="784">
        <v>13</v>
      </c>
      <c r="B804" s="785" t="s">
        <v>322</v>
      </c>
      <c r="C804" s="786"/>
      <c r="D804" s="803"/>
      <c r="E804" s="786"/>
      <c r="F804" s="786"/>
      <c r="G804" s="787"/>
      <c r="H804" s="788" t="s">
        <v>46</v>
      </c>
      <c r="I804" s="789"/>
      <c r="J804" s="789">
        <f>J819</f>
        <v>0</v>
      </c>
      <c r="K804" s="790">
        <f>IF(I804&gt;0,J804*100/I804,0)</f>
        <v>0</v>
      </c>
      <c r="L804" s="791"/>
      <c r="M804" s="791"/>
      <c r="N804" s="791"/>
      <c r="O804" s="791"/>
      <c r="P804" s="791"/>
      <c r="Q804" s="597"/>
      <c r="R804" s="597"/>
      <c r="S804" s="597"/>
      <c r="T804" s="597"/>
      <c r="U804" s="597"/>
      <c r="V804" s="597"/>
      <c r="W804" s="597"/>
      <c r="X804" s="597"/>
      <c r="Y804" s="597"/>
      <c r="Z804" s="597"/>
    </row>
    <row r="805" spans="1:26" ht="19.5" hidden="1">
      <c r="A805" s="592"/>
      <c r="B805" s="750"/>
      <c r="C805" s="750" t="s">
        <v>16</v>
      </c>
      <c r="D805" s="864" t="s">
        <v>17</v>
      </c>
      <c r="E805" s="857"/>
      <c r="F805" s="857"/>
      <c r="G805" s="596"/>
      <c r="H805" s="639" t="s">
        <v>12</v>
      </c>
      <c r="I805" s="610"/>
      <c r="J805" s="610"/>
      <c r="K805" s="93"/>
      <c r="L805" s="640">
        <f t="shared" ref="L805:N805" si="327">L806+L807</f>
        <v>0</v>
      </c>
      <c r="M805" s="640">
        <f t="shared" si="327"/>
        <v>0</v>
      </c>
      <c r="N805" s="640">
        <f t="shared" si="327"/>
        <v>0</v>
      </c>
      <c r="O805" s="640">
        <f t="shared" ref="O805:O810" si="328">IF(L805&gt;0,N805*100/L805,0)</f>
        <v>0</v>
      </c>
      <c r="P805" s="640">
        <f t="shared" ref="P805:P810" si="329">IF(M805&gt;0,N805*100/M805,0)</f>
        <v>0</v>
      </c>
      <c r="Q805" s="597"/>
      <c r="R805" s="597"/>
      <c r="S805" s="597"/>
      <c r="T805" s="597"/>
      <c r="U805" s="597"/>
      <c r="V805" s="597"/>
      <c r="W805" s="597"/>
      <c r="X805" s="597"/>
      <c r="Y805" s="597"/>
      <c r="Z805" s="597"/>
    </row>
    <row r="806" spans="1:26" ht="18.75" hidden="1">
      <c r="A806" s="592"/>
      <c r="B806" s="750"/>
      <c r="C806" s="750"/>
      <c r="D806" s="609"/>
      <c r="E806" s="750" t="s">
        <v>184</v>
      </c>
      <c r="F806" s="750"/>
      <c r="G806" s="596"/>
      <c r="H806" s="165" t="s">
        <v>12</v>
      </c>
      <c r="I806" s="610"/>
      <c r="J806" s="610"/>
      <c r="K806" s="93"/>
      <c r="L806" s="93">
        <f t="shared" ref="L806:N807" si="330">L809+L816</f>
        <v>0</v>
      </c>
      <c r="M806" s="93">
        <f t="shared" si="330"/>
        <v>0</v>
      </c>
      <c r="N806" s="93">
        <f t="shared" si="330"/>
        <v>0</v>
      </c>
      <c r="O806" s="93">
        <f t="shared" si="328"/>
        <v>0</v>
      </c>
      <c r="P806" s="93">
        <f t="shared" si="329"/>
        <v>0</v>
      </c>
      <c r="Q806" s="597"/>
      <c r="R806" s="597"/>
      <c r="S806" s="597"/>
      <c r="T806" s="597"/>
      <c r="U806" s="597"/>
      <c r="V806" s="597"/>
      <c r="W806" s="597"/>
      <c r="X806" s="597"/>
      <c r="Y806" s="597"/>
      <c r="Z806" s="597"/>
    </row>
    <row r="807" spans="1:26" ht="18.75" hidden="1">
      <c r="A807" s="592"/>
      <c r="B807" s="750"/>
      <c r="C807" s="750"/>
      <c r="D807" s="609"/>
      <c r="E807" s="750" t="s">
        <v>185</v>
      </c>
      <c r="F807" s="750"/>
      <c r="G807" s="596"/>
      <c r="H807" s="165" t="s">
        <v>12</v>
      </c>
      <c r="I807" s="610"/>
      <c r="J807" s="610"/>
      <c r="K807" s="93"/>
      <c r="L807" s="93">
        <f t="shared" si="330"/>
        <v>0</v>
      </c>
      <c r="M807" s="93">
        <f t="shared" si="330"/>
        <v>0</v>
      </c>
      <c r="N807" s="93">
        <f t="shared" si="330"/>
        <v>0</v>
      </c>
      <c r="O807" s="93">
        <f t="shared" si="328"/>
        <v>0</v>
      </c>
      <c r="P807" s="93">
        <f t="shared" si="329"/>
        <v>0</v>
      </c>
      <c r="Q807" s="597"/>
      <c r="R807" s="597"/>
      <c r="S807" s="597"/>
      <c r="T807" s="597"/>
      <c r="U807" s="597"/>
      <c r="V807" s="597"/>
      <c r="W807" s="597"/>
      <c r="X807" s="597"/>
      <c r="Y807" s="597"/>
      <c r="Z807" s="597"/>
    </row>
    <row r="808" spans="1:26" ht="19.5" hidden="1">
      <c r="A808" s="592"/>
      <c r="B808" s="600"/>
      <c r="C808" s="750"/>
      <c r="D808" s="869" t="s">
        <v>20</v>
      </c>
      <c r="E808" s="857"/>
      <c r="F808" s="857"/>
      <c r="G808" s="596"/>
      <c r="H808" s="639" t="s">
        <v>12</v>
      </c>
      <c r="I808" s="166"/>
      <c r="J808" s="166"/>
      <c r="K808" s="167"/>
      <c r="L808" s="640">
        <f t="shared" ref="L808:N808" si="331">L809+L810</f>
        <v>0</v>
      </c>
      <c r="M808" s="640">
        <f t="shared" si="331"/>
        <v>0</v>
      </c>
      <c r="N808" s="640">
        <f t="shared" si="331"/>
        <v>0</v>
      </c>
      <c r="O808" s="640">
        <f t="shared" si="328"/>
        <v>0</v>
      </c>
      <c r="P808" s="640">
        <f t="shared" si="329"/>
        <v>0</v>
      </c>
      <c r="Q808" s="597"/>
      <c r="R808" s="597"/>
      <c r="S808" s="597"/>
      <c r="T808" s="597"/>
      <c r="U808" s="597"/>
      <c r="V808" s="597"/>
      <c r="W808" s="597"/>
      <c r="X808" s="597"/>
      <c r="Y808" s="597"/>
      <c r="Z808" s="597"/>
    </row>
    <row r="809" spans="1:26" ht="18.75" hidden="1">
      <c r="A809" s="592"/>
      <c r="B809" s="750"/>
      <c r="C809" s="750"/>
      <c r="D809" s="609"/>
      <c r="E809" s="750" t="s">
        <v>184</v>
      </c>
      <c r="F809" s="750"/>
      <c r="G809" s="596"/>
      <c r="H809" s="165" t="s">
        <v>12</v>
      </c>
      <c r="I809" s="610"/>
      <c r="J809" s="610"/>
      <c r="K809" s="93"/>
      <c r="L809" s="93">
        <v>0</v>
      </c>
      <c r="M809" s="93">
        <v>0</v>
      </c>
      <c r="N809" s="93">
        <v>0</v>
      </c>
      <c r="O809" s="93">
        <f t="shared" si="328"/>
        <v>0</v>
      </c>
      <c r="P809" s="93">
        <f t="shared" si="329"/>
        <v>0</v>
      </c>
      <c r="Q809" s="597"/>
      <c r="R809" s="597"/>
      <c r="S809" s="597"/>
      <c r="T809" s="597"/>
      <c r="U809" s="597"/>
      <c r="V809" s="597"/>
      <c r="W809" s="597"/>
      <c r="X809" s="597"/>
      <c r="Y809" s="597"/>
      <c r="Z809" s="597"/>
    </row>
    <row r="810" spans="1:26" ht="18.75" hidden="1">
      <c r="A810" s="592"/>
      <c r="B810" s="750"/>
      <c r="C810" s="750"/>
      <c r="D810" s="609"/>
      <c r="E810" s="750" t="s">
        <v>185</v>
      </c>
      <c r="F810" s="750"/>
      <c r="G810" s="596"/>
      <c r="H810" s="165" t="s">
        <v>12</v>
      </c>
      <c r="I810" s="610"/>
      <c r="J810" s="610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8"/>
        <v>0</v>
      </c>
      <c r="P810" s="93">
        <f t="shared" si="329"/>
        <v>0</v>
      </c>
      <c r="Q810" s="597"/>
      <c r="R810" s="597"/>
      <c r="S810" s="597"/>
      <c r="T810" s="597"/>
      <c r="U810" s="597"/>
      <c r="V810" s="597"/>
      <c r="W810" s="597"/>
      <c r="X810" s="597"/>
      <c r="Y810" s="597"/>
      <c r="Z810" s="597"/>
    </row>
    <row r="811" spans="1:26" ht="18.75" hidden="1">
      <c r="A811" s="642"/>
      <c r="B811" s="600"/>
      <c r="C811" s="750"/>
      <c r="D811" s="600"/>
      <c r="E811" s="750"/>
      <c r="F811" s="750" t="s">
        <v>186</v>
      </c>
      <c r="G811" s="596"/>
      <c r="H811" s="165" t="s">
        <v>12</v>
      </c>
      <c r="I811" s="610"/>
      <c r="J811" s="610"/>
      <c r="K811" s="93"/>
      <c r="L811" s="93"/>
      <c r="M811" s="93"/>
      <c r="N811" s="93"/>
      <c r="O811" s="93"/>
      <c r="P811" s="93"/>
      <c r="Q811" s="597"/>
      <c r="R811" s="597"/>
      <c r="S811" s="597"/>
      <c r="T811" s="597"/>
      <c r="U811" s="597"/>
      <c r="V811" s="597"/>
      <c r="W811" s="597"/>
      <c r="X811" s="597"/>
      <c r="Y811" s="597"/>
      <c r="Z811" s="597"/>
    </row>
    <row r="812" spans="1:26" ht="18.75" hidden="1">
      <c r="A812" s="642"/>
      <c r="B812" s="600"/>
      <c r="C812" s="750"/>
      <c r="D812" s="600"/>
      <c r="E812" s="750"/>
      <c r="F812" s="750" t="s">
        <v>187</v>
      </c>
      <c r="G812" s="596"/>
      <c r="H812" s="165" t="s">
        <v>12</v>
      </c>
      <c r="I812" s="610"/>
      <c r="J812" s="610"/>
      <c r="K812" s="93"/>
      <c r="L812" s="93"/>
      <c r="M812" s="93"/>
      <c r="N812" s="93"/>
      <c r="O812" s="93"/>
      <c r="P812" s="93"/>
      <c r="Q812" s="597"/>
      <c r="R812" s="597"/>
      <c r="S812" s="597"/>
      <c r="T812" s="597"/>
      <c r="U812" s="597"/>
      <c r="V812" s="597"/>
      <c r="W812" s="597"/>
      <c r="X812" s="597"/>
      <c r="Y812" s="597"/>
      <c r="Z812" s="597"/>
    </row>
    <row r="813" spans="1:26" ht="18.75" hidden="1">
      <c r="A813" s="642"/>
      <c r="B813" s="600"/>
      <c r="C813" s="750"/>
      <c r="D813" s="600"/>
      <c r="E813" s="750"/>
      <c r="F813" s="750" t="s">
        <v>188</v>
      </c>
      <c r="G813" s="596"/>
      <c r="H813" s="165" t="s">
        <v>12</v>
      </c>
      <c r="I813" s="610"/>
      <c r="J813" s="610"/>
      <c r="K813" s="93"/>
      <c r="L813" s="93"/>
      <c r="M813" s="93"/>
      <c r="N813" s="93"/>
      <c r="O813" s="93"/>
      <c r="P813" s="93"/>
      <c r="Q813" s="597"/>
      <c r="R813" s="597"/>
      <c r="S813" s="597"/>
      <c r="T813" s="597"/>
      <c r="U813" s="597"/>
      <c r="V813" s="597"/>
      <c r="W813" s="597"/>
      <c r="X813" s="597"/>
      <c r="Y813" s="597"/>
      <c r="Z813" s="597"/>
    </row>
    <row r="814" spans="1:26" ht="18.75" hidden="1">
      <c r="A814" s="642"/>
      <c r="B814" s="600"/>
      <c r="C814" s="750"/>
      <c r="D814" s="600"/>
      <c r="E814" s="750"/>
      <c r="F814" s="750" t="s">
        <v>189</v>
      </c>
      <c r="G814" s="596"/>
      <c r="H814" s="165" t="s">
        <v>12</v>
      </c>
      <c r="I814" s="610"/>
      <c r="J814" s="610"/>
      <c r="K814" s="93"/>
      <c r="L814" s="93"/>
      <c r="M814" s="93"/>
      <c r="N814" s="93"/>
      <c r="O814" s="93"/>
      <c r="P814" s="93"/>
      <c r="Q814" s="597"/>
      <c r="R814" s="597"/>
      <c r="S814" s="597"/>
      <c r="T814" s="597"/>
      <c r="U814" s="597"/>
      <c r="V814" s="597"/>
      <c r="W814" s="597"/>
      <c r="X814" s="597"/>
      <c r="Y814" s="597"/>
      <c r="Z814" s="597"/>
    </row>
    <row r="815" spans="1:26" ht="19.5" hidden="1">
      <c r="A815" s="592"/>
      <c r="B815" s="600"/>
      <c r="C815" s="750"/>
      <c r="D815" s="869" t="s">
        <v>21</v>
      </c>
      <c r="E815" s="857"/>
      <c r="F815" s="857"/>
      <c r="G815" s="596"/>
      <c r="H815" s="774" t="s">
        <v>12</v>
      </c>
      <c r="I815" s="166"/>
      <c r="J815" s="166"/>
      <c r="K815" s="167"/>
      <c r="L815" s="640">
        <f t="shared" ref="L815:N815" si="332">L816+L817</f>
        <v>0</v>
      </c>
      <c r="M815" s="640">
        <f t="shared" si="332"/>
        <v>0</v>
      </c>
      <c r="N815" s="640">
        <f t="shared" si="332"/>
        <v>0</v>
      </c>
      <c r="O815" s="640">
        <f t="shared" ref="O815:O817" si="333">IF(L815&gt;0,N815*100/L815,0)</f>
        <v>0</v>
      </c>
      <c r="P815" s="640">
        <f t="shared" ref="P815:P817" si="334">IF(M815&gt;0,N815*100/M815,0)</f>
        <v>0</v>
      </c>
      <c r="Q815" s="597"/>
      <c r="R815" s="597"/>
      <c r="S815" s="597"/>
      <c r="T815" s="597"/>
      <c r="U815" s="597"/>
      <c r="V815" s="597"/>
      <c r="W815" s="597"/>
      <c r="X815" s="597"/>
      <c r="Y815" s="597"/>
      <c r="Z815" s="597"/>
    </row>
    <row r="816" spans="1:26" ht="18.75" hidden="1">
      <c r="A816" s="592"/>
      <c r="B816" s="600"/>
      <c r="C816" s="750"/>
      <c r="D816" s="600"/>
      <c r="E816" s="750" t="s">
        <v>18</v>
      </c>
      <c r="F816" s="750"/>
      <c r="G816" s="596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3"/>
        <v>0</v>
      </c>
      <c r="P816" s="93">
        <f t="shared" si="334"/>
        <v>0</v>
      </c>
      <c r="Q816" s="597"/>
      <c r="R816" s="597"/>
      <c r="S816" s="597"/>
      <c r="T816" s="597"/>
      <c r="U816" s="597"/>
      <c r="V816" s="597"/>
      <c r="W816" s="597"/>
      <c r="X816" s="597"/>
      <c r="Y816" s="597"/>
      <c r="Z816" s="597"/>
    </row>
    <row r="817" spans="1:26" ht="18.75" hidden="1">
      <c r="A817" s="592"/>
      <c r="B817" s="600"/>
      <c r="C817" s="750"/>
      <c r="D817" s="600"/>
      <c r="E817" s="750" t="s">
        <v>19</v>
      </c>
      <c r="F817" s="750"/>
      <c r="G817" s="596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3"/>
        <v>0</v>
      </c>
      <c r="P817" s="93">
        <f t="shared" si="334"/>
        <v>0</v>
      </c>
      <c r="Q817" s="597"/>
      <c r="R817" s="597"/>
      <c r="S817" s="597"/>
      <c r="T817" s="597"/>
      <c r="U817" s="597"/>
      <c r="V817" s="597"/>
      <c r="W817" s="597"/>
      <c r="X817" s="597"/>
      <c r="Y817" s="597"/>
      <c r="Z817" s="597"/>
    </row>
    <row r="818" spans="1:26" ht="19.5" hidden="1">
      <c r="A818" s="607"/>
      <c r="B818" s="609"/>
      <c r="C818" s="750" t="s">
        <v>16</v>
      </c>
      <c r="D818" s="842" t="s">
        <v>38</v>
      </c>
      <c r="E818" s="644"/>
      <c r="F818" s="644"/>
      <c r="G818" s="645"/>
      <c r="H818" s="365"/>
      <c r="I818" s="166"/>
      <c r="J818" s="166"/>
      <c r="K818" s="167"/>
      <c r="L818" s="167"/>
      <c r="M818" s="167"/>
      <c r="N818" s="167"/>
      <c r="O818" s="167"/>
      <c r="P818" s="167"/>
      <c r="Q818" s="597"/>
      <c r="R818" s="597"/>
      <c r="S818" s="597"/>
      <c r="T818" s="597"/>
      <c r="U818" s="597"/>
      <c r="V818" s="597"/>
      <c r="W818" s="597"/>
      <c r="X818" s="597"/>
      <c r="Y818" s="597"/>
      <c r="Z818" s="597"/>
    </row>
    <row r="819" spans="1:26" ht="19.5" hidden="1" thickBot="1">
      <c r="A819" s="805"/>
      <c r="B819" s="806"/>
      <c r="C819" s="808"/>
      <c r="D819" s="806"/>
      <c r="E819" s="808" t="s">
        <v>323</v>
      </c>
      <c r="F819" s="808"/>
      <c r="G819" s="809"/>
      <c r="H819" s="810" t="s">
        <v>46</v>
      </c>
      <c r="I819" s="811"/>
      <c r="J819" s="811"/>
      <c r="K819" s="812"/>
      <c r="L819" s="812"/>
      <c r="M819" s="812"/>
      <c r="N819" s="812"/>
      <c r="O819" s="812"/>
      <c r="P819" s="812"/>
      <c r="Q819" s="597"/>
      <c r="R819" s="597"/>
      <c r="S819" s="597"/>
      <c r="T819" s="597"/>
      <c r="U819" s="597"/>
      <c r="V819" s="597"/>
      <c r="W819" s="597"/>
      <c r="X819" s="597"/>
      <c r="Y819" s="597"/>
      <c r="Z819" s="597"/>
    </row>
    <row r="820" spans="1:26" ht="19.5">
      <c r="A820" s="813" t="s">
        <v>331</v>
      </c>
      <c r="B820" s="814"/>
      <c r="C820" s="814"/>
      <c r="D820" s="815"/>
      <c r="E820" s="814"/>
      <c r="F820" s="814"/>
      <c r="G820" s="816"/>
      <c r="H820" s="816"/>
      <c r="I820" s="214"/>
      <c r="J820" s="214"/>
      <c r="K820" s="817"/>
      <c r="L820" s="817"/>
      <c r="M820" s="817"/>
      <c r="N820" s="817"/>
      <c r="O820" s="817"/>
      <c r="P820" s="817"/>
      <c r="Q820" s="571"/>
      <c r="R820" s="571"/>
      <c r="S820" s="571"/>
      <c r="T820" s="571"/>
      <c r="U820" s="571"/>
      <c r="V820" s="571"/>
      <c r="W820" s="571"/>
      <c r="X820" s="571"/>
      <c r="Y820" s="571"/>
      <c r="Z820" s="571"/>
    </row>
    <row r="821" spans="1:26" ht="18.75">
      <c r="A821" s="735"/>
      <c r="B821" s="754" t="s">
        <v>325</v>
      </c>
      <c r="C821" s="754"/>
      <c r="D821" s="568"/>
      <c r="E821" s="754"/>
      <c r="F821" s="754"/>
      <c r="G821" s="189"/>
      <c r="H821" s="616" t="s">
        <v>12</v>
      </c>
      <c r="I821" s="269">
        <f ca="1">IFERROR(__xludf.DUMMYFUNCTION("IMPORTRANGE(""https://docs.google.com/spreadsheets/d/19vJNZY_5yjcGF2XGBMNZRCAIB0Kwfpjp8YEOfu-bneM/edit?usp=sharing"",""งานกองทุน!D62"")"),2020485.68)</f>
        <v>2020485.68</v>
      </c>
      <c r="J821" s="269">
        <f ca="1">IFERROR(__xludf.DUMMYFUNCTION("IMPORTRANGE(""https://docs.google.com/spreadsheets/d/19vJNZY_5yjcGF2XGBMNZRCAIB0Kwfpjp8YEOfu-bneM/edit?usp=sharing"",""งานกองทุน!F62"")"),4930.96)</f>
        <v>4930.96</v>
      </c>
      <c r="K821" s="496">
        <f t="shared" ref="K821:K828" ca="1" si="335">IF(I821&gt;0,J821*100/I821,0)</f>
        <v>0.24404825279434794</v>
      </c>
      <c r="L821" s="496"/>
      <c r="M821" s="496"/>
      <c r="N821" s="496"/>
      <c r="O821" s="496"/>
      <c r="P821" s="496"/>
      <c r="Q821" s="571"/>
      <c r="R821" s="571"/>
      <c r="S821" s="571"/>
      <c r="T821" s="571"/>
      <c r="U821" s="571"/>
      <c r="V821" s="571"/>
      <c r="W821" s="571"/>
      <c r="X821" s="571"/>
      <c r="Y821" s="571"/>
      <c r="Z821" s="571"/>
    </row>
    <row r="822" spans="1:26" ht="18.75">
      <c r="A822" s="735"/>
      <c r="B822" s="754"/>
      <c r="C822" s="754"/>
      <c r="D822" s="568"/>
      <c r="E822" s="754"/>
      <c r="F822" s="754"/>
      <c r="G822" s="189"/>
      <c r="H822" s="616" t="s">
        <v>35</v>
      </c>
      <c r="I822" s="269">
        <f ca="1">IFERROR(__xludf.DUMMYFUNCTION("IMPORTRANGE(""https://docs.google.com/spreadsheets/d/19vJNZY_5yjcGF2XGBMNZRCAIB0Kwfpjp8YEOfu-bneM/edit?usp=sharing"",""งานกองทุน!C62"")"),141)</f>
        <v>141</v>
      </c>
      <c r="J822" s="269">
        <f ca="1">IFERROR(__xludf.DUMMYFUNCTION("IMPORTRANGE(""https://docs.google.com/spreadsheets/d/19vJNZY_5yjcGF2XGBMNZRCAIB0Kwfpjp8YEOfu-bneM/edit?usp=sharing"",""งานกองทุน!E62"")"),1)</f>
        <v>1</v>
      </c>
      <c r="K822" s="496">
        <f t="shared" ca="1" si="335"/>
        <v>0.70921985815602839</v>
      </c>
      <c r="L822" s="496"/>
      <c r="M822" s="496"/>
      <c r="N822" s="496"/>
      <c r="O822" s="496"/>
      <c r="P822" s="496"/>
      <c r="Q822" s="571"/>
      <c r="R822" s="571"/>
      <c r="S822" s="571"/>
      <c r="T822" s="571"/>
      <c r="U822" s="571"/>
      <c r="V822" s="571"/>
      <c r="W822" s="571"/>
      <c r="X822" s="571"/>
      <c r="Y822" s="571"/>
      <c r="Z822" s="571"/>
    </row>
    <row r="823" spans="1:26" ht="18.75">
      <c r="A823" s="735"/>
      <c r="B823" s="754" t="s">
        <v>326</v>
      </c>
      <c r="C823" s="754"/>
      <c r="D823" s="568"/>
      <c r="E823" s="754"/>
      <c r="F823" s="754"/>
      <c r="G823" s="189"/>
      <c r="H823" s="616" t="s">
        <v>12</v>
      </c>
      <c r="I823" s="269">
        <f ca="1">IFERROR(__xludf.DUMMYFUNCTION("IMPORTRANGE(""https://docs.google.com/spreadsheets/d/19vJNZY_5yjcGF2XGBMNZRCAIB0Kwfpjp8YEOfu-bneM/edit?usp=sharing"",""งานกองทุน!I62"")"),229136.44)</f>
        <v>229136.44</v>
      </c>
      <c r="J823" s="269">
        <f ca="1">IFERROR(__xludf.DUMMYFUNCTION("IMPORTRANGE(""https://docs.google.com/spreadsheets/d/19vJNZY_5yjcGF2XGBMNZRCAIB0Kwfpjp8YEOfu-bneM/edit?usp=sharing"",""งานกองทุน!K62"")"),10308.41)</f>
        <v>10308.41</v>
      </c>
      <c r="K823" s="496">
        <f t="shared" ca="1" si="335"/>
        <v>4.4988086574095325</v>
      </c>
      <c r="L823" s="496"/>
      <c r="M823" s="496"/>
      <c r="N823" s="496"/>
      <c r="O823" s="496"/>
      <c r="P823" s="496"/>
      <c r="Q823" s="571"/>
      <c r="R823" s="571"/>
      <c r="S823" s="571"/>
      <c r="T823" s="571"/>
      <c r="U823" s="571"/>
      <c r="V823" s="571"/>
      <c r="W823" s="571"/>
      <c r="X823" s="571"/>
      <c r="Y823" s="571"/>
      <c r="Z823" s="571"/>
    </row>
    <row r="824" spans="1:26" ht="18.75">
      <c r="A824" s="735"/>
      <c r="B824" s="754"/>
      <c r="C824" s="754"/>
      <c r="D824" s="568"/>
      <c r="E824" s="754"/>
      <c r="F824" s="754"/>
      <c r="G824" s="189"/>
      <c r="H824" s="616" t="s">
        <v>35</v>
      </c>
      <c r="I824" s="269">
        <f ca="1">IFERROR(__xludf.DUMMYFUNCTION("IMPORTRANGE(""https://docs.google.com/spreadsheets/d/19vJNZY_5yjcGF2XGBMNZRCAIB0Kwfpjp8YEOfu-bneM/edit?usp=sharing"",""งานกองทุน!H62"")"),16)</f>
        <v>16</v>
      </c>
      <c r="J824" s="269">
        <f ca="1">IFERROR(__xludf.DUMMYFUNCTION("IMPORTRANGE(""https://docs.google.com/spreadsheets/d/19vJNZY_5yjcGF2XGBMNZRCAIB0Kwfpjp8YEOfu-bneM/edit?usp=sharing"",""งานกองทุน!J62"")"),8)</f>
        <v>8</v>
      </c>
      <c r="K824" s="496">
        <f t="shared" ca="1" si="335"/>
        <v>50</v>
      </c>
      <c r="L824" s="496"/>
      <c r="M824" s="496"/>
      <c r="N824" s="496"/>
      <c r="O824" s="496"/>
      <c r="P824" s="496"/>
      <c r="Q824" s="571"/>
      <c r="R824" s="571"/>
      <c r="S824" s="571"/>
      <c r="T824" s="571"/>
      <c r="U824" s="571"/>
      <c r="V824" s="571"/>
      <c r="W824" s="571"/>
      <c r="X824" s="571"/>
      <c r="Y824" s="571"/>
      <c r="Z824" s="571"/>
    </row>
    <row r="825" spans="1:26" ht="18.75">
      <c r="A825" s="735"/>
      <c r="B825" s="754" t="s">
        <v>327</v>
      </c>
      <c r="C825" s="754"/>
      <c r="D825" s="568"/>
      <c r="E825" s="754"/>
      <c r="F825" s="754"/>
      <c r="G825" s="189"/>
      <c r="H825" s="616" t="s">
        <v>12</v>
      </c>
      <c r="I825" s="269">
        <f ca="1">IFERROR(__xludf.DUMMYFUNCTION("IMPORTRANGE(""https://docs.google.com/spreadsheets/d/19vJNZY_5yjcGF2XGBMNZRCAIB0Kwfpjp8YEOfu-bneM/edit?usp=sharing"",""งานกองทุน!N62"")"),231.96)</f>
        <v>231.96</v>
      </c>
      <c r="J825" s="269">
        <f ca="1">IFERROR(__xludf.DUMMYFUNCTION("IMPORTRANGE(""https://docs.google.com/spreadsheets/d/19vJNZY_5yjcGF2XGBMNZRCAIB0Kwfpjp8YEOfu-bneM/edit?usp=sharing"",""งานกองทุน!P62"")"),231.96)</f>
        <v>231.96</v>
      </c>
      <c r="K825" s="496">
        <f t="shared" ca="1" si="335"/>
        <v>100</v>
      </c>
      <c r="L825" s="496"/>
      <c r="M825" s="496"/>
      <c r="N825" s="496"/>
      <c r="O825" s="496"/>
      <c r="P825" s="496"/>
      <c r="Q825" s="571"/>
      <c r="R825" s="571"/>
      <c r="S825" s="571"/>
      <c r="T825" s="571"/>
      <c r="U825" s="571"/>
      <c r="V825" s="571"/>
      <c r="W825" s="571"/>
      <c r="X825" s="571"/>
      <c r="Y825" s="571"/>
      <c r="Z825" s="571"/>
    </row>
    <row r="826" spans="1:26" ht="18.75">
      <c r="A826" s="735"/>
      <c r="B826" s="754"/>
      <c r="C826" s="754"/>
      <c r="D826" s="568"/>
      <c r="E826" s="754"/>
      <c r="F826" s="754"/>
      <c r="G826" s="189"/>
      <c r="H826" s="616" t="s">
        <v>35</v>
      </c>
      <c r="I826" s="269">
        <f ca="1">IFERROR(__xludf.DUMMYFUNCTION("IMPORTRANGE(""https://docs.google.com/spreadsheets/d/19vJNZY_5yjcGF2XGBMNZRCAIB0Kwfpjp8YEOfu-bneM/edit?usp=sharing"",""งานกองทุน!M62"")"),1)</f>
        <v>1</v>
      </c>
      <c r="J826" s="269">
        <f ca="1">IFERROR(__xludf.DUMMYFUNCTION("IMPORTRANGE(""https://docs.google.com/spreadsheets/d/19vJNZY_5yjcGF2XGBMNZRCAIB0Kwfpjp8YEOfu-bneM/edit?usp=sharing"",""งานกองทุน!O62"")"),1)</f>
        <v>1</v>
      </c>
      <c r="K826" s="496">
        <f t="shared" ca="1" si="335"/>
        <v>100</v>
      </c>
      <c r="L826" s="496"/>
      <c r="M826" s="496"/>
      <c r="N826" s="496"/>
      <c r="O826" s="496"/>
      <c r="P826" s="496"/>
      <c r="Q826" s="571"/>
      <c r="R826" s="571"/>
      <c r="S826" s="571"/>
      <c r="T826" s="571"/>
      <c r="U826" s="571"/>
      <c r="V826" s="571"/>
      <c r="W826" s="571"/>
      <c r="X826" s="571"/>
      <c r="Y826" s="571"/>
      <c r="Z826" s="571"/>
    </row>
    <row r="827" spans="1:26" ht="18.75">
      <c r="A827" s="735"/>
      <c r="B827" s="754" t="s">
        <v>328</v>
      </c>
      <c r="C827" s="754"/>
      <c r="D827" s="568"/>
      <c r="E827" s="754"/>
      <c r="F827" s="754"/>
      <c r="G827" s="189"/>
      <c r="H827" s="616" t="s">
        <v>12</v>
      </c>
      <c r="I827" s="269">
        <f ca="1">IFERROR(__xludf.DUMMYFUNCTION("IMPORTRANGE(""https://docs.google.com/spreadsheets/d/19vJNZY_5yjcGF2XGBMNZRCAIB0Kwfpjp8YEOfu-bneM/edit?usp=sharing"",""งานกองทุน!S62"")"),2000000)</f>
        <v>2000000</v>
      </c>
      <c r="J827" s="269">
        <f ca="1">IFERROR(__xludf.DUMMYFUNCTION("IMPORTRANGE(""https://docs.google.com/spreadsheets/d/19vJNZY_5yjcGF2XGBMNZRCAIB0Kwfpjp8YEOfu-bneM/edit?usp=sharing"",""งานกองทุน!U62"")"),0)</f>
        <v>0</v>
      </c>
      <c r="K827" s="496">
        <f t="shared" ca="1" si="335"/>
        <v>0</v>
      </c>
      <c r="L827" s="496"/>
      <c r="M827" s="496"/>
      <c r="N827" s="496"/>
      <c r="O827" s="496"/>
      <c r="P827" s="496"/>
      <c r="Q827" s="571"/>
      <c r="R827" s="571"/>
      <c r="S827" s="571"/>
      <c r="T827" s="571"/>
      <c r="U827" s="571"/>
      <c r="V827" s="571"/>
      <c r="W827" s="571"/>
      <c r="X827" s="571"/>
      <c r="Y827" s="571"/>
      <c r="Z827" s="571"/>
    </row>
    <row r="828" spans="1:26" ht="18.75">
      <c r="A828" s="738"/>
      <c r="B828" s="740"/>
      <c r="C828" s="740"/>
      <c r="D828" s="739"/>
      <c r="E828" s="740"/>
      <c r="F828" s="740"/>
      <c r="G828" s="818"/>
      <c r="H828" s="819" t="s">
        <v>35</v>
      </c>
      <c r="I828" s="499">
        <f ca="1">IFERROR(__xludf.DUMMYFUNCTION("IMPORTRANGE(""https://docs.google.com/spreadsheets/d/19vJNZY_5yjcGF2XGBMNZRCAIB0Kwfpjp8YEOfu-bneM/edit?usp=sharing"",""งานกองทุน!R62"")"),66)</f>
        <v>66</v>
      </c>
      <c r="J828" s="499">
        <f ca="1">IFERROR(__xludf.DUMMYFUNCTION("IMPORTRANGE(""https://docs.google.com/spreadsheets/d/19vJNZY_5yjcGF2XGBMNZRCAIB0Kwfpjp8YEOfu-bneM/edit?usp=sharing"",""งานกองทุน!T62"")"),0)</f>
        <v>0</v>
      </c>
      <c r="K828" s="500">
        <f t="shared" ca="1" si="335"/>
        <v>0</v>
      </c>
      <c r="L828" s="500"/>
      <c r="M828" s="500"/>
      <c r="N828" s="500"/>
      <c r="O828" s="500"/>
      <c r="P828" s="500"/>
      <c r="Q828" s="571"/>
      <c r="R828" s="571"/>
      <c r="S828" s="571"/>
      <c r="T828" s="571"/>
      <c r="U828" s="571"/>
      <c r="V828" s="571"/>
      <c r="W828" s="571"/>
      <c r="X828" s="571"/>
      <c r="Y828" s="571"/>
      <c r="Z828" s="571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544:F544"/>
    <mergeCell ref="A7:G7"/>
    <mergeCell ref="A17:G17"/>
    <mergeCell ref="A27:G27"/>
    <mergeCell ref="B40:G40"/>
    <mergeCell ref="A50:G50"/>
    <mergeCell ref="B51:G51"/>
    <mergeCell ref="D419:F419"/>
    <mergeCell ref="D444:F444"/>
    <mergeCell ref="D467:F467"/>
    <mergeCell ref="D502:F502"/>
    <mergeCell ref="D523:F523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 gridLines="1"/>
  <pageMargins left="0.23622047244094491" right="0.23622047244094491" top="0.74803149606299213" bottom="0.74803149606299213" header="0" footer="0"/>
  <pageSetup paperSize="9" scale="43" fitToHeight="0" pageOrder="overThenDown" orientation="portrait" cellComments="atEnd" r:id="rId1"/>
  <headerFooter>
    <oddFooter>&amp;Cหน้า &amp;P/&amp;N</oddFooter>
  </headerFooter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1D7C33-CB6C-4007-963E-4CDAAC56F310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activeCell="A2" sqref="A2:P2"/>
      <selection pane="bottomLeft" activeCell="A2" sqref="A2:P2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9" width="16.85546875" bestFit="1" customWidth="1"/>
    <col min="10" max="10" width="14.42578125" bestFit="1" customWidth="1"/>
    <col min="11" max="11" width="12.5703125" customWidth="1"/>
    <col min="12" max="14" width="21.28515625" bestFit="1" customWidth="1"/>
    <col min="15" max="16" width="17.5703125" customWidth="1"/>
  </cols>
  <sheetData>
    <row r="1" spans="1:26" ht="19.5">
      <c r="A1" s="844" t="s">
        <v>0</v>
      </c>
      <c r="B1" s="845"/>
      <c r="C1" s="845"/>
      <c r="D1" s="845"/>
      <c r="E1" s="845"/>
      <c r="F1" s="845"/>
      <c r="G1" s="845"/>
      <c r="H1" s="845"/>
      <c r="I1" s="845"/>
      <c r="J1" s="845"/>
      <c r="K1" s="845"/>
      <c r="L1" s="845"/>
      <c r="M1" s="845"/>
      <c r="N1" s="845"/>
      <c r="O1" s="845"/>
      <c r="P1" s="845"/>
    </row>
    <row r="2" spans="1:26" ht="19.5">
      <c r="A2" s="844" t="s">
        <v>348</v>
      </c>
      <c r="B2" s="845"/>
      <c r="C2" s="845"/>
      <c r="D2" s="845"/>
      <c r="E2" s="845"/>
      <c r="F2" s="845"/>
      <c r="G2" s="845"/>
      <c r="H2" s="845"/>
      <c r="I2" s="845"/>
      <c r="J2" s="845"/>
      <c r="K2" s="845"/>
      <c r="L2" s="845"/>
      <c r="M2" s="845"/>
      <c r="N2" s="845"/>
      <c r="O2" s="845"/>
      <c r="P2" s="845"/>
    </row>
    <row r="3" spans="1:26" ht="19.5">
      <c r="A3" s="844" t="s">
        <v>347</v>
      </c>
      <c r="B3" s="845"/>
      <c r="C3" s="845"/>
      <c r="D3" s="845"/>
      <c r="E3" s="845"/>
      <c r="F3" s="845"/>
      <c r="G3" s="845"/>
      <c r="H3" s="845"/>
      <c r="I3" s="845"/>
      <c r="J3" s="845"/>
      <c r="K3" s="845"/>
      <c r="L3" s="845"/>
      <c r="M3" s="845"/>
      <c r="N3" s="845"/>
      <c r="O3" s="845"/>
      <c r="P3" s="845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52" t="s">
        <v>2</v>
      </c>
      <c r="B5" s="845"/>
      <c r="C5" s="845"/>
      <c r="D5" s="845"/>
      <c r="E5" s="845"/>
      <c r="F5" s="845"/>
      <c r="G5" s="853"/>
      <c r="H5" s="846" t="s">
        <v>3</v>
      </c>
      <c r="I5" s="848" t="s">
        <v>4</v>
      </c>
      <c r="J5" s="849"/>
      <c r="K5" s="847"/>
      <c r="L5" s="850" t="s">
        <v>5</v>
      </c>
      <c r="M5" s="847"/>
      <c r="N5" s="851" t="s">
        <v>6</v>
      </c>
      <c r="O5" s="849"/>
      <c r="P5" s="847"/>
    </row>
    <row r="6" spans="1:26" ht="19.5">
      <c r="A6" s="854"/>
      <c r="B6" s="849"/>
      <c r="C6" s="849"/>
      <c r="D6" s="849"/>
      <c r="E6" s="849"/>
      <c r="F6" s="849"/>
      <c r="G6" s="847"/>
      <c r="H6" s="847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55" t="s">
        <v>15</v>
      </c>
      <c r="B7" s="849"/>
      <c r="C7" s="849"/>
      <c r="D7" s="849"/>
      <c r="E7" s="849"/>
      <c r="F7" s="849"/>
      <c r="G7" s="847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3775253</v>
      </c>
      <c r="M8" s="22">
        <f t="shared" ca="1" si="0"/>
        <v>1912930</v>
      </c>
      <c r="N8" s="22">
        <f t="shared" ca="1" si="0"/>
        <v>1322224.2</v>
      </c>
      <c r="O8" s="22">
        <f t="shared" ref="O8:O16" ca="1" si="1">IF(L8&gt;0,N8*100/L8,0)</f>
        <v>35.023459354909455</v>
      </c>
      <c r="P8" s="22">
        <f t="shared" ref="P8:P16" ca="1" si="2">IF(M8&gt;0,N8*100/M8,0)</f>
        <v>69.120365094384013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3775253</v>
      </c>
      <c r="M10" s="30">
        <f t="shared" ca="1" si="3"/>
        <v>1912930</v>
      </c>
      <c r="N10" s="30">
        <f t="shared" ca="1" si="3"/>
        <v>1322224.2</v>
      </c>
      <c r="O10" s="30">
        <f t="shared" ca="1" si="1"/>
        <v>35.023459354909455</v>
      </c>
      <c r="P10" s="30">
        <f t="shared" ca="1" si="2"/>
        <v>69.120365094384013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16" t="s">
        <v>12</v>
      </c>
      <c r="I11" s="269"/>
      <c r="J11" s="269"/>
      <c r="K11" s="496"/>
      <c r="L11" s="496">
        <f t="shared" ref="L11:N11" ca="1" si="4">L12+L13</f>
        <v>3173853</v>
      </c>
      <c r="M11" s="496">
        <f t="shared" ca="1" si="4"/>
        <v>1311530</v>
      </c>
      <c r="N11" s="496">
        <f t="shared" ca="1" si="4"/>
        <v>720824.2</v>
      </c>
      <c r="O11" s="496">
        <f t="shared" ca="1" si="1"/>
        <v>22.711329100623121</v>
      </c>
      <c r="P11" s="496">
        <f t="shared" ca="1" si="2"/>
        <v>54.960557516793365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2" t="s">
        <v>18</v>
      </c>
      <c r="F12" s="40"/>
      <c r="G12" s="42"/>
      <c r="H12" s="43" t="s">
        <v>12</v>
      </c>
      <c r="I12" s="610"/>
      <c r="J12" s="610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2" t="s">
        <v>19</v>
      </c>
      <c r="F13" s="40"/>
      <c r="G13" s="42"/>
      <c r="H13" s="43" t="s">
        <v>12</v>
      </c>
      <c r="I13" s="610"/>
      <c r="J13" s="610"/>
      <c r="K13" s="93"/>
      <c r="L13" s="93">
        <f t="shared" ca="1" si="5"/>
        <v>3173853</v>
      </c>
      <c r="M13" s="93">
        <f t="shared" ca="1" si="5"/>
        <v>1311530</v>
      </c>
      <c r="N13" s="93">
        <f t="shared" ca="1" si="5"/>
        <v>720824.2</v>
      </c>
      <c r="O13" s="93">
        <f t="shared" ca="1" si="1"/>
        <v>22.711329100623121</v>
      </c>
      <c r="P13" s="93">
        <f t="shared" ca="1" si="2"/>
        <v>54.960557516793365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16" t="s">
        <v>12</v>
      </c>
      <c r="I14" s="269"/>
      <c r="J14" s="269"/>
      <c r="K14" s="496"/>
      <c r="L14" s="496">
        <f t="shared" ref="L14:N14" ca="1" si="6">L15+L16</f>
        <v>601400</v>
      </c>
      <c r="M14" s="496">
        <f t="shared" ca="1" si="6"/>
        <v>601400</v>
      </c>
      <c r="N14" s="496">
        <f t="shared" ca="1" si="6"/>
        <v>601400</v>
      </c>
      <c r="O14" s="496">
        <f t="shared" ca="1" si="1"/>
        <v>100</v>
      </c>
      <c r="P14" s="496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2" t="s">
        <v>18</v>
      </c>
      <c r="F15" s="40"/>
      <c r="G15" s="42"/>
      <c r="H15" s="43" t="s">
        <v>12</v>
      </c>
      <c r="I15" s="610"/>
      <c r="J15" s="610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601400</v>
      </c>
      <c r="M16" s="52">
        <f t="shared" ca="1" si="7"/>
        <v>601400</v>
      </c>
      <c r="N16" s="52">
        <f t="shared" ca="1" si="7"/>
        <v>601400</v>
      </c>
      <c r="O16" s="52">
        <f t="shared" ca="1" si="1"/>
        <v>100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55" t="s">
        <v>22</v>
      </c>
      <c r="B17" s="849"/>
      <c r="C17" s="849"/>
      <c r="D17" s="849"/>
      <c r="E17" s="849"/>
      <c r="F17" s="849"/>
      <c r="G17" s="847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3051710</v>
      </c>
      <c r="M18" s="22">
        <f t="shared" ca="1" si="8"/>
        <v>1912930</v>
      </c>
      <c r="N18" s="22">
        <f t="shared" ca="1" si="8"/>
        <v>1272044.2</v>
      </c>
      <c r="O18" s="22">
        <f t="shared" ref="O18:O26" ca="1" si="9">IF(L18&gt;0,N18*100/L18,0)</f>
        <v>41.682997401456888</v>
      </c>
      <c r="P18" s="22">
        <f t="shared" ref="P18:P26" ca="1" si="10">IF(M18&gt;0,N18*100/M18,0)</f>
        <v>66.497164036321252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3051710</v>
      </c>
      <c r="M20" s="30">
        <f t="shared" ca="1" si="11"/>
        <v>1912930</v>
      </c>
      <c r="N20" s="30">
        <f t="shared" ca="1" si="11"/>
        <v>1272044.2</v>
      </c>
      <c r="O20" s="30">
        <f t="shared" ca="1" si="9"/>
        <v>41.682997401456888</v>
      </c>
      <c r="P20" s="30">
        <f t="shared" ca="1" si="10"/>
        <v>66.497164036321252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16" t="s">
        <v>12</v>
      </c>
      <c r="I21" s="269"/>
      <c r="J21" s="269"/>
      <c r="K21" s="496"/>
      <c r="L21" s="496">
        <f t="shared" ref="L21:N21" ca="1" si="12">L22+L23</f>
        <v>2450310</v>
      </c>
      <c r="M21" s="496">
        <f t="shared" ca="1" si="12"/>
        <v>1311530</v>
      </c>
      <c r="N21" s="496">
        <f t="shared" ca="1" si="12"/>
        <v>670644.19999999995</v>
      </c>
      <c r="O21" s="496">
        <f t="shared" ca="1" si="9"/>
        <v>27.369769539364405</v>
      </c>
      <c r="P21" s="496">
        <f t="shared" ca="1" si="10"/>
        <v>51.134491776779782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2" t="s">
        <v>18</v>
      </c>
      <c r="F22" s="40"/>
      <c r="G22" s="42"/>
      <c r="H22" s="43" t="s">
        <v>12</v>
      </c>
      <c r="I22" s="610"/>
      <c r="J22" s="610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2" t="s">
        <v>19</v>
      </c>
      <c r="F23" s="40"/>
      <c r="G23" s="42"/>
      <c r="H23" s="43" t="s">
        <v>12</v>
      </c>
      <c r="I23" s="610"/>
      <c r="J23" s="610"/>
      <c r="K23" s="93"/>
      <c r="L23" s="93">
        <f t="shared" ca="1" si="13"/>
        <v>2450310</v>
      </c>
      <c r="M23" s="93">
        <f t="shared" ca="1" si="13"/>
        <v>1311530</v>
      </c>
      <c r="N23" s="93">
        <f t="shared" ca="1" si="13"/>
        <v>670644.19999999995</v>
      </c>
      <c r="O23" s="93">
        <f t="shared" ca="1" si="9"/>
        <v>27.369769539364405</v>
      </c>
      <c r="P23" s="93">
        <f t="shared" ca="1" si="10"/>
        <v>51.134491776779782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16" t="s">
        <v>12</v>
      </c>
      <c r="I24" s="269"/>
      <c r="J24" s="269"/>
      <c r="K24" s="496"/>
      <c r="L24" s="496">
        <f t="shared" ref="L24:N24" ca="1" si="14">L25+L26</f>
        <v>601400</v>
      </c>
      <c r="M24" s="496">
        <f t="shared" ca="1" si="14"/>
        <v>601400</v>
      </c>
      <c r="N24" s="496">
        <f t="shared" ca="1" si="14"/>
        <v>601400</v>
      </c>
      <c r="O24" s="496">
        <f t="shared" ca="1" si="9"/>
        <v>100</v>
      </c>
      <c r="P24" s="496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2" t="s">
        <v>18</v>
      </c>
      <c r="F25" s="40"/>
      <c r="G25" s="42"/>
      <c r="H25" s="43" t="s">
        <v>12</v>
      </c>
      <c r="I25" s="610"/>
      <c r="J25" s="610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601400</v>
      </c>
      <c r="M26" s="52">
        <f t="shared" ca="1" si="15"/>
        <v>601400</v>
      </c>
      <c r="N26" s="52">
        <f t="shared" ca="1" si="15"/>
        <v>601400</v>
      </c>
      <c r="O26" s="52">
        <f t="shared" ca="1" si="9"/>
        <v>100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55" t="s">
        <v>23</v>
      </c>
      <c r="B27" s="849"/>
      <c r="C27" s="849"/>
      <c r="D27" s="849"/>
      <c r="E27" s="849"/>
      <c r="F27" s="849"/>
      <c r="G27" s="847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723543</v>
      </c>
      <c r="M28" s="22">
        <f t="shared" si="16"/>
        <v>0</v>
      </c>
      <c r="N28" s="22">
        <f t="shared" si="16"/>
        <v>50180</v>
      </c>
      <c r="O28" s="22">
        <f t="shared" ref="O28:O37" ca="1" si="17">IF(L28&gt;0,N28*100/L28,0)</f>
        <v>6.9353169058369719</v>
      </c>
      <c r="P28" s="22">
        <f t="shared" ref="P28:P37" si="18">IF(M28&gt;0,N28*100/M28,0)</f>
        <v>0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723543</v>
      </c>
      <c r="M30" s="30">
        <f t="shared" si="19"/>
        <v>0</v>
      </c>
      <c r="N30" s="30">
        <f t="shared" si="19"/>
        <v>50180</v>
      </c>
      <c r="O30" s="30">
        <f t="shared" ca="1" si="17"/>
        <v>6.9353169058369719</v>
      </c>
      <c r="P30" s="30">
        <f t="shared" si="18"/>
        <v>0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16" t="s">
        <v>12</v>
      </c>
      <c r="I31" s="269"/>
      <c r="J31" s="269"/>
      <c r="K31" s="496"/>
      <c r="L31" s="496">
        <f t="shared" ref="L31:N31" ca="1" si="20">L32+L33</f>
        <v>723543</v>
      </c>
      <c r="M31" s="496">
        <f t="shared" si="20"/>
        <v>0</v>
      </c>
      <c r="N31" s="496">
        <f t="shared" si="20"/>
        <v>50180</v>
      </c>
      <c r="O31" s="496">
        <f t="shared" ca="1" si="17"/>
        <v>6.9353169058369719</v>
      </c>
      <c r="P31" s="496">
        <f t="shared" si="18"/>
        <v>0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2" t="s">
        <v>18</v>
      </c>
      <c r="F32" s="40"/>
      <c r="G32" s="42"/>
      <c r="H32" s="43" t="s">
        <v>12</v>
      </c>
      <c r="I32" s="610"/>
      <c r="J32" s="610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2" t="s">
        <v>19</v>
      </c>
      <c r="F33" s="40"/>
      <c r="G33" s="42"/>
      <c r="H33" s="43" t="s">
        <v>12</v>
      </c>
      <c r="I33" s="610"/>
      <c r="J33" s="610"/>
      <c r="K33" s="93"/>
      <c r="L33" s="93">
        <f t="shared" ca="1" si="21"/>
        <v>723543</v>
      </c>
      <c r="M33" s="93">
        <f t="shared" si="21"/>
        <v>0</v>
      </c>
      <c r="N33" s="93">
        <f t="shared" si="21"/>
        <v>50180</v>
      </c>
      <c r="O33" s="93">
        <f t="shared" ca="1" si="17"/>
        <v>6.9353169058369719</v>
      </c>
      <c r="P33" s="93">
        <f t="shared" si="18"/>
        <v>0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16" t="s">
        <v>12</v>
      </c>
      <c r="I34" s="269"/>
      <c r="J34" s="269"/>
      <c r="K34" s="496"/>
      <c r="L34" s="496">
        <f t="shared" ref="L34:N34" ca="1" si="22">L35+L36</f>
        <v>0</v>
      </c>
      <c r="M34" s="496">
        <f t="shared" si="22"/>
        <v>0</v>
      </c>
      <c r="N34" s="496">
        <f t="shared" si="22"/>
        <v>0</v>
      </c>
      <c r="O34" s="496">
        <f t="shared" ca="1" si="17"/>
        <v>0</v>
      </c>
      <c r="P34" s="496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2" t="s">
        <v>18</v>
      </c>
      <c r="F35" s="40"/>
      <c r="G35" s="42"/>
      <c r="H35" s="43" t="s">
        <v>12</v>
      </c>
      <c r="I35" s="610"/>
      <c r="J35" s="610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53" t="s">
        <v>24</v>
      </c>
      <c r="B37" s="54"/>
      <c r="C37" s="54"/>
      <c r="D37" s="54"/>
      <c r="E37" s="54"/>
      <c r="F37" s="54"/>
      <c r="G37" s="55"/>
      <c r="H37" s="56"/>
      <c r="I37" s="423"/>
      <c r="J37" s="423"/>
      <c r="K37" s="58"/>
      <c r="L37" s="59">
        <f t="shared" ref="L37:N37" ca="1" si="24">L41+L53+L66+L88+L119+L132+L149+L165+L181+L261+L277+L298+L315+L328+L345+L389+L402</f>
        <v>3051710</v>
      </c>
      <c r="M37" s="59">
        <f t="shared" ca="1" si="24"/>
        <v>1912930</v>
      </c>
      <c r="N37" s="59">
        <f t="shared" ca="1" si="24"/>
        <v>1272044.2</v>
      </c>
      <c r="O37" s="59">
        <f t="shared" ca="1" si="17"/>
        <v>41.682997401456888</v>
      </c>
      <c r="P37" s="59">
        <f t="shared" ca="1" si="18"/>
        <v>66.497164036321252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56" t="s">
        <v>27</v>
      </c>
      <c r="C40" s="857"/>
      <c r="D40" s="857"/>
      <c r="E40" s="857"/>
      <c r="F40" s="857"/>
      <c r="G40" s="858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20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313950</v>
      </c>
      <c r="M41" s="85">
        <f t="shared" ca="1" si="25"/>
        <v>159900</v>
      </c>
      <c r="N41" s="85">
        <f t="shared" ca="1" si="25"/>
        <v>55350</v>
      </c>
      <c r="O41" s="85">
        <f t="shared" ref="O41:O49" ca="1" si="26">IF(L41&gt;0,N41*100/L41,0)</f>
        <v>17.630195891065455</v>
      </c>
      <c r="P41" s="85">
        <f t="shared" ref="P41:P49" ca="1" si="27">IF(M41&gt;0,N41*100/M41,0)</f>
        <v>34.615384615384613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313950</v>
      </c>
      <c r="M43" s="92">
        <f t="shared" ca="1" si="28"/>
        <v>159900</v>
      </c>
      <c r="N43" s="92">
        <f t="shared" ca="1" si="28"/>
        <v>55350</v>
      </c>
      <c r="O43" s="92">
        <f t="shared" ca="1" si="26"/>
        <v>17.630195891065455</v>
      </c>
      <c r="P43" s="92">
        <f t="shared" ca="1" si="27"/>
        <v>34.615384615384613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16" t="s">
        <v>12</v>
      </c>
      <c r="I44" s="269"/>
      <c r="J44" s="269"/>
      <c r="K44" s="496"/>
      <c r="L44" s="496">
        <f t="shared" ref="L44:N44" ca="1" si="29">L45+L46</f>
        <v>313950</v>
      </c>
      <c r="M44" s="496">
        <f t="shared" ca="1" si="29"/>
        <v>159900</v>
      </c>
      <c r="N44" s="496">
        <f t="shared" ca="1" si="29"/>
        <v>55350</v>
      </c>
      <c r="O44" s="496">
        <f t="shared" ca="1" si="26"/>
        <v>17.630195891065455</v>
      </c>
      <c r="P44" s="496">
        <f t="shared" ca="1" si="27"/>
        <v>34.615384615384613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2" t="s">
        <v>18</v>
      </c>
      <c r="F45" s="40"/>
      <c r="G45" s="42"/>
      <c r="H45" s="43" t="s">
        <v>12</v>
      </c>
      <c r="I45" s="610"/>
      <c r="J45" s="610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2" t="s">
        <v>19</v>
      </c>
      <c r="F46" s="40"/>
      <c r="G46" s="42"/>
      <c r="H46" s="43" t="s">
        <v>12</v>
      </c>
      <c r="I46" s="610"/>
      <c r="J46" s="610"/>
      <c r="K46" s="93"/>
      <c r="L46" s="93">
        <f ca="1">IFERROR(__xludf.DUMMYFUNCTION("IMPORTRANGE(""https://docs.google.com/spreadsheets/d/1MeEWN-I1oV_STSDYn1IFDPWt_1FKiwhDph83XaGc0o0/edit?usp=sharing"",""งบพรบ!M63"")"),313950)</f>
        <v>313950</v>
      </c>
      <c r="M46" s="93">
        <f ca="1">IFERROR(__xludf.DUMMYFUNCTION("IMPORTRANGE(""https://docs.google.com/spreadsheets/d/1MeEWN-I1oV_STSDYn1IFDPWt_1FKiwhDph83XaGc0o0/edit?usp=sharing"",""งบพรบ!R63"")"),159900)</f>
        <v>159900</v>
      </c>
      <c r="N46" s="93">
        <f ca="1">IFERROR(__xludf.DUMMYFUNCTION("IMPORTRANGE(""https://docs.google.com/spreadsheets/d/1MeEWN-I1oV_STSDYn1IFDPWt_1FKiwhDph83XaGc0o0/edit?usp=sharing"",""งบพรบ!T63"")"),55350)</f>
        <v>55350</v>
      </c>
      <c r="O46" s="93">
        <f t="shared" ca="1" si="26"/>
        <v>17.630195891065455</v>
      </c>
      <c r="P46" s="93">
        <f t="shared" ca="1" si="27"/>
        <v>34.615384615384613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16" t="s">
        <v>12</v>
      </c>
      <c r="I47" s="269"/>
      <c r="J47" s="269"/>
      <c r="K47" s="496"/>
      <c r="L47" s="496">
        <f t="shared" ref="L47:N47" ca="1" si="30">L48+L49</f>
        <v>0</v>
      </c>
      <c r="M47" s="496">
        <f t="shared" ca="1" si="30"/>
        <v>0</v>
      </c>
      <c r="N47" s="496">
        <f t="shared" ca="1" si="30"/>
        <v>0</v>
      </c>
      <c r="O47" s="496">
        <f t="shared" ca="1" si="26"/>
        <v>0</v>
      </c>
      <c r="P47" s="496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2" t="s">
        <v>18</v>
      </c>
      <c r="F48" s="40"/>
      <c r="G48" s="42"/>
      <c r="H48" s="43" t="s">
        <v>12</v>
      </c>
      <c r="I48" s="610"/>
      <c r="J48" s="610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IFERROR(__xludf.DUMMYFUNCTION("IMPORTRANGE(""https://docs.google.com/spreadsheets/d/1MeEWN-I1oV_STSDYn1IFDPWt_1FKiwhDph83XaGc0o0/edit?usp=sharing"",""งบพรบ!P63"")"),0)</f>
        <v>0</v>
      </c>
      <c r="M49" s="52">
        <f ca="1">IFERROR(__xludf.DUMMYFUNCTION("IMPORTRANGE(""https://docs.google.com/spreadsheets/d/1MeEWN-I1oV_STSDYn1IFDPWt_1FKiwhDph83XaGc0o0/edit?usp=sharing"",""งบพรบ!S63"")"),0)</f>
        <v>0</v>
      </c>
      <c r="N49" s="52">
        <f ca="1">IFERROR(__xludf.DUMMYFUNCTION("IMPORTRANGE(""https://docs.google.com/spreadsheets/d/1MeEWN-I1oV_STSDYn1IFDPWt_1FKiwhDph83XaGc0o0/edit?usp=sharing"",""งบพรบ!U63"")"),0)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59" t="s">
        <v>28</v>
      </c>
      <c r="B50" s="849"/>
      <c r="C50" s="849"/>
      <c r="D50" s="849"/>
      <c r="E50" s="849"/>
      <c r="F50" s="849"/>
      <c r="G50" s="847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60" t="s">
        <v>29</v>
      </c>
      <c r="C51" s="857"/>
      <c r="D51" s="857"/>
      <c r="E51" s="857"/>
      <c r="F51" s="857"/>
      <c r="G51" s="858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21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334000</v>
      </c>
      <c r="M53" s="116">
        <f t="shared" ca="1" si="31"/>
        <v>223620</v>
      </c>
      <c r="N53" s="116">
        <f t="shared" ca="1" si="31"/>
        <v>120831.75</v>
      </c>
      <c r="O53" s="116">
        <f t="shared" ref="O53:O61" ca="1" si="32">IF(L53&gt;0,N53*100/L53,0)</f>
        <v>36.177170658682634</v>
      </c>
      <c r="P53" s="116">
        <f t="shared" ref="P53:P61" ca="1" si="33">IF(M53&gt;0,N53*100/M53,0)</f>
        <v>54.034411054467398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334000</v>
      </c>
      <c r="M55" s="123">
        <f t="shared" ca="1" si="34"/>
        <v>223620</v>
      </c>
      <c r="N55" s="123">
        <f t="shared" ca="1" si="34"/>
        <v>120831.75</v>
      </c>
      <c r="O55" s="123">
        <f t="shared" ca="1" si="32"/>
        <v>36.177170658682634</v>
      </c>
      <c r="P55" s="123">
        <f t="shared" ca="1" si="33"/>
        <v>54.034411054467398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16" t="s">
        <v>12</v>
      </c>
      <c r="I56" s="269"/>
      <c r="J56" s="269"/>
      <c r="K56" s="496"/>
      <c r="L56" s="496">
        <f t="shared" ref="L56:N56" ca="1" si="35">L57+L58</f>
        <v>334000</v>
      </c>
      <c r="M56" s="496">
        <f t="shared" ca="1" si="35"/>
        <v>223620</v>
      </c>
      <c r="N56" s="496">
        <f t="shared" ca="1" si="35"/>
        <v>120831.75</v>
      </c>
      <c r="O56" s="496">
        <f t="shared" ca="1" si="32"/>
        <v>36.177170658682634</v>
      </c>
      <c r="P56" s="496">
        <f t="shared" ca="1" si="33"/>
        <v>54.034411054467398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2" t="s">
        <v>18</v>
      </c>
      <c r="F57" s="40"/>
      <c r="G57" s="42"/>
      <c r="H57" s="43" t="s">
        <v>12</v>
      </c>
      <c r="I57" s="610"/>
      <c r="J57" s="610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2" t="s">
        <v>19</v>
      </c>
      <c r="F58" s="40"/>
      <c r="G58" s="42"/>
      <c r="H58" s="43" t="s">
        <v>12</v>
      </c>
      <c r="I58" s="610"/>
      <c r="J58" s="610"/>
      <c r="K58" s="93"/>
      <c r="L58" s="93">
        <f ca="1">IFERROR(__xludf.DUMMYFUNCTION("IMPORTRANGE(""https://docs.google.com/spreadsheets/d/1MeEWN-I1oV_STSDYn1IFDPWt_1FKiwhDph83XaGc0o0/edit?usp=sharing"",""งบพรบ!W63"")"),334000)</f>
        <v>334000</v>
      </c>
      <c r="M58" s="93">
        <f ca="1">IFERROR(__xludf.DUMMYFUNCTION("IMPORTRANGE(""https://docs.google.com/spreadsheets/d/1MeEWN-I1oV_STSDYn1IFDPWt_1FKiwhDph83XaGc0o0/edit?usp=sharing"",""งบพรบ!AB63"")"),223620)</f>
        <v>223620</v>
      </c>
      <c r="N58" s="93">
        <f ca="1">IFERROR(__xludf.DUMMYFUNCTION("IMPORTRANGE(""https://docs.google.com/spreadsheets/d/1MeEWN-I1oV_STSDYn1IFDPWt_1FKiwhDph83XaGc0o0/edit?usp=sharing"",""งบพรบ!AD63"")"),120831.75)</f>
        <v>120831.75</v>
      </c>
      <c r="O58" s="93">
        <f t="shared" ca="1" si="32"/>
        <v>36.177170658682634</v>
      </c>
      <c r="P58" s="93">
        <f t="shared" ca="1" si="33"/>
        <v>54.034411054467398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16" t="s">
        <v>12</v>
      </c>
      <c r="I59" s="269"/>
      <c r="J59" s="269"/>
      <c r="K59" s="496"/>
      <c r="L59" s="496">
        <f t="shared" ref="L59:N59" ca="1" si="36">L60+L61</f>
        <v>0</v>
      </c>
      <c r="M59" s="496">
        <f t="shared" ca="1" si="36"/>
        <v>0</v>
      </c>
      <c r="N59" s="496">
        <f t="shared" ca="1" si="36"/>
        <v>0</v>
      </c>
      <c r="O59" s="496">
        <f t="shared" ca="1" si="32"/>
        <v>0</v>
      </c>
      <c r="P59" s="496">
        <f t="shared" ca="1" si="33"/>
        <v>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2" t="s">
        <v>18</v>
      </c>
      <c r="F60" s="40"/>
      <c r="G60" s="42"/>
      <c r="H60" s="43" t="s">
        <v>12</v>
      </c>
      <c r="I60" s="610"/>
      <c r="J60" s="610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IFERROR(__xludf.DUMMYFUNCTION("IMPORTRANGE(""https://docs.google.com/spreadsheets/d/1MeEWN-I1oV_STSDYn1IFDPWt_1FKiwhDph83XaGc0o0/edit?usp=sharing"",""งบพรบ!Z63"")"),0)</f>
        <v>0</v>
      </c>
      <c r="M61" s="52">
        <f ca="1">IFERROR(__xludf.DUMMYFUNCTION("IMPORTRANGE(""https://docs.google.com/spreadsheets/d/1MeEWN-I1oV_STSDYn1IFDPWt_1FKiwhDph83XaGc0o0/edit?usp=sharing"",""งบพรบ!AC63"")"),0)</f>
        <v>0</v>
      </c>
      <c r="N61" s="52">
        <f ca="1">IFERROR(__xludf.DUMMYFUNCTION("IMPORTRANGE(""https://docs.google.com/spreadsheets/d/1MeEWN-I1oV_STSDYn1IFDPWt_1FKiwhDph83XaGc0o0/edit?usp=sharing"",""งบพรบ!AE63"")"),0)</f>
        <v>0</v>
      </c>
      <c r="O61" s="52">
        <f t="shared" ca="1" si="32"/>
        <v>0</v>
      </c>
      <c r="P61" s="52">
        <f t="shared" ca="1" si="33"/>
        <v>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 hidden="1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 hidden="1">
      <c r="A64" s="138"/>
      <c r="B64" s="208" t="s">
        <v>33</v>
      </c>
      <c r="C64" s="140"/>
      <c r="D64" s="141"/>
      <c r="E64" s="140"/>
      <c r="F64" s="140"/>
      <c r="G64" s="142"/>
      <c r="H64" s="143" t="s">
        <v>34</v>
      </c>
      <c r="I64" s="144">
        <f t="shared" ref="I64:J65" ca="1" si="37">I76</f>
        <v>0</v>
      </c>
      <c r="J64" s="144">
        <f t="shared" si="37"/>
        <v>0</v>
      </c>
      <c r="K64" s="145">
        <f t="shared" ref="K64:K65" ca="1" si="38">IF(I64&gt;0,J64*100/I64,0)</f>
        <v>0</v>
      </c>
      <c r="L64" s="146"/>
      <c r="M64" s="146"/>
      <c r="N64" s="146"/>
      <c r="O64" s="146"/>
      <c r="P64" s="146"/>
    </row>
    <row r="65" spans="1:26" ht="19.5" hidden="1">
      <c r="A65" s="138"/>
      <c r="B65" s="140"/>
      <c r="C65" s="140"/>
      <c r="D65" s="141"/>
      <c r="E65" s="140"/>
      <c r="F65" s="140"/>
      <c r="G65" s="142"/>
      <c r="H65" s="143" t="s">
        <v>35</v>
      </c>
      <c r="I65" s="144">
        <f t="shared" ca="1" si="37"/>
        <v>0</v>
      </c>
      <c r="J65" s="144">
        <f t="shared" si="37"/>
        <v>0</v>
      </c>
      <c r="K65" s="145">
        <f t="shared" ca="1" si="38"/>
        <v>0</v>
      </c>
      <c r="L65" s="146"/>
      <c r="M65" s="146"/>
      <c r="N65" s="146"/>
      <c r="O65" s="146"/>
      <c r="P65" s="146"/>
    </row>
    <row r="66" spans="1:26" ht="19.5" hidden="1">
      <c r="A66" s="147"/>
      <c r="B66" s="148"/>
      <c r="C66" s="149" t="s">
        <v>16</v>
      </c>
      <c r="D66" s="822" t="s">
        <v>17</v>
      </c>
      <c r="E66" s="148"/>
      <c r="F66" s="148"/>
      <c r="G66" s="151"/>
      <c r="H66" s="152" t="s">
        <v>12</v>
      </c>
      <c r="I66" s="419"/>
      <c r="J66" s="419"/>
      <c r="K66" s="154"/>
      <c r="L66" s="155">
        <f t="shared" ref="L66:N66" ca="1" si="39">L67+L68</f>
        <v>0</v>
      </c>
      <c r="M66" s="155">
        <f t="shared" ca="1" si="39"/>
        <v>0</v>
      </c>
      <c r="N66" s="155">
        <f t="shared" ca="1" si="39"/>
        <v>0</v>
      </c>
      <c r="O66" s="155">
        <f t="shared" ref="O66:O74" ca="1" si="40">IF(L66&gt;0,N66*100/L66,0)</f>
        <v>0</v>
      </c>
      <c r="P66" s="155">
        <f t="shared" ref="P66:P74" ca="1" si="41">IF(M66&gt;0,N66*100/M66,0)</f>
        <v>0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2" t="s">
        <v>18</v>
      </c>
      <c r="F67" s="40"/>
      <c r="G67" s="157"/>
      <c r="H67" s="158" t="s">
        <v>12</v>
      </c>
      <c r="I67" s="610"/>
      <c r="J67" s="610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2" t="s">
        <v>19</v>
      </c>
      <c r="F68" s="40"/>
      <c r="G68" s="157"/>
      <c r="H68" s="158" t="s">
        <v>12</v>
      </c>
      <c r="I68" s="610"/>
      <c r="J68" s="610"/>
      <c r="K68" s="93"/>
      <c r="L68" s="93">
        <f t="shared" ca="1" si="42"/>
        <v>0</v>
      </c>
      <c r="M68" s="93">
        <f t="shared" ca="1" si="42"/>
        <v>0</v>
      </c>
      <c r="N68" s="93">
        <f t="shared" ca="1" si="42"/>
        <v>0</v>
      </c>
      <c r="O68" s="93">
        <f t="shared" ca="1" si="40"/>
        <v>0</v>
      </c>
      <c r="P68" s="93">
        <f t="shared" ca="1" si="41"/>
        <v>0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 hidden="1">
      <c r="A69" s="159"/>
      <c r="B69" s="33"/>
      <c r="C69" s="281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6">
        <f t="shared" ref="L69:N69" ca="1" si="43">L70+L71</f>
        <v>0</v>
      </c>
      <c r="M69" s="496">
        <f t="shared" ca="1" si="43"/>
        <v>0</v>
      </c>
      <c r="N69" s="496">
        <f t="shared" ca="1" si="43"/>
        <v>0</v>
      </c>
      <c r="O69" s="496">
        <f t="shared" ca="1" si="40"/>
        <v>0</v>
      </c>
      <c r="P69" s="496">
        <f t="shared" ca="1" si="41"/>
        <v>0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2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2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IFERROR(__xludf.DUMMYFUNCTION("IMPORTRANGE(""https://docs.google.com/spreadsheets/d/1MeEWN-I1oV_STSDYn1IFDPWt_1FKiwhDph83XaGc0o0/edit?usp=sharing"",""งบพรบ!AG63"")"),0)</f>
        <v>0</v>
      </c>
      <c r="M71" s="93">
        <f ca="1">IFERROR(__xludf.DUMMYFUNCTION("IMPORTRANGE(""https://docs.google.com/spreadsheets/d/1MeEWN-I1oV_STSDYn1IFDPWt_1FKiwhDph83XaGc0o0/edit?usp=sharing"",""งบพรบ!AL63"")"),0)</f>
        <v>0</v>
      </c>
      <c r="N71" s="93">
        <f ca="1">IFERROR(__xludf.DUMMYFUNCTION("IMPORTRANGE(""https://docs.google.com/spreadsheets/d/1MeEWN-I1oV_STSDYn1IFDPWt_1FKiwhDph83XaGc0o0/edit?usp=sharing"",""งบพรบ!AN63"")"),0)</f>
        <v>0</v>
      </c>
      <c r="O71" s="93">
        <f t="shared" ca="1" si="40"/>
        <v>0</v>
      </c>
      <c r="P71" s="93">
        <f t="shared" ca="1" si="41"/>
        <v>0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 hidden="1">
      <c r="A72" s="159"/>
      <c r="B72" s="33"/>
      <c r="C72" s="281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6">
        <f t="shared" ref="L72:N72" ca="1" si="44">L73+L74</f>
        <v>0</v>
      </c>
      <c r="M72" s="496">
        <f t="shared" ca="1" si="44"/>
        <v>0</v>
      </c>
      <c r="N72" s="496">
        <f t="shared" ca="1" si="44"/>
        <v>0</v>
      </c>
      <c r="O72" s="496">
        <f t="shared" ca="1" si="40"/>
        <v>0</v>
      </c>
      <c r="P72" s="496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2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2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IFERROR(__xludf.DUMMYFUNCTION("IMPORTRANGE(""https://docs.google.com/spreadsheets/d/1MeEWN-I1oV_STSDYn1IFDPWt_1FKiwhDph83XaGc0o0/edit?usp=sharing"",""งบพรบ!AJ63"")"),0)</f>
        <v>0</v>
      </c>
      <c r="M74" s="93">
        <f ca="1">IFERROR(__xludf.DUMMYFUNCTION("IMPORTRANGE(""https://docs.google.com/spreadsheets/d/1MeEWN-I1oV_STSDYn1IFDPWt_1FKiwhDph83XaGc0o0/edit?usp=sharing"",""งบพรบ!AM63"")"),0)</f>
        <v>0</v>
      </c>
      <c r="N74" s="93">
        <f ca="1">IFERROR(__xludf.DUMMYFUNCTION("IMPORTRANGE(""https://docs.google.com/spreadsheets/d/1MeEWN-I1oV_STSDYn1IFDPWt_1FKiwhDph83XaGc0o0/edit?usp=sharing"",""งบพรบ!AO63"")"),0)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 hidden="1">
      <c r="A75" s="170"/>
      <c r="B75" s="171"/>
      <c r="C75" s="164" t="s">
        <v>16</v>
      </c>
      <c r="D75" s="823" t="s">
        <v>38</v>
      </c>
      <c r="E75" s="173"/>
      <c r="F75" s="173"/>
      <c r="G75" s="174"/>
      <c r="H75" s="753"/>
      <c r="I75" s="184"/>
      <c r="J75" s="184"/>
      <c r="K75" s="163"/>
      <c r="L75" s="163"/>
      <c r="M75" s="163"/>
      <c r="N75" s="163"/>
      <c r="O75" s="163"/>
      <c r="P75" s="163"/>
    </row>
    <row r="76" spans="1:26" ht="19.5" hidden="1">
      <c r="A76" s="170"/>
      <c r="B76" s="171"/>
      <c r="C76" s="171"/>
      <c r="D76" s="176" t="s">
        <v>39</v>
      </c>
      <c r="E76" s="446"/>
      <c r="F76" s="178"/>
      <c r="G76" s="179"/>
      <c r="H76" s="180" t="s">
        <v>34</v>
      </c>
      <c r="I76" s="269">
        <f t="shared" ref="I76:J77" ca="1" si="45">I78+I80+I82</f>
        <v>0</v>
      </c>
      <c r="J76" s="269">
        <f t="shared" si="45"/>
        <v>0</v>
      </c>
      <c r="K76" s="163">
        <f t="shared" ref="K76:K84" ca="1" si="46">IF(I76&gt;0,J76*100/I76,0)</f>
        <v>0</v>
      </c>
      <c r="L76" s="163"/>
      <c r="M76" s="163"/>
      <c r="N76" s="163"/>
      <c r="O76" s="163"/>
      <c r="P76" s="163"/>
    </row>
    <row r="77" spans="1:26" ht="19.5" hidden="1">
      <c r="A77" s="170"/>
      <c r="B77" s="171"/>
      <c r="C77" s="171"/>
      <c r="D77" s="171"/>
      <c r="E77" s="178"/>
      <c r="F77" s="178"/>
      <c r="G77" s="179"/>
      <c r="H77" s="180" t="s">
        <v>35</v>
      </c>
      <c r="I77" s="269">
        <f t="shared" ca="1" si="45"/>
        <v>0</v>
      </c>
      <c r="J77" s="269">
        <f t="shared" si="45"/>
        <v>0</v>
      </c>
      <c r="K77" s="163">
        <f t="shared" ca="1" si="46"/>
        <v>0</v>
      </c>
      <c r="L77" s="163"/>
      <c r="M77" s="163"/>
      <c r="N77" s="163"/>
      <c r="O77" s="163"/>
      <c r="P77" s="163"/>
    </row>
    <row r="78" spans="1:26" ht="18.75" hidden="1">
      <c r="A78" s="170"/>
      <c r="B78" s="171"/>
      <c r="C78" s="171"/>
      <c r="D78" s="171"/>
      <c r="E78" s="446" t="s">
        <v>40</v>
      </c>
      <c r="F78" s="446"/>
      <c r="G78" s="179"/>
      <c r="H78" s="755" t="s">
        <v>34</v>
      </c>
      <c r="I78" s="184">
        <f ca="1">IFERROR(__xludf.DUMMYFUNCTION("IMPORTRANGE(""https://docs.google.com/spreadsheets/d/1QqKyyYR6Q21VydFLVH3TRQUabQu_ym0Zz7PgGX0-kHA/edit?usp=sharing"",""แผน!H63"")"),0)</f>
        <v>0</v>
      </c>
      <c r="J78" s="214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 hidden="1">
      <c r="A79" s="170"/>
      <c r="B79" s="171"/>
      <c r="C79" s="171"/>
      <c r="D79" s="171"/>
      <c r="E79" s="178"/>
      <c r="F79" s="178"/>
      <c r="G79" s="179"/>
      <c r="H79" s="755" t="s">
        <v>35</v>
      </c>
      <c r="I79" s="184">
        <f ca="1">IFERROR(__xludf.DUMMYFUNCTION("IMPORTRANGE(""https://docs.google.com/spreadsheets/d/1QqKyyYR6Q21VydFLVH3TRQUabQu_ym0Zz7PgGX0-kHA/edit?usp=sharing"",""แผน!I63"")"),0)</f>
        <v>0</v>
      </c>
      <c r="J79" s="214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 hidden="1">
      <c r="A80" s="170"/>
      <c r="B80" s="171"/>
      <c r="C80" s="171"/>
      <c r="D80" s="171"/>
      <c r="E80" s="446" t="s">
        <v>41</v>
      </c>
      <c r="F80" s="446"/>
      <c r="G80" s="179"/>
      <c r="H80" s="755" t="s">
        <v>34</v>
      </c>
      <c r="I80" s="184">
        <f ca="1">IFERROR(__xludf.DUMMYFUNCTION("IMPORTRANGE(""https://docs.google.com/spreadsheets/d/1QqKyyYR6Q21VydFLVH3TRQUabQu_ym0Zz7PgGX0-kHA/edit?usp=sharing"",""แผน!F63"")"),0)</f>
        <v>0</v>
      </c>
      <c r="J80" s="214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 hidden="1">
      <c r="A81" s="170"/>
      <c r="B81" s="171"/>
      <c r="C81" s="171"/>
      <c r="D81" s="171"/>
      <c r="E81" s="178"/>
      <c r="F81" s="178"/>
      <c r="G81" s="179"/>
      <c r="H81" s="755" t="s">
        <v>35</v>
      </c>
      <c r="I81" s="184">
        <f ca="1">IFERROR(__xludf.DUMMYFUNCTION("IMPORTRANGE(""https://docs.google.com/spreadsheets/d/1QqKyyYR6Q21VydFLVH3TRQUabQu_ym0Zz7PgGX0-kHA/edit?usp=sharing"",""แผน!G63"")"),0)</f>
        <v>0</v>
      </c>
      <c r="J81" s="214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 hidden="1">
      <c r="A82" s="170"/>
      <c r="B82" s="171"/>
      <c r="C82" s="171"/>
      <c r="D82" s="171"/>
      <c r="E82" s="446" t="s">
        <v>42</v>
      </c>
      <c r="F82" s="446"/>
      <c r="G82" s="179"/>
      <c r="H82" s="755" t="s">
        <v>34</v>
      </c>
      <c r="I82" s="184">
        <f ca="1">IFERROR(__xludf.DUMMYFUNCTION("IMPORTRANGE(""https://docs.google.com/spreadsheets/d/1QqKyyYR6Q21VydFLVH3TRQUabQu_ym0Zz7PgGX0-kHA/edit?usp=sharing"",""แผน!D63"")"),0)</f>
        <v>0</v>
      </c>
      <c r="J82" s="214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 hidden="1">
      <c r="A83" s="170"/>
      <c r="B83" s="171"/>
      <c r="C83" s="171"/>
      <c r="D83" s="171"/>
      <c r="E83" s="178"/>
      <c r="F83" s="178"/>
      <c r="G83" s="179"/>
      <c r="H83" s="755" t="s">
        <v>35</v>
      </c>
      <c r="I83" s="184">
        <f ca="1">IFERROR(__xludf.DUMMYFUNCTION("IMPORTRANGE(""https://docs.google.com/spreadsheets/d/1QqKyyYR6Q21VydFLVH3TRQUabQu_ym0Zz7PgGX0-kHA/edit?usp=sharing"",""แผน!E63"")"),0)</f>
        <v>0</v>
      </c>
      <c r="J83" s="214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 hidden="1">
      <c r="A84" s="170"/>
      <c r="B84" s="171"/>
      <c r="C84" s="171"/>
      <c r="D84" s="176" t="s">
        <v>43</v>
      </c>
      <c r="E84" s="446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IFERROR(__xludf.DUMMYFUNCTION("IMPORTRANGE(""https://docs.google.com/spreadsheets/d/1QqKyyYR6Q21VydFLVH3TRQUabQu_ym0Zz7PgGX0-kHA/edit?usp=sharing"",""แผน!J63"")"),0)</f>
        <v>0</v>
      </c>
      <c r="J84" s="214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8" t="s">
        <v>45</v>
      </c>
      <c r="C86" s="140"/>
      <c r="D86" s="141"/>
      <c r="E86" s="140"/>
      <c r="F86" s="140"/>
      <c r="G86" s="142"/>
      <c r="H86" s="143" t="s">
        <v>46</v>
      </c>
      <c r="I86" s="144">
        <f t="shared" ref="I86:J87" ca="1" si="47">I98</f>
        <v>30</v>
      </c>
      <c r="J86" s="144">
        <f t="shared" si="47"/>
        <v>30</v>
      </c>
      <c r="K86" s="145">
        <f t="shared" ref="K86:K87" ca="1" si="48">IF(I86&gt;0,J86*100/I86,0)</f>
        <v>100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143" t="s">
        <v>35</v>
      </c>
      <c r="I87" s="144">
        <f t="shared" ca="1" si="47"/>
        <v>10</v>
      </c>
      <c r="J87" s="144">
        <f t="shared" si="47"/>
        <v>10</v>
      </c>
      <c r="K87" s="145">
        <f t="shared" ca="1" si="48"/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22" t="s">
        <v>17</v>
      </c>
      <c r="E88" s="148"/>
      <c r="F88" s="148"/>
      <c r="G88" s="151"/>
      <c r="H88" s="152" t="s">
        <v>12</v>
      </c>
      <c r="I88" s="419"/>
      <c r="J88" s="419"/>
      <c r="K88" s="154"/>
      <c r="L88" s="155">
        <f t="shared" ref="L88:N88" ca="1" si="49">L89+L90</f>
        <v>85840</v>
      </c>
      <c r="M88" s="155">
        <f t="shared" ca="1" si="49"/>
        <v>32640</v>
      </c>
      <c r="N88" s="155">
        <f t="shared" ca="1" si="49"/>
        <v>32620</v>
      </c>
      <c r="O88" s="155">
        <f t="shared" ref="O88:O96" ca="1" si="50">IF(L88&gt;0,N88*100/L88,0)</f>
        <v>38.000931966449208</v>
      </c>
      <c r="P88" s="155">
        <f t="shared" ref="P88:P96" ca="1" si="51">IF(M88&gt;0,N88*100/M88,0)</f>
        <v>99.938725490196077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2" t="s">
        <v>18</v>
      </c>
      <c r="F89" s="40"/>
      <c r="G89" s="157"/>
      <c r="H89" s="158" t="s">
        <v>12</v>
      </c>
      <c r="I89" s="610"/>
      <c r="J89" s="610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2" t="s">
        <v>19</v>
      </c>
      <c r="F90" s="40"/>
      <c r="G90" s="157"/>
      <c r="H90" s="158" t="s">
        <v>12</v>
      </c>
      <c r="I90" s="610"/>
      <c r="J90" s="610"/>
      <c r="K90" s="93"/>
      <c r="L90" s="93">
        <f t="shared" ca="1" si="52"/>
        <v>85840</v>
      </c>
      <c r="M90" s="93">
        <f t="shared" ca="1" si="52"/>
        <v>32640</v>
      </c>
      <c r="N90" s="93">
        <f t="shared" ca="1" si="52"/>
        <v>32620</v>
      </c>
      <c r="O90" s="93">
        <f t="shared" ca="1" si="50"/>
        <v>38.000931966449208</v>
      </c>
      <c r="P90" s="93">
        <f t="shared" ca="1" si="51"/>
        <v>99.938725490196077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1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6">
        <f t="shared" ref="L91:N91" ca="1" si="53">L92+L93</f>
        <v>85840</v>
      </c>
      <c r="M91" s="496">
        <f t="shared" ca="1" si="53"/>
        <v>32640</v>
      </c>
      <c r="N91" s="496">
        <f t="shared" ca="1" si="53"/>
        <v>32620</v>
      </c>
      <c r="O91" s="496">
        <f t="shared" ca="1" si="50"/>
        <v>38.000931966449208</v>
      </c>
      <c r="P91" s="496">
        <f t="shared" ca="1" si="51"/>
        <v>99.938725490196077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2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2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IFERROR(__xludf.DUMMYFUNCTION("IMPORTRANGE(""https://docs.google.com/spreadsheets/d/1MeEWN-I1oV_STSDYn1IFDPWt_1FKiwhDph83XaGc0o0/edit?usp=sharing"",""งบพรบ!AQ63"")"),85840)</f>
        <v>85840</v>
      </c>
      <c r="M93" s="93">
        <f ca="1">IFERROR(__xludf.DUMMYFUNCTION("IMPORTRANGE(""https://docs.google.com/spreadsheets/d/1MeEWN-I1oV_STSDYn1IFDPWt_1FKiwhDph83XaGc0o0/edit?usp=sharing"",""งบพรบ!AV63"")"),32640)</f>
        <v>32640</v>
      </c>
      <c r="N93" s="93">
        <f ca="1">IFERROR(__xludf.DUMMYFUNCTION("IMPORTRANGE(""https://docs.google.com/spreadsheets/d/1MeEWN-I1oV_STSDYn1IFDPWt_1FKiwhDph83XaGc0o0/edit?usp=sharing"",""งบพรบ!AX63"")"),32620)</f>
        <v>32620</v>
      </c>
      <c r="O93" s="93">
        <f t="shared" ca="1" si="50"/>
        <v>38.000931966449208</v>
      </c>
      <c r="P93" s="93">
        <f t="shared" ca="1" si="51"/>
        <v>99.938725490196077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1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6">
        <f t="shared" ref="L94:N94" ca="1" si="54">L95+L96</f>
        <v>0</v>
      </c>
      <c r="M94" s="496">
        <f t="shared" ca="1" si="54"/>
        <v>0</v>
      </c>
      <c r="N94" s="496">
        <f t="shared" ca="1" si="54"/>
        <v>0</v>
      </c>
      <c r="O94" s="496">
        <f t="shared" ca="1" si="50"/>
        <v>0</v>
      </c>
      <c r="P94" s="496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2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2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IFERROR(__xludf.DUMMYFUNCTION("IMPORTRANGE(""https://docs.google.com/spreadsheets/d/1MeEWN-I1oV_STSDYn1IFDPWt_1FKiwhDph83XaGc0o0/edit?usp=sharing"",""งบพรบ!AT63"")"),0)</f>
        <v>0</v>
      </c>
      <c r="M96" s="93">
        <f ca="1">IFERROR(__xludf.DUMMYFUNCTION("IMPORTRANGE(""https://docs.google.com/spreadsheets/d/1MeEWN-I1oV_STSDYn1IFDPWt_1FKiwhDph83XaGc0o0/edit?usp=sharing"",""งบพรบ!AW63"")"),0)</f>
        <v>0</v>
      </c>
      <c r="N96" s="93">
        <f ca="1">IFERROR(__xludf.DUMMYFUNCTION("IMPORTRANGE(""https://docs.google.com/spreadsheets/d/1MeEWN-I1oV_STSDYn1IFDPWt_1FKiwhDph83XaGc0o0/edit?usp=sharing"",""งบพรบ!AY63"")"),0)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23" t="s">
        <v>38</v>
      </c>
      <c r="E97" s="173"/>
      <c r="F97" s="173"/>
      <c r="G97" s="174"/>
      <c r="H97" s="753"/>
      <c r="I97" s="184"/>
      <c r="J97" s="269"/>
      <c r="K97" s="496"/>
      <c r="L97" s="496"/>
      <c r="M97" s="496"/>
      <c r="N97" s="496"/>
      <c r="O97" s="163"/>
      <c r="P97" s="163"/>
    </row>
    <row r="98" spans="1:16" ht="18.75">
      <c r="A98" s="170"/>
      <c r="B98" s="171"/>
      <c r="C98" s="171"/>
      <c r="D98" s="446" t="s">
        <v>47</v>
      </c>
      <c r="E98" s="446"/>
      <c r="F98" s="178"/>
      <c r="G98" s="179"/>
      <c r="H98" s="616" t="s">
        <v>46</v>
      </c>
      <c r="I98" s="269">
        <f ca="1">IFERROR(__xludf.DUMMYFUNCTION("IMPORTRANGE(""https://docs.google.com/spreadsheets/d/1QqKyyYR6Q21VydFLVH3TRQUabQu_ym0Zz7PgGX0-kHA/edit?usp=sharing"",""แผน!K63"")"),30)</f>
        <v>30</v>
      </c>
      <c r="J98" s="269">
        <f>J102</f>
        <v>30</v>
      </c>
      <c r="K98" s="496">
        <f t="shared" ref="K98:K100" ca="1" si="55">IF(I98&gt;0,J98*100/I98,0)</f>
        <v>100</v>
      </c>
      <c r="L98" s="496"/>
      <c r="M98" s="496"/>
      <c r="N98" s="496"/>
      <c r="O98" s="163"/>
      <c r="P98" s="163"/>
    </row>
    <row r="99" spans="1:16" ht="18.75">
      <c r="A99" s="170"/>
      <c r="B99" s="171"/>
      <c r="C99" s="171"/>
      <c r="D99" s="446" t="s">
        <v>48</v>
      </c>
      <c r="E99" s="446"/>
      <c r="F99" s="178"/>
      <c r="G99" s="179"/>
      <c r="H99" s="616" t="s">
        <v>35</v>
      </c>
      <c r="I99" s="269">
        <f ca="1">IFERROR(__xludf.DUMMYFUNCTION("IMPORTRANGE(""https://docs.google.com/spreadsheets/d/1QqKyyYR6Q21VydFLVH3TRQUabQu_ym0Zz7PgGX0-kHA/edit?usp=sharing"",""แผน!L63"")"),10)</f>
        <v>10</v>
      </c>
      <c r="J99" s="269">
        <f>J104</f>
        <v>10</v>
      </c>
      <c r="K99" s="496">
        <f t="shared" ca="1" si="55"/>
        <v>100</v>
      </c>
      <c r="L99" s="496"/>
      <c r="M99" s="496"/>
      <c r="N99" s="496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16" t="s">
        <v>49</v>
      </c>
      <c r="I100" s="269">
        <f ca="1">IFERROR(__xludf.DUMMYFUNCTION("IMPORTRANGE(""https://docs.google.com/spreadsheets/d/1QqKyyYR6Q21VydFLVH3TRQUabQu_ym0Zz7PgGX0-kHA/edit?usp=sharing"",""แผน!M63"")"),2)</f>
        <v>2</v>
      </c>
      <c r="J100" s="269">
        <f>J107+J110</f>
        <v>0</v>
      </c>
      <c r="K100" s="496">
        <f t="shared" ca="1" si="55"/>
        <v>0</v>
      </c>
      <c r="L100" s="496"/>
      <c r="M100" s="496"/>
      <c r="N100" s="496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16"/>
      <c r="I101" s="269"/>
      <c r="J101" s="269"/>
      <c r="K101" s="496"/>
      <c r="L101" s="496"/>
      <c r="M101" s="496"/>
      <c r="N101" s="496"/>
      <c r="O101" s="163"/>
      <c r="P101" s="163"/>
    </row>
    <row r="102" spans="1:16" ht="18.75">
      <c r="A102" s="170"/>
      <c r="B102" s="171"/>
      <c r="C102" s="171"/>
      <c r="D102" s="178"/>
      <c r="E102" s="619" t="s">
        <v>47</v>
      </c>
      <c r="F102" s="178"/>
      <c r="G102" s="179"/>
      <c r="H102" s="616" t="s">
        <v>46</v>
      </c>
      <c r="I102" s="269">
        <f ca="1">IFERROR(__xludf.DUMMYFUNCTION("IMPORTRANGE(""https://docs.google.com/spreadsheets/d/1QqKyyYR6Q21VydFLVH3TRQUabQu_ym0Zz7PgGX0-kHA/edit?usp=sharing"",""แผน!N63"")"),30)</f>
        <v>30</v>
      </c>
      <c r="J102" s="214">
        <v>30</v>
      </c>
      <c r="K102" s="496">
        <f t="shared" ref="K102:K104" ca="1" si="56">IF(I102&gt;0,J102*100/I102,0)</f>
        <v>100</v>
      </c>
      <c r="L102" s="496"/>
      <c r="M102" s="496"/>
      <c r="N102" s="496"/>
      <c r="O102" s="163"/>
      <c r="P102" s="163"/>
    </row>
    <row r="103" spans="1:16" ht="19.5">
      <c r="A103" s="170"/>
      <c r="B103" s="171"/>
      <c r="C103" s="171"/>
      <c r="D103" s="178"/>
      <c r="E103" s="446" t="s">
        <v>51</v>
      </c>
      <c r="F103" s="178"/>
      <c r="G103" s="179"/>
      <c r="H103" s="616" t="s">
        <v>35</v>
      </c>
      <c r="I103" s="269">
        <f ca="1">IFERROR(__xludf.DUMMYFUNCTION("IMPORTRANGE(""https://docs.google.com/spreadsheets/d/1QqKyyYR6Q21VydFLVH3TRQUabQu_ym0Zz7PgGX0-kHA/edit?usp=sharing"",""แผน!O63"")"),10)</f>
        <v>10</v>
      </c>
      <c r="J103" s="214">
        <v>10</v>
      </c>
      <c r="K103" s="496">
        <f t="shared" ca="1" si="56"/>
        <v>100</v>
      </c>
      <c r="L103" s="496"/>
      <c r="M103" s="496"/>
      <c r="N103" s="496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16" t="s">
        <v>35</v>
      </c>
      <c r="I104" s="269">
        <f ca="1">IFERROR(__xludf.DUMMYFUNCTION("IMPORTRANGE(""https://docs.google.com/spreadsheets/d/1QqKyyYR6Q21VydFLVH3TRQUabQu_ym0Zz7PgGX0-kHA/edit?usp=sharing"",""แผน!O63"")"),10)</f>
        <v>10</v>
      </c>
      <c r="J104" s="214">
        <v>10</v>
      </c>
      <c r="K104" s="496">
        <f t="shared" ca="1" si="56"/>
        <v>100</v>
      </c>
      <c r="L104" s="496"/>
      <c r="M104" s="496"/>
      <c r="N104" s="496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69"/>
      <c r="J105" s="269"/>
      <c r="K105" s="496"/>
      <c r="L105" s="496"/>
      <c r="M105" s="496"/>
      <c r="N105" s="496"/>
      <c r="O105" s="163"/>
      <c r="P105" s="163"/>
    </row>
    <row r="106" spans="1:16" ht="19.5">
      <c r="A106" s="170"/>
      <c r="B106" s="171"/>
      <c r="C106" s="171"/>
      <c r="D106" s="178"/>
      <c r="E106" s="446" t="s">
        <v>54</v>
      </c>
      <c r="F106" s="178"/>
      <c r="G106" s="179"/>
      <c r="H106" s="616" t="s">
        <v>49</v>
      </c>
      <c r="I106" s="269">
        <f ca="1">IFERROR(__xludf.DUMMYFUNCTION("IMPORTRANGE(""https://docs.google.com/spreadsheets/d/1QqKyyYR6Q21VydFLVH3TRQUabQu_ym0Zz7PgGX0-kHA/edit?usp=sharing"",""แผน!P63"")"),1)</f>
        <v>1</v>
      </c>
      <c r="J106" s="214">
        <v>0</v>
      </c>
      <c r="K106" s="496">
        <f t="shared" ref="K106:K107" ca="1" si="57">IF(I106&gt;0,J106*100/I106,0)</f>
        <v>0</v>
      </c>
      <c r="L106" s="496"/>
      <c r="M106" s="496"/>
      <c r="N106" s="496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16" t="s">
        <v>49</v>
      </c>
      <c r="I107" s="269">
        <f ca="1">IFERROR(__xludf.DUMMYFUNCTION("IMPORTRANGE(""https://docs.google.com/spreadsheets/d/1QqKyyYR6Q21VydFLVH3TRQUabQu_ym0Zz7PgGX0-kHA/edit?usp=sharing"",""แผน!P63"")"),1)</f>
        <v>1</v>
      </c>
      <c r="J107" s="214">
        <v>0</v>
      </c>
      <c r="K107" s="496">
        <f t="shared" ca="1" si="57"/>
        <v>0</v>
      </c>
      <c r="L107" s="496"/>
      <c r="M107" s="496"/>
      <c r="N107" s="496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69"/>
      <c r="J108" s="269"/>
      <c r="K108" s="496"/>
      <c r="L108" s="496"/>
      <c r="M108" s="496"/>
      <c r="N108" s="496"/>
      <c r="O108" s="163"/>
      <c r="P108" s="163"/>
    </row>
    <row r="109" spans="1:16" ht="19.5">
      <c r="A109" s="170"/>
      <c r="B109" s="171"/>
      <c r="C109" s="171"/>
      <c r="D109" s="178"/>
      <c r="E109" s="446" t="s">
        <v>57</v>
      </c>
      <c r="F109" s="178"/>
      <c r="G109" s="179"/>
      <c r="H109" s="616" t="s">
        <v>49</v>
      </c>
      <c r="I109" s="269">
        <f ca="1">IFERROR(__xludf.DUMMYFUNCTION("IMPORTRANGE(""https://docs.google.com/spreadsheets/d/1QqKyyYR6Q21VydFLVH3TRQUabQu_ym0Zz7PgGX0-kHA/edit?usp=sharing"",""แผน!Q63"")"),1)</f>
        <v>1</v>
      </c>
      <c r="J109" s="214">
        <v>0</v>
      </c>
      <c r="K109" s="496">
        <f t="shared" ref="K109:K116" ca="1" si="58">IF(I109&gt;0,J109*100/I109,0)</f>
        <v>0</v>
      </c>
      <c r="L109" s="496"/>
      <c r="M109" s="496"/>
      <c r="N109" s="496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16" t="s">
        <v>49</v>
      </c>
      <c r="I110" s="269">
        <f ca="1">IFERROR(__xludf.DUMMYFUNCTION("IMPORTRANGE(""https://docs.google.com/spreadsheets/d/1QqKyyYR6Q21VydFLVH3TRQUabQu_ym0Zz7PgGX0-kHA/edit?usp=sharing"",""แผน!Q63"")"),1)</f>
        <v>1</v>
      </c>
      <c r="J110" s="214">
        <v>0</v>
      </c>
      <c r="K110" s="496">
        <f t="shared" ca="1" si="58"/>
        <v>0</v>
      </c>
      <c r="L110" s="496"/>
      <c r="M110" s="496"/>
      <c r="N110" s="496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58" t="s">
        <v>35</v>
      </c>
      <c r="I111" s="193">
        <f ca="1">IFERROR(__xludf.DUMMYFUNCTION("IMPORTRANGE(""https://docs.google.com/spreadsheets/d/1QqKyyYR6Q21VydFLVH3TRQUabQu_ym0Zz7PgGX0-kHA/edit?usp=sharing"",""แผน!R63"")"),10)</f>
        <v>10</v>
      </c>
      <c r="J111" s="674">
        <f>J114</f>
        <v>0</v>
      </c>
      <c r="K111" s="195">
        <f t="shared" ca="1" si="58"/>
        <v>0</v>
      </c>
      <c r="L111" s="496"/>
      <c r="M111" s="496"/>
      <c r="N111" s="496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2</v>
      </c>
      <c r="J112" s="674">
        <f t="shared" si="59"/>
        <v>0</v>
      </c>
      <c r="K112" s="195">
        <f t="shared" ca="1" si="58"/>
        <v>0</v>
      </c>
      <c r="L112" s="496"/>
      <c r="M112" s="496"/>
      <c r="N112" s="496"/>
      <c r="O112" s="163"/>
      <c r="P112" s="163"/>
    </row>
    <row r="113" spans="1:26" ht="19.5">
      <c r="A113" s="170"/>
      <c r="B113" s="171"/>
      <c r="C113" s="171"/>
      <c r="D113" s="171"/>
      <c r="E113" s="525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IFERROR(__xludf.DUMMYFUNCTION("IMPORTRANGE(""https://docs.google.com/spreadsheets/d/1QqKyyYR6Q21VydFLVH3TRQUabQu_ym0Zz7PgGX0-kHA/edit?usp=sharing"",""แผน!R63"")"),10)</f>
        <v>10</v>
      </c>
      <c r="J113" s="214">
        <v>0</v>
      </c>
      <c r="K113" s="496">
        <f t="shared" ca="1" si="58"/>
        <v>0</v>
      </c>
      <c r="L113" s="496"/>
      <c r="M113" s="496"/>
      <c r="N113" s="496"/>
      <c r="O113" s="163"/>
      <c r="P113" s="163"/>
    </row>
    <row r="114" spans="1:26" ht="19.5">
      <c r="A114" s="170"/>
      <c r="B114" s="171"/>
      <c r="C114" s="171"/>
      <c r="D114" s="171"/>
      <c r="E114" s="446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IFERROR(__xludf.DUMMYFUNCTION("IMPORTRANGE(""https://docs.google.com/spreadsheets/d/1QqKyyYR6Q21VydFLVH3TRQUabQu_ym0Zz7PgGX0-kHA/edit?usp=sharing"",""แผน!R63"")"),10)</f>
        <v>10</v>
      </c>
      <c r="J114" s="214">
        <v>0</v>
      </c>
      <c r="K114" s="496">
        <f t="shared" ca="1" si="58"/>
        <v>0</v>
      </c>
      <c r="L114" s="496"/>
      <c r="M114" s="496"/>
      <c r="N114" s="496"/>
      <c r="O114" s="163"/>
      <c r="P114" s="163"/>
    </row>
    <row r="115" spans="1:26" ht="18.75">
      <c r="A115" s="170"/>
      <c r="B115" s="171"/>
      <c r="C115" s="171"/>
      <c r="D115" s="171"/>
      <c r="E115" s="446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IFERROR(__xludf.DUMMYFUNCTION("IMPORTRANGE(""https://docs.google.com/spreadsheets/d/1QqKyyYR6Q21VydFLVH3TRQUabQu_ym0Zz7PgGX0-kHA/edit?usp=sharing"",""แผน!S63"")"),1)</f>
        <v>1</v>
      </c>
      <c r="J115" s="214">
        <v>0</v>
      </c>
      <c r="K115" s="496">
        <f t="shared" ca="1" si="58"/>
        <v>0</v>
      </c>
      <c r="L115" s="496"/>
      <c r="M115" s="496"/>
      <c r="N115" s="496"/>
      <c r="O115" s="163"/>
      <c r="P115" s="163"/>
    </row>
    <row r="116" spans="1:26" ht="18.75">
      <c r="A116" s="170"/>
      <c r="B116" s="171"/>
      <c r="C116" s="171"/>
      <c r="D116" s="171"/>
      <c r="E116" s="446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IFERROR(__xludf.DUMMYFUNCTION("IMPORTRANGE(""https://docs.google.com/spreadsheets/d/1QqKyyYR6Q21VydFLVH3TRQUabQu_ym0Zz7PgGX0-kHA/edit?usp=sharing"",""แผน!T63"")"),1)</f>
        <v>1</v>
      </c>
      <c r="J116" s="214">
        <v>0</v>
      </c>
      <c r="K116" s="496">
        <f t="shared" ca="1" si="58"/>
        <v>0</v>
      </c>
      <c r="L116" s="496"/>
      <c r="M116" s="496"/>
      <c r="N116" s="496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8" t="s">
        <v>65</v>
      </c>
      <c r="C118" s="204"/>
      <c r="D118" s="141"/>
      <c r="E118" s="140"/>
      <c r="F118" s="140"/>
      <c r="G118" s="142"/>
      <c r="H118" s="143"/>
      <c r="I118" s="205"/>
      <c r="J118" s="205"/>
      <c r="K118" s="146"/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22" t="s">
        <v>17</v>
      </c>
      <c r="E119" s="148"/>
      <c r="F119" s="148"/>
      <c r="G119" s="151"/>
      <c r="H119" s="152" t="s">
        <v>12</v>
      </c>
      <c r="I119" s="419"/>
      <c r="J119" s="419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2" t="s">
        <v>18</v>
      </c>
      <c r="F120" s="40"/>
      <c r="G120" s="157"/>
      <c r="H120" s="158" t="s">
        <v>12</v>
      </c>
      <c r="I120" s="610"/>
      <c r="J120" s="610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2" t="s">
        <v>19</v>
      </c>
      <c r="F121" s="40"/>
      <c r="G121" s="157"/>
      <c r="H121" s="158" t="s">
        <v>12</v>
      </c>
      <c r="I121" s="610"/>
      <c r="J121" s="610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1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6">
        <f t="shared" ref="L122:N122" ca="1" si="64">L123+L124</f>
        <v>0</v>
      </c>
      <c r="M122" s="496">
        <f t="shared" ca="1" si="64"/>
        <v>0</v>
      </c>
      <c r="N122" s="496">
        <f t="shared" ca="1" si="64"/>
        <v>0</v>
      </c>
      <c r="O122" s="496">
        <f t="shared" ca="1" si="61"/>
        <v>0</v>
      </c>
      <c r="P122" s="496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2"/>
      <c r="D123" s="40"/>
      <c r="E123" s="222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2"/>
      <c r="D124" s="40"/>
      <c r="E124" s="222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IFERROR(__xludf.DUMMYFUNCTION("IMPORTRANGE(""https://docs.google.com/spreadsheets/d/1MeEWN-I1oV_STSDYn1IFDPWt_1FKiwhDph83XaGc0o0/edit?usp=sharing"",""งบพรบ!BA63"")"),0)</f>
        <v>0</v>
      </c>
      <c r="M124" s="93">
        <f ca="1">IFERROR(__xludf.DUMMYFUNCTION("IMPORTRANGE(""https://docs.google.com/spreadsheets/d/1MeEWN-I1oV_STSDYn1IFDPWt_1FKiwhDph83XaGc0o0/edit?usp=sharing"",""งบพรบ!BF63"")"),0)</f>
        <v>0</v>
      </c>
      <c r="N124" s="93">
        <f ca="1">IFERROR(__xludf.DUMMYFUNCTION("IMPORTRANGE(""https://docs.google.com/spreadsheets/d/1MeEWN-I1oV_STSDYn1IFDPWt_1FKiwhDph83XaGc0o0/edit?usp=sharing"",""งบพรบ!BH63"")"),0)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1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6">
        <f t="shared" ref="L125:N125" ca="1" si="65">L126+L127</f>
        <v>0</v>
      </c>
      <c r="M125" s="496">
        <f t="shared" ca="1" si="65"/>
        <v>0</v>
      </c>
      <c r="N125" s="496">
        <f t="shared" ca="1" si="65"/>
        <v>0</v>
      </c>
      <c r="O125" s="496">
        <f t="shared" ca="1" si="61"/>
        <v>0</v>
      </c>
      <c r="P125" s="496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2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2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IFERROR(__xludf.DUMMYFUNCTION("IMPORTRANGE(""https://docs.google.com/spreadsheets/d/1MeEWN-I1oV_STSDYn1IFDPWt_1FKiwhDph83XaGc0o0/edit?usp=sharing"",""งบพรบ!BD63"")"),0)</f>
        <v>0</v>
      </c>
      <c r="M127" s="93">
        <f ca="1">IFERROR(__xludf.DUMMYFUNCTION("IMPORTRANGE(""https://docs.google.com/spreadsheets/d/1MeEWN-I1oV_STSDYn1IFDPWt_1FKiwhDph83XaGc0o0/edit?usp=sharing"",""งบพรบ!BG63"")"),0)</f>
        <v>0</v>
      </c>
      <c r="N127" s="93">
        <f ca="1">IFERROR(__xludf.DUMMYFUNCTION("IMPORTRANGE(""https://docs.google.com/spreadsheets/d/1MeEWN-I1oV_STSDYn1IFDPWt_1FKiwhDph83XaGc0o0/edit?usp=sharing"",""งบพรบ!BI63"")"),0)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>
      <c r="A128" s="131" t="s">
        <v>66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>
      <c r="A129" s="138"/>
      <c r="B129" s="208" t="s">
        <v>67</v>
      </c>
      <c r="C129" s="204"/>
      <c r="D129" s="141"/>
      <c r="E129" s="140"/>
      <c r="F129" s="140"/>
      <c r="G129" s="140"/>
      <c r="H129" s="207"/>
      <c r="I129" s="205"/>
      <c r="J129" s="205"/>
      <c r="K129" s="146"/>
      <c r="L129" s="146"/>
      <c r="M129" s="146"/>
      <c r="N129" s="146"/>
      <c r="O129" s="146"/>
      <c r="P129" s="146"/>
    </row>
    <row r="130" spans="1:26" ht="19.5">
      <c r="A130" s="138"/>
      <c r="B130" s="208"/>
      <c r="C130" s="209" t="s">
        <v>68</v>
      </c>
      <c r="D130" s="141"/>
      <c r="E130" s="140"/>
      <c r="F130" s="140"/>
      <c r="G130" s="142"/>
      <c r="H130" s="143" t="s">
        <v>69</v>
      </c>
      <c r="I130" s="144">
        <f t="shared" ref="I130:J130" ca="1" si="66">I146</f>
        <v>4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>
      <c r="A131" s="138"/>
      <c r="B131" s="208"/>
      <c r="C131" s="209" t="s">
        <v>70</v>
      </c>
      <c r="D131" s="141"/>
      <c r="E131" s="140"/>
      <c r="F131" s="140"/>
      <c r="G131" s="142"/>
      <c r="H131" s="143" t="s">
        <v>35</v>
      </c>
      <c r="I131" s="144">
        <f t="shared" ref="I131:J131" ca="1" si="68">I143</f>
        <v>40</v>
      </c>
      <c r="J131" s="144">
        <f t="shared" ca="1" si="68"/>
        <v>40</v>
      </c>
      <c r="K131" s="145">
        <f t="shared" ca="1" si="67"/>
        <v>100</v>
      </c>
      <c r="L131" s="146"/>
      <c r="M131" s="146"/>
      <c r="N131" s="146"/>
      <c r="O131" s="146"/>
      <c r="P131" s="146"/>
    </row>
    <row r="132" spans="1:26" ht="19.5">
      <c r="A132" s="147"/>
      <c r="B132" s="148"/>
      <c r="C132" s="149" t="s">
        <v>16</v>
      </c>
      <c r="D132" s="822" t="s">
        <v>17</v>
      </c>
      <c r="E132" s="148"/>
      <c r="F132" s="148"/>
      <c r="G132" s="151"/>
      <c r="H132" s="152" t="s">
        <v>12</v>
      </c>
      <c r="I132" s="419"/>
      <c r="J132" s="419"/>
      <c r="K132" s="154"/>
      <c r="L132" s="155">
        <f t="shared" ref="L132:N132" ca="1" si="69">L133+L134</f>
        <v>1017520</v>
      </c>
      <c r="M132" s="155">
        <f t="shared" ca="1" si="69"/>
        <v>739850</v>
      </c>
      <c r="N132" s="155">
        <f t="shared" ca="1" si="69"/>
        <v>632726.44999999995</v>
      </c>
      <c r="O132" s="155">
        <f t="shared" ref="O132:O140" ca="1" si="70">IF(L132&gt;0,N132*100/L132,0)</f>
        <v>62.183195416306305</v>
      </c>
      <c r="P132" s="155">
        <f t="shared" ref="P132:P140" ca="1" si="71">IF(M132&gt;0,N132*100/M132,0)</f>
        <v>85.520909643846721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2" t="s">
        <v>18</v>
      </c>
      <c r="F133" s="40"/>
      <c r="G133" s="157"/>
      <c r="H133" s="158" t="s">
        <v>12</v>
      </c>
      <c r="I133" s="610"/>
      <c r="J133" s="610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2" t="s">
        <v>19</v>
      </c>
      <c r="F134" s="40"/>
      <c r="G134" s="157"/>
      <c r="H134" s="158" t="s">
        <v>12</v>
      </c>
      <c r="I134" s="610"/>
      <c r="J134" s="610"/>
      <c r="K134" s="93"/>
      <c r="L134" s="93">
        <f t="shared" ca="1" si="72"/>
        <v>1017520</v>
      </c>
      <c r="M134" s="93">
        <f t="shared" ca="1" si="72"/>
        <v>739850</v>
      </c>
      <c r="N134" s="93">
        <f t="shared" ca="1" si="72"/>
        <v>632726.44999999995</v>
      </c>
      <c r="O134" s="93">
        <f t="shared" ca="1" si="70"/>
        <v>62.183195416306305</v>
      </c>
      <c r="P134" s="93">
        <f t="shared" ca="1" si="71"/>
        <v>85.520909643846721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>
      <c r="A135" s="159"/>
      <c r="B135" s="33"/>
      <c r="C135" s="281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6">
        <f t="shared" ref="L135:N135" ca="1" si="73">L136+L137</f>
        <v>605520</v>
      </c>
      <c r="M135" s="496">
        <f t="shared" ca="1" si="73"/>
        <v>327850</v>
      </c>
      <c r="N135" s="496">
        <f t="shared" ca="1" si="73"/>
        <v>220726.45</v>
      </c>
      <c r="O135" s="496">
        <f t="shared" ca="1" si="70"/>
        <v>36.452379772757297</v>
      </c>
      <c r="P135" s="496">
        <f t="shared" ca="1" si="71"/>
        <v>67.325438462711602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2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2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IFERROR(__xludf.DUMMYFUNCTION("IMPORTRANGE(""https://docs.google.com/spreadsheets/d/1MeEWN-I1oV_STSDYn1IFDPWt_1FKiwhDph83XaGc0o0/edit?usp=sharing"",""งบพรบ!BK63"")"),605520)</f>
        <v>605520</v>
      </c>
      <c r="M137" s="93">
        <f ca="1">IFERROR(__xludf.DUMMYFUNCTION("IMPORTRANGE(""https://docs.google.com/spreadsheets/d/1MeEWN-I1oV_STSDYn1IFDPWt_1FKiwhDph83XaGc0o0/edit?usp=sharing"",""งบพรบ!BP63"")"),327850)</f>
        <v>327850</v>
      </c>
      <c r="N137" s="93">
        <f ca="1">IFERROR(__xludf.DUMMYFUNCTION("IMPORTRANGE(""https://docs.google.com/spreadsheets/d/1MeEWN-I1oV_STSDYn1IFDPWt_1FKiwhDph83XaGc0o0/edit?usp=sharing"",""งบพรบ!BR63"")"),220726.45)</f>
        <v>220726.45</v>
      </c>
      <c r="O137" s="93">
        <f t="shared" ca="1" si="70"/>
        <v>36.452379772757297</v>
      </c>
      <c r="P137" s="93">
        <f t="shared" ca="1" si="71"/>
        <v>67.325438462711602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>
      <c r="A138" s="159"/>
      <c r="B138" s="33"/>
      <c r="C138" s="281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6">
        <f t="shared" ref="L138:N138" ca="1" si="74">L139+L140</f>
        <v>412000</v>
      </c>
      <c r="M138" s="496">
        <f t="shared" ca="1" si="74"/>
        <v>412000</v>
      </c>
      <c r="N138" s="496">
        <f t="shared" ca="1" si="74"/>
        <v>412000</v>
      </c>
      <c r="O138" s="496">
        <f t="shared" ca="1" si="70"/>
        <v>100</v>
      </c>
      <c r="P138" s="496">
        <f t="shared" ca="1" si="71"/>
        <v>100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2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2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IFERROR(__xludf.DUMMYFUNCTION("IMPORTRANGE(""https://docs.google.com/spreadsheets/d/1MeEWN-I1oV_STSDYn1IFDPWt_1FKiwhDph83XaGc0o0/edit?usp=sharing"",""งบพรบ!BN63"")"),412000)</f>
        <v>412000</v>
      </c>
      <c r="M140" s="93">
        <f ca="1">IFERROR(__xludf.DUMMYFUNCTION("IMPORTRANGE(""https://docs.google.com/spreadsheets/d/1MeEWN-I1oV_STSDYn1IFDPWt_1FKiwhDph83XaGc0o0/edit?usp=sharing"",""งบพรบ!BQ63"")"),412000)</f>
        <v>412000</v>
      </c>
      <c r="N140" s="93">
        <f ca="1">IFERROR(__xludf.DUMMYFUNCTION("IMPORTRANGE(""https://docs.google.com/spreadsheets/d/1MeEWN-I1oV_STSDYn1IFDPWt_1FKiwhDph83XaGc0o0/edit?usp=sharing"",""งบพรบ!BS63"")"),412000)</f>
        <v>412000</v>
      </c>
      <c r="O140" s="93">
        <f t="shared" ca="1" si="70"/>
        <v>100</v>
      </c>
      <c r="P140" s="93">
        <f t="shared" ca="1" si="71"/>
        <v>100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>
      <c r="A141" s="170"/>
      <c r="B141" s="171"/>
      <c r="C141" s="149" t="s">
        <v>16</v>
      </c>
      <c r="D141" s="823" t="s">
        <v>38</v>
      </c>
      <c r="E141" s="173"/>
      <c r="F141" s="173"/>
      <c r="G141" s="174"/>
      <c r="H141" s="168"/>
      <c r="I141" s="269"/>
      <c r="J141" s="269"/>
      <c r="K141" s="496"/>
      <c r="L141" s="496"/>
      <c r="M141" s="496"/>
      <c r="N141" s="496"/>
      <c r="O141" s="496"/>
      <c r="P141" s="496"/>
    </row>
    <row r="142" spans="1:26" ht="19.5">
      <c r="A142" s="159"/>
      <c r="B142" s="33"/>
      <c r="C142" s="210"/>
      <c r="D142" s="281" t="s">
        <v>71</v>
      </c>
      <c r="E142" s="34"/>
      <c r="F142" s="33"/>
      <c r="G142" s="213"/>
      <c r="H142" s="168"/>
      <c r="I142" s="269"/>
      <c r="J142" s="214">
        <v>0</v>
      </c>
      <c r="K142" s="496"/>
      <c r="L142" s="496"/>
      <c r="M142" s="496"/>
      <c r="N142" s="496"/>
      <c r="O142" s="496"/>
      <c r="P142" s="496"/>
    </row>
    <row r="143" spans="1:26" ht="19.5">
      <c r="A143" s="159"/>
      <c r="B143" s="33"/>
      <c r="C143" s="210"/>
      <c r="D143" s="281" t="s">
        <v>72</v>
      </c>
      <c r="E143" s="34"/>
      <c r="F143" s="33"/>
      <c r="G143" s="213"/>
      <c r="H143" s="168" t="s">
        <v>35</v>
      </c>
      <c r="I143" s="269">
        <f ca="1">I145</f>
        <v>40</v>
      </c>
      <c r="J143" s="269">
        <f ca="1">IF(AND(J144&gt;=I144,J145&gt;=I145),J145,0)</f>
        <v>40</v>
      </c>
      <c r="K143" s="496">
        <f ca="1">IF(I143&gt;0,J143*100/I143,0)</f>
        <v>100</v>
      </c>
      <c r="L143" s="496"/>
      <c r="M143" s="496"/>
      <c r="N143" s="496"/>
      <c r="O143" s="496"/>
      <c r="P143" s="496"/>
    </row>
    <row r="144" spans="1:26" ht="19.5">
      <c r="A144" s="159"/>
      <c r="B144" s="33"/>
      <c r="C144" s="210"/>
      <c r="D144" s="178"/>
      <c r="E144" s="281" t="s">
        <v>73</v>
      </c>
      <c r="F144" s="33"/>
      <c r="G144" s="213"/>
      <c r="H144" s="168" t="s">
        <v>35</v>
      </c>
      <c r="I144" s="269">
        <f ca="1">IFERROR(__xludf.DUMMYFUNCTION("IMPORTRANGE(""https://docs.google.com/spreadsheets/d/1QqKyyYR6Q21VydFLVH3TRQUabQu_ym0Zz7PgGX0-kHA/edit?usp=sharing"",""แผน!U63"")"),20)</f>
        <v>20</v>
      </c>
      <c r="J144" s="214">
        <v>40</v>
      </c>
      <c r="K144" s="496">
        <f t="shared" ref="K144:K145" ca="1" si="75">IF(I144&gt;0,J145*100/I144,0)</f>
        <v>200</v>
      </c>
      <c r="L144" s="496"/>
      <c r="M144" s="496"/>
      <c r="N144" s="496"/>
      <c r="O144" s="496"/>
      <c r="P144" s="496"/>
    </row>
    <row r="145" spans="1:26" ht="19.5">
      <c r="A145" s="159"/>
      <c r="B145" s="33"/>
      <c r="C145" s="210"/>
      <c r="D145" s="178"/>
      <c r="E145" s="281" t="s">
        <v>74</v>
      </c>
      <c r="F145" s="33"/>
      <c r="G145" s="213"/>
      <c r="H145" s="168" t="s">
        <v>35</v>
      </c>
      <c r="I145" s="269">
        <f ca="1">IFERROR(__xludf.DUMMYFUNCTION("IMPORTRANGE(""https://docs.google.com/spreadsheets/d/1QqKyyYR6Q21VydFLVH3TRQUabQu_ym0Zz7PgGX0-kHA/edit?usp=sharing"",""แผน!V63"")"),40)</f>
        <v>40</v>
      </c>
      <c r="J145" s="214">
        <v>40</v>
      </c>
      <c r="K145" s="496">
        <f t="shared" ca="1" si="75"/>
        <v>0</v>
      </c>
      <c r="L145" s="496"/>
      <c r="M145" s="496"/>
      <c r="N145" s="496"/>
      <c r="O145" s="496"/>
      <c r="P145" s="496"/>
    </row>
    <row r="146" spans="1:26" ht="19.5">
      <c r="A146" s="159"/>
      <c r="B146" s="33"/>
      <c r="C146" s="210"/>
      <c r="D146" s="281" t="s">
        <v>75</v>
      </c>
      <c r="E146" s="34"/>
      <c r="F146" s="33"/>
      <c r="G146" s="213"/>
      <c r="H146" s="168" t="s">
        <v>69</v>
      </c>
      <c r="I146" s="269">
        <f ca="1">IFERROR(__xludf.DUMMYFUNCTION("IMPORTRANGE(""https://docs.google.com/spreadsheets/d/1QqKyyYR6Q21VydFLVH3TRQUabQu_ym0Zz7PgGX0-kHA/edit?usp=sharing"",""แผน!W63"")"),4)</f>
        <v>4</v>
      </c>
      <c r="J146" s="214">
        <v>0</v>
      </c>
      <c r="K146" s="496">
        <f ca="1">IF(I146&gt;0,J146*100/I146,0)</f>
        <v>0</v>
      </c>
      <c r="L146" s="496"/>
      <c r="M146" s="496"/>
      <c r="N146" s="496"/>
      <c r="O146" s="496"/>
      <c r="P146" s="496"/>
    </row>
    <row r="147" spans="1:26" ht="19.5" hidden="1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 hidden="1">
      <c r="A148" s="216"/>
      <c r="B148" s="208" t="s">
        <v>77</v>
      </c>
      <c r="C148" s="208"/>
      <c r="D148" s="208"/>
      <c r="E148" s="824"/>
      <c r="F148" s="218"/>
      <c r="G148" s="219"/>
      <c r="H148" s="220" t="s">
        <v>35</v>
      </c>
      <c r="I148" s="144">
        <f t="shared" ref="I148:J148" ca="1" si="76">I159</f>
        <v>0</v>
      </c>
      <c r="J148" s="144">
        <f t="shared" si="76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1"/>
      <c r="R148" s="221"/>
      <c r="S148" s="221"/>
      <c r="T148" s="221"/>
      <c r="U148" s="221"/>
      <c r="V148" s="221"/>
      <c r="W148" s="221"/>
      <c r="X148" s="221"/>
      <c r="Y148" s="221"/>
      <c r="Z148" s="221"/>
    </row>
    <row r="149" spans="1:26" ht="19.5" hidden="1">
      <c r="A149" s="147"/>
      <c r="B149" s="148"/>
      <c r="C149" s="149" t="s">
        <v>16</v>
      </c>
      <c r="D149" s="822" t="s">
        <v>17</v>
      </c>
      <c r="E149" s="148"/>
      <c r="F149" s="148"/>
      <c r="G149" s="151"/>
      <c r="H149" s="152" t="s">
        <v>12</v>
      </c>
      <c r="I149" s="419"/>
      <c r="J149" s="419"/>
      <c r="K149" s="154"/>
      <c r="L149" s="155">
        <f t="shared" ref="L149:N149" ca="1" si="77">L150+L151</f>
        <v>0</v>
      </c>
      <c r="M149" s="155">
        <f t="shared" ca="1" si="77"/>
        <v>0</v>
      </c>
      <c r="N149" s="155">
        <f t="shared" ca="1" si="77"/>
        <v>0</v>
      </c>
      <c r="O149" s="155">
        <f t="shared" ref="O149:O157" ca="1" si="78">IF(L149&gt;0,N149*100/L149,0)</f>
        <v>0</v>
      </c>
      <c r="P149" s="155">
        <f t="shared" ref="P149:P157" ca="1" si="79">IF(M149&gt;0,N149*100/M149,0)</f>
        <v>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2" t="s">
        <v>18</v>
      </c>
      <c r="F150" s="40"/>
      <c r="G150" s="157"/>
      <c r="H150" s="158" t="s">
        <v>12</v>
      </c>
      <c r="I150" s="610"/>
      <c r="J150" s="610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2" t="s">
        <v>19</v>
      </c>
      <c r="F151" s="40"/>
      <c r="G151" s="157"/>
      <c r="H151" s="158" t="s">
        <v>12</v>
      </c>
      <c r="I151" s="610"/>
      <c r="J151" s="610"/>
      <c r="K151" s="93"/>
      <c r="L151" s="93">
        <f t="shared" ca="1" si="80"/>
        <v>0</v>
      </c>
      <c r="M151" s="93">
        <f t="shared" ca="1" si="80"/>
        <v>0</v>
      </c>
      <c r="N151" s="93">
        <f t="shared" ca="1" si="80"/>
        <v>0</v>
      </c>
      <c r="O151" s="93">
        <f t="shared" ca="1" si="78"/>
        <v>0</v>
      </c>
      <c r="P151" s="93">
        <f t="shared" ca="1" si="79"/>
        <v>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 hidden="1">
      <c r="A152" s="159"/>
      <c r="B152" s="33"/>
      <c r="C152" s="281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6">
        <f t="shared" ref="L152:N152" ca="1" si="81">L153+L154</f>
        <v>0</v>
      </c>
      <c r="M152" s="496">
        <f t="shared" ca="1" si="81"/>
        <v>0</v>
      </c>
      <c r="N152" s="496">
        <f t="shared" ca="1" si="81"/>
        <v>0</v>
      </c>
      <c r="O152" s="496">
        <f t="shared" ca="1" si="78"/>
        <v>0</v>
      </c>
      <c r="P152" s="496">
        <f t="shared" ca="1" si="79"/>
        <v>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2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2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IFERROR(__xludf.DUMMYFUNCTION("IMPORTRANGE(""https://docs.google.com/spreadsheets/d/1MeEWN-I1oV_STSDYn1IFDPWt_1FKiwhDph83XaGc0o0/edit?usp=sharing"",""งบพรบ!BU63"")"),0)</f>
        <v>0</v>
      </c>
      <c r="M154" s="93">
        <f ca="1">IFERROR(__xludf.DUMMYFUNCTION("IMPORTRANGE(""https://docs.google.com/spreadsheets/d/1MeEWN-I1oV_STSDYn1IFDPWt_1FKiwhDph83XaGc0o0/edit?usp=sharing"",""งบพรบ!BZ63"")"),0)</f>
        <v>0</v>
      </c>
      <c r="N154" s="93">
        <f ca="1">IFERROR(__xludf.DUMMYFUNCTION("IMPORTRANGE(""https://docs.google.com/spreadsheets/d/1MeEWN-I1oV_STSDYn1IFDPWt_1FKiwhDph83XaGc0o0/edit?usp=sharing"",""งบพรบ!CB63"")"),0)</f>
        <v>0</v>
      </c>
      <c r="O154" s="93">
        <f t="shared" ca="1" si="78"/>
        <v>0</v>
      </c>
      <c r="P154" s="93">
        <f t="shared" ca="1" si="79"/>
        <v>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 hidden="1">
      <c r="A155" s="159"/>
      <c r="B155" s="33"/>
      <c r="C155" s="281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6">
        <f t="shared" ref="L155:N155" ca="1" si="82">L156+L157</f>
        <v>0</v>
      </c>
      <c r="M155" s="496">
        <f t="shared" ca="1" si="82"/>
        <v>0</v>
      </c>
      <c r="N155" s="496">
        <f t="shared" ca="1" si="82"/>
        <v>0</v>
      </c>
      <c r="O155" s="496">
        <f t="shared" ca="1" si="78"/>
        <v>0</v>
      </c>
      <c r="P155" s="496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2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2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IFERROR(__xludf.DUMMYFUNCTION("IMPORTRANGE(""https://docs.google.com/spreadsheets/d/1MeEWN-I1oV_STSDYn1IFDPWt_1FKiwhDph83XaGc0o0/edit?usp=sharing"",""งบพรบ!BX63"")"),0)</f>
        <v>0</v>
      </c>
      <c r="M157" s="93">
        <f ca="1">IFERROR(__xludf.DUMMYFUNCTION("IMPORTRANGE(""https://docs.google.com/spreadsheets/d/1MeEWN-I1oV_STSDYn1IFDPWt_1FKiwhDph83XaGc0o0/edit?usp=sharing"",""งบพรบ!CA63"")"),0)</f>
        <v>0</v>
      </c>
      <c r="N157" s="93">
        <f ca="1">IFERROR(__xludf.DUMMYFUNCTION("IMPORTRANGE(""https://docs.google.com/spreadsheets/d/1MeEWN-I1oV_STSDYn1IFDPWt_1FKiwhDph83XaGc0o0/edit?usp=sharing"",""งบพรบ!CC63"")"),0)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 hidden="1">
      <c r="A158" s="170"/>
      <c r="B158" s="171"/>
      <c r="C158" s="164" t="s">
        <v>16</v>
      </c>
      <c r="D158" s="823" t="s">
        <v>38</v>
      </c>
      <c r="E158" s="173"/>
      <c r="F158" s="173"/>
      <c r="G158" s="174"/>
      <c r="H158" s="168"/>
      <c r="I158" s="269"/>
      <c r="J158" s="269"/>
      <c r="K158" s="496"/>
      <c r="L158" s="496"/>
      <c r="M158" s="496"/>
      <c r="N158" s="496"/>
      <c r="O158" s="496"/>
      <c r="P158" s="496"/>
    </row>
    <row r="159" spans="1:26" ht="19.5" hidden="1">
      <c r="A159" s="159"/>
      <c r="B159" s="33"/>
      <c r="C159" s="210"/>
      <c r="D159" s="281" t="s">
        <v>78</v>
      </c>
      <c r="E159" s="34"/>
      <c r="F159" s="33"/>
      <c r="G159" s="213"/>
      <c r="H159" s="168" t="s">
        <v>35</v>
      </c>
      <c r="I159" s="269">
        <f ca="1">IFERROR(__xludf.DUMMYFUNCTION("IMPORTRANGE(""https://docs.google.com/spreadsheets/d/1QqKyyYR6Q21VydFLVH3TRQUabQu_ym0Zz7PgGX0-kHA/edit?usp=sharing"",""แผน!X63"")"),0)</f>
        <v>0</v>
      </c>
      <c r="J159" s="214">
        <v>0</v>
      </c>
      <c r="K159" s="496">
        <f ca="1">IF(I159&gt;0,J159*100/I159,0)</f>
        <v>0</v>
      </c>
      <c r="L159" s="496"/>
      <c r="M159" s="496"/>
      <c r="N159" s="496"/>
      <c r="O159" s="496"/>
      <c r="P159" s="496"/>
    </row>
    <row r="160" spans="1:26" ht="19.5" hidden="1">
      <c r="A160" s="156"/>
      <c r="B160" s="40"/>
      <c r="C160" s="164"/>
      <c r="D160" s="222" t="s">
        <v>79</v>
      </c>
      <c r="E160" s="223"/>
      <c r="F160" s="40"/>
      <c r="G160" s="157"/>
      <c r="H160" s="169" t="s">
        <v>35</v>
      </c>
      <c r="I160" s="610"/>
      <c r="J160" s="610"/>
      <c r="K160" s="93"/>
      <c r="L160" s="93"/>
      <c r="M160" s="93"/>
      <c r="N160" s="93"/>
      <c r="O160" s="93"/>
      <c r="P160" s="93"/>
      <c r="Q160" s="224"/>
      <c r="R160" s="224"/>
      <c r="S160" s="224"/>
      <c r="T160" s="224"/>
      <c r="U160" s="224"/>
      <c r="V160" s="224"/>
      <c r="W160" s="224"/>
      <c r="X160" s="224"/>
      <c r="Y160" s="224"/>
      <c r="Z160" s="224"/>
    </row>
    <row r="161" spans="1:26" ht="19.5" hidden="1">
      <c r="A161" s="225"/>
      <c r="B161" s="226"/>
      <c r="C161" s="227"/>
      <c r="D161" s="228" t="s">
        <v>80</v>
      </c>
      <c r="E161" s="825"/>
      <c r="F161" s="226"/>
      <c r="G161" s="230"/>
      <c r="H161" s="231" t="s">
        <v>35</v>
      </c>
      <c r="I161" s="232"/>
      <c r="J161" s="232"/>
      <c r="K161" s="233"/>
      <c r="L161" s="233"/>
      <c r="M161" s="233"/>
      <c r="N161" s="233"/>
      <c r="O161" s="233"/>
      <c r="P161" s="233"/>
      <c r="Q161" s="224"/>
      <c r="R161" s="224"/>
      <c r="S161" s="224"/>
      <c r="T161" s="224"/>
      <c r="U161" s="224"/>
      <c r="V161" s="224"/>
      <c r="W161" s="224"/>
      <c r="X161" s="224"/>
      <c r="Y161" s="224"/>
      <c r="Z161" s="224"/>
    </row>
    <row r="162" spans="1:26" ht="19.5">
      <c r="A162" s="234" t="s">
        <v>81</v>
      </c>
      <c r="B162" s="235"/>
      <c r="C162" s="235"/>
      <c r="D162" s="235"/>
      <c r="E162" s="236"/>
      <c r="F162" s="236"/>
      <c r="G162" s="237"/>
      <c r="H162" s="238"/>
      <c r="I162" s="239"/>
      <c r="J162" s="239"/>
      <c r="K162" s="240"/>
      <c r="L162" s="240"/>
      <c r="M162" s="240"/>
      <c r="N162" s="240"/>
      <c r="O162" s="240"/>
      <c r="P162" s="240"/>
    </row>
    <row r="163" spans="1:26" ht="19.5">
      <c r="A163" s="241" t="s">
        <v>82</v>
      </c>
      <c r="B163" s="242"/>
      <c r="C163" s="242"/>
      <c r="D163" s="243"/>
      <c r="E163" s="243"/>
      <c r="F163" s="243"/>
      <c r="G163" s="244"/>
      <c r="H163" s="245"/>
      <c r="I163" s="246"/>
      <c r="J163" s="246"/>
      <c r="K163" s="247"/>
      <c r="L163" s="247"/>
      <c r="M163" s="247"/>
      <c r="N163" s="247"/>
      <c r="O163" s="247"/>
      <c r="P163" s="247"/>
    </row>
    <row r="164" spans="1:26" ht="19.5">
      <c r="A164" s="248"/>
      <c r="B164" s="249" t="s">
        <v>83</v>
      </c>
      <c r="C164" s="250"/>
      <c r="D164" s="173"/>
      <c r="E164" s="173"/>
      <c r="F164" s="173"/>
      <c r="G164" s="174"/>
      <c r="H164" s="251" t="s">
        <v>35</v>
      </c>
      <c r="I164" s="252">
        <f t="shared" ref="I164:J164" ca="1" si="83">I174+I177</f>
        <v>10</v>
      </c>
      <c r="J164" s="252">
        <f t="shared" si="83"/>
        <v>10</v>
      </c>
      <c r="K164" s="253">
        <f ca="1">IF(I164&gt;0,J164*100/I164,0)</f>
        <v>100</v>
      </c>
      <c r="L164" s="254"/>
      <c r="M164" s="254"/>
      <c r="N164" s="254"/>
      <c r="O164" s="254"/>
      <c r="P164" s="254"/>
    </row>
    <row r="165" spans="1:26" ht="19.5">
      <c r="A165" s="147"/>
      <c r="B165" s="148"/>
      <c r="C165" s="149" t="s">
        <v>16</v>
      </c>
      <c r="D165" s="822" t="s">
        <v>17</v>
      </c>
      <c r="E165" s="148"/>
      <c r="F165" s="148"/>
      <c r="G165" s="151"/>
      <c r="H165" s="152" t="s">
        <v>12</v>
      </c>
      <c r="I165" s="419"/>
      <c r="J165" s="419"/>
      <c r="K165" s="154"/>
      <c r="L165" s="155">
        <f t="shared" ref="L165:N165" ca="1" si="84">L166+L167</f>
        <v>21050</v>
      </c>
      <c r="M165" s="155">
        <f t="shared" ca="1" si="84"/>
        <v>21050</v>
      </c>
      <c r="N165" s="155">
        <f t="shared" ca="1" si="84"/>
        <v>16220</v>
      </c>
      <c r="O165" s="155">
        <f t="shared" ref="O165:O173" ca="1" si="85">IF(L165&gt;0,N165*100/L165,0)</f>
        <v>77.054631828978629</v>
      </c>
      <c r="P165" s="155">
        <f t="shared" ref="P165:P173" ca="1" si="86">IF(M165&gt;0,N165*100/M165,0)</f>
        <v>77.054631828978629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2" t="s">
        <v>18</v>
      </c>
      <c r="F166" s="40"/>
      <c r="G166" s="157"/>
      <c r="H166" s="158" t="s">
        <v>12</v>
      </c>
      <c r="I166" s="610"/>
      <c r="J166" s="610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2" t="s">
        <v>19</v>
      </c>
      <c r="F167" s="40"/>
      <c r="G167" s="157"/>
      <c r="H167" s="158" t="s">
        <v>12</v>
      </c>
      <c r="I167" s="610"/>
      <c r="J167" s="610"/>
      <c r="K167" s="93"/>
      <c r="L167" s="93">
        <f t="shared" ca="1" si="87"/>
        <v>21050</v>
      </c>
      <c r="M167" s="93">
        <f t="shared" ca="1" si="87"/>
        <v>21050</v>
      </c>
      <c r="N167" s="93">
        <f t="shared" ca="1" si="87"/>
        <v>16220</v>
      </c>
      <c r="O167" s="93">
        <f t="shared" ca="1" si="85"/>
        <v>77.054631828978629</v>
      </c>
      <c r="P167" s="93">
        <f t="shared" ca="1" si="86"/>
        <v>77.054631828978629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1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6">
        <f t="shared" ref="L168:N168" ca="1" si="88">L169+L170</f>
        <v>21050</v>
      </c>
      <c r="M168" s="496">
        <f t="shared" ca="1" si="88"/>
        <v>21050</v>
      </c>
      <c r="N168" s="496">
        <f t="shared" ca="1" si="88"/>
        <v>16220</v>
      </c>
      <c r="O168" s="496">
        <f t="shared" ca="1" si="85"/>
        <v>77.054631828978629</v>
      </c>
      <c r="P168" s="496">
        <f t="shared" ca="1" si="86"/>
        <v>77.054631828978629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2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2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IFERROR(__xludf.DUMMYFUNCTION("IMPORTRANGE(""https://docs.google.com/spreadsheets/d/1MeEWN-I1oV_STSDYn1IFDPWt_1FKiwhDph83XaGc0o0/edit?usp=sharing"",""งบพรบ!CE63"")"),21050)</f>
        <v>21050</v>
      </c>
      <c r="M170" s="93">
        <f ca="1">IFERROR(__xludf.DUMMYFUNCTION("IMPORTRANGE(""https://docs.google.com/spreadsheets/d/1MeEWN-I1oV_STSDYn1IFDPWt_1FKiwhDph83XaGc0o0/edit?usp=sharing"",""งบพรบ!CJ63"")"),21050)</f>
        <v>21050</v>
      </c>
      <c r="N170" s="93">
        <f ca="1">IFERROR(__xludf.DUMMYFUNCTION("IMPORTRANGE(""https://docs.google.com/spreadsheets/d/1MeEWN-I1oV_STSDYn1IFDPWt_1FKiwhDph83XaGc0o0/edit?usp=sharing"",""งบพรบ!CL63"")"),16220)</f>
        <v>16220</v>
      </c>
      <c r="O170" s="93">
        <f t="shared" ca="1" si="85"/>
        <v>77.054631828978629</v>
      </c>
      <c r="P170" s="93">
        <f t="shared" ca="1" si="86"/>
        <v>77.054631828978629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1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6">
        <f t="shared" ref="L171:N171" ca="1" si="89">L172+L173</f>
        <v>0</v>
      </c>
      <c r="M171" s="496">
        <f t="shared" ca="1" si="89"/>
        <v>0</v>
      </c>
      <c r="N171" s="496">
        <f t="shared" ca="1" si="89"/>
        <v>0</v>
      </c>
      <c r="O171" s="496">
        <f t="shared" ca="1" si="85"/>
        <v>0</v>
      </c>
      <c r="P171" s="496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2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2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IFERROR(__xludf.DUMMYFUNCTION("IMPORTRANGE(""https://docs.google.com/spreadsheets/d/1MeEWN-I1oV_STSDYn1IFDPWt_1FKiwhDph83XaGc0o0/edit?usp=sharing"",""งบพรบ!CH63"")"),0)</f>
        <v>0</v>
      </c>
      <c r="M173" s="93">
        <f ca="1">IFERROR(__xludf.DUMMYFUNCTION("IMPORTRANGE(""https://docs.google.com/spreadsheets/d/1MeEWN-I1oV_STSDYn1IFDPWt_1FKiwhDph83XaGc0o0/edit?usp=sharing"",""งบพรบ!CK63"")"),0)</f>
        <v>0</v>
      </c>
      <c r="N173" s="93">
        <f ca="1">IFERROR(__xludf.DUMMYFUNCTION("IMPORTRANGE(""https://docs.google.com/spreadsheets/d/1MeEWN-I1oV_STSDYn1IFDPWt_1FKiwhDph83XaGc0o0/edit?usp=sharing"",""งบพรบ!CM63"")"),0)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5"/>
      <c r="B174" s="256"/>
      <c r="C174" s="257" t="s">
        <v>84</v>
      </c>
      <c r="D174" s="256"/>
      <c r="E174" s="256"/>
      <c r="F174" s="256"/>
      <c r="G174" s="258"/>
      <c r="H174" s="259" t="s">
        <v>35</v>
      </c>
      <c r="I174" s="260">
        <f t="shared" ref="I174:J174" ca="1" si="90">I176</f>
        <v>10</v>
      </c>
      <c r="J174" s="260">
        <f t="shared" si="90"/>
        <v>10</v>
      </c>
      <c r="K174" s="261">
        <f ca="1">IF(I174&gt;0,J174*100/I174,0)</f>
        <v>100</v>
      </c>
      <c r="L174" s="261"/>
      <c r="M174" s="261"/>
      <c r="N174" s="261"/>
      <c r="O174" s="261"/>
      <c r="P174" s="261"/>
    </row>
    <row r="175" spans="1:26" ht="19.5">
      <c r="A175" s="170"/>
      <c r="B175" s="171"/>
      <c r="C175" s="164" t="s">
        <v>16</v>
      </c>
      <c r="D175" s="823" t="s">
        <v>38</v>
      </c>
      <c r="E175" s="173"/>
      <c r="F175" s="173"/>
      <c r="G175" s="174"/>
      <c r="H175" s="753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37" t="s">
        <v>85</v>
      </c>
      <c r="E176" s="178"/>
      <c r="F176" s="178"/>
      <c r="G176" s="179"/>
      <c r="H176" s="616" t="s">
        <v>35</v>
      </c>
      <c r="I176" s="269">
        <f ca="1">IFERROR(__xludf.DUMMYFUNCTION("IMPORTRANGE(""https://docs.google.com/spreadsheets/d/1QqKyyYR6Q21VydFLVH3TRQUabQu_ym0Zz7PgGX0-kHA/edit?usp=sharing"",""แผน!Y63"")"),10)</f>
        <v>10</v>
      </c>
      <c r="J176" s="214">
        <v>10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5"/>
      <c r="B177" s="263"/>
      <c r="C177" s="264" t="s">
        <v>86</v>
      </c>
      <c r="D177" s="263"/>
      <c r="E177" s="256"/>
      <c r="F177" s="256"/>
      <c r="G177" s="258"/>
      <c r="H177" s="265" t="s">
        <v>35</v>
      </c>
      <c r="I177" s="260"/>
      <c r="J177" s="260">
        <f>J179</f>
        <v>0</v>
      </c>
      <c r="K177" s="261"/>
      <c r="L177" s="261"/>
      <c r="M177" s="261"/>
      <c r="N177" s="261"/>
      <c r="O177" s="261"/>
      <c r="P177" s="261"/>
    </row>
    <row r="178" spans="1:26" ht="19.5" hidden="1">
      <c r="A178" s="170"/>
      <c r="B178" s="171"/>
      <c r="C178" s="164" t="s">
        <v>16</v>
      </c>
      <c r="D178" s="266" t="s">
        <v>38</v>
      </c>
      <c r="E178" s="173"/>
      <c r="F178" s="173"/>
      <c r="G178" s="174"/>
      <c r="H178" s="753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3" t="s">
        <v>87</v>
      </c>
      <c r="E179" s="178"/>
      <c r="F179" s="366"/>
      <c r="G179" s="179"/>
      <c r="H179" s="43" t="s">
        <v>35</v>
      </c>
      <c r="I179" s="269"/>
      <c r="J179" s="269"/>
      <c r="K179" s="163"/>
      <c r="L179" s="163"/>
      <c r="M179" s="163"/>
      <c r="N179" s="163"/>
      <c r="O179" s="163"/>
      <c r="P179" s="163"/>
    </row>
    <row r="180" spans="1:26" ht="19.5">
      <c r="A180" s="248"/>
      <c r="B180" s="249" t="s">
        <v>88</v>
      </c>
      <c r="C180" s="250"/>
      <c r="D180" s="173"/>
      <c r="E180" s="173"/>
      <c r="F180" s="173"/>
      <c r="G180" s="174"/>
      <c r="H180" s="251" t="s">
        <v>35</v>
      </c>
      <c r="I180" s="252">
        <f t="shared" ref="I180:J180" ca="1" si="91">I225+I226</f>
        <v>20</v>
      </c>
      <c r="J180" s="252">
        <f t="shared" si="91"/>
        <v>0</v>
      </c>
      <c r="K180" s="253">
        <f ca="1">IF(I180&gt;0,J180*100/I180,0)</f>
        <v>0</v>
      </c>
      <c r="L180" s="254"/>
      <c r="M180" s="254"/>
      <c r="N180" s="254"/>
      <c r="O180" s="254"/>
      <c r="P180" s="254"/>
    </row>
    <row r="181" spans="1:26" ht="19.5">
      <c r="A181" s="147"/>
      <c r="B181" s="148"/>
      <c r="C181" s="149" t="s">
        <v>16</v>
      </c>
      <c r="D181" s="822" t="s">
        <v>17</v>
      </c>
      <c r="E181" s="148"/>
      <c r="F181" s="148"/>
      <c r="G181" s="151"/>
      <c r="H181" s="152" t="s">
        <v>12</v>
      </c>
      <c r="I181" s="419"/>
      <c r="J181" s="419"/>
      <c r="K181" s="154"/>
      <c r="L181" s="155">
        <f t="shared" ref="L181:N181" ca="1" si="92">L182+L183</f>
        <v>112000</v>
      </c>
      <c r="M181" s="155">
        <f t="shared" ca="1" si="92"/>
        <v>71500</v>
      </c>
      <c r="N181" s="155">
        <f t="shared" ca="1" si="92"/>
        <v>26120</v>
      </c>
      <c r="O181" s="155">
        <f t="shared" ref="O181:O189" ca="1" si="93">IF(L181&gt;0,N181*100/L181,0)</f>
        <v>23.321428571428573</v>
      </c>
      <c r="P181" s="155">
        <f t="shared" ref="P181:P189" ca="1" si="94">IF(M181&gt;0,N181*100/M181,0)</f>
        <v>36.531468531468533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2" t="s">
        <v>18</v>
      </c>
      <c r="F182" s="40"/>
      <c r="G182" s="157"/>
      <c r="H182" s="158" t="s">
        <v>12</v>
      </c>
      <c r="I182" s="610"/>
      <c r="J182" s="610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2" t="s">
        <v>19</v>
      </c>
      <c r="F183" s="40"/>
      <c r="G183" s="157"/>
      <c r="H183" s="158" t="s">
        <v>12</v>
      </c>
      <c r="I183" s="610"/>
      <c r="J183" s="610"/>
      <c r="K183" s="93"/>
      <c r="L183" s="93">
        <f t="shared" ca="1" si="95"/>
        <v>112000</v>
      </c>
      <c r="M183" s="93">
        <f t="shared" ca="1" si="95"/>
        <v>71500</v>
      </c>
      <c r="N183" s="93">
        <f t="shared" ca="1" si="95"/>
        <v>26120</v>
      </c>
      <c r="O183" s="93">
        <f t="shared" ca="1" si="93"/>
        <v>23.321428571428573</v>
      </c>
      <c r="P183" s="93">
        <f t="shared" ca="1" si="94"/>
        <v>36.531468531468533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1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6">
        <f t="shared" ref="L184:N184" ca="1" si="96">L185+L186</f>
        <v>112000</v>
      </c>
      <c r="M184" s="496">
        <f t="shared" ca="1" si="96"/>
        <v>71500</v>
      </c>
      <c r="N184" s="496">
        <f t="shared" ca="1" si="96"/>
        <v>26120</v>
      </c>
      <c r="O184" s="496">
        <f t="shared" ca="1" si="93"/>
        <v>23.321428571428573</v>
      </c>
      <c r="P184" s="496">
        <f t="shared" ca="1" si="94"/>
        <v>36.531468531468533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2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2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IFERROR(__xludf.DUMMYFUNCTION("IMPORTRANGE(""https://docs.google.com/spreadsheets/d/1MeEWN-I1oV_STSDYn1IFDPWt_1FKiwhDph83XaGc0o0/edit?usp=sharing"",""งบพรบ!CO63"")"),112000)</f>
        <v>112000</v>
      </c>
      <c r="M186" s="93">
        <f ca="1">IFERROR(__xludf.DUMMYFUNCTION("IMPORTRANGE(""https://docs.google.com/spreadsheets/d/1MeEWN-I1oV_STSDYn1IFDPWt_1FKiwhDph83XaGc0o0/edit?usp=sharing"",""งบพรบ!CT63"")"),71500)</f>
        <v>71500</v>
      </c>
      <c r="N186" s="93">
        <f ca="1">IFERROR(__xludf.DUMMYFUNCTION("IMPORTRANGE(""https://docs.google.com/spreadsheets/d/1MeEWN-I1oV_STSDYn1IFDPWt_1FKiwhDph83XaGc0o0/edit?usp=sharing"",""งบพรบ!CV63"")"),26120)</f>
        <v>26120</v>
      </c>
      <c r="O186" s="93">
        <f t="shared" ca="1" si="93"/>
        <v>23.321428571428573</v>
      </c>
      <c r="P186" s="93">
        <f t="shared" ca="1" si="94"/>
        <v>36.531468531468533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1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6">
        <f t="shared" ref="L187:N187" ca="1" si="97">L188+L189</f>
        <v>0</v>
      </c>
      <c r="M187" s="496">
        <f t="shared" ca="1" si="97"/>
        <v>0</v>
      </c>
      <c r="N187" s="496">
        <f t="shared" ca="1" si="97"/>
        <v>0</v>
      </c>
      <c r="O187" s="496">
        <f t="shared" ca="1" si="93"/>
        <v>0</v>
      </c>
      <c r="P187" s="496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2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2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IFERROR(__xludf.DUMMYFUNCTION("IMPORTRANGE(""https://docs.google.com/spreadsheets/d/1MeEWN-I1oV_STSDYn1IFDPWt_1FKiwhDph83XaGc0o0/edit?usp=sharing"",""งบพรบ!CR63"")"),0)</f>
        <v>0</v>
      </c>
      <c r="M189" s="93">
        <f ca="1">IFERROR(__xludf.DUMMYFUNCTION("IMPORTRANGE(""https://docs.google.com/spreadsheets/d/1MeEWN-I1oV_STSDYn1IFDPWt_1FKiwhDph83XaGc0o0/edit?usp=sharing"",""งบพรบ!CU63"")"),0)</f>
        <v>0</v>
      </c>
      <c r="N189" s="93">
        <f ca="1">IFERROR(__xludf.DUMMYFUNCTION("IMPORTRANGE(""https://docs.google.com/spreadsheets/d/1MeEWN-I1oV_STSDYn1IFDPWt_1FKiwhDph83XaGc0o0/edit?usp=sharing"",""งบพรบ!CW63"")"),0)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5"/>
      <c r="B190" s="263"/>
      <c r="C190" s="270" t="s">
        <v>89</v>
      </c>
      <c r="D190" s="256"/>
      <c r="E190" s="256"/>
      <c r="F190" s="256"/>
      <c r="G190" s="258"/>
      <c r="H190" s="259" t="s">
        <v>90</v>
      </c>
      <c r="I190" s="271">
        <f t="shared" ref="I190:J190" ca="1" si="98">I193</f>
        <v>4</v>
      </c>
      <c r="J190" s="271">
        <f t="shared" si="98"/>
        <v>0</v>
      </c>
      <c r="K190" s="272">
        <f ca="1">IF(I190&gt;0,J190*100/I190,0)</f>
        <v>0</v>
      </c>
      <c r="L190" s="261"/>
      <c r="M190" s="261"/>
      <c r="N190" s="261"/>
      <c r="O190" s="261"/>
      <c r="P190" s="261"/>
    </row>
    <row r="191" spans="1:26" ht="19.5">
      <c r="A191" s="147"/>
      <c r="B191" s="148"/>
      <c r="C191" s="149" t="s">
        <v>16</v>
      </c>
      <c r="D191" s="826" t="s">
        <v>17</v>
      </c>
      <c r="E191" s="148"/>
      <c r="F191" s="148"/>
      <c r="G191" s="151"/>
      <c r="H191" s="274" t="s">
        <v>12</v>
      </c>
      <c r="I191" s="419"/>
      <c r="J191" s="419"/>
      <c r="K191" s="154"/>
      <c r="L191" s="155">
        <f ca="1">IFERROR(__xludf.DUMMYFUNCTION("IMPORTRANGE(""https://docs.google.com/spreadsheets/d/1QqKyyYR6Q21VydFLVH3TRQUabQu_ym0Zz7PgGX0-kHA/edit?usp=sharing"",""แผน!Z63"")"),6000)</f>
        <v>6000</v>
      </c>
      <c r="M191" s="155"/>
      <c r="N191" s="275">
        <v>0</v>
      </c>
      <c r="O191" s="155">
        <f ca="1">IF(L191&gt;0,N191*100/L191,0)</f>
        <v>0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0" t="s">
        <v>16</v>
      </c>
      <c r="D192" s="823" t="s">
        <v>38</v>
      </c>
      <c r="E192" s="173"/>
      <c r="F192" s="173"/>
      <c r="G192" s="174"/>
      <c r="H192" s="753"/>
      <c r="I192" s="269"/>
      <c r="J192" s="269"/>
      <c r="K192" s="496"/>
      <c r="L192" s="496"/>
      <c r="M192" s="496"/>
      <c r="N192" s="496"/>
      <c r="O192" s="496"/>
      <c r="P192" s="496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6" t="s">
        <v>91</v>
      </c>
      <c r="E193" s="178"/>
      <c r="F193" s="178"/>
      <c r="G193" s="179"/>
      <c r="H193" s="755" t="s">
        <v>90</v>
      </c>
      <c r="I193" s="269">
        <f ca="1">IFERROR(__xludf.DUMMYFUNCTION("IMPORTRANGE(""https://docs.google.com/spreadsheets/d/1QqKyyYR6Q21VydFLVH3TRQUabQu_ym0Zz7PgGX0-kHA/edit?usp=sharing"",""แผน!AC63"")"),4)</f>
        <v>4</v>
      </c>
      <c r="J193" s="214">
        <v>0</v>
      </c>
      <c r="K193" s="496">
        <f ca="1">IF(I193&gt;0,J193*100/I193,0)</f>
        <v>0</v>
      </c>
      <c r="L193" s="496"/>
      <c r="M193" s="496"/>
      <c r="N193" s="496"/>
      <c r="O193" s="496"/>
      <c r="P193" s="496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6" t="s">
        <v>92</v>
      </c>
      <c r="E194" s="178"/>
      <c r="F194" s="178"/>
      <c r="G194" s="179"/>
      <c r="H194" s="276" t="s">
        <v>35</v>
      </c>
      <c r="I194" s="269"/>
      <c r="J194" s="269">
        <f>J195+J196</f>
        <v>0</v>
      </c>
      <c r="K194" s="496"/>
      <c r="L194" s="496"/>
      <c r="M194" s="496"/>
      <c r="N194" s="496"/>
      <c r="O194" s="496"/>
      <c r="P194" s="496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6" t="s">
        <v>93</v>
      </c>
      <c r="F195" s="178"/>
      <c r="G195" s="179"/>
      <c r="H195" s="276" t="s">
        <v>35</v>
      </c>
      <c r="I195" s="269"/>
      <c r="J195" s="214">
        <v>0</v>
      </c>
      <c r="K195" s="496"/>
      <c r="L195" s="496"/>
      <c r="M195" s="496"/>
      <c r="N195" s="496"/>
      <c r="O195" s="496"/>
      <c r="P195" s="496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6" t="s">
        <v>94</v>
      </c>
      <c r="F196" s="178"/>
      <c r="G196" s="179"/>
      <c r="H196" s="276" t="s">
        <v>35</v>
      </c>
      <c r="I196" s="269"/>
      <c r="J196" s="214">
        <v>0</v>
      </c>
      <c r="K196" s="496"/>
      <c r="L196" s="496"/>
      <c r="M196" s="496"/>
      <c r="N196" s="496"/>
      <c r="O196" s="496"/>
      <c r="P196" s="496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5"/>
      <c r="B197" s="263"/>
      <c r="C197" s="270" t="s">
        <v>95</v>
      </c>
      <c r="D197" s="256"/>
      <c r="E197" s="256"/>
      <c r="F197" s="256"/>
      <c r="G197" s="258"/>
      <c r="H197" s="277" t="s">
        <v>96</v>
      </c>
      <c r="I197" s="271">
        <f t="shared" ref="I197:J197" ca="1" si="99">I204</f>
        <v>3</v>
      </c>
      <c r="J197" s="271">
        <f t="shared" si="99"/>
        <v>3</v>
      </c>
      <c r="K197" s="272">
        <f ca="1">IF(I197&gt;0,J197*100/I197,0)</f>
        <v>100</v>
      </c>
      <c r="L197" s="261"/>
      <c r="M197" s="261"/>
      <c r="N197" s="261"/>
      <c r="O197" s="261"/>
      <c r="P197" s="261"/>
    </row>
    <row r="198" spans="1:26" ht="19.5">
      <c r="A198" s="147"/>
      <c r="B198" s="148"/>
      <c r="C198" s="149" t="s">
        <v>16</v>
      </c>
      <c r="D198" s="826" t="s">
        <v>17</v>
      </c>
      <c r="E198" s="148"/>
      <c r="F198" s="148"/>
      <c r="G198" s="151"/>
      <c r="H198" s="274" t="s">
        <v>12</v>
      </c>
      <c r="I198" s="418"/>
      <c r="J198" s="418"/>
      <c r="K198" s="279"/>
      <c r="L198" s="155">
        <f ca="1">L199+L200+L201+L202</f>
        <v>39000</v>
      </c>
      <c r="M198" s="155"/>
      <c r="N198" s="155">
        <f>N199+N200+N201+N202</f>
        <v>25500</v>
      </c>
      <c r="O198" s="155">
        <f ca="1">IF(L198&gt;0,N198*100/L198,0)</f>
        <v>65.384615384615387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0"/>
      <c r="C199" s="33"/>
      <c r="D199" s="281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6">
        <f ca="1">IFERROR(__xludf.DUMMYFUNCTION("IMPORTRANGE(""https://docs.google.com/spreadsheets/d/1QqKyyYR6Q21VydFLVH3TRQUabQu_ym0Zz7PgGX0-kHA/edit?usp=sharing"",""แผน!AE63"")"),3000)</f>
        <v>3000</v>
      </c>
      <c r="M199" s="496"/>
      <c r="N199" s="817">
        <v>1500</v>
      </c>
      <c r="O199" s="496"/>
      <c r="P199" s="496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4"/>
      <c r="B200" s="280"/>
      <c r="C200" s="210"/>
      <c r="D200" s="281" t="s">
        <v>98</v>
      </c>
      <c r="E200" s="33"/>
      <c r="F200" s="33"/>
      <c r="G200" s="35"/>
      <c r="H200" s="616" t="s">
        <v>12</v>
      </c>
      <c r="I200" s="269"/>
      <c r="J200" s="269"/>
      <c r="K200" s="496"/>
      <c r="L200" s="496">
        <f ca="1">IFERROR(__xludf.DUMMYFUNCTION("IMPORTRANGE(""https://docs.google.com/spreadsheets/d/1QqKyyYR6Q21VydFLVH3TRQUabQu_ym0Zz7PgGX0-kHA/edit?usp=sharing"",""แผน!AF63"")"),24000)</f>
        <v>24000</v>
      </c>
      <c r="M200" s="496"/>
      <c r="N200" s="817">
        <v>24000</v>
      </c>
      <c r="O200" s="496"/>
      <c r="P200" s="496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>
      <c r="A201" s="284"/>
      <c r="B201" s="280"/>
      <c r="C201" s="210"/>
      <c r="D201" s="281" t="s">
        <v>99</v>
      </c>
      <c r="E201" s="33"/>
      <c r="F201" s="33"/>
      <c r="G201" s="35"/>
      <c r="H201" s="616" t="s">
        <v>12</v>
      </c>
      <c r="I201" s="269"/>
      <c r="J201" s="269"/>
      <c r="K201" s="496"/>
      <c r="L201" s="496">
        <f ca="1">IFERROR(__xludf.DUMMYFUNCTION("IMPORTRANGE(""https://docs.google.com/spreadsheets/d/1QqKyyYR6Q21VydFLVH3TRQUabQu_ym0Zz7PgGX0-kHA/edit?usp=sharing"",""แผน!AG63"")"),12000)</f>
        <v>12000</v>
      </c>
      <c r="M201" s="496"/>
      <c r="N201" s="817">
        <v>0</v>
      </c>
      <c r="O201" s="496"/>
      <c r="P201" s="496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>
      <c r="A202" s="284"/>
      <c r="B202" s="280"/>
      <c r="C202" s="210"/>
      <c r="D202" s="281" t="s">
        <v>100</v>
      </c>
      <c r="E202" s="33"/>
      <c r="F202" s="33"/>
      <c r="G202" s="35"/>
      <c r="H202" s="616" t="s">
        <v>12</v>
      </c>
      <c r="I202" s="269"/>
      <c r="J202" s="269"/>
      <c r="K202" s="496"/>
      <c r="L202" s="496">
        <f ca="1">IFERROR(__xludf.DUMMYFUNCTION("IMPORTRANGE(""https://docs.google.com/spreadsheets/d/1QqKyyYR6Q21VydFLVH3TRQUabQu_ym0Zz7PgGX0-kHA/edit?usp=sharing"",""แผน!AH63"")"),0)</f>
        <v>0</v>
      </c>
      <c r="M202" s="496"/>
      <c r="N202" s="817">
        <v>0</v>
      </c>
      <c r="O202" s="496"/>
      <c r="P202" s="496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>
      <c r="A203" s="170"/>
      <c r="B203" s="171"/>
      <c r="C203" s="210" t="s">
        <v>16</v>
      </c>
      <c r="D203" s="823" t="s">
        <v>38</v>
      </c>
      <c r="E203" s="173"/>
      <c r="F203" s="173"/>
      <c r="G203" s="174"/>
      <c r="H203" s="753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53" t="s">
        <v>96</v>
      </c>
      <c r="I204" s="269">
        <f ca="1">IFERROR(__xludf.DUMMYFUNCTION("IMPORTRANGE(""https://docs.google.com/spreadsheets/d/1QqKyyYR6Q21VydFLVH3TRQUabQu_ym0Zz7PgGX0-kHA/edit?usp=sharing"",""แผน!AI63"")"),3)</f>
        <v>3</v>
      </c>
      <c r="J204" s="214">
        <v>3</v>
      </c>
      <c r="K204" s="163">
        <f ca="1">IF(I204&gt;0,J204*100/I204,0)</f>
        <v>100</v>
      </c>
      <c r="L204" s="496"/>
      <c r="M204" s="496"/>
      <c r="N204" s="496"/>
      <c r="O204" s="496"/>
      <c r="P204" s="496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6" t="s">
        <v>59</v>
      </c>
      <c r="E205" s="178"/>
      <c r="F205" s="178"/>
      <c r="G205" s="179"/>
      <c r="H205" s="753"/>
      <c r="I205" s="269"/>
      <c r="J205" s="269"/>
      <c r="K205" s="163"/>
      <c r="L205" s="496"/>
      <c r="M205" s="496"/>
      <c r="N205" s="496"/>
      <c r="O205" s="496"/>
      <c r="P205" s="496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25" t="s">
        <v>102</v>
      </c>
      <c r="F206" s="287"/>
      <c r="G206" s="288"/>
      <c r="H206" s="289" t="s">
        <v>96</v>
      </c>
      <c r="I206" s="269">
        <v>3</v>
      </c>
      <c r="J206" s="214">
        <v>0</v>
      </c>
      <c r="K206" s="163">
        <f t="shared" ref="K206:K208" si="100">IF(I206&gt;0,J206*100/I206,0)</f>
        <v>0</v>
      </c>
      <c r="L206" s="496"/>
      <c r="M206" s="496"/>
      <c r="N206" s="496"/>
      <c r="O206" s="496"/>
      <c r="P206" s="496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6"/>
      <c r="E207" s="446" t="s">
        <v>103</v>
      </c>
      <c r="F207" s="178"/>
      <c r="G207" s="178"/>
      <c r="H207" s="290" t="s">
        <v>104</v>
      </c>
      <c r="I207" s="269">
        <v>0</v>
      </c>
      <c r="J207" s="214">
        <v>0</v>
      </c>
      <c r="K207" s="163">
        <f t="shared" si="100"/>
        <v>0</v>
      </c>
      <c r="L207" s="496"/>
      <c r="M207" s="496"/>
      <c r="N207" s="496"/>
      <c r="O207" s="496"/>
      <c r="P207" s="496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 hidden="1">
      <c r="A208" s="255"/>
      <c r="B208" s="263"/>
      <c r="C208" s="270" t="s">
        <v>105</v>
      </c>
      <c r="D208" s="256"/>
      <c r="E208" s="256"/>
      <c r="F208" s="291"/>
      <c r="G208" s="258"/>
      <c r="H208" s="277" t="s">
        <v>96</v>
      </c>
      <c r="I208" s="271">
        <f t="shared" ref="I208:J208" ca="1" si="101">I215</f>
        <v>0</v>
      </c>
      <c r="J208" s="271">
        <f t="shared" si="101"/>
        <v>0</v>
      </c>
      <c r="K208" s="272">
        <f t="shared" ca="1" si="100"/>
        <v>0</v>
      </c>
      <c r="L208" s="261"/>
      <c r="M208" s="261"/>
      <c r="N208" s="261"/>
      <c r="O208" s="261"/>
      <c r="P208" s="261"/>
    </row>
    <row r="209" spans="1:26" ht="19.5" hidden="1">
      <c r="A209" s="147"/>
      <c r="B209" s="148"/>
      <c r="C209" s="149" t="s">
        <v>16</v>
      </c>
      <c r="D209" s="826" t="s">
        <v>17</v>
      </c>
      <c r="E209" s="148"/>
      <c r="F209" s="148"/>
      <c r="G209" s="151"/>
      <c r="H209" s="274" t="s">
        <v>12</v>
      </c>
      <c r="I209" s="418"/>
      <c r="J209" s="418"/>
      <c r="K209" s="279"/>
      <c r="L209" s="155">
        <f ca="1">L210+L211+L212</f>
        <v>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 hidden="1">
      <c r="A210" s="159"/>
      <c r="B210" s="280"/>
      <c r="C210" s="33"/>
      <c r="D210" s="281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6">
        <f ca="1">IFERROR(__xludf.DUMMYFUNCTION("IMPORTRANGE(""https://docs.google.com/spreadsheets/d/1QqKyyYR6Q21VydFLVH3TRQUabQu_ym0Zz7PgGX0-kHA/edit?usp=sharing"",""แผน!AK63"")"),0)</f>
        <v>0</v>
      </c>
      <c r="M210" s="496"/>
      <c r="N210" s="817">
        <v>0</v>
      </c>
      <c r="O210" s="496"/>
      <c r="P210" s="496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 hidden="1">
      <c r="A211" s="284"/>
      <c r="B211" s="280"/>
      <c r="C211" s="292"/>
      <c r="D211" s="281" t="s">
        <v>99</v>
      </c>
      <c r="E211" s="33"/>
      <c r="F211" s="33"/>
      <c r="G211" s="35"/>
      <c r="H211" s="161" t="s">
        <v>12</v>
      </c>
      <c r="I211" s="269"/>
      <c r="J211" s="269"/>
      <c r="K211" s="496"/>
      <c r="L211" s="496">
        <f ca="1">IFERROR(__xludf.DUMMYFUNCTION("IMPORTRANGE(""https://docs.google.com/spreadsheets/d/1QqKyyYR6Q21VydFLVH3TRQUabQu_ym0Zz7PgGX0-kHA/edit?usp=sharing"",""แผน!AL63"")"),0)</f>
        <v>0</v>
      </c>
      <c r="M211" s="496"/>
      <c r="N211" s="817">
        <v>0</v>
      </c>
      <c r="O211" s="496"/>
      <c r="P211" s="496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 hidden="1">
      <c r="A212" s="284"/>
      <c r="B212" s="280"/>
      <c r="C212" s="292"/>
      <c r="D212" s="281" t="s">
        <v>98</v>
      </c>
      <c r="E212" s="33"/>
      <c r="F212" s="33"/>
      <c r="G212" s="35"/>
      <c r="H212" s="161" t="s">
        <v>12</v>
      </c>
      <c r="I212" s="269"/>
      <c r="J212" s="269"/>
      <c r="K212" s="496"/>
      <c r="L212" s="496">
        <f ca="1">IFERROR(__xludf.DUMMYFUNCTION("IMPORTRANGE(""https://docs.google.com/spreadsheets/d/1QqKyyYR6Q21VydFLVH3TRQUabQu_ym0Zz7PgGX0-kHA/edit?usp=sharing"",""แผน!AM63"")"),0)</f>
        <v>0</v>
      </c>
      <c r="M212" s="496"/>
      <c r="N212" s="817">
        <v>0</v>
      </c>
      <c r="O212" s="496"/>
      <c r="P212" s="496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 hidden="1">
      <c r="A213" s="170"/>
      <c r="B213" s="171"/>
      <c r="C213" s="292" t="s">
        <v>16</v>
      </c>
      <c r="D213" s="823" t="s">
        <v>38</v>
      </c>
      <c r="E213" s="173"/>
      <c r="F213" s="173"/>
      <c r="G213" s="174"/>
      <c r="H213" s="753"/>
      <c r="I213" s="184"/>
      <c r="J213" s="269"/>
      <c r="K213" s="496"/>
      <c r="L213" s="496"/>
      <c r="M213" s="496"/>
      <c r="N213" s="496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 hidden="1">
      <c r="A214" s="170"/>
      <c r="B214" s="171"/>
      <c r="C214" s="171"/>
      <c r="D214" s="176" t="s">
        <v>106</v>
      </c>
      <c r="E214" s="178"/>
      <c r="F214" s="178"/>
      <c r="G214" s="179"/>
      <c r="H214" s="753" t="s">
        <v>96</v>
      </c>
      <c r="I214" s="269">
        <f ca="1">IFERROR(__xludf.DUMMYFUNCTION("IMPORTRANGE(""https://docs.google.com/spreadsheets/d/1QqKyyYR6Q21VydFLVH3TRQUabQu_ym0Zz7PgGX0-kHA/edit?usp=sharing"",""แผน!AN63"")"),0)</f>
        <v>0</v>
      </c>
      <c r="J214" s="214">
        <v>0</v>
      </c>
      <c r="K214" s="496">
        <f t="shared" ref="K214:K216" ca="1" si="102">IF(I214&gt;0,J214*100/I214,0)</f>
        <v>0</v>
      </c>
      <c r="L214" s="496"/>
      <c r="M214" s="496"/>
      <c r="N214" s="496"/>
      <c r="O214" s="496"/>
      <c r="P214" s="496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 hidden="1">
      <c r="A215" s="170"/>
      <c r="B215" s="171"/>
      <c r="C215" s="171"/>
      <c r="D215" s="176" t="s">
        <v>107</v>
      </c>
      <c r="E215" s="178"/>
      <c r="F215" s="178"/>
      <c r="G215" s="179"/>
      <c r="H215" s="753" t="s">
        <v>96</v>
      </c>
      <c r="I215" s="269">
        <f ca="1">IFERROR(__xludf.DUMMYFUNCTION("IMPORTRANGE(""https://docs.google.com/spreadsheets/d/1QqKyyYR6Q21VydFLVH3TRQUabQu_ym0Zz7PgGX0-kHA/edit?usp=sharing"",""แผน!AN63"")"),0)</f>
        <v>0</v>
      </c>
      <c r="J215" s="214">
        <v>0</v>
      </c>
      <c r="K215" s="496">
        <f t="shared" ca="1" si="102"/>
        <v>0</v>
      </c>
      <c r="L215" s="496"/>
      <c r="M215" s="496"/>
      <c r="N215" s="496"/>
      <c r="O215" s="496"/>
      <c r="P215" s="496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5"/>
      <c r="B216" s="263"/>
      <c r="C216" s="270" t="s">
        <v>108</v>
      </c>
      <c r="D216" s="256"/>
      <c r="E216" s="256"/>
      <c r="F216" s="291"/>
      <c r="G216" s="258"/>
      <c r="H216" s="259" t="s">
        <v>109</v>
      </c>
      <c r="I216" s="271">
        <f t="shared" ref="I216:J216" ca="1" si="103">I224</f>
        <v>20000</v>
      </c>
      <c r="J216" s="271">
        <f t="shared" si="103"/>
        <v>0</v>
      </c>
      <c r="K216" s="272">
        <f t="shared" ca="1" si="102"/>
        <v>0</v>
      </c>
      <c r="L216" s="261"/>
      <c r="M216" s="261"/>
      <c r="N216" s="261"/>
      <c r="O216" s="261"/>
      <c r="P216" s="261"/>
    </row>
    <row r="217" spans="1:26" ht="19.5">
      <c r="A217" s="147"/>
      <c r="B217" s="148"/>
      <c r="C217" s="149" t="s">
        <v>16</v>
      </c>
      <c r="D217" s="826" t="s">
        <v>17</v>
      </c>
      <c r="E217" s="148"/>
      <c r="F217" s="148"/>
      <c r="G217" s="151"/>
      <c r="H217" s="274" t="s">
        <v>12</v>
      </c>
      <c r="I217" s="418"/>
      <c r="J217" s="418"/>
      <c r="K217" s="279"/>
      <c r="L217" s="155">
        <f ca="1">L218+L219+L220</f>
        <v>8000</v>
      </c>
      <c r="M217" s="155"/>
      <c r="N217" s="155">
        <f>N218+N219+N220</f>
        <v>0</v>
      </c>
      <c r="O217" s="155">
        <f ca="1">IF(L217&gt;0,N217*100/L217,0)</f>
        <v>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0"/>
      <c r="C218" s="33"/>
      <c r="D218" s="281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6">
        <f ca="1">IFERROR(__xludf.DUMMYFUNCTION("IMPORTRANGE(""https://docs.google.com/spreadsheets/d/1QqKyyYR6Q21VydFLVH3TRQUabQu_ym0Zz7PgGX0-kHA/edit?usp=sharing"",""แผน!AP63"")"),3000)</f>
        <v>3000</v>
      </c>
      <c r="M218" s="496"/>
      <c r="N218" s="817">
        <v>0</v>
      </c>
      <c r="O218" s="496"/>
      <c r="P218" s="496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4"/>
      <c r="B219" s="280"/>
      <c r="C219" s="292"/>
      <c r="D219" s="281" t="s">
        <v>110</v>
      </c>
      <c r="E219" s="33"/>
      <c r="F219" s="33"/>
      <c r="G219" s="35"/>
      <c r="H219" s="161" t="s">
        <v>12</v>
      </c>
      <c r="I219" s="269"/>
      <c r="J219" s="269"/>
      <c r="K219" s="496"/>
      <c r="L219" s="496">
        <f ca="1">IFERROR(__xludf.DUMMYFUNCTION("IMPORTRANGE(""https://docs.google.com/spreadsheets/d/1QqKyyYR6Q21VydFLVH3TRQUabQu_ym0Zz7PgGX0-kHA/edit?usp=sharing"",""แผน!AQ63"")"),5000)</f>
        <v>5000</v>
      </c>
      <c r="M219" s="496"/>
      <c r="N219" s="817">
        <v>0</v>
      </c>
      <c r="O219" s="496"/>
      <c r="P219" s="496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0"/>
      <c r="C220" s="292"/>
      <c r="D220" s="281" t="s">
        <v>98</v>
      </c>
      <c r="E220" s="33"/>
      <c r="F220" s="33"/>
      <c r="G220" s="35"/>
      <c r="H220" s="161" t="s">
        <v>12</v>
      </c>
      <c r="I220" s="269"/>
      <c r="J220" s="269"/>
      <c r="K220" s="496"/>
      <c r="L220" s="496">
        <f ca="1">IFERROR(__xludf.DUMMYFUNCTION("IMPORTRANGE(""https://docs.google.com/spreadsheets/d/1QqKyyYR6Q21VydFLVH3TRQUabQu_ym0Zz7PgGX0-kHA/edit?usp=sharing"",""แผน!AR63"")"),0)</f>
        <v>0</v>
      </c>
      <c r="M220" s="496"/>
      <c r="N220" s="817">
        <v>0</v>
      </c>
      <c r="O220" s="496"/>
      <c r="P220" s="496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70"/>
      <c r="B221" s="171"/>
      <c r="C221" s="292" t="s">
        <v>16</v>
      </c>
      <c r="D221" s="823" t="s">
        <v>38</v>
      </c>
      <c r="E221" s="173"/>
      <c r="F221" s="173"/>
      <c r="G221" s="174"/>
      <c r="H221" s="753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1" t="s">
        <v>111</v>
      </c>
      <c r="E222" s="178"/>
      <c r="F222" s="178"/>
      <c r="G222" s="179"/>
      <c r="H222" s="753"/>
      <c r="I222" s="269"/>
      <c r="J222" s="269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55" t="s">
        <v>109</v>
      </c>
      <c r="I223" s="269">
        <f ca="1">IFERROR(__xludf.DUMMYFUNCTION("IMPORTRANGE(""https://docs.google.com/spreadsheets/d/1QqKyyYR6Q21VydFLVH3TRQUabQu_ym0Zz7PgGX0-kHA/edit?usp=sharing"",""แผน!AT63"")"),20000)</f>
        <v>20000</v>
      </c>
      <c r="J223" s="214">
        <v>0</v>
      </c>
      <c r="K223" s="163">
        <f t="shared" ref="K223:K226" ca="1" si="104">IF(I223&gt;0,J223*100/I223,0)</f>
        <v>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55" t="s">
        <v>109</v>
      </c>
      <c r="I224" s="269">
        <f ca="1">IFERROR(__xludf.DUMMYFUNCTION("IMPORTRANGE(""https://docs.google.com/spreadsheets/d/1QqKyyYR6Q21VydFLVH3TRQUabQu_ym0Zz7PgGX0-kHA/edit?usp=sharing"",""แผน!AT63"")"),20000)</f>
        <v>20000</v>
      </c>
      <c r="J224" s="214">
        <v>0</v>
      </c>
      <c r="K224" s="163">
        <f t="shared" ca="1" si="104"/>
        <v>0</v>
      </c>
      <c r="L224" s="496"/>
      <c r="M224" s="496"/>
      <c r="N224" s="496"/>
      <c r="O224" s="496"/>
      <c r="P224" s="496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1" t="s">
        <v>114</v>
      </c>
      <c r="E225" s="178"/>
      <c r="F225" s="178"/>
      <c r="G225" s="179"/>
      <c r="H225" s="755" t="s">
        <v>35</v>
      </c>
      <c r="I225" s="269">
        <f ca="1">IFERROR(__xludf.DUMMYFUNCTION("IMPORTRANGE(""https://docs.google.com/spreadsheets/d/1QqKyyYR6Q21VydFLVH3TRQUabQu_ym0Zz7PgGX0-kHA/edit?usp=sharing"",""แผน!AS63"")"),0)</f>
        <v>0</v>
      </c>
      <c r="J225" s="214">
        <v>0</v>
      </c>
      <c r="K225" s="163">
        <f t="shared" ca="1" si="104"/>
        <v>0</v>
      </c>
      <c r="L225" s="496"/>
      <c r="M225" s="496"/>
      <c r="N225" s="496"/>
      <c r="O225" s="496"/>
      <c r="P225" s="496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5"/>
      <c r="B226" s="263"/>
      <c r="C226" s="341" t="s">
        <v>115</v>
      </c>
      <c r="D226" s="256"/>
      <c r="E226" s="256"/>
      <c r="F226" s="256"/>
      <c r="G226" s="258"/>
      <c r="H226" s="265" t="s">
        <v>35</v>
      </c>
      <c r="I226" s="344">
        <f t="shared" ref="I226:J226" ca="1" si="105">I237+I248</f>
        <v>20</v>
      </c>
      <c r="J226" s="344">
        <f t="shared" si="105"/>
        <v>0</v>
      </c>
      <c r="K226" s="345">
        <f t="shared" ca="1" si="104"/>
        <v>0</v>
      </c>
      <c r="L226" s="261"/>
      <c r="M226" s="261"/>
      <c r="N226" s="261"/>
      <c r="O226" s="261"/>
      <c r="P226" s="261"/>
    </row>
    <row r="227" spans="1:26" ht="19.5" hidden="1">
      <c r="A227" s="347"/>
      <c r="B227" s="348"/>
      <c r="C227" s="349" t="s">
        <v>16</v>
      </c>
      <c r="D227" s="827" t="s">
        <v>17</v>
      </c>
      <c r="E227" s="348"/>
      <c r="F227" s="348"/>
      <c r="G227" s="351"/>
      <c r="H227" s="352" t="s">
        <v>12</v>
      </c>
      <c r="I227" s="353"/>
      <c r="J227" s="353"/>
      <c r="K227" s="354"/>
      <c r="L227" s="355">
        <f t="shared" ref="L227:L231" ca="1" si="106">L238+L249</f>
        <v>59000</v>
      </c>
      <c r="M227" s="355"/>
      <c r="N227" s="355">
        <f t="shared" ref="N227:N231" si="107">N238+N249</f>
        <v>0</v>
      </c>
      <c r="O227" s="828"/>
      <c r="P227" s="828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6"/>
      <c r="C228" s="40"/>
      <c r="D228" s="222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17000</v>
      </c>
      <c r="M228" s="93"/>
      <c r="N228" s="93">
        <f t="shared" si="107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8"/>
      <c r="B229" s="356"/>
      <c r="C229" s="359"/>
      <c r="D229" s="222" t="s">
        <v>98</v>
      </c>
      <c r="E229" s="40"/>
      <c r="F229" s="40"/>
      <c r="G229" s="42"/>
      <c r="H229" s="165" t="s">
        <v>12</v>
      </c>
      <c r="I229" s="610"/>
      <c r="J229" s="610"/>
      <c r="K229" s="93"/>
      <c r="L229" s="93">
        <f t="shared" ca="1" si="106"/>
        <v>32000</v>
      </c>
      <c r="M229" s="93"/>
      <c r="N229" s="93">
        <f t="shared" si="107"/>
        <v>0</v>
      </c>
      <c r="O229" s="93"/>
      <c r="P229" s="93"/>
      <c r="Q229" s="360"/>
      <c r="R229" s="360"/>
      <c r="S229" s="360"/>
      <c r="T229" s="360"/>
      <c r="U229" s="360"/>
      <c r="V229" s="360"/>
      <c r="W229" s="360"/>
      <c r="X229" s="360"/>
      <c r="Y229" s="360"/>
      <c r="Z229" s="360"/>
    </row>
    <row r="230" spans="1:26" ht="19.5" hidden="1">
      <c r="A230" s="358"/>
      <c r="B230" s="356"/>
      <c r="C230" s="359"/>
      <c r="D230" s="222" t="s">
        <v>116</v>
      </c>
      <c r="E230" s="40"/>
      <c r="F230" s="40"/>
      <c r="G230" s="42"/>
      <c r="H230" s="165" t="s">
        <v>12</v>
      </c>
      <c r="I230" s="610"/>
      <c r="J230" s="610"/>
      <c r="K230" s="93"/>
      <c r="L230" s="93">
        <f t="shared" ca="1" si="106"/>
        <v>0</v>
      </c>
      <c r="M230" s="93"/>
      <c r="N230" s="93">
        <f t="shared" si="107"/>
        <v>0</v>
      </c>
      <c r="O230" s="93"/>
      <c r="P230" s="93"/>
      <c r="Q230" s="360"/>
      <c r="R230" s="360"/>
      <c r="S230" s="360"/>
      <c r="T230" s="360"/>
      <c r="U230" s="360"/>
      <c r="V230" s="360"/>
      <c r="W230" s="360"/>
      <c r="X230" s="360"/>
      <c r="Y230" s="360"/>
      <c r="Z230" s="360"/>
    </row>
    <row r="231" spans="1:26" ht="19.5" hidden="1">
      <c r="A231" s="358"/>
      <c r="B231" s="356"/>
      <c r="C231" s="359"/>
      <c r="D231" s="222" t="s">
        <v>100</v>
      </c>
      <c r="E231" s="40"/>
      <c r="F231" s="40"/>
      <c r="G231" s="42"/>
      <c r="H231" s="165" t="s">
        <v>12</v>
      </c>
      <c r="I231" s="610"/>
      <c r="J231" s="610"/>
      <c r="K231" s="93"/>
      <c r="L231" s="93">
        <f t="shared" ca="1" si="106"/>
        <v>10000</v>
      </c>
      <c r="M231" s="93"/>
      <c r="N231" s="93">
        <f t="shared" si="107"/>
        <v>0</v>
      </c>
      <c r="O231" s="93"/>
      <c r="P231" s="93"/>
      <c r="Q231" s="360"/>
      <c r="R231" s="360"/>
      <c r="S231" s="360"/>
      <c r="T231" s="360"/>
      <c r="U231" s="360"/>
      <c r="V231" s="360"/>
      <c r="W231" s="360"/>
      <c r="X231" s="360"/>
      <c r="Y231" s="360"/>
      <c r="Z231" s="360"/>
    </row>
    <row r="232" spans="1:26" ht="19.5" hidden="1">
      <c r="A232" s="361"/>
      <c r="B232" s="362"/>
      <c r="C232" s="359" t="s">
        <v>16</v>
      </c>
      <c r="D232" s="266" t="s">
        <v>38</v>
      </c>
      <c r="E232" s="363"/>
      <c r="F232" s="363"/>
      <c r="G232" s="364"/>
      <c r="H232" s="365"/>
      <c r="I232" s="166"/>
      <c r="J232" s="610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1"/>
      <c r="B233" s="362"/>
      <c r="C233" s="362"/>
      <c r="D233" s="366" t="s">
        <v>117</v>
      </c>
      <c r="E233" s="372"/>
      <c r="F233" s="372"/>
      <c r="G233" s="368"/>
      <c r="H233" s="369" t="s">
        <v>35</v>
      </c>
      <c r="I233" s="610">
        <f t="shared" ref="I233:J233" ca="1" si="108">I244+I255</f>
        <v>20</v>
      </c>
      <c r="J233" s="610">
        <f t="shared" si="108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1"/>
      <c r="B234" s="362"/>
      <c r="C234" s="362"/>
      <c r="D234" s="371" t="s">
        <v>43</v>
      </c>
      <c r="E234" s="372"/>
      <c r="F234" s="372"/>
      <c r="G234" s="368"/>
      <c r="H234" s="369"/>
      <c r="I234" s="610"/>
      <c r="J234" s="610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1"/>
      <c r="B235" s="362"/>
      <c r="C235" s="362"/>
      <c r="D235" s="362"/>
      <c r="E235" s="373" t="s">
        <v>118</v>
      </c>
      <c r="F235" s="372"/>
      <c r="G235" s="368"/>
      <c r="H235" s="369" t="s">
        <v>35</v>
      </c>
      <c r="I235" s="610">
        <f t="shared" ref="I235:J236" si="109">I246+I257</f>
        <v>0</v>
      </c>
      <c r="J235" s="610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1"/>
      <c r="B236" s="362"/>
      <c r="C236" s="362"/>
      <c r="D236" s="362"/>
      <c r="E236" s="373" t="s">
        <v>119</v>
      </c>
      <c r="F236" s="372"/>
      <c r="G236" s="368"/>
      <c r="H236" s="369" t="s">
        <v>69</v>
      </c>
      <c r="I236" s="610">
        <f t="shared" si="109"/>
        <v>1</v>
      </c>
      <c r="J236" s="610">
        <f t="shared" si="109"/>
        <v>0</v>
      </c>
      <c r="K236" s="93">
        <f t="shared" si="110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>
      <c r="A237" s="255"/>
      <c r="B237" s="263"/>
      <c r="C237" s="270" t="s">
        <v>349</v>
      </c>
      <c r="D237" s="256"/>
      <c r="E237" s="256"/>
      <c r="F237" s="256"/>
      <c r="G237" s="258"/>
      <c r="H237" s="259" t="s">
        <v>35</v>
      </c>
      <c r="I237" s="271">
        <f t="shared" ref="I237:J237" ca="1" si="111">I244</f>
        <v>20</v>
      </c>
      <c r="J237" s="271">
        <f t="shared" si="111"/>
        <v>0</v>
      </c>
      <c r="K237" s="272">
        <f t="shared" ca="1" si="110"/>
        <v>0</v>
      </c>
      <c r="L237" s="261"/>
      <c r="M237" s="261"/>
      <c r="N237" s="261"/>
      <c r="O237" s="261"/>
      <c r="P237" s="261"/>
    </row>
    <row r="238" spans="1:26" ht="19.5">
      <c r="A238" s="147"/>
      <c r="B238" s="148"/>
      <c r="C238" s="149" t="s">
        <v>16</v>
      </c>
      <c r="D238" s="822" t="s">
        <v>17</v>
      </c>
      <c r="E238" s="148"/>
      <c r="F238" s="148"/>
      <c r="G238" s="151"/>
      <c r="H238" s="274" t="s">
        <v>12</v>
      </c>
      <c r="I238" s="418"/>
      <c r="J238" s="418"/>
      <c r="K238" s="279"/>
      <c r="L238" s="155">
        <f ca="1">L239+L240+L241+L242</f>
        <v>59000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>
      <c r="A239" s="314"/>
      <c r="B239" s="315"/>
      <c r="C239" s="316"/>
      <c r="D239" s="324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282">
        <f ca="1">IFERROR(__xludf.DUMMYFUNCTION("IMPORTRANGE(""https://docs.google.com/spreadsheets/d/1QqKyyYR6Q21VydFLVH3TRQUabQu_ym0Zz7PgGX0-kHA/edit?usp=sharing"",""แผน!AV63"")"),17000)</f>
        <v>17000</v>
      </c>
      <c r="M239" s="282"/>
      <c r="N239" s="829">
        <v>0</v>
      </c>
      <c r="O239" s="282"/>
      <c r="P239" s="28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>
      <c r="A240" s="322"/>
      <c r="B240" s="315"/>
      <c r="C240" s="323"/>
      <c r="D240" s="324" t="s">
        <v>98</v>
      </c>
      <c r="E240" s="316"/>
      <c r="F240" s="316"/>
      <c r="G240" s="318"/>
      <c r="H240" s="319" t="s">
        <v>12</v>
      </c>
      <c r="I240" s="325"/>
      <c r="J240" s="325"/>
      <c r="K240" s="282"/>
      <c r="L240" s="282">
        <f ca="1">IFERROR(__xludf.DUMMYFUNCTION("IMPORTRANGE(""https://docs.google.com/spreadsheets/d/1QqKyyYR6Q21VydFLVH3TRQUabQu_ym0Zz7PgGX0-kHA/edit?usp=sharing"",""แผน!AW63"")"),32000)</f>
        <v>32000</v>
      </c>
      <c r="M240" s="282"/>
      <c r="N240" s="829">
        <v>0</v>
      </c>
      <c r="O240" s="282"/>
      <c r="P240" s="282"/>
      <c r="Q240" s="326"/>
      <c r="R240" s="326"/>
      <c r="S240" s="326"/>
      <c r="T240" s="326"/>
      <c r="U240" s="326"/>
      <c r="V240" s="326"/>
      <c r="W240" s="326"/>
      <c r="X240" s="326"/>
      <c r="Y240" s="326"/>
      <c r="Z240" s="326"/>
    </row>
    <row r="241" spans="1:26" ht="19.5">
      <c r="A241" s="322"/>
      <c r="B241" s="315"/>
      <c r="C241" s="323"/>
      <c r="D241" s="324" t="s">
        <v>116</v>
      </c>
      <c r="E241" s="316"/>
      <c r="F241" s="316"/>
      <c r="G241" s="318"/>
      <c r="H241" s="319" t="s">
        <v>12</v>
      </c>
      <c r="I241" s="325"/>
      <c r="J241" s="325"/>
      <c r="K241" s="282"/>
      <c r="L241" s="282">
        <f ca="1">IFERROR(__xludf.DUMMYFUNCTION("IMPORTRANGE(""https://docs.google.com/spreadsheets/d/1QqKyyYR6Q21VydFLVH3TRQUabQu_ym0Zz7PgGX0-kHA/edit?usp=sharing"",""แผน!AX63"")"),0)</f>
        <v>0</v>
      </c>
      <c r="M241" s="282"/>
      <c r="N241" s="829">
        <v>0</v>
      </c>
      <c r="O241" s="282"/>
      <c r="P241" s="282"/>
      <c r="Q241" s="326"/>
      <c r="R241" s="326"/>
      <c r="S241" s="326"/>
      <c r="T241" s="326"/>
      <c r="U241" s="326"/>
      <c r="V241" s="326"/>
      <c r="W241" s="326"/>
      <c r="X241" s="326"/>
      <c r="Y241" s="326"/>
      <c r="Z241" s="326"/>
    </row>
    <row r="242" spans="1:26" ht="19.5">
      <c r="A242" s="322"/>
      <c r="B242" s="315"/>
      <c r="C242" s="323"/>
      <c r="D242" s="324" t="s">
        <v>100</v>
      </c>
      <c r="E242" s="316"/>
      <c r="F242" s="316"/>
      <c r="G242" s="318"/>
      <c r="H242" s="319" t="s">
        <v>12</v>
      </c>
      <c r="I242" s="325"/>
      <c r="J242" s="325"/>
      <c r="K242" s="282"/>
      <c r="L242" s="282">
        <f ca="1">IFERROR(__xludf.DUMMYFUNCTION("IMPORTRANGE(""https://docs.google.com/spreadsheets/d/1QqKyyYR6Q21VydFLVH3TRQUabQu_ym0Zz7PgGX0-kHA/edit?usp=sharing"",""แผน!AY63"")"),10000)</f>
        <v>10000</v>
      </c>
      <c r="M242" s="282"/>
      <c r="N242" s="829">
        <v>0</v>
      </c>
      <c r="O242" s="282"/>
      <c r="P242" s="282"/>
      <c r="Q242" s="326"/>
      <c r="R242" s="326"/>
      <c r="S242" s="326"/>
      <c r="T242" s="326"/>
      <c r="U242" s="326"/>
      <c r="V242" s="326"/>
      <c r="W242" s="326"/>
      <c r="X242" s="326"/>
      <c r="Y242" s="326"/>
      <c r="Z242" s="326"/>
    </row>
    <row r="243" spans="1:26" ht="19.5">
      <c r="A243" s="170"/>
      <c r="B243" s="171"/>
      <c r="C243" s="292" t="s">
        <v>16</v>
      </c>
      <c r="D243" s="823" t="s">
        <v>38</v>
      </c>
      <c r="E243" s="173"/>
      <c r="F243" s="173"/>
      <c r="G243" s="174"/>
      <c r="H243" s="753"/>
      <c r="I243" s="184"/>
      <c r="J243" s="269"/>
      <c r="K243" s="496"/>
      <c r="L243" s="496"/>
      <c r="M243" s="496"/>
      <c r="N243" s="496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>
      <c r="A244" s="170"/>
      <c r="B244" s="171"/>
      <c r="C244" s="171"/>
      <c r="D244" s="446" t="s">
        <v>117</v>
      </c>
      <c r="E244" s="178"/>
      <c r="F244" s="178"/>
      <c r="G244" s="179"/>
      <c r="H244" s="755" t="s">
        <v>35</v>
      </c>
      <c r="I244" s="269">
        <f ca="1">IFERROR(__xludf.DUMMYFUNCTION("IMPORTRANGE(""https://docs.google.com/spreadsheets/d/1QqKyyYR6Q21VydFLVH3TRQUabQu_ym0Zz7PgGX0-kHA/edit?usp=sharing"",""แผน!BE63"")"),20)</f>
        <v>20</v>
      </c>
      <c r="J244" s="214">
        <v>0</v>
      </c>
      <c r="K244" s="496">
        <f ca="1">IF(I244&gt;0,J244*100/I244,0)</f>
        <v>0</v>
      </c>
      <c r="L244" s="496"/>
      <c r="M244" s="496"/>
      <c r="N244" s="496"/>
      <c r="O244" s="496"/>
      <c r="P244" s="496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>
      <c r="A245" s="170"/>
      <c r="B245" s="171"/>
      <c r="C245" s="171"/>
      <c r="D245" s="830" t="s">
        <v>43</v>
      </c>
      <c r="E245" s="178"/>
      <c r="F245" s="178"/>
      <c r="G245" s="179"/>
      <c r="H245" s="755"/>
      <c r="I245" s="269"/>
      <c r="J245" s="269"/>
      <c r="K245" s="496"/>
      <c r="L245" s="496"/>
      <c r="M245" s="496"/>
      <c r="N245" s="496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>
      <c r="A246" s="170"/>
      <c r="B246" s="171"/>
      <c r="C246" s="171"/>
      <c r="D246" s="171"/>
      <c r="E246" s="176" t="s">
        <v>118</v>
      </c>
      <c r="F246" s="178"/>
      <c r="G246" s="179"/>
      <c r="H246" s="755" t="s">
        <v>35</v>
      </c>
      <c r="I246" s="269">
        <v>0</v>
      </c>
      <c r="J246" s="214">
        <v>0</v>
      </c>
      <c r="K246" s="496">
        <f t="shared" ref="K246:K248" si="112">IF(I246&gt;0,J246*100/I246,0)</f>
        <v>0</v>
      </c>
      <c r="L246" s="496"/>
      <c r="M246" s="496"/>
      <c r="N246" s="496"/>
      <c r="O246" s="496"/>
      <c r="P246" s="496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>
      <c r="A247" s="170"/>
      <c r="B247" s="171"/>
      <c r="C247" s="171"/>
      <c r="D247" s="171"/>
      <c r="E247" s="176" t="s">
        <v>119</v>
      </c>
      <c r="F247" s="178"/>
      <c r="G247" s="179"/>
      <c r="H247" s="755" t="s">
        <v>69</v>
      </c>
      <c r="I247" s="269">
        <v>1</v>
      </c>
      <c r="J247" s="214">
        <v>0</v>
      </c>
      <c r="K247" s="496">
        <f t="shared" si="112"/>
        <v>0</v>
      </c>
      <c r="L247" s="496"/>
      <c r="M247" s="496"/>
      <c r="N247" s="496"/>
      <c r="O247" s="496"/>
      <c r="P247" s="496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5"/>
      <c r="B248" s="263"/>
      <c r="C248" s="270" t="s">
        <v>121</v>
      </c>
      <c r="D248" s="256"/>
      <c r="E248" s="256"/>
      <c r="F248" s="256"/>
      <c r="G248" s="258"/>
      <c r="H248" s="259" t="s">
        <v>35</v>
      </c>
      <c r="I248" s="271">
        <f t="shared" ref="I248:J248" ca="1" si="113">I255</f>
        <v>0</v>
      </c>
      <c r="J248" s="271">
        <f t="shared" si="113"/>
        <v>0</v>
      </c>
      <c r="K248" s="272">
        <f t="shared" ca="1" si="112"/>
        <v>0</v>
      </c>
      <c r="L248" s="261"/>
      <c r="M248" s="261"/>
      <c r="N248" s="261"/>
      <c r="O248" s="261"/>
      <c r="P248" s="261"/>
    </row>
    <row r="249" spans="1:26" ht="19.5" hidden="1">
      <c r="A249" s="147"/>
      <c r="B249" s="148"/>
      <c r="C249" s="149" t="s">
        <v>16</v>
      </c>
      <c r="D249" s="826" t="s">
        <v>17</v>
      </c>
      <c r="E249" s="148"/>
      <c r="F249" s="148"/>
      <c r="G249" s="151"/>
      <c r="H249" s="274" t="s">
        <v>12</v>
      </c>
      <c r="I249" s="418"/>
      <c r="J249" s="418"/>
      <c r="K249" s="279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4"/>
      <c r="B250" s="315"/>
      <c r="C250" s="316"/>
      <c r="D250" s="324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282">
        <f ca="1">IFERROR(__xludf.DUMMYFUNCTION("IMPORTRANGE(""https://docs.google.com/spreadsheets/d/1QqKyyYR6Q21VydFLVH3TRQUabQu_ym0Zz7PgGX0-kHA/edit?usp=sharing"",""แผน!AZ63"")"),0)</f>
        <v>0</v>
      </c>
      <c r="M250" s="282"/>
      <c r="N250" s="829">
        <v>0</v>
      </c>
      <c r="O250" s="282"/>
      <c r="P250" s="282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9.5" hidden="1">
      <c r="A251" s="322"/>
      <c r="B251" s="315"/>
      <c r="C251" s="323"/>
      <c r="D251" s="324" t="s">
        <v>98</v>
      </c>
      <c r="E251" s="316"/>
      <c r="F251" s="316"/>
      <c r="G251" s="318"/>
      <c r="H251" s="319" t="s">
        <v>12</v>
      </c>
      <c r="I251" s="325"/>
      <c r="J251" s="325"/>
      <c r="K251" s="282"/>
      <c r="L251" s="282">
        <f ca="1">IFERROR(__xludf.DUMMYFUNCTION("IMPORTRANGE(""https://docs.google.com/spreadsheets/d/1QqKyyYR6Q21VydFLVH3TRQUabQu_ym0Zz7PgGX0-kHA/edit?usp=sharing"",""แผน!BA63"")"),0)</f>
        <v>0</v>
      </c>
      <c r="M251" s="282"/>
      <c r="N251" s="829">
        <v>0</v>
      </c>
      <c r="O251" s="282"/>
      <c r="P251" s="282"/>
      <c r="Q251" s="326"/>
      <c r="R251" s="326"/>
      <c r="S251" s="326"/>
      <c r="T251" s="326"/>
      <c r="U251" s="326"/>
      <c r="V251" s="326"/>
      <c r="W251" s="326"/>
      <c r="X251" s="326"/>
      <c r="Y251" s="326"/>
      <c r="Z251" s="326"/>
    </row>
    <row r="252" spans="1:26" ht="19.5" hidden="1">
      <c r="A252" s="322"/>
      <c r="B252" s="315"/>
      <c r="C252" s="323"/>
      <c r="D252" s="324" t="s">
        <v>116</v>
      </c>
      <c r="E252" s="316"/>
      <c r="F252" s="316"/>
      <c r="G252" s="318"/>
      <c r="H252" s="319" t="s">
        <v>12</v>
      </c>
      <c r="I252" s="325"/>
      <c r="J252" s="325"/>
      <c r="K252" s="282"/>
      <c r="L252" s="282">
        <f ca="1">IFERROR(__xludf.DUMMYFUNCTION("IMPORTRANGE(""https://docs.google.com/spreadsheets/d/1QqKyyYR6Q21VydFLVH3TRQUabQu_ym0Zz7PgGX0-kHA/edit?usp=sharing"",""แผน!BB63"")"),0)</f>
        <v>0</v>
      </c>
      <c r="M252" s="282"/>
      <c r="N252" s="829">
        <v>0</v>
      </c>
      <c r="O252" s="282"/>
      <c r="P252" s="282"/>
      <c r="Q252" s="326"/>
      <c r="R252" s="326"/>
      <c r="S252" s="326"/>
      <c r="T252" s="326"/>
      <c r="U252" s="326"/>
      <c r="V252" s="326"/>
      <c r="W252" s="326"/>
      <c r="X252" s="326"/>
      <c r="Y252" s="326"/>
      <c r="Z252" s="326"/>
    </row>
    <row r="253" spans="1:26" ht="19.5" hidden="1">
      <c r="A253" s="322"/>
      <c r="B253" s="315"/>
      <c r="C253" s="323"/>
      <c r="D253" s="324" t="s">
        <v>100</v>
      </c>
      <c r="E253" s="316"/>
      <c r="F253" s="316"/>
      <c r="G253" s="318"/>
      <c r="H253" s="319" t="s">
        <v>12</v>
      </c>
      <c r="I253" s="325"/>
      <c r="J253" s="325"/>
      <c r="K253" s="282"/>
      <c r="L253" s="282">
        <f ca="1">IFERROR(__xludf.DUMMYFUNCTION("IMPORTRANGE(""https://docs.google.com/spreadsheets/d/1QqKyyYR6Q21VydFLVH3TRQUabQu_ym0Zz7PgGX0-kHA/edit?usp=sharing"",""แผน!BC63"")"),0)</f>
        <v>0</v>
      </c>
      <c r="M253" s="282"/>
      <c r="N253" s="829">
        <v>0</v>
      </c>
      <c r="O253" s="282"/>
      <c r="P253" s="282"/>
      <c r="Q253" s="326"/>
      <c r="R253" s="326"/>
      <c r="S253" s="326"/>
      <c r="T253" s="326"/>
      <c r="U253" s="326"/>
      <c r="V253" s="326"/>
      <c r="W253" s="326"/>
      <c r="X253" s="326"/>
      <c r="Y253" s="326"/>
      <c r="Z253" s="326"/>
    </row>
    <row r="254" spans="1:26" ht="19.5" hidden="1">
      <c r="A254" s="170"/>
      <c r="B254" s="171"/>
      <c r="C254" s="292" t="s">
        <v>16</v>
      </c>
      <c r="D254" s="823" t="s">
        <v>38</v>
      </c>
      <c r="E254" s="173"/>
      <c r="F254" s="173"/>
      <c r="G254" s="174"/>
      <c r="H254" s="753"/>
      <c r="I254" s="184"/>
      <c r="J254" s="269"/>
      <c r="K254" s="496"/>
      <c r="L254" s="496"/>
      <c r="M254" s="496"/>
      <c r="N254" s="496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6" t="s">
        <v>117</v>
      </c>
      <c r="E255" s="178"/>
      <c r="F255" s="178"/>
      <c r="G255" s="179"/>
      <c r="H255" s="755" t="s">
        <v>35</v>
      </c>
      <c r="I255" s="269">
        <f ca="1">IFERROR(__xludf.DUMMYFUNCTION("IMPORTRANGE(""https://docs.google.com/spreadsheets/d/1QqKyyYR6Q21VydFLVH3TRQUabQu_ym0Zz7PgGX0-kHA/edit?usp=sharing"",""แผน!BF63"")"),0)</f>
        <v>0</v>
      </c>
      <c r="J255" s="214">
        <v>0</v>
      </c>
      <c r="K255" s="496">
        <f ca="1">IF(I255&gt;0,J255*100/I255,0)</f>
        <v>0</v>
      </c>
      <c r="L255" s="496"/>
      <c r="M255" s="496"/>
      <c r="N255" s="496"/>
      <c r="O255" s="496"/>
      <c r="P255" s="496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30" t="s">
        <v>43</v>
      </c>
      <c r="E256" s="178"/>
      <c r="F256" s="178"/>
      <c r="G256" s="179"/>
      <c r="H256" s="755"/>
      <c r="I256" s="269"/>
      <c r="J256" s="269"/>
      <c r="K256" s="496"/>
      <c r="L256" s="496"/>
      <c r="M256" s="496"/>
      <c r="N256" s="496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55" t="s">
        <v>35</v>
      </c>
      <c r="I257" s="269"/>
      <c r="J257" s="214">
        <v>0</v>
      </c>
      <c r="K257" s="496">
        <f t="shared" ref="K257:K258" si="114">IF(I257&gt;0,J257*100/I257,0)</f>
        <v>0</v>
      </c>
      <c r="L257" s="496"/>
      <c r="M257" s="496"/>
      <c r="N257" s="496"/>
      <c r="O257" s="496"/>
      <c r="P257" s="496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55" t="s">
        <v>69</v>
      </c>
      <c r="I258" s="269"/>
      <c r="J258" s="214">
        <v>0</v>
      </c>
      <c r="K258" s="496">
        <f t="shared" si="114"/>
        <v>0</v>
      </c>
      <c r="L258" s="496"/>
      <c r="M258" s="496"/>
      <c r="N258" s="496"/>
      <c r="O258" s="496"/>
      <c r="P258" s="496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1" t="s">
        <v>122</v>
      </c>
      <c r="B259" s="242"/>
      <c r="C259" s="242"/>
      <c r="D259" s="243"/>
      <c r="E259" s="243"/>
      <c r="F259" s="243"/>
      <c r="G259" s="244"/>
      <c r="H259" s="245"/>
      <c r="I259" s="246"/>
      <c r="J259" s="246"/>
      <c r="K259" s="247"/>
      <c r="L259" s="247"/>
      <c r="M259" s="247"/>
      <c r="N259" s="247"/>
      <c r="O259" s="247"/>
      <c r="P259" s="247"/>
    </row>
    <row r="260" spans="1:26" ht="19.5">
      <c r="A260" s="248"/>
      <c r="B260" s="249" t="s">
        <v>123</v>
      </c>
      <c r="C260" s="250"/>
      <c r="D260" s="173"/>
      <c r="E260" s="173"/>
      <c r="F260" s="173"/>
      <c r="G260" s="174"/>
      <c r="H260" s="251" t="s">
        <v>35</v>
      </c>
      <c r="I260" s="252">
        <f t="shared" ref="I260:J260" ca="1" si="115">I271</f>
        <v>22</v>
      </c>
      <c r="J260" s="252">
        <f t="shared" si="115"/>
        <v>0</v>
      </c>
      <c r="K260" s="253">
        <f ca="1">IF(I260&gt;0,J260*100/I260,0)</f>
        <v>0</v>
      </c>
      <c r="L260" s="254"/>
      <c r="M260" s="254"/>
      <c r="N260" s="254"/>
      <c r="O260" s="254"/>
      <c r="P260" s="254"/>
    </row>
    <row r="261" spans="1:26" ht="19.5">
      <c r="A261" s="147"/>
      <c r="B261" s="148"/>
      <c r="C261" s="149" t="s">
        <v>16</v>
      </c>
      <c r="D261" s="822" t="s">
        <v>17</v>
      </c>
      <c r="E261" s="148"/>
      <c r="F261" s="148"/>
      <c r="G261" s="151"/>
      <c r="H261" s="152" t="s">
        <v>12</v>
      </c>
      <c r="I261" s="419"/>
      <c r="J261" s="419"/>
      <c r="K261" s="154"/>
      <c r="L261" s="155">
        <f t="shared" ref="L261:N261" ca="1" si="116">L262+L263</f>
        <v>26900</v>
      </c>
      <c r="M261" s="155">
        <f t="shared" ca="1" si="116"/>
        <v>0</v>
      </c>
      <c r="N261" s="155">
        <f t="shared" ca="1" si="116"/>
        <v>0</v>
      </c>
      <c r="O261" s="155">
        <f t="shared" ref="O261:O269" ca="1" si="117">IF(L261&gt;0,N261*100/L261,0)</f>
        <v>0</v>
      </c>
      <c r="P261" s="155">
        <f t="shared" ref="P261:P269" ca="1" si="118">IF(M261&gt;0,N261*100/M261,0)</f>
        <v>0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2" t="s">
        <v>18</v>
      </c>
      <c r="F262" s="40"/>
      <c r="G262" s="157"/>
      <c r="H262" s="158" t="s">
        <v>12</v>
      </c>
      <c r="I262" s="610"/>
      <c r="J262" s="610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2" t="s">
        <v>19</v>
      </c>
      <c r="F263" s="40"/>
      <c r="G263" s="157"/>
      <c r="H263" s="158" t="s">
        <v>12</v>
      </c>
      <c r="I263" s="610"/>
      <c r="J263" s="610"/>
      <c r="K263" s="93"/>
      <c r="L263" s="93">
        <f t="shared" ca="1" si="119"/>
        <v>26900</v>
      </c>
      <c r="M263" s="93">
        <f t="shared" ca="1" si="119"/>
        <v>0</v>
      </c>
      <c r="N263" s="93">
        <f t="shared" ca="1" si="119"/>
        <v>0</v>
      </c>
      <c r="O263" s="93">
        <f t="shared" ca="1" si="117"/>
        <v>0</v>
      </c>
      <c r="P263" s="93">
        <f t="shared" ca="1" si="118"/>
        <v>0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1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6">
        <f t="shared" ref="L264:N264" ca="1" si="120">L265+L266</f>
        <v>26900</v>
      </c>
      <c r="M264" s="496">
        <f t="shared" ca="1" si="120"/>
        <v>0</v>
      </c>
      <c r="N264" s="496">
        <f t="shared" ca="1" si="120"/>
        <v>0</v>
      </c>
      <c r="O264" s="496">
        <f t="shared" ca="1" si="117"/>
        <v>0</v>
      </c>
      <c r="P264" s="496">
        <f t="shared" ca="1" si="118"/>
        <v>0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2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2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IFERROR(__xludf.DUMMYFUNCTION("IMPORTRANGE(""https://docs.google.com/spreadsheets/d/1MeEWN-I1oV_STSDYn1IFDPWt_1FKiwhDph83XaGc0o0/edit?usp=sharing"",""งบพรบ!CY63"")"),26900)</f>
        <v>26900</v>
      </c>
      <c r="M266" s="93">
        <f ca="1">IFERROR(__xludf.DUMMYFUNCTION("IMPORTRANGE(""https://docs.google.com/spreadsheets/d/1MeEWN-I1oV_STSDYn1IFDPWt_1FKiwhDph83XaGc0o0/edit?usp=sharing"",""งบพรบ!DD63"")"),0)</f>
        <v>0</v>
      </c>
      <c r="N266" s="93">
        <f ca="1">IFERROR(__xludf.DUMMYFUNCTION("IMPORTRANGE(""https://docs.google.com/spreadsheets/d/1MeEWN-I1oV_STSDYn1IFDPWt_1FKiwhDph83XaGc0o0/edit?usp=sharing"",""งบพรบ!DF63"")"),0)</f>
        <v>0</v>
      </c>
      <c r="O266" s="93">
        <f t="shared" ca="1" si="117"/>
        <v>0</v>
      </c>
      <c r="P266" s="93">
        <f t="shared" ca="1" si="118"/>
        <v>0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1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6">
        <f t="shared" ref="L267:N267" ca="1" si="121">L268+L269</f>
        <v>0</v>
      </c>
      <c r="M267" s="496">
        <f t="shared" ca="1" si="121"/>
        <v>0</v>
      </c>
      <c r="N267" s="496">
        <f t="shared" ca="1" si="121"/>
        <v>0</v>
      </c>
      <c r="O267" s="496">
        <f t="shared" ca="1" si="117"/>
        <v>0</v>
      </c>
      <c r="P267" s="496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2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2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IFERROR(__xludf.DUMMYFUNCTION("IMPORTRANGE(""https://docs.google.com/spreadsheets/d/1MeEWN-I1oV_STSDYn1IFDPWt_1FKiwhDph83XaGc0o0/edit?usp=sharing"",""งบพรบ!DB63"")"),0)</f>
        <v>0</v>
      </c>
      <c r="M269" s="93">
        <f ca="1">IFERROR(__xludf.DUMMYFUNCTION("IMPORTRANGE(""https://docs.google.com/spreadsheets/d/1MeEWN-I1oV_STSDYn1IFDPWt_1FKiwhDph83XaGc0o0/edit?usp=sharing"",""งบพรบ!DE63"")"),0)</f>
        <v>0</v>
      </c>
      <c r="N269" s="93">
        <f ca="1">IFERROR(__xludf.DUMMYFUNCTION("IMPORTRANGE(""https://docs.google.com/spreadsheets/d/1MeEWN-I1oV_STSDYn1IFDPWt_1FKiwhDph83XaGc0o0/edit?usp=sharing"",""งบพรบ!DG63"")"),0)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1" t="s">
        <v>16</v>
      </c>
      <c r="D270" s="823" t="s">
        <v>38</v>
      </c>
      <c r="E270" s="173"/>
      <c r="F270" s="173"/>
      <c r="G270" s="174"/>
      <c r="H270" s="753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5" t="s">
        <v>124</v>
      </c>
      <c r="E271" s="178"/>
      <c r="F271" s="366"/>
      <c r="G271" s="179"/>
      <c r="H271" s="376" t="s">
        <v>35</v>
      </c>
      <c r="I271" s="269">
        <f ca="1">IFERROR(__xludf.DUMMYFUNCTION("IMPORTRANGE(""https://docs.google.com/spreadsheets/d/1QqKyyYR6Q21VydFLVH3TRQUabQu_ym0Zz7PgGX0-kHA/edit?usp=sharing"",""แผน!EA63"")"),22)</f>
        <v>22</v>
      </c>
      <c r="J271" s="214">
        <v>0</v>
      </c>
      <c r="K271" s="163">
        <f ca="1">IF(I271&gt;0,J271*100/I271,0)</f>
        <v>0</v>
      </c>
      <c r="L271" s="163"/>
      <c r="M271" s="163"/>
      <c r="N271" s="163"/>
      <c r="O271" s="163"/>
      <c r="P271" s="163"/>
    </row>
    <row r="272" spans="1:26" ht="18.75" hidden="1">
      <c r="A272" s="377"/>
      <c r="B272" s="378"/>
      <c r="C272" s="378"/>
      <c r="D272" s="379" t="s">
        <v>125</v>
      </c>
      <c r="E272" s="380"/>
      <c r="F272" s="380"/>
      <c r="G272" s="381"/>
      <c r="H272" s="50" t="s">
        <v>35</v>
      </c>
      <c r="I272" s="499">
        <v>0</v>
      </c>
      <c r="J272" s="499">
        <v>0</v>
      </c>
      <c r="K272" s="384">
        <v>0</v>
      </c>
      <c r="L272" s="384"/>
      <c r="M272" s="384"/>
      <c r="N272" s="384"/>
      <c r="O272" s="384"/>
      <c r="P272" s="384"/>
    </row>
    <row r="273" spans="1:26" ht="19.5">
      <c r="A273" s="385" t="s">
        <v>126</v>
      </c>
      <c r="B273" s="386"/>
      <c r="C273" s="386"/>
      <c r="D273" s="386"/>
      <c r="E273" s="387"/>
      <c r="F273" s="387"/>
      <c r="G273" s="388"/>
      <c r="H273" s="389"/>
      <c r="I273" s="390"/>
      <c r="J273" s="390"/>
      <c r="K273" s="391"/>
      <c r="L273" s="391"/>
      <c r="M273" s="391"/>
      <c r="N273" s="391"/>
      <c r="O273" s="391"/>
      <c r="P273" s="391"/>
    </row>
    <row r="274" spans="1:26" ht="19.5" hidden="1">
      <c r="A274" s="392" t="s">
        <v>127</v>
      </c>
      <c r="B274" s="393"/>
      <c r="C274" s="394"/>
      <c r="D274" s="393"/>
      <c r="E274" s="393"/>
      <c r="F274" s="393"/>
      <c r="G274" s="393"/>
      <c r="H274" s="395"/>
      <c r="I274" s="396"/>
      <c r="J274" s="397"/>
      <c r="K274" s="398"/>
      <c r="L274" s="398"/>
      <c r="M274" s="398"/>
      <c r="N274" s="398"/>
      <c r="O274" s="398"/>
      <c r="P274" s="398"/>
    </row>
    <row r="275" spans="1:26" ht="19.5" hidden="1">
      <c r="A275" s="399"/>
      <c r="B275" s="408" t="s">
        <v>128</v>
      </c>
      <c r="C275" s="401"/>
      <c r="D275" s="402"/>
      <c r="E275" s="401"/>
      <c r="F275" s="401"/>
      <c r="G275" s="403"/>
      <c r="H275" s="404" t="s">
        <v>35</v>
      </c>
      <c r="I275" s="405">
        <f t="shared" ref="I275:J275" ca="1" si="122">I288</f>
        <v>0</v>
      </c>
      <c r="J275" s="405">
        <f t="shared" ca="1" si="122"/>
        <v>0</v>
      </c>
      <c r="K275" s="406">
        <f t="shared" ref="K275:K276" ca="1" si="123">IF(I275&gt;0,J275*100/I275,0)</f>
        <v>0</v>
      </c>
      <c r="L275" s="407"/>
      <c r="M275" s="407"/>
      <c r="N275" s="407"/>
      <c r="O275" s="407"/>
      <c r="P275" s="407"/>
    </row>
    <row r="276" spans="1:26" ht="19.5" hidden="1">
      <c r="A276" s="399"/>
      <c r="B276" s="408"/>
      <c r="C276" s="401"/>
      <c r="D276" s="402"/>
      <c r="E276" s="401"/>
      <c r="F276" s="401"/>
      <c r="G276" s="403"/>
      <c r="H276" s="404" t="s">
        <v>46</v>
      </c>
      <c r="I276" s="831">
        <f t="shared" ref="I276:J276" ca="1" si="124">I287</f>
        <v>0</v>
      </c>
      <c r="J276" s="831">
        <f t="shared" si="124"/>
        <v>0</v>
      </c>
      <c r="K276" s="407">
        <f t="shared" ca="1" si="123"/>
        <v>0</v>
      </c>
      <c r="L276" s="407"/>
      <c r="M276" s="407"/>
      <c r="N276" s="407"/>
      <c r="O276" s="407"/>
      <c r="P276" s="407"/>
    </row>
    <row r="277" spans="1:26" ht="19.5" hidden="1">
      <c r="A277" s="147"/>
      <c r="B277" s="148"/>
      <c r="C277" s="149" t="s">
        <v>16</v>
      </c>
      <c r="D277" s="822" t="s">
        <v>17</v>
      </c>
      <c r="E277" s="148"/>
      <c r="F277" s="148"/>
      <c r="G277" s="151"/>
      <c r="H277" s="152" t="s">
        <v>12</v>
      </c>
      <c r="I277" s="419"/>
      <c r="J277" s="419"/>
      <c r="K277" s="154"/>
      <c r="L277" s="155">
        <f t="shared" ref="L277:N277" ca="1" si="125">L278+L279</f>
        <v>0</v>
      </c>
      <c r="M277" s="155">
        <f t="shared" ca="1" si="125"/>
        <v>0</v>
      </c>
      <c r="N277" s="155">
        <f t="shared" ca="1" si="125"/>
        <v>0</v>
      </c>
      <c r="O277" s="155">
        <f t="shared" ref="O277:O285" ca="1" si="126">IF(L277&gt;0,N277*100/L277,0)</f>
        <v>0</v>
      </c>
      <c r="P277" s="155">
        <f t="shared" ref="P277:P285" ca="1" si="127">IF(M277&gt;0,N277*100/M277,0)</f>
        <v>0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2" t="s">
        <v>18</v>
      </c>
      <c r="F278" s="40"/>
      <c r="G278" s="157"/>
      <c r="H278" s="158" t="s">
        <v>12</v>
      </c>
      <c r="I278" s="610"/>
      <c r="J278" s="610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2" t="s">
        <v>19</v>
      </c>
      <c r="F279" s="40"/>
      <c r="G279" s="157"/>
      <c r="H279" s="158" t="s">
        <v>12</v>
      </c>
      <c r="I279" s="610"/>
      <c r="J279" s="610"/>
      <c r="K279" s="93"/>
      <c r="L279" s="93">
        <f t="shared" ca="1" si="128"/>
        <v>0</v>
      </c>
      <c r="M279" s="93">
        <f t="shared" ca="1" si="128"/>
        <v>0</v>
      </c>
      <c r="N279" s="93">
        <f t="shared" ca="1" si="128"/>
        <v>0</v>
      </c>
      <c r="O279" s="93">
        <f t="shared" ca="1" si="126"/>
        <v>0</v>
      </c>
      <c r="P279" s="93">
        <f t="shared" ca="1" si="127"/>
        <v>0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 hidden="1">
      <c r="A280" s="159"/>
      <c r="B280" s="33"/>
      <c r="C280" s="281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6">
        <f t="shared" ref="L280:N280" ca="1" si="129">L281+L282</f>
        <v>0</v>
      </c>
      <c r="M280" s="496">
        <f t="shared" ca="1" si="129"/>
        <v>0</v>
      </c>
      <c r="N280" s="496">
        <f t="shared" ca="1" si="129"/>
        <v>0</v>
      </c>
      <c r="O280" s="496">
        <f t="shared" ca="1" si="126"/>
        <v>0</v>
      </c>
      <c r="P280" s="496">
        <f t="shared" ca="1" si="127"/>
        <v>0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2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2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IFERROR(__xludf.DUMMYFUNCTION("IMPORTRANGE(""https://docs.google.com/spreadsheets/d/1MeEWN-I1oV_STSDYn1IFDPWt_1FKiwhDph83XaGc0o0/edit?usp=sharing"",""งบพรบ!DI63"")"),0)</f>
        <v>0</v>
      </c>
      <c r="M282" s="93">
        <f ca="1">IFERROR(__xludf.DUMMYFUNCTION("IMPORTRANGE(""https://docs.google.com/spreadsheets/d/1MeEWN-I1oV_STSDYn1IFDPWt_1FKiwhDph83XaGc0o0/edit?usp=sharing"",""งบพรบ!DN63"")"),0)</f>
        <v>0</v>
      </c>
      <c r="N282" s="93">
        <f ca="1">IFERROR(__xludf.DUMMYFUNCTION("IMPORTRANGE(""https://docs.google.com/spreadsheets/d/1MeEWN-I1oV_STSDYn1IFDPWt_1FKiwhDph83XaGc0o0/edit?usp=sharing"",""งบพรบ!DP63"")"),0)</f>
        <v>0</v>
      </c>
      <c r="O282" s="93">
        <f t="shared" ca="1" si="126"/>
        <v>0</v>
      </c>
      <c r="P282" s="93">
        <f t="shared" ca="1" si="127"/>
        <v>0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 hidden="1">
      <c r="A283" s="159"/>
      <c r="B283" s="33"/>
      <c r="C283" s="281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6">
        <f t="shared" ref="L283:N283" ca="1" si="130">L284+L285</f>
        <v>0</v>
      </c>
      <c r="M283" s="496">
        <f t="shared" ca="1" si="130"/>
        <v>0</v>
      </c>
      <c r="N283" s="496">
        <f t="shared" ca="1" si="130"/>
        <v>0</v>
      </c>
      <c r="O283" s="496">
        <f t="shared" ca="1" si="126"/>
        <v>0</v>
      </c>
      <c r="P283" s="496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2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2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IFERROR(__xludf.DUMMYFUNCTION("IMPORTRANGE(""https://docs.google.com/spreadsheets/d/1MeEWN-I1oV_STSDYn1IFDPWt_1FKiwhDph83XaGc0o0/edit?usp=sharing"",""งบพรบ!DL63"")"),0)</f>
        <v>0</v>
      </c>
      <c r="M285" s="93">
        <f ca="1">IFERROR(__xludf.DUMMYFUNCTION("IMPORTRANGE(""https://docs.google.com/spreadsheets/d/1MeEWN-I1oV_STSDYn1IFDPWt_1FKiwhDph83XaGc0o0/edit?usp=sharing"",""งบพรบ!DO63"")"),0)</f>
        <v>0</v>
      </c>
      <c r="N285" s="93">
        <f ca="1">IFERROR(__xludf.DUMMYFUNCTION("IMPORTRANGE(""https://docs.google.com/spreadsheets/d/1MeEWN-I1oV_STSDYn1IFDPWt_1FKiwhDph83XaGc0o0/edit?usp=sharing"",""งบพรบ!DQ63"")"),0)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 hidden="1">
      <c r="A286" s="170"/>
      <c r="B286" s="171"/>
      <c r="C286" s="164" t="s">
        <v>16</v>
      </c>
      <c r="D286" s="823" t="s">
        <v>38</v>
      </c>
      <c r="E286" s="173"/>
      <c r="F286" s="173"/>
      <c r="G286" s="174"/>
      <c r="H286" s="753"/>
      <c r="I286" s="184"/>
      <c r="J286" s="184"/>
      <c r="K286" s="163"/>
      <c r="L286" s="163"/>
      <c r="M286" s="163"/>
      <c r="N286" s="163"/>
      <c r="O286" s="163"/>
      <c r="P286" s="163"/>
    </row>
    <row r="287" spans="1:26" ht="18.75" hidden="1">
      <c r="A287" s="170"/>
      <c r="B287" s="171"/>
      <c r="C287" s="171"/>
      <c r="D287" s="619" t="s">
        <v>129</v>
      </c>
      <c r="E287" s="171"/>
      <c r="F287" s="178"/>
      <c r="G287" s="179"/>
      <c r="H287" s="185" t="s">
        <v>46</v>
      </c>
      <c r="I287" s="269">
        <f ca="1">IFERROR(__xludf.DUMMYFUNCTION("IMPORTRANGE(""https://docs.google.com/spreadsheets/d/1QqKyyYR6Q21VydFLVH3TRQUabQu_ym0Zz7PgGX0-kHA/edit?usp=sharing"",""แผน!EC63"")"),0)</f>
        <v>0</v>
      </c>
      <c r="J287" s="269">
        <v>0</v>
      </c>
      <c r="K287" s="163">
        <f t="shared" ref="K287:K288" ca="1" si="131">IF(I287&gt;0,J287*100/I287,0)</f>
        <v>0</v>
      </c>
      <c r="L287" s="163"/>
      <c r="M287" s="163"/>
      <c r="N287" s="163"/>
      <c r="O287" s="163"/>
      <c r="P287" s="163"/>
    </row>
    <row r="288" spans="1:26" ht="19.5" hidden="1">
      <c r="A288" s="170"/>
      <c r="B288" s="171"/>
      <c r="C288" s="171"/>
      <c r="D288" s="619" t="s">
        <v>130</v>
      </c>
      <c r="E288" s="171"/>
      <c r="F288" s="178"/>
      <c r="G288" s="179"/>
      <c r="H288" s="180" t="s">
        <v>35</v>
      </c>
      <c r="I288" s="674">
        <f ca="1">IFERROR(__xludf.DUMMYFUNCTION("IMPORTRANGE(""https://docs.google.com/spreadsheets/d/1QqKyyYR6Q21VydFLVH3TRQUabQu_ym0Zz7PgGX0-kHA/edit?usp=sharing"",""แผน!EB63"")"),0)</f>
        <v>0</v>
      </c>
      <c r="J288" s="674">
        <f ca="1">IF(AND(J291&gt;=I288,J294&gt;=I288),J294,0)</f>
        <v>0</v>
      </c>
      <c r="K288" s="410">
        <f t="shared" ca="1" si="131"/>
        <v>0</v>
      </c>
      <c r="L288" s="163"/>
      <c r="M288" s="163"/>
      <c r="N288" s="163"/>
      <c r="O288" s="163"/>
      <c r="P288" s="163"/>
    </row>
    <row r="289" spans="1:26" ht="19.5" hidden="1">
      <c r="A289" s="170"/>
      <c r="B289" s="171"/>
      <c r="C289" s="171"/>
      <c r="D289" s="411"/>
      <c r="E289" s="412" t="s">
        <v>131</v>
      </c>
      <c r="F289" s="178"/>
      <c r="G289" s="179"/>
      <c r="H289" s="755"/>
      <c r="I289" s="184"/>
      <c r="J289" s="269"/>
      <c r="K289" s="163"/>
      <c r="L289" s="163"/>
      <c r="M289" s="163"/>
      <c r="N289" s="163"/>
      <c r="O289" s="163"/>
      <c r="P289" s="163"/>
    </row>
    <row r="290" spans="1:26" ht="19.5" hidden="1">
      <c r="A290" s="170"/>
      <c r="B290" s="171"/>
      <c r="C290" s="171"/>
      <c r="D290" s="411"/>
      <c r="E290" s="619" t="s">
        <v>132</v>
      </c>
      <c r="F290" s="178"/>
      <c r="G290" s="179"/>
      <c r="H290" s="755" t="s">
        <v>35</v>
      </c>
      <c r="I290" s="184">
        <f ca="1">IFERROR(__xludf.DUMMYFUNCTION("IMPORTRANGE(""https://docs.google.com/spreadsheets/d/1QqKyyYR6Q21VydFLVH3TRQUabQu_ym0Zz7PgGX0-kHA/edit?usp=sharing"",""แผน!EB63"")"),0)</f>
        <v>0</v>
      </c>
      <c r="J290" s="214">
        <v>0</v>
      </c>
      <c r="K290" s="163">
        <f t="shared" ref="K290:K291" ca="1" si="132">IF(I290&gt;0,J290*100/I290,0)</f>
        <v>0</v>
      </c>
      <c r="L290" s="163"/>
      <c r="M290" s="163"/>
      <c r="N290" s="163"/>
      <c r="O290" s="163"/>
      <c r="P290" s="163"/>
    </row>
    <row r="291" spans="1:26" ht="19.5" hidden="1">
      <c r="A291" s="170"/>
      <c r="B291" s="171"/>
      <c r="C291" s="171"/>
      <c r="D291" s="178"/>
      <c r="E291" s="619" t="s">
        <v>333</v>
      </c>
      <c r="F291" s="178"/>
      <c r="G291" s="179"/>
      <c r="H291" s="755" t="s">
        <v>35</v>
      </c>
      <c r="I291" s="184">
        <f ca="1">IFERROR(__xludf.DUMMYFUNCTION("IMPORTRANGE(""https://docs.google.com/spreadsheets/d/1QqKyyYR6Q21VydFLVH3TRQUabQu_ym0Zz7PgGX0-kHA/edit?usp=sharing"",""แผน!EB63"")"),0)</f>
        <v>0</v>
      </c>
      <c r="J291" s="214">
        <v>0</v>
      </c>
      <c r="K291" s="163">
        <f t="shared" ca="1" si="132"/>
        <v>0</v>
      </c>
      <c r="L291" s="163"/>
      <c r="M291" s="163"/>
      <c r="N291" s="163"/>
      <c r="O291" s="163"/>
      <c r="P291" s="163"/>
    </row>
    <row r="292" spans="1:26" ht="19.5" hidden="1">
      <c r="A292" s="413"/>
      <c r="B292" s="414"/>
      <c r="C292" s="414"/>
      <c r="D292" s="415"/>
      <c r="E292" s="416" t="s">
        <v>134</v>
      </c>
      <c r="F292" s="287"/>
      <c r="G292" s="288"/>
      <c r="H292" s="417"/>
      <c r="I292" s="418"/>
      <c r="J292" s="419"/>
      <c r="K292" s="279"/>
      <c r="L292" s="279"/>
      <c r="M292" s="279"/>
      <c r="N292" s="279"/>
      <c r="O292" s="279"/>
      <c r="P292" s="279"/>
    </row>
    <row r="293" spans="1:26" ht="19.5" hidden="1">
      <c r="A293" s="170"/>
      <c r="B293" s="171"/>
      <c r="C293" s="171"/>
      <c r="D293" s="411"/>
      <c r="E293" s="619" t="s">
        <v>132</v>
      </c>
      <c r="F293" s="178"/>
      <c r="G293" s="179"/>
      <c r="H293" s="755" t="s">
        <v>35</v>
      </c>
      <c r="I293" s="184">
        <f ca="1">IFERROR(__xludf.DUMMYFUNCTION("IMPORTRANGE(""https://docs.google.com/spreadsheets/d/1QqKyyYR6Q21VydFLVH3TRQUabQu_ym0Zz7PgGX0-kHA/edit?usp=sharing"",""แผน!EB63"")"),0)</f>
        <v>0</v>
      </c>
      <c r="J293" s="214">
        <v>0</v>
      </c>
      <c r="K293" s="163">
        <f t="shared" ref="K293:K294" ca="1" si="133">IF(I293&gt;0,J293*100/I293,0)</f>
        <v>0</v>
      </c>
      <c r="L293" s="163"/>
      <c r="M293" s="163"/>
      <c r="N293" s="163"/>
      <c r="O293" s="163"/>
      <c r="P293" s="163"/>
    </row>
    <row r="294" spans="1:26" ht="19.5" hidden="1">
      <c r="A294" s="377"/>
      <c r="B294" s="378"/>
      <c r="C294" s="378"/>
      <c r="D294" s="380"/>
      <c r="E294" s="725" t="s">
        <v>333</v>
      </c>
      <c r="F294" s="380"/>
      <c r="G294" s="381"/>
      <c r="H294" s="421" t="s">
        <v>35</v>
      </c>
      <c r="I294" s="422">
        <f ca="1">IFERROR(__xludf.DUMMYFUNCTION("IMPORTRANGE(""https://docs.google.com/spreadsheets/d/1QqKyyYR6Q21VydFLVH3TRQUabQu_ym0Zz7PgGX0-kHA/edit?usp=sharing"",""แผน!EB63"")"),0)</f>
        <v>0</v>
      </c>
      <c r="J294" s="423">
        <v>0</v>
      </c>
      <c r="K294" s="384">
        <f t="shared" ca="1" si="133"/>
        <v>0</v>
      </c>
      <c r="L294" s="384"/>
      <c r="M294" s="384"/>
      <c r="N294" s="384"/>
      <c r="O294" s="384"/>
      <c r="P294" s="384"/>
    </row>
    <row r="295" spans="1:26" ht="19.5">
      <c r="A295" s="424" t="s">
        <v>137</v>
      </c>
      <c r="B295" s="425"/>
      <c r="C295" s="425"/>
      <c r="D295" s="425"/>
      <c r="E295" s="426"/>
      <c r="F295" s="426"/>
      <c r="G295" s="427"/>
      <c r="H295" s="428"/>
      <c r="I295" s="429"/>
      <c r="J295" s="429"/>
      <c r="K295" s="430"/>
      <c r="L295" s="430"/>
      <c r="M295" s="430"/>
      <c r="N295" s="430"/>
      <c r="O295" s="430"/>
      <c r="P295" s="430"/>
    </row>
    <row r="296" spans="1:26" ht="19.5">
      <c r="A296" s="431" t="s">
        <v>138</v>
      </c>
      <c r="B296" s="432"/>
      <c r="C296" s="432"/>
      <c r="D296" s="433"/>
      <c r="E296" s="433"/>
      <c r="F296" s="433"/>
      <c r="G296" s="434"/>
      <c r="H296" s="435"/>
      <c r="I296" s="436"/>
      <c r="J296" s="436"/>
      <c r="K296" s="437"/>
      <c r="L296" s="437"/>
      <c r="M296" s="437"/>
      <c r="N296" s="437"/>
      <c r="O296" s="437"/>
      <c r="P296" s="437"/>
    </row>
    <row r="297" spans="1:26" ht="19.5">
      <c r="A297" s="438"/>
      <c r="B297" s="439" t="s">
        <v>139</v>
      </c>
      <c r="C297" s="440"/>
      <c r="D297" s="440"/>
      <c r="E297" s="440"/>
      <c r="F297" s="440"/>
      <c r="G297" s="441"/>
      <c r="H297" s="442" t="s">
        <v>35</v>
      </c>
      <c r="I297" s="443">
        <f t="shared" ref="I297:J297" ca="1" si="134">I309</f>
        <v>15</v>
      </c>
      <c r="J297" s="443">
        <f t="shared" si="134"/>
        <v>15</v>
      </c>
      <c r="K297" s="444">
        <f ca="1">IF(I297&gt;0,J297*100/I297,0)</f>
        <v>100</v>
      </c>
      <c r="L297" s="445"/>
      <c r="M297" s="445"/>
      <c r="N297" s="445"/>
      <c r="O297" s="445"/>
      <c r="P297" s="445"/>
    </row>
    <row r="298" spans="1:26" ht="19.5">
      <c r="A298" s="147"/>
      <c r="B298" s="148"/>
      <c r="C298" s="149" t="s">
        <v>16</v>
      </c>
      <c r="D298" s="822" t="s">
        <v>17</v>
      </c>
      <c r="E298" s="148"/>
      <c r="F298" s="148"/>
      <c r="G298" s="151"/>
      <c r="H298" s="152" t="s">
        <v>12</v>
      </c>
      <c r="I298" s="419"/>
      <c r="J298" s="419"/>
      <c r="K298" s="154"/>
      <c r="L298" s="155">
        <f t="shared" ref="L298:N298" ca="1" si="135">L299+L300</f>
        <v>206800</v>
      </c>
      <c r="M298" s="155">
        <f t="shared" ca="1" si="135"/>
        <v>102840</v>
      </c>
      <c r="N298" s="155">
        <f t="shared" ca="1" si="135"/>
        <v>62820</v>
      </c>
      <c r="O298" s="155">
        <f t="shared" ref="O298:O306" ca="1" si="136">IF(L298&gt;0,N298*100/L298,0)</f>
        <v>30.377176015473889</v>
      </c>
      <c r="P298" s="155">
        <f t="shared" ref="P298:P306" ca="1" si="137">IF(M298&gt;0,N298*100/M298,0)</f>
        <v>61.085180863477248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2" t="s">
        <v>18</v>
      </c>
      <c r="F299" s="40"/>
      <c r="G299" s="157"/>
      <c r="H299" s="158" t="s">
        <v>12</v>
      </c>
      <c r="I299" s="610"/>
      <c r="J299" s="610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2" t="s">
        <v>19</v>
      </c>
      <c r="F300" s="40"/>
      <c r="G300" s="157"/>
      <c r="H300" s="158" t="s">
        <v>12</v>
      </c>
      <c r="I300" s="610"/>
      <c r="J300" s="610"/>
      <c r="K300" s="93"/>
      <c r="L300" s="93">
        <f t="shared" ca="1" si="138"/>
        <v>206800</v>
      </c>
      <c r="M300" s="93">
        <f t="shared" ca="1" si="138"/>
        <v>102840</v>
      </c>
      <c r="N300" s="93">
        <f t="shared" ca="1" si="138"/>
        <v>62820</v>
      </c>
      <c r="O300" s="93">
        <f t="shared" ca="1" si="136"/>
        <v>30.377176015473889</v>
      </c>
      <c r="P300" s="93">
        <f t="shared" ca="1" si="137"/>
        <v>61.085180863477248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>
      <c r="A301" s="159"/>
      <c r="B301" s="33"/>
      <c r="C301" s="281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6">
        <f t="shared" ref="L301:N301" ca="1" si="139">L302+L303</f>
        <v>206800</v>
      </c>
      <c r="M301" s="496">
        <f t="shared" ca="1" si="139"/>
        <v>102840</v>
      </c>
      <c r="N301" s="496">
        <f t="shared" ca="1" si="139"/>
        <v>62820</v>
      </c>
      <c r="O301" s="496">
        <f t="shared" ca="1" si="136"/>
        <v>30.377176015473889</v>
      </c>
      <c r="P301" s="496">
        <f t="shared" ca="1" si="137"/>
        <v>61.085180863477248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2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2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IFERROR(__xludf.DUMMYFUNCTION("IMPORTRANGE(""https://docs.google.com/spreadsheets/d/1MeEWN-I1oV_STSDYn1IFDPWt_1FKiwhDph83XaGc0o0/edit?usp=sharing"",""งบพรบ!DS63"")"),206800)</f>
        <v>206800</v>
      </c>
      <c r="M303" s="93">
        <f ca="1">IFERROR(__xludf.DUMMYFUNCTION("IMPORTRANGE(""https://docs.google.com/spreadsheets/d/1MeEWN-I1oV_STSDYn1IFDPWt_1FKiwhDph83XaGc0o0/edit?usp=sharing"",""งบพรบ!DX63"")"),102840)</f>
        <v>102840</v>
      </c>
      <c r="N303" s="93">
        <f ca="1">IFERROR(__xludf.DUMMYFUNCTION("IMPORTRANGE(""https://docs.google.com/spreadsheets/d/1MeEWN-I1oV_STSDYn1IFDPWt_1FKiwhDph83XaGc0o0/edit?usp=sharing"",""งบพรบ!DZ63"")"),62820)</f>
        <v>62820</v>
      </c>
      <c r="O303" s="93">
        <f t="shared" ca="1" si="136"/>
        <v>30.377176015473889</v>
      </c>
      <c r="P303" s="93">
        <f t="shared" ca="1" si="137"/>
        <v>61.085180863477248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>
      <c r="A304" s="159"/>
      <c r="B304" s="33"/>
      <c r="C304" s="281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6">
        <f t="shared" ref="L304:N304" ca="1" si="140">L305+L306</f>
        <v>0</v>
      </c>
      <c r="M304" s="496">
        <f t="shared" ca="1" si="140"/>
        <v>0</v>
      </c>
      <c r="N304" s="496">
        <f t="shared" ca="1" si="140"/>
        <v>0</v>
      </c>
      <c r="O304" s="496">
        <f t="shared" ca="1" si="136"/>
        <v>0</v>
      </c>
      <c r="P304" s="496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2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2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IFERROR(__xludf.DUMMYFUNCTION("IMPORTRANGE(""https://docs.google.com/spreadsheets/d/1MeEWN-I1oV_STSDYn1IFDPWt_1FKiwhDph83XaGc0o0/edit?usp=sharing"",""งบพรบ!DV63"")"),0)</f>
        <v>0</v>
      </c>
      <c r="M306" s="93">
        <f ca="1">IFERROR(__xludf.DUMMYFUNCTION("IMPORTRANGE(""https://docs.google.com/spreadsheets/d/1MeEWN-I1oV_STSDYn1IFDPWt_1FKiwhDph83XaGc0o0/edit?usp=sharing"",""งบพรบ!DY63"")"),0)</f>
        <v>0</v>
      </c>
      <c r="N306" s="93">
        <f ca="1">IFERROR(__xludf.DUMMYFUNCTION("IMPORTRANGE(""https://docs.google.com/spreadsheets/d/1MeEWN-I1oV_STSDYn1IFDPWt_1FKiwhDph83XaGc0o0/edit?usp=sharing"",""งบพรบ!EA63"")"),0)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>
      <c r="A307" s="170"/>
      <c r="B307" s="171"/>
      <c r="C307" s="164" t="s">
        <v>16</v>
      </c>
      <c r="D307" s="823" t="s">
        <v>38</v>
      </c>
      <c r="E307" s="173"/>
      <c r="F307" s="173"/>
      <c r="G307" s="174"/>
      <c r="H307" s="753"/>
      <c r="I307" s="269"/>
      <c r="J307" s="269"/>
      <c r="K307" s="496"/>
      <c r="L307" s="496"/>
      <c r="M307" s="496"/>
      <c r="N307" s="496"/>
      <c r="O307" s="496"/>
      <c r="P307" s="496"/>
    </row>
    <row r="308" spans="1:26" ht="18.75">
      <c r="A308" s="170"/>
      <c r="B308" s="171"/>
      <c r="C308" s="171"/>
      <c r="D308" s="446" t="s">
        <v>140</v>
      </c>
      <c r="E308" s="446"/>
      <c r="F308" s="446"/>
      <c r="G308" s="179"/>
      <c r="H308" s="755"/>
      <c r="I308" s="269"/>
      <c r="J308" s="214">
        <v>1</v>
      </c>
      <c r="K308" s="496"/>
      <c r="L308" s="496"/>
      <c r="M308" s="496"/>
      <c r="N308" s="496"/>
      <c r="O308" s="496"/>
      <c r="P308" s="496"/>
    </row>
    <row r="309" spans="1:26" ht="18.75">
      <c r="A309" s="170"/>
      <c r="B309" s="171"/>
      <c r="C309" s="171"/>
      <c r="D309" s="446" t="s">
        <v>141</v>
      </c>
      <c r="E309" s="446"/>
      <c r="F309" s="446"/>
      <c r="G309" s="179"/>
      <c r="H309" s="755" t="s">
        <v>35</v>
      </c>
      <c r="I309" s="269">
        <f ca="1">IFERROR(__xludf.DUMMYFUNCTION("IMPORTRANGE(""https://docs.google.com/spreadsheets/d/1QqKyyYR6Q21VydFLVH3TRQUabQu_ym0Zz7PgGX0-kHA/edit?usp=sharing"",""แผน!ED63"")"),15)</f>
        <v>15</v>
      </c>
      <c r="J309" s="214">
        <v>15</v>
      </c>
      <c r="K309" s="496">
        <f t="shared" ref="K309:K312" ca="1" si="141">IF(I309&gt;0,J309*100/I309,0)</f>
        <v>100</v>
      </c>
      <c r="L309" s="496"/>
      <c r="M309" s="496"/>
      <c r="N309" s="496"/>
      <c r="O309" s="496"/>
      <c r="P309" s="496"/>
    </row>
    <row r="310" spans="1:26" ht="18.75">
      <c r="A310" s="170"/>
      <c r="B310" s="171"/>
      <c r="C310" s="171"/>
      <c r="D310" s="446" t="s">
        <v>142</v>
      </c>
      <c r="E310" s="446"/>
      <c r="F310" s="446"/>
      <c r="G310" s="179"/>
      <c r="H310" s="755" t="s">
        <v>35</v>
      </c>
      <c r="I310" s="269">
        <f ca="1">IFERROR(__xludf.DUMMYFUNCTION("IMPORTRANGE(""https://docs.google.com/spreadsheets/d/1QqKyyYR6Q21VydFLVH3TRQUabQu_ym0Zz7PgGX0-kHA/edit?usp=sharing"",""แผน!ED63"")"),15)</f>
        <v>15</v>
      </c>
      <c r="J310" s="214">
        <v>0</v>
      </c>
      <c r="K310" s="496">
        <f t="shared" ca="1" si="141"/>
        <v>0</v>
      </c>
      <c r="L310" s="496"/>
      <c r="M310" s="496"/>
      <c r="N310" s="496"/>
      <c r="O310" s="496"/>
      <c r="P310" s="496"/>
    </row>
    <row r="311" spans="1:26" ht="18.75">
      <c r="A311" s="170"/>
      <c r="B311" s="171"/>
      <c r="C311" s="171"/>
      <c r="D311" s="446" t="s">
        <v>59</v>
      </c>
      <c r="E311" s="446"/>
      <c r="F311" s="446"/>
      <c r="G311" s="179"/>
      <c r="H311" s="755" t="s">
        <v>35</v>
      </c>
      <c r="I311" s="269">
        <f ca="1">IFERROR(__xludf.DUMMYFUNCTION("IMPORTRANGE(""https://docs.google.com/spreadsheets/d/1QqKyyYR6Q21VydFLVH3TRQUabQu_ym0Zz7PgGX0-kHA/edit?usp=sharing"",""แผน!ED63"")"),15)</f>
        <v>15</v>
      </c>
      <c r="J311" s="214">
        <v>0</v>
      </c>
      <c r="K311" s="496">
        <f t="shared" ca="1" si="141"/>
        <v>0</v>
      </c>
      <c r="L311" s="496"/>
      <c r="M311" s="496"/>
      <c r="N311" s="496"/>
      <c r="O311" s="496"/>
      <c r="P311" s="496"/>
    </row>
    <row r="312" spans="1:26" ht="18.75">
      <c r="A312" s="170"/>
      <c r="B312" s="171"/>
      <c r="C312" s="171"/>
      <c r="D312" s="446" t="s">
        <v>143</v>
      </c>
      <c r="E312" s="446"/>
      <c r="F312" s="446"/>
      <c r="G312" s="179"/>
      <c r="H312" s="755" t="s">
        <v>35</v>
      </c>
      <c r="I312" s="269">
        <f ca="1">IFERROR(__xludf.DUMMYFUNCTION("IMPORTRANGE(""https://docs.google.com/spreadsheets/d/1QqKyyYR6Q21VydFLVH3TRQUabQu_ym0Zz7PgGX0-kHA/edit?usp=sharing"",""แผน!EE63"")"),3)</f>
        <v>3</v>
      </c>
      <c r="J312" s="214">
        <v>0</v>
      </c>
      <c r="K312" s="496">
        <f t="shared" ca="1" si="141"/>
        <v>0</v>
      </c>
      <c r="L312" s="496"/>
      <c r="M312" s="496"/>
      <c r="N312" s="496"/>
      <c r="O312" s="496"/>
      <c r="P312" s="496"/>
    </row>
    <row r="313" spans="1:26" ht="19.5" hidden="1">
      <c r="A313" s="431" t="s">
        <v>144</v>
      </c>
      <c r="B313" s="432"/>
      <c r="C313" s="432"/>
      <c r="D313" s="433"/>
      <c r="E313" s="432"/>
      <c r="F313" s="432"/>
      <c r="G313" s="432"/>
      <c r="H313" s="448"/>
      <c r="I313" s="436"/>
      <c r="J313" s="436"/>
      <c r="K313" s="437"/>
      <c r="L313" s="437"/>
      <c r="M313" s="437"/>
      <c r="N313" s="437"/>
      <c r="O313" s="437"/>
      <c r="P313" s="437"/>
    </row>
    <row r="314" spans="1:26" ht="19.5" hidden="1">
      <c r="A314" s="449"/>
      <c r="B314" s="439" t="s">
        <v>145</v>
      </c>
      <c r="C314" s="450"/>
      <c r="D314" s="451"/>
      <c r="E314" s="440"/>
      <c r="F314" s="440"/>
      <c r="G314" s="441"/>
      <c r="H314" s="442" t="s">
        <v>146</v>
      </c>
      <c r="I314" s="443">
        <f t="shared" ref="I314:J314" ca="1" si="142">I325</f>
        <v>0</v>
      </c>
      <c r="J314" s="443">
        <f t="shared" si="142"/>
        <v>0</v>
      </c>
      <c r="K314" s="444">
        <f ca="1">IF(I314&gt;0,J314*100/I314,0)</f>
        <v>0</v>
      </c>
      <c r="L314" s="445"/>
      <c r="M314" s="445"/>
      <c r="N314" s="445"/>
      <c r="O314" s="445"/>
      <c r="P314" s="445"/>
    </row>
    <row r="315" spans="1:26" ht="19.5" hidden="1">
      <c r="A315" s="147"/>
      <c r="B315" s="148"/>
      <c r="C315" s="149" t="s">
        <v>16</v>
      </c>
      <c r="D315" s="822" t="s">
        <v>17</v>
      </c>
      <c r="E315" s="148"/>
      <c r="F315" s="148"/>
      <c r="G315" s="151"/>
      <c r="H315" s="152" t="s">
        <v>12</v>
      </c>
      <c r="I315" s="419"/>
      <c r="J315" s="419"/>
      <c r="K315" s="154"/>
      <c r="L315" s="155">
        <f t="shared" ref="L315:N315" ca="1" si="143">L316+L317</f>
        <v>0</v>
      </c>
      <c r="M315" s="155">
        <f t="shared" ca="1" si="143"/>
        <v>0</v>
      </c>
      <c r="N315" s="155">
        <f t="shared" ca="1" si="143"/>
        <v>0</v>
      </c>
      <c r="O315" s="155">
        <f t="shared" ref="O315:O323" ca="1" si="144">IF(L315&gt;0,N315*100/L315,0)</f>
        <v>0</v>
      </c>
      <c r="P315" s="155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2" t="s">
        <v>18</v>
      </c>
      <c r="F316" s="40"/>
      <c r="G316" s="157"/>
      <c r="H316" s="158" t="s">
        <v>12</v>
      </c>
      <c r="I316" s="610"/>
      <c r="J316" s="610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2" t="s">
        <v>19</v>
      </c>
      <c r="F317" s="40"/>
      <c r="G317" s="157"/>
      <c r="H317" s="158" t="s">
        <v>12</v>
      </c>
      <c r="I317" s="610"/>
      <c r="J317" s="610"/>
      <c r="K317" s="93"/>
      <c r="L317" s="93">
        <f t="shared" ca="1" si="146"/>
        <v>0</v>
      </c>
      <c r="M317" s="93">
        <f t="shared" ca="1" si="146"/>
        <v>0</v>
      </c>
      <c r="N317" s="93">
        <f t="shared" ca="1" si="146"/>
        <v>0</v>
      </c>
      <c r="O317" s="93">
        <f t="shared" ca="1" si="144"/>
        <v>0</v>
      </c>
      <c r="P317" s="93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1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6">
        <f t="shared" ref="L318:N318" ca="1" si="147">L319+L320</f>
        <v>0</v>
      </c>
      <c r="M318" s="496">
        <f t="shared" ca="1" si="147"/>
        <v>0</v>
      </c>
      <c r="N318" s="496">
        <f t="shared" ca="1" si="147"/>
        <v>0</v>
      </c>
      <c r="O318" s="496">
        <f t="shared" ca="1" si="144"/>
        <v>0</v>
      </c>
      <c r="P318" s="496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2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2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IFERROR(__xludf.DUMMYFUNCTION("IMPORTRANGE(""https://docs.google.com/spreadsheets/d/1MeEWN-I1oV_STSDYn1IFDPWt_1FKiwhDph83XaGc0o0/edit?usp=sharing"",""งบพรบ!EC63"")"),0)</f>
        <v>0</v>
      </c>
      <c r="M320" s="93">
        <f ca="1">IFERROR(__xludf.DUMMYFUNCTION("IMPORTRANGE(""https://docs.google.com/spreadsheets/d/1MeEWN-I1oV_STSDYn1IFDPWt_1FKiwhDph83XaGc0o0/edit?usp=sharing"",""งบพรบ!EH63"")"),0)</f>
        <v>0</v>
      </c>
      <c r="N320" s="93">
        <f ca="1">IFERROR(__xludf.DUMMYFUNCTION("IMPORTRANGE(""https://docs.google.com/spreadsheets/d/1MeEWN-I1oV_STSDYn1IFDPWt_1FKiwhDph83XaGc0o0/edit?usp=sharing"",""งบพรบ!EJ63"")"),0)</f>
        <v>0</v>
      </c>
      <c r="O320" s="93">
        <f t="shared" ca="1" si="144"/>
        <v>0</v>
      </c>
      <c r="P320" s="93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1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6">
        <f t="shared" ref="L321:N321" ca="1" si="148">L322+L323</f>
        <v>0</v>
      </c>
      <c r="M321" s="496">
        <f t="shared" ca="1" si="148"/>
        <v>0</v>
      </c>
      <c r="N321" s="496">
        <f t="shared" ca="1" si="148"/>
        <v>0</v>
      </c>
      <c r="O321" s="496">
        <f t="shared" ca="1" si="144"/>
        <v>0</v>
      </c>
      <c r="P321" s="496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2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2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IFERROR(__xludf.DUMMYFUNCTION("IMPORTRANGE(""https://docs.google.com/spreadsheets/d/1MeEWN-I1oV_STSDYn1IFDPWt_1FKiwhDph83XaGc0o0/edit?usp=sharing"",""งบพรบ!EF63"")"),0)</f>
        <v>0</v>
      </c>
      <c r="M323" s="93">
        <f ca="1">IFERROR(__xludf.DUMMYFUNCTION("IMPORTRANGE(""https://docs.google.com/spreadsheets/d/1MeEWN-I1oV_STSDYn1IFDPWt_1FKiwhDph83XaGc0o0/edit?usp=sharing"",""งบพรบ!EI63"")"),0)</f>
        <v>0</v>
      </c>
      <c r="N323" s="93">
        <f ca="1">IFERROR(__xludf.DUMMYFUNCTION("IMPORTRANGE(""https://docs.google.com/spreadsheets/d/1MeEWN-I1oV_STSDYn1IFDPWt_1FKiwhDph83XaGc0o0/edit?usp=sharing"",""งบพรบ!EK63"")"),0)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23" t="s">
        <v>38</v>
      </c>
      <c r="E324" s="173"/>
      <c r="F324" s="173"/>
      <c r="G324" s="174"/>
      <c r="H324" s="753"/>
      <c r="I324" s="184"/>
      <c r="J324" s="269"/>
      <c r="K324" s="496"/>
      <c r="L324" s="496"/>
      <c r="M324" s="496"/>
      <c r="N324" s="496"/>
      <c r="O324" s="163"/>
      <c r="P324" s="163"/>
    </row>
    <row r="325" spans="1:26" ht="18.75" hidden="1">
      <c r="A325" s="170"/>
      <c r="B325" s="171"/>
      <c r="C325" s="171"/>
      <c r="D325" s="176" t="s">
        <v>147</v>
      </c>
      <c r="E325" s="178"/>
      <c r="F325" s="446"/>
      <c r="G325" s="179"/>
      <c r="H325" s="616" t="s">
        <v>146</v>
      </c>
      <c r="I325" s="269">
        <f ca="1">IFERROR(__xludf.DUMMYFUNCTION("IMPORTRANGE(""https://docs.google.com/spreadsheets/d/1QqKyyYR6Q21VydFLVH3TRQUabQu_ym0Zz7PgGX0-kHA/edit?usp=sharing"",""แผน!EF63"")"),0)</f>
        <v>0</v>
      </c>
      <c r="J325" s="214">
        <v>0</v>
      </c>
      <c r="K325" s="496">
        <f ca="1">IF(I325&gt;0,J325*100/I325,0)</f>
        <v>0</v>
      </c>
      <c r="L325" s="496"/>
      <c r="M325" s="496"/>
      <c r="N325" s="496"/>
      <c r="O325" s="163"/>
      <c r="P325" s="163"/>
    </row>
    <row r="326" spans="1:26" ht="19.5">
      <c r="A326" s="431" t="s">
        <v>148</v>
      </c>
      <c r="B326" s="432"/>
      <c r="C326" s="432"/>
      <c r="D326" s="433"/>
      <c r="E326" s="432"/>
      <c r="F326" s="432"/>
      <c r="G326" s="432"/>
      <c r="H326" s="448"/>
      <c r="I326" s="436"/>
      <c r="J326" s="436"/>
      <c r="K326" s="437"/>
      <c r="L326" s="437"/>
      <c r="M326" s="437"/>
      <c r="N326" s="437"/>
      <c r="O326" s="437"/>
      <c r="P326" s="437"/>
    </row>
    <row r="327" spans="1:26" ht="19.5">
      <c r="A327" s="438"/>
      <c r="B327" s="439" t="s">
        <v>149</v>
      </c>
      <c r="C327" s="451"/>
      <c r="D327" s="440"/>
      <c r="E327" s="440"/>
      <c r="F327" s="440"/>
      <c r="G327" s="441"/>
      <c r="H327" s="442" t="s">
        <v>35</v>
      </c>
      <c r="I327" s="443">
        <f ca="1">IFERROR(__xludf.DUMMYFUNCTION("IMPORTRANGE(""https://docs.google.com/spreadsheets/d/1QqKyyYR6Q21VydFLVH3TRQUabQu_ym0Zz7PgGX0-kHA/edit?usp=sharing"",""แผน!EG63"")"),1000)</f>
        <v>1000</v>
      </c>
      <c r="J327" s="443">
        <f ca="1">J338+J341+J342+J343</f>
        <v>184</v>
      </c>
      <c r="K327" s="444">
        <f ca="1">IF(I327&gt;0,J327*100/I327,0)</f>
        <v>18.399999999999999</v>
      </c>
      <c r="L327" s="445"/>
      <c r="M327" s="445"/>
      <c r="N327" s="445"/>
      <c r="O327" s="445"/>
      <c r="P327" s="445"/>
    </row>
    <row r="328" spans="1:26" ht="19.5">
      <c r="A328" s="147"/>
      <c r="B328" s="148"/>
      <c r="C328" s="149" t="s">
        <v>16</v>
      </c>
      <c r="D328" s="822" t="s">
        <v>17</v>
      </c>
      <c r="E328" s="148"/>
      <c r="F328" s="148"/>
      <c r="G328" s="151"/>
      <c r="H328" s="152" t="s">
        <v>12</v>
      </c>
      <c r="I328" s="419"/>
      <c r="J328" s="419"/>
      <c r="K328" s="154"/>
      <c r="L328" s="155">
        <f t="shared" ref="L328:N328" ca="1" si="149">L329+L330</f>
        <v>159000</v>
      </c>
      <c r="M328" s="155">
        <f t="shared" ca="1" si="149"/>
        <v>79500</v>
      </c>
      <c r="N328" s="155">
        <f t="shared" ca="1" si="149"/>
        <v>26000</v>
      </c>
      <c r="O328" s="155">
        <f t="shared" ref="O328:O336" ca="1" si="150">IF(L328&gt;0,N328*100/L328,0)</f>
        <v>16.352201257861637</v>
      </c>
      <c r="P328" s="155">
        <f t="shared" ref="P328:P336" ca="1" si="151">IF(M328&gt;0,N328*100/M328,0)</f>
        <v>32.704402515723274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2" t="s">
        <v>18</v>
      </c>
      <c r="F329" s="40"/>
      <c r="G329" s="157"/>
      <c r="H329" s="158" t="s">
        <v>12</v>
      </c>
      <c r="I329" s="610"/>
      <c r="J329" s="610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2" t="s">
        <v>19</v>
      </c>
      <c r="F330" s="40"/>
      <c r="G330" s="157"/>
      <c r="H330" s="158" t="s">
        <v>12</v>
      </c>
      <c r="I330" s="610"/>
      <c r="J330" s="610"/>
      <c r="K330" s="93"/>
      <c r="L330" s="93">
        <f t="shared" ca="1" si="152"/>
        <v>159000</v>
      </c>
      <c r="M330" s="93">
        <f t="shared" ca="1" si="152"/>
        <v>79500</v>
      </c>
      <c r="N330" s="93">
        <f t="shared" ca="1" si="152"/>
        <v>26000</v>
      </c>
      <c r="O330" s="93">
        <f t="shared" ca="1" si="150"/>
        <v>16.352201257861637</v>
      </c>
      <c r="P330" s="93">
        <f t="shared" ca="1" si="151"/>
        <v>32.704402515723274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1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6">
        <f t="shared" ref="L331:N331" ca="1" si="153">L332+L333</f>
        <v>159000</v>
      </c>
      <c r="M331" s="496">
        <f t="shared" ca="1" si="153"/>
        <v>79500</v>
      </c>
      <c r="N331" s="496">
        <f t="shared" ca="1" si="153"/>
        <v>26000</v>
      </c>
      <c r="O331" s="496">
        <f t="shared" ca="1" si="150"/>
        <v>16.352201257861637</v>
      </c>
      <c r="P331" s="496">
        <f t="shared" ca="1" si="151"/>
        <v>32.704402515723274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2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2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IFERROR(__xludf.DUMMYFUNCTION("IMPORTRANGE(""https://docs.google.com/spreadsheets/d/1MeEWN-I1oV_STSDYn1IFDPWt_1FKiwhDph83XaGc0o0/edit?usp=sharing"",""งบพรบ!EM63"")"),159000)</f>
        <v>159000</v>
      </c>
      <c r="M333" s="93">
        <f ca="1">IFERROR(__xludf.DUMMYFUNCTION("IMPORTRANGE(""https://docs.google.com/spreadsheets/d/1MeEWN-I1oV_STSDYn1IFDPWt_1FKiwhDph83XaGc0o0/edit?usp=sharing"",""งบพรบ!ER63"")"),79500)</f>
        <v>79500</v>
      </c>
      <c r="N333" s="93">
        <f ca="1">IFERROR(__xludf.DUMMYFUNCTION("IMPORTRANGE(""https://docs.google.com/spreadsheets/d/1MeEWN-I1oV_STSDYn1IFDPWt_1FKiwhDph83XaGc0o0/edit?usp=sharing"",""งบพรบ!ET63"")"),26000)</f>
        <v>26000</v>
      </c>
      <c r="O333" s="93">
        <f t="shared" ca="1" si="150"/>
        <v>16.352201257861637</v>
      </c>
      <c r="P333" s="93">
        <f t="shared" ca="1" si="151"/>
        <v>32.704402515723274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1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6">
        <f t="shared" ref="L334:N334" ca="1" si="154">L335+L336</f>
        <v>0</v>
      </c>
      <c r="M334" s="496">
        <f t="shared" ca="1" si="154"/>
        <v>0</v>
      </c>
      <c r="N334" s="496">
        <f t="shared" ca="1" si="154"/>
        <v>0</v>
      </c>
      <c r="O334" s="496">
        <f t="shared" ca="1" si="150"/>
        <v>0</v>
      </c>
      <c r="P334" s="496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2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2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IFERROR(__xludf.DUMMYFUNCTION("IMPORTRANGE(""https://docs.google.com/spreadsheets/d/1MeEWN-I1oV_STSDYn1IFDPWt_1FKiwhDph83XaGc0o0/edit?usp=sharing"",""งบพรบ!EP63"")"),0)</f>
        <v>0</v>
      </c>
      <c r="M336" s="93">
        <f ca="1">IFERROR(__xludf.DUMMYFUNCTION("IMPORTRANGE(""https://docs.google.com/spreadsheets/d/1MeEWN-I1oV_STSDYn1IFDPWt_1FKiwhDph83XaGc0o0/edit?usp=sharing"",""งบพรบ!ES63"")"),0)</f>
        <v>0</v>
      </c>
      <c r="N336" s="93">
        <f ca="1">IFERROR(__xludf.DUMMYFUNCTION("IMPORTRANGE(""https://docs.google.com/spreadsheets/d/1MeEWN-I1oV_STSDYn1IFDPWt_1FKiwhDph83XaGc0o0/edit?usp=sharing"",""งบพรบ!EU63"")"),0)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23" t="s">
        <v>38</v>
      </c>
      <c r="E337" s="173"/>
      <c r="F337" s="173"/>
      <c r="G337" s="174"/>
      <c r="H337" s="753"/>
      <c r="I337" s="184"/>
      <c r="J337" s="269"/>
      <c r="K337" s="496"/>
      <c r="L337" s="496"/>
      <c r="M337" s="496"/>
      <c r="N337" s="496"/>
      <c r="O337" s="163"/>
      <c r="P337" s="163"/>
    </row>
    <row r="338" spans="1:26" ht="18.75">
      <c r="A338" s="284"/>
      <c r="B338" s="33"/>
      <c r="C338" s="280"/>
      <c r="D338" s="446" t="s">
        <v>150</v>
      </c>
      <c r="E338" s="171"/>
      <c r="F338" s="33"/>
      <c r="G338" s="35"/>
      <c r="H338" s="276" t="s">
        <v>35</v>
      </c>
      <c r="I338" s="269">
        <f ca="1">IFERROR(__xludf.DUMMYFUNCTION("IMPORTRANGE(""https://docs.google.com/spreadsheets/d/1QqKyyYR6Q21VydFLVH3TRQUabQu_ym0Zz7PgGX0-kHA/edit?usp=sharing"",""แผน!EG63"")"),1000)</f>
        <v>1000</v>
      </c>
      <c r="J338" s="269">
        <f ca="1">IFERROR(__xludf.DUMMYFUNCTION("IMPORTRANGE(""https://docs.google.com/spreadsheets/d/1kVcqe37tkHyjCSG3S0O1AXqVkqjo8mSIZil3BcpIysc/edit?usp=sharing"",""ศูนย์!D63"")"),184)</f>
        <v>184</v>
      </c>
      <c r="K338" s="496">
        <f ca="1">IF(I338&gt;0,J338*100/I338,0)</f>
        <v>18.399999999999999</v>
      </c>
      <c r="L338" s="496"/>
      <c r="M338" s="496"/>
      <c r="N338" s="496"/>
      <c r="O338" s="496"/>
      <c r="P338" s="496"/>
    </row>
    <row r="339" spans="1:26" ht="18.75">
      <c r="A339" s="284"/>
      <c r="B339" s="33"/>
      <c r="C339" s="280"/>
      <c r="D339" s="446" t="s">
        <v>151</v>
      </c>
      <c r="E339" s="171"/>
      <c r="F339" s="33"/>
      <c r="G339" s="35"/>
      <c r="H339" s="276"/>
      <c r="I339" s="269"/>
      <c r="J339" s="269"/>
      <c r="K339" s="496"/>
      <c r="L339" s="496"/>
      <c r="M339" s="496"/>
      <c r="N339" s="496"/>
      <c r="O339" s="496"/>
      <c r="P339" s="496"/>
    </row>
    <row r="340" spans="1:26" ht="18.75">
      <c r="A340" s="284"/>
      <c r="B340" s="33"/>
      <c r="C340" s="280"/>
      <c r="D340" s="178"/>
      <c r="E340" s="446" t="s">
        <v>152</v>
      </c>
      <c r="F340" s="33"/>
      <c r="G340" s="35"/>
      <c r="H340" s="276" t="s">
        <v>153</v>
      </c>
      <c r="I340" s="269">
        <f ca="1">IFERROR(__xludf.DUMMYFUNCTION("IMPORTRANGE(""https://docs.google.com/spreadsheets/d/1QqKyyYR6Q21VydFLVH3TRQUabQu_ym0Zz7PgGX0-kHA/edit?usp=sharing"",""แผน!EH63"")"),3)</f>
        <v>3</v>
      </c>
      <c r="J340" s="269">
        <f ca="1">IFERROR(__xludf.DUMMYFUNCTION("IMPORTRANGE(""https://docs.google.com/spreadsheets/d/1kVcqe37tkHyjCSG3S0O1AXqVkqjo8mSIZil3BcpIysc/edit?usp=sharing"",""ศูนย์!E63"")"),0)</f>
        <v>0</v>
      </c>
      <c r="K340" s="496">
        <f ca="1">IF(I340&gt;0,J340*100/I340,0)</f>
        <v>0</v>
      </c>
      <c r="L340" s="496"/>
      <c r="M340" s="496"/>
      <c r="N340" s="496"/>
      <c r="O340" s="496"/>
      <c r="P340" s="496"/>
    </row>
    <row r="341" spans="1:26" ht="18.75">
      <c r="A341" s="284"/>
      <c r="B341" s="33"/>
      <c r="C341" s="280"/>
      <c r="D341" s="178"/>
      <c r="E341" s="446" t="s">
        <v>154</v>
      </c>
      <c r="F341" s="33"/>
      <c r="G341" s="35"/>
      <c r="H341" s="276" t="s">
        <v>35</v>
      </c>
      <c r="I341" s="269"/>
      <c r="J341" s="269">
        <f ca="1">IFERROR(__xludf.DUMMYFUNCTION("IMPORTRANGE(""https://docs.google.com/spreadsheets/d/1kVcqe37tkHyjCSG3S0O1AXqVkqjo8mSIZil3BcpIysc/edit?usp=sharing"",""ศูนย์!F63"")"),0)</f>
        <v>0</v>
      </c>
      <c r="K341" s="496"/>
      <c r="L341" s="496"/>
      <c r="M341" s="496"/>
      <c r="N341" s="496"/>
      <c r="O341" s="496"/>
      <c r="P341" s="496"/>
    </row>
    <row r="342" spans="1:26" ht="18.75">
      <c r="A342" s="284"/>
      <c r="B342" s="33"/>
      <c r="C342" s="280"/>
      <c r="D342" s="446" t="s">
        <v>155</v>
      </c>
      <c r="E342" s="178"/>
      <c r="F342" s="178"/>
      <c r="G342" s="35"/>
      <c r="H342" s="276" t="s">
        <v>35</v>
      </c>
      <c r="I342" s="269"/>
      <c r="J342" s="269">
        <f ca="1">IFERROR(__xludf.DUMMYFUNCTION("IMPORTRANGE(""https://docs.google.com/spreadsheets/d/1kVcqe37tkHyjCSG3S0O1AXqVkqjo8mSIZil3BcpIysc/edit?usp=sharing"",""ศูนย์!G63"")"),0)</f>
        <v>0</v>
      </c>
      <c r="K342" s="496"/>
      <c r="L342" s="496"/>
      <c r="M342" s="496"/>
      <c r="N342" s="496"/>
      <c r="O342" s="496"/>
      <c r="P342" s="496"/>
    </row>
    <row r="343" spans="1:26" ht="18.75">
      <c r="A343" s="284"/>
      <c r="B343" s="33"/>
      <c r="C343" s="280"/>
      <c r="D343" s="446" t="s">
        <v>156</v>
      </c>
      <c r="E343" s="178"/>
      <c r="F343" s="178"/>
      <c r="G343" s="35"/>
      <c r="H343" s="276" t="s">
        <v>35</v>
      </c>
      <c r="I343" s="269"/>
      <c r="J343" s="269">
        <f ca="1">IFERROR(__xludf.DUMMYFUNCTION("IMPORTRANGE(""https://docs.google.com/spreadsheets/d/1kVcqe37tkHyjCSG3S0O1AXqVkqjo8mSIZil3BcpIysc/edit?usp=sharing"",""ศูนย์!H63"")"),0)</f>
        <v>0</v>
      </c>
      <c r="K343" s="496"/>
      <c r="L343" s="496"/>
      <c r="M343" s="496"/>
      <c r="N343" s="496"/>
      <c r="O343" s="496"/>
      <c r="P343" s="496"/>
    </row>
    <row r="344" spans="1:26" ht="19.5">
      <c r="A344" s="438"/>
      <c r="B344" s="439" t="s">
        <v>157</v>
      </c>
      <c r="C344" s="451"/>
      <c r="D344" s="440"/>
      <c r="E344" s="440"/>
      <c r="F344" s="440"/>
      <c r="G344" s="441"/>
      <c r="H344" s="442"/>
      <c r="I344" s="452"/>
      <c r="J344" s="452"/>
      <c r="K344" s="445"/>
      <c r="L344" s="445"/>
      <c r="M344" s="445"/>
      <c r="N344" s="445"/>
      <c r="O344" s="445"/>
      <c r="P344" s="445"/>
    </row>
    <row r="345" spans="1:26" ht="19.5">
      <c r="A345" s="147"/>
      <c r="B345" s="148"/>
      <c r="C345" s="149" t="s">
        <v>16</v>
      </c>
      <c r="D345" s="822" t="s">
        <v>17</v>
      </c>
      <c r="E345" s="148"/>
      <c r="F345" s="148"/>
      <c r="G345" s="151"/>
      <c r="H345" s="152" t="s">
        <v>12</v>
      </c>
      <c r="I345" s="419"/>
      <c r="J345" s="419"/>
      <c r="K345" s="154"/>
      <c r="L345" s="155">
        <f t="shared" ref="L345:N345" ca="1" si="155">L346+L347</f>
        <v>774650</v>
      </c>
      <c r="M345" s="155">
        <f t="shared" ca="1" si="155"/>
        <v>482030</v>
      </c>
      <c r="N345" s="155">
        <f t="shared" ca="1" si="155"/>
        <v>299356</v>
      </c>
      <c r="O345" s="155">
        <f t="shared" ref="O345:O353" ca="1" si="156">IF(L345&gt;0,N345*100/L345,0)</f>
        <v>38.644032789001486</v>
      </c>
      <c r="P345" s="155">
        <f t="shared" ref="P345:P353" ca="1" si="157">IF(M345&gt;0,N345*100/M345,0)</f>
        <v>62.103188598220029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2" t="s">
        <v>18</v>
      </c>
      <c r="F346" s="40"/>
      <c r="G346" s="157"/>
      <c r="H346" s="158" t="s">
        <v>12</v>
      </c>
      <c r="I346" s="610"/>
      <c r="J346" s="610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2" t="s">
        <v>19</v>
      </c>
      <c r="F347" s="40"/>
      <c r="G347" s="157"/>
      <c r="H347" s="158" t="s">
        <v>12</v>
      </c>
      <c r="I347" s="610"/>
      <c r="J347" s="610"/>
      <c r="K347" s="93"/>
      <c r="L347" s="93">
        <f t="shared" ca="1" si="158"/>
        <v>774650</v>
      </c>
      <c r="M347" s="93">
        <f t="shared" ca="1" si="158"/>
        <v>482030</v>
      </c>
      <c r="N347" s="93">
        <f t="shared" ca="1" si="158"/>
        <v>299356</v>
      </c>
      <c r="O347" s="93">
        <f t="shared" ca="1" si="156"/>
        <v>38.644032789001486</v>
      </c>
      <c r="P347" s="93">
        <f t="shared" ca="1" si="157"/>
        <v>62.103188598220029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1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6">
        <f t="shared" ref="L348:N348" ca="1" si="159">L349+L350</f>
        <v>585250</v>
      </c>
      <c r="M348" s="496">
        <f t="shared" ca="1" si="159"/>
        <v>292630</v>
      </c>
      <c r="N348" s="496">
        <f t="shared" ca="1" si="159"/>
        <v>109956</v>
      </c>
      <c r="O348" s="496">
        <f t="shared" ca="1" si="156"/>
        <v>18.787868432293891</v>
      </c>
      <c r="P348" s="496">
        <f t="shared" ca="1" si="157"/>
        <v>37.575094829648364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2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2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IFERROR(__xludf.DUMMYFUNCTION("IMPORTRANGE(""https://docs.google.com/spreadsheets/d/1MeEWN-I1oV_STSDYn1IFDPWt_1FKiwhDph83XaGc0o0/edit?usp=sharing"",""งบพรบ!EW63"")"),585250)</f>
        <v>585250</v>
      </c>
      <c r="M350" s="93">
        <f ca="1">IFERROR(__xludf.DUMMYFUNCTION("IMPORTRANGE(""https://docs.google.com/spreadsheets/d/1MeEWN-I1oV_STSDYn1IFDPWt_1FKiwhDph83XaGc0o0/edit?usp=sharing"",""งบพรบ!FB63"")"),292630)</f>
        <v>292630</v>
      </c>
      <c r="N350" s="93">
        <f ca="1">IFERROR(__xludf.DUMMYFUNCTION("IMPORTRANGE(""https://docs.google.com/spreadsheets/d/1MeEWN-I1oV_STSDYn1IFDPWt_1FKiwhDph83XaGc0o0/edit?usp=sharing"",""งบพรบ!FD63"")"),109956)</f>
        <v>109956</v>
      </c>
      <c r="O350" s="93">
        <f t="shared" ca="1" si="156"/>
        <v>18.787868432293891</v>
      </c>
      <c r="P350" s="93">
        <f t="shared" ca="1" si="157"/>
        <v>37.575094829648364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1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6">
        <f t="shared" ref="L351:N351" ca="1" si="160">L352+L353</f>
        <v>189400</v>
      </c>
      <c r="M351" s="496">
        <f t="shared" ca="1" si="160"/>
        <v>189400</v>
      </c>
      <c r="N351" s="496">
        <f t="shared" ca="1" si="160"/>
        <v>189400</v>
      </c>
      <c r="O351" s="496">
        <f t="shared" ca="1" si="156"/>
        <v>100</v>
      </c>
      <c r="P351" s="496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2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2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IFERROR(__xludf.DUMMYFUNCTION("IMPORTRANGE(""https://docs.google.com/spreadsheets/d/1MeEWN-I1oV_STSDYn1IFDPWt_1FKiwhDph83XaGc0o0/edit?usp=sharing"",""งบพรบ!EZ63"")"),189400)</f>
        <v>189400</v>
      </c>
      <c r="M353" s="93">
        <f ca="1">IFERROR(__xludf.DUMMYFUNCTION("IMPORTRANGE(""https://docs.google.com/spreadsheets/d/1MeEWN-I1oV_STSDYn1IFDPWt_1FKiwhDph83XaGc0o0/edit?usp=sharing"",""งบพรบ!FC63"")"),189400)</f>
        <v>189400</v>
      </c>
      <c r="N353" s="93">
        <f ca="1">IFERROR(__xludf.DUMMYFUNCTION("IMPORTRANGE(""https://docs.google.com/spreadsheets/d/1MeEWN-I1oV_STSDYn1IFDPWt_1FKiwhDph83XaGc0o0/edit?usp=sharing"",""งบพรบ!FE63"")"),189400)</f>
        <v>189400</v>
      </c>
      <c r="O353" s="93">
        <f t="shared" ca="1" si="156"/>
        <v>100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5"/>
      <c r="B354" s="263"/>
      <c r="C354" s="256"/>
      <c r="D354" s="832" t="s">
        <v>158</v>
      </c>
      <c r="E354" s="256"/>
      <c r="F354" s="256"/>
      <c r="G354" s="258"/>
      <c r="H354" s="454"/>
      <c r="I354" s="260"/>
      <c r="J354" s="260"/>
      <c r="K354" s="261"/>
      <c r="L354" s="261"/>
      <c r="M354" s="261"/>
      <c r="N354" s="261"/>
      <c r="O354" s="261"/>
      <c r="P354" s="261"/>
    </row>
    <row r="355" spans="1:26" ht="19.5">
      <c r="A355" s="455"/>
      <c r="B355" s="456"/>
      <c r="C355" s="457"/>
      <c r="D355" s="833" t="s">
        <v>159</v>
      </c>
      <c r="E355" s="459"/>
      <c r="F355" s="459"/>
      <c r="G355" s="460"/>
      <c r="H355" s="461" t="s">
        <v>35</v>
      </c>
      <c r="I355" s="463">
        <f ca="1">IFERROR(__xludf.DUMMYFUNCTION("IMPORTRANGE(""https://docs.google.com/spreadsheets/d/1QqKyyYR6Q21VydFLVH3TRQUabQu_ym0Zz7PgGX0-kHA/edit?usp=sharing"",""แผน!EP63"")"),40)</f>
        <v>40</v>
      </c>
      <c r="J355" s="463">
        <f ca="1">J362</f>
        <v>0</v>
      </c>
      <c r="K355" s="464">
        <f ca="1">IF(I355&gt;0,J355*100/I355,0)</f>
        <v>0</v>
      </c>
      <c r="L355" s="465"/>
      <c r="M355" s="465"/>
      <c r="N355" s="465"/>
      <c r="O355" s="465"/>
      <c r="P355" s="465"/>
    </row>
    <row r="356" spans="1:26" ht="19.5">
      <c r="A356" s="455"/>
      <c r="B356" s="456"/>
      <c r="C356" s="457"/>
      <c r="D356" s="466" t="s">
        <v>160</v>
      </c>
      <c r="E356" s="459"/>
      <c r="F356" s="459"/>
      <c r="G356" s="460"/>
      <c r="H356" s="467"/>
      <c r="I356" s="468"/>
      <c r="J356" s="468"/>
      <c r="K356" s="465"/>
      <c r="L356" s="465"/>
      <c r="M356" s="465"/>
      <c r="N356" s="465"/>
      <c r="O356" s="465"/>
      <c r="P356" s="465"/>
    </row>
    <row r="357" spans="1:26" ht="19.5">
      <c r="A357" s="170"/>
      <c r="B357" s="171"/>
      <c r="C357" s="164" t="s">
        <v>16</v>
      </c>
      <c r="D357" s="823" t="s">
        <v>38</v>
      </c>
      <c r="E357" s="173"/>
      <c r="F357" s="173"/>
      <c r="G357" s="174"/>
      <c r="H357" s="753"/>
      <c r="I357" s="269"/>
      <c r="J357" s="269"/>
      <c r="K357" s="496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69">
        <v>0</v>
      </c>
      <c r="J358" s="269">
        <f ca="1">IFERROR(__xludf.DUMMYFUNCTION("IMPORTRANGE(""https://docs.google.com/spreadsheets/d/1XWAQStnk-4SwqDmLtmXYiTMKHgktTP8We1SCoS47DrQ/edit?usp=sharing"",""จัดที่ดิน!W63"")"),0)</f>
        <v>0</v>
      </c>
      <c r="K358" s="496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69">
        <f ca="1">IFERROR(__xludf.DUMMYFUNCTION("IMPORTRANGE(""https://docs.google.com/spreadsheets/d/1QqKyyYR6Q21VydFLVH3TRQUabQu_ym0Zz7PgGX0-kHA/edit?usp=sharing"",""แผน!EO63"")"),500)</f>
        <v>500</v>
      </c>
      <c r="J359" s="269">
        <f ca="1">IFERROR(__xludf.DUMMYFUNCTION("IMPORTRANGE(""https://docs.google.com/spreadsheets/d/1XWAQStnk-4SwqDmLtmXYiTMKHgktTP8We1SCoS47DrQ/edit?usp=sharing"",""จัดที่ดิน!X63"")"),0)</f>
        <v>0</v>
      </c>
      <c r="K359" s="496">
        <f t="shared" ca="1" si="161"/>
        <v>0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755" t="s">
        <v>35</v>
      </c>
      <c r="I360" s="269">
        <f ca="1">IFERROR(__xludf.DUMMYFUNCTION("IMPORTRANGE(""https://docs.google.com/spreadsheets/d/1QqKyyYR6Q21VydFLVH3TRQUabQu_ym0Zz7PgGX0-kHA/edit?usp=sharing"",""แผน!EP63"")"),40)</f>
        <v>40</v>
      </c>
      <c r="J360" s="269">
        <f ca="1">IFERROR(__xludf.DUMMYFUNCTION("IMPORTRANGE(""https://docs.google.com/spreadsheets/d/1XWAQStnk-4SwqDmLtmXYiTMKHgktTP8We1SCoS47DrQ/edit?usp=sharing"",""จัดที่ดิน!Y63"")"),0)</f>
        <v>0</v>
      </c>
      <c r="K360" s="496">
        <f t="shared" ca="1" si="161"/>
        <v>0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755" t="s">
        <v>46</v>
      </c>
      <c r="I361" s="269">
        <v>0</v>
      </c>
      <c r="J361" s="269">
        <f ca="1">IFERROR(__xludf.DUMMYFUNCTION("IMPORTRANGE(""https://docs.google.com/spreadsheets/d/1XWAQStnk-4SwqDmLtmXYiTMKHgktTP8We1SCoS47DrQ/edit?usp=sharing"",""จัดที่ดิน!Z63"")"),0)</f>
        <v>0</v>
      </c>
      <c r="K361" s="496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755" t="s">
        <v>35</v>
      </c>
      <c r="I362" s="269">
        <f ca="1">IFERROR(__xludf.DUMMYFUNCTION("IMPORTRANGE(""https://docs.google.com/spreadsheets/d/1QqKyyYR6Q21VydFLVH3TRQUabQu_ym0Zz7PgGX0-kHA/edit?usp=sharing"",""แผน!EP63"")"),40)</f>
        <v>40</v>
      </c>
      <c r="J362" s="269">
        <f ca="1">IFERROR(__xludf.DUMMYFUNCTION("IMPORTRANGE(""https://docs.google.com/spreadsheets/d/1XWAQStnk-4SwqDmLtmXYiTMKHgktTP8We1SCoS47DrQ/edit?usp=sharing"",""จัดที่ดิน!AA63"")"),0)</f>
        <v>0</v>
      </c>
      <c r="K362" s="496">
        <f t="shared" ca="1" si="161"/>
        <v>0</v>
      </c>
      <c r="L362" s="163"/>
      <c r="M362" s="163"/>
      <c r="N362" s="163"/>
      <c r="O362" s="163"/>
      <c r="P362" s="163"/>
    </row>
    <row r="363" spans="1:26" ht="18.75">
      <c r="A363" s="469" t="s">
        <v>164</v>
      </c>
      <c r="B363" s="178"/>
      <c r="C363" s="171"/>
      <c r="D363" s="178"/>
      <c r="E363" s="446"/>
      <c r="F363" s="178"/>
      <c r="G363" s="179"/>
      <c r="H363" s="755" t="s">
        <v>46</v>
      </c>
      <c r="I363" s="269">
        <v>0</v>
      </c>
      <c r="J363" s="269">
        <f ca="1">IFERROR(__xludf.DUMMYFUNCTION("IMPORTRANGE(""https://docs.google.com/spreadsheets/d/1XWAQStnk-4SwqDmLtmXYiTMKHgktTP8We1SCoS47DrQ/edit?usp=sharing"",""จัดที่ดิน!AB63"")"),0)</f>
        <v>0</v>
      </c>
      <c r="K363" s="496">
        <f t="shared" si="161"/>
        <v>0</v>
      </c>
      <c r="L363" s="163"/>
      <c r="M363" s="163"/>
      <c r="N363" s="163"/>
      <c r="O363" s="163"/>
      <c r="P363" s="163"/>
    </row>
    <row r="364" spans="1:26" ht="19.5">
      <c r="A364" s="470"/>
      <c r="B364" s="471"/>
      <c r="C364" s="472"/>
      <c r="D364" s="473" t="s">
        <v>165</v>
      </c>
      <c r="E364" s="474"/>
      <c r="F364" s="474"/>
      <c r="G364" s="475"/>
      <c r="H364" s="476" t="s">
        <v>35</v>
      </c>
      <c r="I364" s="477">
        <f t="shared" ref="I364:J364" ca="1" si="162">I365+I374</f>
        <v>80</v>
      </c>
      <c r="J364" s="477">
        <f t="shared" ca="1" si="162"/>
        <v>0</v>
      </c>
      <c r="K364" s="478">
        <f t="shared" ca="1" si="161"/>
        <v>0</v>
      </c>
      <c r="L364" s="479"/>
      <c r="M364" s="479"/>
      <c r="N364" s="479"/>
      <c r="O364" s="479"/>
      <c r="P364" s="479"/>
      <c r="Q364" s="480"/>
      <c r="R364" s="480"/>
      <c r="S364" s="480"/>
      <c r="T364" s="480"/>
      <c r="U364" s="480"/>
      <c r="V364" s="480"/>
      <c r="W364" s="480"/>
      <c r="X364" s="480"/>
      <c r="Y364" s="480"/>
      <c r="Z364" s="480"/>
    </row>
    <row r="365" spans="1:26" ht="19.5">
      <c r="A365" s="481"/>
      <c r="B365" s="482"/>
      <c r="C365" s="484"/>
      <c r="D365" s="484" t="s">
        <v>166</v>
      </c>
      <c r="E365" s="485"/>
      <c r="F365" s="485"/>
      <c r="G365" s="486"/>
      <c r="H365" s="487" t="s">
        <v>35</v>
      </c>
      <c r="I365" s="489">
        <f ca="1">IFERROR(__xludf.DUMMYFUNCTION("IMPORTRANGE(""https://docs.google.com/spreadsheets/d/1QqKyyYR6Q21VydFLVH3TRQUabQu_ym0Zz7PgGX0-kHA/edit?usp=sharing"",""แผน!EJ63"")"),16)</f>
        <v>16</v>
      </c>
      <c r="J365" s="489">
        <f ca="1">J372</f>
        <v>0</v>
      </c>
      <c r="K365" s="490">
        <f t="shared" ca="1" si="161"/>
        <v>0</v>
      </c>
      <c r="L365" s="491"/>
      <c r="M365" s="491"/>
      <c r="N365" s="491"/>
      <c r="O365" s="491"/>
      <c r="P365" s="491"/>
      <c r="Q365" s="480"/>
      <c r="R365" s="480"/>
      <c r="S365" s="480"/>
      <c r="T365" s="480"/>
      <c r="U365" s="480"/>
      <c r="V365" s="480"/>
      <c r="W365" s="480"/>
      <c r="X365" s="480"/>
      <c r="Y365" s="480"/>
      <c r="Z365" s="480"/>
    </row>
    <row r="366" spans="1:26" ht="19.5">
      <c r="A366" s="481"/>
      <c r="B366" s="482"/>
      <c r="C366" s="484"/>
      <c r="D366" s="492" t="s">
        <v>167</v>
      </c>
      <c r="E366" s="485"/>
      <c r="F366" s="485"/>
      <c r="G366" s="486"/>
      <c r="H366" s="493"/>
      <c r="I366" s="494"/>
      <c r="J366" s="494"/>
      <c r="K366" s="491"/>
      <c r="L366" s="491"/>
      <c r="M366" s="491"/>
      <c r="N366" s="491"/>
      <c r="O366" s="491"/>
      <c r="P366" s="491"/>
      <c r="Q366" s="480"/>
      <c r="R366" s="480"/>
      <c r="S366" s="480"/>
      <c r="T366" s="480"/>
      <c r="U366" s="480"/>
      <c r="V366" s="480"/>
      <c r="W366" s="480"/>
      <c r="X366" s="480"/>
      <c r="Y366" s="480"/>
      <c r="Z366" s="480"/>
    </row>
    <row r="367" spans="1:26" ht="19.5">
      <c r="A367" s="170"/>
      <c r="B367" s="171"/>
      <c r="C367" s="164" t="s">
        <v>16</v>
      </c>
      <c r="D367" s="823" t="s">
        <v>38</v>
      </c>
      <c r="E367" s="173"/>
      <c r="F367" s="173"/>
      <c r="G367" s="174"/>
      <c r="H367" s="753"/>
      <c r="I367" s="269"/>
      <c r="J367" s="269"/>
      <c r="K367" s="496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69">
        <v>0</v>
      </c>
      <c r="J368" s="269">
        <f ca="1">IFERROR(__xludf.DUMMYFUNCTION("IMPORTRANGE(""https://docs.google.com/spreadsheets/d/1XWAQStnk-4SwqDmLtmXYiTMKHgktTP8We1SCoS47DrQ/edit?usp=sharing"",""จัดที่ดิน!E63"")"),0)</f>
        <v>0</v>
      </c>
      <c r="K368" s="496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69">
        <f ca="1">IFERROR(__xludf.DUMMYFUNCTION("IMPORTRANGE(""https://docs.google.com/spreadsheets/d/1QqKyyYR6Q21VydFLVH3TRQUabQu_ym0Zz7PgGX0-kHA/edit?usp=sharing"",""แผน!EI63"")"),200)</f>
        <v>200</v>
      </c>
      <c r="J369" s="269">
        <f ca="1">IFERROR(__xludf.DUMMYFUNCTION("IMPORTRANGE(""https://docs.google.com/spreadsheets/d/1XWAQStnk-4SwqDmLtmXYiTMKHgktTP8We1SCoS47DrQ/edit?usp=sharing"",""จัดที่ดิน!F63"")"),0)</f>
        <v>0</v>
      </c>
      <c r="K369" s="496">
        <f t="shared" ca="1" si="163"/>
        <v>0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55" t="s">
        <v>35</v>
      </c>
      <c r="I370" s="269">
        <f ca="1">IFERROR(__xludf.DUMMYFUNCTION("IMPORTRANGE(""https://docs.google.com/spreadsheets/d/1QqKyyYR6Q21VydFLVH3TRQUabQu_ym0Zz7PgGX0-kHA/edit?usp=sharing"",""แผน!EJ63"")"),16)</f>
        <v>16</v>
      </c>
      <c r="J370" s="269">
        <f ca="1">IFERROR(__xludf.DUMMYFUNCTION("IMPORTRANGE(""https://docs.google.com/spreadsheets/d/1XWAQStnk-4SwqDmLtmXYiTMKHgktTP8We1SCoS47DrQ/edit?usp=sharing"",""จัดที่ดิน!G63"")"),0)</f>
        <v>0</v>
      </c>
      <c r="K370" s="496">
        <f t="shared" ca="1" si="163"/>
        <v>0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55" t="s">
        <v>46</v>
      </c>
      <c r="I371" s="269">
        <v>0</v>
      </c>
      <c r="J371" s="269">
        <f ca="1">IFERROR(__xludf.DUMMYFUNCTION("IMPORTRANGE(""https://docs.google.com/spreadsheets/d/1XWAQStnk-4SwqDmLtmXYiTMKHgktTP8We1SCoS47DrQ/edit?usp=sharing"",""จัดที่ดิน!H63"")"),0)</f>
        <v>0</v>
      </c>
      <c r="K371" s="496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55" t="s">
        <v>35</v>
      </c>
      <c r="I372" s="269">
        <f ca="1">IFERROR(__xludf.DUMMYFUNCTION("IMPORTRANGE(""https://docs.google.com/spreadsheets/d/1QqKyyYR6Q21VydFLVH3TRQUabQu_ym0Zz7PgGX0-kHA/edit?usp=sharing"",""แผน!EJ63"")"),16)</f>
        <v>16</v>
      </c>
      <c r="J372" s="269">
        <f ca="1">IFERROR(__xludf.DUMMYFUNCTION("IMPORTRANGE(""https://docs.google.com/spreadsheets/d/1XWAQStnk-4SwqDmLtmXYiTMKHgktTP8We1SCoS47DrQ/edit?usp=sharing"",""จัดที่ดิน!I63"")"),0)</f>
        <v>0</v>
      </c>
      <c r="K372" s="496">
        <f t="shared" ca="1" si="163"/>
        <v>0</v>
      </c>
      <c r="L372" s="163"/>
      <c r="M372" s="163"/>
      <c r="N372" s="163"/>
      <c r="O372" s="163"/>
      <c r="P372" s="163"/>
    </row>
    <row r="373" spans="1:26" ht="18.75">
      <c r="A373" s="469" t="s">
        <v>164</v>
      </c>
      <c r="B373" s="178"/>
      <c r="C373" s="171"/>
      <c r="D373" s="178"/>
      <c r="E373" s="446"/>
      <c r="F373" s="178"/>
      <c r="G373" s="179"/>
      <c r="H373" s="755" t="s">
        <v>46</v>
      </c>
      <c r="I373" s="269">
        <v>0</v>
      </c>
      <c r="J373" s="269">
        <f ca="1">IFERROR(__xludf.DUMMYFUNCTION("IMPORTRANGE(""https://docs.google.com/spreadsheets/d/1XWAQStnk-4SwqDmLtmXYiTMKHgktTP8We1SCoS47DrQ/edit?usp=sharing"",""จัดที่ดิน!J63"")"),0)</f>
        <v>0</v>
      </c>
      <c r="K373" s="496">
        <f t="shared" si="163"/>
        <v>0</v>
      </c>
      <c r="L373" s="163"/>
      <c r="M373" s="163"/>
      <c r="N373" s="163"/>
      <c r="O373" s="163"/>
      <c r="P373" s="163"/>
    </row>
    <row r="374" spans="1:26" ht="19.5">
      <c r="A374" s="481"/>
      <c r="B374" s="482"/>
      <c r="C374" s="484"/>
      <c r="D374" s="484" t="s">
        <v>168</v>
      </c>
      <c r="E374" s="485"/>
      <c r="F374" s="485"/>
      <c r="G374" s="486"/>
      <c r="H374" s="487" t="s">
        <v>35</v>
      </c>
      <c r="I374" s="495">
        <f ca="1">IFERROR(__xludf.DUMMYFUNCTION("IMPORTRANGE(""https://docs.google.com/spreadsheets/d/1QqKyyYR6Q21VydFLVH3TRQUabQu_ym0Zz7PgGX0-kHA/edit?usp=sharing"",""แผน!EU63"")"),64)</f>
        <v>64</v>
      </c>
      <c r="J374" s="489">
        <f ca="1">J381</f>
        <v>0</v>
      </c>
      <c r="K374" s="490">
        <f t="shared" ca="1" si="163"/>
        <v>0</v>
      </c>
      <c r="L374" s="491"/>
      <c r="M374" s="491"/>
      <c r="N374" s="491"/>
      <c r="O374" s="491"/>
      <c r="P374" s="491"/>
      <c r="Q374" s="480"/>
      <c r="R374" s="480"/>
      <c r="S374" s="480"/>
      <c r="T374" s="480"/>
      <c r="U374" s="480"/>
      <c r="V374" s="480"/>
      <c r="W374" s="480"/>
      <c r="X374" s="480"/>
      <c r="Y374" s="480"/>
      <c r="Z374" s="480"/>
    </row>
    <row r="375" spans="1:26" ht="19.5">
      <c r="A375" s="481"/>
      <c r="B375" s="482"/>
      <c r="C375" s="484"/>
      <c r="D375" s="492" t="s">
        <v>169</v>
      </c>
      <c r="E375" s="485"/>
      <c r="F375" s="485"/>
      <c r="G375" s="486"/>
      <c r="H375" s="493"/>
      <c r="I375" s="494"/>
      <c r="J375" s="494"/>
      <c r="K375" s="491"/>
      <c r="L375" s="491"/>
      <c r="M375" s="491"/>
      <c r="N375" s="491"/>
      <c r="O375" s="491"/>
      <c r="P375" s="491"/>
      <c r="Q375" s="480"/>
      <c r="R375" s="480"/>
      <c r="S375" s="480"/>
      <c r="T375" s="480"/>
      <c r="U375" s="480"/>
      <c r="V375" s="480"/>
      <c r="W375" s="480"/>
      <c r="X375" s="480"/>
      <c r="Y375" s="480"/>
      <c r="Z375" s="480"/>
    </row>
    <row r="376" spans="1:26" ht="19.5">
      <c r="A376" s="170"/>
      <c r="B376" s="171"/>
      <c r="C376" s="164" t="s">
        <v>16</v>
      </c>
      <c r="D376" s="823" t="s">
        <v>38</v>
      </c>
      <c r="E376" s="173"/>
      <c r="F376" s="173"/>
      <c r="G376" s="174"/>
      <c r="H376" s="753"/>
      <c r="I376" s="269"/>
      <c r="J376" s="269"/>
      <c r="K376" s="496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69">
        <v>0</v>
      </c>
      <c r="J377" s="269">
        <f ca="1">IFERROR(__xludf.DUMMYFUNCTION("IMPORTRANGE(""https://docs.google.com/spreadsheets/d/1XWAQStnk-4SwqDmLtmXYiTMKHgktTP8We1SCoS47DrQ/edit?usp=sharing"",""จัดที่ดิน!AH63"")"),0)</f>
        <v>0</v>
      </c>
      <c r="K377" s="496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69">
        <f ca="1">IFERROR(__xludf.DUMMYFUNCTION("IMPORTRANGE(""https://docs.google.com/spreadsheets/d/1QqKyyYR6Q21VydFLVH3TRQUabQu_ym0Zz7PgGX0-kHA/edit?usp=sharing"",""แผน!ET63"")"),300)</f>
        <v>300</v>
      </c>
      <c r="J378" s="269">
        <f ca="1">IFERROR(__xludf.DUMMYFUNCTION("IMPORTRANGE(""https://docs.google.com/spreadsheets/d/1XWAQStnk-4SwqDmLtmXYiTMKHgktTP8We1SCoS47DrQ/edit?usp=sharing"",""จัดที่ดิน!AI63"")"),0)</f>
        <v>0</v>
      </c>
      <c r="K378" s="496">
        <f t="shared" ca="1" si="164"/>
        <v>0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55" t="s">
        <v>35</v>
      </c>
      <c r="I379" s="269">
        <f ca="1">IFERROR(__xludf.DUMMYFUNCTION("IMPORTRANGE(""https://docs.google.com/spreadsheets/d/1QqKyyYR6Q21VydFLVH3TRQUabQu_ym0Zz7PgGX0-kHA/edit?usp=sharing"",""แผน!EU63"")"),64)</f>
        <v>64</v>
      </c>
      <c r="J379" s="269">
        <f ca="1">IFERROR(__xludf.DUMMYFUNCTION("IMPORTRANGE(""https://docs.google.com/spreadsheets/d/1XWAQStnk-4SwqDmLtmXYiTMKHgktTP8We1SCoS47DrQ/edit?usp=sharing"",""จัดที่ดิน!AJ63"")"),0)</f>
        <v>0</v>
      </c>
      <c r="K379" s="496">
        <f t="shared" ca="1" si="164"/>
        <v>0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55" t="s">
        <v>46</v>
      </c>
      <c r="I380" s="269">
        <v>0</v>
      </c>
      <c r="J380" s="269">
        <f ca="1">IFERROR(__xludf.DUMMYFUNCTION("IMPORTRANGE(""https://docs.google.com/spreadsheets/d/1XWAQStnk-4SwqDmLtmXYiTMKHgktTP8We1SCoS47DrQ/edit?usp=sharing"",""จัดที่ดิน!AK63"")"),0)</f>
        <v>0</v>
      </c>
      <c r="K380" s="496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55" t="s">
        <v>35</v>
      </c>
      <c r="I381" s="269">
        <f ca="1">IFERROR(__xludf.DUMMYFUNCTION("IMPORTRANGE(""https://docs.google.com/spreadsheets/d/1QqKyyYR6Q21VydFLVH3TRQUabQu_ym0Zz7PgGX0-kHA/edit?usp=sharing"",""แผน!EU63"")"),64)</f>
        <v>64</v>
      </c>
      <c r="J381" s="269">
        <f ca="1">IFERROR(__xludf.DUMMYFUNCTION("IMPORTRANGE(""https://docs.google.com/spreadsheets/d/1XWAQStnk-4SwqDmLtmXYiTMKHgktTP8We1SCoS47DrQ/edit?usp=sharing"",""จัดที่ดิน!AL63"")"),0)</f>
        <v>0</v>
      </c>
      <c r="K381" s="496">
        <f t="shared" ca="1" si="164"/>
        <v>0</v>
      </c>
      <c r="L381" s="163"/>
      <c r="M381" s="163"/>
      <c r="N381" s="163"/>
      <c r="O381" s="163"/>
      <c r="P381" s="163"/>
    </row>
    <row r="382" spans="1:26" ht="18.75">
      <c r="A382" s="469" t="s">
        <v>164</v>
      </c>
      <c r="B382" s="178"/>
      <c r="C382" s="171"/>
      <c r="D382" s="178"/>
      <c r="E382" s="446"/>
      <c r="F382" s="178"/>
      <c r="G382" s="179"/>
      <c r="H382" s="755" t="s">
        <v>46</v>
      </c>
      <c r="I382" s="269">
        <v>0</v>
      </c>
      <c r="J382" s="269">
        <f ca="1">IFERROR(__xludf.DUMMYFUNCTION("IMPORTRANGE(""https://docs.google.com/spreadsheets/d/1XWAQStnk-4SwqDmLtmXYiTMKHgktTP8We1SCoS47DrQ/edit?usp=sharing"",""จัดที่ดิน!AM63"")"),0)</f>
        <v>0</v>
      </c>
      <c r="K382" s="496">
        <f t="shared" si="164"/>
        <v>0</v>
      </c>
      <c r="L382" s="163"/>
      <c r="M382" s="163"/>
      <c r="N382" s="163"/>
      <c r="O382" s="163"/>
      <c r="P382" s="163"/>
    </row>
    <row r="383" spans="1:26" ht="19.5">
      <c r="A383" s="255"/>
      <c r="B383" s="263"/>
      <c r="C383" s="256"/>
      <c r="D383" s="832" t="s">
        <v>170</v>
      </c>
      <c r="E383" s="256"/>
      <c r="F383" s="256"/>
      <c r="G383" s="258"/>
      <c r="H383" s="454"/>
      <c r="I383" s="260"/>
      <c r="J383" s="260"/>
      <c r="K383" s="261"/>
      <c r="L383" s="261"/>
      <c r="M383" s="261"/>
      <c r="N383" s="261"/>
      <c r="O383" s="261"/>
      <c r="P383" s="261"/>
    </row>
    <row r="384" spans="1:26" ht="19.5">
      <c r="A384" s="170"/>
      <c r="B384" s="171"/>
      <c r="C384" s="33" t="s">
        <v>16</v>
      </c>
      <c r="D384" s="823" t="s">
        <v>38</v>
      </c>
      <c r="E384" s="173"/>
      <c r="F384" s="173"/>
      <c r="G384" s="174"/>
      <c r="H384" s="753"/>
      <c r="I384" s="269"/>
      <c r="J384" s="269"/>
      <c r="K384" s="496"/>
      <c r="L384" s="163"/>
      <c r="M384" s="163"/>
      <c r="N384" s="163"/>
      <c r="O384" s="163"/>
      <c r="P384" s="163"/>
    </row>
    <row r="385" spans="1:26" ht="18.75">
      <c r="A385" s="377"/>
      <c r="B385" s="380"/>
      <c r="C385" s="378"/>
      <c r="D385" s="380"/>
      <c r="E385" s="497" t="s">
        <v>163</v>
      </c>
      <c r="F385" s="380"/>
      <c r="G385" s="381"/>
      <c r="H385" s="498" t="s">
        <v>35</v>
      </c>
      <c r="I385" s="499">
        <f ca="1">IFERROR(__xludf.DUMMYFUNCTION("IMPORTRANGE(""https://docs.google.com/spreadsheets/d/1QqKyyYR6Q21VydFLVH3TRQUabQu_ym0Zz7PgGX0-kHA/edit?usp=sharing"",""แผน!EW63"")"),5)</f>
        <v>5</v>
      </c>
      <c r="J385" s="499">
        <f ca="1">IFERROR(__xludf.DUMMYFUNCTION("IMPORTRANGE(""https://docs.google.com/spreadsheets/d/1XWAQStnk-4SwqDmLtmXYiTMKHgktTP8We1SCoS47DrQ/edit?usp=sharing"",""จัดที่ดิน!AP63"")"),0)</f>
        <v>0</v>
      </c>
      <c r="K385" s="500">
        <f ca="1">IF(I385&gt;0,J385*100/I385,0)</f>
        <v>0</v>
      </c>
      <c r="L385" s="384"/>
      <c r="M385" s="384"/>
      <c r="N385" s="384"/>
      <c r="O385" s="384"/>
      <c r="P385" s="384"/>
    </row>
    <row r="386" spans="1:26" ht="19.5" hidden="1">
      <c r="A386" s="501" t="s">
        <v>171</v>
      </c>
      <c r="B386" s="502"/>
      <c r="C386" s="502"/>
      <c r="D386" s="502"/>
      <c r="E386" s="503"/>
      <c r="F386" s="503"/>
      <c r="G386" s="504"/>
      <c r="H386" s="505"/>
      <c r="I386" s="506"/>
      <c r="J386" s="506"/>
      <c r="K386" s="507"/>
      <c r="L386" s="507"/>
      <c r="M386" s="507"/>
      <c r="N386" s="507"/>
      <c r="O386" s="507"/>
      <c r="P386" s="507"/>
    </row>
    <row r="387" spans="1:26" ht="19.5" hidden="1">
      <c r="A387" s="508" t="s">
        <v>172</v>
      </c>
      <c r="B387" s="509"/>
      <c r="C387" s="509"/>
      <c r="D387" s="510"/>
      <c r="E387" s="509"/>
      <c r="F387" s="509"/>
      <c r="G387" s="509"/>
      <c r="H387" s="511"/>
      <c r="I387" s="512"/>
      <c r="J387" s="512"/>
      <c r="K387" s="513"/>
      <c r="L387" s="513"/>
      <c r="M387" s="513"/>
      <c r="N387" s="513"/>
      <c r="O387" s="513"/>
      <c r="P387" s="513"/>
    </row>
    <row r="388" spans="1:26" ht="19.5" hidden="1">
      <c r="A388" s="514"/>
      <c r="B388" s="515" t="s">
        <v>173</v>
      </c>
      <c r="C388" s="516"/>
      <c r="D388" s="517"/>
      <c r="E388" s="517"/>
      <c r="F388" s="517"/>
      <c r="G388" s="518"/>
      <c r="H388" s="519" t="s">
        <v>69</v>
      </c>
      <c r="I388" s="520">
        <f t="shared" ref="I388:J388" si="165">I400</f>
        <v>0</v>
      </c>
      <c r="J388" s="520">
        <f t="shared" si="165"/>
        <v>0</v>
      </c>
      <c r="K388" s="521">
        <f>IF(I388&gt;0,J388*100/I388,0)</f>
        <v>0</v>
      </c>
      <c r="L388" s="522"/>
      <c r="M388" s="522"/>
      <c r="N388" s="522"/>
      <c r="O388" s="522"/>
      <c r="P388" s="522"/>
    </row>
    <row r="389" spans="1:26" ht="19.5" hidden="1">
      <c r="A389" s="147"/>
      <c r="B389" s="148"/>
      <c r="C389" s="149" t="s">
        <v>16</v>
      </c>
      <c r="D389" s="822" t="s">
        <v>17</v>
      </c>
      <c r="E389" s="148"/>
      <c r="F389" s="148"/>
      <c r="G389" s="151"/>
      <c r="H389" s="152" t="s">
        <v>12</v>
      </c>
      <c r="I389" s="419"/>
      <c r="J389" s="419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2" t="s">
        <v>18</v>
      </c>
      <c r="F390" s="40"/>
      <c r="G390" s="157"/>
      <c r="H390" s="158" t="s">
        <v>12</v>
      </c>
      <c r="I390" s="610"/>
      <c r="J390" s="610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2" t="s">
        <v>19</v>
      </c>
      <c r="F391" s="40"/>
      <c r="G391" s="157"/>
      <c r="H391" s="158" t="s">
        <v>12</v>
      </c>
      <c r="I391" s="610"/>
      <c r="J391" s="610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1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6">
        <f t="shared" ref="L392:N392" ca="1" si="170">L393+L394</f>
        <v>0</v>
      </c>
      <c r="M392" s="496">
        <f t="shared" ca="1" si="170"/>
        <v>0</v>
      </c>
      <c r="N392" s="496">
        <f t="shared" ca="1" si="170"/>
        <v>0</v>
      </c>
      <c r="O392" s="496">
        <f t="shared" ca="1" si="167"/>
        <v>0</v>
      </c>
      <c r="P392" s="496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2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2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IFERROR(__xludf.DUMMYFUNCTION("IMPORTRANGE(""https://docs.google.com/spreadsheets/d/1MeEWN-I1oV_STSDYn1IFDPWt_1FKiwhDph83XaGc0o0/edit?usp=sharing"",""งบพรบ!FG63"")"),0)</f>
        <v>0</v>
      </c>
      <c r="M394" s="93">
        <f ca="1">IFERROR(__xludf.DUMMYFUNCTION("IMPORTRANGE(""https://docs.google.com/spreadsheets/d/1MeEWN-I1oV_STSDYn1IFDPWt_1FKiwhDph83XaGc0o0/edit?usp=sharing"",""งบพรบ!FL63"")"),0)</f>
        <v>0</v>
      </c>
      <c r="N394" s="93">
        <f ca="1">IFERROR(__xludf.DUMMYFUNCTION("IMPORTRANGE(""https://docs.google.com/spreadsheets/d/1MeEWN-I1oV_STSDYn1IFDPWt_1FKiwhDph83XaGc0o0/edit?usp=sharing"",""งบพรบ!FN63"")"),0)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1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6">
        <f t="shared" ref="L395:N395" ca="1" si="171">L396+L397</f>
        <v>0</v>
      </c>
      <c r="M395" s="496">
        <f t="shared" ca="1" si="171"/>
        <v>0</v>
      </c>
      <c r="N395" s="496">
        <f t="shared" ca="1" si="171"/>
        <v>0</v>
      </c>
      <c r="O395" s="496">
        <f t="shared" ca="1" si="167"/>
        <v>0</v>
      </c>
      <c r="P395" s="496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2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2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IFERROR(__xludf.DUMMYFUNCTION("IMPORTRANGE(""https://docs.google.com/spreadsheets/d/1MeEWN-I1oV_STSDYn1IFDPWt_1FKiwhDph83XaGc0o0/edit?usp=sharing"",""งบพรบ!FJ63"")"),0)</f>
        <v>0</v>
      </c>
      <c r="M397" s="93">
        <f ca="1">IFERROR(__xludf.DUMMYFUNCTION("IMPORTRANGE(""https://docs.google.com/spreadsheets/d/1MeEWN-I1oV_STSDYn1IFDPWt_1FKiwhDph83XaGc0o0/edit?usp=sharing"",""งบพรบ!FM63"")"),0)</f>
        <v>0</v>
      </c>
      <c r="N397" s="93">
        <f ca="1">IFERROR(__xludf.DUMMYFUNCTION("IMPORTRANGE(""https://docs.google.com/spreadsheets/d/1MeEWN-I1oV_STSDYn1IFDPWt_1FKiwhDph83XaGc0o0/edit?usp=sharing"",""งบพรบ!FO63"")"),0)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23" t="s">
        <v>38</v>
      </c>
      <c r="E398" s="173"/>
      <c r="F398" s="173"/>
      <c r="G398" s="174"/>
      <c r="H398" s="753"/>
      <c r="I398" s="184"/>
      <c r="J398" s="269"/>
      <c r="K398" s="496"/>
      <c r="L398" s="496"/>
      <c r="M398" s="496"/>
      <c r="N398" s="496"/>
      <c r="O398" s="163"/>
      <c r="P398" s="163"/>
    </row>
    <row r="399" spans="1:26" ht="18.75" hidden="1">
      <c r="A399" s="523"/>
      <c r="B399" s="148"/>
      <c r="C399" s="524"/>
      <c r="D399" s="525" t="s">
        <v>174</v>
      </c>
      <c r="E399" s="414"/>
      <c r="F399" s="148"/>
      <c r="G399" s="151"/>
      <c r="H399" s="526" t="s">
        <v>9</v>
      </c>
      <c r="I399" s="269">
        <v>0</v>
      </c>
      <c r="J399" s="214">
        <v>0</v>
      </c>
      <c r="K399" s="496">
        <f t="shared" ref="K399:K401" si="172">IF(I399&gt;0,J399*100/I399,0)</f>
        <v>0</v>
      </c>
      <c r="L399" s="527"/>
      <c r="M399" s="527"/>
      <c r="N399" s="527"/>
      <c r="O399" s="527"/>
      <c r="P399" s="527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4"/>
      <c r="B400" s="33"/>
      <c r="C400" s="280"/>
      <c r="D400" s="446" t="s">
        <v>175</v>
      </c>
      <c r="E400" s="171"/>
      <c r="F400" s="33"/>
      <c r="G400" s="35"/>
      <c r="H400" s="276" t="s">
        <v>69</v>
      </c>
      <c r="I400" s="269">
        <v>0</v>
      </c>
      <c r="J400" s="214">
        <v>0</v>
      </c>
      <c r="K400" s="496">
        <f t="shared" si="172"/>
        <v>0</v>
      </c>
      <c r="L400" s="496"/>
      <c r="M400" s="496"/>
      <c r="N400" s="496"/>
      <c r="O400" s="496"/>
      <c r="P400" s="496"/>
    </row>
    <row r="401" spans="1:26" ht="19.5" hidden="1">
      <c r="A401" s="514"/>
      <c r="B401" s="515" t="s">
        <v>176</v>
      </c>
      <c r="C401" s="516"/>
      <c r="D401" s="517"/>
      <c r="E401" s="517"/>
      <c r="F401" s="517"/>
      <c r="G401" s="518"/>
      <c r="H401" s="519" t="s">
        <v>69</v>
      </c>
      <c r="I401" s="520">
        <f t="shared" ref="I401:J401" si="173">I412</f>
        <v>0</v>
      </c>
      <c r="J401" s="520">
        <f t="shared" si="173"/>
        <v>0</v>
      </c>
      <c r="K401" s="521">
        <f t="shared" si="172"/>
        <v>0</v>
      </c>
      <c r="L401" s="522"/>
      <c r="M401" s="522"/>
      <c r="N401" s="522"/>
      <c r="O401" s="522"/>
      <c r="P401" s="522"/>
    </row>
    <row r="402" spans="1:26" ht="19.5" hidden="1">
      <c r="A402" s="147"/>
      <c r="B402" s="148"/>
      <c r="C402" s="149" t="s">
        <v>16</v>
      </c>
      <c r="D402" s="822" t="s">
        <v>17</v>
      </c>
      <c r="E402" s="148"/>
      <c r="F402" s="148"/>
      <c r="G402" s="151"/>
      <c r="H402" s="152" t="s">
        <v>12</v>
      </c>
      <c r="I402" s="419"/>
      <c r="J402" s="419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2" t="s">
        <v>18</v>
      </c>
      <c r="F403" s="40"/>
      <c r="G403" s="157"/>
      <c r="H403" s="158" t="s">
        <v>12</v>
      </c>
      <c r="I403" s="610"/>
      <c r="J403" s="610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2" t="s">
        <v>19</v>
      </c>
      <c r="F404" s="40"/>
      <c r="G404" s="157"/>
      <c r="H404" s="158" t="s">
        <v>12</v>
      </c>
      <c r="I404" s="610"/>
      <c r="J404" s="610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1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6">
        <f t="shared" ref="L405:N405" ca="1" si="178">L406+L407</f>
        <v>0</v>
      </c>
      <c r="M405" s="496">
        <f t="shared" ca="1" si="178"/>
        <v>0</v>
      </c>
      <c r="N405" s="496">
        <f t="shared" ca="1" si="178"/>
        <v>0</v>
      </c>
      <c r="O405" s="496">
        <f t="shared" ca="1" si="175"/>
        <v>0</v>
      </c>
      <c r="P405" s="496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2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2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IFERROR(__xludf.DUMMYFUNCTION("IMPORTRANGE(""https://docs.google.com/spreadsheets/d/1MeEWN-I1oV_STSDYn1IFDPWt_1FKiwhDph83XaGc0o0/edit?usp=sharing"",""งบพรบ!FQ63"")"),0)</f>
        <v>0</v>
      </c>
      <c r="M407" s="93">
        <f ca="1">IFERROR(__xludf.DUMMYFUNCTION("IMPORTRANGE(""https://docs.google.com/spreadsheets/d/1MeEWN-I1oV_STSDYn1IFDPWt_1FKiwhDph83XaGc0o0/edit?usp=sharing"",""งบพรบ!FV63"")"),0)</f>
        <v>0</v>
      </c>
      <c r="N407" s="93">
        <f ca="1">IFERROR(__xludf.DUMMYFUNCTION("IMPORTRANGE(""https://docs.google.com/spreadsheets/d/1MeEWN-I1oV_STSDYn1IFDPWt_1FKiwhDph83XaGc0o0/edit?usp=sharing"",""งบพรบ!FX63"")"),0)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1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6">
        <f t="shared" ref="L408:N408" ca="1" si="179">L409+L410</f>
        <v>0</v>
      </c>
      <c r="M408" s="496">
        <f t="shared" ca="1" si="179"/>
        <v>0</v>
      </c>
      <c r="N408" s="496">
        <f t="shared" ca="1" si="179"/>
        <v>0</v>
      </c>
      <c r="O408" s="496">
        <f t="shared" ca="1" si="175"/>
        <v>0</v>
      </c>
      <c r="P408" s="496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2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2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IFERROR(__xludf.DUMMYFUNCTION("IMPORTRANGE(""https://docs.google.com/spreadsheets/d/1MeEWN-I1oV_STSDYn1IFDPWt_1FKiwhDph83XaGc0o0/edit?usp=sharing"",""งบพรบ!FT63"")"),0)</f>
        <v>0</v>
      </c>
      <c r="M410" s="93">
        <f ca="1">IFERROR(__xludf.DUMMYFUNCTION("IMPORTRANGE(""https://docs.google.com/spreadsheets/d/1MeEWN-I1oV_STSDYn1IFDPWt_1FKiwhDph83XaGc0o0/edit?usp=sharing"",""งบพรบ!FW63"")"),0)</f>
        <v>0</v>
      </c>
      <c r="N410" s="93">
        <f ca="1">IFERROR(__xludf.DUMMYFUNCTION("IMPORTRANGE(""https://docs.google.com/spreadsheets/d/1MeEWN-I1oV_STSDYn1IFDPWt_1FKiwhDph83XaGc0o0/edit?usp=sharing"",""งบพรบ!FY63"")"),0)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34" t="s">
        <v>38</v>
      </c>
      <c r="E411" s="529"/>
      <c r="F411" s="529"/>
      <c r="G411" s="530"/>
      <c r="H411" s="753"/>
      <c r="I411" s="269"/>
      <c r="J411" s="269"/>
      <c r="K411" s="496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6" t="s">
        <v>177</v>
      </c>
      <c r="E412" s="178"/>
      <c r="F412" s="178"/>
      <c r="G412" s="179"/>
      <c r="H412" s="531" t="s">
        <v>69</v>
      </c>
      <c r="I412" s="269">
        <v>0</v>
      </c>
      <c r="J412" s="214">
        <v>0</v>
      </c>
      <c r="K412" s="496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2"/>
      <c r="B413" s="533"/>
      <c r="C413" s="533"/>
      <c r="D413" s="534" t="s">
        <v>178</v>
      </c>
      <c r="E413" s="533"/>
      <c r="F413" s="533"/>
      <c r="G413" s="535"/>
      <c r="H413" s="536" t="s">
        <v>179</v>
      </c>
      <c r="I413" s="537">
        <v>0</v>
      </c>
      <c r="J413" s="538">
        <v>0</v>
      </c>
      <c r="K413" s="539">
        <f t="shared" si="180"/>
        <v>0</v>
      </c>
      <c r="L413" s="540"/>
      <c r="M413" s="540"/>
      <c r="N413" s="540"/>
      <c r="O413" s="540"/>
      <c r="P413" s="540"/>
    </row>
    <row r="414" spans="1:26" ht="19.5">
      <c r="A414" s="541" t="s">
        <v>180</v>
      </c>
      <c r="B414" s="542"/>
      <c r="C414" s="542"/>
      <c r="D414" s="542"/>
      <c r="E414" s="542"/>
      <c r="F414" s="542"/>
      <c r="G414" s="543"/>
      <c r="H414" s="544"/>
      <c r="I414" s="545"/>
      <c r="J414" s="545"/>
      <c r="K414" s="546"/>
      <c r="L414" s="547">
        <f t="shared" ref="L414:N414" ca="1" si="181">L419+L444+L467+L502+L523+L544+L629+L655+L685+L737+L754+L770+L786+L805</f>
        <v>723543</v>
      </c>
      <c r="M414" s="547">
        <f t="shared" si="181"/>
        <v>0</v>
      </c>
      <c r="N414" s="547">
        <f t="shared" si="181"/>
        <v>50180</v>
      </c>
      <c r="O414" s="547">
        <f ca="1">IF(L414&gt;0,N414*100/L414,0)</f>
        <v>6.9353169058369719</v>
      </c>
      <c r="P414" s="547">
        <f>IF(M414&gt;0,N414*100/M414,0)</f>
        <v>0</v>
      </c>
    </row>
    <row r="415" spans="1:26" ht="19.5">
      <c r="A415" s="548" t="s">
        <v>181</v>
      </c>
      <c r="B415" s="549"/>
      <c r="C415" s="549"/>
      <c r="D415" s="549"/>
      <c r="E415" s="549"/>
      <c r="F415" s="549"/>
      <c r="G415" s="549"/>
      <c r="H415" s="550"/>
      <c r="I415" s="551"/>
      <c r="J415" s="551"/>
      <c r="K415" s="552"/>
      <c r="L415" s="553"/>
      <c r="M415" s="553"/>
      <c r="N415" s="553"/>
      <c r="O415" s="553"/>
      <c r="P415" s="553"/>
    </row>
    <row r="416" spans="1:26" ht="19.5">
      <c r="A416" s="548" t="s">
        <v>182</v>
      </c>
      <c r="B416" s="549"/>
      <c r="C416" s="549"/>
      <c r="D416" s="549"/>
      <c r="E416" s="549"/>
      <c r="F416" s="549"/>
      <c r="G416" s="554"/>
      <c r="H416" s="555"/>
      <c r="I416" s="556"/>
      <c r="J416" s="556"/>
      <c r="K416" s="553"/>
      <c r="L416" s="553"/>
      <c r="M416" s="553"/>
      <c r="N416" s="553"/>
      <c r="O416" s="553"/>
      <c r="P416" s="553"/>
    </row>
    <row r="417" spans="1:26" ht="39">
      <c r="A417" s="557">
        <v>1</v>
      </c>
      <c r="B417" s="559" t="s">
        <v>183</v>
      </c>
      <c r="C417" s="559"/>
      <c r="D417" s="560"/>
      <c r="E417" s="560"/>
      <c r="F417" s="560"/>
      <c r="G417" s="561"/>
      <c r="H417" s="562" t="s">
        <v>35</v>
      </c>
      <c r="I417" s="563">
        <f t="shared" ref="I417:J418" ca="1" si="182">I433</f>
        <v>15</v>
      </c>
      <c r="J417" s="563">
        <f t="shared" ca="1" si="182"/>
        <v>15</v>
      </c>
      <c r="K417" s="564">
        <f t="shared" ref="K417:K418" ca="1" si="183">IF(I417&gt;0,J417*100/I417,0)</f>
        <v>100</v>
      </c>
      <c r="L417" s="565"/>
      <c r="M417" s="565"/>
      <c r="N417" s="565"/>
      <c r="O417" s="565"/>
      <c r="P417" s="565"/>
    </row>
    <row r="418" spans="1:26" ht="19.5">
      <c r="A418" s="566"/>
      <c r="B418" s="557"/>
      <c r="C418" s="559"/>
      <c r="D418" s="560"/>
      <c r="E418" s="560"/>
      <c r="F418" s="560"/>
      <c r="G418" s="561"/>
      <c r="H418" s="562" t="s">
        <v>49</v>
      </c>
      <c r="I418" s="563">
        <f t="shared" ca="1" si="182"/>
        <v>1</v>
      </c>
      <c r="J418" s="563">
        <f t="shared" si="182"/>
        <v>1</v>
      </c>
      <c r="K418" s="564">
        <f t="shared" ca="1" si="183"/>
        <v>100</v>
      </c>
      <c r="L418" s="565"/>
      <c r="M418" s="565"/>
      <c r="N418" s="565"/>
      <c r="O418" s="565"/>
      <c r="P418" s="565"/>
    </row>
    <row r="419" spans="1:26" ht="19.5">
      <c r="A419" s="147"/>
      <c r="B419" s="148"/>
      <c r="C419" s="148" t="s">
        <v>16</v>
      </c>
      <c r="D419" s="868" t="s">
        <v>17</v>
      </c>
      <c r="E419" s="862"/>
      <c r="F419" s="862"/>
      <c r="G419" s="151"/>
      <c r="H419" s="274" t="s">
        <v>12</v>
      </c>
      <c r="I419" s="419"/>
      <c r="J419" s="419"/>
      <c r="K419" s="154"/>
      <c r="L419" s="155">
        <f t="shared" ref="L419:N419" ca="1" si="184">L420+L421</f>
        <v>66560</v>
      </c>
      <c r="M419" s="155">
        <f t="shared" si="184"/>
        <v>0</v>
      </c>
      <c r="N419" s="155">
        <f t="shared" si="184"/>
        <v>47180</v>
      </c>
      <c r="O419" s="155">
        <f t="shared" ref="O419:O424" ca="1" si="185">IF(L419&gt;0,N419*100/L419,0)</f>
        <v>70.883413461538467</v>
      </c>
      <c r="P419" s="155">
        <f t="shared" ref="P419:P424" si="186">IF(M419&gt;0,N419*100/M419,0)</f>
        <v>0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2"/>
      <c r="E420" s="222" t="s">
        <v>184</v>
      </c>
      <c r="F420" s="40"/>
      <c r="G420" s="157"/>
      <c r="H420" s="165" t="s">
        <v>12</v>
      </c>
      <c r="I420" s="610"/>
      <c r="J420" s="610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2"/>
      <c r="E421" s="222" t="s">
        <v>185</v>
      </c>
      <c r="F421" s="40"/>
      <c r="G421" s="157"/>
      <c r="H421" s="165" t="s">
        <v>12</v>
      </c>
      <c r="I421" s="610"/>
      <c r="J421" s="610"/>
      <c r="K421" s="93"/>
      <c r="L421" s="93">
        <f t="shared" ca="1" si="187"/>
        <v>66560</v>
      </c>
      <c r="M421" s="93">
        <f t="shared" si="187"/>
        <v>0</v>
      </c>
      <c r="N421" s="93">
        <f t="shared" si="187"/>
        <v>47180</v>
      </c>
      <c r="O421" s="93">
        <f t="shared" ca="1" si="185"/>
        <v>70.883413461538467</v>
      </c>
      <c r="P421" s="93">
        <f t="shared" si="186"/>
        <v>0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0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6">
        <f t="shared" ref="L422:N422" ca="1" si="188">L423+L424</f>
        <v>66560</v>
      </c>
      <c r="M422" s="496">
        <f t="shared" si="188"/>
        <v>0</v>
      </c>
      <c r="N422" s="496">
        <f t="shared" si="188"/>
        <v>47180</v>
      </c>
      <c r="O422" s="496">
        <f t="shared" ca="1" si="185"/>
        <v>70.883413461538467</v>
      </c>
      <c r="P422" s="496">
        <f t="shared" si="186"/>
        <v>0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2"/>
      <c r="E423" s="222" t="s">
        <v>184</v>
      </c>
      <c r="F423" s="40"/>
      <c r="G423" s="157"/>
      <c r="H423" s="165" t="s">
        <v>12</v>
      </c>
      <c r="I423" s="610"/>
      <c r="J423" s="610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2"/>
      <c r="E424" s="222" t="s">
        <v>185</v>
      </c>
      <c r="F424" s="40"/>
      <c r="G424" s="157"/>
      <c r="H424" s="165" t="s">
        <v>12</v>
      </c>
      <c r="I424" s="610"/>
      <c r="J424" s="610"/>
      <c r="K424" s="93"/>
      <c r="L424" s="93">
        <f ca="1">IFERROR(__xludf.DUMMYFUNCTION("IMPORTRANGE(""https://docs.google.com/spreadsheets/d/1QqKyyYR6Q21VydFLVH3TRQUabQu_ym0Zz7PgGX0-kHA/edit?usp=sharing"",""แผน!EY63"")"),66560)</f>
        <v>66560</v>
      </c>
      <c r="M424" s="93">
        <v>0</v>
      </c>
      <c r="N424" s="93">
        <f>N425+N426+N427+N428</f>
        <v>47180</v>
      </c>
      <c r="O424" s="93">
        <f t="shared" ca="1" si="185"/>
        <v>70.883413461538467</v>
      </c>
      <c r="P424" s="93">
        <f t="shared" si="186"/>
        <v>0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67"/>
      <c r="B425" s="568"/>
      <c r="C425" s="754"/>
      <c r="D425" s="754"/>
      <c r="E425" s="754"/>
      <c r="F425" s="754" t="s">
        <v>186</v>
      </c>
      <c r="G425" s="189"/>
      <c r="H425" s="161" t="s">
        <v>12</v>
      </c>
      <c r="I425" s="269"/>
      <c r="J425" s="269"/>
      <c r="K425" s="496"/>
      <c r="L425" s="496"/>
      <c r="M425" s="496"/>
      <c r="N425" s="817">
        <v>36300</v>
      </c>
      <c r="O425" s="496"/>
      <c r="P425" s="496"/>
      <c r="Q425" s="571"/>
      <c r="R425" s="571"/>
      <c r="S425" s="571"/>
      <c r="T425" s="571"/>
      <c r="U425" s="571"/>
      <c r="V425" s="571"/>
      <c r="W425" s="571"/>
      <c r="X425" s="571"/>
      <c r="Y425" s="571"/>
      <c r="Z425" s="571"/>
    </row>
    <row r="426" spans="1:26" ht="18.75">
      <c r="A426" s="567"/>
      <c r="B426" s="568"/>
      <c r="C426" s="754"/>
      <c r="D426" s="754"/>
      <c r="E426" s="754"/>
      <c r="F426" s="754" t="s">
        <v>187</v>
      </c>
      <c r="G426" s="189"/>
      <c r="H426" s="161" t="s">
        <v>12</v>
      </c>
      <c r="I426" s="269"/>
      <c r="J426" s="269"/>
      <c r="K426" s="496"/>
      <c r="L426" s="496"/>
      <c r="M426" s="496"/>
      <c r="N426" s="817">
        <v>0</v>
      </c>
      <c r="O426" s="496"/>
      <c r="P426" s="496"/>
      <c r="Q426" s="571"/>
      <c r="R426" s="571"/>
      <c r="S426" s="571"/>
      <c r="T426" s="571"/>
      <c r="U426" s="571"/>
      <c r="V426" s="571"/>
      <c r="W426" s="571"/>
      <c r="X426" s="571"/>
      <c r="Y426" s="571"/>
      <c r="Z426" s="571"/>
    </row>
    <row r="427" spans="1:26" ht="18.75">
      <c r="A427" s="567"/>
      <c r="B427" s="568"/>
      <c r="C427" s="754"/>
      <c r="D427" s="754"/>
      <c r="E427" s="754"/>
      <c r="F427" s="754" t="s">
        <v>188</v>
      </c>
      <c r="G427" s="189"/>
      <c r="H427" s="161" t="s">
        <v>12</v>
      </c>
      <c r="I427" s="269"/>
      <c r="J427" s="269"/>
      <c r="K427" s="496"/>
      <c r="L427" s="496"/>
      <c r="M427" s="496"/>
      <c r="N427" s="817">
        <v>0</v>
      </c>
      <c r="O427" s="496"/>
      <c r="P427" s="496"/>
      <c r="Q427" s="571"/>
      <c r="R427" s="571"/>
      <c r="S427" s="571"/>
      <c r="T427" s="571"/>
      <c r="U427" s="571"/>
      <c r="V427" s="571"/>
      <c r="W427" s="571"/>
      <c r="X427" s="571"/>
      <c r="Y427" s="571"/>
      <c r="Z427" s="571"/>
    </row>
    <row r="428" spans="1:26" ht="18.75">
      <c r="A428" s="284"/>
      <c r="B428" s="280"/>
      <c r="C428" s="33"/>
      <c r="D428" s="33"/>
      <c r="E428" s="33"/>
      <c r="F428" s="281" t="s">
        <v>189</v>
      </c>
      <c r="G428" s="213"/>
      <c r="H428" s="161" t="s">
        <v>12</v>
      </c>
      <c r="I428" s="269"/>
      <c r="J428" s="269"/>
      <c r="K428" s="496"/>
      <c r="L428" s="496"/>
      <c r="M428" s="496"/>
      <c r="N428" s="817">
        <v>10880</v>
      </c>
      <c r="O428" s="496"/>
      <c r="P428" s="496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0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6">
        <f t="shared" ref="L429:N429" ca="1" si="189">L430+L431</f>
        <v>0</v>
      </c>
      <c r="M429" s="496">
        <f t="shared" si="189"/>
        <v>0</v>
      </c>
      <c r="N429" s="496">
        <f t="shared" si="189"/>
        <v>0</v>
      </c>
      <c r="O429" s="496">
        <f t="shared" ref="O429:O431" ca="1" si="190">IF(L429&gt;0,N429*100/L429,0)</f>
        <v>0</v>
      </c>
      <c r="P429" s="496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6"/>
      <c r="C430" s="40"/>
      <c r="D430" s="40"/>
      <c r="E430" s="222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6"/>
      <c r="C431" s="40"/>
      <c r="D431" s="40"/>
      <c r="E431" s="222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IFERROR(__xludf.DUMMYFUNCTION("IMPORTRANGE(""https://docs.google.com/spreadsheets/d/1QqKyyYR6Q21VydFLVH3TRQUabQu_ym0Zz7PgGX0-kHA/edit?usp=sharing"",""แผน!FB63"")"),0)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3"/>
      <c r="B432" s="414"/>
      <c r="C432" s="148" t="s">
        <v>16</v>
      </c>
      <c r="D432" s="835" t="s">
        <v>38</v>
      </c>
      <c r="E432" s="573"/>
      <c r="F432" s="573"/>
      <c r="G432" s="574"/>
      <c r="H432" s="575"/>
      <c r="I432" s="419"/>
      <c r="J432" s="419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190</v>
      </c>
      <c r="E433" s="178"/>
      <c r="F433" s="178"/>
      <c r="G433" s="179"/>
      <c r="H433" s="196" t="s">
        <v>35</v>
      </c>
      <c r="I433" s="674">
        <f ca="1">I435</f>
        <v>15</v>
      </c>
      <c r="J433" s="674">
        <f ca="1">IF(AND(J435=I435,J437=I437,J439=I439),I437+I439,IF(AND(J435=I437,J437=I437),I437,IF(AND(J435=I439,J439=I439),I439,0)))</f>
        <v>15</v>
      </c>
      <c r="K433" s="195">
        <f t="shared" ref="K433:K435" ca="1" si="192">IF(I433&gt;0,J433*100/I433,0)</f>
        <v>100</v>
      </c>
      <c r="L433" s="496"/>
      <c r="M433" s="496"/>
      <c r="N433" s="496"/>
      <c r="O433" s="496"/>
      <c r="P433" s="496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191</v>
      </c>
      <c r="E434" s="178"/>
      <c r="F434" s="178"/>
      <c r="G434" s="179"/>
      <c r="H434" s="196" t="s">
        <v>49</v>
      </c>
      <c r="I434" s="674">
        <f t="shared" ref="I434:J434" ca="1" si="193">I438+I440</f>
        <v>1</v>
      </c>
      <c r="J434" s="674">
        <f t="shared" si="193"/>
        <v>1</v>
      </c>
      <c r="K434" s="195">
        <f t="shared" ca="1" si="192"/>
        <v>100</v>
      </c>
      <c r="L434" s="496"/>
      <c r="M434" s="496"/>
      <c r="N434" s="496"/>
      <c r="O434" s="496"/>
      <c r="P434" s="496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6" t="s">
        <v>192</v>
      </c>
      <c r="E435" s="178"/>
      <c r="F435" s="178"/>
      <c r="G435" s="179"/>
      <c r="H435" s="616" t="s">
        <v>35</v>
      </c>
      <c r="I435" s="576">
        <f ca="1">IFERROR(__xludf.DUMMYFUNCTION("IMPORTRANGE(""https://docs.google.com/spreadsheets/d/1QqKyyYR6Q21VydFLVH3TRQUabQu_ym0Zz7PgGX0-kHA/edit?usp=sharing"",""แผน!FC63"")"),15)</f>
        <v>15</v>
      </c>
      <c r="J435" s="577">
        <v>15</v>
      </c>
      <c r="K435" s="496">
        <f t="shared" ca="1" si="192"/>
        <v>100</v>
      </c>
      <c r="L435" s="496"/>
      <c r="M435" s="496"/>
      <c r="N435" s="496"/>
      <c r="O435" s="496"/>
      <c r="P435" s="496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6" t="s">
        <v>193</v>
      </c>
      <c r="E436" s="178"/>
      <c r="F436" s="178"/>
      <c r="G436" s="179"/>
      <c r="H436" s="616"/>
      <c r="I436" s="269"/>
      <c r="J436" s="269"/>
      <c r="K436" s="496"/>
      <c r="L436" s="496"/>
      <c r="M436" s="496"/>
      <c r="N436" s="496"/>
      <c r="O436" s="496"/>
      <c r="P436" s="496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6" t="s">
        <v>194</v>
      </c>
      <c r="E437" s="178"/>
      <c r="F437" s="178"/>
      <c r="G437" s="179"/>
      <c r="H437" s="616" t="s">
        <v>35</v>
      </c>
      <c r="I437" s="576">
        <f ca="1">IFERROR(__xludf.DUMMYFUNCTION("IMPORTRANGE(""https://docs.google.com/spreadsheets/d/1QqKyyYR6Q21VydFLVH3TRQUabQu_ym0Zz7PgGX0-kHA/edit?usp=sharing"",""แผน!FD63"")"),0)</f>
        <v>0</v>
      </c>
      <c r="J437" s="577">
        <v>0</v>
      </c>
      <c r="K437" s="496">
        <f t="shared" ref="K437:K443" ca="1" si="194">IF(I437&gt;0,J437*100/I437,0)</f>
        <v>0</v>
      </c>
      <c r="L437" s="496"/>
      <c r="M437" s="496"/>
      <c r="N437" s="496"/>
      <c r="O437" s="496"/>
      <c r="P437" s="496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6" t="s">
        <v>195</v>
      </c>
      <c r="E438" s="178"/>
      <c r="F438" s="178"/>
      <c r="G438" s="179"/>
      <c r="H438" s="616" t="s">
        <v>49</v>
      </c>
      <c r="I438" s="269">
        <f ca="1">IFERROR(__xludf.DUMMYFUNCTION("IMPORTRANGE(""https://docs.google.com/spreadsheets/d/1QqKyyYR6Q21VydFLVH3TRQUabQu_ym0Zz7PgGX0-kHA/edit?usp=sharing"",""แผน!FE63"")"),0)</f>
        <v>0</v>
      </c>
      <c r="J438" s="214">
        <v>0</v>
      </c>
      <c r="K438" s="496">
        <f t="shared" ca="1" si="194"/>
        <v>0</v>
      </c>
      <c r="L438" s="496"/>
      <c r="M438" s="496"/>
      <c r="N438" s="496"/>
      <c r="O438" s="496"/>
      <c r="P438" s="496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6" t="s">
        <v>196</v>
      </c>
      <c r="E439" s="178"/>
      <c r="F439" s="178"/>
      <c r="G439" s="179"/>
      <c r="H439" s="616" t="s">
        <v>35</v>
      </c>
      <c r="I439" s="576">
        <f ca="1">IFERROR(__xludf.DUMMYFUNCTION("IMPORTRANGE(""https://docs.google.com/spreadsheets/d/1QqKyyYR6Q21VydFLVH3TRQUabQu_ym0Zz7PgGX0-kHA/edit?usp=sharing"",""แผน!FF63"")"),15)</f>
        <v>15</v>
      </c>
      <c r="J439" s="577">
        <v>15</v>
      </c>
      <c r="K439" s="496">
        <f t="shared" ca="1" si="194"/>
        <v>100</v>
      </c>
      <c r="L439" s="496"/>
      <c r="M439" s="496"/>
      <c r="N439" s="496"/>
      <c r="O439" s="496"/>
      <c r="P439" s="496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6" t="s">
        <v>197</v>
      </c>
      <c r="E440" s="178"/>
      <c r="F440" s="178"/>
      <c r="G440" s="179"/>
      <c r="H440" s="616" t="s">
        <v>49</v>
      </c>
      <c r="I440" s="269">
        <f ca="1">IFERROR(__xludf.DUMMYFUNCTION("IMPORTRANGE(""https://docs.google.com/spreadsheets/d/1QqKyyYR6Q21VydFLVH3TRQUabQu_ym0Zz7PgGX0-kHA/edit?usp=sharing"",""แผน!FG63"")"),1)</f>
        <v>1</v>
      </c>
      <c r="J440" s="214">
        <v>1</v>
      </c>
      <c r="K440" s="496">
        <f t="shared" ca="1" si="194"/>
        <v>100</v>
      </c>
      <c r="L440" s="496"/>
      <c r="M440" s="496"/>
      <c r="N440" s="496"/>
      <c r="O440" s="496"/>
      <c r="P440" s="496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>
      <c r="A441" s="170"/>
      <c r="B441" s="171"/>
      <c r="C441" s="171"/>
      <c r="D441" s="446" t="s">
        <v>198</v>
      </c>
      <c r="E441" s="178"/>
      <c r="F441" s="178"/>
      <c r="G441" s="179"/>
      <c r="H441" s="616" t="s">
        <v>35</v>
      </c>
      <c r="I441" s="269">
        <f ca="1">IFERROR(__xludf.DUMMYFUNCTION("IMPORTRANGE(""https://docs.google.com/spreadsheets/d/1QqKyyYR6Q21VydFLVH3TRQUabQu_ym0Zz7PgGX0-kHA/edit?usp=sharing"",""แผน!FH63"")"),0)</f>
        <v>0</v>
      </c>
      <c r="J441" s="269">
        <v>0</v>
      </c>
      <c r="K441" s="496">
        <f t="shared" ca="1" si="194"/>
        <v>0</v>
      </c>
      <c r="L441" s="496"/>
      <c r="M441" s="496"/>
      <c r="N441" s="496"/>
      <c r="O441" s="496"/>
      <c r="P441" s="496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78">
        <v>2</v>
      </c>
      <c r="B442" s="579" t="s">
        <v>199</v>
      </c>
      <c r="C442" s="580"/>
      <c r="D442" s="580"/>
      <c r="E442" s="580"/>
      <c r="F442" s="580"/>
      <c r="G442" s="581"/>
      <c r="H442" s="582" t="s">
        <v>35</v>
      </c>
      <c r="I442" s="583">
        <f t="shared" ref="I442:J442" ca="1" si="195">I460</f>
        <v>30</v>
      </c>
      <c r="J442" s="583">
        <f t="shared" si="195"/>
        <v>0</v>
      </c>
      <c r="K442" s="584">
        <f t="shared" ca="1" si="194"/>
        <v>0</v>
      </c>
      <c r="L442" s="585"/>
      <c r="M442" s="585"/>
      <c r="N442" s="585"/>
      <c r="O442" s="585"/>
      <c r="P442" s="585"/>
      <c r="Q442" s="571"/>
      <c r="R442" s="571"/>
      <c r="S442" s="571"/>
      <c r="T442" s="571"/>
      <c r="U442" s="571"/>
      <c r="V442" s="571"/>
      <c r="W442" s="571"/>
      <c r="X442" s="571"/>
      <c r="Y442" s="571"/>
      <c r="Z442" s="571"/>
    </row>
    <row r="443" spans="1:26" ht="19.5">
      <c r="A443" s="586"/>
      <c r="B443" s="587"/>
      <c r="C443" s="588"/>
      <c r="D443" s="588"/>
      <c r="E443" s="588"/>
      <c r="F443" s="588"/>
      <c r="G443" s="589"/>
      <c r="H443" s="562" t="s">
        <v>46</v>
      </c>
      <c r="I443" s="563">
        <f t="shared" ref="I443:J443" ca="1" si="196">I462</f>
        <v>90</v>
      </c>
      <c r="J443" s="563">
        <f t="shared" si="196"/>
        <v>0</v>
      </c>
      <c r="K443" s="564">
        <f t="shared" ca="1" si="194"/>
        <v>0</v>
      </c>
      <c r="L443" s="565"/>
      <c r="M443" s="565"/>
      <c r="N443" s="565"/>
      <c r="O443" s="565"/>
      <c r="P443" s="565"/>
      <c r="Q443" s="571"/>
      <c r="R443" s="571"/>
      <c r="S443" s="571"/>
      <c r="T443" s="571"/>
      <c r="U443" s="571"/>
      <c r="V443" s="571"/>
      <c r="W443" s="571"/>
      <c r="X443" s="571"/>
      <c r="Y443" s="571"/>
      <c r="Z443" s="571"/>
    </row>
    <row r="444" spans="1:26" ht="19.5">
      <c r="A444" s="590"/>
      <c r="B444" s="754"/>
      <c r="C444" s="754" t="s">
        <v>16</v>
      </c>
      <c r="D444" s="863" t="s">
        <v>17</v>
      </c>
      <c r="E444" s="857"/>
      <c r="F444" s="857"/>
      <c r="G444" s="189"/>
      <c r="H444" s="591" t="s">
        <v>12</v>
      </c>
      <c r="I444" s="269"/>
      <c r="J444" s="269"/>
      <c r="K444" s="496"/>
      <c r="L444" s="195">
        <f t="shared" ref="L444:N444" ca="1" si="197">L445+L446</f>
        <v>172480</v>
      </c>
      <c r="M444" s="195">
        <f t="shared" si="197"/>
        <v>0</v>
      </c>
      <c r="N444" s="195">
        <f t="shared" si="197"/>
        <v>0</v>
      </c>
      <c r="O444" s="195">
        <f t="shared" ref="O444:O449" ca="1" si="198">IF(L444&gt;0,N444*100/L444,0)</f>
        <v>0</v>
      </c>
      <c r="P444" s="195">
        <f t="shared" ref="P444:P449" si="199">IF(M444&gt;0,N444*100/M444,0)</f>
        <v>0</v>
      </c>
      <c r="Q444" s="571"/>
      <c r="R444" s="571"/>
      <c r="S444" s="571"/>
      <c r="T444" s="571"/>
      <c r="U444" s="571"/>
      <c r="V444" s="571"/>
      <c r="W444" s="571"/>
      <c r="X444" s="571"/>
      <c r="Y444" s="571"/>
      <c r="Z444" s="571"/>
    </row>
    <row r="445" spans="1:26" ht="18.75" hidden="1">
      <c r="A445" s="592"/>
      <c r="B445" s="750"/>
      <c r="C445" s="750"/>
      <c r="D445" s="711"/>
      <c r="E445" s="750" t="s">
        <v>184</v>
      </c>
      <c r="F445" s="750"/>
      <c r="G445" s="596"/>
      <c r="H445" s="165" t="s">
        <v>12</v>
      </c>
      <c r="I445" s="610"/>
      <c r="J445" s="610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597"/>
      <c r="R445" s="597"/>
      <c r="S445" s="597"/>
      <c r="T445" s="597"/>
      <c r="U445" s="597"/>
      <c r="V445" s="597"/>
      <c r="W445" s="597"/>
      <c r="X445" s="597"/>
      <c r="Y445" s="597"/>
      <c r="Z445" s="597"/>
    </row>
    <row r="446" spans="1:26" ht="18.75" hidden="1">
      <c r="A446" s="592"/>
      <c r="B446" s="600"/>
      <c r="C446" s="750"/>
      <c r="D446" s="711"/>
      <c r="E446" s="750" t="s">
        <v>185</v>
      </c>
      <c r="F446" s="750"/>
      <c r="G446" s="596"/>
      <c r="H446" s="165" t="s">
        <v>12</v>
      </c>
      <c r="I446" s="610"/>
      <c r="J446" s="610"/>
      <c r="K446" s="93"/>
      <c r="L446" s="93">
        <f t="shared" ca="1" si="200"/>
        <v>172480</v>
      </c>
      <c r="M446" s="93">
        <f t="shared" si="200"/>
        <v>0</v>
      </c>
      <c r="N446" s="93">
        <f t="shared" si="200"/>
        <v>0</v>
      </c>
      <c r="O446" s="93">
        <f t="shared" ca="1" si="198"/>
        <v>0</v>
      </c>
      <c r="P446" s="93">
        <f t="shared" si="199"/>
        <v>0</v>
      </c>
      <c r="Q446" s="597"/>
      <c r="R446" s="597"/>
      <c r="S446" s="597"/>
      <c r="T446" s="597"/>
      <c r="U446" s="597"/>
      <c r="V446" s="597"/>
      <c r="W446" s="597"/>
      <c r="X446" s="597"/>
      <c r="Y446" s="597"/>
      <c r="Z446" s="597"/>
    </row>
    <row r="447" spans="1:26" ht="18.75">
      <c r="A447" s="590"/>
      <c r="B447" s="568"/>
      <c r="C447" s="754"/>
      <c r="D447" s="599" t="s">
        <v>20</v>
      </c>
      <c r="E447" s="754"/>
      <c r="F447" s="754"/>
      <c r="G447" s="189"/>
      <c r="H447" s="161" t="s">
        <v>12</v>
      </c>
      <c r="I447" s="184"/>
      <c r="J447" s="184"/>
      <c r="K447" s="163"/>
      <c r="L447" s="496">
        <f t="shared" ref="L447:N447" ca="1" si="201">L448+L449</f>
        <v>172480</v>
      </c>
      <c r="M447" s="496">
        <f t="shared" si="201"/>
        <v>0</v>
      </c>
      <c r="N447" s="496">
        <f t="shared" si="201"/>
        <v>0</v>
      </c>
      <c r="O447" s="496">
        <f t="shared" ca="1" si="198"/>
        <v>0</v>
      </c>
      <c r="P447" s="496">
        <f t="shared" si="199"/>
        <v>0</v>
      </c>
      <c r="Q447" s="571"/>
      <c r="R447" s="571"/>
      <c r="S447" s="571"/>
      <c r="T447" s="571"/>
      <c r="U447" s="571"/>
      <c r="V447" s="571"/>
      <c r="W447" s="571"/>
      <c r="X447" s="571"/>
      <c r="Y447" s="571"/>
      <c r="Z447" s="571"/>
    </row>
    <row r="448" spans="1:26" ht="18.75" hidden="1">
      <c r="A448" s="592"/>
      <c r="B448" s="600"/>
      <c r="C448" s="750"/>
      <c r="D448" s="711"/>
      <c r="E448" s="750" t="s">
        <v>184</v>
      </c>
      <c r="F448" s="750"/>
      <c r="G448" s="596"/>
      <c r="H448" s="165" t="s">
        <v>12</v>
      </c>
      <c r="I448" s="610"/>
      <c r="J448" s="610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597"/>
      <c r="R448" s="597"/>
      <c r="S448" s="597"/>
      <c r="T448" s="597"/>
      <c r="U448" s="597"/>
      <c r="V448" s="597"/>
      <c r="W448" s="597"/>
      <c r="X448" s="597"/>
      <c r="Y448" s="597"/>
      <c r="Z448" s="597"/>
    </row>
    <row r="449" spans="1:26" ht="18.75" hidden="1">
      <c r="A449" s="592"/>
      <c r="B449" s="600"/>
      <c r="C449" s="750"/>
      <c r="D449" s="711"/>
      <c r="E449" s="750" t="s">
        <v>185</v>
      </c>
      <c r="F449" s="750"/>
      <c r="G449" s="596"/>
      <c r="H449" s="165" t="s">
        <v>12</v>
      </c>
      <c r="I449" s="610"/>
      <c r="J449" s="610"/>
      <c r="K449" s="93"/>
      <c r="L449" s="93">
        <f ca="1">IFERROR(__xludf.DUMMYFUNCTION("IMPORTRANGE(""https://docs.google.com/spreadsheets/d/1QqKyyYR6Q21VydFLVH3TRQUabQu_ym0Zz7PgGX0-kHA/edit?usp=sharing"",""แผน!FJ63"")"),172480)</f>
        <v>172480</v>
      </c>
      <c r="M449" s="93">
        <v>0</v>
      </c>
      <c r="N449" s="93">
        <f>N450+N451+N452+N453</f>
        <v>0</v>
      </c>
      <c r="O449" s="93">
        <f t="shared" ca="1" si="198"/>
        <v>0</v>
      </c>
      <c r="P449" s="93">
        <f t="shared" si="199"/>
        <v>0</v>
      </c>
      <c r="Q449" s="597"/>
      <c r="R449" s="597"/>
      <c r="S449" s="597"/>
      <c r="T449" s="597"/>
      <c r="U449" s="597"/>
      <c r="V449" s="597"/>
      <c r="W449" s="597"/>
      <c r="X449" s="597"/>
      <c r="Y449" s="597"/>
      <c r="Z449" s="597"/>
    </row>
    <row r="450" spans="1:26" ht="18.75">
      <c r="A450" s="567"/>
      <c r="B450" s="568"/>
      <c r="C450" s="754"/>
      <c r="D450" s="754"/>
      <c r="E450" s="754"/>
      <c r="F450" s="754" t="s">
        <v>186</v>
      </c>
      <c r="G450" s="189"/>
      <c r="H450" s="161" t="s">
        <v>12</v>
      </c>
      <c r="I450" s="269"/>
      <c r="J450" s="269"/>
      <c r="K450" s="496"/>
      <c r="L450" s="496"/>
      <c r="M450" s="496"/>
      <c r="N450" s="817">
        <v>0</v>
      </c>
      <c r="O450" s="496"/>
      <c r="P450" s="496"/>
      <c r="Q450" s="571"/>
      <c r="R450" s="571"/>
      <c r="S450" s="571"/>
      <c r="T450" s="571"/>
      <c r="U450" s="571"/>
      <c r="V450" s="571"/>
      <c r="W450" s="571"/>
      <c r="X450" s="571"/>
      <c r="Y450" s="571"/>
      <c r="Z450" s="571"/>
    </row>
    <row r="451" spans="1:26" ht="18.75">
      <c r="A451" s="567"/>
      <c r="B451" s="568"/>
      <c r="C451" s="754"/>
      <c r="D451" s="754"/>
      <c r="E451" s="754"/>
      <c r="F451" s="754" t="s">
        <v>187</v>
      </c>
      <c r="G451" s="189"/>
      <c r="H451" s="161" t="s">
        <v>12</v>
      </c>
      <c r="I451" s="269"/>
      <c r="J451" s="269"/>
      <c r="K451" s="496"/>
      <c r="L451" s="496"/>
      <c r="M451" s="496"/>
      <c r="N451" s="817">
        <v>0</v>
      </c>
      <c r="O451" s="496"/>
      <c r="P451" s="496"/>
      <c r="Q451" s="571"/>
      <c r="R451" s="571"/>
      <c r="S451" s="571"/>
      <c r="T451" s="571"/>
      <c r="U451" s="571"/>
      <c r="V451" s="571"/>
      <c r="W451" s="571"/>
      <c r="X451" s="571"/>
      <c r="Y451" s="571"/>
      <c r="Z451" s="571"/>
    </row>
    <row r="452" spans="1:26" ht="18.75">
      <c r="A452" s="567"/>
      <c r="B452" s="568"/>
      <c r="C452" s="568"/>
      <c r="D452" s="568"/>
      <c r="E452" s="568"/>
      <c r="F452" s="754" t="s">
        <v>188</v>
      </c>
      <c r="G452" s="189"/>
      <c r="H452" s="161" t="s">
        <v>12</v>
      </c>
      <c r="I452" s="269"/>
      <c r="J452" s="269"/>
      <c r="K452" s="496"/>
      <c r="L452" s="496"/>
      <c r="M452" s="496"/>
      <c r="N452" s="817">
        <v>0</v>
      </c>
      <c r="O452" s="496"/>
      <c r="P452" s="496"/>
      <c r="Q452" s="571"/>
      <c r="R452" s="571"/>
      <c r="S452" s="571"/>
      <c r="T452" s="571"/>
      <c r="U452" s="571"/>
      <c r="V452" s="571"/>
      <c r="W452" s="571"/>
      <c r="X452" s="571"/>
      <c r="Y452" s="571"/>
      <c r="Z452" s="571"/>
    </row>
    <row r="453" spans="1:26" ht="18.75">
      <c r="A453" s="567"/>
      <c r="B453" s="568"/>
      <c r="C453" s="568"/>
      <c r="D453" s="568"/>
      <c r="E453" s="568"/>
      <c r="F453" s="754" t="s">
        <v>189</v>
      </c>
      <c r="G453" s="189"/>
      <c r="H453" s="161" t="s">
        <v>12</v>
      </c>
      <c r="I453" s="269"/>
      <c r="J453" s="269"/>
      <c r="K453" s="496"/>
      <c r="L453" s="496"/>
      <c r="M453" s="496"/>
      <c r="N453" s="817">
        <v>0</v>
      </c>
      <c r="O453" s="496"/>
      <c r="P453" s="496"/>
      <c r="Q453" s="571"/>
      <c r="R453" s="571"/>
      <c r="S453" s="571"/>
      <c r="T453" s="571"/>
      <c r="U453" s="571"/>
      <c r="V453" s="571"/>
      <c r="W453" s="571"/>
      <c r="X453" s="571"/>
      <c r="Y453" s="571"/>
      <c r="Z453" s="571"/>
    </row>
    <row r="454" spans="1:26" ht="18.75">
      <c r="A454" s="590"/>
      <c r="B454" s="568"/>
      <c r="C454" s="568"/>
      <c r="D454" s="599" t="s">
        <v>21</v>
      </c>
      <c r="E454" s="568"/>
      <c r="F454" s="754"/>
      <c r="G454" s="189"/>
      <c r="H454" s="168" t="s">
        <v>12</v>
      </c>
      <c r="I454" s="184"/>
      <c r="J454" s="184"/>
      <c r="K454" s="163"/>
      <c r="L454" s="496">
        <f t="shared" ref="L454:N454" ca="1" si="202">L455+L456</f>
        <v>0</v>
      </c>
      <c r="M454" s="496">
        <f t="shared" si="202"/>
        <v>0</v>
      </c>
      <c r="N454" s="496">
        <f t="shared" si="202"/>
        <v>0</v>
      </c>
      <c r="O454" s="496">
        <f t="shared" ref="O454:O456" ca="1" si="203">IF(L454&gt;0,N454*100/L454,0)</f>
        <v>0</v>
      </c>
      <c r="P454" s="496">
        <f t="shared" ref="P454:P456" si="204">IF(M454&gt;0,N454*100/M454,0)</f>
        <v>0</v>
      </c>
      <c r="Q454" s="571"/>
      <c r="R454" s="571"/>
      <c r="S454" s="571"/>
      <c r="T454" s="571"/>
      <c r="U454" s="571"/>
      <c r="V454" s="571"/>
      <c r="W454" s="571"/>
      <c r="X454" s="571"/>
      <c r="Y454" s="571"/>
      <c r="Z454" s="571"/>
    </row>
    <row r="455" spans="1:26" ht="18.75" hidden="1">
      <c r="A455" s="592"/>
      <c r="B455" s="600"/>
      <c r="C455" s="600"/>
      <c r="D455" s="600"/>
      <c r="E455" s="600" t="s">
        <v>18</v>
      </c>
      <c r="F455" s="750"/>
      <c r="G455" s="596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597"/>
      <c r="R455" s="597"/>
      <c r="S455" s="597"/>
      <c r="T455" s="597"/>
      <c r="U455" s="597"/>
      <c r="V455" s="597"/>
      <c r="W455" s="597"/>
      <c r="X455" s="597"/>
      <c r="Y455" s="597"/>
      <c r="Z455" s="597"/>
    </row>
    <row r="456" spans="1:26" ht="18.75" hidden="1">
      <c r="A456" s="592"/>
      <c r="B456" s="600"/>
      <c r="C456" s="600"/>
      <c r="D456" s="600"/>
      <c r="E456" s="600" t="s">
        <v>19</v>
      </c>
      <c r="F456" s="750"/>
      <c r="G456" s="596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IFERROR(__xludf.DUMMYFUNCTION("IMPORTRANGE(""https://docs.google.com/spreadsheets/d/1QqKyyYR6Q21VydFLVH3TRQUabQu_ym0Zz7PgGX0-kHA/edit?usp=sharing"",""แผน!FM63"")"),0)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597"/>
      <c r="R456" s="597"/>
      <c r="S456" s="597"/>
      <c r="T456" s="597"/>
      <c r="U456" s="597"/>
      <c r="V456" s="597"/>
      <c r="W456" s="597"/>
      <c r="X456" s="597"/>
      <c r="Y456" s="597"/>
      <c r="Z456" s="597"/>
    </row>
    <row r="457" spans="1:26" ht="19.5">
      <c r="A457" s="601"/>
      <c r="B457" s="611"/>
      <c r="C457" s="568" t="s">
        <v>16</v>
      </c>
      <c r="D457" s="836" t="s">
        <v>38</v>
      </c>
      <c r="E457" s="604"/>
      <c r="F457" s="752"/>
      <c r="G457" s="606"/>
      <c r="H457" s="753"/>
      <c r="I457" s="269"/>
      <c r="J457" s="269"/>
      <c r="K457" s="496"/>
      <c r="L457" s="496"/>
      <c r="M457" s="496"/>
      <c r="N457" s="496"/>
      <c r="O457" s="496"/>
      <c r="P457" s="496"/>
      <c r="Q457" s="571"/>
      <c r="R457" s="571"/>
      <c r="S457" s="571"/>
      <c r="T457" s="571"/>
      <c r="U457" s="571"/>
      <c r="V457" s="571"/>
      <c r="W457" s="571"/>
      <c r="X457" s="571"/>
      <c r="Y457" s="571"/>
      <c r="Z457" s="571"/>
    </row>
    <row r="458" spans="1:26" ht="18.75" hidden="1">
      <c r="A458" s="607"/>
      <c r="B458" s="609"/>
      <c r="C458" s="609"/>
      <c r="D458" s="609" t="s">
        <v>200</v>
      </c>
      <c r="E458" s="609"/>
      <c r="F458" s="711"/>
      <c r="G458" s="365"/>
      <c r="H458" s="369" t="s">
        <v>35</v>
      </c>
      <c r="I458" s="610">
        <v>0</v>
      </c>
      <c r="J458" s="610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597"/>
      <c r="R458" s="597"/>
      <c r="S458" s="597"/>
      <c r="T458" s="597"/>
      <c r="U458" s="597"/>
      <c r="V458" s="597"/>
      <c r="W458" s="597"/>
      <c r="X458" s="597"/>
      <c r="Y458" s="597"/>
      <c r="Z458" s="597"/>
    </row>
    <row r="459" spans="1:26" ht="18.75" hidden="1">
      <c r="A459" s="607"/>
      <c r="B459" s="609"/>
      <c r="C459" s="609"/>
      <c r="D459" s="609" t="s">
        <v>201</v>
      </c>
      <c r="E459" s="609"/>
      <c r="F459" s="711"/>
      <c r="G459" s="365"/>
      <c r="H459" s="369"/>
      <c r="I459" s="610"/>
      <c r="J459" s="610"/>
      <c r="K459" s="93"/>
      <c r="L459" s="93"/>
      <c r="M459" s="93"/>
      <c r="N459" s="93"/>
      <c r="O459" s="93"/>
      <c r="P459" s="93"/>
      <c r="Q459" s="597"/>
      <c r="R459" s="597"/>
      <c r="S459" s="597"/>
      <c r="T459" s="597"/>
      <c r="U459" s="597"/>
      <c r="V459" s="597"/>
      <c r="W459" s="597"/>
      <c r="X459" s="597"/>
      <c r="Y459" s="597"/>
      <c r="Z459" s="597"/>
    </row>
    <row r="460" spans="1:26" ht="18.75">
      <c r="A460" s="601"/>
      <c r="B460" s="611"/>
      <c r="C460" s="611"/>
      <c r="D460" s="611" t="s">
        <v>202</v>
      </c>
      <c r="E460" s="611"/>
      <c r="F460" s="619"/>
      <c r="G460" s="753"/>
      <c r="H460" s="755" t="s">
        <v>35</v>
      </c>
      <c r="I460" s="269">
        <f ca="1">IFERROR(__xludf.DUMMYFUNCTION("IMPORTRANGE(""https://docs.google.com/spreadsheets/d/1QqKyyYR6Q21VydFLVH3TRQUabQu_ym0Zz7PgGX0-kHA/edit?usp=sharing"",""แผน!FN63"")"),30)</f>
        <v>30</v>
      </c>
      <c r="J460" s="214">
        <v>0</v>
      </c>
      <c r="K460" s="496">
        <f ca="1">IF(I460&gt;0,J460*100/I460,0)</f>
        <v>0</v>
      </c>
      <c r="L460" s="496"/>
      <c r="M460" s="496"/>
      <c r="N460" s="496"/>
      <c r="O460" s="496"/>
      <c r="P460" s="496"/>
      <c r="Q460" s="571"/>
      <c r="R460" s="571"/>
      <c r="S460" s="571"/>
      <c r="T460" s="571"/>
      <c r="U460" s="571"/>
      <c r="V460" s="571"/>
      <c r="W460" s="571"/>
      <c r="X460" s="571"/>
      <c r="Y460" s="571"/>
      <c r="Z460" s="571"/>
    </row>
    <row r="461" spans="1:26" ht="18.75">
      <c r="A461" s="601"/>
      <c r="B461" s="611"/>
      <c r="C461" s="611"/>
      <c r="D461" s="611" t="s">
        <v>203</v>
      </c>
      <c r="E461" s="619"/>
      <c r="F461" s="619"/>
      <c r="G461" s="753"/>
      <c r="H461" s="755"/>
      <c r="I461" s="269"/>
      <c r="J461" s="269"/>
      <c r="K461" s="496"/>
      <c r="L461" s="496"/>
      <c r="M461" s="496"/>
      <c r="N461" s="496"/>
      <c r="O461" s="496"/>
      <c r="P461" s="496"/>
      <c r="Q461" s="571"/>
      <c r="R461" s="571"/>
      <c r="S461" s="571"/>
      <c r="T461" s="571"/>
      <c r="U461" s="571"/>
      <c r="V461" s="571"/>
      <c r="W461" s="571"/>
      <c r="X461" s="571"/>
      <c r="Y461" s="571"/>
      <c r="Z461" s="571"/>
    </row>
    <row r="462" spans="1:26" ht="18.75">
      <c r="A462" s="601"/>
      <c r="B462" s="611"/>
      <c r="C462" s="611"/>
      <c r="D462" s="611" t="s">
        <v>204</v>
      </c>
      <c r="E462" s="619"/>
      <c r="F462" s="619"/>
      <c r="G462" s="753"/>
      <c r="H462" s="755" t="s">
        <v>46</v>
      </c>
      <c r="I462" s="269">
        <f ca="1">IFERROR(__xludf.DUMMYFUNCTION("IMPORTRANGE(""https://docs.google.com/spreadsheets/d/1QqKyyYR6Q21VydFLVH3TRQUabQu_ym0Zz7PgGX0-kHA/edit?usp=sharing"",""แผน!FO63"")"),90)</f>
        <v>90</v>
      </c>
      <c r="J462" s="214">
        <v>0</v>
      </c>
      <c r="K462" s="496">
        <f ca="1">IF(I462&gt;0,J462*100/I462,0)</f>
        <v>0</v>
      </c>
      <c r="L462" s="496"/>
      <c r="M462" s="496"/>
      <c r="N462" s="496"/>
      <c r="O462" s="496"/>
      <c r="P462" s="496"/>
      <c r="Q462" s="571"/>
      <c r="R462" s="571"/>
      <c r="S462" s="571"/>
      <c r="T462" s="571"/>
      <c r="U462" s="571"/>
      <c r="V462" s="571"/>
      <c r="W462" s="571"/>
      <c r="X462" s="571"/>
      <c r="Y462" s="571"/>
      <c r="Z462" s="571"/>
    </row>
    <row r="463" spans="1:26" ht="18.75">
      <c r="A463" s="601"/>
      <c r="B463" s="611"/>
      <c r="C463" s="611"/>
      <c r="D463" s="611" t="s">
        <v>59</v>
      </c>
      <c r="E463" s="619"/>
      <c r="F463" s="754"/>
      <c r="G463" s="189"/>
      <c r="H463" s="755" t="s">
        <v>46</v>
      </c>
      <c r="I463" s="269">
        <f ca="1">IFERROR(__xludf.DUMMYFUNCTION("IMPORTRANGE(""https://docs.google.com/spreadsheets/d/1QqKyyYR6Q21VydFLVH3TRQUabQu_ym0Zz7PgGX0-kHA/edit?usp=sharing"",""แผน!FO63"")"),90)</f>
        <v>90</v>
      </c>
      <c r="J463" s="214">
        <v>0</v>
      </c>
      <c r="K463" s="496"/>
      <c r="L463" s="496"/>
      <c r="M463" s="496"/>
      <c r="N463" s="496"/>
      <c r="O463" s="496"/>
      <c r="P463" s="496"/>
      <c r="Q463" s="571"/>
      <c r="R463" s="571"/>
      <c r="S463" s="571"/>
      <c r="T463" s="571"/>
      <c r="U463" s="571"/>
      <c r="V463" s="571"/>
      <c r="W463" s="571"/>
      <c r="X463" s="571"/>
      <c r="Y463" s="571"/>
      <c r="Z463" s="571"/>
    </row>
    <row r="464" spans="1:26" ht="19.5">
      <c r="A464" s="601"/>
      <c r="B464" s="611"/>
      <c r="C464" s="611"/>
      <c r="D464" s="611"/>
      <c r="E464" s="619"/>
      <c r="F464" s="619"/>
      <c r="G464" s="613"/>
      <c r="H464" s="755" t="s">
        <v>35</v>
      </c>
      <c r="I464" s="269">
        <f ca="1">IFERROR(__xludf.DUMMYFUNCTION("IMPORTRANGE(""https://docs.google.com/spreadsheets/d/1QqKyyYR6Q21VydFLVH3TRQUabQu_ym0Zz7PgGX0-kHA/edit?usp=sharing"",""แผน!FN63"")"),30)</f>
        <v>30</v>
      </c>
      <c r="J464" s="214">
        <v>0</v>
      </c>
      <c r="K464" s="496"/>
      <c r="L464" s="496"/>
      <c r="M464" s="496"/>
      <c r="N464" s="496"/>
      <c r="O464" s="496"/>
      <c r="P464" s="496"/>
      <c r="Q464" s="571"/>
      <c r="R464" s="571"/>
      <c r="S464" s="571"/>
      <c r="T464" s="571"/>
      <c r="U464" s="571"/>
      <c r="V464" s="571"/>
      <c r="W464" s="571"/>
      <c r="X464" s="571"/>
      <c r="Y464" s="571"/>
      <c r="Z464" s="571"/>
    </row>
    <row r="465" spans="1:26" ht="19.5">
      <c r="A465" s="578">
        <v>3</v>
      </c>
      <c r="B465" s="579" t="s">
        <v>205</v>
      </c>
      <c r="C465" s="580"/>
      <c r="D465" s="580"/>
      <c r="E465" s="580"/>
      <c r="F465" s="580"/>
      <c r="G465" s="581"/>
      <c r="H465" s="582" t="s">
        <v>35</v>
      </c>
      <c r="I465" s="583">
        <f ca="1">IFERROR(__xludf.DUMMYFUNCTION("IMPORTRANGE(""https://docs.google.com/spreadsheets/d/1QqKyyYR6Q21VydFLVH3TRQUabQu_ym0Zz7PgGX0-kHA/edit?usp=sharing"",""แผน!FX63"")"),31)</f>
        <v>31</v>
      </c>
      <c r="J465" s="583">
        <f>J485+J489+J492</f>
        <v>0</v>
      </c>
      <c r="K465" s="584">
        <f t="shared" ref="K465:K466" ca="1" si="205">IF(I465&gt;0,J465*100/I465,0)</f>
        <v>0</v>
      </c>
      <c r="L465" s="585"/>
      <c r="M465" s="585"/>
      <c r="N465" s="585"/>
      <c r="O465" s="585"/>
      <c r="P465" s="585"/>
      <c r="Q465" s="571"/>
      <c r="R465" s="571"/>
      <c r="S465" s="571"/>
      <c r="T465" s="571"/>
      <c r="U465" s="571"/>
      <c r="V465" s="571"/>
      <c r="W465" s="571"/>
      <c r="X465" s="571"/>
      <c r="Y465" s="571"/>
      <c r="Z465" s="571"/>
    </row>
    <row r="466" spans="1:26" ht="19.5">
      <c r="A466" s="586"/>
      <c r="B466" s="587"/>
      <c r="C466" s="588"/>
      <c r="D466" s="588"/>
      <c r="E466" s="588"/>
      <c r="F466" s="588"/>
      <c r="G466" s="589"/>
      <c r="H466" s="562" t="s">
        <v>46</v>
      </c>
      <c r="I466" s="563">
        <f ca="1">IFERROR(__xludf.DUMMYFUNCTION("IMPORTRANGE(""https://docs.google.com/spreadsheets/d/1QqKyyYR6Q21VydFLVH3TRQUabQu_ym0Zz7PgGX0-kHA/edit?usp=sharing"",""แผน!FW63"")"),300)</f>
        <v>300</v>
      </c>
      <c r="J466" s="563">
        <f>J483+J487</f>
        <v>0</v>
      </c>
      <c r="K466" s="564">
        <f t="shared" ca="1" si="205"/>
        <v>0</v>
      </c>
      <c r="L466" s="565"/>
      <c r="M466" s="565"/>
      <c r="N466" s="565"/>
      <c r="O466" s="565"/>
      <c r="P466" s="565"/>
      <c r="Q466" s="571"/>
      <c r="R466" s="571"/>
      <c r="S466" s="571"/>
      <c r="T466" s="571"/>
      <c r="U466" s="571"/>
      <c r="V466" s="571"/>
      <c r="W466" s="571"/>
      <c r="X466" s="571"/>
      <c r="Y466" s="571"/>
      <c r="Z466" s="571"/>
    </row>
    <row r="467" spans="1:26" ht="19.5">
      <c r="A467" s="590"/>
      <c r="B467" s="754"/>
      <c r="C467" s="754" t="s">
        <v>16</v>
      </c>
      <c r="D467" s="863" t="s">
        <v>17</v>
      </c>
      <c r="E467" s="857"/>
      <c r="F467" s="857"/>
      <c r="G467" s="189"/>
      <c r="H467" s="591" t="s">
        <v>12</v>
      </c>
      <c r="I467" s="269"/>
      <c r="J467" s="269"/>
      <c r="K467" s="496"/>
      <c r="L467" s="195">
        <f t="shared" ref="L467:N467" ca="1" si="206">L468+L469</f>
        <v>250523</v>
      </c>
      <c r="M467" s="195">
        <f t="shared" si="206"/>
        <v>0</v>
      </c>
      <c r="N467" s="195">
        <f t="shared" si="206"/>
        <v>0</v>
      </c>
      <c r="O467" s="195">
        <f t="shared" ref="O467:O472" ca="1" si="207">IF(L467&gt;0,N467*100/L467,0)</f>
        <v>0</v>
      </c>
      <c r="P467" s="195">
        <f t="shared" ref="P467:P472" si="208">IF(M467&gt;0,N467*100/M467,0)</f>
        <v>0</v>
      </c>
      <c r="Q467" s="571"/>
      <c r="R467" s="571"/>
      <c r="S467" s="571"/>
      <c r="T467" s="571"/>
      <c r="U467" s="571"/>
      <c r="V467" s="571"/>
      <c r="W467" s="571"/>
      <c r="X467" s="571"/>
      <c r="Y467" s="571"/>
      <c r="Z467" s="571"/>
    </row>
    <row r="468" spans="1:26" ht="18.75" hidden="1">
      <c r="A468" s="592"/>
      <c r="B468" s="750"/>
      <c r="C468" s="750"/>
      <c r="D468" s="711"/>
      <c r="E468" s="750" t="s">
        <v>184</v>
      </c>
      <c r="F468" s="750"/>
      <c r="G468" s="596"/>
      <c r="H468" s="165" t="s">
        <v>12</v>
      </c>
      <c r="I468" s="610"/>
      <c r="J468" s="610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597"/>
      <c r="R468" s="597"/>
      <c r="S468" s="597"/>
      <c r="T468" s="597"/>
      <c r="U468" s="597"/>
      <c r="V468" s="597"/>
      <c r="W468" s="597"/>
      <c r="X468" s="597"/>
      <c r="Y468" s="597"/>
      <c r="Z468" s="597"/>
    </row>
    <row r="469" spans="1:26" ht="18.75" hidden="1">
      <c r="A469" s="592"/>
      <c r="B469" s="600"/>
      <c r="C469" s="750"/>
      <c r="D469" s="711"/>
      <c r="E469" s="750" t="s">
        <v>185</v>
      </c>
      <c r="F469" s="750"/>
      <c r="G469" s="596"/>
      <c r="H469" s="165" t="s">
        <v>12</v>
      </c>
      <c r="I469" s="610"/>
      <c r="J469" s="610"/>
      <c r="K469" s="93"/>
      <c r="L469" s="93">
        <f t="shared" ca="1" si="209"/>
        <v>250523</v>
      </c>
      <c r="M469" s="93">
        <f t="shared" si="209"/>
        <v>0</v>
      </c>
      <c r="N469" s="93">
        <f t="shared" si="209"/>
        <v>0</v>
      </c>
      <c r="O469" s="93">
        <f t="shared" ca="1" si="207"/>
        <v>0</v>
      </c>
      <c r="P469" s="93">
        <f t="shared" si="208"/>
        <v>0</v>
      </c>
      <c r="Q469" s="597"/>
      <c r="R469" s="597"/>
      <c r="S469" s="597"/>
      <c r="T469" s="597"/>
      <c r="U469" s="597"/>
      <c r="V469" s="597"/>
      <c r="W469" s="597"/>
      <c r="X469" s="597"/>
      <c r="Y469" s="597"/>
      <c r="Z469" s="597"/>
    </row>
    <row r="470" spans="1:26" ht="18.75">
      <c r="A470" s="590"/>
      <c r="B470" s="568"/>
      <c r="C470" s="754"/>
      <c r="D470" s="599" t="s">
        <v>20</v>
      </c>
      <c r="E470" s="754"/>
      <c r="F470" s="754"/>
      <c r="G470" s="189"/>
      <c r="H470" s="161" t="s">
        <v>12</v>
      </c>
      <c r="I470" s="184"/>
      <c r="J470" s="184"/>
      <c r="K470" s="163"/>
      <c r="L470" s="496">
        <f t="shared" ref="L470:N470" ca="1" si="210">L471+L472</f>
        <v>250523</v>
      </c>
      <c r="M470" s="496">
        <f t="shared" si="210"/>
        <v>0</v>
      </c>
      <c r="N470" s="496">
        <f t="shared" si="210"/>
        <v>0</v>
      </c>
      <c r="O470" s="496">
        <f t="shared" ca="1" si="207"/>
        <v>0</v>
      </c>
      <c r="P470" s="496">
        <f t="shared" si="208"/>
        <v>0</v>
      </c>
      <c r="Q470" s="571"/>
      <c r="R470" s="571"/>
      <c r="S470" s="571"/>
      <c r="T470" s="571"/>
      <c r="U470" s="571"/>
      <c r="V470" s="571"/>
      <c r="W470" s="571"/>
      <c r="X470" s="571"/>
      <c r="Y470" s="571"/>
      <c r="Z470" s="571"/>
    </row>
    <row r="471" spans="1:26" ht="18.75" hidden="1">
      <c r="A471" s="592"/>
      <c r="B471" s="600"/>
      <c r="C471" s="750"/>
      <c r="D471" s="711"/>
      <c r="E471" s="750" t="s">
        <v>184</v>
      </c>
      <c r="F471" s="750"/>
      <c r="G471" s="596"/>
      <c r="H471" s="165" t="s">
        <v>12</v>
      </c>
      <c r="I471" s="610"/>
      <c r="J471" s="610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597"/>
      <c r="R471" s="597"/>
      <c r="S471" s="597"/>
      <c r="T471" s="597"/>
      <c r="U471" s="597"/>
      <c r="V471" s="597"/>
      <c r="W471" s="597"/>
      <c r="X471" s="597"/>
      <c r="Y471" s="597"/>
      <c r="Z471" s="597"/>
    </row>
    <row r="472" spans="1:26" ht="18.75" hidden="1">
      <c r="A472" s="592"/>
      <c r="B472" s="600"/>
      <c r="C472" s="750"/>
      <c r="D472" s="711"/>
      <c r="E472" s="750" t="s">
        <v>185</v>
      </c>
      <c r="F472" s="750"/>
      <c r="G472" s="596"/>
      <c r="H472" s="165" t="s">
        <v>12</v>
      </c>
      <c r="I472" s="610"/>
      <c r="J472" s="610"/>
      <c r="K472" s="93"/>
      <c r="L472" s="93">
        <f ca="1">IFERROR(__xludf.DUMMYFUNCTION("IMPORTRANGE(""https://docs.google.com/spreadsheets/d/1QqKyyYR6Q21VydFLVH3TRQUabQu_ym0Zz7PgGX0-kHA/edit?usp=sharing"",""แผน!FS63"")"),250523)</f>
        <v>250523</v>
      </c>
      <c r="M472" s="93">
        <v>0</v>
      </c>
      <c r="N472" s="93">
        <f>N473+N474+N475+N476</f>
        <v>0</v>
      </c>
      <c r="O472" s="93">
        <f t="shared" ca="1" si="207"/>
        <v>0</v>
      </c>
      <c r="P472" s="93">
        <f t="shared" si="208"/>
        <v>0</v>
      </c>
      <c r="Q472" s="597"/>
      <c r="R472" s="597"/>
      <c r="S472" s="597"/>
      <c r="T472" s="597"/>
      <c r="U472" s="597"/>
      <c r="V472" s="597"/>
      <c r="W472" s="597"/>
      <c r="X472" s="597"/>
      <c r="Y472" s="597"/>
      <c r="Z472" s="597"/>
    </row>
    <row r="473" spans="1:26" ht="18.75">
      <c r="A473" s="567"/>
      <c r="B473" s="568"/>
      <c r="C473" s="754"/>
      <c r="D473" s="754"/>
      <c r="E473" s="754"/>
      <c r="F473" s="754" t="s">
        <v>186</v>
      </c>
      <c r="G473" s="189"/>
      <c r="H473" s="161" t="s">
        <v>12</v>
      </c>
      <c r="I473" s="269"/>
      <c r="J473" s="269"/>
      <c r="K473" s="496"/>
      <c r="L473" s="496"/>
      <c r="M473" s="496"/>
      <c r="N473" s="817">
        <v>0</v>
      </c>
      <c r="O473" s="496"/>
      <c r="P473" s="496"/>
      <c r="Q473" s="571"/>
      <c r="R473" s="571"/>
      <c r="S473" s="571"/>
      <c r="T473" s="571"/>
      <c r="U473" s="571"/>
      <c r="V473" s="571"/>
      <c r="W473" s="571"/>
      <c r="X473" s="571"/>
      <c r="Y473" s="571"/>
      <c r="Z473" s="571"/>
    </row>
    <row r="474" spans="1:26" ht="18.75">
      <c r="A474" s="567"/>
      <c r="B474" s="568"/>
      <c r="C474" s="754"/>
      <c r="D474" s="754"/>
      <c r="E474" s="754"/>
      <c r="F474" s="754" t="s">
        <v>187</v>
      </c>
      <c r="G474" s="189"/>
      <c r="H474" s="161" t="s">
        <v>12</v>
      </c>
      <c r="I474" s="269"/>
      <c r="J474" s="269"/>
      <c r="K474" s="496"/>
      <c r="L474" s="496"/>
      <c r="M474" s="496"/>
      <c r="N474" s="817">
        <v>0</v>
      </c>
      <c r="O474" s="496"/>
      <c r="P474" s="496"/>
      <c r="Q474" s="571"/>
      <c r="R474" s="571"/>
      <c r="S474" s="571"/>
      <c r="T474" s="571"/>
      <c r="U474" s="571"/>
      <c r="V474" s="571"/>
      <c r="W474" s="571"/>
      <c r="X474" s="571"/>
      <c r="Y474" s="571"/>
      <c r="Z474" s="571"/>
    </row>
    <row r="475" spans="1:26" ht="18.75">
      <c r="A475" s="567"/>
      <c r="B475" s="568"/>
      <c r="C475" s="568"/>
      <c r="D475" s="568"/>
      <c r="E475" s="568"/>
      <c r="F475" s="754" t="s">
        <v>188</v>
      </c>
      <c r="G475" s="189"/>
      <c r="H475" s="161" t="s">
        <v>12</v>
      </c>
      <c r="I475" s="269"/>
      <c r="J475" s="269"/>
      <c r="K475" s="496"/>
      <c r="L475" s="496"/>
      <c r="M475" s="496"/>
      <c r="N475" s="817">
        <v>0</v>
      </c>
      <c r="O475" s="496"/>
      <c r="P475" s="496"/>
      <c r="Q475" s="571"/>
      <c r="R475" s="571"/>
      <c r="S475" s="571"/>
      <c r="T475" s="571"/>
      <c r="U475" s="571"/>
      <c r="V475" s="571"/>
      <c r="W475" s="571"/>
      <c r="X475" s="571"/>
      <c r="Y475" s="571"/>
      <c r="Z475" s="571"/>
    </row>
    <row r="476" spans="1:26" ht="18.75">
      <c r="A476" s="567"/>
      <c r="B476" s="568"/>
      <c r="C476" s="568"/>
      <c r="D476" s="568"/>
      <c r="E476" s="568"/>
      <c r="F476" s="754" t="s">
        <v>189</v>
      </c>
      <c r="G476" s="189"/>
      <c r="H476" s="161" t="s">
        <v>12</v>
      </c>
      <c r="I476" s="269"/>
      <c r="J476" s="269"/>
      <c r="K476" s="496"/>
      <c r="L476" s="496"/>
      <c r="M476" s="496"/>
      <c r="N476" s="817">
        <v>0</v>
      </c>
      <c r="O476" s="496"/>
      <c r="P476" s="496"/>
      <c r="Q476" s="571"/>
      <c r="R476" s="571"/>
      <c r="S476" s="571"/>
      <c r="T476" s="571"/>
      <c r="U476" s="571"/>
      <c r="V476" s="571"/>
      <c r="W476" s="571"/>
      <c r="X476" s="571"/>
      <c r="Y476" s="571"/>
      <c r="Z476" s="571"/>
    </row>
    <row r="477" spans="1:26" ht="18.75">
      <c r="A477" s="590"/>
      <c r="B477" s="568"/>
      <c r="C477" s="568"/>
      <c r="D477" s="599" t="s">
        <v>21</v>
      </c>
      <c r="E477" s="568"/>
      <c r="F477" s="568"/>
      <c r="G477" s="189"/>
      <c r="H477" s="168" t="s">
        <v>12</v>
      </c>
      <c r="I477" s="184"/>
      <c r="J477" s="184"/>
      <c r="K477" s="163"/>
      <c r="L477" s="496">
        <f t="shared" ref="L477:N477" ca="1" si="211">L478+L479</f>
        <v>0</v>
      </c>
      <c r="M477" s="496">
        <f t="shared" si="211"/>
        <v>0</v>
      </c>
      <c r="N477" s="496">
        <f t="shared" si="211"/>
        <v>0</v>
      </c>
      <c r="O477" s="496">
        <f t="shared" ref="O477:O479" ca="1" si="212">IF(L477&gt;0,N477*100/L477,0)</f>
        <v>0</v>
      </c>
      <c r="P477" s="496">
        <f t="shared" ref="P477:P479" si="213">IF(M477&gt;0,N477*100/M477,0)</f>
        <v>0</v>
      </c>
      <c r="Q477" s="571"/>
      <c r="R477" s="571"/>
      <c r="S477" s="571"/>
      <c r="T477" s="571"/>
      <c r="U477" s="571"/>
      <c r="V477" s="571"/>
      <c r="W477" s="571"/>
      <c r="X477" s="571"/>
      <c r="Y477" s="571"/>
      <c r="Z477" s="571"/>
    </row>
    <row r="478" spans="1:26" ht="18.75" hidden="1">
      <c r="A478" s="592"/>
      <c r="B478" s="600"/>
      <c r="C478" s="600"/>
      <c r="D478" s="600"/>
      <c r="E478" s="600" t="s">
        <v>18</v>
      </c>
      <c r="F478" s="600"/>
      <c r="G478" s="596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597"/>
      <c r="R478" s="597"/>
      <c r="S478" s="597"/>
      <c r="T478" s="597"/>
      <c r="U478" s="597"/>
      <c r="V478" s="597"/>
      <c r="W478" s="597"/>
      <c r="X478" s="597"/>
      <c r="Y478" s="597"/>
      <c r="Z478" s="597"/>
    </row>
    <row r="479" spans="1:26" ht="18.75" hidden="1">
      <c r="A479" s="592"/>
      <c r="B479" s="600"/>
      <c r="C479" s="600"/>
      <c r="D479" s="600"/>
      <c r="E479" s="600" t="s">
        <v>19</v>
      </c>
      <c r="F479" s="600"/>
      <c r="G479" s="596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IFERROR(__xludf.DUMMYFUNCTION("IMPORTRANGE(""https://docs.google.com/spreadsheets/d/1QqKyyYR6Q21VydFLVH3TRQUabQu_ym0Zz7PgGX0-kHA/edit?usp=sharing"",""แผน!FV63"")"),0)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597"/>
      <c r="R479" s="597"/>
      <c r="S479" s="597"/>
      <c r="T479" s="597"/>
      <c r="U479" s="597"/>
      <c r="V479" s="597"/>
      <c r="W479" s="597"/>
      <c r="X479" s="597"/>
      <c r="Y479" s="597"/>
      <c r="Z479" s="597"/>
    </row>
    <row r="480" spans="1:26" ht="19.5">
      <c r="A480" s="601"/>
      <c r="B480" s="611"/>
      <c r="C480" s="568" t="s">
        <v>16</v>
      </c>
      <c r="D480" s="837" t="s">
        <v>38</v>
      </c>
      <c r="E480" s="604"/>
      <c r="F480" s="752"/>
      <c r="G480" s="606"/>
      <c r="H480" s="753"/>
      <c r="I480" s="269"/>
      <c r="J480" s="269"/>
      <c r="K480" s="496"/>
      <c r="L480" s="496"/>
      <c r="M480" s="496"/>
      <c r="N480" s="496"/>
      <c r="O480" s="496"/>
      <c r="P480" s="496"/>
      <c r="Q480" s="571"/>
      <c r="R480" s="571"/>
      <c r="S480" s="571"/>
      <c r="T480" s="571"/>
      <c r="U480" s="571"/>
      <c r="V480" s="571"/>
      <c r="W480" s="571"/>
      <c r="X480" s="571"/>
      <c r="Y480" s="571"/>
      <c r="Z480" s="571"/>
    </row>
    <row r="481" spans="1:26" ht="19.5">
      <c r="A481" s="601"/>
      <c r="B481" s="611"/>
      <c r="C481" s="611"/>
      <c r="D481" s="618" t="s">
        <v>206</v>
      </c>
      <c r="E481" s="611"/>
      <c r="F481" s="611"/>
      <c r="G481" s="753"/>
      <c r="H481" s="189"/>
      <c r="I481" s="269"/>
      <c r="J481" s="269"/>
      <c r="K481" s="496"/>
      <c r="L481" s="496"/>
      <c r="M481" s="496"/>
      <c r="N481" s="496"/>
      <c r="O481" s="496"/>
      <c r="P481" s="496"/>
      <c r="Q481" s="571"/>
      <c r="R481" s="571"/>
      <c r="S481" s="571"/>
      <c r="T481" s="571"/>
      <c r="U481" s="571"/>
      <c r="V481" s="571"/>
      <c r="W481" s="571"/>
      <c r="X481" s="571"/>
      <c r="Y481" s="571"/>
      <c r="Z481" s="571"/>
    </row>
    <row r="482" spans="1:26" ht="18.75">
      <c r="A482" s="601"/>
      <c r="B482" s="611"/>
      <c r="C482" s="611"/>
      <c r="D482" s="611"/>
      <c r="E482" s="611" t="s">
        <v>207</v>
      </c>
      <c r="F482" s="611"/>
      <c r="G482" s="753"/>
      <c r="H482" s="189"/>
      <c r="I482" s="269"/>
      <c r="J482" s="269"/>
      <c r="K482" s="496"/>
      <c r="L482" s="496"/>
      <c r="M482" s="496"/>
      <c r="N482" s="496"/>
      <c r="O482" s="496"/>
      <c r="P482" s="496"/>
      <c r="Q482" s="571"/>
      <c r="R482" s="571"/>
      <c r="S482" s="571"/>
      <c r="T482" s="571"/>
      <c r="U482" s="571"/>
      <c r="V482" s="571"/>
      <c r="W482" s="571"/>
      <c r="X482" s="571"/>
      <c r="Y482" s="571"/>
      <c r="Z482" s="571"/>
    </row>
    <row r="483" spans="1:26" ht="18.75">
      <c r="A483" s="601"/>
      <c r="B483" s="611"/>
      <c r="C483" s="611"/>
      <c r="D483" s="611"/>
      <c r="E483" s="611"/>
      <c r="F483" s="611" t="s">
        <v>208</v>
      </c>
      <c r="G483" s="753"/>
      <c r="H483" s="616" t="s">
        <v>46</v>
      </c>
      <c r="I483" s="269">
        <f ca="1">IFERROR(__xludf.DUMMYFUNCTION("IMPORTRANGE(""https://docs.google.com/spreadsheets/d/1QqKyyYR6Q21VydFLVH3TRQUabQu_ym0Zz7PgGX0-kHA/edit?usp=sharing"",""แผน!FY63"")"),270)</f>
        <v>270</v>
      </c>
      <c r="J483" s="214">
        <v>0</v>
      </c>
      <c r="K483" s="496">
        <f ca="1">IF(I483&gt;0,J483*100/I483,0)</f>
        <v>0</v>
      </c>
      <c r="L483" s="496"/>
      <c r="M483" s="496"/>
      <c r="N483" s="496"/>
      <c r="O483" s="496"/>
      <c r="P483" s="496"/>
      <c r="Q483" s="571"/>
      <c r="R483" s="571"/>
      <c r="S483" s="571"/>
      <c r="T483" s="571"/>
      <c r="U483" s="571"/>
      <c r="V483" s="571"/>
      <c r="W483" s="571"/>
      <c r="X483" s="571"/>
      <c r="Y483" s="571"/>
      <c r="Z483" s="571"/>
    </row>
    <row r="484" spans="1:26" ht="18.75">
      <c r="A484" s="601"/>
      <c r="B484" s="611"/>
      <c r="C484" s="611"/>
      <c r="D484" s="611"/>
      <c r="E484" s="611"/>
      <c r="F484" s="611" t="s">
        <v>209</v>
      </c>
      <c r="G484" s="753"/>
      <c r="H484" s="616" t="s">
        <v>35</v>
      </c>
      <c r="I484" s="269"/>
      <c r="J484" s="214">
        <v>0</v>
      </c>
      <c r="K484" s="496"/>
      <c r="L484" s="496"/>
      <c r="M484" s="496"/>
      <c r="N484" s="496"/>
      <c r="O484" s="496"/>
      <c r="P484" s="496"/>
      <c r="Q484" s="571"/>
      <c r="R484" s="571"/>
      <c r="S484" s="571"/>
      <c r="T484" s="571"/>
      <c r="U484" s="571"/>
      <c r="V484" s="571"/>
      <c r="W484" s="571"/>
      <c r="X484" s="571"/>
      <c r="Y484" s="571"/>
      <c r="Z484" s="571"/>
    </row>
    <row r="485" spans="1:26" ht="18.75">
      <c r="A485" s="601"/>
      <c r="B485" s="611"/>
      <c r="C485" s="611"/>
      <c r="D485" s="611"/>
      <c r="E485" s="611"/>
      <c r="F485" s="611" t="s">
        <v>210</v>
      </c>
      <c r="G485" s="753"/>
      <c r="H485" s="616" t="s">
        <v>35</v>
      </c>
      <c r="I485" s="269">
        <f ca="1">IFERROR(__xludf.DUMMYFUNCTION("IMPORTRANGE(""https://docs.google.com/spreadsheets/d/1QqKyyYR6Q21VydFLVH3TRQUabQu_ym0Zz7PgGX0-kHA/edit?usp=sharing"",""แผน!FZ63"")"),27)</f>
        <v>27</v>
      </c>
      <c r="J485" s="214">
        <v>0</v>
      </c>
      <c r="K485" s="496">
        <f ca="1">IF(I485&gt;0,J485*100/I485,0)</f>
        <v>0</v>
      </c>
      <c r="L485" s="496"/>
      <c r="M485" s="496"/>
      <c r="N485" s="496"/>
      <c r="O485" s="496"/>
      <c r="P485" s="496"/>
      <c r="Q485" s="571"/>
      <c r="R485" s="571"/>
      <c r="S485" s="571"/>
      <c r="T485" s="571"/>
      <c r="U485" s="571"/>
      <c r="V485" s="571"/>
      <c r="W485" s="571"/>
      <c r="X485" s="571"/>
      <c r="Y485" s="571"/>
      <c r="Z485" s="571"/>
    </row>
    <row r="486" spans="1:26" ht="18.75">
      <c r="A486" s="601"/>
      <c r="B486" s="611"/>
      <c r="C486" s="611"/>
      <c r="D486" s="611"/>
      <c r="E486" s="611" t="s">
        <v>62</v>
      </c>
      <c r="F486" s="611"/>
      <c r="G486" s="753"/>
      <c r="H486" s="616"/>
      <c r="I486" s="269"/>
      <c r="J486" s="269"/>
      <c r="K486" s="496"/>
      <c r="L486" s="496"/>
      <c r="M486" s="496"/>
      <c r="N486" s="496"/>
      <c r="O486" s="496"/>
      <c r="P486" s="496"/>
      <c r="Q486" s="571"/>
      <c r="R486" s="571"/>
      <c r="S486" s="571"/>
      <c r="T486" s="571"/>
      <c r="U486" s="571"/>
      <c r="V486" s="571"/>
      <c r="W486" s="571"/>
      <c r="X486" s="571"/>
      <c r="Y486" s="571"/>
      <c r="Z486" s="571"/>
    </row>
    <row r="487" spans="1:26" ht="18.75">
      <c r="A487" s="601"/>
      <c r="B487" s="611"/>
      <c r="C487" s="611"/>
      <c r="D487" s="611"/>
      <c r="E487" s="611"/>
      <c r="F487" s="611" t="s">
        <v>208</v>
      </c>
      <c r="G487" s="753"/>
      <c r="H487" s="616" t="s">
        <v>46</v>
      </c>
      <c r="I487" s="269">
        <f ca="1">IFERROR(__xludf.DUMMYFUNCTION("IMPORTRANGE(""https://docs.google.com/spreadsheets/d/1QqKyyYR6Q21VydFLVH3TRQUabQu_ym0Zz7PgGX0-kHA/edit?usp=sharing"",""แผน!GA63"")"),30)</f>
        <v>30</v>
      </c>
      <c r="J487" s="214">
        <v>0</v>
      </c>
      <c r="K487" s="496">
        <f ca="1">IF(I487&gt;0,J487*100/I487,0)</f>
        <v>0</v>
      </c>
      <c r="L487" s="496"/>
      <c r="M487" s="496"/>
      <c r="N487" s="496"/>
      <c r="O487" s="496"/>
      <c r="P487" s="496"/>
      <c r="Q487" s="571"/>
      <c r="R487" s="571"/>
      <c r="S487" s="571"/>
      <c r="T487" s="571"/>
      <c r="U487" s="571"/>
      <c r="V487" s="571"/>
      <c r="W487" s="571"/>
      <c r="X487" s="571"/>
      <c r="Y487" s="571"/>
      <c r="Z487" s="571"/>
    </row>
    <row r="488" spans="1:26" ht="18.75">
      <c r="A488" s="601"/>
      <c r="B488" s="611"/>
      <c r="C488" s="611"/>
      <c r="D488" s="611"/>
      <c r="E488" s="611"/>
      <c r="F488" s="611" t="s">
        <v>211</v>
      </c>
      <c r="G488" s="753"/>
      <c r="H488" s="616" t="s">
        <v>35</v>
      </c>
      <c r="I488" s="269"/>
      <c r="J488" s="214">
        <v>0</v>
      </c>
      <c r="K488" s="496"/>
      <c r="L488" s="496"/>
      <c r="M488" s="496"/>
      <c r="N488" s="496"/>
      <c r="O488" s="496"/>
      <c r="P488" s="496"/>
      <c r="Q488" s="571"/>
      <c r="R488" s="571"/>
      <c r="S488" s="571"/>
      <c r="T488" s="571"/>
      <c r="U488" s="571"/>
      <c r="V488" s="571"/>
      <c r="W488" s="571"/>
      <c r="X488" s="571"/>
      <c r="Y488" s="571"/>
      <c r="Z488" s="571"/>
    </row>
    <row r="489" spans="1:26" ht="18.75">
      <c r="A489" s="601"/>
      <c r="B489" s="611"/>
      <c r="C489" s="611"/>
      <c r="D489" s="611"/>
      <c r="E489" s="611"/>
      <c r="F489" s="611" t="s">
        <v>212</v>
      </c>
      <c r="G489" s="753"/>
      <c r="H489" s="616" t="s">
        <v>35</v>
      </c>
      <c r="I489" s="269">
        <f ca="1">IFERROR(__xludf.DUMMYFUNCTION("IMPORTRANGE(""https://docs.google.com/spreadsheets/d/1QqKyyYR6Q21VydFLVH3TRQUabQu_ym0Zz7PgGX0-kHA/edit?usp=sharing"",""แผน!GB63"")"),3)</f>
        <v>3</v>
      </c>
      <c r="J489" s="214">
        <v>0</v>
      </c>
      <c r="K489" s="496">
        <f ca="1">IF(I489&gt;0,J489*100/I489,0)</f>
        <v>0</v>
      </c>
      <c r="L489" s="496"/>
      <c r="M489" s="496"/>
      <c r="N489" s="496"/>
      <c r="O489" s="496"/>
      <c r="P489" s="496"/>
      <c r="Q489" s="571"/>
      <c r="R489" s="571"/>
      <c r="S489" s="571"/>
      <c r="T489" s="571"/>
      <c r="U489" s="571"/>
      <c r="V489" s="571"/>
      <c r="W489" s="571"/>
      <c r="X489" s="571"/>
      <c r="Y489" s="571"/>
      <c r="Z489" s="571"/>
    </row>
    <row r="490" spans="1:26" ht="18.75">
      <c r="A490" s="601"/>
      <c r="B490" s="611"/>
      <c r="C490" s="611"/>
      <c r="D490" s="611"/>
      <c r="E490" s="611" t="s">
        <v>63</v>
      </c>
      <c r="F490" s="619"/>
      <c r="G490" s="753"/>
      <c r="H490" s="616"/>
      <c r="I490" s="269"/>
      <c r="J490" s="269"/>
      <c r="K490" s="496"/>
      <c r="L490" s="496"/>
      <c r="M490" s="496"/>
      <c r="N490" s="496"/>
      <c r="O490" s="496"/>
      <c r="P490" s="496"/>
      <c r="Q490" s="571"/>
      <c r="R490" s="571"/>
      <c r="S490" s="571"/>
      <c r="T490" s="571"/>
      <c r="U490" s="571"/>
      <c r="V490" s="571"/>
      <c r="W490" s="571"/>
      <c r="X490" s="571"/>
      <c r="Y490" s="571"/>
      <c r="Z490" s="571"/>
    </row>
    <row r="491" spans="1:26" ht="18.75">
      <c r="A491" s="601"/>
      <c r="B491" s="611"/>
      <c r="C491" s="611"/>
      <c r="D491" s="611"/>
      <c r="E491" s="611"/>
      <c r="F491" s="611" t="s">
        <v>213</v>
      </c>
      <c r="G491" s="753"/>
      <c r="H491" s="616" t="s">
        <v>35</v>
      </c>
      <c r="I491" s="269"/>
      <c r="J491" s="214">
        <v>0</v>
      </c>
      <c r="K491" s="496"/>
      <c r="L491" s="496"/>
      <c r="M491" s="496"/>
      <c r="N491" s="496"/>
      <c r="O491" s="496"/>
      <c r="P491" s="496"/>
      <c r="Q491" s="571"/>
      <c r="R491" s="571"/>
      <c r="S491" s="571"/>
      <c r="T491" s="571"/>
      <c r="U491" s="571"/>
      <c r="V491" s="571"/>
      <c r="W491" s="571"/>
      <c r="X491" s="571"/>
      <c r="Y491" s="571"/>
      <c r="Z491" s="571"/>
    </row>
    <row r="492" spans="1:26" ht="18.75">
      <c r="A492" s="601"/>
      <c r="B492" s="611"/>
      <c r="C492" s="611"/>
      <c r="D492" s="611"/>
      <c r="E492" s="611"/>
      <c r="F492" s="611" t="s">
        <v>214</v>
      </c>
      <c r="G492" s="753"/>
      <c r="H492" s="616" t="s">
        <v>35</v>
      </c>
      <c r="I492" s="269">
        <f ca="1">IFERROR(__xludf.DUMMYFUNCTION("IMPORTRANGE(""https://docs.google.com/spreadsheets/d/1QqKyyYR6Q21VydFLVH3TRQUabQu_ym0Zz7PgGX0-kHA/edit?usp=sharing"",""แผน!GC63"")"),1)</f>
        <v>1</v>
      </c>
      <c r="J492" s="214">
        <v>0</v>
      </c>
      <c r="K492" s="496">
        <f ca="1">IF(I492&gt;0,J492*100/I492,0)</f>
        <v>0</v>
      </c>
      <c r="L492" s="496"/>
      <c r="M492" s="496"/>
      <c r="N492" s="496"/>
      <c r="O492" s="496"/>
      <c r="P492" s="496"/>
      <c r="Q492" s="571"/>
      <c r="R492" s="571"/>
      <c r="S492" s="571"/>
      <c r="T492" s="571"/>
      <c r="U492" s="571"/>
      <c r="V492" s="571"/>
      <c r="W492" s="571"/>
      <c r="X492" s="571"/>
      <c r="Y492" s="571"/>
      <c r="Z492" s="571"/>
    </row>
    <row r="493" spans="1:26" ht="19.5">
      <c r="A493" s="601"/>
      <c r="B493" s="611"/>
      <c r="C493" s="611"/>
      <c r="D493" s="618" t="s">
        <v>59</v>
      </c>
      <c r="E493" s="611"/>
      <c r="F493" s="619"/>
      <c r="G493" s="753"/>
      <c r="H493" s="189"/>
      <c r="I493" s="269"/>
      <c r="J493" s="269"/>
      <c r="K493" s="496"/>
      <c r="L493" s="496"/>
      <c r="M493" s="496"/>
      <c r="N493" s="496"/>
      <c r="O493" s="496"/>
      <c r="P493" s="496"/>
      <c r="Q493" s="571"/>
      <c r="R493" s="571"/>
      <c r="S493" s="571"/>
      <c r="T493" s="571"/>
      <c r="U493" s="571"/>
      <c r="V493" s="571"/>
      <c r="W493" s="571"/>
      <c r="X493" s="571"/>
      <c r="Y493" s="571"/>
      <c r="Z493" s="571"/>
    </row>
    <row r="494" spans="1:26" ht="18.75">
      <c r="A494" s="601"/>
      <c r="B494" s="611"/>
      <c r="C494" s="611"/>
      <c r="D494" s="611"/>
      <c r="E494" s="611" t="s">
        <v>207</v>
      </c>
      <c r="F494" s="619"/>
      <c r="G494" s="753"/>
      <c r="H494" s="189"/>
      <c r="I494" s="269"/>
      <c r="J494" s="269"/>
      <c r="K494" s="496"/>
      <c r="L494" s="496"/>
      <c r="M494" s="496"/>
      <c r="N494" s="496"/>
      <c r="O494" s="496"/>
      <c r="P494" s="496"/>
      <c r="Q494" s="571"/>
      <c r="R494" s="571"/>
      <c r="S494" s="571"/>
      <c r="T494" s="571"/>
      <c r="U494" s="571"/>
      <c r="V494" s="571"/>
      <c r="W494" s="571"/>
      <c r="X494" s="571"/>
      <c r="Y494" s="571"/>
      <c r="Z494" s="571"/>
    </row>
    <row r="495" spans="1:26" ht="18.75">
      <c r="A495" s="601"/>
      <c r="B495" s="611"/>
      <c r="C495" s="611"/>
      <c r="D495" s="611"/>
      <c r="E495" s="611"/>
      <c r="F495" s="619" t="s">
        <v>215</v>
      </c>
      <c r="G495" s="753"/>
      <c r="H495" s="616" t="s">
        <v>46</v>
      </c>
      <c r="I495" s="269">
        <f ca="1">IFERROR(__xludf.DUMMYFUNCTION("IMPORTRANGE(""https://docs.google.com/spreadsheets/d/1QqKyyYR6Q21VydFLVH3TRQUabQu_ym0Zz7PgGX0-kHA/edit?usp=sharing"",""แผน!FY63"")"),270)</f>
        <v>270</v>
      </c>
      <c r="J495" s="214">
        <v>0</v>
      </c>
      <c r="K495" s="496">
        <f ca="1">IF(I495&gt;0,J495*100/I495,0)</f>
        <v>0</v>
      </c>
      <c r="L495" s="496"/>
      <c r="M495" s="496"/>
      <c r="N495" s="496"/>
      <c r="O495" s="496"/>
      <c r="P495" s="496"/>
      <c r="Q495" s="571"/>
      <c r="R495" s="571"/>
      <c r="S495" s="571"/>
      <c r="T495" s="571"/>
      <c r="U495" s="571"/>
      <c r="V495" s="571"/>
      <c r="W495" s="571"/>
      <c r="X495" s="571"/>
      <c r="Y495" s="571"/>
      <c r="Z495" s="571"/>
    </row>
    <row r="496" spans="1:26" ht="18.75">
      <c r="A496" s="601"/>
      <c r="B496" s="611"/>
      <c r="C496" s="611"/>
      <c r="D496" s="611"/>
      <c r="E496" s="611"/>
      <c r="F496" s="619" t="s">
        <v>216</v>
      </c>
      <c r="G496" s="753"/>
      <c r="H496" s="616" t="s">
        <v>46</v>
      </c>
      <c r="I496" s="269"/>
      <c r="J496" s="214">
        <v>0</v>
      </c>
      <c r="K496" s="496"/>
      <c r="L496" s="496"/>
      <c r="M496" s="496"/>
      <c r="N496" s="496"/>
      <c r="O496" s="496"/>
      <c r="P496" s="496"/>
      <c r="Q496" s="571"/>
      <c r="R496" s="571"/>
      <c r="S496" s="571"/>
      <c r="T496" s="571"/>
      <c r="U496" s="571"/>
      <c r="V496" s="571"/>
      <c r="W496" s="571"/>
      <c r="X496" s="571"/>
      <c r="Y496" s="571"/>
      <c r="Z496" s="571"/>
    </row>
    <row r="497" spans="1:26" ht="18.75">
      <c r="A497" s="601"/>
      <c r="B497" s="611"/>
      <c r="C497" s="611"/>
      <c r="D497" s="611"/>
      <c r="E497" s="611" t="s">
        <v>62</v>
      </c>
      <c r="F497" s="619"/>
      <c r="G497" s="753"/>
      <c r="H497" s="189"/>
      <c r="I497" s="269"/>
      <c r="J497" s="269"/>
      <c r="K497" s="496"/>
      <c r="L497" s="496"/>
      <c r="M497" s="496"/>
      <c r="N497" s="496"/>
      <c r="O497" s="496"/>
      <c r="P497" s="496"/>
      <c r="Q497" s="571"/>
      <c r="R497" s="571"/>
      <c r="S497" s="571"/>
      <c r="T497" s="571"/>
      <c r="U497" s="571"/>
      <c r="V497" s="571"/>
      <c r="W497" s="571"/>
      <c r="X497" s="571"/>
      <c r="Y497" s="571"/>
      <c r="Z497" s="571"/>
    </row>
    <row r="498" spans="1:26" ht="18.75">
      <c r="A498" s="601"/>
      <c r="B498" s="611"/>
      <c r="C498" s="611"/>
      <c r="D498" s="611"/>
      <c r="E498" s="619"/>
      <c r="F498" s="619" t="s">
        <v>217</v>
      </c>
      <c r="G498" s="753"/>
      <c r="H498" s="616" t="s">
        <v>46</v>
      </c>
      <c r="I498" s="269">
        <f ca="1">IFERROR(__xludf.DUMMYFUNCTION("IMPORTRANGE(""https://docs.google.com/spreadsheets/d/1QqKyyYR6Q21VydFLVH3TRQUabQu_ym0Zz7PgGX0-kHA/edit?usp=sharing"",""แผน!GA63"")"),30)</f>
        <v>30</v>
      </c>
      <c r="J498" s="214">
        <v>0</v>
      </c>
      <c r="K498" s="496">
        <f ca="1">IF(I498&gt;0,J498*100/I498,0)</f>
        <v>0</v>
      </c>
      <c r="L498" s="496"/>
      <c r="M498" s="496"/>
      <c r="N498" s="496"/>
      <c r="O498" s="496"/>
      <c r="P498" s="496"/>
      <c r="Q498" s="571"/>
      <c r="R498" s="571"/>
      <c r="S498" s="571"/>
      <c r="T498" s="571"/>
      <c r="U498" s="571"/>
      <c r="V498" s="571"/>
      <c r="W498" s="571"/>
      <c r="X498" s="571"/>
      <c r="Y498" s="571"/>
      <c r="Z498" s="571"/>
    </row>
    <row r="499" spans="1:26" ht="18.75">
      <c r="A499" s="601"/>
      <c r="B499" s="611"/>
      <c r="C499" s="611"/>
      <c r="D499" s="611"/>
      <c r="E499" s="619"/>
      <c r="F499" s="619" t="s">
        <v>218</v>
      </c>
      <c r="G499" s="753"/>
      <c r="H499" s="616" t="s">
        <v>46</v>
      </c>
      <c r="I499" s="269"/>
      <c r="J499" s="214">
        <v>0</v>
      </c>
      <c r="K499" s="496"/>
      <c r="L499" s="496"/>
      <c r="M499" s="496"/>
      <c r="N499" s="496"/>
      <c r="O499" s="496"/>
      <c r="P499" s="496"/>
      <c r="Q499" s="571"/>
      <c r="R499" s="571"/>
      <c r="S499" s="571"/>
      <c r="T499" s="571"/>
      <c r="U499" s="571"/>
      <c r="V499" s="571"/>
      <c r="W499" s="571"/>
      <c r="X499" s="571"/>
      <c r="Y499" s="571"/>
      <c r="Z499" s="571"/>
    </row>
    <row r="500" spans="1:26" ht="19.5" hidden="1">
      <c r="A500" s="620">
        <v>4</v>
      </c>
      <c r="B500" s="621" t="s">
        <v>219</v>
      </c>
      <c r="C500" s="622"/>
      <c r="D500" s="623"/>
      <c r="E500" s="623"/>
      <c r="F500" s="623"/>
      <c r="G500" s="624"/>
      <c r="H500" s="625" t="s">
        <v>109</v>
      </c>
      <c r="I500" s="626"/>
      <c r="J500" s="626">
        <f t="shared" ref="J500:J501" si="214">J516</f>
        <v>0</v>
      </c>
      <c r="K500" s="627">
        <f t="shared" ref="K500:K501" si="215">IF(I500&gt;0,J500*100/I500,0)</f>
        <v>0</v>
      </c>
      <c r="L500" s="628"/>
      <c r="M500" s="628"/>
      <c r="N500" s="628"/>
      <c r="O500" s="628"/>
      <c r="P500" s="628"/>
      <c r="Q500" s="597"/>
      <c r="R500" s="597"/>
      <c r="S500" s="597"/>
      <c r="T500" s="597"/>
      <c r="U500" s="597"/>
      <c r="V500" s="597"/>
      <c r="W500" s="597"/>
      <c r="X500" s="597"/>
      <c r="Y500" s="597"/>
      <c r="Z500" s="597"/>
    </row>
    <row r="501" spans="1:26" ht="19.5" hidden="1">
      <c r="A501" s="629"/>
      <c r="B501" s="631" t="s">
        <v>220</v>
      </c>
      <c r="C501" s="631"/>
      <c r="D501" s="632"/>
      <c r="E501" s="632"/>
      <c r="F501" s="632"/>
      <c r="G501" s="633"/>
      <c r="H501" s="634" t="s">
        <v>35</v>
      </c>
      <c r="I501" s="635"/>
      <c r="J501" s="635">
        <f t="shared" si="214"/>
        <v>0</v>
      </c>
      <c r="K501" s="636">
        <f t="shared" si="215"/>
        <v>0</v>
      </c>
      <c r="L501" s="637"/>
      <c r="M501" s="637"/>
      <c r="N501" s="637"/>
      <c r="O501" s="637"/>
      <c r="P501" s="637"/>
      <c r="Q501" s="597"/>
      <c r="R501" s="597"/>
      <c r="S501" s="597"/>
      <c r="T501" s="597"/>
      <c r="U501" s="597"/>
      <c r="V501" s="597"/>
      <c r="W501" s="597"/>
      <c r="X501" s="597"/>
      <c r="Y501" s="597"/>
      <c r="Z501" s="597"/>
    </row>
    <row r="502" spans="1:26" ht="19.5" hidden="1">
      <c r="A502" s="592"/>
      <c r="B502" s="750"/>
      <c r="C502" s="750" t="s">
        <v>16</v>
      </c>
      <c r="D502" s="864" t="s">
        <v>17</v>
      </c>
      <c r="E502" s="857"/>
      <c r="F502" s="857"/>
      <c r="G502" s="596"/>
      <c r="H502" s="639" t="s">
        <v>12</v>
      </c>
      <c r="I502" s="610"/>
      <c r="J502" s="610"/>
      <c r="K502" s="93"/>
      <c r="L502" s="640">
        <f t="shared" ref="L502:N502" si="216">L503+L504</f>
        <v>0</v>
      </c>
      <c r="M502" s="640">
        <f t="shared" si="216"/>
        <v>0</v>
      </c>
      <c r="N502" s="640">
        <f t="shared" si="216"/>
        <v>0</v>
      </c>
      <c r="O502" s="640">
        <f t="shared" ref="O502:O507" si="217">IF(L502&gt;0,N502*100/L502,0)</f>
        <v>0</v>
      </c>
      <c r="P502" s="640">
        <f t="shared" ref="P502:P507" si="218">IF(M502&gt;0,N502*100/M502,0)</f>
        <v>0</v>
      </c>
      <c r="Q502" s="597"/>
      <c r="R502" s="597"/>
      <c r="S502" s="597"/>
      <c r="T502" s="597"/>
      <c r="U502" s="597"/>
      <c r="V502" s="597"/>
      <c r="W502" s="597"/>
      <c r="X502" s="597"/>
      <c r="Y502" s="597"/>
      <c r="Z502" s="597"/>
    </row>
    <row r="503" spans="1:26" ht="18.75" hidden="1">
      <c r="A503" s="592"/>
      <c r="B503" s="750"/>
      <c r="C503" s="750"/>
      <c r="D503" s="711"/>
      <c r="E503" s="750" t="s">
        <v>184</v>
      </c>
      <c r="F503" s="750"/>
      <c r="G503" s="596"/>
      <c r="H503" s="165" t="s">
        <v>12</v>
      </c>
      <c r="I503" s="610"/>
      <c r="J503" s="610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597"/>
      <c r="R503" s="597"/>
      <c r="S503" s="597"/>
      <c r="T503" s="597"/>
      <c r="U503" s="597"/>
      <c r="V503" s="597"/>
      <c r="W503" s="597"/>
      <c r="X503" s="597"/>
      <c r="Y503" s="597"/>
      <c r="Z503" s="597"/>
    </row>
    <row r="504" spans="1:26" ht="18.75" hidden="1">
      <c r="A504" s="592"/>
      <c r="B504" s="600"/>
      <c r="C504" s="750"/>
      <c r="D504" s="711"/>
      <c r="E504" s="750" t="s">
        <v>185</v>
      </c>
      <c r="F504" s="750"/>
      <c r="G504" s="596"/>
      <c r="H504" s="165" t="s">
        <v>12</v>
      </c>
      <c r="I504" s="610"/>
      <c r="J504" s="610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597"/>
      <c r="R504" s="597"/>
      <c r="S504" s="597"/>
      <c r="T504" s="597"/>
      <c r="U504" s="597"/>
      <c r="V504" s="597"/>
      <c r="W504" s="597"/>
      <c r="X504" s="597"/>
      <c r="Y504" s="597"/>
      <c r="Z504" s="597"/>
    </row>
    <row r="505" spans="1:26" ht="18.75" hidden="1">
      <c r="A505" s="592"/>
      <c r="B505" s="600"/>
      <c r="C505" s="750"/>
      <c r="D505" s="641" t="s">
        <v>20</v>
      </c>
      <c r="E505" s="750"/>
      <c r="F505" s="750"/>
      <c r="G505" s="596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597"/>
      <c r="R505" s="597"/>
      <c r="S505" s="597"/>
      <c r="T505" s="597"/>
      <c r="U505" s="597"/>
      <c r="V505" s="597"/>
      <c r="W505" s="597"/>
      <c r="X505" s="597"/>
      <c r="Y505" s="597"/>
      <c r="Z505" s="597"/>
    </row>
    <row r="506" spans="1:26" ht="18.75" hidden="1">
      <c r="A506" s="592"/>
      <c r="B506" s="600"/>
      <c r="C506" s="750"/>
      <c r="D506" s="711"/>
      <c r="E506" s="750" t="s">
        <v>184</v>
      </c>
      <c r="F506" s="750"/>
      <c r="G506" s="596"/>
      <c r="H506" s="165" t="s">
        <v>12</v>
      </c>
      <c r="I506" s="610"/>
      <c r="J506" s="610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597"/>
      <c r="R506" s="597"/>
      <c r="S506" s="597"/>
      <c r="T506" s="597"/>
      <c r="U506" s="597"/>
      <c r="V506" s="597"/>
      <c r="W506" s="597"/>
      <c r="X506" s="597"/>
      <c r="Y506" s="597"/>
      <c r="Z506" s="597"/>
    </row>
    <row r="507" spans="1:26" ht="18.75" hidden="1">
      <c r="A507" s="592"/>
      <c r="B507" s="600"/>
      <c r="C507" s="750"/>
      <c r="D507" s="711"/>
      <c r="E507" s="750" t="s">
        <v>185</v>
      </c>
      <c r="F507" s="750"/>
      <c r="G507" s="596"/>
      <c r="H507" s="165" t="s">
        <v>12</v>
      </c>
      <c r="I507" s="610"/>
      <c r="J507" s="610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597"/>
      <c r="R507" s="597"/>
      <c r="S507" s="597"/>
      <c r="T507" s="597"/>
      <c r="U507" s="597"/>
      <c r="V507" s="597"/>
      <c r="W507" s="597"/>
      <c r="X507" s="597"/>
      <c r="Y507" s="597"/>
      <c r="Z507" s="597"/>
    </row>
    <row r="508" spans="1:26" ht="18.75" hidden="1">
      <c r="A508" s="642"/>
      <c r="B508" s="600"/>
      <c r="C508" s="750"/>
      <c r="D508" s="750"/>
      <c r="E508" s="750"/>
      <c r="F508" s="750" t="s">
        <v>186</v>
      </c>
      <c r="G508" s="596"/>
      <c r="H508" s="165" t="s">
        <v>12</v>
      </c>
      <c r="I508" s="610"/>
      <c r="J508" s="610"/>
      <c r="K508" s="93"/>
      <c r="L508" s="93"/>
      <c r="M508" s="93"/>
      <c r="N508" s="93">
        <v>0</v>
      </c>
      <c r="O508" s="93"/>
      <c r="P508" s="93"/>
      <c r="Q508" s="597"/>
      <c r="R508" s="597"/>
      <c r="S508" s="597"/>
      <c r="T508" s="597"/>
      <c r="U508" s="597"/>
      <c r="V508" s="597"/>
      <c r="W508" s="597"/>
      <c r="X508" s="597"/>
      <c r="Y508" s="597"/>
      <c r="Z508" s="597"/>
    </row>
    <row r="509" spans="1:26" ht="18.75" hidden="1">
      <c r="A509" s="642"/>
      <c r="B509" s="600"/>
      <c r="C509" s="750"/>
      <c r="D509" s="750"/>
      <c r="E509" s="750"/>
      <c r="F509" s="750" t="s">
        <v>187</v>
      </c>
      <c r="G509" s="596"/>
      <c r="H509" s="165" t="s">
        <v>12</v>
      </c>
      <c r="I509" s="610"/>
      <c r="J509" s="610"/>
      <c r="K509" s="93"/>
      <c r="L509" s="93"/>
      <c r="M509" s="93"/>
      <c r="N509" s="93">
        <v>0</v>
      </c>
      <c r="O509" s="93"/>
      <c r="P509" s="93"/>
      <c r="Q509" s="597"/>
      <c r="R509" s="597"/>
      <c r="S509" s="597"/>
      <c r="T509" s="597"/>
      <c r="U509" s="597"/>
      <c r="V509" s="597"/>
      <c r="W509" s="597"/>
      <c r="X509" s="597"/>
      <c r="Y509" s="597"/>
      <c r="Z509" s="597"/>
    </row>
    <row r="510" spans="1:26" ht="18.75" hidden="1">
      <c r="A510" s="642"/>
      <c r="B510" s="600"/>
      <c r="C510" s="600"/>
      <c r="D510" s="600"/>
      <c r="E510" s="750"/>
      <c r="F510" s="750" t="s">
        <v>188</v>
      </c>
      <c r="G510" s="596"/>
      <c r="H510" s="165" t="s">
        <v>12</v>
      </c>
      <c r="I510" s="610"/>
      <c r="J510" s="610"/>
      <c r="K510" s="93"/>
      <c r="L510" s="93"/>
      <c r="M510" s="93"/>
      <c r="N510" s="93">
        <v>0</v>
      </c>
      <c r="O510" s="93"/>
      <c r="P510" s="93"/>
      <c r="Q510" s="597"/>
      <c r="R510" s="597"/>
      <c r="S510" s="597"/>
      <c r="T510" s="597"/>
      <c r="U510" s="597"/>
      <c r="V510" s="597"/>
      <c r="W510" s="597"/>
      <c r="X510" s="597"/>
      <c r="Y510" s="597"/>
      <c r="Z510" s="597"/>
    </row>
    <row r="511" spans="1:26" ht="18.75" hidden="1">
      <c r="A511" s="642"/>
      <c r="B511" s="600"/>
      <c r="C511" s="600"/>
      <c r="D511" s="600"/>
      <c r="E511" s="750"/>
      <c r="F511" s="750" t="s">
        <v>189</v>
      </c>
      <c r="G511" s="596"/>
      <c r="H511" s="165" t="s">
        <v>12</v>
      </c>
      <c r="I511" s="610"/>
      <c r="J511" s="610"/>
      <c r="K511" s="93"/>
      <c r="L511" s="93"/>
      <c r="M511" s="93"/>
      <c r="N511" s="93">
        <v>0</v>
      </c>
      <c r="O511" s="93"/>
      <c r="P511" s="93"/>
      <c r="Q511" s="597"/>
      <c r="R511" s="597"/>
      <c r="S511" s="597"/>
      <c r="T511" s="597"/>
      <c r="U511" s="597"/>
      <c r="V511" s="597"/>
      <c r="W511" s="597"/>
      <c r="X511" s="597"/>
      <c r="Y511" s="597"/>
      <c r="Z511" s="597"/>
    </row>
    <row r="512" spans="1:26" ht="18.75" hidden="1">
      <c r="A512" s="592"/>
      <c r="B512" s="600"/>
      <c r="C512" s="600"/>
      <c r="D512" s="641" t="s">
        <v>21</v>
      </c>
      <c r="E512" s="600"/>
      <c r="F512" s="750"/>
      <c r="G512" s="596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597"/>
      <c r="R512" s="597"/>
      <c r="S512" s="597"/>
      <c r="T512" s="597"/>
      <c r="U512" s="597"/>
      <c r="V512" s="597"/>
      <c r="W512" s="597"/>
      <c r="X512" s="597"/>
      <c r="Y512" s="597"/>
      <c r="Z512" s="597"/>
    </row>
    <row r="513" spans="1:26" ht="18.75" hidden="1">
      <c r="A513" s="592"/>
      <c r="B513" s="600"/>
      <c r="C513" s="600"/>
      <c r="D513" s="600"/>
      <c r="E513" s="600" t="s">
        <v>18</v>
      </c>
      <c r="F513" s="750"/>
      <c r="G513" s="596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597"/>
      <c r="R513" s="597"/>
      <c r="S513" s="597"/>
      <c r="T513" s="597"/>
      <c r="U513" s="597"/>
      <c r="V513" s="597"/>
      <c r="W513" s="597"/>
      <c r="X513" s="597"/>
      <c r="Y513" s="597"/>
      <c r="Z513" s="597"/>
    </row>
    <row r="514" spans="1:26" ht="18.75" hidden="1">
      <c r="A514" s="592"/>
      <c r="B514" s="600"/>
      <c r="C514" s="600"/>
      <c r="D514" s="750"/>
      <c r="E514" s="600" t="s">
        <v>19</v>
      </c>
      <c r="F514" s="750"/>
      <c r="G514" s="596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597"/>
      <c r="R514" s="597"/>
      <c r="S514" s="597"/>
      <c r="T514" s="597"/>
      <c r="U514" s="597"/>
      <c r="V514" s="597"/>
      <c r="W514" s="597"/>
      <c r="X514" s="597"/>
      <c r="Y514" s="597"/>
      <c r="Z514" s="597"/>
    </row>
    <row r="515" spans="1:26" ht="19.5" hidden="1">
      <c r="A515" s="607"/>
      <c r="B515" s="609"/>
      <c r="C515" s="600" t="s">
        <v>16</v>
      </c>
      <c r="D515" s="838" t="s">
        <v>38</v>
      </c>
      <c r="E515" s="644"/>
      <c r="F515" s="644"/>
      <c r="G515" s="645"/>
      <c r="H515" s="365"/>
      <c r="I515" s="166"/>
      <c r="J515" s="166"/>
      <c r="K515" s="167"/>
      <c r="L515" s="167"/>
      <c r="M515" s="167"/>
      <c r="N515" s="167"/>
      <c r="O515" s="167"/>
      <c r="P515" s="167"/>
      <c r="Q515" s="597"/>
      <c r="R515" s="597"/>
      <c r="S515" s="597"/>
      <c r="T515" s="597"/>
      <c r="U515" s="597"/>
      <c r="V515" s="597"/>
      <c r="W515" s="597"/>
      <c r="X515" s="597"/>
      <c r="Y515" s="597"/>
      <c r="Z515" s="597"/>
    </row>
    <row r="516" spans="1:26" ht="18.75" hidden="1">
      <c r="A516" s="607"/>
      <c r="B516" s="609"/>
      <c r="C516" s="609"/>
      <c r="D516" s="609" t="s">
        <v>221</v>
      </c>
      <c r="E516" s="711"/>
      <c r="F516" s="711"/>
      <c r="G516" s="365"/>
      <c r="H516" s="646" t="s">
        <v>109</v>
      </c>
      <c r="I516" s="610"/>
      <c r="J516" s="610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597"/>
      <c r="R516" s="597"/>
      <c r="S516" s="597"/>
      <c r="T516" s="597"/>
      <c r="U516" s="597"/>
      <c r="V516" s="597"/>
      <c r="W516" s="597"/>
      <c r="X516" s="597"/>
      <c r="Y516" s="597"/>
      <c r="Z516" s="597"/>
    </row>
    <row r="517" spans="1:26" ht="19.5" hidden="1">
      <c r="A517" s="607"/>
      <c r="B517" s="609"/>
      <c r="C517" s="609"/>
      <c r="D517" s="609" t="s">
        <v>222</v>
      </c>
      <c r="E517" s="711"/>
      <c r="F517" s="711"/>
      <c r="G517" s="365"/>
      <c r="H517" s="647" t="s">
        <v>35</v>
      </c>
      <c r="I517" s="648"/>
      <c r="J517" s="648">
        <f>J518+J519</f>
        <v>0</v>
      </c>
      <c r="K517" s="649">
        <f t="shared" si="224"/>
        <v>0</v>
      </c>
      <c r="L517" s="167"/>
      <c r="M517" s="167"/>
      <c r="N517" s="167"/>
      <c r="O517" s="167"/>
      <c r="P517" s="167"/>
      <c r="Q517" s="597"/>
      <c r="R517" s="597"/>
      <c r="S517" s="597"/>
      <c r="T517" s="597"/>
      <c r="U517" s="597"/>
      <c r="V517" s="597"/>
      <c r="W517" s="597"/>
      <c r="X517" s="597"/>
      <c r="Y517" s="597"/>
      <c r="Z517" s="597"/>
    </row>
    <row r="518" spans="1:26" ht="18.75" hidden="1">
      <c r="A518" s="607"/>
      <c r="B518" s="609"/>
      <c r="C518" s="609"/>
      <c r="D518" s="609"/>
      <c r="E518" s="609" t="s">
        <v>223</v>
      </c>
      <c r="F518" s="711"/>
      <c r="G518" s="365"/>
      <c r="H518" s="369" t="s">
        <v>35</v>
      </c>
      <c r="I518" s="610"/>
      <c r="J518" s="610"/>
      <c r="K518" s="167"/>
      <c r="L518" s="167"/>
      <c r="M518" s="167"/>
      <c r="N518" s="167"/>
      <c r="O518" s="167"/>
      <c r="P518" s="167"/>
      <c r="Q518" s="597"/>
      <c r="R518" s="597"/>
      <c r="S518" s="597"/>
      <c r="T518" s="597"/>
      <c r="U518" s="597"/>
      <c r="V518" s="597"/>
      <c r="W518" s="597"/>
      <c r="X518" s="597"/>
      <c r="Y518" s="597"/>
      <c r="Z518" s="597"/>
    </row>
    <row r="519" spans="1:26" ht="18.75" hidden="1">
      <c r="A519" s="607"/>
      <c r="B519" s="609"/>
      <c r="C519" s="609"/>
      <c r="D519" s="609"/>
      <c r="E519" s="609" t="s">
        <v>224</v>
      </c>
      <c r="F519" s="711"/>
      <c r="G519" s="365"/>
      <c r="H519" s="646" t="s">
        <v>35</v>
      </c>
      <c r="I519" s="610"/>
      <c r="J519" s="610"/>
      <c r="K519" s="167"/>
      <c r="L519" s="167"/>
      <c r="M519" s="167"/>
      <c r="N519" s="167"/>
      <c r="O519" s="167"/>
      <c r="P519" s="167"/>
      <c r="Q519" s="597"/>
      <c r="R519" s="597"/>
      <c r="S519" s="597"/>
      <c r="T519" s="597"/>
      <c r="U519" s="597"/>
      <c r="V519" s="597"/>
      <c r="W519" s="597"/>
      <c r="X519" s="597"/>
      <c r="Y519" s="597"/>
      <c r="Z519" s="597"/>
    </row>
    <row r="520" spans="1:26" ht="19.5" hidden="1">
      <c r="A520" s="650" t="s">
        <v>137</v>
      </c>
      <c r="B520" s="651"/>
      <c r="C520" s="651"/>
      <c r="D520" s="652"/>
      <c r="E520" s="652"/>
      <c r="F520" s="652"/>
      <c r="G520" s="653"/>
      <c r="H520" s="654"/>
      <c r="I520" s="655"/>
      <c r="J520" s="655"/>
      <c r="K520" s="656"/>
      <c r="L520" s="656"/>
      <c r="M520" s="656"/>
      <c r="N520" s="656"/>
      <c r="O520" s="656"/>
      <c r="P520" s="656"/>
    </row>
    <row r="521" spans="1:26" ht="19.5" hidden="1">
      <c r="A521" s="657">
        <v>5</v>
      </c>
      <c r="B521" s="658" t="s">
        <v>225</v>
      </c>
      <c r="C521" s="659"/>
      <c r="D521" s="660"/>
      <c r="E521" s="660"/>
      <c r="F521" s="660"/>
      <c r="G521" s="660"/>
      <c r="H521" s="661"/>
      <c r="I521" s="662"/>
      <c r="J521" s="662"/>
      <c r="K521" s="663"/>
      <c r="L521" s="663"/>
      <c r="M521" s="663"/>
      <c r="N521" s="663"/>
      <c r="O521" s="663"/>
      <c r="P521" s="663"/>
      <c r="Q521" s="571"/>
      <c r="R521" s="571"/>
      <c r="S521" s="571"/>
      <c r="T521" s="571"/>
      <c r="U521" s="571"/>
      <c r="V521" s="571"/>
      <c r="W521" s="571"/>
      <c r="X521" s="571"/>
      <c r="Y521" s="571"/>
      <c r="Z521" s="571"/>
    </row>
    <row r="522" spans="1:26" ht="19.5" hidden="1">
      <c r="A522" s="664"/>
      <c r="B522" s="665" t="s">
        <v>226</v>
      </c>
      <c r="C522" s="666"/>
      <c r="D522" s="666"/>
      <c r="E522" s="666"/>
      <c r="F522" s="666"/>
      <c r="G522" s="667"/>
      <c r="H522" s="668" t="s">
        <v>35</v>
      </c>
      <c r="I522" s="699">
        <f t="shared" ref="I522:J522" ca="1" si="225">I537</f>
        <v>0</v>
      </c>
      <c r="J522" s="699">
        <f t="shared" ca="1" si="225"/>
        <v>0</v>
      </c>
      <c r="K522" s="670">
        <f ca="1">IF(I522&gt;0,J522*100/I522,0)</f>
        <v>0</v>
      </c>
      <c r="L522" s="671"/>
      <c r="M522" s="671"/>
      <c r="N522" s="671"/>
      <c r="O522" s="671"/>
      <c r="P522" s="671"/>
      <c r="Q522" s="571"/>
      <c r="R522" s="571"/>
      <c r="S522" s="571"/>
      <c r="T522" s="571"/>
      <c r="U522" s="571"/>
      <c r="V522" s="571"/>
      <c r="W522" s="571"/>
      <c r="X522" s="571"/>
      <c r="Y522" s="571"/>
      <c r="Z522" s="571"/>
    </row>
    <row r="523" spans="1:26" ht="19.5" hidden="1">
      <c r="A523" s="590"/>
      <c r="B523" s="754"/>
      <c r="C523" s="754" t="s">
        <v>16</v>
      </c>
      <c r="D523" s="863" t="s">
        <v>17</v>
      </c>
      <c r="E523" s="857"/>
      <c r="F523" s="857"/>
      <c r="G523" s="189"/>
      <c r="H523" s="591" t="s">
        <v>12</v>
      </c>
      <c r="I523" s="269"/>
      <c r="J523" s="269"/>
      <c r="K523" s="496"/>
      <c r="L523" s="195">
        <f t="shared" ref="L523:N523" ca="1" si="226">L524+L525</f>
        <v>0</v>
      </c>
      <c r="M523" s="195">
        <f t="shared" si="226"/>
        <v>0</v>
      </c>
      <c r="N523" s="195">
        <f t="shared" si="226"/>
        <v>0</v>
      </c>
      <c r="O523" s="195">
        <f t="shared" ref="O523:O528" ca="1" si="227">IF(L523&gt;0,N523*100/L523,0)</f>
        <v>0</v>
      </c>
      <c r="P523" s="195">
        <f t="shared" ref="P523:P528" si="228">IF(M523&gt;0,N523*100/M523,0)</f>
        <v>0</v>
      </c>
      <c r="Q523" s="571"/>
      <c r="R523" s="571"/>
      <c r="S523" s="571"/>
      <c r="T523" s="571"/>
      <c r="U523" s="571"/>
      <c r="V523" s="571"/>
      <c r="W523" s="571"/>
      <c r="X523" s="571"/>
      <c r="Y523" s="571"/>
      <c r="Z523" s="571"/>
    </row>
    <row r="524" spans="1:26" ht="18.75" hidden="1">
      <c r="A524" s="592"/>
      <c r="B524" s="750"/>
      <c r="C524" s="750"/>
      <c r="D524" s="711"/>
      <c r="E524" s="750" t="s">
        <v>184</v>
      </c>
      <c r="F524" s="750"/>
      <c r="G524" s="596"/>
      <c r="H524" s="165" t="s">
        <v>12</v>
      </c>
      <c r="I524" s="610"/>
      <c r="J524" s="610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597"/>
      <c r="R524" s="597"/>
      <c r="S524" s="597"/>
      <c r="T524" s="597"/>
      <c r="U524" s="597"/>
      <c r="V524" s="597"/>
      <c r="W524" s="597"/>
      <c r="X524" s="597"/>
      <c r="Y524" s="597"/>
      <c r="Z524" s="597"/>
    </row>
    <row r="525" spans="1:26" ht="18.75" hidden="1">
      <c r="A525" s="592"/>
      <c r="B525" s="600"/>
      <c r="C525" s="750"/>
      <c r="D525" s="711"/>
      <c r="E525" s="750" t="s">
        <v>185</v>
      </c>
      <c r="F525" s="750"/>
      <c r="G525" s="596"/>
      <c r="H525" s="165" t="s">
        <v>12</v>
      </c>
      <c r="I525" s="610"/>
      <c r="J525" s="610"/>
      <c r="K525" s="93"/>
      <c r="L525" s="93">
        <f t="shared" ca="1" si="229"/>
        <v>0</v>
      </c>
      <c r="M525" s="93">
        <f t="shared" si="229"/>
        <v>0</v>
      </c>
      <c r="N525" s="93">
        <f t="shared" si="229"/>
        <v>0</v>
      </c>
      <c r="O525" s="93">
        <f t="shared" ca="1" si="227"/>
        <v>0</v>
      </c>
      <c r="P525" s="93">
        <f t="shared" si="228"/>
        <v>0</v>
      </c>
      <c r="Q525" s="597"/>
      <c r="R525" s="597"/>
      <c r="S525" s="597"/>
      <c r="T525" s="597"/>
      <c r="U525" s="597"/>
      <c r="V525" s="597"/>
      <c r="W525" s="597"/>
      <c r="X525" s="597"/>
      <c r="Y525" s="597"/>
      <c r="Z525" s="597"/>
    </row>
    <row r="526" spans="1:26" ht="18.75" hidden="1">
      <c r="A526" s="590"/>
      <c r="B526" s="568"/>
      <c r="C526" s="754"/>
      <c r="D526" s="599" t="s">
        <v>20</v>
      </c>
      <c r="E526" s="754"/>
      <c r="F526" s="754"/>
      <c r="G526" s="189"/>
      <c r="H526" s="161" t="s">
        <v>12</v>
      </c>
      <c r="I526" s="184"/>
      <c r="J526" s="184"/>
      <c r="K526" s="163"/>
      <c r="L526" s="496">
        <f t="shared" ref="L526:N526" ca="1" si="230">L527+L528</f>
        <v>0</v>
      </c>
      <c r="M526" s="496">
        <f t="shared" si="230"/>
        <v>0</v>
      </c>
      <c r="N526" s="496">
        <f t="shared" si="230"/>
        <v>0</v>
      </c>
      <c r="O526" s="496">
        <f t="shared" ca="1" si="227"/>
        <v>0</v>
      </c>
      <c r="P526" s="496">
        <f t="shared" si="228"/>
        <v>0</v>
      </c>
      <c r="Q526" s="571"/>
      <c r="R526" s="571"/>
      <c r="S526" s="571"/>
      <c r="T526" s="571"/>
      <c r="U526" s="571"/>
      <c r="V526" s="571"/>
      <c r="W526" s="571"/>
      <c r="X526" s="571"/>
      <c r="Y526" s="571"/>
      <c r="Z526" s="571"/>
    </row>
    <row r="527" spans="1:26" ht="18.75" hidden="1">
      <c r="A527" s="592"/>
      <c r="B527" s="600"/>
      <c r="C527" s="750"/>
      <c r="D527" s="711"/>
      <c r="E527" s="750" t="s">
        <v>184</v>
      </c>
      <c r="F527" s="750"/>
      <c r="G527" s="596"/>
      <c r="H527" s="165" t="s">
        <v>12</v>
      </c>
      <c r="I527" s="610"/>
      <c r="J527" s="610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597"/>
      <c r="R527" s="597"/>
      <c r="S527" s="597"/>
      <c r="T527" s="597"/>
      <c r="U527" s="597"/>
      <c r="V527" s="597"/>
      <c r="W527" s="597"/>
      <c r="X527" s="597"/>
      <c r="Y527" s="597"/>
      <c r="Z527" s="597"/>
    </row>
    <row r="528" spans="1:26" ht="18.75" hidden="1">
      <c r="A528" s="592"/>
      <c r="B528" s="600"/>
      <c r="C528" s="750"/>
      <c r="D528" s="711"/>
      <c r="E528" s="750" t="s">
        <v>185</v>
      </c>
      <c r="F528" s="750"/>
      <c r="G528" s="596"/>
      <c r="H528" s="165" t="s">
        <v>12</v>
      </c>
      <c r="I528" s="610"/>
      <c r="J528" s="610"/>
      <c r="K528" s="93"/>
      <c r="L528" s="93">
        <f ca="1">IFERROR(__xludf.DUMMYFUNCTION("IMPORTRANGE(""https://docs.google.com/spreadsheets/d/1QqKyyYR6Q21VydFLVH3TRQUabQu_ym0Zz7PgGX0-kHA/edit?usp=sharing"",""แผน!GQ63"")"),0)</f>
        <v>0</v>
      </c>
      <c r="M528" s="93">
        <v>0</v>
      </c>
      <c r="N528" s="93">
        <f>N529+N530+N531+N532</f>
        <v>0</v>
      </c>
      <c r="O528" s="93">
        <f t="shared" ca="1" si="227"/>
        <v>0</v>
      </c>
      <c r="P528" s="93">
        <f t="shared" si="228"/>
        <v>0</v>
      </c>
      <c r="Q528" s="597"/>
      <c r="R528" s="597"/>
      <c r="S528" s="597"/>
      <c r="T528" s="597"/>
      <c r="U528" s="597"/>
      <c r="V528" s="597"/>
      <c r="W528" s="597"/>
      <c r="X528" s="597"/>
      <c r="Y528" s="597"/>
      <c r="Z528" s="597"/>
    </row>
    <row r="529" spans="1:26" ht="18.75" hidden="1">
      <c r="A529" s="567"/>
      <c r="B529" s="568"/>
      <c r="C529" s="754"/>
      <c r="D529" s="754"/>
      <c r="E529" s="754"/>
      <c r="F529" s="754" t="s">
        <v>186</v>
      </c>
      <c r="G529" s="189"/>
      <c r="H529" s="161" t="s">
        <v>12</v>
      </c>
      <c r="I529" s="269"/>
      <c r="J529" s="269"/>
      <c r="K529" s="496"/>
      <c r="L529" s="496"/>
      <c r="M529" s="496"/>
      <c r="N529" s="817">
        <v>0</v>
      </c>
      <c r="O529" s="496"/>
      <c r="P529" s="496"/>
      <c r="Q529" s="571"/>
      <c r="R529" s="571"/>
      <c r="S529" s="571"/>
      <c r="T529" s="571"/>
      <c r="U529" s="571"/>
      <c r="V529" s="571"/>
      <c r="W529" s="571"/>
      <c r="X529" s="571"/>
      <c r="Y529" s="571"/>
      <c r="Z529" s="571"/>
    </row>
    <row r="530" spans="1:26" ht="18.75" hidden="1">
      <c r="A530" s="567"/>
      <c r="B530" s="568"/>
      <c r="C530" s="754"/>
      <c r="D530" s="754"/>
      <c r="E530" s="754"/>
      <c r="F530" s="754" t="s">
        <v>187</v>
      </c>
      <c r="G530" s="189"/>
      <c r="H530" s="161" t="s">
        <v>12</v>
      </c>
      <c r="I530" s="269"/>
      <c r="J530" s="269"/>
      <c r="K530" s="496"/>
      <c r="L530" s="496"/>
      <c r="M530" s="496"/>
      <c r="N530" s="817">
        <v>0</v>
      </c>
      <c r="O530" s="496"/>
      <c r="P530" s="496"/>
      <c r="Q530" s="571"/>
      <c r="R530" s="571"/>
      <c r="S530" s="571"/>
      <c r="T530" s="571"/>
      <c r="U530" s="571"/>
      <c r="V530" s="571"/>
      <c r="W530" s="571"/>
      <c r="X530" s="571"/>
      <c r="Y530" s="571"/>
      <c r="Z530" s="571"/>
    </row>
    <row r="531" spans="1:26" ht="18.75" hidden="1">
      <c r="A531" s="567"/>
      <c r="B531" s="568"/>
      <c r="C531" s="754"/>
      <c r="D531" s="754"/>
      <c r="E531" s="754"/>
      <c r="F531" s="754" t="s">
        <v>188</v>
      </c>
      <c r="G531" s="189"/>
      <c r="H531" s="161" t="s">
        <v>12</v>
      </c>
      <c r="I531" s="269"/>
      <c r="J531" s="269"/>
      <c r="K531" s="496"/>
      <c r="L531" s="496"/>
      <c r="M531" s="496"/>
      <c r="N531" s="817">
        <v>0</v>
      </c>
      <c r="O531" s="496"/>
      <c r="P531" s="496"/>
      <c r="Q531" s="571"/>
      <c r="R531" s="571"/>
      <c r="S531" s="571"/>
      <c r="T531" s="571"/>
      <c r="U531" s="571"/>
      <c r="V531" s="571"/>
      <c r="W531" s="571"/>
      <c r="X531" s="571"/>
      <c r="Y531" s="571"/>
      <c r="Z531" s="571"/>
    </row>
    <row r="532" spans="1:26" ht="18.75" hidden="1">
      <c r="A532" s="567"/>
      <c r="B532" s="568"/>
      <c r="C532" s="754"/>
      <c r="D532" s="754"/>
      <c r="E532" s="754"/>
      <c r="F532" s="754" t="s">
        <v>189</v>
      </c>
      <c r="G532" s="189"/>
      <c r="H532" s="161" t="s">
        <v>12</v>
      </c>
      <c r="I532" s="269"/>
      <c r="J532" s="269"/>
      <c r="K532" s="496"/>
      <c r="L532" s="496"/>
      <c r="M532" s="496"/>
      <c r="N532" s="817">
        <v>0</v>
      </c>
      <c r="O532" s="496"/>
      <c r="P532" s="496"/>
      <c r="Q532" s="571"/>
      <c r="R532" s="571"/>
      <c r="S532" s="571"/>
      <c r="T532" s="571"/>
      <c r="U532" s="571"/>
      <c r="V532" s="571"/>
      <c r="W532" s="571"/>
      <c r="X532" s="571"/>
      <c r="Y532" s="571"/>
      <c r="Z532" s="571"/>
    </row>
    <row r="533" spans="1:26" ht="18.75" hidden="1">
      <c r="A533" s="590"/>
      <c r="B533" s="568"/>
      <c r="C533" s="754"/>
      <c r="D533" s="599" t="s">
        <v>21</v>
      </c>
      <c r="E533" s="754"/>
      <c r="F533" s="754"/>
      <c r="G533" s="189"/>
      <c r="H533" s="168" t="s">
        <v>12</v>
      </c>
      <c r="I533" s="184"/>
      <c r="J533" s="184"/>
      <c r="K533" s="163"/>
      <c r="L533" s="496">
        <f t="shared" ref="L533:N533" ca="1" si="231">L534+L535</f>
        <v>0</v>
      </c>
      <c r="M533" s="496">
        <f t="shared" si="231"/>
        <v>0</v>
      </c>
      <c r="N533" s="496">
        <f t="shared" si="231"/>
        <v>0</v>
      </c>
      <c r="O533" s="496">
        <f t="shared" ref="O533:O535" ca="1" si="232">IF(L533&gt;0,N533*100/L533,0)</f>
        <v>0</v>
      </c>
      <c r="P533" s="496">
        <f t="shared" ref="P533:P535" si="233">IF(M533&gt;0,N533*100/M533,0)</f>
        <v>0</v>
      </c>
      <c r="Q533" s="571"/>
      <c r="R533" s="571"/>
      <c r="S533" s="571"/>
      <c r="T533" s="571"/>
      <c r="U533" s="571"/>
      <c r="V533" s="571"/>
      <c r="W533" s="571"/>
      <c r="X533" s="571"/>
      <c r="Y533" s="571"/>
      <c r="Z533" s="571"/>
    </row>
    <row r="534" spans="1:26" ht="18.75" hidden="1">
      <c r="A534" s="592"/>
      <c r="B534" s="600"/>
      <c r="C534" s="750"/>
      <c r="D534" s="750"/>
      <c r="E534" s="750" t="s">
        <v>18</v>
      </c>
      <c r="F534" s="750"/>
      <c r="G534" s="596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597"/>
      <c r="R534" s="597"/>
      <c r="S534" s="597"/>
      <c r="T534" s="597"/>
      <c r="U534" s="597"/>
      <c r="V534" s="597"/>
      <c r="W534" s="597"/>
      <c r="X534" s="597"/>
      <c r="Y534" s="597"/>
      <c r="Z534" s="597"/>
    </row>
    <row r="535" spans="1:26" ht="18.75" hidden="1">
      <c r="A535" s="592"/>
      <c r="B535" s="600"/>
      <c r="C535" s="750"/>
      <c r="D535" s="750"/>
      <c r="E535" s="750" t="s">
        <v>19</v>
      </c>
      <c r="F535" s="750"/>
      <c r="G535" s="596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IFERROR(__xludf.DUMMYFUNCTION("IMPORTRANGE(""https://docs.google.com/spreadsheets/d/1QqKyyYR6Q21VydFLVH3TRQUabQu_ym0Zz7PgGX0-kHA/edit?usp=sharing"",""แผน!GT63"")"),0)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597"/>
      <c r="R535" s="597"/>
      <c r="S535" s="597"/>
      <c r="T535" s="597"/>
      <c r="U535" s="597"/>
      <c r="V535" s="597"/>
      <c r="W535" s="597"/>
      <c r="X535" s="597"/>
      <c r="Y535" s="597"/>
      <c r="Z535" s="597"/>
    </row>
    <row r="536" spans="1:26" ht="19.5" hidden="1">
      <c r="A536" s="601"/>
      <c r="B536" s="611"/>
      <c r="C536" s="754" t="s">
        <v>16</v>
      </c>
      <c r="D536" s="839" t="s">
        <v>38</v>
      </c>
      <c r="E536" s="752"/>
      <c r="F536" s="752"/>
      <c r="G536" s="606"/>
      <c r="H536" s="753"/>
      <c r="I536" s="184"/>
      <c r="J536" s="184"/>
      <c r="K536" s="163"/>
      <c r="L536" s="163"/>
      <c r="M536" s="163"/>
      <c r="N536" s="163"/>
      <c r="O536" s="163"/>
      <c r="P536" s="163"/>
      <c r="Q536" s="571"/>
      <c r="R536" s="571"/>
      <c r="S536" s="571"/>
      <c r="T536" s="571"/>
      <c r="U536" s="571"/>
      <c r="V536" s="571"/>
      <c r="W536" s="571"/>
      <c r="X536" s="571"/>
      <c r="Y536" s="571"/>
      <c r="Z536" s="571"/>
    </row>
    <row r="537" spans="1:26" ht="19.5" hidden="1">
      <c r="A537" s="567"/>
      <c r="B537" s="568"/>
      <c r="C537" s="754"/>
      <c r="D537" s="754" t="s">
        <v>227</v>
      </c>
      <c r="E537" s="754"/>
      <c r="F537" s="754"/>
      <c r="G537" s="189"/>
      <c r="H537" s="616" t="s">
        <v>35</v>
      </c>
      <c r="I537" s="674">
        <f ca="1">IFERROR(__xludf.DUMMYFUNCTION("IMPORTRANGE(""https://docs.google.com/spreadsheets/d/1QqKyyYR6Q21VydFLVH3TRQUabQu_ym0Zz7PgGX0-kHA/edit?usp=sharing"",""แผน!GU63"")"),0)</f>
        <v>0</v>
      </c>
      <c r="J537" s="674">
        <f ca="1">IF(AND(J538=I538,J539=I539,J540=I540,J541=I541),I537,0)</f>
        <v>0</v>
      </c>
      <c r="K537" s="496">
        <f t="shared" ref="K537:K543" ca="1" si="234">IF(I537&gt;0,J537*100/I537,0)</f>
        <v>0</v>
      </c>
      <c r="L537" s="496"/>
      <c r="M537" s="496"/>
      <c r="N537" s="496"/>
      <c r="O537" s="496"/>
      <c r="P537" s="496"/>
      <c r="Q537" s="675"/>
      <c r="R537" s="675"/>
      <c r="S537" s="675"/>
      <c r="T537" s="675"/>
      <c r="U537" s="675"/>
      <c r="V537" s="675"/>
      <c r="W537" s="675"/>
      <c r="X537" s="675"/>
      <c r="Y537" s="675"/>
      <c r="Z537" s="675"/>
    </row>
    <row r="538" spans="1:26" ht="18.75" hidden="1">
      <c r="A538" s="567"/>
      <c r="B538" s="568"/>
      <c r="C538" s="754"/>
      <c r="D538" s="754"/>
      <c r="E538" s="754" t="s">
        <v>228</v>
      </c>
      <c r="F538" s="754"/>
      <c r="G538" s="189"/>
      <c r="H538" s="616" t="s">
        <v>35</v>
      </c>
      <c r="I538" s="269">
        <f ca="1">IFERROR(__xludf.DUMMYFUNCTION("IMPORTRANGE(""https://docs.google.com/spreadsheets/d/1QqKyyYR6Q21VydFLVH3TRQUabQu_ym0Zz7PgGX0-kHA/edit?usp=sharing"",""แผน!GV63"")"),0)</f>
        <v>0</v>
      </c>
      <c r="J538" s="214">
        <v>0</v>
      </c>
      <c r="K538" s="496">
        <f t="shared" ca="1" si="234"/>
        <v>0</v>
      </c>
      <c r="L538" s="496"/>
      <c r="M538" s="496"/>
      <c r="N538" s="496"/>
      <c r="O538" s="496"/>
      <c r="P538" s="496"/>
      <c r="Q538" s="675"/>
      <c r="R538" s="675"/>
      <c r="S538" s="675"/>
      <c r="T538" s="675"/>
      <c r="U538" s="675"/>
      <c r="V538" s="675"/>
      <c r="W538" s="675"/>
      <c r="X538" s="675"/>
      <c r="Y538" s="675"/>
      <c r="Z538" s="675"/>
    </row>
    <row r="539" spans="1:26" ht="18.75" hidden="1">
      <c r="A539" s="567"/>
      <c r="B539" s="568"/>
      <c r="C539" s="754"/>
      <c r="D539" s="754"/>
      <c r="E539" s="754" t="s">
        <v>229</v>
      </c>
      <c r="F539" s="754"/>
      <c r="G539" s="189"/>
      <c r="H539" s="616" t="s">
        <v>35</v>
      </c>
      <c r="I539" s="269">
        <f ca="1">IFERROR(__xludf.DUMMYFUNCTION("IMPORTRANGE(""https://docs.google.com/spreadsheets/d/1QqKyyYR6Q21VydFLVH3TRQUabQu_ym0Zz7PgGX0-kHA/edit?usp=sharing"",""แผน!GW63"")"),0)</f>
        <v>0</v>
      </c>
      <c r="J539" s="214">
        <v>0</v>
      </c>
      <c r="K539" s="496">
        <f t="shared" ca="1" si="234"/>
        <v>0</v>
      </c>
      <c r="L539" s="496"/>
      <c r="M539" s="496"/>
      <c r="N539" s="496"/>
      <c r="O539" s="496"/>
      <c r="P539" s="496"/>
      <c r="Q539" s="675"/>
      <c r="R539" s="675"/>
      <c r="S539" s="675"/>
      <c r="T539" s="675"/>
      <c r="U539" s="675"/>
      <c r="V539" s="675"/>
      <c r="W539" s="675"/>
      <c r="X539" s="675"/>
      <c r="Y539" s="675"/>
      <c r="Z539" s="675"/>
    </row>
    <row r="540" spans="1:26" ht="18.75" hidden="1">
      <c r="A540" s="567"/>
      <c r="B540" s="568"/>
      <c r="C540" s="754"/>
      <c r="D540" s="754"/>
      <c r="E540" s="754" t="s">
        <v>230</v>
      </c>
      <c r="F540" s="754"/>
      <c r="G540" s="189"/>
      <c r="H540" s="616" t="s">
        <v>35</v>
      </c>
      <c r="I540" s="269">
        <f ca="1">IFERROR(__xludf.DUMMYFUNCTION("IMPORTRANGE(""https://docs.google.com/spreadsheets/d/1QqKyyYR6Q21VydFLVH3TRQUabQu_ym0Zz7PgGX0-kHA/edit?usp=sharing"",""แผน!GX63"")"),0)</f>
        <v>0</v>
      </c>
      <c r="J540" s="214">
        <v>0</v>
      </c>
      <c r="K540" s="496">
        <f t="shared" ca="1" si="234"/>
        <v>0</v>
      </c>
      <c r="L540" s="496"/>
      <c r="M540" s="496"/>
      <c r="N540" s="496"/>
      <c r="O540" s="496"/>
      <c r="P540" s="496"/>
      <c r="Q540" s="675"/>
      <c r="R540" s="675"/>
      <c r="S540" s="675"/>
      <c r="T540" s="675"/>
      <c r="U540" s="675"/>
      <c r="V540" s="675"/>
      <c r="W540" s="675"/>
      <c r="X540" s="675"/>
      <c r="Y540" s="675"/>
      <c r="Z540" s="675"/>
    </row>
    <row r="541" spans="1:26" ht="18.75" hidden="1">
      <c r="A541" s="567"/>
      <c r="B541" s="568"/>
      <c r="C541" s="754"/>
      <c r="D541" s="754"/>
      <c r="E541" s="760" t="s">
        <v>231</v>
      </c>
      <c r="F541" s="754"/>
      <c r="G541" s="189"/>
      <c r="H541" s="616" t="s">
        <v>35</v>
      </c>
      <c r="I541" s="269">
        <f ca="1">IFERROR(__xludf.DUMMYFUNCTION("IMPORTRANGE(""https://docs.google.com/spreadsheets/d/1QqKyyYR6Q21VydFLVH3TRQUabQu_ym0Zz7PgGX0-kHA/edit?usp=sharing"",""แผน!GY63"")"),0)</f>
        <v>0</v>
      </c>
      <c r="J541" s="214">
        <v>0</v>
      </c>
      <c r="K541" s="496">
        <f t="shared" ca="1" si="234"/>
        <v>0</v>
      </c>
      <c r="L541" s="496"/>
      <c r="M541" s="496"/>
      <c r="N541" s="496"/>
      <c r="O541" s="496"/>
      <c r="P541" s="496"/>
      <c r="Q541" s="675"/>
      <c r="R541" s="675"/>
      <c r="S541" s="675"/>
      <c r="T541" s="675"/>
      <c r="U541" s="675"/>
      <c r="V541" s="675"/>
      <c r="W541" s="675"/>
      <c r="X541" s="675"/>
      <c r="Y541" s="675"/>
      <c r="Z541" s="675"/>
    </row>
    <row r="542" spans="1:26" ht="18.75" hidden="1">
      <c r="A542" s="567"/>
      <c r="B542" s="568"/>
      <c r="C542" s="754"/>
      <c r="D542" s="754" t="s">
        <v>59</v>
      </c>
      <c r="E542" s="754"/>
      <c r="F542" s="754"/>
      <c r="G542" s="189"/>
      <c r="H542" s="616" t="s">
        <v>35</v>
      </c>
      <c r="I542" s="269">
        <f ca="1">IFERROR(__xludf.DUMMYFUNCTION("IMPORTRANGE(""https://docs.google.com/spreadsheets/d/1QqKyyYR6Q21VydFLVH3TRQUabQu_ym0Zz7PgGX0-kHA/edit?usp=sharing"",""แผน!GZ63"")"),0)</f>
        <v>0</v>
      </c>
      <c r="J542" s="214">
        <v>0</v>
      </c>
      <c r="K542" s="496">
        <f t="shared" ca="1" si="234"/>
        <v>0</v>
      </c>
      <c r="L542" s="496"/>
      <c r="M542" s="496"/>
      <c r="N542" s="496"/>
      <c r="O542" s="496"/>
      <c r="P542" s="496"/>
      <c r="Q542" s="675"/>
      <c r="R542" s="675"/>
      <c r="S542" s="675"/>
      <c r="T542" s="675"/>
      <c r="U542" s="675"/>
      <c r="V542" s="675"/>
      <c r="W542" s="675"/>
      <c r="X542" s="675"/>
      <c r="Y542" s="675"/>
      <c r="Z542" s="675"/>
    </row>
    <row r="543" spans="1:26" ht="19.5">
      <c r="A543" s="657">
        <v>6</v>
      </c>
      <c r="B543" s="678" t="s">
        <v>232</v>
      </c>
      <c r="C543" s="660"/>
      <c r="D543" s="660"/>
      <c r="E543" s="660"/>
      <c r="F543" s="660"/>
      <c r="G543" s="661"/>
      <c r="H543" s="679" t="s">
        <v>46</v>
      </c>
      <c r="I543" s="680">
        <f t="shared" ref="I543:J543" ca="1" si="235">I559</f>
        <v>0</v>
      </c>
      <c r="J543" s="680">
        <f t="shared" si="235"/>
        <v>0</v>
      </c>
      <c r="K543" s="681">
        <f t="shared" ca="1" si="234"/>
        <v>0</v>
      </c>
      <c r="L543" s="663"/>
      <c r="M543" s="663"/>
      <c r="N543" s="663"/>
      <c r="O543" s="663"/>
      <c r="P543" s="663"/>
      <c r="Q543" s="571"/>
      <c r="R543" s="571"/>
      <c r="S543" s="571"/>
      <c r="T543" s="571"/>
      <c r="U543" s="571"/>
      <c r="V543" s="571"/>
      <c r="W543" s="571"/>
      <c r="X543" s="571"/>
      <c r="Y543" s="571"/>
      <c r="Z543" s="571"/>
    </row>
    <row r="544" spans="1:26" ht="19.5">
      <c r="A544" s="682"/>
      <c r="B544" s="683"/>
      <c r="C544" s="683" t="s">
        <v>16</v>
      </c>
      <c r="D544" s="867" t="s">
        <v>17</v>
      </c>
      <c r="E544" s="862"/>
      <c r="F544" s="862"/>
      <c r="G544" s="684"/>
      <c r="H544" s="274" t="s">
        <v>12</v>
      </c>
      <c r="I544" s="419"/>
      <c r="J544" s="419"/>
      <c r="K544" s="154"/>
      <c r="L544" s="155">
        <f t="shared" ref="L544:N544" ca="1" si="236">L545+L546</f>
        <v>218300</v>
      </c>
      <c r="M544" s="155">
        <f t="shared" si="236"/>
        <v>0</v>
      </c>
      <c r="N544" s="155">
        <f t="shared" si="236"/>
        <v>0</v>
      </c>
      <c r="O544" s="155">
        <f t="shared" ref="O544:O549" ca="1" si="237">IF(L544&gt;0,N544*100/L544,0)</f>
        <v>0</v>
      </c>
      <c r="P544" s="155">
        <f t="shared" ref="P544:P549" si="238">IF(M544&gt;0,N544*100/M544,0)</f>
        <v>0</v>
      </c>
      <c r="Q544" s="571"/>
      <c r="R544" s="571"/>
      <c r="S544" s="571"/>
      <c r="T544" s="571"/>
      <c r="U544" s="571"/>
      <c r="V544" s="571"/>
      <c r="W544" s="571"/>
      <c r="X544" s="571"/>
      <c r="Y544" s="571"/>
      <c r="Z544" s="571"/>
    </row>
    <row r="545" spans="1:26" ht="18.75" hidden="1">
      <c r="A545" s="592"/>
      <c r="B545" s="750"/>
      <c r="C545" s="750"/>
      <c r="D545" s="750"/>
      <c r="E545" s="750" t="s">
        <v>184</v>
      </c>
      <c r="F545" s="750"/>
      <c r="G545" s="596"/>
      <c r="H545" s="165" t="s">
        <v>12</v>
      </c>
      <c r="I545" s="610"/>
      <c r="J545" s="610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597"/>
      <c r="R545" s="597"/>
      <c r="S545" s="597"/>
      <c r="T545" s="597"/>
      <c r="U545" s="597"/>
      <c r="V545" s="597"/>
      <c r="W545" s="597"/>
      <c r="X545" s="597"/>
      <c r="Y545" s="597"/>
      <c r="Z545" s="597"/>
    </row>
    <row r="546" spans="1:26" ht="18.75" hidden="1">
      <c r="A546" s="592"/>
      <c r="B546" s="600"/>
      <c r="C546" s="750"/>
      <c r="D546" s="750"/>
      <c r="E546" s="750" t="s">
        <v>185</v>
      </c>
      <c r="F546" s="750"/>
      <c r="G546" s="596"/>
      <c r="H546" s="165" t="s">
        <v>12</v>
      </c>
      <c r="I546" s="610"/>
      <c r="J546" s="610"/>
      <c r="K546" s="93"/>
      <c r="L546" s="93">
        <f t="shared" ca="1" si="239"/>
        <v>218300</v>
      </c>
      <c r="M546" s="93">
        <f t="shared" si="240"/>
        <v>0</v>
      </c>
      <c r="N546" s="93">
        <f t="shared" si="240"/>
        <v>0</v>
      </c>
      <c r="O546" s="93">
        <f t="shared" ca="1" si="237"/>
        <v>0</v>
      </c>
      <c r="P546" s="93">
        <f t="shared" si="238"/>
        <v>0</v>
      </c>
      <c r="Q546" s="597"/>
      <c r="R546" s="597"/>
      <c r="S546" s="597"/>
      <c r="T546" s="597"/>
      <c r="U546" s="597"/>
      <c r="V546" s="597"/>
      <c r="W546" s="597"/>
      <c r="X546" s="597"/>
      <c r="Y546" s="597"/>
      <c r="Z546" s="597"/>
    </row>
    <row r="547" spans="1:26" ht="18.75">
      <c r="A547" s="590"/>
      <c r="B547" s="568"/>
      <c r="C547" s="754"/>
      <c r="D547" s="599" t="s">
        <v>20</v>
      </c>
      <c r="E547" s="754"/>
      <c r="F547" s="754"/>
      <c r="G547" s="189"/>
      <c r="H547" s="161" t="s">
        <v>12</v>
      </c>
      <c r="I547" s="184"/>
      <c r="J547" s="184"/>
      <c r="K547" s="163"/>
      <c r="L547" s="496">
        <f t="shared" ref="L547:N547" ca="1" si="241">L548+L549</f>
        <v>218300</v>
      </c>
      <c r="M547" s="496">
        <f t="shared" si="241"/>
        <v>0</v>
      </c>
      <c r="N547" s="496">
        <f t="shared" si="241"/>
        <v>0</v>
      </c>
      <c r="O547" s="496">
        <f t="shared" ca="1" si="237"/>
        <v>0</v>
      </c>
      <c r="P547" s="496">
        <f t="shared" si="238"/>
        <v>0</v>
      </c>
      <c r="Q547" s="571"/>
      <c r="R547" s="571"/>
      <c r="S547" s="571"/>
      <c r="T547" s="571"/>
      <c r="U547" s="571"/>
      <c r="V547" s="571"/>
      <c r="W547" s="571"/>
      <c r="X547" s="571"/>
      <c r="Y547" s="571"/>
      <c r="Z547" s="571"/>
    </row>
    <row r="548" spans="1:26" ht="18.75" hidden="1">
      <c r="A548" s="592"/>
      <c r="B548" s="600"/>
      <c r="C548" s="750"/>
      <c r="D548" s="711"/>
      <c r="E548" s="750" t="s">
        <v>184</v>
      </c>
      <c r="F548" s="750"/>
      <c r="G548" s="596"/>
      <c r="H548" s="165" t="s">
        <v>12</v>
      </c>
      <c r="I548" s="610"/>
      <c r="J548" s="610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597"/>
      <c r="R548" s="597"/>
      <c r="S548" s="597"/>
      <c r="T548" s="597"/>
      <c r="U548" s="597"/>
      <c r="V548" s="597"/>
      <c r="W548" s="597"/>
      <c r="X548" s="597"/>
      <c r="Y548" s="597"/>
      <c r="Z548" s="597"/>
    </row>
    <row r="549" spans="1:26" ht="18.75" hidden="1">
      <c r="A549" s="592"/>
      <c r="B549" s="600"/>
      <c r="C549" s="750"/>
      <c r="D549" s="711"/>
      <c r="E549" s="750" t="s">
        <v>185</v>
      </c>
      <c r="F549" s="750"/>
      <c r="G549" s="596"/>
      <c r="H549" s="165" t="s">
        <v>12</v>
      </c>
      <c r="I549" s="610"/>
      <c r="J549" s="610"/>
      <c r="K549" s="93"/>
      <c r="L549" s="93">
        <f ca="1">IFERROR(__xludf.DUMMYFUNCTION("IMPORTRANGE(""https://docs.google.com/spreadsheets/d/1QqKyyYR6Q21VydFLVH3TRQUabQu_ym0Zz7PgGX0-kHA/edit?usp=sharing"",""แผน!HB63"")"),218300)</f>
        <v>218300</v>
      </c>
      <c r="M549" s="93">
        <v>0</v>
      </c>
      <c r="N549" s="93">
        <f>N550+N551+N552+N553+N554</f>
        <v>0</v>
      </c>
      <c r="O549" s="93">
        <f t="shared" ca="1" si="237"/>
        <v>0</v>
      </c>
      <c r="P549" s="93">
        <f t="shared" si="238"/>
        <v>0</v>
      </c>
      <c r="Q549" s="597"/>
      <c r="R549" s="597"/>
      <c r="S549" s="597"/>
      <c r="T549" s="597"/>
      <c r="U549" s="597"/>
      <c r="V549" s="597"/>
      <c r="W549" s="597"/>
      <c r="X549" s="597"/>
      <c r="Y549" s="597"/>
      <c r="Z549" s="597"/>
    </row>
    <row r="550" spans="1:26" ht="18.75">
      <c r="A550" s="567"/>
      <c r="B550" s="568"/>
      <c r="C550" s="754"/>
      <c r="D550" s="754"/>
      <c r="E550" s="754"/>
      <c r="F550" s="754" t="s">
        <v>186</v>
      </c>
      <c r="G550" s="189"/>
      <c r="H550" s="161" t="s">
        <v>12</v>
      </c>
      <c r="I550" s="269"/>
      <c r="J550" s="269"/>
      <c r="K550" s="496"/>
      <c r="L550" s="496"/>
      <c r="M550" s="496"/>
      <c r="N550" s="817">
        <v>0</v>
      </c>
      <c r="O550" s="496"/>
      <c r="P550" s="496"/>
      <c r="Q550" s="571"/>
      <c r="R550" s="571"/>
      <c r="S550" s="571"/>
      <c r="T550" s="571"/>
      <c r="U550" s="571"/>
      <c r="V550" s="571"/>
      <c r="W550" s="571"/>
      <c r="X550" s="571"/>
      <c r="Y550" s="571"/>
      <c r="Z550" s="571"/>
    </row>
    <row r="551" spans="1:26" ht="18.75">
      <c r="A551" s="567"/>
      <c r="B551" s="568"/>
      <c r="C551" s="568"/>
      <c r="D551" s="568"/>
      <c r="E551" s="754"/>
      <c r="F551" s="754" t="s">
        <v>187</v>
      </c>
      <c r="G551" s="189"/>
      <c r="H551" s="161" t="s">
        <v>12</v>
      </c>
      <c r="I551" s="269"/>
      <c r="J551" s="269"/>
      <c r="K551" s="496"/>
      <c r="L551" s="496"/>
      <c r="M551" s="496"/>
      <c r="N551" s="817">
        <v>0</v>
      </c>
      <c r="O551" s="496"/>
      <c r="P551" s="496"/>
      <c r="Q551" s="571"/>
      <c r="R551" s="571"/>
      <c r="S551" s="571"/>
      <c r="T551" s="571"/>
      <c r="U551" s="571"/>
      <c r="V551" s="571"/>
      <c r="W551" s="571"/>
      <c r="X551" s="571"/>
      <c r="Y551" s="571"/>
      <c r="Z551" s="571"/>
    </row>
    <row r="552" spans="1:26" ht="18.75">
      <c r="A552" s="567"/>
      <c r="B552" s="568"/>
      <c r="C552" s="754"/>
      <c r="D552" s="754"/>
      <c r="E552" s="754"/>
      <c r="F552" s="754" t="s">
        <v>188</v>
      </c>
      <c r="G552" s="189"/>
      <c r="H552" s="161" t="s">
        <v>12</v>
      </c>
      <c r="I552" s="269"/>
      <c r="J552" s="269"/>
      <c r="K552" s="496"/>
      <c r="L552" s="496"/>
      <c r="M552" s="496"/>
      <c r="N552" s="817">
        <v>0</v>
      </c>
      <c r="O552" s="496"/>
      <c r="P552" s="496"/>
      <c r="Q552" s="571"/>
      <c r="R552" s="571"/>
      <c r="S552" s="571"/>
      <c r="T552" s="571"/>
      <c r="U552" s="571"/>
      <c r="V552" s="571"/>
      <c r="W552" s="571"/>
      <c r="X552" s="571"/>
      <c r="Y552" s="571"/>
      <c r="Z552" s="571"/>
    </row>
    <row r="553" spans="1:26" ht="18.75">
      <c r="A553" s="567"/>
      <c r="B553" s="568"/>
      <c r="C553" s="568"/>
      <c r="D553" s="568"/>
      <c r="E553" s="754"/>
      <c r="F553" s="754" t="s">
        <v>189</v>
      </c>
      <c r="G553" s="189"/>
      <c r="H553" s="161" t="s">
        <v>12</v>
      </c>
      <c r="I553" s="269"/>
      <c r="J553" s="269"/>
      <c r="K553" s="496"/>
      <c r="L553" s="496"/>
      <c r="M553" s="496"/>
      <c r="N553" s="817">
        <v>0</v>
      </c>
      <c r="O553" s="496"/>
      <c r="P553" s="496"/>
      <c r="Q553" s="571"/>
      <c r="R553" s="571"/>
      <c r="S553" s="571"/>
      <c r="T553" s="571"/>
      <c r="U553" s="571"/>
      <c r="V553" s="571"/>
      <c r="W553" s="571"/>
      <c r="X553" s="571"/>
      <c r="Y553" s="571"/>
      <c r="Z553" s="571"/>
    </row>
    <row r="554" spans="1:26" ht="18.75">
      <c r="A554" s="567"/>
      <c r="B554" s="568"/>
      <c r="C554" s="568"/>
      <c r="D554" s="568"/>
      <c r="E554" s="754"/>
      <c r="F554" s="754" t="s">
        <v>233</v>
      </c>
      <c r="G554" s="189"/>
      <c r="H554" s="161" t="s">
        <v>12</v>
      </c>
      <c r="I554" s="269"/>
      <c r="J554" s="269"/>
      <c r="K554" s="496"/>
      <c r="L554" s="496"/>
      <c r="M554" s="496"/>
      <c r="N554" s="817">
        <v>0</v>
      </c>
      <c r="O554" s="496"/>
      <c r="P554" s="496"/>
      <c r="Q554" s="571"/>
      <c r="R554" s="571"/>
      <c r="S554" s="571"/>
      <c r="T554" s="571"/>
      <c r="U554" s="571"/>
      <c r="V554" s="571"/>
      <c r="W554" s="571"/>
      <c r="X554" s="571"/>
      <c r="Y554" s="571"/>
      <c r="Z554" s="571"/>
    </row>
    <row r="555" spans="1:26" ht="18.75">
      <c r="A555" s="590"/>
      <c r="B555" s="568"/>
      <c r="C555" s="568"/>
      <c r="D555" s="599" t="s">
        <v>21</v>
      </c>
      <c r="E555" s="754"/>
      <c r="F555" s="754"/>
      <c r="G555" s="189"/>
      <c r="H555" s="168" t="s">
        <v>12</v>
      </c>
      <c r="I555" s="184"/>
      <c r="J555" s="184"/>
      <c r="K555" s="163"/>
      <c r="L555" s="496">
        <f t="shared" ref="L555:N555" ca="1" si="242">L556+L557</f>
        <v>0</v>
      </c>
      <c r="M555" s="496">
        <f t="shared" si="242"/>
        <v>0</v>
      </c>
      <c r="N555" s="496">
        <f t="shared" si="242"/>
        <v>0</v>
      </c>
      <c r="O555" s="496">
        <f t="shared" ref="O555:O557" ca="1" si="243">IF(L555&gt;0,N555*100/L555,0)</f>
        <v>0</v>
      </c>
      <c r="P555" s="496">
        <f t="shared" ref="P555:P557" si="244">IF(M555&gt;0,N555*100/M555,0)</f>
        <v>0</v>
      </c>
      <c r="Q555" s="571"/>
      <c r="R555" s="571"/>
      <c r="S555" s="571"/>
      <c r="T555" s="571"/>
      <c r="U555" s="571"/>
      <c r="V555" s="571"/>
      <c r="W555" s="571"/>
      <c r="X555" s="571"/>
      <c r="Y555" s="571"/>
      <c r="Z555" s="571"/>
    </row>
    <row r="556" spans="1:26" ht="18.75" hidden="1">
      <c r="A556" s="592"/>
      <c r="B556" s="600"/>
      <c r="C556" s="600"/>
      <c r="D556" s="750"/>
      <c r="E556" s="750" t="s">
        <v>18</v>
      </c>
      <c r="F556" s="750"/>
      <c r="G556" s="596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597"/>
      <c r="R556" s="597"/>
      <c r="S556" s="597"/>
      <c r="T556" s="597"/>
      <c r="U556" s="597"/>
      <c r="V556" s="597"/>
      <c r="W556" s="597"/>
      <c r="X556" s="597"/>
      <c r="Y556" s="597"/>
      <c r="Z556" s="597"/>
    </row>
    <row r="557" spans="1:26" ht="18.75" hidden="1">
      <c r="A557" s="592"/>
      <c r="B557" s="600"/>
      <c r="C557" s="600"/>
      <c r="D557" s="750"/>
      <c r="E557" s="750" t="s">
        <v>19</v>
      </c>
      <c r="F557" s="750"/>
      <c r="G557" s="596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IFERROR(__xludf.DUMMYFUNCTION("IMPORTRANGE(""https://docs.google.com/spreadsheets/d/1QqKyyYR6Q21VydFLVH3TRQUabQu_ym0Zz7PgGX0-kHA/edit?usp=sharing"",""แผน!HF63"")"),0)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597"/>
      <c r="R557" s="597"/>
      <c r="S557" s="597"/>
      <c r="T557" s="597"/>
      <c r="U557" s="597"/>
      <c r="V557" s="597"/>
      <c r="W557" s="597"/>
      <c r="X557" s="597"/>
      <c r="Y557" s="597"/>
      <c r="Z557" s="597"/>
    </row>
    <row r="558" spans="1:26" ht="19.5">
      <c r="A558" s="601"/>
      <c r="B558" s="611"/>
      <c r="C558" s="568" t="s">
        <v>16</v>
      </c>
      <c r="D558" s="839" t="s">
        <v>38</v>
      </c>
      <c r="E558" s="752"/>
      <c r="F558" s="752"/>
      <c r="G558" s="606"/>
      <c r="H558" s="753"/>
      <c r="I558" s="184"/>
      <c r="J558" s="184"/>
      <c r="K558" s="163"/>
      <c r="L558" s="163"/>
      <c r="M558" s="163"/>
      <c r="N558" s="163"/>
      <c r="O558" s="163"/>
      <c r="P558" s="163"/>
      <c r="Q558" s="571"/>
      <c r="R558" s="571"/>
      <c r="S558" s="571"/>
      <c r="T558" s="571"/>
      <c r="U558" s="571"/>
      <c r="V558" s="571"/>
      <c r="W558" s="571"/>
      <c r="X558" s="571"/>
      <c r="Y558" s="571"/>
      <c r="Z558" s="571"/>
    </row>
    <row r="559" spans="1:26" ht="19.5" hidden="1">
      <c r="A559" s="685"/>
      <c r="B559" s="686" t="s">
        <v>234</v>
      </c>
      <c r="C559" s="687"/>
      <c r="D559" s="687"/>
      <c r="E559" s="666"/>
      <c r="F559" s="666"/>
      <c r="G559" s="667"/>
      <c r="H559" s="688" t="s">
        <v>46</v>
      </c>
      <c r="I559" s="699">
        <f t="shared" ref="I559:J559" ca="1" si="245">I576</f>
        <v>0</v>
      </c>
      <c r="J559" s="699">
        <f t="shared" si="245"/>
        <v>0</v>
      </c>
      <c r="K559" s="670">
        <f t="shared" ref="K559:K561" ca="1" si="246">IF(I559&gt;0,J559*100/I559,0)</f>
        <v>0</v>
      </c>
      <c r="L559" s="671"/>
      <c r="M559" s="671"/>
      <c r="N559" s="671"/>
      <c r="O559" s="671"/>
      <c r="P559" s="671"/>
      <c r="Q559" s="571"/>
      <c r="R559" s="571"/>
      <c r="S559" s="571"/>
      <c r="T559" s="571"/>
      <c r="U559" s="571"/>
      <c r="V559" s="571"/>
      <c r="W559" s="571"/>
      <c r="X559" s="571"/>
      <c r="Y559" s="571"/>
      <c r="Z559" s="571"/>
    </row>
    <row r="560" spans="1:26" ht="19.5" hidden="1">
      <c r="A560" s="601"/>
      <c r="B560" s="611"/>
      <c r="C560" s="618" t="s">
        <v>235</v>
      </c>
      <c r="D560" s="611"/>
      <c r="E560" s="619"/>
      <c r="F560" s="619"/>
      <c r="G560" s="753"/>
      <c r="H560" s="758" t="s">
        <v>46</v>
      </c>
      <c r="I560" s="193">
        <f ca="1">IFERROR(__xludf.DUMMYFUNCTION("IMPORTRANGE(""https://docs.google.com/spreadsheets/d/1QqKyyYR6Q21VydFLVH3TRQUabQu_ym0Zz7PgGX0-kHA/edit?usp=sharing"",""แผน!HH63"")"),0)</f>
        <v>0</v>
      </c>
      <c r="J560" s="193">
        <f t="shared" ref="J560:J561" si="247">J562+J564+J566</f>
        <v>0</v>
      </c>
      <c r="K560" s="410">
        <f t="shared" ca="1" si="246"/>
        <v>0</v>
      </c>
      <c r="L560" s="163"/>
      <c r="M560" s="163"/>
      <c r="N560" s="163"/>
      <c r="O560" s="163"/>
      <c r="P560" s="163"/>
      <c r="Q560" s="571"/>
      <c r="R560" s="571"/>
      <c r="S560" s="571"/>
      <c r="T560" s="571"/>
      <c r="U560" s="571"/>
      <c r="V560" s="571"/>
      <c r="W560" s="571"/>
      <c r="X560" s="571"/>
      <c r="Y560" s="571"/>
      <c r="Z560" s="571"/>
    </row>
    <row r="561" spans="1:26" ht="19.5" hidden="1">
      <c r="A561" s="601"/>
      <c r="B561" s="611"/>
      <c r="C561" s="611"/>
      <c r="D561" s="619"/>
      <c r="E561" s="619"/>
      <c r="F561" s="619"/>
      <c r="G561" s="753"/>
      <c r="H561" s="758" t="s">
        <v>34</v>
      </c>
      <c r="I561" s="193">
        <f ca="1">IFERROR(__xludf.DUMMYFUNCTION("IMPORTRANGE(""https://docs.google.com/spreadsheets/d/1QqKyyYR6Q21VydFLVH3TRQUabQu_ym0Zz7PgGX0-kHA/edit?usp=sharing"",""แผน!HG63"")"),0)</f>
        <v>0</v>
      </c>
      <c r="J561" s="193">
        <f t="shared" si="247"/>
        <v>0</v>
      </c>
      <c r="K561" s="410">
        <f t="shared" ca="1" si="246"/>
        <v>0</v>
      </c>
      <c r="L561" s="163"/>
      <c r="M561" s="163"/>
      <c r="N561" s="163"/>
      <c r="O561" s="163"/>
      <c r="P561" s="163"/>
      <c r="Q561" s="571"/>
      <c r="R561" s="571"/>
      <c r="S561" s="571"/>
      <c r="T561" s="571"/>
      <c r="U561" s="571"/>
      <c r="V561" s="571"/>
      <c r="W561" s="571"/>
      <c r="X561" s="571"/>
      <c r="Y561" s="571"/>
      <c r="Z561" s="571"/>
    </row>
    <row r="562" spans="1:26" ht="18.75" hidden="1">
      <c r="A562" s="601"/>
      <c r="B562" s="611"/>
      <c r="C562" s="611"/>
      <c r="D562" s="619" t="s">
        <v>236</v>
      </c>
      <c r="E562" s="619"/>
      <c r="F562" s="619"/>
      <c r="G562" s="753"/>
      <c r="H562" s="755" t="s">
        <v>46</v>
      </c>
      <c r="I562" s="184"/>
      <c r="J562" s="214">
        <v>0</v>
      </c>
      <c r="K562" s="163"/>
      <c r="L562" s="163"/>
      <c r="M562" s="163"/>
      <c r="N562" s="163"/>
      <c r="O562" s="163"/>
      <c r="P562" s="163"/>
      <c r="Q562" s="571"/>
      <c r="R562" s="571"/>
      <c r="S562" s="571"/>
      <c r="T562" s="571"/>
      <c r="U562" s="571"/>
      <c r="V562" s="571"/>
      <c r="W562" s="571"/>
      <c r="X562" s="571"/>
      <c r="Y562" s="571"/>
      <c r="Z562" s="571"/>
    </row>
    <row r="563" spans="1:26" ht="18.75" hidden="1">
      <c r="A563" s="601"/>
      <c r="B563" s="611"/>
      <c r="C563" s="611"/>
      <c r="D563" s="611"/>
      <c r="E563" s="619"/>
      <c r="F563" s="619"/>
      <c r="G563" s="753"/>
      <c r="H563" s="755" t="s">
        <v>34</v>
      </c>
      <c r="I563" s="184"/>
      <c r="J563" s="214">
        <v>0</v>
      </c>
      <c r="K563" s="163"/>
      <c r="L563" s="163"/>
      <c r="M563" s="163"/>
      <c r="N563" s="163"/>
      <c r="O563" s="163"/>
      <c r="P563" s="163"/>
      <c r="Q563" s="571"/>
      <c r="R563" s="571"/>
      <c r="S563" s="571"/>
      <c r="T563" s="571"/>
      <c r="U563" s="571"/>
      <c r="V563" s="571"/>
      <c r="W563" s="571"/>
      <c r="X563" s="571"/>
      <c r="Y563" s="571"/>
      <c r="Z563" s="571"/>
    </row>
    <row r="564" spans="1:26" ht="18.75" hidden="1">
      <c r="A564" s="601"/>
      <c r="B564" s="611"/>
      <c r="C564" s="611"/>
      <c r="D564" s="619" t="s">
        <v>237</v>
      </c>
      <c r="E564" s="619"/>
      <c r="F564" s="619"/>
      <c r="G564" s="753"/>
      <c r="H564" s="755" t="s">
        <v>46</v>
      </c>
      <c r="I564" s="184"/>
      <c r="J564" s="214">
        <v>0</v>
      </c>
      <c r="K564" s="163"/>
      <c r="L564" s="163"/>
      <c r="M564" s="163"/>
      <c r="N564" s="163"/>
      <c r="O564" s="163"/>
      <c r="P564" s="163"/>
      <c r="Q564" s="571"/>
      <c r="R564" s="571"/>
      <c r="S564" s="571"/>
      <c r="T564" s="571"/>
      <c r="U564" s="571"/>
      <c r="V564" s="571"/>
      <c r="W564" s="571"/>
      <c r="X564" s="571"/>
      <c r="Y564" s="571"/>
      <c r="Z564" s="571"/>
    </row>
    <row r="565" spans="1:26" ht="18.75" hidden="1">
      <c r="A565" s="601"/>
      <c r="B565" s="611"/>
      <c r="C565" s="611"/>
      <c r="D565" s="619"/>
      <c r="E565" s="619"/>
      <c r="F565" s="619"/>
      <c r="G565" s="753"/>
      <c r="H565" s="755" t="s">
        <v>34</v>
      </c>
      <c r="I565" s="184"/>
      <c r="J565" s="214">
        <v>0</v>
      </c>
      <c r="K565" s="163"/>
      <c r="L565" s="163"/>
      <c r="M565" s="163"/>
      <c r="N565" s="163"/>
      <c r="O565" s="163"/>
      <c r="P565" s="163"/>
      <c r="Q565" s="571"/>
      <c r="R565" s="571"/>
      <c r="S565" s="571"/>
      <c r="T565" s="571"/>
      <c r="U565" s="571"/>
      <c r="V565" s="571"/>
      <c r="W565" s="571"/>
      <c r="X565" s="571"/>
      <c r="Y565" s="571"/>
      <c r="Z565" s="571"/>
    </row>
    <row r="566" spans="1:26" ht="18.75" hidden="1">
      <c r="A566" s="601"/>
      <c r="B566" s="611"/>
      <c r="C566" s="611"/>
      <c r="D566" s="619" t="s">
        <v>238</v>
      </c>
      <c r="E566" s="619"/>
      <c r="F566" s="619"/>
      <c r="G566" s="753"/>
      <c r="H566" s="755" t="s">
        <v>46</v>
      </c>
      <c r="I566" s="184"/>
      <c r="J566" s="214">
        <v>0</v>
      </c>
      <c r="K566" s="163"/>
      <c r="L566" s="163"/>
      <c r="M566" s="163"/>
      <c r="N566" s="163"/>
      <c r="O566" s="163"/>
      <c r="P566" s="163"/>
      <c r="Q566" s="571"/>
      <c r="R566" s="571"/>
      <c r="S566" s="571"/>
      <c r="T566" s="571"/>
      <c r="U566" s="571"/>
      <c r="V566" s="571"/>
      <c r="W566" s="571"/>
      <c r="X566" s="571"/>
      <c r="Y566" s="571"/>
      <c r="Z566" s="571"/>
    </row>
    <row r="567" spans="1:26" ht="18.75" hidden="1">
      <c r="A567" s="601"/>
      <c r="B567" s="611"/>
      <c r="C567" s="611"/>
      <c r="D567" s="619"/>
      <c r="E567" s="619"/>
      <c r="F567" s="619"/>
      <c r="G567" s="753"/>
      <c r="H567" s="755" t="s">
        <v>34</v>
      </c>
      <c r="I567" s="184"/>
      <c r="J567" s="214">
        <v>0</v>
      </c>
      <c r="K567" s="163"/>
      <c r="L567" s="163"/>
      <c r="M567" s="163"/>
      <c r="N567" s="163"/>
      <c r="O567" s="163"/>
      <c r="P567" s="163"/>
      <c r="Q567" s="571"/>
      <c r="R567" s="571"/>
      <c r="S567" s="571"/>
      <c r="T567" s="571"/>
      <c r="U567" s="571"/>
      <c r="V567" s="571"/>
      <c r="W567" s="571"/>
      <c r="X567" s="571"/>
      <c r="Y567" s="571"/>
      <c r="Z567" s="571"/>
    </row>
    <row r="568" spans="1:26" ht="19.5" hidden="1">
      <c r="A568" s="601"/>
      <c r="B568" s="611"/>
      <c r="C568" s="618" t="s">
        <v>239</v>
      </c>
      <c r="D568" s="619"/>
      <c r="E568" s="619"/>
      <c r="F568" s="619"/>
      <c r="G568" s="753"/>
      <c r="H568" s="758" t="s">
        <v>46</v>
      </c>
      <c r="I568" s="193">
        <f ca="1">IFERROR(__xludf.DUMMYFUNCTION("IMPORTRANGE(""https://docs.google.com/spreadsheets/d/1QqKyyYR6Q21VydFLVH3TRQUabQu_ym0Zz7PgGX0-kHA/edit?usp=sharing"",""แผน!HH63"")"),0)</f>
        <v>0</v>
      </c>
      <c r="J568" s="674">
        <f t="shared" ref="J568:J569" si="248">J570+J572+J574</f>
        <v>0</v>
      </c>
      <c r="K568" s="410">
        <f t="shared" ref="K568:K569" ca="1" si="249">IF(I568&gt;0,J568*100/I568,0)</f>
        <v>0</v>
      </c>
      <c r="L568" s="163"/>
      <c r="M568" s="163"/>
      <c r="N568" s="163"/>
      <c r="O568" s="163"/>
      <c r="P568" s="163"/>
      <c r="Q568" s="571"/>
      <c r="R568" s="571"/>
      <c r="S568" s="571"/>
      <c r="T568" s="571"/>
      <c r="U568" s="571"/>
      <c r="V568" s="571"/>
      <c r="W568" s="571"/>
      <c r="X568" s="571"/>
      <c r="Y568" s="571"/>
      <c r="Z568" s="571"/>
    </row>
    <row r="569" spans="1:26" ht="19.5" hidden="1">
      <c r="A569" s="601"/>
      <c r="B569" s="611"/>
      <c r="C569" s="611"/>
      <c r="D569" s="611"/>
      <c r="E569" s="619"/>
      <c r="F569" s="619"/>
      <c r="G569" s="753"/>
      <c r="H569" s="758" t="s">
        <v>34</v>
      </c>
      <c r="I569" s="193">
        <f ca="1">IFERROR(__xludf.DUMMYFUNCTION("IMPORTRANGE(""https://docs.google.com/spreadsheets/d/1QqKyyYR6Q21VydFLVH3TRQUabQu_ym0Zz7PgGX0-kHA/edit?usp=sharing"",""แผน!HG63"")"),0)</f>
        <v>0</v>
      </c>
      <c r="J569" s="674">
        <f t="shared" si="248"/>
        <v>0</v>
      </c>
      <c r="K569" s="410">
        <f t="shared" ca="1" si="249"/>
        <v>0</v>
      </c>
      <c r="L569" s="163"/>
      <c r="M569" s="163"/>
      <c r="N569" s="163"/>
      <c r="O569" s="163"/>
      <c r="P569" s="163"/>
      <c r="Q569" s="571"/>
      <c r="R569" s="571"/>
      <c r="S569" s="571"/>
      <c r="T569" s="571"/>
      <c r="U569" s="571"/>
      <c r="V569" s="571"/>
      <c r="W569" s="571"/>
      <c r="X569" s="571"/>
      <c r="Y569" s="571"/>
      <c r="Z569" s="571"/>
    </row>
    <row r="570" spans="1:26" ht="18.75" hidden="1">
      <c r="A570" s="601"/>
      <c r="B570" s="611"/>
      <c r="C570" s="611"/>
      <c r="D570" s="619" t="s">
        <v>240</v>
      </c>
      <c r="E570" s="611"/>
      <c r="F570" s="619"/>
      <c r="G570" s="753"/>
      <c r="H570" s="755" t="s">
        <v>46</v>
      </c>
      <c r="I570" s="184"/>
      <c r="J570" s="214">
        <v>0</v>
      </c>
      <c r="K570" s="163"/>
      <c r="L570" s="163"/>
      <c r="M570" s="163"/>
      <c r="N570" s="163"/>
      <c r="O570" s="163"/>
      <c r="P570" s="163"/>
      <c r="Q570" s="571"/>
      <c r="R570" s="571"/>
      <c r="S570" s="571"/>
      <c r="T570" s="571"/>
      <c r="U570" s="571"/>
      <c r="V570" s="571"/>
      <c r="W570" s="571"/>
      <c r="X570" s="571"/>
      <c r="Y570" s="571"/>
      <c r="Z570" s="571"/>
    </row>
    <row r="571" spans="1:26" ht="18.75" hidden="1">
      <c r="A571" s="601"/>
      <c r="B571" s="611"/>
      <c r="C571" s="611"/>
      <c r="D571" s="611"/>
      <c r="E571" s="619"/>
      <c r="F571" s="619"/>
      <c r="G571" s="753"/>
      <c r="H571" s="755" t="s">
        <v>34</v>
      </c>
      <c r="I571" s="184"/>
      <c r="J571" s="214">
        <v>0</v>
      </c>
      <c r="K571" s="163"/>
      <c r="L571" s="163"/>
      <c r="M571" s="163"/>
      <c r="N571" s="163"/>
      <c r="O571" s="163"/>
      <c r="P571" s="163"/>
      <c r="Q571" s="571"/>
      <c r="R571" s="571"/>
      <c r="S571" s="571"/>
      <c r="T571" s="571"/>
      <c r="U571" s="571"/>
      <c r="V571" s="571"/>
      <c r="W571" s="571"/>
      <c r="X571" s="571"/>
      <c r="Y571" s="571"/>
      <c r="Z571" s="571"/>
    </row>
    <row r="572" spans="1:26" ht="18.75" hidden="1">
      <c r="A572" s="601"/>
      <c r="B572" s="611"/>
      <c r="C572" s="611"/>
      <c r="D572" s="619" t="s">
        <v>241</v>
      </c>
      <c r="E572" s="619"/>
      <c r="F572" s="619"/>
      <c r="G572" s="753"/>
      <c r="H572" s="755" t="s">
        <v>46</v>
      </c>
      <c r="I572" s="184"/>
      <c r="J572" s="214">
        <v>0</v>
      </c>
      <c r="K572" s="163"/>
      <c r="L572" s="163"/>
      <c r="M572" s="163"/>
      <c r="N572" s="163"/>
      <c r="O572" s="163"/>
      <c r="P572" s="163"/>
      <c r="Q572" s="571"/>
      <c r="R572" s="571"/>
      <c r="S572" s="571"/>
      <c r="T572" s="571"/>
      <c r="U572" s="571"/>
      <c r="V572" s="571"/>
      <c r="W572" s="571"/>
      <c r="X572" s="571"/>
      <c r="Y572" s="571"/>
      <c r="Z572" s="571"/>
    </row>
    <row r="573" spans="1:26" ht="18.75" hidden="1">
      <c r="A573" s="601"/>
      <c r="B573" s="611"/>
      <c r="C573" s="611"/>
      <c r="D573" s="619"/>
      <c r="E573" s="619"/>
      <c r="F573" s="619"/>
      <c r="G573" s="753"/>
      <c r="H573" s="755" t="s">
        <v>34</v>
      </c>
      <c r="I573" s="184"/>
      <c r="J573" s="214">
        <v>0</v>
      </c>
      <c r="K573" s="163"/>
      <c r="L573" s="163"/>
      <c r="M573" s="163"/>
      <c r="N573" s="163"/>
      <c r="O573" s="163"/>
      <c r="P573" s="163"/>
      <c r="Q573" s="571"/>
      <c r="R573" s="571"/>
      <c r="S573" s="571"/>
      <c r="T573" s="571"/>
      <c r="U573" s="571"/>
      <c r="V573" s="571"/>
      <c r="W573" s="571"/>
      <c r="X573" s="571"/>
      <c r="Y573" s="571"/>
      <c r="Z573" s="571"/>
    </row>
    <row r="574" spans="1:26" ht="18.75" hidden="1">
      <c r="A574" s="601"/>
      <c r="B574" s="611"/>
      <c r="C574" s="611"/>
      <c r="D574" s="619" t="s">
        <v>242</v>
      </c>
      <c r="E574" s="619"/>
      <c r="F574" s="619"/>
      <c r="G574" s="753"/>
      <c r="H574" s="755" t="s">
        <v>46</v>
      </c>
      <c r="I574" s="184"/>
      <c r="J574" s="214">
        <v>0</v>
      </c>
      <c r="K574" s="163"/>
      <c r="L574" s="163"/>
      <c r="M574" s="163"/>
      <c r="N574" s="163"/>
      <c r="O574" s="163"/>
      <c r="P574" s="163"/>
      <c r="Q574" s="571"/>
      <c r="R574" s="571"/>
      <c r="S574" s="571"/>
      <c r="T574" s="571"/>
      <c r="U574" s="571"/>
      <c r="V574" s="571"/>
      <c r="W574" s="571"/>
      <c r="X574" s="571"/>
      <c r="Y574" s="571"/>
      <c r="Z574" s="571"/>
    </row>
    <row r="575" spans="1:26" ht="18.75" hidden="1">
      <c r="A575" s="601"/>
      <c r="B575" s="611"/>
      <c r="C575" s="611"/>
      <c r="D575" s="611"/>
      <c r="E575" s="619"/>
      <c r="F575" s="619"/>
      <c r="G575" s="753"/>
      <c r="H575" s="755" t="s">
        <v>34</v>
      </c>
      <c r="I575" s="184"/>
      <c r="J575" s="214">
        <v>0</v>
      </c>
      <c r="K575" s="163"/>
      <c r="L575" s="163"/>
      <c r="M575" s="163"/>
      <c r="N575" s="163"/>
      <c r="O575" s="163"/>
      <c r="P575" s="163"/>
      <c r="Q575" s="571"/>
      <c r="R575" s="571"/>
      <c r="S575" s="571"/>
      <c r="T575" s="571"/>
      <c r="U575" s="571"/>
      <c r="V575" s="571"/>
      <c r="W575" s="571"/>
      <c r="X575" s="571"/>
      <c r="Y575" s="571"/>
      <c r="Z575" s="571"/>
    </row>
    <row r="576" spans="1:26" ht="19.5" hidden="1">
      <c r="A576" s="601"/>
      <c r="B576" s="611"/>
      <c r="C576" s="618" t="s">
        <v>243</v>
      </c>
      <c r="D576" s="611"/>
      <c r="E576" s="611"/>
      <c r="F576" s="619"/>
      <c r="G576" s="753"/>
      <c r="H576" s="758" t="s">
        <v>46</v>
      </c>
      <c r="I576" s="193">
        <f ca="1">IFERROR(__xludf.DUMMYFUNCTION("IMPORTRANGE(""https://docs.google.com/spreadsheets/d/1QqKyyYR6Q21VydFLVH3TRQUabQu_ym0Zz7PgGX0-kHA/edit?usp=sharing"",""แผน!HH63"")"),0)</f>
        <v>0</v>
      </c>
      <c r="J576" s="674">
        <f t="shared" ref="J576:J577" si="250">J578+J580+J582+J588+J590</f>
        <v>0</v>
      </c>
      <c r="K576" s="410">
        <f t="shared" ref="K576:K577" ca="1" si="251">IF(I576&gt;0,J576*100/I576,0)</f>
        <v>0</v>
      </c>
      <c r="L576" s="163"/>
      <c r="M576" s="163"/>
      <c r="N576" s="163"/>
      <c r="O576" s="163"/>
      <c r="P576" s="163"/>
      <c r="Q576" s="571"/>
      <c r="R576" s="571"/>
      <c r="S576" s="571"/>
      <c r="T576" s="571"/>
      <c r="U576" s="571"/>
      <c r="V576" s="571"/>
      <c r="W576" s="571"/>
      <c r="X576" s="571"/>
      <c r="Y576" s="571"/>
      <c r="Z576" s="571"/>
    </row>
    <row r="577" spans="1:26" ht="19.5" hidden="1">
      <c r="A577" s="601"/>
      <c r="B577" s="611"/>
      <c r="C577" s="611"/>
      <c r="D577" s="611"/>
      <c r="E577" s="619"/>
      <c r="F577" s="619"/>
      <c r="G577" s="753"/>
      <c r="H577" s="758" t="s">
        <v>34</v>
      </c>
      <c r="I577" s="193">
        <f ca="1">IFERROR(__xludf.DUMMYFUNCTION("IMPORTRANGE(""https://docs.google.com/spreadsheets/d/1QqKyyYR6Q21VydFLVH3TRQUabQu_ym0Zz7PgGX0-kHA/edit?usp=sharing"",""แผน!HG63"")"),0)</f>
        <v>0</v>
      </c>
      <c r="J577" s="674">
        <f t="shared" si="250"/>
        <v>0</v>
      </c>
      <c r="K577" s="410">
        <f t="shared" ca="1" si="251"/>
        <v>0</v>
      </c>
      <c r="L577" s="163"/>
      <c r="M577" s="163"/>
      <c r="N577" s="163"/>
      <c r="O577" s="163"/>
      <c r="P577" s="163"/>
      <c r="Q577" s="571"/>
      <c r="R577" s="571"/>
      <c r="S577" s="571"/>
      <c r="T577" s="571"/>
      <c r="U577" s="571"/>
      <c r="V577" s="571"/>
      <c r="W577" s="571"/>
      <c r="X577" s="571"/>
      <c r="Y577" s="571"/>
      <c r="Z577" s="571"/>
    </row>
    <row r="578" spans="1:26" ht="18.75" hidden="1">
      <c r="A578" s="601"/>
      <c r="B578" s="611"/>
      <c r="C578" s="611"/>
      <c r="D578" s="619" t="s">
        <v>244</v>
      </c>
      <c r="E578" s="619"/>
      <c r="F578" s="619"/>
      <c r="G578" s="753"/>
      <c r="H578" s="755" t="s">
        <v>46</v>
      </c>
      <c r="I578" s="184"/>
      <c r="J578" s="214">
        <v>0</v>
      </c>
      <c r="K578" s="163"/>
      <c r="L578" s="163"/>
      <c r="M578" s="163"/>
      <c r="N578" s="163"/>
      <c r="O578" s="163"/>
      <c r="P578" s="163"/>
      <c r="Q578" s="571"/>
      <c r="R578" s="571"/>
      <c r="S578" s="571"/>
      <c r="T578" s="571"/>
      <c r="U578" s="571"/>
      <c r="V578" s="571"/>
      <c r="W578" s="571"/>
      <c r="X578" s="571"/>
      <c r="Y578" s="571"/>
      <c r="Z578" s="571"/>
    </row>
    <row r="579" spans="1:26" ht="18.75" hidden="1">
      <c r="A579" s="601"/>
      <c r="B579" s="611"/>
      <c r="C579" s="611"/>
      <c r="D579" s="611"/>
      <c r="E579" s="619"/>
      <c r="F579" s="619"/>
      <c r="G579" s="753"/>
      <c r="H579" s="755" t="s">
        <v>34</v>
      </c>
      <c r="I579" s="184"/>
      <c r="J579" s="214">
        <v>0</v>
      </c>
      <c r="K579" s="163"/>
      <c r="L579" s="163"/>
      <c r="M579" s="163"/>
      <c r="N579" s="163"/>
      <c r="O579" s="163"/>
      <c r="P579" s="163"/>
      <c r="Q579" s="571"/>
      <c r="R579" s="571"/>
      <c r="S579" s="571"/>
      <c r="T579" s="571"/>
      <c r="U579" s="571"/>
      <c r="V579" s="571"/>
      <c r="W579" s="571"/>
      <c r="X579" s="571"/>
      <c r="Y579" s="571"/>
      <c r="Z579" s="571"/>
    </row>
    <row r="580" spans="1:26" ht="18.75" hidden="1">
      <c r="A580" s="601"/>
      <c r="B580" s="611"/>
      <c r="C580" s="611"/>
      <c r="D580" s="619" t="s">
        <v>245</v>
      </c>
      <c r="E580" s="619"/>
      <c r="F580" s="619"/>
      <c r="G580" s="753"/>
      <c r="H580" s="755" t="s">
        <v>46</v>
      </c>
      <c r="I580" s="184"/>
      <c r="J580" s="214">
        <v>0</v>
      </c>
      <c r="K580" s="163"/>
      <c r="L580" s="163"/>
      <c r="M580" s="163"/>
      <c r="N580" s="163"/>
      <c r="O580" s="163"/>
      <c r="P580" s="163"/>
      <c r="Q580" s="571"/>
      <c r="R580" s="571"/>
      <c r="S580" s="571"/>
      <c r="T580" s="571"/>
      <c r="U580" s="571"/>
      <c r="V580" s="571"/>
      <c r="W580" s="571"/>
      <c r="X580" s="571"/>
      <c r="Y580" s="571"/>
      <c r="Z580" s="571"/>
    </row>
    <row r="581" spans="1:26" ht="18.75" hidden="1">
      <c r="A581" s="601"/>
      <c r="B581" s="611"/>
      <c r="C581" s="611"/>
      <c r="D581" s="611"/>
      <c r="E581" s="619"/>
      <c r="F581" s="619"/>
      <c r="G581" s="753"/>
      <c r="H581" s="755" t="s">
        <v>34</v>
      </c>
      <c r="I581" s="184"/>
      <c r="J581" s="214">
        <v>0</v>
      </c>
      <c r="K581" s="163"/>
      <c r="L581" s="163"/>
      <c r="M581" s="163"/>
      <c r="N581" s="163"/>
      <c r="O581" s="163"/>
      <c r="P581" s="163"/>
      <c r="Q581" s="571"/>
      <c r="R581" s="571"/>
      <c r="S581" s="571"/>
      <c r="T581" s="571"/>
      <c r="U581" s="571"/>
      <c r="V581" s="571"/>
      <c r="W581" s="571"/>
      <c r="X581" s="571"/>
      <c r="Y581" s="571"/>
      <c r="Z581" s="571"/>
    </row>
    <row r="582" spans="1:26" ht="19.5" hidden="1">
      <c r="A582" s="601"/>
      <c r="B582" s="611"/>
      <c r="C582" s="611"/>
      <c r="D582" s="619" t="s">
        <v>246</v>
      </c>
      <c r="E582" s="619"/>
      <c r="F582" s="619"/>
      <c r="G582" s="753"/>
      <c r="H582" s="755" t="s">
        <v>46</v>
      </c>
      <c r="I582" s="184"/>
      <c r="J582" s="674">
        <f t="shared" ref="J582:J583" si="252">J584+J586</f>
        <v>0</v>
      </c>
      <c r="K582" s="410"/>
      <c r="L582" s="163"/>
      <c r="M582" s="163"/>
      <c r="N582" s="163"/>
      <c r="O582" s="163"/>
      <c r="P582" s="163"/>
      <c r="Q582" s="571"/>
      <c r="R582" s="571"/>
      <c r="S582" s="571"/>
      <c r="T582" s="571"/>
      <c r="U582" s="571"/>
      <c r="V582" s="571"/>
      <c r="W582" s="571"/>
      <c r="X582" s="571"/>
      <c r="Y582" s="571"/>
      <c r="Z582" s="571"/>
    </row>
    <row r="583" spans="1:26" ht="19.5" hidden="1">
      <c r="A583" s="601"/>
      <c r="B583" s="611"/>
      <c r="C583" s="611"/>
      <c r="D583" s="611"/>
      <c r="E583" s="619"/>
      <c r="F583" s="619"/>
      <c r="G583" s="753"/>
      <c r="H583" s="755" t="s">
        <v>34</v>
      </c>
      <c r="I583" s="184"/>
      <c r="J583" s="674">
        <f t="shared" si="252"/>
        <v>0</v>
      </c>
      <c r="K583" s="410"/>
      <c r="L583" s="163"/>
      <c r="M583" s="163"/>
      <c r="N583" s="163"/>
      <c r="O583" s="163"/>
      <c r="P583" s="163"/>
      <c r="Q583" s="571"/>
      <c r="R583" s="571"/>
      <c r="S583" s="571"/>
      <c r="T583" s="571"/>
      <c r="U583" s="571"/>
      <c r="V583" s="571"/>
      <c r="W583" s="571"/>
      <c r="X583" s="571"/>
      <c r="Y583" s="571"/>
      <c r="Z583" s="571"/>
    </row>
    <row r="584" spans="1:26" ht="18.75" hidden="1">
      <c r="A584" s="601"/>
      <c r="B584" s="611"/>
      <c r="C584" s="611"/>
      <c r="D584" s="611"/>
      <c r="E584" s="619" t="s">
        <v>247</v>
      </c>
      <c r="F584" s="619"/>
      <c r="G584" s="753"/>
      <c r="H584" s="755" t="s">
        <v>46</v>
      </c>
      <c r="I584" s="184"/>
      <c r="J584" s="214">
        <v>0</v>
      </c>
      <c r="K584" s="163"/>
      <c r="L584" s="163"/>
      <c r="M584" s="163"/>
      <c r="N584" s="163"/>
      <c r="O584" s="163"/>
      <c r="P584" s="163"/>
      <c r="Q584" s="571"/>
      <c r="R584" s="571"/>
      <c r="S584" s="571"/>
      <c r="T584" s="571"/>
      <c r="U584" s="571"/>
      <c r="V584" s="571"/>
      <c r="W584" s="571"/>
      <c r="X584" s="571"/>
      <c r="Y584" s="571"/>
      <c r="Z584" s="571"/>
    </row>
    <row r="585" spans="1:26" ht="18.75" hidden="1">
      <c r="A585" s="601"/>
      <c r="B585" s="611"/>
      <c r="C585" s="611"/>
      <c r="D585" s="611"/>
      <c r="E585" s="619"/>
      <c r="F585" s="619"/>
      <c r="G585" s="753"/>
      <c r="H585" s="755" t="s">
        <v>34</v>
      </c>
      <c r="I585" s="184"/>
      <c r="J585" s="214">
        <v>0</v>
      </c>
      <c r="K585" s="163"/>
      <c r="L585" s="163"/>
      <c r="M585" s="163"/>
      <c r="N585" s="163"/>
      <c r="O585" s="163"/>
      <c r="P585" s="163"/>
      <c r="Q585" s="571"/>
      <c r="R585" s="571"/>
      <c r="S585" s="571"/>
      <c r="T585" s="571"/>
      <c r="U585" s="571"/>
      <c r="V585" s="571"/>
      <c r="W585" s="571"/>
      <c r="X585" s="571"/>
      <c r="Y585" s="571"/>
      <c r="Z585" s="571"/>
    </row>
    <row r="586" spans="1:26" ht="18.75" hidden="1">
      <c r="A586" s="601"/>
      <c r="B586" s="611"/>
      <c r="C586" s="611"/>
      <c r="D586" s="611"/>
      <c r="E586" s="619" t="s">
        <v>248</v>
      </c>
      <c r="F586" s="619"/>
      <c r="G586" s="753"/>
      <c r="H586" s="755" t="s">
        <v>46</v>
      </c>
      <c r="I586" s="184"/>
      <c r="J586" s="214">
        <v>0</v>
      </c>
      <c r="K586" s="163"/>
      <c r="L586" s="163"/>
      <c r="M586" s="163"/>
      <c r="N586" s="163"/>
      <c r="O586" s="163"/>
      <c r="P586" s="163"/>
      <c r="Q586" s="571"/>
      <c r="R586" s="571"/>
      <c r="S586" s="571"/>
      <c r="T586" s="571"/>
      <c r="U586" s="571"/>
      <c r="V586" s="571"/>
      <c r="W586" s="571"/>
      <c r="X586" s="571"/>
      <c r="Y586" s="571"/>
      <c r="Z586" s="571"/>
    </row>
    <row r="587" spans="1:26" ht="18.75" hidden="1">
      <c r="A587" s="601"/>
      <c r="B587" s="611"/>
      <c r="C587" s="611"/>
      <c r="D587" s="611"/>
      <c r="E587" s="611"/>
      <c r="F587" s="619"/>
      <c r="G587" s="753"/>
      <c r="H587" s="755" t="s">
        <v>34</v>
      </c>
      <c r="I587" s="184"/>
      <c r="J587" s="214">
        <v>0</v>
      </c>
      <c r="K587" s="163"/>
      <c r="L587" s="163"/>
      <c r="M587" s="163"/>
      <c r="N587" s="163"/>
      <c r="O587" s="163"/>
      <c r="P587" s="163"/>
      <c r="Q587" s="571"/>
      <c r="R587" s="571"/>
      <c r="S587" s="571"/>
      <c r="T587" s="571"/>
      <c r="U587" s="571"/>
      <c r="V587" s="571"/>
      <c r="W587" s="571"/>
      <c r="X587" s="571"/>
      <c r="Y587" s="571"/>
      <c r="Z587" s="571"/>
    </row>
    <row r="588" spans="1:26" ht="18.75" hidden="1">
      <c r="A588" s="601"/>
      <c r="B588" s="611"/>
      <c r="C588" s="611"/>
      <c r="D588" s="619" t="s">
        <v>249</v>
      </c>
      <c r="E588" s="619"/>
      <c r="F588" s="619"/>
      <c r="G588" s="753"/>
      <c r="H588" s="755" t="s">
        <v>46</v>
      </c>
      <c r="I588" s="184"/>
      <c r="J588" s="214">
        <v>0</v>
      </c>
      <c r="K588" s="163"/>
      <c r="L588" s="163"/>
      <c r="M588" s="163"/>
      <c r="N588" s="163"/>
      <c r="O588" s="163"/>
      <c r="P588" s="163"/>
      <c r="Q588" s="571"/>
      <c r="R588" s="571"/>
      <c r="S588" s="571"/>
      <c r="T588" s="571"/>
      <c r="U588" s="571"/>
      <c r="V588" s="571"/>
      <c r="W588" s="571"/>
      <c r="X588" s="571"/>
      <c r="Y588" s="571"/>
      <c r="Z588" s="571"/>
    </row>
    <row r="589" spans="1:26" ht="18.75" hidden="1">
      <c r="A589" s="601"/>
      <c r="B589" s="611"/>
      <c r="C589" s="611"/>
      <c r="D589" s="611"/>
      <c r="E589" s="611"/>
      <c r="F589" s="619"/>
      <c r="G589" s="753"/>
      <c r="H589" s="755" t="s">
        <v>34</v>
      </c>
      <c r="I589" s="184"/>
      <c r="J589" s="214">
        <v>0</v>
      </c>
      <c r="K589" s="163"/>
      <c r="L589" s="163"/>
      <c r="M589" s="163"/>
      <c r="N589" s="163"/>
      <c r="O589" s="163"/>
      <c r="P589" s="163"/>
      <c r="Q589" s="571"/>
      <c r="R589" s="571"/>
      <c r="S589" s="571"/>
      <c r="T589" s="571"/>
      <c r="U589" s="571"/>
      <c r="V589" s="571"/>
      <c r="W589" s="571"/>
      <c r="X589" s="571"/>
      <c r="Y589" s="571"/>
      <c r="Z589" s="571"/>
    </row>
    <row r="590" spans="1:26" ht="18.75" hidden="1">
      <c r="A590" s="601"/>
      <c r="B590" s="611"/>
      <c r="C590" s="611"/>
      <c r="D590" s="619" t="s">
        <v>250</v>
      </c>
      <c r="E590" s="619"/>
      <c r="F590" s="619"/>
      <c r="G590" s="753"/>
      <c r="H590" s="755" t="s">
        <v>46</v>
      </c>
      <c r="I590" s="184"/>
      <c r="J590" s="214">
        <v>0</v>
      </c>
      <c r="K590" s="163"/>
      <c r="L590" s="163"/>
      <c r="M590" s="163"/>
      <c r="N590" s="163"/>
      <c r="O590" s="163"/>
      <c r="P590" s="163"/>
      <c r="Q590" s="571"/>
      <c r="R590" s="571"/>
      <c r="S590" s="571"/>
      <c r="T590" s="571"/>
      <c r="U590" s="571"/>
      <c r="V590" s="571"/>
      <c r="W590" s="571"/>
      <c r="X590" s="571"/>
      <c r="Y590" s="571"/>
      <c r="Z590" s="571"/>
    </row>
    <row r="591" spans="1:26" ht="18.75" hidden="1">
      <c r="A591" s="689"/>
      <c r="B591" s="690"/>
      <c r="C591" s="690"/>
      <c r="D591" s="690"/>
      <c r="E591" s="571"/>
      <c r="F591" s="571"/>
      <c r="G591" s="691"/>
      <c r="H591" s="692" t="s">
        <v>34</v>
      </c>
      <c r="I591" s="693"/>
      <c r="J591" s="694">
        <v>0</v>
      </c>
      <c r="K591" s="695"/>
      <c r="L591" s="695"/>
      <c r="M591" s="695"/>
      <c r="N591" s="695"/>
      <c r="O591" s="695"/>
      <c r="P591" s="695"/>
      <c r="Q591" s="571"/>
      <c r="R591" s="571"/>
      <c r="S591" s="571"/>
      <c r="T591" s="571"/>
      <c r="U591" s="571"/>
      <c r="V591" s="571"/>
      <c r="W591" s="571"/>
      <c r="X591" s="571"/>
      <c r="Y591" s="571"/>
      <c r="Z591" s="571"/>
    </row>
    <row r="592" spans="1:26" ht="19.5">
      <c r="A592" s="685"/>
      <c r="B592" s="686" t="s">
        <v>251</v>
      </c>
      <c r="C592" s="687"/>
      <c r="D592" s="687"/>
      <c r="E592" s="666"/>
      <c r="F592" s="666"/>
      <c r="G592" s="667"/>
      <c r="H592" s="688" t="s">
        <v>46</v>
      </c>
      <c r="I592" s="699">
        <f t="shared" ref="I592:J592" ca="1" si="253">I593</f>
        <v>425</v>
      </c>
      <c r="J592" s="699">
        <f t="shared" si="253"/>
        <v>0</v>
      </c>
      <c r="K592" s="670">
        <f t="shared" ref="K592:K594" ca="1" si="254">IF(I592&gt;0,J592*100/I592,0)</f>
        <v>0</v>
      </c>
      <c r="L592" s="671"/>
      <c r="M592" s="671"/>
      <c r="N592" s="671"/>
      <c r="O592" s="671"/>
      <c r="P592" s="671"/>
      <c r="Q592" s="571"/>
      <c r="R592" s="571"/>
      <c r="S592" s="571"/>
      <c r="T592" s="571"/>
      <c r="U592" s="571"/>
      <c r="V592" s="571"/>
      <c r="W592" s="571"/>
      <c r="X592" s="571"/>
      <c r="Y592" s="571"/>
      <c r="Z592" s="571"/>
    </row>
    <row r="593" spans="1:26" ht="19.5">
      <c r="A593" s="601"/>
      <c r="B593" s="611"/>
      <c r="C593" s="618" t="s">
        <v>252</v>
      </c>
      <c r="D593" s="611"/>
      <c r="E593" s="611"/>
      <c r="F593" s="619"/>
      <c r="G593" s="753"/>
      <c r="H593" s="758" t="s">
        <v>46</v>
      </c>
      <c r="I593" s="193">
        <f ca="1">IFERROR(__xludf.DUMMYFUNCTION("IMPORTRANGE(""https://docs.google.com/spreadsheets/d/1QqKyyYR6Q21VydFLVH3TRQUabQu_ym0Zz7PgGX0-kHA/edit?usp=sharing"",""แผน!HJ63"")"),425)</f>
        <v>425</v>
      </c>
      <c r="J593" s="193">
        <f t="shared" ref="J593:J594" si="255">J595+J603+J609</f>
        <v>0</v>
      </c>
      <c r="K593" s="410">
        <f t="shared" ca="1" si="254"/>
        <v>0</v>
      </c>
      <c r="L593" s="163"/>
      <c r="M593" s="163"/>
      <c r="N593" s="163"/>
      <c r="O593" s="163"/>
      <c r="P593" s="163"/>
      <c r="Q593" s="571"/>
      <c r="R593" s="571"/>
      <c r="S593" s="571"/>
      <c r="T593" s="571"/>
      <c r="U593" s="571"/>
      <c r="V593" s="571"/>
      <c r="W593" s="571"/>
      <c r="X593" s="571"/>
      <c r="Y593" s="571"/>
      <c r="Z593" s="571"/>
    </row>
    <row r="594" spans="1:26" ht="19.5">
      <c r="A594" s="601"/>
      <c r="B594" s="611"/>
      <c r="C594" s="611"/>
      <c r="D594" s="611"/>
      <c r="E594" s="619"/>
      <c r="F594" s="619"/>
      <c r="G594" s="753"/>
      <c r="H594" s="758" t="s">
        <v>34</v>
      </c>
      <c r="I594" s="193">
        <f ca="1">IFERROR(__xludf.DUMMYFUNCTION("IMPORTRANGE(""https://docs.google.com/spreadsheets/d/1QqKyyYR6Q21VydFLVH3TRQUabQu_ym0Zz7PgGX0-kHA/edit?usp=sharing"",""แผน!HI63"")"),21)</f>
        <v>21</v>
      </c>
      <c r="J594" s="193">
        <f t="shared" si="255"/>
        <v>0</v>
      </c>
      <c r="K594" s="410">
        <f t="shared" ca="1" si="254"/>
        <v>0</v>
      </c>
      <c r="L594" s="163"/>
      <c r="M594" s="163"/>
      <c r="N594" s="163"/>
      <c r="O594" s="163"/>
      <c r="P594" s="163"/>
      <c r="Q594" s="571"/>
      <c r="R594" s="571"/>
      <c r="S594" s="571"/>
      <c r="T594" s="571"/>
      <c r="U594" s="571"/>
      <c r="V594" s="571"/>
      <c r="W594" s="571"/>
      <c r="X594" s="571"/>
      <c r="Y594" s="571"/>
      <c r="Z594" s="571"/>
    </row>
    <row r="595" spans="1:26" ht="18.75">
      <c r="A595" s="601"/>
      <c r="B595" s="611"/>
      <c r="C595" s="611" t="s">
        <v>253</v>
      </c>
      <c r="D595" s="611"/>
      <c r="E595" s="611"/>
      <c r="F595" s="619"/>
      <c r="G595" s="753"/>
      <c r="H595" s="755" t="s">
        <v>46</v>
      </c>
      <c r="I595" s="184"/>
      <c r="J595" s="184">
        <f t="shared" ref="J595:J596" si="256">J597+J599</f>
        <v>0</v>
      </c>
      <c r="K595" s="163"/>
      <c r="L595" s="163"/>
      <c r="M595" s="163"/>
      <c r="N595" s="163"/>
      <c r="O595" s="163"/>
      <c r="P595" s="163"/>
      <c r="Q595" s="571"/>
      <c r="R595" s="571"/>
      <c r="S595" s="571"/>
      <c r="T595" s="571"/>
      <c r="U595" s="571"/>
      <c r="V595" s="571"/>
      <c r="W595" s="571"/>
      <c r="X595" s="571"/>
      <c r="Y595" s="571"/>
      <c r="Z595" s="571"/>
    </row>
    <row r="596" spans="1:26" ht="18.75">
      <c r="A596" s="601"/>
      <c r="B596" s="611"/>
      <c r="C596" s="611"/>
      <c r="D596" s="611"/>
      <c r="E596" s="619"/>
      <c r="F596" s="619"/>
      <c r="G596" s="753"/>
      <c r="H596" s="755" t="s">
        <v>34</v>
      </c>
      <c r="I596" s="184"/>
      <c r="J596" s="184">
        <f t="shared" si="256"/>
        <v>0</v>
      </c>
      <c r="K596" s="163"/>
      <c r="L596" s="163"/>
      <c r="M596" s="163"/>
      <c r="N596" s="163"/>
      <c r="O596" s="163"/>
      <c r="P596" s="163"/>
      <c r="Q596" s="571"/>
      <c r="R596" s="571"/>
      <c r="S596" s="571"/>
      <c r="T596" s="571"/>
      <c r="U596" s="571"/>
      <c r="V596" s="571"/>
      <c r="W596" s="571"/>
      <c r="X596" s="571"/>
      <c r="Y596" s="571"/>
      <c r="Z596" s="571"/>
    </row>
    <row r="597" spans="1:26" ht="18.75">
      <c r="A597" s="601"/>
      <c r="B597" s="611"/>
      <c r="C597" s="611"/>
      <c r="D597" s="737" t="s">
        <v>254</v>
      </c>
      <c r="E597" s="619"/>
      <c r="F597" s="619"/>
      <c r="G597" s="753"/>
      <c r="H597" s="755" t="s">
        <v>46</v>
      </c>
      <c r="I597" s="184"/>
      <c r="J597" s="214">
        <v>0</v>
      </c>
      <c r="K597" s="163"/>
      <c r="L597" s="163"/>
      <c r="M597" s="163"/>
      <c r="N597" s="163"/>
      <c r="O597" s="163"/>
      <c r="P597" s="163"/>
      <c r="Q597" s="571"/>
      <c r="R597" s="571"/>
      <c r="S597" s="571"/>
      <c r="T597" s="571"/>
      <c r="U597" s="571"/>
      <c r="V597" s="571"/>
      <c r="W597" s="571"/>
      <c r="X597" s="571"/>
      <c r="Y597" s="571"/>
      <c r="Z597" s="571"/>
    </row>
    <row r="598" spans="1:26" ht="18.75">
      <c r="A598" s="601"/>
      <c r="B598" s="611"/>
      <c r="C598" s="611"/>
      <c r="D598" s="611"/>
      <c r="E598" s="619"/>
      <c r="F598" s="619"/>
      <c r="G598" s="753"/>
      <c r="H598" s="755" t="s">
        <v>34</v>
      </c>
      <c r="I598" s="269"/>
      <c r="J598" s="214">
        <v>0</v>
      </c>
      <c r="K598" s="163"/>
      <c r="L598" s="163"/>
      <c r="M598" s="163"/>
      <c r="N598" s="163"/>
      <c r="O598" s="163"/>
      <c r="P598" s="163"/>
      <c r="Q598" s="571"/>
      <c r="R598" s="571"/>
      <c r="S598" s="571"/>
      <c r="T598" s="571"/>
      <c r="U598" s="571"/>
      <c r="V598" s="571"/>
      <c r="W598" s="571"/>
      <c r="X598" s="571"/>
      <c r="Y598" s="571"/>
      <c r="Z598" s="571"/>
    </row>
    <row r="599" spans="1:26" ht="18.75">
      <c r="A599" s="601"/>
      <c r="B599" s="611"/>
      <c r="C599" s="611"/>
      <c r="D599" s="737" t="s">
        <v>255</v>
      </c>
      <c r="E599" s="619"/>
      <c r="F599" s="619"/>
      <c r="G599" s="753"/>
      <c r="H599" s="755" t="s">
        <v>46</v>
      </c>
      <c r="I599" s="269"/>
      <c r="J599" s="214">
        <v>0</v>
      </c>
      <c r="K599" s="163"/>
      <c r="L599" s="163"/>
      <c r="M599" s="163"/>
      <c r="N599" s="163"/>
      <c r="O599" s="163"/>
      <c r="P599" s="163"/>
      <c r="Q599" s="571"/>
      <c r="R599" s="571"/>
      <c r="S599" s="571"/>
      <c r="T599" s="571"/>
      <c r="U599" s="571"/>
      <c r="V599" s="571"/>
      <c r="W599" s="571"/>
      <c r="X599" s="571"/>
      <c r="Y599" s="571"/>
      <c r="Z599" s="571"/>
    </row>
    <row r="600" spans="1:26" ht="18.75">
      <c r="A600" s="601"/>
      <c r="B600" s="611"/>
      <c r="C600" s="611"/>
      <c r="D600" s="611"/>
      <c r="E600" s="619"/>
      <c r="F600" s="619"/>
      <c r="G600" s="753"/>
      <c r="H600" s="755" t="s">
        <v>34</v>
      </c>
      <c r="I600" s="269"/>
      <c r="J600" s="214">
        <v>0</v>
      </c>
      <c r="K600" s="163"/>
      <c r="L600" s="163"/>
      <c r="M600" s="163"/>
      <c r="N600" s="163"/>
      <c r="O600" s="163"/>
      <c r="P600" s="163"/>
      <c r="Q600" s="571"/>
      <c r="R600" s="571"/>
      <c r="S600" s="571"/>
      <c r="T600" s="571"/>
      <c r="U600" s="571"/>
      <c r="V600" s="571"/>
      <c r="W600" s="571"/>
      <c r="X600" s="571"/>
      <c r="Y600" s="571"/>
      <c r="Z600" s="571"/>
    </row>
    <row r="601" spans="1:26" ht="18.75">
      <c r="A601" s="601"/>
      <c r="B601" s="611"/>
      <c r="C601" s="611"/>
      <c r="D601" s="737" t="s">
        <v>256</v>
      </c>
      <c r="E601" s="619"/>
      <c r="F601" s="619"/>
      <c r="G601" s="753"/>
      <c r="H601" s="755" t="s">
        <v>46</v>
      </c>
      <c r="I601" s="269"/>
      <c r="J601" s="214">
        <v>0</v>
      </c>
      <c r="K601" s="163"/>
      <c r="L601" s="163"/>
      <c r="M601" s="163"/>
      <c r="N601" s="163"/>
      <c r="O601" s="163"/>
      <c r="P601" s="163"/>
      <c r="Q601" s="571"/>
      <c r="R601" s="571"/>
      <c r="S601" s="571"/>
      <c r="T601" s="571"/>
      <c r="U601" s="571"/>
      <c r="V601" s="571"/>
      <c r="W601" s="571"/>
      <c r="X601" s="571"/>
      <c r="Y601" s="571"/>
      <c r="Z601" s="571"/>
    </row>
    <row r="602" spans="1:26" ht="18.75">
      <c r="A602" s="601"/>
      <c r="B602" s="611"/>
      <c r="C602" s="611"/>
      <c r="D602" s="611"/>
      <c r="E602" s="619"/>
      <c r="F602" s="619"/>
      <c r="G602" s="753"/>
      <c r="H602" s="755" t="s">
        <v>34</v>
      </c>
      <c r="I602" s="269"/>
      <c r="J602" s="214">
        <v>0</v>
      </c>
      <c r="K602" s="163"/>
      <c r="L602" s="163"/>
      <c r="M602" s="163"/>
      <c r="N602" s="163"/>
      <c r="O602" s="163"/>
      <c r="P602" s="163"/>
      <c r="Q602" s="571"/>
      <c r="R602" s="571"/>
      <c r="S602" s="571"/>
      <c r="T602" s="571"/>
      <c r="U602" s="571"/>
      <c r="V602" s="571"/>
      <c r="W602" s="571"/>
      <c r="X602" s="571"/>
      <c r="Y602" s="571"/>
      <c r="Z602" s="571"/>
    </row>
    <row r="603" spans="1:26" ht="18.75">
      <c r="A603" s="601"/>
      <c r="B603" s="611"/>
      <c r="C603" s="696" t="s">
        <v>257</v>
      </c>
      <c r="D603" s="611"/>
      <c r="E603" s="611"/>
      <c r="F603" s="619"/>
      <c r="G603" s="753"/>
      <c r="H603" s="755" t="s">
        <v>46</v>
      </c>
      <c r="I603" s="269"/>
      <c r="J603" s="269">
        <f t="shared" ref="J603:J604" si="257">J605+J607</f>
        <v>0</v>
      </c>
      <c r="K603" s="163"/>
      <c r="L603" s="163"/>
      <c r="M603" s="163"/>
      <c r="N603" s="163"/>
      <c r="O603" s="163"/>
      <c r="P603" s="163"/>
      <c r="Q603" s="571"/>
      <c r="R603" s="571"/>
      <c r="S603" s="571"/>
      <c r="T603" s="571"/>
      <c r="U603" s="571"/>
      <c r="V603" s="571"/>
      <c r="W603" s="571"/>
      <c r="X603" s="571"/>
      <c r="Y603" s="571"/>
      <c r="Z603" s="571"/>
    </row>
    <row r="604" spans="1:26" ht="18.75">
      <c r="A604" s="601"/>
      <c r="B604" s="611"/>
      <c r="C604" s="611"/>
      <c r="D604" s="611"/>
      <c r="E604" s="619"/>
      <c r="F604" s="619"/>
      <c r="G604" s="753"/>
      <c r="H604" s="755" t="s">
        <v>34</v>
      </c>
      <c r="I604" s="269"/>
      <c r="J604" s="269">
        <f t="shared" si="257"/>
        <v>0</v>
      </c>
      <c r="K604" s="163"/>
      <c r="L604" s="163"/>
      <c r="M604" s="163"/>
      <c r="N604" s="163"/>
      <c r="O604" s="163"/>
      <c r="P604" s="163"/>
      <c r="Q604" s="571"/>
      <c r="R604" s="571"/>
      <c r="S604" s="571"/>
      <c r="T604" s="571"/>
      <c r="U604" s="571"/>
      <c r="V604" s="571"/>
      <c r="W604" s="571"/>
      <c r="X604" s="571"/>
      <c r="Y604" s="571"/>
      <c r="Z604" s="571"/>
    </row>
    <row r="605" spans="1:26" ht="18.75">
      <c r="A605" s="601"/>
      <c r="B605" s="611"/>
      <c r="C605" s="611"/>
      <c r="D605" s="696" t="s">
        <v>258</v>
      </c>
      <c r="E605" s="619"/>
      <c r="F605" s="619"/>
      <c r="G605" s="753"/>
      <c r="H605" s="755" t="s">
        <v>46</v>
      </c>
      <c r="I605" s="269"/>
      <c r="J605" s="214">
        <v>0</v>
      </c>
      <c r="K605" s="163"/>
      <c r="L605" s="163"/>
      <c r="M605" s="163"/>
      <c r="N605" s="163"/>
      <c r="O605" s="163"/>
      <c r="P605" s="163"/>
      <c r="Q605" s="571"/>
      <c r="R605" s="571"/>
      <c r="S605" s="571"/>
      <c r="T605" s="571"/>
      <c r="U605" s="571"/>
      <c r="V605" s="571"/>
      <c r="W605" s="571"/>
      <c r="X605" s="571"/>
      <c r="Y605" s="571"/>
      <c r="Z605" s="571"/>
    </row>
    <row r="606" spans="1:26" ht="18.75">
      <c r="A606" s="601"/>
      <c r="B606" s="611"/>
      <c r="C606" s="611"/>
      <c r="D606" s="611"/>
      <c r="E606" s="611"/>
      <c r="F606" s="619"/>
      <c r="G606" s="753"/>
      <c r="H606" s="755" t="s">
        <v>34</v>
      </c>
      <c r="I606" s="269"/>
      <c r="J606" s="214">
        <v>0</v>
      </c>
      <c r="K606" s="163"/>
      <c r="L606" s="163"/>
      <c r="M606" s="163"/>
      <c r="N606" s="163"/>
      <c r="O606" s="163"/>
      <c r="P606" s="163"/>
      <c r="Q606" s="571"/>
      <c r="R606" s="571"/>
      <c r="S606" s="571"/>
      <c r="T606" s="571"/>
      <c r="U606" s="571"/>
      <c r="V606" s="571"/>
      <c r="W606" s="571"/>
      <c r="X606" s="571"/>
      <c r="Y606" s="571"/>
      <c r="Z606" s="571"/>
    </row>
    <row r="607" spans="1:26" ht="18.75">
      <c r="A607" s="601"/>
      <c r="B607" s="611"/>
      <c r="C607" s="611"/>
      <c r="D607" s="696" t="s">
        <v>259</v>
      </c>
      <c r="E607" s="611"/>
      <c r="F607" s="619"/>
      <c r="G607" s="753"/>
      <c r="H607" s="755" t="s">
        <v>46</v>
      </c>
      <c r="I607" s="269"/>
      <c r="J607" s="214">
        <v>0</v>
      </c>
      <c r="K607" s="163"/>
      <c r="L607" s="163"/>
      <c r="M607" s="163"/>
      <c r="N607" s="163"/>
      <c r="O607" s="163"/>
      <c r="P607" s="163"/>
      <c r="Q607" s="571"/>
      <c r="R607" s="571"/>
      <c r="S607" s="571"/>
      <c r="T607" s="571"/>
      <c r="U607" s="571"/>
      <c r="V607" s="571"/>
      <c r="W607" s="571"/>
      <c r="X607" s="571"/>
      <c r="Y607" s="571"/>
      <c r="Z607" s="571"/>
    </row>
    <row r="608" spans="1:26" ht="18.75">
      <c r="A608" s="601"/>
      <c r="B608" s="611"/>
      <c r="C608" s="611"/>
      <c r="D608" s="611"/>
      <c r="E608" s="619"/>
      <c r="F608" s="619"/>
      <c r="G608" s="753"/>
      <c r="H608" s="755" t="s">
        <v>34</v>
      </c>
      <c r="I608" s="269"/>
      <c r="J608" s="214">
        <v>0</v>
      </c>
      <c r="K608" s="163"/>
      <c r="L608" s="163"/>
      <c r="M608" s="163"/>
      <c r="N608" s="163"/>
      <c r="O608" s="163"/>
      <c r="P608" s="163"/>
      <c r="Q608" s="571"/>
      <c r="R608" s="571"/>
      <c r="S608" s="571"/>
      <c r="T608" s="571"/>
      <c r="U608" s="571"/>
      <c r="V608" s="571"/>
      <c r="W608" s="571"/>
      <c r="X608" s="571"/>
      <c r="Y608" s="571"/>
      <c r="Z608" s="571"/>
    </row>
    <row r="609" spans="1:26" ht="18.75">
      <c r="A609" s="601"/>
      <c r="B609" s="611"/>
      <c r="C609" s="611" t="s">
        <v>260</v>
      </c>
      <c r="D609" s="611"/>
      <c r="E609" s="611"/>
      <c r="F609" s="619"/>
      <c r="G609" s="753"/>
      <c r="H609" s="755" t="s">
        <v>46</v>
      </c>
      <c r="I609" s="269"/>
      <c r="J609" s="214">
        <v>0</v>
      </c>
      <c r="K609" s="163"/>
      <c r="L609" s="163"/>
      <c r="M609" s="163"/>
      <c r="N609" s="163"/>
      <c r="O609" s="163"/>
      <c r="P609" s="163"/>
      <c r="Q609" s="571"/>
      <c r="R609" s="571"/>
      <c r="S609" s="571"/>
      <c r="T609" s="571"/>
      <c r="U609" s="571"/>
      <c r="V609" s="571"/>
      <c r="W609" s="571"/>
      <c r="X609" s="571"/>
      <c r="Y609" s="571"/>
      <c r="Z609" s="571"/>
    </row>
    <row r="610" spans="1:26" ht="18.75">
      <c r="A610" s="601"/>
      <c r="B610" s="611"/>
      <c r="C610" s="611"/>
      <c r="D610" s="611"/>
      <c r="E610" s="619"/>
      <c r="F610" s="619"/>
      <c r="G610" s="753"/>
      <c r="H610" s="755" t="s">
        <v>34</v>
      </c>
      <c r="I610" s="269"/>
      <c r="J610" s="214">
        <v>0</v>
      </c>
      <c r="K610" s="163"/>
      <c r="L610" s="163"/>
      <c r="M610" s="163"/>
      <c r="N610" s="163"/>
      <c r="O610" s="163"/>
      <c r="P610" s="163"/>
      <c r="Q610" s="571"/>
      <c r="R610" s="571"/>
      <c r="S610" s="571"/>
      <c r="T610" s="571"/>
      <c r="U610" s="571"/>
      <c r="V610" s="571"/>
      <c r="W610" s="571"/>
      <c r="X610" s="571"/>
      <c r="Y610" s="571"/>
      <c r="Z610" s="571"/>
    </row>
    <row r="611" spans="1:26" ht="19.5" hidden="1">
      <c r="A611" s="685"/>
      <c r="B611" s="697" t="s">
        <v>261</v>
      </c>
      <c r="C611" s="687"/>
      <c r="D611" s="687"/>
      <c r="E611" s="666"/>
      <c r="F611" s="666"/>
      <c r="G611" s="667"/>
      <c r="H611" s="698" t="s">
        <v>46</v>
      </c>
      <c r="I611" s="699">
        <v>0</v>
      </c>
      <c r="J611" s="699">
        <f>J614+J616</f>
        <v>0</v>
      </c>
      <c r="K611" s="670">
        <f t="shared" ref="K611:K613" si="258">IF(I611&gt;0,J611*100/I611,0)</f>
        <v>0</v>
      </c>
      <c r="L611" s="671"/>
      <c r="M611" s="671"/>
      <c r="N611" s="671"/>
      <c r="O611" s="671"/>
      <c r="P611" s="671"/>
      <c r="Q611" s="571"/>
      <c r="R611" s="571"/>
      <c r="S611" s="571"/>
      <c r="T611" s="571"/>
      <c r="U611" s="571"/>
      <c r="V611" s="571"/>
      <c r="W611" s="571"/>
      <c r="X611" s="571"/>
      <c r="Y611" s="571"/>
      <c r="Z611" s="571"/>
    </row>
    <row r="612" spans="1:26" ht="19.5" hidden="1">
      <c r="A612" s="700"/>
      <c r="B612" s="710"/>
      <c r="C612" s="702" t="s">
        <v>262</v>
      </c>
      <c r="D612" s="710"/>
      <c r="E612" s="710"/>
      <c r="F612" s="703"/>
      <c r="G612" s="704"/>
      <c r="H612" s="705" t="s">
        <v>46</v>
      </c>
      <c r="I612" s="707">
        <v>0</v>
      </c>
      <c r="J612" s="707">
        <f t="shared" ref="J612:J613" si="259">J614+J616</f>
        <v>0</v>
      </c>
      <c r="K612" s="708">
        <f t="shared" si="258"/>
        <v>0</v>
      </c>
      <c r="L612" s="709"/>
      <c r="M612" s="709"/>
      <c r="N612" s="709"/>
      <c r="O612" s="709"/>
      <c r="P612" s="709"/>
      <c r="Q612" s="597"/>
      <c r="R612" s="597"/>
      <c r="S612" s="597"/>
      <c r="T612" s="597"/>
      <c r="U612" s="597"/>
      <c r="V612" s="597"/>
      <c r="W612" s="597"/>
      <c r="X612" s="597"/>
      <c r="Y612" s="597"/>
      <c r="Z612" s="597"/>
    </row>
    <row r="613" spans="1:26" ht="19.5" hidden="1">
      <c r="A613" s="700"/>
      <c r="B613" s="710"/>
      <c r="C613" s="710" t="s">
        <v>263</v>
      </c>
      <c r="D613" s="710"/>
      <c r="E613" s="710"/>
      <c r="F613" s="703"/>
      <c r="G613" s="704"/>
      <c r="H613" s="705" t="s">
        <v>34</v>
      </c>
      <c r="I613" s="707">
        <v>0</v>
      </c>
      <c r="J613" s="707">
        <f t="shared" si="259"/>
        <v>0</v>
      </c>
      <c r="K613" s="708">
        <f t="shared" si="258"/>
        <v>0</v>
      </c>
      <c r="L613" s="709"/>
      <c r="M613" s="709"/>
      <c r="N613" s="709"/>
      <c r="O613" s="709"/>
      <c r="P613" s="709"/>
      <c r="Q613" s="597"/>
      <c r="R613" s="597"/>
      <c r="S613" s="597"/>
      <c r="T613" s="597"/>
      <c r="U613" s="597"/>
      <c r="V613" s="597"/>
      <c r="W613" s="597"/>
      <c r="X613" s="597"/>
      <c r="Y613" s="597"/>
      <c r="Z613" s="597"/>
    </row>
    <row r="614" spans="1:26" ht="18.75" hidden="1">
      <c r="A614" s="607"/>
      <c r="B614" s="609"/>
      <c r="C614" s="609"/>
      <c r="D614" s="711" t="s">
        <v>264</v>
      </c>
      <c r="E614" s="609"/>
      <c r="F614" s="711"/>
      <c r="G614" s="365"/>
      <c r="H614" s="369" t="s">
        <v>46</v>
      </c>
      <c r="I614" s="610"/>
      <c r="J614" s="610">
        <v>0</v>
      </c>
      <c r="K614" s="167"/>
      <c r="L614" s="167"/>
      <c r="M614" s="167"/>
      <c r="N614" s="167"/>
      <c r="O614" s="167"/>
      <c r="P614" s="167"/>
      <c r="Q614" s="597"/>
      <c r="R614" s="597"/>
      <c r="S614" s="597"/>
      <c r="T614" s="597"/>
      <c r="U614" s="597"/>
      <c r="V614" s="597"/>
      <c r="W614" s="597"/>
      <c r="X614" s="597"/>
      <c r="Y614" s="597"/>
      <c r="Z614" s="597"/>
    </row>
    <row r="615" spans="1:26" ht="18.75" hidden="1">
      <c r="A615" s="607"/>
      <c r="B615" s="609"/>
      <c r="C615" s="609"/>
      <c r="D615" s="609"/>
      <c r="E615" s="609"/>
      <c r="F615" s="711"/>
      <c r="G615" s="365"/>
      <c r="H615" s="369" t="s">
        <v>34</v>
      </c>
      <c r="I615" s="610"/>
      <c r="J615" s="610">
        <v>0</v>
      </c>
      <c r="K615" s="167"/>
      <c r="L615" s="167"/>
      <c r="M615" s="167"/>
      <c r="N615" s="167"/>
      <c r="O615" s="167"/>
      <c r="P615" s="167"/>
      <c r="Q615" s="597"/>
      <c r="R615" s="597"/>
      <c r="S615" s="597"/>
      <c r="T615" s="597"/>
      <c r="U615" s="597"/>
      <c r="V615" s="597"/>
      <c r="W615" s="597"/>
      <c r="X615" s="597"/>
      <c r="Y615" s="597"/>
      <c r="Z615" s="597"/>
    </row>
    <row r="616" spans="1:26" ht="18.75" hidden="1">
      <c r="A616" s="607"/>
      <c r="B616" s="609"/>
      <c r="C616" s="609"/>
      <c r="D616" s="712" t="s">
        <v>264</v>
      </c>
      <c r="E616" s="711"/>
      <c r="F616" s="711"/>
      <c r="G616" s="365"/>
      <c r="H616" s="369" t="s">
        <v>46</v>
      </c>
      <c r="I616" s="610"/>
      <c r="J616" s="610">
        <v>0</v>
      </c>
      <c r="K616" s="167"/>
      <c r="L616" s="167"/>
      <c r="M616" s="167"/>
      <c r="N616" s="167"/>
      <c r="O616" s="167"/>
      <c r="P616" s="167"/>
      <c r="Q616" s="597"/>
      <c r="R616" s="597"/>
      <c r="S616" s="597"/>
      <c r="T616" s="597"/>
      <c r="U616" s="597"/>
      <c r="V616" s="597"/>
      <c r="W616" s="597"/>
      <c r="X616" s="597"/>
      <c r="Y616" s="597"/>
      <c r="Z616" s="597"/>
    </row>
    <row r="617" spans="1:26" ht="18.75" hidden="1">
      <c r="A617" s="607"/>
      <c r="B617" s="609"/>
      <c r="C617" s="609"/>
      <c r="D617" s="609"/>
      <c r="E617" s="711"/>
      <c r="F617" s="711"/>
      <c r="G617" s="365"/>
      <c r="H617" s="369" t="s">
        <v>34</v>
      </c>
      <c r="I617" s="610"/>
      <c r="J617" s="610">
        <v>0</v>
      </c>
      <c r="K617" s="167"/>
      <c r="L617" s="167"/>
      <c r="M617" s="167"/>
      <c r="N617" s="167"/>
      <c r="O617" s="167"/>
      <c r="P617" s="167"/>
      <c r="Q617" s="597"/>
      <c r="R617" s="597"/>
      <c r="S617" s="597"/>
      <c r="T617" s="597"/>
      <c r="U617" s="597"/>
      <c r="V617" s="597"/>
      <c r="W617" s="597"/>
      <c r="X617" s="597"/>
      <c r="Y617" s="597"/>
      <c r="Z617" s="597"/>
    </row>
    <row r="618" spans="1:26" ht="18.75" hidden="1">
      <c r="A618" s="607"/>
      <c r="B618" s="609"/>
      <c r="C618" s="609"/>
      <c r="D618" s="712" t="s">
        <v>265</v>
      </c>
      <c r="E618" s="711"/>
      <c r="F618" s="711"/>
      <c r="G618" s="365"/>
      <c r="H618" s="369" t="s">
        <v>46</v>
      </c>
      <c r="I618" s="610"/>
      <c r="J618" s="610">
        <v>0</v>
      </c>
      <c r="K618" s="167"/>
      <c r="L618" s="167"/>
      <c r="M618" s="167"/>
      <c r="N618" s="167"/>
      <c r="O618" s="167"/>
      <c r="P618" s="167"/>
      <c r="Q618" s="597"/>
      <c r="R618" s="597"/>
      <c r="S618" s="597"/>
      <c r="T618" s="597"/>
      <c r="U618" s="597"/>
      <c r="V618" s="597"/>
      <c r="W618" s="597"/>
      <c r="X618" s="597"/>
      <c r="Y618" s="597"/>
      <c r="Z618" s="597"/>
    </row>
    <row r="619" spans="1:26" ht="18.75" hidden="1">
      <c r="A619" s="607"/>
      <c r="B619" s="609"/>
      <c r="C619" s="609"/>
      <c r="D619" s="609"/>
      <c r="E619" s="711"/>
      <c r="F619" s="711"/>
      <c r="G619" s="365"/>
      <c r="H619" s="369" t="s">
        <v>34</v>
      </c>
      <c r="I619" s="610"/>
      <c r="J619" s="610">
        <v>0</v>
      </c>
      <c r="K619" s="167"/>
      <c r="L619" s="167"/>
      <c r="M619" s="167"/>
      <c r="N619" s="167"/>
      <c r="O619" s="167"/>
      <c r="P619" s="167"/>
      <c r="Q619" s="597"/>
      <c r="R619" s="597"/>
      <c r="S619" s="597"/>
      <c r="T619" s="597"/>
      <c r="U619" s="597"/>
      <c r="V619" s="597"/>
      <c r="W619" s="597"/>
      <c r="X619" s="597"/>
      <c r="Y619" s="597"/>
      <c r="Z619" s="597"/>
    </row>
    <row r="620" spans="1:26" ht="19.5" hidden="1">
      <c r="A620" s="713"/>
      <c r="B620" s="722"/>
      <c r="C620" s="715" t="s">
        <v>266</v>
      </c>
      <c r="D620" s="722"/>
      <c r="E620" s="722"/>
      <c r="F620" s="716"/>
      <c r="G620" s="717"/>
      <c r="H620" s="718" t="s">
        <v>46</v>
      </c>
      <c r="I620" s="719">
        <f ca="1">IFERROR(__xludf.DUMMYFUNCTION("IMPORTRANGE(""https://docs.google.com/spreadsheets/d/1QqKyyYR6Q21VydFLVH3TRQUabQu_ym0Zz7PgGX0-kHA/edit?usp=sharing"",""แผน!HL63"")"),0)</f>
        <v>0</v>
      </c>
      <c r="J620" s="719">
        <f t="shared" ref="J620:J621" si="260">J622+J624+J626</f>
        <v>0</v>
      </c>
      <c r="K620" s="720">
        <f t="shared" ref="K620:K621" ca="1" si="261">IF(I620&gt;0,J620*100/I620,0)</f>
        <v>0</v>
      </c>
      <c r="L620" s="721"/>
      <c r="M620" s="721"/>
      <c r="N620" s="721"/>
      <c r="O620" s="721"/>
      <c r="P620" s="721"/>
      <c r="Q620" s="571"/>
      <c r="R620" s="571"/>
      <c r="S620" s="571"/>
      <c r="T620" s="571"/>
      <c r="U620" s="571"/>
      <c r="V620" s="571"/>
      <c r="W620" s="571"/>
      <c r="X620" s="571"/>
      <c r="Y620" s="571"/>
      <c r="Z620" s="571"/>
    </row>
    <row r="621" spans="1:26" ht="19.5" hidden="1">
      <c r="A621" s="713"/>
      <c r="B621" s="722"/>
      <c r="C621" s="722" t="s">
        <v>267</v>
      </c>
      <c r="D621" s="722"/>
      <c r="E621" s="722"/>
      <c r="F621" s="716"/>
      <c r="G621" s="717"/>
      <c r="H621" s="718" t="s">
        <v>34</v>
      </c>
      <c r="I621" s="719">
        <f ca="1">IFERROR(__xludf.DUMMYFUNCTION("IMPORTRANGE(""https://docs.google.com/spreadsheets/d/1QqKyyYR6Q21VydFLVH3TRQUabQu_ym0Zz7PgGX0-kHA/edit?usp=sharing"",""แผน!HK63"")"),0)</f>
        <v>0</v>
      </c>
      <c r="J621" s="719">
        <f t="shared" si="260"/>
        <v>0</v>
      </c>
      <c r="K621" s="720">
        <f t="shared" ca="1" si="261"/>
        <v>0</v>
      </c>
      <c r="L621" s="721"/>
      <c r="M621" s="721"/>
      <c r="N621" s="721"/>
      <c r="O621" s="721"/>
      <c r="P621" s="721"/>
      <c r="Q621" s="571"/>
      <c r="R621" s="571"/>
      <c r="S621" s="571"/>
      <c r="T621" s="571"/>
      <c r="U621" s="571"/>
      <c r="V621" s="571"/>
      <c r="W621" s="571"/>
      <c r="X621" s="571"/>
      <c r="Y621" s="571"/>
      <c r="Z621" s="571"/>
    </row>
    <row r="622" spans="1:26" ht="18.75" hidden="1">
      <c r="A622" s="601"/>
      <c r="B622" s="611"/>
      <c r="C622" s="611"/>
      <c r="D622" s="737" t="s">
        <v>268</v>
      </c>
      <c r="E622" s="619"/>
      <c r="F622" s="619"/>
      <c r="G622" s="753"/>
      <c r="H622" s="755" t="s">
        <v>46</v>
      </c>
      <c r="I622" s="269"/>
      <c r="J622" s="214">
        <v>0</v>
      </c>
      <c r="K622" s="163"/>
      <c r="L622" s="163"/>
      <c r="M622" s="163"/>
      <c r="N622" s="163"/>
      <c r="O622" s="163"/>
      <c r="P622" s="163"/>
      <c r="Q622" s="571"/>
      <c r="R622" s="571"/>
      <c r="S622" s="571"/>
      <c r="T622" s="571"/>
      <c r="U622" s="571"/>
      <c r="V622" s="571"/>
      <c r="W622" s="571"/>
      <c r="X622" s="571"/>
      <c r="Y622" s="571"/>
      <c r="Z622" s="571"/>
    </row>
    <row r="623" spans="1:26" ht="18.75" hidden="1">
      <c r="A623" s="601"/>
      <c r="B623" s="611"/>
      <c r="C623" s="611"/>
      <c r="D623" s="611"/>
      <c r="E623" s="619"/>
      <c r="F623" s="619"/>
      <c r="G623" s="753"/>
      <c r="H623" s="755" t="s">
        <v>34</v>
      </c>
      <c r="I623" s="269"/>
      <c r="J623" s="214">
        <v>0</v>
      </c>
      <c r="K623" s="163"/>
      <c r="L623" s="163"/>
      <c r="M623" s="163"/>
      <c r="N623" s="163"/>
      <c r="O623" s="163"/>
      <c r="P623" s="163"/>
      <c r="Q623" s="571"/>
      <c r="R623" s="571"/>
      <c r="S623" s="571"/>
      <c r="T623" s="571"/>
      <c r="U623" s="571"/>
      <c r="V623" s="571"/>
      <c r="W623" s="571"/>
      <c r="X623" s="571"/>
      <c r="Y623" s="571"/>
      <c r="Z623" s="571"/>
    </row>
    <row r="624" spans="1:26" ht="18.75" hidden="1">
      <c r="A624" s="601"/>
      <c r="B624" s="611"/>
      <c r="C624" s="611"/>
      <c r="D624" s="737" t="s">
        <v>264</v>
      </c>
      <c r="E624" s="619"/>
      <c r="F624" s="619"/>
      <c r="G624" s="753"/>
      <c r="H624" s="755" t="s">
        <v>46</v>
      </c>
      <c r="I624" s="269"/>
      <c r="J624" s="214">
        <v>0</v>
      </c>
      <c r="K624" s="163"/>
      <c r="L624" s="163"/>
      <c r="M624" s="163"/>
      <c r="N624" s="163"/>
      <c r="O624" s="163"/>
      <c r="P624" s="163"/>
      <c r="Q624" s="571"/>
      <c r="R624" s="571"/>
      <c r="S624" s="571"/>
      <c r="T624" s="571"/>
      <c r="U624" s="571"/>
      <c r="V624" s="571"/>
      <c r="W624" s="571"/>
      <c r="X624" s="571"/>
      <c r="Y624" s="571"/>
      <c r="Z624" s="571"/>
    </row>
    <row r="625" spans="1:26" ht="18.75" hidden="1">
      <c r="A625" s="601"/>
      <c r="B625" s="611"/>
      <c r="C625" s="611"/>
      <c r="D625" s="611"/>
      <c r="E625" s="619"/>
      <c r="F625" s="619"/>
      <c r="G625" s="753"/>
      <c r="H625" s="755" t="s">
        <v>34</v>
      </c>
      <c r="I625" s="269"/>
      <c r="J625" s="214">
        <v>0</v>
      </c>
      <c r="K625" s="163"/>
      <c r="L625" s="163"/>
      <c r="M625" s="163"/>
      <c r="N625" s="163"/>
      <c r="O625" s="163"/>
      <c r="P625" s="163"/>
      <c r="Q625" s="571"/>
      <c r="R625" s="571"/>
      <c r="S625" s="571"/>
      <c r="T625" s="571"/>
      <c r="U625" s="571"/>
      <c r="V625" s="571"/>
      <c r="W625" s="571"/>
      <c r="X625" s="571"/>
      <c r="Y625" s="571"/>
      <c r="Z625" s="571"/>
    </row>
    <row r="626" spans="1:26" ht="18.75" hidden="1">
      <c r="A626" s="601"/>
      <c r="B626" s="611"/>
      <c r="C626" s="611"/>
      <c r="D626" s="737" t="s">
        <v>269</v>
      </c>
      <c r="E626" s="619"/>
      <c r="F626" s="619"/>
      <c r="G626" s="753"/>
      <c r="H626" s="755" t="s">
        <v>46</v>
      </c>
      <c r="I626" s="269"/>
      <c r="J626" s="214">
        <v>0</v>
      </c>
      <c r="K626" s="163"/>
      <c r="L626" s="163"/>
      <c r="M626" s="163"/>
      <c r="N626" s="163"/>
      <c r="O626" s="163"/>
      <c r="P626" s="163"/>
      <c r="Q626" s="571"/>
      <c r="R626" s="571"/>
      <c r="S626" s="571"/>
      <c r="T626" s="571"/>
      <c r="U626" s="571"/>
      <c r="V626" s="571"/>
      <c r="W626" s="571"/>
      <c r="X626" s="571"/>
      <c r="Y626" s="571"/>
      <c r="Z626" s="571"/>
    </row>
    <row r="627" spans="1:26" ht="18.75" hidden="1">
      <c r="A627" s="723"/>
      <c r="B627" s="724"/>
      <c r="C627" s="724"/>
      <c r="D627" s="724"/>
      <c r="E627" s="725"/>
      <c r="F627" s="725"/>
      <c r="G627" s="726"/>
      <c r="H627" s="421" t="s">
        <v>34</v>
      </c>
      <c r="I627" s="499"/>
      <c r="J627" s="423">
        <v>0</v>
      </c>
      <c r="K627" s="384"/>
      <c r="L627" s="384"/>
      <c r="M627" s="384"/>
      <c r="N627" s="384"/>
      <c r="O627" s="384"/>
      <c r="P627" s="384"/>
      <c r="Q627" s="571"/>
      <c r="R627" s="571"/>
      <c r="S627" s="571"/>
      <c r="T627" s="571"/>
      <c r="U627" s="571"/>
      <c r="V627" s="571"/>
      <c r="W627" s="571"/>
      <c r="X627" s="571"/>
      <c r="Y627" s="571"/>
      <c r="Z627" s="571"/>
    </row>
    <row r="628" spans="1:26" ht="19.5" hidden="1">
      <c r="A628" s="727">
        <v>7</v>
      </c>
      <c r="B628" s="728" t="s">
        <v>270</v>
      </c>
      <c r="C628" s="729"/>
      <c r="D628" s="729"/>
      <c r="E628" s="729"/>
      <c r="F628" s="729"/>
      <c r="G628" s="730"/>
      <c r="H628" s="731" t="s">
        <v>35</v>
      </c>
      <c r="I628" s="732">
        <f t="shared" ref="I628:J628" ca="1" si="262">I651</f>
        <v>0</v>
      </c>
      <c r="J628" s="732">
        <f t="shared" ca="1" si="262"/>
        <v>0</v>
      </c>
      <c r="K628" s="733">
        <f ca="1">IF(I628&gt;0,J628*100/I628,0)</f>
        <v>0</v>
      </c>
      <c r="L628" s="734"/>
      <c r="M628" s="734"/>
      <c r="N628" s="734"/>
      <c r="O628" s="734"/>
      <c r="P628" s="734"/>
      <c r="Q628" s="571"/>
      <c r="R628" s="571"/>
      <c r="S628" s="571"/>
      <c r="T628" s="571"/>
      <c r="U628" s="571"/>
      <c r="V628" s="571"/>
      <c r="W628" s="571"/>
      <c r="X628" s="571"/>
      <c r="Y628" s="571"/>
      <c r="Z628" s="571"/>
    </row>
    <row r="629" spans="1:26" ht="19.5" hidden="1">
      <c r="A629" s="590"/>
      <c r="B629" s="754"/>
      <c r="C629" s="754" t="s">
        <v>16</v>
      </c>
      <c r="D629" s="863" t="s">
        <v>17</v>
      </c>
      <c r="E629" s="857"/>
      <c r="F629" s="857"/>
      <c r="G629" s="189"/>
      <c r="H629" s="591" t="s">
        <v>12</v>
      </c>
      <c r="I629" s="269"/>
      <c r="J629" s="269"/>
      <c r="K629" s="496"/>
      <c r="L629" s="195">
        <f t="shared" ref="L629:N629" ca="1" si="263">L630+L631</f>
        <v>0</v>
      </c>
      <c r="M629" s="195">
        <f t="shared" si="263"/>
        <v>0</v>
      </c>
      <c r="N629" s="195">
        <f t="shared" si="263"/>
        <v>0</v>
      </c>
      <c r="O629" s="195">
        <f t="shared" ref="O629:O634" ca="1" si="264">IF(L629&gt;0,N629*100/L629,0)</f>
        <v>0</v>
      </c>
      <c r="P629" s="195">
        <f t="shared" ref="P629:P634" si="265">IF(M629&gt;0,N629*100/M629,0)</f>
        <v>0</v>
      </c>
      <c r="Q629" s="571"/>
      <c r="R629" s="571"/>
      <c r="S629" s="571"/>
      <c r="T629" s="571"/>
      <c r="U629" s="571"/>
      <c r="V629" s="571"/>
      <c r="W629" s="571"/>
      <c r="X629" s="571"/>
      <c r="Y629" s="571"/>
      <c r="Z629" s="571"/>
    </row>
    <row r="630" spans="1:26" ht="18.75" hidden="1">
      <c r="A630" s="592"/>
      <c r="B630" s="750"/>
      <c r="C630" s="750"/>
      <c r="D630" s="711"/>
      <c r="E630" s="750" t="s">
        <v>184</v>
      </c>
      <c r="F630" s="750"/>
      <c r="G630" s="596"/>
      <c r="H630" s="165" t="s">
        <v>12</v>
      </c>
      <c r="I630" s="610"/>
      <c r="J630" s="610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597"/>
      <c r="R630" s="597"/>
      <c r="S630" s="597"/>
      <c r="T630" s="597"/>
      <c r="U630" s="597"/>
      <c r="V630" s="597"/>
      <c r="W630" s="597"/>
      <c r="X630" s="597"/>
      <c r="Y630" s="597"/>
      <c r="Z630" s="597"/>
    </row>
    <row r="631" spans="1:26" ht="18.75" hidden="1">
      <c r="A631" s="592"/>
      <c r="B631" s="600"/>
      <c r="C631" s="750"/>
      <c r="D631" s="711"/>
      <c r="E631" s="750" t="s">
        <v>185</v>
      </c>
      <c r="F631" s="750"/>
      <c r="G631" s="596"/>
      <c r="H631" s="165" t="s">
        <v>12</v>
      </c>
      <c r="I631" s="610"/>
      <c r="J631" s="610"/>
      <c r="K631" s="93"/>
      <c r="L631" s="93">
        <f t="shared" ca="1" si="266"/>
        <v>0</v>
      </c>
      <c r="M631" s="93">
        <f t="shared" si="266"/>
        <v>0</v>
      </c>
      <c r="N631" s="93">
        <f t="shared" si="266"/>
        <v>0</v>
      </c>
      <c r="O631" s="93">
        <f t="shared" ca="1" si="264"/>
        <v>0</v>
      </c>
      <c r="P631" s="93">
        <f t="shared" si="265"/>
        <v>0</v>
      </c>
      <c r="Q631" s="597"/>
      <c r="R631" s="597"/>
      <c r="S631" s="597"/>
      <c r="T631" s="597"/>
      <c r="U631" s="597"/>
      <c r="V631" s="597"/>
      <c r="W631" s="597"/>
      <c r="X631" s="597"/>
      <c r="Y631" s="597"/>
      <c r="Z631" s="597"/>
    </row>
    <row r="632" spans="1:26" ht="18.75" hidden="1">
      <c r="A632" s="590"/>
      <c r="B632" s="568"/>
      <c r="C632" s="754"/>
      <c r="D632" s="599" t="s">
        <v>20</v>
      </c>
      <c r="E632" s="754"/>
      <c r="F632" s="754"/>
      <c r="G632" s="189"/>
      <c r="H632" s="161" t="s">
        <v>12</v>
      </c>
      <c r="I632" s="184"/>
      <c r="J632" s="184"/>
      <c r="K632" s="163"/>
      <c r="L632" s="496">
        <f t="shared" ref="L632:N632" ca="1" si="267">L633+L634</f>
        <v>0</v>
      </c>
      <c r="M632" s="496">
        <f t="shared" si="267"/>
        <v>0</v>
      </c>
      <c r="N632" s="496">
        <f t="shared" si="267"/>
        <v>0</v>
      </c>
      <c r="O632" s="496">
        <f t="shared" ca="1" si="264"/>
        <v>0</v>
      </c>
      <c r="P632" s="496">
        <f t="shared" si="265"/>
        <v>0</v>
      </c>
      <c r="Q632" s="571"/>
      <c r="R632" s="571"/>
      <c r="S632" s="571"/>
      <c r="T632" s="571"/>
      <c r="U632" s="571"/>
      <c r="V632" s="571"/>
      <c r="W632" s="571"/>
      <c r="X632" s="571"/>
      <c r="Y632" s="571"/>
      <c r="Z632" s="571"/>
    </row>
    <row r="633" spans="1:26" ht="18.75" hidden="1">
      <c r="A633" s="592"/>
      <c r="B633" s="600"/>
      <c r="C633" s="750"/>
      <c r="D633" s="711"/>
      <c r="E633" s="750" t="s">
        <v>184</v>
      </c>
      <c r="F633" s="750"/>
      <c r="G633" s="596"/>
      <c r="H633" s="165" t="s">
        <v>12</v>
      </c>
      <c r="I633" s="610"/>
      <c r="J633" s="610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597"/>
      <c r="R633" s="597"/>
      <c r="S633" s="597"/>
      <c r="T633" s="597"/>
      <c r="U633" s="597"/>
      <c r="V633" s="597"/>
      <c r="W633" s="597"/>
      <c r="X633" s="597"/>
      <c r="Y633" s="597"/>
      <c r="Z633" s="597"/>
    </row>
    <row r="634" spans="1:26" ht="18.75" hidden="1">
      <c r="A634" s="592"/>
      <c r="B634" s="600"/>
      <c r="C634" s="750"/>
      <c r="D634" s="711"/>
      <c r="E634" s="750" t="s">
        <v>185</v>
      </c>
      <c r="F634" s="750"/>
      <c r="G634" s="596"/>
      <c r="H634" s="165" t="s">
        <v>12</v>
      </c>
      <c r="I634" s="610"/>
      <c r="J634" s="610"/>
      <c r="K634" s="93"/>
      <c r="L634" s="93">
        <f ca="1">IFERROR(__xludf.DUMMYFUNCTION("IMPORTRANGE(""https://docs.google.com/spreadsheets/d/1QqKyyYR6Q21VydFLVH3TRQUabQu_ym0Zz7PgGX0-kHA/edit?usp=sharing"",""แผน!HN63"")"),0)</f>
        <v>0</v>
      </c>
      <c r="M634" s="93">
        <v>0</v>
      </c>
      <c r="N634" s="93">
        <f>N635+N636+N637+N638</f>
        <v>0</v>
      </c>
      <c r="O634" s="93">
        <f t="shared" ca="1" si="264"/>
        <v>0</v>
      </c>
      <c r="P634" s="93">
        <f t="shared" si="265"/>
        <v>0</v>
      </c>
      <c r="Q634" s="597"/>
      <c r="R634" s="597"/>
      <c r="S634" s="597"/>
      <c r="T634" s="597"/>
      <c r="U634" s="597"/>
      <c r="V634" s="597"/>
      <c r="W634" s="597"/>
      <c r="X634" s="597"/>
      <c r="Y634" s="597"/>
      <c r="Z634" s="597"/>
    </row>
    <row r="635" spans="1:26" ht="18.75" hidden="1">
      <c r="A635" s="567"/>
      <c r="B635" s="568"/>
      <c r="C635" s="754"/>
      <c r="D635" s="754"/>
      <c r="E635" s="754"/>
      <c r="F635" s="754" t="s">
        <v>186</v>
      </c>
      <c r="G635" s="189"/>
      <c r="H635" s="161" t="s">
        <v>12</v>
      </c>
      <c r="I635" s="269"/>
      <c r="J635" s="269"/>
      <c r="K635" s="496"/>
      <c r="L635" s="496"/>
      <c r="M635" s="496"/>
      <c r="N635" s="817">
        <v>0</v>
      </c>
      <c r="O635" s="496"/>
      <c r="P635" s="496"/>
      <c r="Q635" s="571"/>
      <c r="R635" s="571"/>
      <c r="S635" s="571"/>
      <c r="T635" s="571"/>
      <c r="U635" s="571"/>
      <c r="V635" s="571"/>
      <c r="W635" s="571"/>
      <c r="X635" s="571"/>
      <c r="Y635" s="571"/>
      <c r="Z635" s="571"/>
    </row>
    <row r="636" spans="1:26" ht="18.75" hidden="1">
      <c r="A636" s="567"/>
      <c r="B636" s="568"/>
      <c r="C636" s="754"/>
      <c r="D636" s="754"/>
      <c r="E636" s="754"/>
      <c r="F636" s="754" t="s">
        <v>187</v>
      </c>
      <c r="G636" s="189"/>
      <c r="H636" s="161" t="s">
        <v>12</v>
      </c>
      <c r="I636" s="269"/>
      <c r="J636" s="269"/>
      <c r="K636" s="496"/>
      <c r="L636" s="496"/>
      <c r="M636" s="496"/>
      <c r="N636" s="817">
        <v>0</v>
      </c>
      <c r="O636" s="496"/>
      <c r="P636" s="496"/>
      <c r="Q636" s="571"/>
      <c r="R636" s="571"/>
      <c r="S636" s="571"/>
      <c r="T636" s="571"/>
      <c r="U636" s="571"/>
      <c r="V636" s="571"/>
      <c r="W636" s="571"/>
      <c r="X636" s="571"/>
      <c r="Y636" s="571"/>
      <c r="Z636" s="571"/>
    </row>
    <row r="637" spans="1:26" ht="18.75" hidden="1">
      <c r="A637" s="567"/>
      <c r="B637" s="568"/>
      <c r="C637" s="754"/>
      <c r="D637" s="754"/>
      <c r="E637" s="754"/>
      <c r="F637" s="754" t="s">
        <v>188</v>
      </c>
      <c r="G637" s="189"/>
      <c r="H637" s="161" t="s">
        <v>12</v>
      </c>
      <c r="I637" s="269"/>
      <c r="J637" s="269"/>
      <c r="K637" s="496"/>
      <c r="L637" s="496"/>
      <c r="M637" s="496"/>
      <c r="N637" s="817">
        <v>0</v>
      </c>
      <c r="O637" s="496"/>
      <c r="P637" s="496"/>
      <c r="Q637" s="571"/>
      <c r="R637" s="571"/>
      <c r="S637" s="571"/>
      <c r="T637" s="571"/>
      <c r="U637" s="571"/>
      <c r="V637" s="571"/>
      <c r="W637" s="571"/>
      <c r="X637" s="571"/>
      <c r="Y637" s="571"/>
      <c r="Z637" s="571"/>
    </row>
    <row r="638" spans="1:26" ht="18.75" hidden="1">
      <c r="A638" s="567"/>
      <c r="B638" s="568"/>
      <c r="C638" s="754"/>
      <c r="D638" s="754"/>
      <c r="E638" s="754"/>
      <c r="F638" s="754" t="s">
        <v>189</v>
      </c>
      <c r="G638" s="189"/>
      <c r="H638" s="161" t="s">
        <v>12</v>
      </c>
      <c r="I638" s="269"/>
      <c r="J638" s="269"/>
      <c r="K638" s="496"/>
      <c r="L638" s="496"/>
      <c r="M638" s="496"/>
      <c r="N638" s="817">
        <v>0</v>
      </c>
      <c r="O638" s="496"/>
      <c r="P638" s="496"/>
      <c r="Q638" s="571"/>
      <c r="R638" s="571"/>
      <c r="S638" s="571"/>
      <c r="T638" s="571"/>
      <c r="U638" s="571"/>
      <c r="V638" s="571"/>
      <c r="W638" s="571"/>
      <c r="X638" s="571"/>
      <c r="Y638" s="571"/>
      <c r="Z638" s="571"/>
    </row>
    <row r="639" spans="1:26" ht="18.75" hidden="1">
      <c r="A639" s="590"/>
      <c r="B639" s="568"/>
      <c r="C639" s="754"/>
      <c r="D639" s="599" t="s">
        <v>21</v>
      </c>
      <c r="E639" s="754"/>
      <c r="F639" s="754"/>
      <c r="G639" s="189"/>
      <c r="H639" s="168" t="s">
        <v>12</v>
      </c>
      <c r="I639" s="184"/>
      <c r="J639" s="184"/>
      <c r="K639" s="163"/>
      <c r="L639" s="496">
        <f t="shared" ref="L639:N639" ca="1" si="268">L640+L641</f>
        <v>0</v>
      </c>
      <c r="M639" s="496">
        <f t="shared" si="268"/>
        <v>0</v>
      </c>
      <c r="N639" s="496">
        <f t="shared" si="268"/>
        <v>0</v>
      </c>
      <c r="O639" s="496">
        <f t="shared" ref="O639:O641" ca="1" si="269">IF(L639&gt;0,N639*100/L639,0)</f>
        <v>0</v>
      </c>
      <c r="P639" s="496">
        <f t="shared" ref="P639:P641" si="270">IF(M639&gt;0,N639*100/M639,0)</f>
        <v>0</v>
      </c>
      <c r="Q639" s="571"/>
      <c r="R639" s="571"/>
      <c r="S639" s="571"/>
      <c r="T639" s="571"/>
      <c r="U639" s="571"/>
      <c r="V639" s="571"/>
      <c r="W639" s="571"/>
      <c r="X639" s="571"/>
      <c r="Y639" s="571"/>
      <c r="Z639" s="571"/>
    </row>
    <row r="640" spans="1:26" ht="18.75" hidden="1">
      <c r="A640" s="592"/>
      <c r="B640" s="600"/>
      <c r="C640" s="750"/>
      <c r="D640" s="750"/>
      <c r="E640" s="750" t="s">
        <v>18</v>
      </c>
      <c r="F640" s="750"/>
      <c r="G640" s="596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597"/>
      <c r="R640" s="597"/>
      <c r="S640" s="597"/>
      <c r="T640" s="597"/>
      <c r="U640" s="597"/>
      <c r="V640" s="597"/>
      <c r="W640" s="597"/>
      <c r="X640" s="597"/>
      <c r="Y640" s="597"/>
      <c r="Z640" s="597"/>
    </row>
    <row r="641" spans="1:26" ht="18.75" hidden="1">
      <c r="A641" s="592"/>
      <c r="B641" s="600"/>
      <c r="C641" s="750"/>
      <c r="D641" s="750"/>
      <c r="E641" s="750" t="s">
        <v>19</v>
      </c>
      <c r="F641" s="750"/>
      <c r="G641" s="596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IFERROR(__xludf.DUMMYFUNCTION("IMPORTRANGE(""https://docs.google.com/spreadsheets/d/1QqKyyYR6Q21VydFLVH3TRQUabQu_ym0Zz7PgGX0-kHA/edit?usp=sharing"",""แผน!HQ63"")"),0)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597"/>
      <c r="R641" s="597"/>
      <c r="S641" s="597"/>
      <c r="T641" s="597"/>
      <c r="U641" s="597"/>
      <c r="V641" s="597"/>
      <c r="W641" s="597"/>
      <c r="X641" s="597"/>
      <c r="Y641" s="597"/>
      <c r="Z641" s="597"/>
    </row>
    <row r="642" spans="1:26" ht="19.5" hidden="1">
      <c r="A642" s="601"/>
      <c r="B642" s="611"/>
      <c r="C642" s="754" t="s">
        <v>16</v>
      </c>
      <c r="D642" s="839" t="s">
        <v>38</v>
      </c>
      <c r="E642" s="752"/>
      <c r="F642" s="752"/>
      <c r="G642" s="606"/>
      <c r="H642" s="753"/>
      <c r="I642" s="184"/>
      <c r="J642" s="184"/>
      <c r="K642" s="163"/>
      <c r="L642" s="163"/>
      <c r="M642" s="163"/>
      <c r="N642" s="163"/>
      <c r="O642" s="163"/>
      <c r="P642" s="163"/>
      <c r="Q642" s="571"/>
      <c r="R642" s="571"/>
      <c r="S642" s="571"/>
      <c r="T642" s="571"/>
      <c r="U642" s="571"/>
      <c r="V642" s="571"/>
      <c r="W642" s="571"/>
      <c r="X642" s="571"/>
      <c r="Y642" s="571"/>
      <c r="Z642" s="571"/>
    </row>
    <row r="643" spans="1:26" ht="18.75" hidden="1">
      <c r="A643" s="735"/>
      <c r="B643" s="568"/>
      <c r="C643" s="754"/>
      <c r="D643" s="619"/>
      <c r="E643" s="737" t="s">
        <v>271</v>
      </c>
      <c r="F643" s="619"/>
      <c r="G643" s="753"/>
      <c r="H643" s="755" t="s">
        <v>272</v>
      </c>
      <c r="I643" s="269">
        <f ca="1">IFERROR(__xludf.DUMMYFUNCTION("IMPORTRANGE(""https://docs.google.com/spreadsheets/d/1QqKyyYR6Q21VydFLVH3TRQUabQu_ym0Zz7PgGX0-kHA/edit?usp=sharing"",""แผน!HR63"")"),0)</f>
        <v>0</v>
      </c>
      <c r="J643" s="214">
        <v>0</v>
      </c>
      <c r="K643" s="163">
        <f t="shared" ref="K643:K652" ca="1" si="271">IF(I643&gt;0,J643*100/I643,0)</f>
        <v>0</v>
      </c>
      <c r="L643" s="163"/>
      <c r="M643" s="163"/>
      <c r="N643" s="496"/>
      <c r="O643" s="163"/>
      <c r="P643" s="163"/>
      <c r="Q643" s="571"/>
      <c r="R643" s="571"/>
      <c r="S643" s="571"/>
      <c r="T643" s="571"/>
      <c r="U643" s="571"/>
      <c r="V643" s="571"/>
      <c r="W643" s="571"/>
      <c r="X643" s="571"/>
      <c r="Y643" s="571"/>
      <c r="Z643" s="571"/>
    </row>
    <row r="644" spans="1:26" ht="18.75" hidden="1">
      <c r="A644" s="735"/>
      <c r="B644" s="568"/>
      <c r="C644" s="754"/>
      <c r="D644" s="619"/>
      <c r="E644" s="737" t="s">
        <v>273</v>
      </c>
      <c r="F644" s="619"/>
      <c r="G644" s="753"/>
      <c r="H644" s="755" t="s">
        <v>274</v>
      </c>
      <c r="I644" s="269">
        <f ca="1">IFERROR(__xludf.DUMMYFUNCTION("IMPORTRANGE(""https://docs.google.com/spreadsheets/d/1QqKyyYR6Q21VydFLVH3TRQUabQu_ym0Zz7PgGX0-kHA/edit?usp=sharing"",""แผน!HR63"")"),0)</f>
        <v>0</v>
      </c>
      <c r="J644" s="214">
        <v>0</v>
      </c>
      <c r="K644" s="163">
        <f t="shared" ca="1" si="271"/>
        <v>0</v>
      </c>
      <c r="L644" s="163"/>
      <c r="M644" s="163"/>
      <c r="N644" s="496"/>
      <c r="O644" s="163"/>
      <c r="P644" s="163"/>
      <c r="Q644" s="571"/>
      <c r="R644" s="571"/>
      <c r="S644" s="571"/>
      <c r="T644" s="571"/>
      <c r="U644" s="571"/>
      <c r="V644" s="571"/>
      <c r="W644" s="571"/>
      <c r="X644" s="571"/>
      <c r="Y644" s="571"/>
      <c r="Z644" s="571"/>
    </row>
    <row r="645" spans="1:26" ht="18.75" hidden="1">
      <c r="A645" s="735"/>
      <c r="B645" s="568"/>
      <c r="C645" s="754"/>
      <c r="D645" s="619"/>
      <c r="E645" s="737" t="s">
        <v>275</v>
      </c>
      <c r="F645" s="619"/>
      <c r="G645" s="753"/>
      <c r="H645" s="755" t="s">
        <v>34</v>
      </c>
      <c r="I645" s="269">
        <v>0</v>
      </c>
      <c r="J645" s="269">
        <f ca="1">IFERROR(__xludf.DUMMYFUNCTION("IMPORTRANGE(""https://docs.google.com/spreadsheets/d/1XWAQStnk-4SwqDmLtmXYiTMKHgktTP8We1SCoS47DrQ/edit?usp=sharing"",""จัดที่ดิน!AS63"")"),0)</f>
        <v>0</v>
      </c>
      <c r="K645" s="163">
        <f t="shared" si="271"/>
        <v>0</v>
      </c>
      <c r="L645" s="163"/>
      <c r="M645" s="163"/>
      <c r="N645" s="496"/>
      <c r="O645" s="163"/>
      <c r="P645" s="163"/>
      <c r="Q645" s="571"/>
      <c r="R645" s="571"/>
      <c r="S645" s="571"/>
      <c r="T645" s="571"/>
      <c r="U645" s="571"/>
      <c r="V645" s="571"/>
      <c r="W645" s="571"/>
      <c r="X645" s="571"/>
      <c r="Y645" s="571"/>
      <c r="Z645" s="571"/>
    </row>
    <row r="646" spans="1:26" ht="18.75" hidden="1">
      <c r="A646" s="735"/>
      <c r="B646" s="568"/>
      <c r="C646" s="754"/>
      <c r="D646" s="619"/>
      <c r="E646" s="619"/>
      <c r="F646" s="619"/>
      <c r="G646" s="753"/>
      <c r="H646" s="755" t="s">
        <v>46</v>
      </c>
      <c r="I646" s="269">
        <v>0</v>
      </c>
      <c r="J646" s="269">
        <f ca="1">IFERROR(__xludf.DUMMYFUNCTION("IMPORTRANGE(""https://docs.google.com/spreadsheets/d/1XWAQStnk-4SwqDmLtmXYiTMKHgktTP8We1SCoS47DrQ/edit?usp=sharing"",""จัดที่ดิน!AT63"")"),0)</f>
        <v>0</v>
      </c>
      <c r="K646" s="496">
        <f t="shared" si="271"/>
        <v>0</v>
      </c>
      <c r="L646" s="163"/>
      <c r="M646" s="163"/>
      <c r="N646" s="496"/>
      <c r="O646" s="163"/>
      <c r="P646" s="163"/>
      <c r="Q646" s="571"/>
      <c r="R646" s="571"/>
      <c r="S646" s="571"/>
      <c r="T646" s="571"/>
      <c r="U646" s="571"/>
      <c r="V646" s="571"/>
      <c r="W646" s="571"/>
      <c r="X646" s="571"/>
      <c r="Y646" s="571"/>
      <c r="Z646" s="571"/>
    </row>
    <row r="647" spans="1:26" ht="18.75" hidden="1">
      <c r="A647" s="735"/>
      <c r="B647" s="568"/>
      <c r="C647" s="754"/>
      <c r="D647" s="619"/>
      <c r="E647" s="737" t="s">
        <v>162</v>
      </c>
      <c r="F647" s="619"/>
      <c r="G647" s="753"/>
      <c r="H647" s="755" t="s">
        <v>35</v>
      </c>
      <c r="I647" s="269">
        <f ca="1">IFERROR(__xludf.DUMMYFUNCTION("IMPORTRANGE(""https://docs.google.com/spreadsheets/d/1QqKyyYR6Q21VydFLVH3TRQUabQu_ym0Zz7PgGX0-kHA/edit?usp=sharing"",""แผน!HS63"")"),0)</f>
        <v>0</v>
      </c>
      <c r="J647" s="269">
        <f ca="1">IFERROR(__xludf.DUMMYFUNCTION("IMPORTRANGE(""https://docs.google.com/spreadsheets/d/1XWAQStnk-4SwqDmLtmXYiTMKHgktTP8We1SCoS47DrQ/edit?usp=sharing"",""จัดที่ดิน!AU63"")"),0)</f>
        <v>0</v>
      </c>
      <c r="K647" s="163">
        <f t="shared" ca="1" si="271"/>
        <v>0</v>
      </c>
      <c r="L647" s="163"/>
      <c r="M647" s="163"/>
      <c r="N647" s="163"/>
      <c r="O647" s="163"/>
      <c r="P647" s="163"/>
      <c r="Q647" s="571"/>
      <c r="R647" s="571"/>
      <c r="S647" s="571"/>
      <c r="T647" s="571"/>
      <c r="U647" s="571"/>
      <c r="V647" s="571"/>
      <c r="W647" s="571"/>
      <c r="X647" s="571"/>
      <c r="Y647" s="571"/>
      <c r="Z647" s="571"/>
    </row>
    <row r="648" spans="1:26" ht="18.75" hidden="1">
      <c r="A648" s="735"/>
      <c r="B648" s="568"/>
      <c r="C648" s="754"/>
      <c r="D648" s="619"/>
      <c r="E648" s="619"/>
      <c r="F648" s="619"/>
      <c r="G648" s="753"/>
      <c r="H648" s="755" t="s">
        <v>46</v>
      </c>
      <c r="I648" s="269">
        <v>0</v>
      </c>
      <c r="J648" s="269">
        <f ca="1">IFERROR(__xludf.DUMMYFUNCTION("IMPORTRANGE(""https://docs.google.com/spreadsheets/d/1XWAQStnk-4SwqDmLtmXYiTMKHgktTP8We1SCoS47DrQ/edit?usp=sharing"",""จัดที่ดิน!AV63"")"),0)</f>
        <v>0</v>
      </c>
      <c r="K648" s="496">
        <f t="shared" si="271"/>
        <v>0</v>
      </c>
      <c r="L648" s="163"/>
      <c r="M648" s="163"/>
      <c r="N648" s="163"/>
      <c r="O648" s="163"/>
      <c r="P648" s="163"/>
      <c r="Q648" s="571"/>
      <c r="R648" s="571"/>
      <c r="S648" s="571"/>
      <c r="T648" s="571"/>
      <c r="U648" s="571"/>
      <c r="V648" s="571"/>
      <c r="W648" s="571"/>
      <c r="X648" s="571"/>
      <c r="Y648" s="571"/>
      <c r="Z648" s="571"/>
    </row>
    <row r="649" spans="1:26" ht="18.75" hidden="1">
      <c r="A649" s="735"/>
      <c r="B649" s="568"/>
      <c r="C649" s="754"/>
      <c r="D649" s="619"/>
      <c r="E649" s="737" t="s">
        <v>276</v>
      </c>
      <c r="F649" s="619"/>
      <c r="G649" s="753"/>
      <c r="H649" s="755" t="s">
        <v>35</v>
      </c>
      <c r="I649" s="269">
        <f ca="1">IFERROR(__xludf.DUMMYFUNCTION("IMPORTRANGE(""https://docs.google.com/spreadsheets/d/1QqKyyYR6Q21VydFLVH3TRQUabQu_ym0Zz7PgGX0-kHA/edit?usp=sharing"",""แผน!HS63"")"),0)</f>
        <v>0</v>
      </c>
      <c r="J649" s="269">
        <f ca="1">IFERROR(__xludf.DUMMYFUNCTION("IMPORTRANGE(""https://docs.google.com/spreadsheets/d/1XWAQStnk-4SwqDmLtmXYiTMKHgktTP8We1SCoS47DrQ/edit?usp=sharing"",""จัดที่ดิน!AW63"")"),0)</f>
        <v>0</v>
      </c>
      <c r="K649" s="163">
        <f t="shared" ca="1" si="271"/>
        <v>0</v>
      </c>
      <c r="L649" s="163"/>
      <c r="M649" s="163"/>
      <c r="N649" s="163"/>
      <c r="O649" s="163"/>
      <c r="P649" s="163"/>
      <c r="Q649" s="571"/>
      <c r="R649" s="571"/>
      <c r="S649" s="571"/>
      <c r="T649" s="571"/>
      <c r="U649" s="571"/>
      <c r="V649" s="571"/>
      <c r="W649" s="571"/>
      <c r="X649" s="571"/>
      <c r="Y649" s="571"/>
      <c r="Z649" s="571"/>
    </row>
    <row r="650" spans="1:26" ht="18.75" hidden="1">
      <c r="A650" s="735"/>
      <c r="B650" s="568"/>
      <c r="C650" s="754"/>
      <c r="D650" s="619"/>
      <c r="E650" s="619"/>
      <c r="F650" s="619"/>
      <c r="G650" s="753"/>
      <c r="H650" s="755" t="s">
        <v>46</v>
      </c>
      <c r="I650" s="269">
        <v>0</v>
      </c>
      <c r="J650" s="269">
        <f ca="1">IFERROR(__xludf.DUMMYFUNCTION("IMPORTRANGE(""https://docs.google.com/spreadsheets/d/1XWAQStnk-4SwqDmLtmXYiTMKHgktTP8We1SCoS47DrQ/edit?usp=sharing"",""จัดที่ดิน!AX63"")"),0)</f>
        <v>0</v>
      </c>
      <c r="K650" s="496">
        <f t="shared" si="271"/>
        <v>0</v>
      </c>
      <c r="L650" s="163"/>
      <c r="M650" s="163"/>
      <c r="N650" s="163"/>
      <c r="O650" s="163"/>
      <c r="P650" s="163"/>
      <c r="Q650" s="571"/>
      <c r="R650" s="571"/>
      <c r="S650" s="571"/>
      <c r="T650" s="571"/>
      <c r="U650" s="571"/>
      <c r="V650" s="571"/>
      <c r="W650" s="571"/>
      <c r="X650" s="571"/>
      <c r="Y650" s="571"/>
      <c r="Z650" s="571"/>
    </row>
    <row r="651" spans="1:26" ht="18.75" hidden="1">
      <c r="A651" s="735"/>
      <c r="B651" s="568"/>
      <c r="C651" s="754"/>
      <c r="D651" s="619"/>
      <c r="E651" s="737" t="s">
        <v>277</v>
      </c>
      <c r="F651" s="619"/>
      <c r="G651" s="753"/>
      <c r="H651" s="755" t="s">
        <v>35</v>
      </c>
      <c r="I651" s="269">
        <f ca="1">IFERROR(__xludf.DUMMYFUNCTION("IMPORTRANGE(""https://docs.google.com/spreadsheets/d/1QqKyyYR6Q21VydFLVH3TRQUabQu_ym0Zz7PgGX0-kHA/edit?usp=sharing"",""แผน!HS63"")"),0)</f>
        <v>0</v>
      </c>
      <c r="J651" s="269">
        <f ca="1">IFERROR(__xludf.DUMMYFUNCTION("IMPORTRANGE(""https://docs.google.com/spreadsheets/d/1XWAQStnk-4SwqDmLtmXYiTMKHgktTP8We1SCoS47DrQ/edit?usp=sharing"",""จัดที่ดิน!AY63"")"),0)</f>
        <v>0</v>
      </c>
      <c r="K651" s="163">
        <f t="shared" ca="1" si="271"/>
        <v>0</v>
      </c>
      <c r="L651" s="163"/>
      <c r="M651" s="163"/>
      <c r="N651" s="163"/>
      <c r="O651" s="163"/>
      <c r="P651" s="163"/>
      <c r="Q651" s="571"/>
      <c r="R651" s="571"/>
      <c r="S651" s="571"/>
      <c r="T651" s="571"/>
      <c r="U651" s="571"/>
      <c r="V651" s="571"/>
      <c r="W651" s="571"/>
      <c r="X651" s="571"/>
      <c r="Y651" s="571"/>
      <c r="Z651" s="571"/>
    </row>
    <row r="652" spans="1:26" ht="18.75" hidden="1">
      <c r="A652" s="738"/>
      <c r="B652" s="739"/>
      <c r="C652" s="740"/>
      <c r="D652" s="725"/>
      <c r="E652" s="725"/>
      <c r="F652" s="725"/>
      <c r="G652" s="726"/>
      <c r="H652" s="498" t="s">
        <v>46</v>
      </c>
      <c r="I652" s="499">
        <v>0</v>
      </c>
      <c r="J652" s="499">
        <f ca="1">IFERROR(__xludf.DUMMYFUNCTION("IMPORTRANGE(""https://docs.google.com/spreadsheets/d/1XWAQStnk-4SwqDmLtmXYiTMKHgktTP8We1SCoS47DrQ/edit?usp=sharing"",""จัดที่ดิน!AZ63"")"),0)</f>
        <v>0</v>
      </c>
      <c r="K652" s="500">
        <f t="shared" si="271"/>
        <v>0</v>
      </c>
      <c r="L652" s="384"/>
      <c r="M652" s="384"/>
      <c r="N652" s="384"/>
      <c r="O652" s="384"/>
      <c r="P652" s="384"/>
      <c r="Q652" s="571"/>
      <c r="R652" s="571"/>
      <c r="S652" s="571"/>
      <c r="T652" s="571"/>
      <c r="U652" s="571"/>
      <c r="V652" s="571"/>
      <c r="W652" s="571"/>
      <c r="X652" s="571"/>
      <c r="Y652" s="571"/>
      <c r="Z652" s="571"/>
    </row>
    <row r="653" spans="1:26" ht="19.5">
      <c r="A653" s="741">
        <v>8</v>
      </c>
      <c r="B653" s="728" t="s">
        <v>278</v>
      </c>
      <c r="C653" s="729"/>
      <c r="D653" s="729"/>
      <c r="E653" s="729"/>
      <c r="F653" s="729"/>
      <c r="G653" s="730"/>
      <c r="H653" s="730"/>
      <c r="I653" s="742"/>
      <c r="J653" s="742"/>
      <c r="K653" s="734"/>
      <c r="L653" s="734"/>
      <c r="M653" s="734"/>
      <c r="N653" s="734"/>
      <c r="O653" s="734"/>
      <c r="P653" s="734"/>
      <c r="Q653" s="571"/>
      <c r="R653" s="571"/>
      <c r="S653" s="571"/>
      <c r="T653" s="571"/>
      <c r="U653" s="571"/>
      <c r="V653" s="571"/>
      <c r="W653" s="571"/>
      <c r="X653" s="571"/>
      <c r="Y653" s="571"/>
      <c r="Z653" s="571"/>
    </row>
    <row r="654" spans="1:26" ht="19.5">
      <c r="A654" s="666"/>
      <c r="B654" s="665" t="s">
        <v>279</v>
      </c>
      <c r="C654" s="666"/>
      <c r="D654" s="666"/>
      <c r="E654" s="666"/>
      <c r="F654" s="666"/>
      <c r="G654" s="667"/>
      <c r="H654" s="698" t="s">
        <v>46</v>
      </c>
      <c r="I654" s="699">
        <f t="shared" ref="I654:J654" ca="1" si="272">I669</f>
        <v>50</v>
      </c>
      <c r="J654" s="699">
        <f t="shared" si="272"/>
        <v>0</v>
      </c>
      <c r="K654" s="670">
        <f ca="1">IF(I654&gt;0,J654*100/I654,0)</f>
        <v>0</v>
      </c>
      <c r="L654" s="671"/>
      <c r="M654" s="671"/>
      <c r="N654" s="671"/>
      <c r="O654" s="671"/>
      <c r="P654" s="671"/>
      <c r="Q654" s="571"/>
      <c r="R654" s="571"/>
      <c r="S654" s="571"/>
      <c r="T654" s="571"/>
      <c r="U654" s="571"/>
      <c r="V654" s="571"/>
      <c r="W654" s="571"/>
      <c r="X654" s="571"/>
      <c r="Y654" s="571"/>
      <c r="Z654" s="571"/>
    </row>
    <row r="655" spans="1:26" ht="19.5">
      <c r="A655" s="590"/>
      <c r="B655" s="754"/>
      <c r="C655" s="754" t="s">
        <v>16</v>
      </c>
      <c r="D655" s="863" t="s">
        <v>17</v>
      </c>
      <c r="E655" s="857"/>
      <c r="F655" s="857"/>
      <c r="G655" s="189"/>
      <c r="H655" s="591" t="s">
        <v>12</v>
      </c>
      <c r="I655" s="269"/>
      <c r="J655" s="269"/>
      <c r="K655" s="496"/>
      <c r="L655" s="195">
        <f t="shared" ref="L655:N655" ca="1" si="273">L656+L657</f>
        <v>9400</v>
      </c>
      <c r="M655" s="195">
        <f t="shared" si="273"/>
        <v>0</v>
      </c>
      <c r="N655" s="195">
        <f t="shared" si="273"/>
        <v>3000</v>
      </c>
      <c r="O655" s="195">
        <f t="shared" ref="O655:O660" ca="1" si="274">IF(L655&gt;0,N655*100/L655,0)</f>
        <v>31.914893617021278</v>
      </c>
      <c r="P655" s="195">
        <f t="shared" ref="P655:P660" si="275">IF(M655&gt;0,N655*100/M655,0)</f>
        <v>0</v>
      </c>
      <c r="Q655" s="571"/>
      <c r="R655" s="571"/>
      <c r="S655" s="571"/>
      <c r="T655" s="571"/>
      <c r="U655" s="571"/>
      <c r="V655" s="571"/>
      <c r="W655" s="571"/>
      <c r="X655" s="571"/>
      <c r="Y655" s="571"/>
      <c r="Z655" s="571"/>
    </row>
    <row r="656" spans="1:26" ht="18.75" hidden="1">
      <c r="A656" s="592"/>
      <c r="B656" s="750"/>
      <c r="C656" s="750"/>
      <c r="D656" s="711"/>
      <c r="E656" s="750" t="s">
        <v>184</v>
      </c>
      <c r="F656" s="750"/>
      <c r="G656" s="596"/>
      <c r="H656" s="165" t="s">
        <v>12</v>
      </c>
      <c r="I656" s="610"/>
      <c r="J656" s="610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597"/>
      <c r="R656" s="597"/>
      <c r="S656" s="597"/>
      <c r="T656" s="597"/>
      <c r="U656" s="597"/>
      <c r="V656" s="597"/>
      <c r="W656" s="597"/>
      <c r="X656" s="597"/>
      <c r="Y656" s="597"/>
      <c r="Z656" s="597"/>
    </row>
    <row r="657" spans="1:26" ht="18.75" hidden="1">
      <c r="A657" s="592"/>
      <c r="B657" s="600"/>
      <c r="C657" s="750"/>
      <c r="D657" s="711"/>
      <c r="E657" s="750" t="s">
        <v>185</v>
      </c>
      <c r="F657" s="750"/>
      <c r="G657" s="596"/>
      <c r="H657" s="165" t="s">
        <v>12</v>
      </c>
      <c r="I657" s="610"/>
      <c r="J657" s="610"/>
      <c r="K657" s="93"/>
      <c r="L657" s="93">
        <f t="shared" ca="1" si="276"/>
        <v>9400</v>
      </c>
      <c r="M657" s="93">
        <f t="shared" si="276"/>
        <v>0</v>
      </c>
      <c r="N657" s="93">
        <f t="shared" si="276"/>
        <v>3000</v>
      </c>
      <c r="O657" s="93">
        <f t="shared" ca="1" si="274"/>
        <v>31.914893617021278</v>
      </c>
      <c r="P657" s="93">
        <f t="shared" si="275"/>
        <v>0</v>
      </c>
      <c r="Q657" s="597"/>
      <c r="R657" s="597"/>
      <c r="S657" s="597"/>
      <c r="T657" s="597"/>
      <c r="U657" s="597"/>
      <c r="V657" s="597"/>
      <c r="W657" s="597"/>
      <c r="X657" s="597"/>
      <c r="Y657" s="597"/>
      <c r="Z657" s="597"/>
    </row>
    <row r="658" spans="1:26" ht="18.75">
      <c r="A658" s="590"/>
      <c r="B658" s="568"/>
      <c r="C658" s="754"/>
      <c r="D658" s="599" t="s">
        <v>20</v>
      </c>
      <c r="E658" s="754"/>
      <c r="F658" s="754"/>
      <c r="G658" s="189"/>
      <c r="H658" s="161" t="s">
        <v>12</v>
      </c>
      <c r="I658" s="184"/>
      <c r="J658" s="184"/>
      <c r="K658" s="163"/>
      <c r="L658" s="496">
        <f t="shared" ref="L658:N658" ca="1" si="277">L659+L660</f>
        <v>9400</v>
      </c>
      <c r="M658" s="496">
        <f t="shared" si="277"/>
        <v>0</v>
      </c>
      <c r="N658" s="496">
        <f t="shared" si="277"/>
        <v>3000</v>
      </c>
      <c r="O658" s="496">
        <f t="shared" ca="1" si="274"/>
        <v>31.914893617021278</v>
      </c>
      <c r="P658" s="496">
        <f t="shared" si="275"/>
        <v>0</v>
      </c>
      <c r="Q658" s="571"/>
      <c r="R658" s="571"/>
      <c r="S658" s="571"/>
      <c r="T658" s="571"/>
      <c r="U658" s="571"/>
      <c r="V658" s="571"/>
      <c r="W658" s="571"/>
      <c r="X658" s="571"/>
      <c r="Y658" s="571"/>
      <c r="Z658" s="571"/>
    </row>
    <row r="659" spans="1:26" ht="18.75" hidden="1">
      <c r="A659" s="592"/>
      <c r="B659" s="600"/>
      <c r="C659" s="750"/>
      <c r="D659" s="711"/>
      <c r="E659" s="750" t="s">
        <v>184</v>
      </c>
      <c r="F659" s="750"/>
      <c r="G659" s="596"/>
      <c r="H659" s="165" t="s">
        <v>12</v>
      </c>
      <c r="I659" s="610"/>
      <c r="J659" s="610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597"/>
      <c r="R659" s="597"/>
      <c r="S659" s="597"/>
      <c r="T659" s="597"/>
      <c r="U659" s="597"/>
      <c r="V659" s="597"/>
      <c r="W659" s="597"/>
      <c r="X659" s="597"/>
      <c r="Y659" s="597"/>
      <c r="Z659" s="597"/>
    </row>
    <row r="660" spans="1:26" ht="18.75" hidden="1">
      <c r="A660" s="592"/>
      <c r="B660" s="600"/>
      <c r="C660" s="750"/>
      <c r="D660" s="711"/>
      <c r="E660" s="750" t="s">
        <v>185</v>
      </c>
      <c r="F660" s="750"/>
      <c r="G660" s="596"/>
      <c r="H660" s="165" t="s">
        <v>12</v>
      </c>
      <c r="I660" s="610"/>
      <c r="J660" s="610"/>
      <c r="K660" s="93"/>
      <c r="L660" s="93">
        <f ca="1">IFERROR(__xludf.DUMMYFUNCTION("IMPORTRANGE(""https://docs.google.com/spreadsheets/d/1QqKyyYR6Q21VydFLVH3TRQUabQu_ym0Zz7PgGX0-kHA/edit?usp=sharing"",""แผน!HV63"")"),9400)</f>
        <v>9400</v>
      </c>
      <c r="M660" s="93">
        <v>0</v>
      </c>
      <c r="N660" s="93">
        <f>N661+N662+N663+N664</f>
        <v>3000</v>
      </c>
      <c r="O660" s="93">
        <f t="shared" ca="1" si="274"/>
        <v>31.914893617021278</v>
      </c>
      <c r="P660" s="93">
        <f t="shared" si="275"/>
        <v>0</v>
      </c>
      <c r="Q660" s="597"/>
      <c r="R660" s="597"/>
      <c r="S660" s="597"/>
      <c r="T660" s="597"/>
      <c r="U660" s="597"/>
      <c r="V660" s="597"/>
      <c r="W660" s="597"/>
      <c r="X660" s="597"/>
      <c r="Y660" s="597"/>
      <c r="Z660" s="597"/>
    </row>
    <row r="661" spans="1:26" ht="18.75">
      <c r="A661" s="567"/>
      <c r="B661" s="568"/>
      <c r="C661" s="754"/>
      <c r="D661" s="754"/>
      <c r="E661" s="754"/>
      <c r="F661" s="754" t="s">
        <v>186</v>
      </c>
      <c r="G661" s="189"/>
      <c r="H661" s="161" t="s">
        <v>12</v>
      </c>
      <c r="I661" s="269"/>
      <c r="J661" s="269"/>
      <c r="K661" s="496"/>
      <c r="L661" s="496"/>
      <c r="M661" s="496"/>
      <c r="N661" s="817">
        <v>0</v>
      </c>
      <c r="O661" s="496"/>
      <c r="P661" s="496"/>
      <c r="Q661" s="571"/>
      <c r="R661" s="571"/>
      <c r="S661" s="571"/>
      <c r="T661" s="571"/>
      <c r="U661" s="571"/>
      <c r="V661" s="571"/>
      <c r="W661" s="571"/>
      <c r="X661" s="571"/>
      <c r="Y661" s="571"/>
      <c r="Z661" s="571"/>
    </row>
    <row r="662" spans="1:26" ht="18.75">
      <c r="A662" s="567"/>
      <c r="B662" s="568"/>
      <c r="C662" s="754"/>
      <c r="D662" s="754"/>
      <c r="E662" s="754"/>
      <c r="F662" s="754" t="s">
        <v>187</v>
      </c>
      <c r="G662" s="189"/>
      <c r="H662" s="161" t="s">
        <v>12</v>
      </c>
      <c r="I662" s="269"/>
      <c r="J662" s="269"/>
      <c r="K662" s="496"/>
      <c r="L662" s="496"/>
      <c r="M662" s="496"/>
      <c r="N662" s="817">
        <v>0</v>
      </c>
      <c r="O662" s="496"/>
      <c r="P662" s="496"/>
      <c r="Q662" s="571"/>
      <c r="R662" s="571"/>
      <c r="S662" s="571"/>
      <c r="T662" s="571"/>
      <c r="U662" s="571"/>
      <c r="V662" s="571"/>
      <c r="W662" s="571"/>
      <c r="X662" s="571"/>
      <c r="Y662" s="571"/>
      <c r="Z662" s="571"/>
    </row>
    <row r="663" spans="1:26" ht="18.75">
      <c r="A663" s="567"/>
      <c r="B663" s="568"/>
      <c r="C663" s="568"/>
      <c r="D663" s="754"/>
      <c r="E663" s="754"/>
      <c r="F663" s="754" t="s">
        <v>188</v>
      </c>
      <c r="G663" s="189"/>
      <c r="H663" s="161" t="s">
        <v>12</v>
      </c>
      <c r="I663" s="269"/>
      <c r="J663" s="269"/>
      <c r="K663" s="496"/>
      <c r="L663" s="496"/>
      <c r="M663" s="496"/>
      <c r="N663" s="817">
        <v>0</v>
      </c>
      <c r="O663" s="496"/>
      <c r="P663" s="496"/>
      <c r="Q663" s="571"/>
      <c r="R663" s="571"/>
      <c r="S663" s="571"/>
      <c r="T663" s="571"/>
      <c r="U663" s="571"/>
      <c r="V663" s="571"/>
      <c r="W663" s="571"/>
      <c r="X663" s="571"/>
      <c r="Y663" s="571"/>
      <c r="Z663" s="571"/>
    </row>
    <row r="664" spans="1:26" ht="18.75">
      <c r="A664" s="567"/>
      <c r="B664" s="568"/>
      <c r="C664" s="568"/>
      <c r="D664" s="568"/>
      <c r="E664" s="754"/>
      <c r="F664" s="754" t="s">
        <v>189</v>
      </c>
      <c r="G664" s="189"/>
      <c r="H664" s="161" t="s">
        <v>12</v>
      </c>
      <c r="I664" s="269"/>
      <c r="J664" s="269"/>
      <c r="K664" s="496"/>
      <c r="L664" s="496"/>
      <c r="M664" s="496"/>
      <c r="N664" s="817">
        <v>3000</v>
      </c>
      <c r="O664" s="496"/>
      <c r="P664" s="496"/>
      <c r="Q664" s="571"/>
      <c r="R664" s="571"/>
      <c r="S664" s="571"/>
      <c r="T664" s="571"/>
      <c r="U664" s="571"/>
      <c r="V664" s="571"/>
      <c r="W664" s="571"/>
      <c r="X664" s="571"/>
      <c r="Y664" s="571"/>
      <c r="Z664" s="571"/>
    </row>
    <row r="665" spans="1:26" ht="18.75">
      <c r="A665" s="590"/>
      <c r="B665" s="568"/>
      <c r="C665" s="568"/>
      <c r="D665" s="599" t="s">
        <v>21</v>
      </c>
      <c r="E665" s="754"/>
      <c r="F665" s="754"/>
      <c r="G665" s="189"/>
      <c r="H665" s="168" t="s">
        <v>12</v>
      </c>
      <c r="I665" s="184"/>
      <c r="J665" s="184"/>
      <c r="K665" s="163"/>
      <c r="L665" s="496">
        <f t="shared" ref="L665:N665" si="278">L666+L667</f>
        <v>0</v>
      </c>
      <c r="M665" s="496">
        <f t="shared" si="278"/>
        <v>0</v>
      </c>
      <c r="N665" s="496">
        <f t="shared" si="278"/>
        <v>0</v>
      </c>
      <c r="O665" s="496">
        <f t="shared" ref="O665:O667" si="279">IF(L665&gt;0,N665*100/L665,0)</f>
        <v>0</v>
      </c>
      <c r="P665" s="496">
        <f t="shared" ref="P665:P667" si="280">IF(M665&gt;0,N665*100/M665,0)</f>
        <v>0</v>
      </c>
      <c r="Q665" s="571"/>
      <c r="R665" s="571"/>
      <c r="S665" s="571"/>
      <c r="T665" s="571"/>
      <c r="U665" s="571"/>
      <c r="V665" s="571"/>
      <c r="W665" s="571"/>
      <c r="X665" s="571"/>
      <c r="Y665" s="571"/>
      <c r="Z665" s="571"/>
    </row>
    <row r="666" spans="1:26" ht="18.75" hidden="1">
      <c r="A666" s="592"/>
      <c r="B666" s="600"/>
      <c r="C666" s="600"/>
      <c r="D666" s="600"/>
      <c r="E666" s="750" t="s">
        <v>18</v>
      </c>
      <c r="F666" s="750"/>
      <c r="G666" s="596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597"/>
      <c r="R666" s="597"/>
      <c r="S666" s="597"/>
      <c r="T666" s="597"/>
      <c r="U666" s="597"/>
      <c r="V666" s="597"/>
      <c r="W666" s="597"/>
      <c r="X666" s="597"/>
      <c r="Y666" s="597"/>
      <c r="Z666" s="597"/>
    </row>
    <row r="667" spans="1:26" ht="18.75" hidden="1">
      <c r="A667" s="592"/>
      <c r="B667" s="600"/>
      <c r="C667" s="600"/>
      <c r="D667" s="600"/>
      <c r="E667" s="750" t="s">
        <v>19</v>
      </c>
      <c r="F667" s="750"/>
      <c r="G667" s="596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597"/>
      <c r="R667" s="597"/>
      <c r="S667" s="597"/>
      <c r="T667" s="597"/>
      <c r="U667" s="597"/>
      <c r="V667" s="597"/>
      <c r="W667" s="597"/>
      <c r="X667" s="597"/>
      <c r="Y667" s="597"/>
      <c r="Z667" s="597"/>
    </row>
    <row r="668" spans="1:26" ht="19.5">
      <c r="A668" s="601"/>
      <c r="B668" s="611"/>
      <c r="C668" s="568" t="s">
        <v>16</v>
      </c>
      <c r="D668" s="836" t="s">
        <v>38</v>
      </c>
      <c r="E668" s="752"/>
      <c r="F668" s="752"/>
      <c r="G668" s="606"/>
      <c r="H668" s="753"/>
      <c r="I668" s="184"/>
      <c r="J668" s="184"/>
      <c r="K668" s="163"/>
      <c r="L668" s="163"/>
      <c r="M668" s="163"/>
      <c r="N668" s="163"/>
      <c r="O668" s="163"/>
      <c r="P668" s="163"/>
      <c r="Q668" s="571"/>
      <c r="R668" s="571"/>
      <c r="S668" s="571"/>
      <c r="T668" s="571"/>
      <c r="U668" s="571"/>
      <c r="V668" s="571"/>
      <c r="W668" s="571"/>
      <c r="X668" s="571"/>
      <c r="Y668" s="571"/>
      <c r="Z668" s="571"/>
    </row>
    <row r="669" spans="1:26" ht="19.5">
      <c r="A669" s="601"/>
      <c r="B669" s="611"/>
      <c r="C669" s="611"/>
      <c r="D669" s="611" t="s">
        <v>280</v>
      </c>
      <c r="E669" s="619"/>
      <c r="F669" s="619"/>
      <c r="G669" s="753"/>
      <c r="H669" s="758" t="s">
        <v>46</v>
      </c>
      <c r="I669" s="674">
        <f ca="1">IFERROR(__xludf.DUMMYFUNCTION("IMPORTRANGE(""https://docs.google.com/spreadsheets/d/1QqKyyYR6Q21VydFLVH3TRQUabQu_ym0Zz7PgGX0-kHA/edit?usp=sharing"",""แผน!IA63"")"),50)</f>
        <v>50</v>
      </c>
      <c r="J669" s="674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1"/>
      <c r="R669" s="571"/>
      <c r="S669" s="571"/>
      <c r="T669" s="571"/>
      <c r="U669" s="571"/>
      <c r="V669" s="571"/>
      <c r="W669" s="571"/>
      <c r="X669" s="571"/>
      <c r="Y669" s="571"/>
      <c r="Z669" s="571"/>
    </row>
    <row r="670" spans="1:26" ht="18.75">
      <c r="A670" s="601"/>
      <c r="B670" s="611"/>
      <c r="C670" s="611"/>
      <c r="D670" s="611"/>
      <c r="E670" s="619" t="s">
        <v>281</v>
      </c>
      <c r="F670" s="619"/>
      <c r="G670" s="753"/>
      <c r="H670" s="755" t="s">
        <v>69</v>
      </c>
      <c r="I670" s="269">
        <f ca="1">IFERROR(__xludf.DUMMYFUNCTION("IMPORTRANGE(""https://docs.google.com/spreadsheets/d/1QqKyyYR6Q21VydFLVH3TRQUabQu_ym0Zz7PgGX0-kHA/edit?usp=sharing"",""แผน!HZ63"")"),4)</f>
        <v>4</v>
      </c>
      <c r="J670" s="214">
        <v>4</v>
      </c>
      <c r="K670" s="496">
        <f ca="1">IF(I670&gt;0,(J670*100)/I670,0)</f>
        <v>100</v>
      </c>
      <c r="L670" s="163"/>
      <c r="M670" s="163"/>
      <c r="N670" s="163"/>
      <c r="O670" s="163"/>
      <c r="P670" s="163"/>
      <c r="Q670" s="571"/>
      <c r="R670" s="571"/>
      <c r="S670" s="571"/>
      <c r="T670" s="571"/>
      <c r="U670" s="571"/>
      <c r="V670" s="571"/>
      <c r="W670" s="571"/>
      <c r="X670" s="571"/>
      <c r="Y670" s="571"/>
      <c r="Z670" s="571"/>
    </row>
    <row r="671" spans="1:26" ht="18.75">
      <c r="A671" s="601"/>
      <c r="B671" s="611"/>
      <c r="C671" s="611"/>
      <c r="D671" s="611"/>
      <c r="E671" s="619" t="s">
        <v>282</v>
      </c>
      <c r="F671" s="619"/>
      <c r="G671" s="753"/>
      <c r="H671" s="755" t="s">
        <v>69</v>
      </c>
      <c r="I671" s="269">
        <f ca="1">IFERROR(__xludf.DUMMYFUNCTION("IMPORTRANGE(""https://docs.google.com/spreadsheets/d/1QqKyyYR6Q21VydFLVH3TRQUabQu_ym0Zz7PgGX0-kHA/edit?usp=sharing"",""แผน!HZ63"")"),4)</f>
        <v>4</v>
      </c>
      <c r="J671" s="214">
        <v>4</v>
      </c>
      <c r="K671" s="496">
        <f ca="1">IF(I$671&gt;0,J671*100/I$671,0)</f>
        <v>100</v>
      </c>
      <c r="L671" s="163"/>
      <c r="M671" s="163"/>
      <c r="N671" s="163"/>
      <c r="O671" s="163"/>
      <c r="P671" s="163"/>
      <c r="Q671" s="571"/>
      <c r="R671" s="571"/>
      <c r="S671" s="571"/>
      <c r="T671" s="571"/>
      <c r="U671" s="571"/>
      <c r="V671" s="571"/>
      <c r="W671" s="571"/>
      <c r="X671" s="571"/>
      <c r="Y671" s="571"/>
      <c r="Z671" s="571"/>
    </row>
    <row r="672" spans="1:26" ht="18.75">
      <c r="A672" s="601"/>
      <c r="B672" s="611"/>
      <c r="C672" s="611"/>
      <c r="D672" s="611"/>
      <c r="E672" s="619" t="s">
        <v>283</v>
      </c>
      <c r="F672" s="619"/>
      <c r="G672" s="753"/>
      <c r="H672" s="755" t="s">
        <v>46</v>
      </c>
      <c r="I672" s="269"/>
      <c r="J672" s="214">
        <v>0</v>
      </c>
      <c r="K672" s="496">
        <f t="shared" ref="K672:K675" ca="1" si="281">IF(I$669&gt;0,J672*100/I$669,0)</f>
        <v>0</v>
      </c>
      <c r="L672" s="163"/>
      <c r="M672" s="163"/>
      <c r="N672" s="163"/>
      <c r="O672" s="163"/>
      <c r="P672" s="163"/>
      <c r="Q672" s="571"/>
      <c r="R672" s="571"/>
      <c r="S672" s="571"/>
      <c r="T672" s="571"/>
      <c r="U672" s="571"/>
      <c r="V672" s="571"/>
      <c r="W672" s="571"/>
      <c r="X672" s="571"/>
      <c r="Y672" s="571"/>
      <c r="Z672" s="571"/>
    </row>
    <row r="673" spans="1:26" ht="18.75">
      <c r="A673" s="601"/>
      <c r="B673" s="611"/>
      <c r="C673" s="611"/>
      <c r="D673" s="611"/>
      <c r="E673" s="619" t="s">
        <v>284</v>
      </c>
      <c r="F673" s="619"/>
      <c r="G673" s="753"/>
      <c r="H673" s="755" t="s">
        <v>46</v>
      </c>
      <c r="I673" s="269"/>
      <c r="J673" s="214">
        <v>0</v>
      </c>
      <c r="K673" s="496">
        <f t="shared" ca="1" si="281"/>
        <v>0</v>
      </c>
      <c r="L673" s="163"/>
      <c r="M673" s="163"/>
      <c r="N673" s="163"/>
      <c r="O673" s="163"/>
      <c r="P673" s="163"/>
      <c r="Q673" s="571"/>
      <c r="R673" s="571"/>
      <c r="S673" s="571"/>
      <c r="T673" s="571"/>
      <c r="U673" s="571"/>
      <c r="V673" s="571"/>
      <c r="W673" s="571"/>
      <c r="X673" s="571"/>
      <c r="Y673" s="571"/>
      <c r="Z673" s="571"/>
    </row>
    <row r="674" spans="1:26" ht="18.75">
      <c r="A674" s="601"/>
      <c r="B674" s="611"/>
      <c r="C674" s="611"/>
      <c r="D674" s="611"/>
      <c r="E674" s="619" t="s">
        <v>285</v>
      </c>
      <c r="F674" s="619"/>
      <c r="G674" s="753"/>
      <c r="H674" s="755" t="s">
        <v>46</v>
      </c>
      <c r="I674" s="269"/>
      <c r="J674" s="214">
        <v>0</v>
      </c>
      <c r="K674" s="496">
        <f t="shared" ca="1" si="281"/>
        <v>0</v>
      </c>
      <c r="L674" s="163"/>
      <c r="M674" s="163"/>
      <c r="N674" s="163"/>
      <c r="O674" s="163"/>
      <c r="P674" s="163"/>
      <c r="Q674" s="571"/>
      <c r="R674" s="571"/>
      <c r="S674" s="571"/>
      <c r="T674" s="571"/>
      <c r="U674" s="571"/>
      <c r="V674" s="571"/>
      <c r="W674" s="571"/>
      <c r="X674" s="571"/>
      <c r="Y674" s="571"/>
      <c r="Z674" s="571"/>
    </row>
    <row r="675" spans="1:26" ht="19.5">
      <c r="A675" s="601"/>
      <c r="B675" s="611"/>
      <c r="C675" s="611"/>
      <c r="D675" s="611"/>
      <c r="E675" s="619" t="s">
        <v>286</v>
      </c>
      <c r="F675" s="619"/>
      <c r="G675" s="753"/>
      <c r="H675" s="755" t="s">
        <v>46</v>
      </c>
      <c r="I675" s="269"/>
      <c r="J675" s="674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71"/>
      <c r="R675" s="571"/>
      <c r="S675" s="571"/>
      <c r="T675" s="571"/>
      <c r="U675" s="571"/>
      <c r="V675" s="571"/>
      <c r="W675" s="571"/>
      <c r="X675" s="571"/>
      <c r="Y675" s="571"/>
      <c r="Z675" s="571"/>
    </row>
    <row r="676" spans="1:26" ht="18.75">
      <c r="A676" s="601"/>
      <c r="B676" s="611"/>
      <c r="C676" s="611"/>
      <c r="D676" s="611"/>
      <c r="E676" s="619"/>
      <c r="F676" s="619" t="s">
        <v>287</v>
      </c>
      <c r="G676" s="753"/>
      <c r="H676" s="755" t="s">
        <v>46</v>
      </c>
      <c r="I676" s="269"/>
      <c r="J676" s="214">
        <v>0</v>
      </c>
      <c r="K676" s="496"/>
      <c r="L676" s="163"/>
      <c r="M676" s="163"/>
      <c r="N676" s="163"/>
      <c r="O676" s="163"/>
      <c r="P676" s="163"/>
      <c r="Q676" s="571"/>
      <c r="R676" s="571"/>
      <c r="S676" s="571"/>
      <c r="T676" s="571"/>
      <c r="U676" s="571"/>
      <c r="V676" s="571"/>
      <c r="W676" s="571"/>
      <c r="X676" s="571"/>
      <c r="Y676" s="571"/>
      <c r="Z676" s="571"/>
    </row>
    <row r="677" spans="1:26" ht="18.75">
      <c r="A677" s="601"/>
      <c r="B677" s="611"/>
      <c r="C677" s="611"/>
      <c r="D677" s="611"/>
      <c r="E677" s="619"/>
      <c r="F677" s="619" t="s">
        <v>288</v>
      </c>
      <c r="G677" s="753"/>
      <c r="H677" s="755" t="s">
        <v>46</v>
      </c>
      <c r="I677" s="269"/>
      <c r="J677" s="214">
        <v>0</v>
      </c>
      <c r="K677" s="496"/>
      <c r="L677" s="163"/>
      <c r="M677" s="163"/>
      <c r="N677" s="163"/>
      <c r="O677" s="163"/>
      <c r="P677" s="163"/>
      <c r="Q677" s="571"/>
      <c r="R677" s="571"/>
      <c r="S677" s="571"/>
      <c r="T677" s="571"/>
      <c r="U677" s="571"/>
      <c r="V677" s="571"/>
      <c r="W677" s="571"/>
      <c r="X677" s="571"/>
      <c r="Y677" s="571"/>
      <c r="Z677" s="571"/>
    </row>
    <row r="678" spans="1:26" ht="19.5">
      <c r="A678" s="601"/>
      <c r="B678" s="611"/>
      <c r="C678" s="611"/>
      <c r="D678" s="611" t="s">
        <v>289</v>
      </c>
      <c r="E678" s="619"/>
      <c r="F678" s="619"/>
      <c r="G678" s="753"/>
      <c r="H678" s="755" t="s">
        <v>46</v>
      </c>
      <c r="I678" s="674">
        <f ca="1">IFERROR(__xludf.DUMMYFUNCTION("IMPORTRANGE(""https://docs.google.com/spreadsheets/d/1QqKyyYR6Q21VydFLVH3TRQUabQu_ym0Zz7PgGX0-kHA/edit?usp=sharing"",""แผน!IB63"")"),0)</f>
        <v>0</v>
      </c>
      <c r="J678" s="674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1"/>
      <c r="R678" s="571"/>
      <c r="S678" s="571"/>
      <c r="T678" s="571"/>
      <c r="U678" s="571"/>
      <c r="V678" s="571"/>
      <c r="W678" s="571"/>
      <c r="X678" s="571"/>
      <c r="Y678" s="571"/>
      <c r="Z678" s="571"/>
    </row>
    <row r="679" spans="1:26" ht="18.75">
      <c r="A679" s="601"/>
      <c r="B679" s="611"/>
      <c r="C679" s="611"/>
      <c r="D679" s="611"/>
      <c r="E679" s="619" t="s">
        <v>290</v>
      </c>
      <c r="F679" s="619"/>
      <c r="G679" s="753"/>
      <c r="H679" s="755" t="s">
        <v>46</v>
      </c>
      <c r="I679" s="269"/>
      <c r="J679" s="269">
        <f>J680+J681</f>
        <v>0</v>
      </c>
      <c r="K679" s="496"/>
      <c r="L679" s="163"/>
      <c r="M679" s="163"/>
      <c r="N679" s="163"/>
      <c r="O679" s="163"/>
      <c r="P679" s="163"/>
      <c r="Q679" s="571"/>
      <c r="R679" s="571"/>
      <c r="S679" s="571"/>
      <c r="T679" s="571"/>
      <c r="U679" s="571"/>
      <c r="V679" s="571"/>
      <c r="W679" s="571"/>
      <c r="X679" s="571"/>
      <c r="Y679" s="571"/>
      <c r="Z679" s="571"/>
    </row>
    <row r="680" spans="1:26" ht="18.75">
      <c r="A680" s="601"/>
      <c r="B680" s="611"/>
      <c r="C680" s="611"/>
      <c r="D680" s="611"/>
      <c r="E680" s="619"/>
      <c r="F680" s="619" t="s">
        <v>287</v>
      </c>
      <c r="G680" s="753"/>
      <c r="H680" s="755" t="s">
        <v>46</v>
      </c>
      <c r="I680" s="269"/>
      <c r="J680" s="214">
        <v>0</v>
      </c>
      <c r="K680" s="496"/>
      <c r="L680" s="163"/>
      <c r="M680" s="163"/>
      <c r="N680" s="163"/>
      <c r="O680" s="163"/>
      <c r="P680" s="163"/>
      <c r="Q680" s="571"/>
      <c r="R680" s="571"/>
      <c r="S680" s="571"/>
      <c r="T680" s="571"/>
      <c r="U680" s="571"/>
      <c r="V680" s="571"/>
      <c r="W680" s="571"/>
      <c r="X680" s="571"/>
      <c r="Y680" s="571"/>
      <c r="Z680" s="571"/>
    </row>
    <row r="681" spans="1:26" ht="18.75">
      <c r="A681" s="601"/>
      <c r="B681" s="611"/>
      <c r="C681" s="611"/>
      <c r="D681" s="611"/>
      <c r="E681" s="619"/>
      <c r="F681" s="619" t="s">
        <v>288</v>
      </c>
      <c r="G681" s="753"/>
      <c r="H681" s="755" t="s">
        <v>46</v>
      </c>
      <c r="I681" s="269"/>
      <c r="J681" s="214">
        <v>0</v>
      </c>
      <c r="K681" s="496"/>
      <c r="L681" s="163"/>
      <c r="M681" s="163"/>
      <c r="N681" s="163"/>
      <c r="O681" s="163"/>
      <c r="P681" s="163"/>
      <c r="Q681" s="571"/>
      <c r="R681" s="571"/>
      <c r="S681" s="571"/>
      <c r="T681" s="571"/>
      <c r="U681" s="571"/>
      <c r="V681" s="571"/>
      <c r="W681" s="571"/>
      <c r="X681" s="571"/>
      <c r="Y681" s="571"/>
      <c r="Z681" s="571"/>
    </row>
    <row r="682" spans="1:26" ht="18.75">
      <c r="A682" s="601"/>
      <c r="B682" s="611"/>
      <c r="C682" s="611"/>
      <c r="D682" s="611"/>
      <c r="E682" s="619" t="s">
        <v>291</v>
      </c>
      <c r="F682" s="619"/>
      <c r="G682" s="753"/>
      <c r="H682" s="755" t="s">
        <v>46</v>
      </c>
      <c r="I682" s="269"/>
      <c r="J682" s="214">
        <v>0</v>
      </c>
      <c r="K682" s="496"/>
      <c r="L682" s="163"/>
      <c r="M682" s="163"/>
      <c r="N682" s="163"/>
      <c r="O682" s="163"/>
      <c r="P682" s="163"/>
      <c r="Q682" s="571"/>
      <c r="R682" s="571"/>
      <c r="S682" s="571"/>
      <c r="T682" s="571"/>
      <c r="U682" s="571"/>
      <c r="V682" s="571"/>
      <c r="W682" s="571"/>
      <c r="X682" s="571"/>
      <c r="Y682" s="571"/>
      <c r="Z682" s="571"/>
    </row>
    <row r="683" spans="1:26" ht="18.75">
      <c r="A683" s="601"/>
      <c r="B683" s="611"/>
      <c r="C683" s="611"/>
      <c r="D683" s="611"/>
      <c r="E683" s="619"/>
      <c r="F683" s="619" t="s">
        <v>292</v>
      </c>
      <c r="G683" s="753"/>
      <c r="H683" s="755" t="s">
        <v>46</v>
      </c>
      <c r="I683" s="269"/>
      <c r="J683" s="214">
        <v>0</v>
      </c>
      <c r="K683" s="496"/>
      <c r="L683" s="163"/>
      <c r="M683" s="163"/>
      <c r="N683" s="163"/>
      <c r="O683" s="163"/>
      <c r="P683" s="163"/>
      <c r="Q683" s="571"/>
      <c r="R683" s="571"/>
      <c r="S683" s="571"/>
      <c r="T683" s="571"/>
      <c r="U683" s="571"/>
      <c r="V683" s="571"/>
      <c r="W683" s="571"/>
      <c r="X683" s="571"/>
      <c r="Y683" s="571"/>
      <c r="Z683" s="571"/>
    </row>
    <row r="684" spans="1:26" ht="19.5">
      <c r="A684" s="744"/>
      <c r="B684" s="745" t="s">
        <v>293</v>
      </c>
      <c r="C684" s="744"/>
      <c r="D684" s="744"/>
      <c r="E684" s="744"/>
      <c r="F684" s="744"/>
      <c r="G684" s="746"/>
      <c r="H684" s="746"/>
      <c r="I684" s="747"/>
      <c r="J684" s="747"/>
      <c r="K684" s="748"/>
      <c r="L684" s="748"/>
      <c r="M684" s="748"/>
      <c r="N684" s="748"/>
      <c r="O684" s="748"/>
      <c r="P684" s="748"/>
      <c r="Q684" s="571"/>
      <c r="R684" s="571"/>
      <c r="S684" s="571"/>
      <c r="T684" s="571"/>
      <c r="U684" s="571"/>
      <c r="V684" s="571"/>
      <c r="W684" s="571"/>
      <c r="X684" s="571"/>
      <c r="Y684" s="571"/>
      <c r="Z684" s="571"/>
    </row>
    <row r="685" spans="1:26" ht="19.5">
      <c r="A685" s="590"/>
      <c r="B685" s="754"/>
      <c r="C685" s="754" t="s">
        <v>16</v>
      </c>
      <c r="D685" s="863" t="s">
        <v>17</v>
      </c>
      <c r="E685" s="857"/>
      <c r="F685" s="857"/>
      <c r="G685" s="189"/>
      <c r="H685" s="591" t="s">
        <v>12</v>
      </c>
      <c r="I685" s="269"/>
      <c r="J685" s="269"/>
      <c r="K685" s="496"/>
      <c r="L685" s="195">
        <f t="shared" ref="L685:N685" ca="1" si="282">L686+L687</f>
        <v>6280</v>
      </c>
      <c r="M685" s="195">
        <f t="shared" si="282"/>
        <v>0</v>
      </c>
      <c r="N685" s="195">
        <f t="shared" si="282"/>
        <v>0</v>
      </c>
      <c r="O685" s="195">
        <f t="shared" ref="O685:O688" ca="1" si="283">IF(L685&gt;0,N685*100/L685,0)</f>
        <v>0</v>
      </c>
      <c r="P685" s="195">
        <f t="shared" ref="P685:P688" si="284">IF(M685&gt;0,N685*100/M685,0)</f>
        <v>0</v>
      </c>
      <c r="Q685" s="571"/>
      <c r="R685" s="571"/>
      <c r="S685" s="571"/>
      <c r="T685" s="571"/>
      <c r="U685" s="571"/>
      <c r="V685" s="571"/>
      <c r="W685" s="571"/>
      <c r="X685" s="571"/>
      <c r="Y685" s="571"/>
      <c r="Z685" s="571"/>
    </row>
    <row r="686" spans="1:26" ht="18.75" hidden="1">
      <c r="A686" s="592"/>
      <c r="B686" s="750"/>
      <c r="C686" s="750"/>
      <c r="D686" s="711"/>
      <c r="E686" s="750" t="s">
        <v>184</v>
      </c>
      <c r="F686" s="750"/>
      <c r="G686" s="596"/>
      <c r="H686" s="165" t="s">
        <v>12</v>
      </c>
      <c r="I686" s="610"/>
      <c r="J686" s="610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597"/>
      <c r="R686" s="597"/>
      <c r="S686" s="597"/>
      <c r="T686" s="597"/>
      <c r="U686" s="597"/>
      <c r="V686" s="597"/>
      <c r="W686" s="597"/>
      <c r="X686" s="597"/>
      <c r="Y686" s="597"/>
      <c r="Z686" s="597"/>
    </row>
    <row r="687" spans="1:26" ht="18.75" hidden="1">
      <c r="A687" s="592"/>
      <c r="B687" s="600"/>
      <c r="C687" s="750"/>
      <c r="D687" s="711"/>
      <c r="E687" s="750" t="s">
        <v>185</v>
      </c>
      <c r="F687" s="750"/>
      <c r="G687" s="596"/>
      <c r="H687" s="165" t="s">
        <v>12</v>
      </c>
      <c r="I687" s="610"/>
      <c r="J687" s="610"/>
      <c r="K687" s="93"/>
      <c r="L687" s="93">
        <f t="shared" ca="1" si="285"/>
        <v>6280</v>
      </c>
      <c r="M687" s="93">
        <f t="shared" si="285"/>
        <v>0</v>
      </c>
      <c r="N687" s="93">
        <f t="shared" si="285"/>
        <v>0</v>
      </c>
      <c r="O687" s="93">
        <f t="shared" ca="1" si="283"/>
        <v>0</v>
      </c>
      <c r="P687" s="93">
        <f t="shared" si="284"/>
        <v>0</v>
      </c>
      <c r="Q687" s="597"/>
      <c r="R687" s="597"/>
      <c r="S687" s="597"/>
      <c r="T687" s="597"/>
      <c r="U687" s="597"/>
      <c r="V687" s="597"/>
      <c r="W687" s="597"/>
      <c r="X687" s="597"/>
      <c r="Y687" s="597"/>
      <c r="Z687" s="597"/>
    </row>
    <row r="688" spans="1:26" ht="18.75">
      <c r="A688" s="590"/>
      <c r="B688" s="568"/>
      <c r="C688" s="754"/>
      <c r="D688" s="599" t="s">
        <v>20</v>
      </c>
      <c r="E688" s="754"/>
      <c r="F688" s="754"/>
      <c r="G688" s="189"/>
      <c r="H688" s="161" t="s">
        <v>12</v>
      </c>
      <c r="I688" s="184"/>
      <c r="J688" s="184"/>
      <c r="K688" s="163"/>
      <c r="L688" s="496">
        <f t="shared" ref="L688:N688" ca="1" si="286">L689+L690</f>
        <v>6280</v>
      </c>
      <c r="M688" s="496">
        <f t="shared" si="286"/>
        <v>0</v>
      </c>
      <c r="N688" s="496">
        <f t="shared" si="286"/>
        <v>0</v>
      </c>
      <c r="O688" s="496">
        <f t="shared" ca="1" si="283"/>
        <v>0</v>
      </c>
      <c r="P688" s="496">
        <f t="shared" si="284"/>
        <v>0</v>
      </c>
      <c r="Q688" s="571"/>
      <c r="R688" s="571"/>
      <c r="S688" s="571"/>
      <c r="T688" s="571"/>
      <c r="U688" s="571"/>
      <c r="V688" s="571"/>
      <c r="W688" s="571"/>
      <c r="X688" s="571"/>
      <c r="Y688" s="571"/>
      <c r="Z688" s="571"/>
    </row>
    <row r="689" spans="1:26" ht="18.75" hidden="1">
      <c r="A689" s="592"/>
      <c r="B689" s="600"/>
      <c r="C689" s="750"/>
      <c r="D689" s="711"/>
      <c r="E689" s="750" t="s">
        <v>184</v>
      </c>
      <c r="F689" s="750"/>
      <c r="G689" s="596"/>
      <c r="H689" s="165" t="s">
        <v>12</v>
      </c>
      <c r="I689" s="610"/>
      <c r="J689" s="610"/>
      <c r="K689" s="93"/>
      <c r="L689" s="93">
        <v>0</v>
      </c>
      <c r="M689" s="93">
        <v>0</v>
      </c>
      <c r="N689" s="93">
        <v>0</v>
      </c>
      <c r="O689" s="93"/>
      <c r="P689" s="93"/>
      <c r="Q689" s="597"/>
      <c r="R689" s="597"/>
      <c r="S689" s="597"/>
      <c r="T689" s="597"/>
      <c r="U689" s="597"/>
      <c r="V689" s="597"/>
      <c r="W689" s="597"/>
      <c r="X689" s="597"/>
      <c r="Y689" s="597"/>
      <c r="Z689" s="597"/>
    </row>
    <row r="690" spans="1:26" ht="18.75" hidden="1">
      <c r="A690" s="592"/>
      <c r="B690" s="600"/>
      <c r="C690" s="750"/>
      <c r="D690" s="711"/>
      <c r="E690" s="750" t="s">
        <v>185</v>
      </c>
      <c r="F690" s="750"/>
      <c r="G690" s="596"/>
      <c r="H690" s="165" t="s">
        <v>12</v>
      </c>
      <c r="I690" s="610"/>
      <c r="J690" s="610"/>
      <c r="K690" s="93"/>
      <c r="L690" s="93">
        <f ca="1">IFERROR(__xludf.DUMMYFUNCTION("IMPORTRANGE(""https://docs.google.com/spreadsheets/d/1QqKyyYR6Q21VydFLVH3TRQUabQu_ym0Zz7PgGX0-kHA/edit?usp=sharing"",""แผน!HW63"")"),6280)</f>
        <v>6280</v>
      </c>
      <c r="M690" s="93">
        <v>0</v>
      </c>
      <c r="N690" s="93">
        <f>N691+N692+N693+N694</f>
        <v>0</v>
      </c>
      <c r="O690" s="93">
        <f ca="1">IF(L690&gt;0,N690*100/L690,0)</f>
        <v>0</v>
      </c>
      <c r="P690" s="93">
        <f>IF(M690&gt;0,N690*100/M690,0)</f>
        <v>0</v>
      </c>
      <c r="Q690" s="597"/>
      <c r="R690" s="597"/>
      <c r="S690" s="597"/>
      <c r="T690" s="597"/>
      <c r="U690" s="597"/>
      <c r="V690" s="597"/>
      <c r="W690" s="597"/>
      <c r="X690" s="597"/>
      <c r="Y690" s="597"/>
      <c r="Z690" s="597"/>
    </row>
    <row r="691" spans="1:26" ht="18.75">
      <c r="A691" s="567"/>
      <c r="B691" s="568"/>
      <c r="C691" s="754"/>
      <c r="D691" s="754"/>
      <c r="E691" s="754"/>
      <c r="F691" s="754" t="s">
        <v>186</v>
      </c>
      <c r="G691" s="189"/>
      <c r="H691" s="161" t="s">
        <v>12</v>
      </c>
      <c r="I691" s="269"/>
      <c r="J691" s="269"/>
      <c r="K691" s="496"/>
      <c r="L691" s="496"/>
      <c r="M691" s="496"/>
      <c r="N691" s="817">
        <v>0</v>
      </c>
      <c r="O691" s="496"/>
      <c r="P691" s="496"/>
      <c r="Q691" s="571"/>
      <c r="R691" s="571"/>
      <c r="S691" s="571"/>
      <c r="T691" s="571"/>
      <c r="U691" s="571"/>
      <c r="V691" s="571"/>
      <c r="W691" s="571"/>
      <c r="X691" s="571"/>
      <c r="Y691" s="571"/>
      <c r="Z691" s="571"/>
    </row>
    <row r="692" spans="1:26" ht="18.75">
      <c r="A692" s="567"/>
      <c r="B692" s="568"/>
      <c r="C692" s="754"/>
      <c r="D692" s="754"/>
      <c r="E692" s="754"/>
      <c r="F692" s="754" t="s">
        <v>187</v>
      </c>
      <c r="G692" s="189"/>
      <c r="H692" s="161" t="s">
        <v>12</v>
      </c>
      <c r="I692" s="269"/>
      <c r="J692" s="269"/>
      <c r="K692" s="496"/>
      <c r="L692" s="496"/>
      <c r="M692" s="496"/>
      <c r="N692" s="817">
        <v>0</v>
      </c>
      <c r="O692" s="496"/>
      <c r="P692" s="496"/>
      <c r="Q692" s="571"/>
      <c r="R692" s="571"/>
      <c r="S692" s="571"/>
      <c r="T692" s="571"/>
      <c r="U692" s="571"/>
      <c r="V692" s="571"/>
      <c r="W692" s="571"/>
      <c r="X692" s="571"/>
      <c r="Y692" s="571"/>
      <c r="Z692" s="571"/>
    </row>
    <row r="693" spans="1:26" ht="18.75">
      <c r="A693" s="567"/>
      <c r="B693" s="568"/>
      <c r="C693" s="754"/>
      <c r="D693" s="754"/>
      <c r="E693" s="754"/>
      <c r="F693" s="754" t="s">
        <v>188</v>
      </c>
      <c r="G693" s="189"/>
      <c r="H693" s="161" t="s">
        <v>12</v>
      </c>
      <c r="I693" s="269"/>
      <c r="J693" s="269"/>
      <c r="K693" s="496"/>
      <c r="L693" s="496"/>
      <c r="M693" s="496"/>
      <c r="N693" s="817">
        <v>0</v>
      </c>
      <c r="O693" s="496"/>
      <c r="P693" s="496"/>
      <c r="Q693" s="571"/>
      <c r="R693" s="571"/>
      <c r="S693" s="571"/>
      <c r="T693" s="571"/>
      <c r="U693" s="571"/>
      <c r="V693" s="571"/>
      <c r="W693" s="571"/>
      <c r="X693" s="571"/>
      <c r="Y693" s="571"/>
      <c r="Z693" s="571"/>
    </row>
    <row r="694" spans="1:26" ht="18.75">
      <c r="A694" s="567"/>
      <c r="B694" s="568"/>
      <c r="C694" s="754"/>
      <c r="D694" s="754"/>
      <c r="E694" s="754"/>
      <c r="F694" s="754" t="s">
        <v>189</v>
      </c>
      <c r="G694" s="189"/>
      <c r="H694" s="161" t="s">
        <v>12</v>
      </c>
      <c r="I694" s="269"/>
      <c r="J694" s="269"/>
      <c r="K694" s="496"/>
      <c r="L694" s="496"/>
      <c r="M694" s="496"/>
      <c r="N694" s="817">
        <v>0</v>
      </c>
      <c r="O694" s="496"/>
      <c r="P694" s="496"/>
      <c r="Q694" s="571"/>
      <c r="R694" s="571"/>
      <c r="S694" s="571"/>
      <c r="T694" s="571"/>
      <c r="U694" s="571"/>
      <c r="V694" s="571"/>
      <c r="W694" s="571"/>
      <c r="X694" s="571"/>
      <c r="Y694" s="571"/>
      <c r="Z694" s="571"/>
    </row>
    <row r="695" spans="1:26" ht="18.75">
      <c r="A695" s="590"/>
      <c r="B695" s="568"/>
      <c r="C695" s="754"/>
      <c r="D695" s="599" t="s">
        <v>21</v>
      </c>
      <c r="E695" s="754"/>
      <c r="F695" s="754"/>
      <c r="G695" s="189"/>
      <c r="H695" s="168" t="s">
        <v>12</v>
      </c>
      <c r="I695" s="184"/>
      <c r="J695" s="184"/>
      <c r="K695" s="163"/>
      <c r="L695" s="496">
        <f t="shared" ref="L695:N695" si="287">L696+L697</f>
        <v>0</v>
      </c>
      <c r="M695" s="496">
        <f t="shared" si="287"/>
        <v>0</v>
      </c>
      <c r="N695" s="496">
        <f t="shared" si="287"/>
        <v>0</v>
      </c>
      <c r="O695" s="496">
        <f t="shared" ref="O695:O697" si="288">IF(L695&gt;0,N695*100/L695,0)</f>
        <v>0</v>
      </c>
      <c r="P695" s="496">
        <f t="shared" ref="P695:P697" si="289">IF(M695&gt;0,N695*100/M695,0)</f>
        <v>0</v>
      </c>
      <c r="Q695" s="571"/>
      <c r="R695" s="571"/>
      <c r="S695" s="571"/>
      <c r="T695" s="571"/>
      <c r="U695" s="571"/>
      <c r="V695" s="571"/>
      <c r="W695" s="571"/>
      <c r="X695" s="571"/>
      <c r="Y695" s="571"/>
      <c r="Z695" s="571"/>
    </row>
    <row r="696" spans="1:26" ht="18.75" hidden="1">
      <c r="A696" s="592"/>
      <c r="B696" s="600"/>
      <c r="C696" s="750"/>
      <c r="D696" s="750"/>
      <c r="E696" s="750" t="s">
        <v>18</v>
      </c>
      <c r="F696" s="750"/>
      <c r="G696" s="596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597"/>
      <c r="R696" s="597"/>
      <c r="S696" s="597"/>
      <c r="T696" s="597"/>
      <c r="U696" s="597"/>
      <c r="V696" s="597"/>
      <c r="W696" s="597"/>
      <c r="X696" s="597"/>
      <c r="Y696" s="597"/>
      <c r="Z696" s="597"/>
    </row>
    <row r="697" spans="1:26" ht="18.75" hidden="1">
      <c r="A697" s="592"/>
      <c r="B697" s="600"/>
      <c r="C697" s="750"/>
      <c r="D697" s="750"/>
      <c r="E697" s="750" t="s">
        <v>19</v>
      </c>
      <c r="F697" s="750"/>
      <c r="G697" s="596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597"/>
      <c r="R697" s="597"/>
      <c r="S697" s="597"/>
      <c r="T697" s="597"/>
      <c r="U697" s="597"/>
      <c r="V697" s="597"/>
      <c r="W697" s="597"/>
      <c r="X697" s="597"/>
      <c r="Y697" s="597"/>
      <c r="Z697" s="597"/>
    </row>
    <row r="698" spans="1:26" ht="19.5">
      <c r="A698" s="601"/>
      <c r="B698" s="611"/>
      <c r="C698" s="754" t="s">
        <v>16</v>
      </c>
      <c r="D698" s="840" t="s">
        <v>38</v>
      </c>
      <c r="E698" s="752"/>
      <c r="F698" s="752"/>
      <c r="G698" s="606"/>
      <c r="H698" s="753"/>
      <c r="I698" s="184"/>
      <c r="J698" s="184"/>
      <c r="K698" s="163"/>
      <c r="L698" s="163"/>
      <c r="M698" s="163"/>
      <c r="N698" s="163"/>
      <c r="O698" s="163"/>
      <c r="P698" s="163"/>
      <c r="Q698" s="571"/>
      <c r="R698" s="571"/>
      <c r="S698" s="571"/>
      <c r="T698" s="571"/>
      <c r="U698" s="571"/>
      <c r="V698" s="571"/>
      <c r="W698" s="571"/>
      <c r="X698" s="571"/>
      <c r="Y698" s="571"/>
      <c r="Z698" s="571"/>
    </row>
    <row r="699" spans="1:26" ht="18.75">
      <c r="A699" s="735"/>
      <c r="B699" s="754"/>
      <c r="C699" s="754"/>
      <c r="D699" s="754" t="s">
        <v>294</v>
      </c>
      <c r="E699" s="754"/>
      <c r="F699" s="754"/>
      <c r="G699" s="189"/>
      <c r="H699" s="755" t="s">
        <v>46</v>
      </c>
      <c r="I699" s="756">
        <f ca="1">IFERROR(__xludf.DUMMYFUNCTION("IMPORTRANGE(""https://docs.google.com/spreadsheets/d/1QqKyyYR6Q21VydFLVH3TRQUabQu_ym0Zz7PgGX0-kHA/edit?usp=sharing"",""แผน!IC63"")"),0)</f>
        <v>0</v>
      </c>
      <c r="J699" s="269">
        <f ca="1">IFERROR(__xludf.DUMMYFUNCTION("IMPORTRANGE(""https://docs.google.com/spreadsheets/d/1XWAQStnk-4SwqDmLtmXYiTMKHgktTP8We1SCoS47DrQ/edit?usp=sharing"",""จัดที่ดิน!BB63"")"),0)</f>
        <v>0</v>
      </c>
      <c r="K699" s="496">
        <f t="shared" ref="K699:K701" ca="1" si="290">IF(I699&gt;0,J699*100/I699,0)</f>
        <v>0</v>
      </c>
      <c r="L699" s="496"/>
      <c r="M699" s="189"/>
      <c r="N699" s="757"/>
      <c r="O699" s="496"/>
      <c r="P699" s="496"/>
      <c r="Q699" s="571"/>
      <c r="R699" s="571"/>
      <c r="S699" s="571"/>
      <c r="T699" s="571"/>
      <c r="U699" s="571"/>
      <c r="V699" s="571"/>
      <c r="W699" s="571"/>
      <c r="X699" s="571"/>
      <c r="Y699" s="571"/>
      <c r="Z699" s="571"/>
    </row>
    <row r="700" spans="1:26" ht="18.75">
      <c r="A700" s="735"/>
      <c r="B700" s="754"/>
      <c r="C700" s="754"/>
      <c r="D700" s="754" t="s">
        <v>295</v>
      </c>
      <c r="E700" s="754"/>
      <c r="F700" s="754"/>
      <c r="G700" s="189"/>
      <c r="H700" s="755" t="s">
        <v>35</v>
      </c>
      <c r="I700" s="756">
        <f ca="1">IFERROR(__xludf.DUMMYFUNCTION("IMPORTRANGE(""https://docs.google.com/spreadsheets/d/1QqKyyYR6Q21VydFLVH3TRQUabQu_ym0Zz7PgGX0-kHA/edit?usp=sharing"",""แผน!ID63"")"),31)</f>
        <v>31</v>
      </c>
      <c r="J700" s="269">
        <f ca="1">IFERROR(__xludf.DUMMYFUNCTION("IMPORTRANGE(""https://docs.google.com/spreadsheets/d/1XWAQStnk-4SwqDmLtmXYiTMKHgktTP8We1SCoS47DrQ/edit?usp=sharing"",""จัดที่ดิน!BD63"")"),0)</f>
        <v>0</v>
      </c>
      <c r="K700" s="496">
        <f t="shared" ca="1" si="290"/>
        <v>0</v>
      </c>
      <c r="L700" s="496"/>
      <c r="M700" s="189"/>
      <c r="N700" s="757"/>
      <c r="O700" s="496"/>
      <c r="P700" s="496"/>
      <c r="Q700" s="571"/>
      <c r="R700" s="571"/>
      <c r="S700" s="571"/>
      <c r="T700" s="571"/>
      <c r="U700" s="571"/>
      <c r="V700" s="571"/>
      <c r="W700" s="571"/>
      <c r="X700" s="571"/>
      <c r="Y700" s="571"/>
      <c r="Z700" s="571"/>
    </row>
    <row r="701" spans="1:26" ht="19.5">
      <c r="A701" s="735"/>
      <c r="B701" s="754"/>
      <c r="C701" s="754"/>
      <c r="D701" s="754" t="s">
        <v>296</v>
      </c>
      <c r="E701" s="754"/>
      <c r="F701" s="754"/>
      <c r="G701" s="189"/>
      <c r="H701" s="758" t="s">
        <v>46</v>
      </c>
      <c r="I701" s="759">
        <f ca="1">IFERROR(__xludf.DUMMYFUNCTION("IMPORTRANGE(""https://docs.google.com/spreadsheets/d/1QqKyyYR6Q21VydFLVH3TRQUabQu_ym0Zz7PgGX0-kHA/edit?usp=sharing"",""แผน!IE63"")"),0)</f>
        <v>0</v>
      </c>
      <c r="J701" s="674">
        <f>J704+J707</f>
        <v>0</v>
      </c>
      <c r="K701" s="195">
        <f t="shared" ca="1" si="290"/>
        <v>0</v>
      </c>
      <c r="L701" s="496"/>
      <c r="M701" s="189"/>
      <c r="N701" s="757"/>
      <c r="O701" s="496"/>
      <c r="P701" s="496"/>
      <c r="Q701" s="571"/>
      <c r="R701" s="571"/>
      <c r="S701" s="571"/>
      <c r="T701" s="571"/>
      <c r="U701" s="571"/>
      <c r="V701" s="571"/>
      <c r="W701" s="571"/>
      <c r="X701" s="571"/>
      <c r="Y701" s="571"/>
      <c r="Z701" s="571"/>
    </row>
    <row r="702" spans="1:26" ht="18.75">
      <c r="A702" s="735"/>
      <c r="B702" s="754"/>
      <c r="C702" s="754"/>
      <c r="D702" s="754"/>
      <c r="E702" s="754" t="s">
        <v>297</v>
      </c>
      <c r="F702" s="754"/>
      <c r="G702" s="189"/>
      <c r="H702" s="755" t="s">
        <v>35</v>
      </c>
      <c r="I702" s="756"/>
      <c r="J702" s="214">
        <v>0</v>
      </c>
      <c r="K702" s="496"/>
      <c r="L702" s="496"/>
      <c r="M702" s="189"/>
      <c r="N702" s="757"/>
      <c r="O702" s="496"/>
      <c r="P702" s="496"/>
      <c r="Q702" s="571"/>
      <c r="R702" s="571"/>
      <c r="S702" s="571"/>
      <c r="T702" s="571"/>
      <c r="U702" s="571"/>
      <c r="V702" s="571"/>
      <c r="W702" s="571"/>
      <c r="X702" s="571"/>
      <c r="Y702" s="571"/>
      <c r="Z702" s="571"/>
    </row>
    <row r="703" spans="1:26" ht="18.75">
      <c r="A703" s="735"/>
      <c r="B703" s="754"/>
      <c r="C703" s="754"/>
      <c r="D703" s="754"/>
      <c r="E703" s="754"/>
      <c r="F703" s="754"/>
      <c r="G703" s="189"/>
      <c r="H703" s="755" t="s">
        <v>34</v>
      </c>
      <c r="I703" s="756"/>
      <c r="J703" s="214">
        <v>0</v>
      </c>
      <c r="K703" s="496"/>
      <c r="L703" s="496"/>
      <c r="M703" s="189"/>
      <c r="N703" s="757"/>
      <c r="O703" s="496"/>
      <c r="P703" s="496"/>
      <c r="Q703" s="571"/>
      <c r="R703" s="571"/>
      <c r="S703" s="571"/>
      <c r="T703" s="571"/>
      <c r="U703" s="571"/>
      <c r="V703" s="571"/>
      <c r="W703" s="571"/>
      <c r="X703" s="571"/>
      <c r="Y703" s="571"/>
      <c r="Z703" s="571"/>
    </row>
    <row r="704" spans="1:26" ht="18.75">
      <c r="A704" s="735"/>
      <c r="B704" s="754"/>
      <c r="C704" s="754"/>
      <c r="D704" s="754"/>
      <c r="E704" s="754"/>
      <c r="F704" s="754"/>
      <c r="G704" s="189"/>
      <c r="H704" s="755" t="s">
        <v>46</v>
      </c>
      <c r="I704" s="756">
        <f ca="1">IFERROR(__xludf.DUMMYFUNCTION("IMPORTRANGE(""https://docs.google.com/spreadsheets/d/1QqKyyYR6Q21VydFLVH3TRQUabQu_ym0Zz7PgGX0-kHA/edit?usp=sharing"",""แผน!IF63"")"),0)</f>
        <v>0</v>
      </c>
      <c r="J704" s="214">
        <v>0</v>
      </c>
      <c r="K704" s="496"/>
      <c r="L704" s="496"/>
      <c r="M704" s="189"/>
      <c r="N704" s="757"/>
      <c r="O704" s="496"/>
      <c r="P704" s="496"/>
      <c r="Q704" s="571"/>
      <c r="R704" s="571"/>
      <c r="S704" s="571"/>
      <c r="T704" s="571"/>
      <c r="U704" s="571"/>
      <c r="V704" s="571"/>
      <c r="W704" s="571"/>
      <c r="X704" s="571"/>
      <c r="Y704" s="571"/>
      <c r="Z704" s="571"/>
    </row>
    <row r="705" spans="1:26" ht="18.75">
      <c r="A705" s="735"/>
      <c r="B705" s="754"/>
      <c r="C705" s="754"/>
      <c r="D705" s="754"/>
      <c r="E705" s="754" t="s">
        <v>298</v>
      </c>
      <c r="F705" s="754"/>
      <c r="G705" s="189"/>
      <c r="H705" s="755" t="s">
        <v>35</v>
      </c>
      <c r="I705" s="756"/>
      <c r="J705" s="214">
        <v>0</v>
      </c>
      <c r="K705" s="496"/>
      <c r="L705" s="496"/>
      <c r="M705" s="189"/>
      <c r="N705" s="757"/>
      <c r="O705" s="496"/>
      <c r="P705" s="496"/>
      <c r="Q705" s="571"/>
      <c r="R705" s="571"/>
      <c r="S705" s="571"/>
      <c r="T705" s="571"/>
      <c r="U705" s="571"/>
      <c r="V705" s="571"/>
      <c r="W705" s="571"/>
      <c r="X705" s="571"/>
      <c r="Y705" s="571"/>
      <c r="Z705" s="571"/>
    </row>
    <row r="706" spans="1:26" ht="18.75">
      <c r="A706" s="735"/>
      <c r="B706" s="754"/>
      <c r="C706" s="754"/>
      <c r="D706" s="754"/>
      <c r="E706" s="754"/>
      <c r="F706" s="754"/>
      <c r="G706" s="189"/>
      <c r="H706" s="755" t="s">
        <v>34</v>
      </c>
      <c r="I706" s="756"/>
      <c r="J706" s="214">
        <v>0</v>
      </c>
      <c r="K706" s="496"/>
      <c r="L706" s="496"/>
      <c r="M706" s="189"/>
      <c r="N706" s="757"/>
      <c r="O706" s="496"/>
      <c r="P706" s="496"/>
      <c r="Q706" s="571"/>
      <c r="R706" s="571"/>
      <c r="S706" s="571"/>
      <c r="T706" s="571"/>
      <c r="U706" s="571"/>
      <c r="V706" s="571"/>
      <c r="W706" s="571"/>
      <c r="X706" s="571"/>
      <c r="Y706" s="571"/>
      <c r="Z706" s="571"/>
    </row>
    <row r="707" spans="1:26" ht="18.75">
      <c r="A707" s="735"/>
      <c r="B707" s="754"/>
      <c r="C707" s="754"/>
      <c r="D707" s="754"/>
      <c r="E707" s="754"/>
      <c r="F707" s="754"/>
      <c r="G707" s="189"/>
      <c r="H707" s="755" t="s">
        <v>46</v>
      </c>
      <c r="I707" s="756">
        <f ca="1">IFERROR(__xludf.DUMMYFUNCTION("IMPORTRANGE(""https://docs.google.com/spreadsheets/d/1QqKyyYR6Q21VydFLVH3TRQUabQu_ym0Zz7PgGX0-kHA/edit?usp=sharing"",""แผน!IG63"")"),0)</f>
        <v>0</v>
      </c>
      <c r="J707" s="214">
        <v>0</v>
      </c>
      <c r="K707" s="496"/>
      <c r="L707" s="496"/>
      <c r="M707" s="189"/>
      <c r="N707" s="757"/>
      <c r="O707" s="496"/>
      <c r="P707" s="496"/>
      <c r="Q707" s="571"/>
      <c r="R707" s="571"/>
      <c r="S707" s="571"/>
      <c r="T707" s="571"/>
      <c r="U707" s="571"/>
      <c r="V707" s="571"/>
      <c r="W707" s="571"/>
      <c r="X707" s="571"/>
      <c r="Y707" s="571"/>
      <c r="Z707" s="571"/>
    </row>
    <row r="708" spans="1:26" ht="19.5">
      <c r="A708" s="735"/>
      <c r="B708" s="754"/>
      <c r="C708" s="754"/>
      <c r="D708" s="760" t="s">
        <v>299</v>
      </c>
      <c r="E708" s="754"/>
      <c r="F708" s="754"/>
      <c r="G708" s="189"/>
      <c r="H708" s="758" t="s">
        <v>46</v>
      </c>
      <c r="I708" s="759">
        <f ca="1">IFERROR(__xludf.DUMMYFUNCTION("IMPORTRANGE(""https://docs.google.com/spreadsheets/d/1QqKyyYR6Q21VydFLVH3TRQUabQu_ym0Zz7PgGX0-kHA/edit?usp=sharing"",""แผน!IH63"")"),0)</f>
        <v>0</v>
      </c>
      <c r="J708" s="674">
        <f>J714+J717</f>
        <v>0</v>
      </c>
      <c r="K708" s="195">
        <f ca="1">IF(I708&gt;0,J708*100/I708,0)</f>
        <v>0</v>
      </c>
      <c r="L708" s="496"/>
      <c r="M708" s="189"/>
      <c r="N708" s="757"/>
      <c r="O708" s="496"/>
      <c r="P708" s="496"/>
      <c r="Q708" s="571"/>
      <c r="R708" s="571"/>
      <c r="S708" s="571"/>
      <c r="T708" s="571"/>
      <c r="U708" s="571"/>
      <c r="V708" s="571"/>
      <c r="W708" s="571"/>
      <c r="X708" s="571"/>
      <c r="Y708" s="571"/>
      <c r="Z708" s="571"/>
    </row>
    <row r="709" spans="1:26" ht="18.75">
      <c r="A709" s="735"/>
      <c r="B709" s="754"/>
      <c r="C709" s="754"/>
      <c r="D709" s="754"/>
      <c r="E709" s="754" t="s">
        <v>300</v>
      </c>
      <c r="F709" s="754"/>
      <c r="G709" s="189"/>
      <c r="H709" s="755" t="s">
        <v>34</v>
      </c>
      <c r="I709" s="756"/>
      <c r="J709" s="214">
        <v>0</v>
      </c>
      <c r="K709" s="496"/>
      <c r="L709" s="757"/>
      <c r="M709" s="189"/>
      <c r="N709" s="757"/>
      <c r="O709" s="496"/>
      <c r="P709" s="496"/>
      <c r="Q709" s="571"/>
      <c r="R709" s="571"/>
      <c r="S709" s="571"/>
      <c r="T709" s="571"/>
      <c r="U709" s="571"/>
      <c r="V709" s="571"/>
      <c r="W709" s="571"/>
      <c r="X709" s="571"/>
      <c r="Y709" s="571"/>
      <c r="Z709" s="571"/>
    </row>
    <row r="710" spans="1:26" ht="18.75">
      <c r="A710" s="735"/>
      <c r="B710" s="754"/>
      <c r="C710" s="754"/>
      <c r="D710" s="754"/>
      <c r="E710" s="754"/>
      <c r="F710" s="754"/>
      <c r="G710" s="189"/>
      <c r="H710" s="755" t="s">
        <v>46</v>
      </c>
      <c r="I710" s="756"/>
      <c r="J710" s="214">
        <v>0</v>
      </c>
      <c r="K710" s="496"/>
      <c r="L710" s="757"/>
      <c r="M710" s="189"/>
      <c r="N710" s="757"/>
      <c r="O710" s="496"/>
      <c r="P710" s="496"/>
      <c r="Q710" s="571"/>
      <c r="R710" s="571"/>
      <c r="S710" s="571"/>
      <c r="T710" s="571"/>
      <c r="U710" s="571"/>
      <c r="V710" s="571"/>
      <c r="W710" s="571"/>
      <c r="X710" s="571"/>
      <c r="Y710" s="571"/>
      <c r="Z710" s="571"/>
    </row>
    <row r="711" spans="1:26" ht="18.75">
      <c r="A711" s="735"/>
      <c r="B711" s="754"/>
      <c r="C711" s="754"/>
      <c r="D711" s="754"/>
      <c r="E711" s="754" t="s">
        <v>301</v>
      </c>
      <c r="F711" s="754"/>
      <c r="G711" s="189"/>
      <c r="H711" s="753"/>
      <c r="I711" s="756"/>
      <c r="J711" s="269"/>
      <c r="K711" s="496"/>
      <c r="L711" s="757"/>
      <c r="M711" s="189"/>
      <c r="N711" s="757"/>
      <c r="O711" s="496"/>
      <c r="P711" s="496"/>
      <c r="Q711" s="571"/>
      <c r="R711" s="571"/>
      <c r="S711" s="571"/>
      <c r="T711" s="571"/>
      <c r="U711" s="571"/>
      <c r="V711" s="571"/>
      <c r="W711" s="571"/>
      <c r="X711" s="571"/>
      <c r="Y711" s="571"/>
      <c r="Z711" s="571"/>
    </row>
    <row r="712" spans="1:26" ht="18.75">
      <c r="A712" s="735"/>
      <c r="B712" s="754"/>
      <c r="C712" s="754"/>
      <c r="D712" s="754"/>
      <c r="E712" s="754"/>
      <c r="F712" s="754" t="s">
        <v>302</v>
      </c>
      <c r="G712" s="189"/>
      <c r="H712" s="755" t="s">
        <v>35</v>
      </c>
      <c r="I712" s="756"/>
      <c r="J712" s="214">
        <v>0</v>
      </c>
      <c r="K712" s="496"/>
      <c r="L712" s="757"/>
      <c r="M712" s="189"/>
      <c r="N712" s="757"/>
      <c r="O712" s="496"/>
      <c r="P712" s="496"/>
      <c r="Q712" s="571"/>
      <c r="R712" s="571"/>
      <c r="S712" s="571"/>
      <c r="T712" s="571"/>
      <c r="U712" s="571"/>
      <c r="V712" s="571"/>
      <c r="W712" s="571"/>
      <c r="X712" s="571"/>
      <c r="Y712" s="571"/>
      <c r="Z712" s="571"/>
    </row>
    <row r="713" spans="1:26" ht="18.75">
      <c r="A713" s="735"/>
      <c r="B713" s="754"/>
      <c r="C713" s="754"/>
      <c r="D713" s="754"/>
      <c r="E713" s="754"/>
      <c r="F713" s="754"/>
      <c r="G713" s="189"/>
      <c r="H713" s="755" t="s">
        <v>34</v>
      </c>
      <c r="I713" s="756"/>
      <c r="J713" s="214">
        <v>0</v>
      </c>
      <c r="K713" s="496"/>
      <c r="L713" s="757"/>
      <c r="M713" s="189"/>
      <c r="N713" s="757"/>
      <c r="O713" s="496"/>
      <c r="P713" s="496"/>
      <c r="Q713" s="571"/>
      <c r="R713" s="571"/>
      <c r="S713" s="571"/>
      <c r="T713" s="571"/>
      <c r="U713" s="571"/>
      <c r="V713" s="571"/>
      <c r="W713" s="571"/>
      <c r="X713" s="571"/>
      <c r="Y713" s="571"/>
      <c r="Z713" s="571"/>
    </row>
    <row r="714" spans="1:26" ht="18.75">
      <c r="A714" s="735"/>
      <c r="B714" s="754"/>
      <c r="C714" s="754"/>
      <c r="D714" s="754"/>
      <c r="E714" s="754"/>
      <c r="F714" s="754"/>
      <c r="G714" s="189"/>
      <c r="H714" s="755" t="s">
        <v>46</v>
      </c>
      <c r="I714" s="756"/>
      <c r="J714" s="214">
        <v>0</v>
      </c>
      <c r="K714" s="496"/>
      <c r="L714" s="757"/>
      <c r="M714" s="189"/>
      <c r="N714" s="757"/>
      <c r="O714" s="496"/>
      <c r="P714" s="496"/>
      <c r="Q714" s="571"/>
      <c r="R714" s="571"/>
      <c r="S714" s="571"/>
      <c r="T714" s="571"/>
      <c r="U714" s="571"/>
      <c r="V714" s="571"/>
      <c r="W714" s="571"/>
      <c r="X714" s="571"/>
      <c r="Y714" s="571"/>
      <c r="Z714" s="571"/>
    </row>
    <row r="715" spans="1:26" ht="18.75">
      <c r="A715" s="735"/>
      <c r="B715" s="754"/>
      <c r="C715" s="754"/>
      <c r="D715" s="754"/>
      <c r="E715" s="754"/>
      <c r="F715" s="754" t="s">
        <v>303</v>
      </c>
      <c r="G715" s="189"/>
      <c r="H715" s="755" t="s">
        <v>35</v>
      </c>
      <c r="I715" s="756"/>
      <c r="J715" s="214">
        <v>0</v>
      </c>
      <c r="K715" s="496"/>
      <c r="L715" s="757"/>
      <c r="M715" s="189"/>
      <c r="N715" s="757"/>
      <c r="O715" s="496"/>
      <c r="P715" s="496"/>
      <c r="Q715" s="571"/>
      <c r="R715" s="571"/>
      <c r="S715" s="571"/>
      <c r="T715" s="571"/>
      <c r="U715" s="571"/>
      <c r="V715" s="571"/>
      <c r="W715" s="571"/>
      <c r="X715" s="571"/>
      <c r="Y715" s="571"/>
      <c r="Z715" s="571"/>
    </row>
    <row r="716" spans="1:26" ht="18.75">
      <c r="A716" s="735"/>
      <c r="B716" s="754"/>
      <c r="C716" s="754"/>
      <c r="D716" s="754"/>
      <c r="E716" s="754"/>
      <c r="F716" s="754"/>
      <c r="G716" s="189"/>
      <c r="H716" s="755" t="s">
        <v>34</v>
      </c>
      <c r="I716" s="756"/>
      <c r="J716" s="214">
        <v>0</v>
      </c>
      <c r="K716" s="496"/>
      <c r="L716" s="757"/>
      <c r="M716" s="189"/>
      <c r="N716" s="757"/>
      <c r="O716" s="496"/>
      <c r="P716" s="496"/>
      <c r="Q716" s="571"/>
      <c r="R716" s="571"/>
      <c r="S716" s="571"/>
      <c r="T716" s="571"/>
      <c r="U716" s="571"/>
      <c r="V716" s="571"/>
      <c r="W716" s="571"/>
      <c r="X716" s="571"/>
      <c r="Y716" s="571"/>
      <c r="Z716" s="571"/>
    </row>
    <row r="717" spans="1:26" ht="18.75">
      <c r="A717" s="735"/>
      <c r="B717" s="754"/>
      <c r="C717" s="754"/>
      <c r="D717" s="754"/>
      <c r="E717" s="754"/>
      <c r="F717" s="754"/>
      <c r="G717" s="189"/>
      <c r="H717" s="755" t="s">
        <v>46</v>
      </c>
      <c r="I717" s="756"/>
      <c r="J717" s="214">
        <v>0</v>
      </c>
      <c r="K717" s="496"/>
      <c r="L717" s="757"/>
      <c r="M717" s="189"/>
      <c r="N717" s="757"/>
      <c r="O717" s="496"/>
      <c r="P717" s="496"/>
      <c r="Q717" s="571"/>
      <c r="R717" s="571"/>
      <c r="S717" s="571"/>
      <c r="T717" s="571"/>
      <c r="U717" s="571"/>
      <c r="V717" s="571"/>
      <c r="W717" s="571"/>
      <c r="X717" s="571"/>
      <c r="Y717" s="571"/>
      <c r="Z717" s="571"/>
    </row>
    <row r="718" spans="1:26" ht="18.75">
      <c r="A718" s="735"/>
      <c r="B718" s="754"/>
      <c r="C718" s="754"/>
      <c r="D718" s="754" t="s">
        <v>304</v>
      </c>
      <c r="E718" s="754"/>
      <c r="F718" s="754"/>
      <c r="G718" s="189"/>
      <c r="H718" s="755" t="s">
        <v>35</v>
      </c>
      <c r="I718" s="756"/>
      <c r="J718" s="269">
        <f ca="1">IFERROR(__xludf.DUMMYFUNCTION("IMPORTRANGE(""https://docs.google.com/spreadsheets/d/1XWAQStnk-4SwqDmLtmXYiTMKHgktTP8We1SCoS47DrQ/edit?usp=sharing"",""จัดที่ดิน!BF63"")"),0)</f>
        <v>0</v>
      </c>
      <c r="K718" s="496"/>
      <c r="L718" s="496"/>
      <c r="M718" s="189"/>
      <c r="N718" s="757"/>
      <c r="O718" s="496"/>
      <c r="P718" s="496"/>
      <c r="Q718" s="571"/>
      <c r="R718" s="571"/>
      <c r="S718" s="571"/>
      <c r="T718" s="571"/>
      <c r="U718" s="571"/>
      <c r="V718" s="571"/>
      <c r="W718" s="571"/>
      <c r="X718" s="571"/>
      <c r="Y718" s="571"/>
      <c r="Z718" s="571"/>
    </row>
    <row r="719" spans="1:26" ht="18.75">
      <c r="A719" s="735"/>
      <c r="B719" s="754"/>
      <c r="C719" s="754"/>
      <c r="D719" s="754"/>
      <c r="E719" s="754"/>
      <c r="F719" s="754"/>
      <c r="G719" s="189"/>
      <c r="H719" s="755" t="s">
        <v>34</v>
      </c>
      <c r="I719" s="756"/>
      <c r="J719" s="269">
        <f ca="1">IFERROR(__xludf.DUMMYFUNCTION("IMPORTRANGE(""https://docs.google.com/spreadsheets/d/1XWAQStnk-4SwqDmLtmXYiTMKHgktTP8We1SCoS47DrQ/edit?usp=sharing"",""จัดที่ดิน!BG63"")"),0)</f>
        <v>0</v>
      </c>
      <c r="K719" s="496"/>
      <c r="L719" s="757"/>
      <c r="M719" s="189"/>
      <c r="N719" s="757"/>
      <c r="O719" s="496"/>
      <c r="P719" s="496"/>
      <c r="Q719" s="571"/>
      <c r="R719" s="571"/>
      <c r="S719" s="571"/>
      <c r="T719" s="571"/>
      <c r="U719" s="571"/>
      <c r="V719" s="571"/>
      <c r="W719" s="571"/>
      <c r="X719" s="571"/>
      <c r="Y719" s="571"/>
      <c r="Z719" s="571"/>
    </row>
    <row r="720" spans="1:26" ht="18.75">
      <c r="A720" s="735"/>
      <c r="B720" s="754"/>
      <c r="C720" s="754"/>
      <c r="D720" s="754"/>
      <c r="E720" s="754"/>
      <c r="F720" s="754"/>
      <c r="G720" s="189"/>
      <c r="H720" s="755" t="s">
        <v>46</v>
      </c>
      <c r="I720" s="756">
        <f ca="1">IFERROR(__xludf.DUMMYFUNCTION("IMPORTRANGE(""https://docs.google.com/spreadsheets/d/1QqKyyYR6Q21VydFLVH3TRQUabQu_ym0Zz7PgGX0-kHA/edit?usp=sharing"",""แผน!II63"")"),0)</f>
        <v>0</v>
      </c>
      <c r="J720" s="269">
        <f ca="1">IFERROR(__xludf.DUMMYFUNCTION("IMPORTRANGE(""https://docs.google.com/spreadsheets/d/1XWAQStnk-4SwqDmLtmXYiTMKHgktTP8We1SCoS47DrQ/edit?usp=sharing"",""จัดที่ดิน!BH63"")"),0)</f>
        <v>0</v>
      </c>
      <c r="K720" s="496">
        <f t="shared" ref="K720:K723" ca="1" si="291">IF(I720&gt;0,J720*100/I720,0)</f>
        <v>0</v>
      </c>
      <c r="L720" s="757"/>
      <c r="M720" s="189"/>
      <c r="N720" s="757"/>
      <c r="O720" s="496"/>
      <c r="P720" s="496"/>
      <c r="Q720" s="571"/>
      <c r="R720" s="571"/>
      <c r="S720" s="571"/>
      <c r="T720" s="571"/>
      <c r="U720" s="571"/>
      <c r="V720" s="571"/>
      <c r="W720" s="571"/>
      <c r="X720" s="571"/>
      <c r="Y720" s="571"/>
      <c r="Z720" s="571"/>
    </row>
    <row r="721" spans="1:26" ht="19.5">
      <c r="A721" s="735"/>
      <c r="B721" s="754"/>
      <c r="C721" s="754"/>
      <c r="D721" s="754" t="s">
        <v>305</v>
      </c>
      <c r="E721" s="754"/>
      <c r="F721" s="754"/>
      <c r="G721" s="189"/>
      <c r="H721" s="758" t="s">
        <v>35</v>
      </c>
      <c r="I721" s="759">
        <f ca="1">IFERROR(__xludf.DUMMYFUNCTION("IMPORTRANGE(""https://docs.google.com/spreadsheets/d/1QqKyyYR6Q21VydFLVH3TRQUabQu_ym0Zz7PgGX0-kHA/edit?usp=sharing"",""แผน!IJ63"")"),8)</f>
        <v>8</v>
      </c>
      <c r="J721" s="674">
        <f ca="1">J723+J726</f>
        <v>0</v>
      </c>
      <c r="K721" s="195">
        <f t="shared" ca="1" si="291"/>
        <v>0</v>
      </c>
      <c r="L721" s="757"/>
      <c r="M721" s="189"/>
      <c r="N721" s="757"/>
      <c r="O721" s="496"/>
      <c r="P721" s="496"/>
      <c r="Q721" s="571"/>
      <c r="R721" s="571"/>
      <c r="S721" s="571"/>
      <c r="T721" s="571"/>
      <c r="U721" s="571"/>
      <c r="V721" s="571"/>
      <c r="W721" s="571"/>
      <c r="X721" s="571"/>
      <c r="Y721" s="571"/>
      <c r="Z721" s="571"/>
    </row>
    <row r="722" spans="1:26" ht="19.5">
      <c r="A722" s="735"/>
      <c r="B722" s="754"/>
      <c r="C722" s="754"/>
      <c r="D722" s="754"/>
      <c r="E722" s="754"/>
      <c r="F722" s="754"/>
      <c r="G722" s="189"/>
      <c r="H722" s="758" t="s">
        <v>46</v>
      </c>
      <c r="I722" s="759">
        <f ca="1">IFERROR(__xludf.DUMMYFUNCTION("IMPORTRANGE(""https://docs.google.com/spreadsheets/d/1QqKyyYR6Q21VydFLVH3TRQUabQu_ym0Zz7PgGX0-kHA/edit?usp=sharing"",""แผน!IK63"")"),16)</f>
        <v>16</v>
      </c>
      <c r="J722" s="674">
        <f ca="1">J725+J728</f>
        <v>0</v>
      </c>
      <c r="K722" s="195">
        <f t="shared" ca="1" si="291"/>
        <v>0</v>
      </c>
      <c r="L722" s="496"/>
      <c r="M722" s="189"/>
      <c r="N722" s="757"/>
      <c r="O722" s="496"/>
      <c r="P722" s="496"/>
      <c r="Q722" s="571"/>
      <c r="R722" s="571"/>
      <c r="S722" s="571"/>
      <c r="T722" s="571"/>
      <c r="U722" s="571"/>
      <c r="V722" s="571"/>
      <c r="W722" s="571"/>
      <c r="X722" s="571"/>
      <c r="Y722" s="571"/>
      <c r="Z722" s="571"/>
    </row>
    <row r="723" spans="1:26" ht="18.75">
      <c r="A723" s="735"/>
      <c r="B723" s="754"/>
      <c r="C723" s="754"/>
      <c r="D723" s="754"/>
      <c r="E723" s="754" t="s">
        <v>306</v>
      </c>
      <c r="F723" s="754"/>
      <c r="G723" s="189"/>
      <c r="H723" s="755" t="s">
        <v>35</v>
      </c>
      <c r="I723" s="756">
        <f ca="1">IFERROR(__xludf.DUMMYFUNCTION("IMPORTRANGE(""https://docs.google.com/spreadsheets/d/1QqKyyYR6Q21VydFLVH3TRQUabQu_ym0Zz7PgGX0-kHA/edit?usp=sharing"",""แผน!IL63"")"),5)</f>
        <v>5</v>
      </c>
      <c r="J723" s="269">
        <f ca="1">IFERROR(__xludf.DUMMYFUNCTION("IMPORTRANGE(""https://docs.google.com/spreadsheets/d/1XWAQStnk-4SwqDmLtmXYiTMKHgktTP8We1SCoS47DrQ/edit?usp=sharing"",""จัดที่ดิน!BM63"")"),0)</f>
        <v>0</v>
      </c>
      <c r="K723" s="496">
        <f t="shared" ca="1" si="291"/>
        <v>0</v>
      </c>
      <c r="L723" s="496"/>
      <c r="M723" s="189"/>
      <c r="N723" s="757"/>
      <c r="O723" s="496"/>
      <c r="P723" s="496"/>
      <c r="Q723" s="571"/>
      <c r="R723" s="571"/>
      <c r="S723" s="571"/>
      <c r="T723" s="571"/>
      <c r="U723" s="571"/>
      <c r="V723" s="571"/>
      <c r="W723" s="571"/>
      <c r="X723" s="571"/>
      <c r="Y723" s="571"/>
      <c r="Z723" s="571"/>
    </row>
    <row r="724" spans="1:26" ht="18.75">
      <c r="A724" s="735"/>
      <c r="B724" s="754"/>
      <c r="C724" s="754"/>
      <c r="D724" s="754"/>
      <c r="E724" s="754"/>
      <c r="F724" s="754"/>
      <c r="G724" s="189"/>
      <c r="H724" s="755" t="s">
        <v>34</v>
      </c>
      <c r="I724" s="756"/>
      <c r="J724" s="269">
        <f ca="1">IFERROR(__xludf.DUMMYFUNCTION("IMPORTRANGE(""https://docs.google.com/spreadsheets/d/1XWAQStnk-4SwqDmLtmXYiTMKHgktTP8We1SCoS47DrQ/edit?usp=sharing"",""จัดที่ดิน!BN63"")"),0)</f>
        <v>0</v>
      </c>
      <c r="K724" s="496"/>
      <c r="L724" s="757"/>
      <c r="M724" s="189"/>
      <c r="N724" s="757"/>
      <c r="O724" s="496"/>
      <c r="P724" s="496"/>
      <c r="Q724" s="571"/>
      <c r="R724" s="571"/>
      <c r="S724" s="571"/>
      <c r="T724" s="571"/>
      <c r="U724" s="571"/>
      <c r="V724" s="571"/>
      <c r="W724" s="571"/>
      <c r="X724" s="571"/>
      <c r="Y724" s="571"/>
      <c r="Z724" s="571"/>
    </row>
    <row r="725" spans="1:26" ht="18.75">
      <c r="A725" s="735"/>
      <c r="B725" s="754"/>
      <c r="C725" s="754"/>
      <c r="D725" s="754"/>
      <c r="E725" s="754"/>
      <c r="F725" s="754"/>
      <c r="G725" s="189"/>
      <c r="H725" s="755" t="s">
        <v>46</v>
      </c>
      <c r="I725" s="756">
        <f ca="1">IFERROR(__xludf.DUMMYFUNCTION("IMPORTRANGE(""https://docs.google.com/spreadsheets/d/1QqKyyYR6Q21VydFLVH3TRQUabQu_ym0Zz7PgGX0-kHA/edit?usp=sharing"",""แผน!IM63"")"),10)</f>
        <v>10</v>
      </c>
      <c r="J725" s="269">
        <f ca="1">IFERROR(__xludf.DUMMYFUNCTION("IMPORTRANGE(""https://docs.google.com/spreadsheets/d/1XWAQStnk-4SwqDmLtmXYiTMKHgktTP8We1SCoS47DrQ/edit?usp=sharing"",""จัดที่ดิน!BO63"")"),0)</f>
        <v>0</v>
      </c>
      <c r="K725" s="496">
        <f t="shared" ref="K725:K726" ca="1" si="292">IF(I725&gt;0,J725*100/I725,0)</f>
        <v>0</v>
      </c>
      <c r="L725" s="757"/>
      <c r="M725" s="189"/>
      <c r="N725" s="757"/>
      <c r="O725" s="496"/>
      <c r="P725" s="496"/>
      <c r="Q725" s="571"/>
      <c r="R725" s="571"/>
      <c r="S725" s="571"/>
      <c r="T725" s="571"/>
      <c r="U725" s="571"/>
      <c r="V725" s="571"/>
      <c r="W725" s="571"/>
      <c r="X725" s="571"/>
      <c r="Y725" s="571"/>
      <c r="Z725" s="571"/>
    </row>
    <row r="726" spans="1:26" ht="18.75">
      <c r="A726" s="735"/>
      <c r="B726" s="754"/>
      <c r="C726" s="754"/>
      <c r="D726" s="754"/>
      <c r="E726" s="754" t="s">
        <v>307</v>
      </c>
      <c r="F726" s="754"/>
      <c r="G726" s="189"/>
      <c r="H726" s="755" t="s">
        <v>35</v>
      </c>
      <c r="I726" s="756">
        <f ca="1">IFERROR(__xludf.DUMMYFUNCTION("IMPORTRANGE(""https://docs.google.com/spreadsheets/d/1QqKyyYR6Q21VydFLVH3TRQUabQu_ym0Zz7PgGX0-kHA/edit?usp=sharing"",""แผน!IN63"")"),3)</f>
        <v>3</v>
      </c>
      <c r="J726" s="269">
        <f ca="1">IFERROR(__xludf.DUMMYFUNCTION("IMPORTRANGE(""https://docs.google.com/spreadsheets/d/1XWAQStnk-4SwqDmLtmXYiTMKHgktTP8We1SCoS47DrQ/edit?usp=sharing"",""จัดที่ดิน!BR63"")"),0)</f>
        <v>0</v>
      </c>
      <c r="K726" s="496">
        <f t="shared" ca="1" si="292"/>
        <v>0</v>
      </c>
      <c r="L726" s="496"/>
      <c r="M726" s="189"/>
      <c r="N726" s="757"/>
      <c r="O726" s="496"/>
      <c r="P726" s="496"/>
      <c r="Q726" s="571"/>
      <c r="R726" s="571"/>
      <c r="S726" s="571"/>
      <c r="T726" s="571"/>
      <c r="U726" s="571"/>
      <c r="V726" s="571"/>
      <c r="W726" s="571"/>
      <c r="X726" s="571"/>
      <c r="Y726" s="571"/>
      <c r="Z726" s="571"/>
    </row>
    <row r="727" spans="1:26" ht="18.75">
      <c r="A727" s="735"/>
      <c r="B727" s="754"/>
      <c r="C727" s="754"/>
      <c r="D727" s="754"/>
      <c r="E727" s="754"/>
      <c r="F727" s="754"/>
      <c r="G727" s="189"/>
      <c r="H727" s="755" t="s">
        <v>34</v>
      </c>
      <c r="I727" s="756"/>
      <c r="J727" s="269">
        <f ca="1">IFERROR(__xludf.DUMMYFUNCTION("IMPORTRANGE(""https://docs.google.com/spreadsheets/d/1XWAQStnk-4SwqDmLtmXYiTMKHgktTP8We1SCoS47DrQ/edit?usp=sharing"",""จัดที่ดิน!BS63"")"),0)</f>
        <v>0</v>
      </c>
      <c r="K727" s="496"/>
      <c r="L727" s="757"/>
      <c r="M727" s="189"/>
      <c r="N727" s="757"/>
      <c r="O727" s="496"/>
      <c r="P727" s="496"/>
      <c r="Q727" s="571"/>
      <c r="R727" s="571"/>
      <c r="S727" s="571"/>
      <c r="T727" s="571"/>
      <c r="U727" s="571"/>
      <c r="V727" s="571"/>
      <c r="W727" s="571"/>
      <c r="X727" s="571"/>
      <c r="Y727" s="571"/>
      <c r="Z727" s="571"/>
    </row>
    <row r="728" spans="1:26" ht="18.75">
      <c r="A728" s="735"/>
      <c r="B728" s="754"/>
      <c r="C728" s="754"/>
      <c r="D728" s="754"/>
      <c r="E728" s="754"/>
      <c r="F728" s="754"/>
      <c r="G728" s="189"/>
      <c r="H728" s="755" t="s">
        <v>46</v>
      </c>
      <c r="I728" s="756">
        <f ca="1">IFERROR(__xludf.DUMMYFUNCTION("IMPORTRANGE(""https://docs.google.com/spreadsheets/d/1QqKyyYR6Q21VydFLVH3TRQUabQu_ym0Zz7PgGX0-kHA/edit?usp=sharing"",""แผน!IO63"")"),6)</f>
        <v>6</v>
      </c>
      <c r="J728" s="269">
        <f ca="1">IFERROR(__xludf.DUMMYFUNCTION("IMPORTRANGE(""https://docs.google.com/spreadsheets/d/1XWAQStnk-4SwqDmLtmXYiTMKHgktTP8We1SCoS47DrQ/edit?usp=sharing"",""จัดที่ดิน!BT63"")"),0)</f>
        <v>0</v>
      </c>
      <c r="K728" s="496">
        <f t="shared" ref="K728:K729" ca="1" si="293">IF(I728&gt;0,J728*100/I728,0)</f>
        <v>0</v>
      </c>
      <c r="L728" s="757"/>
      <c r="M728" s="189"/>
      <c r="N728" s="757"/>
      <c r="O728" s="496"/>
      <c r="P728" s="496"/>
      <c r="Q728" s="571"/>
      <c r="R728" s="571"/>
      <c r="S728" s="571"/>
      <c r="T728" s="571"/>
      <c r="U728" s="571"/>
      <c r="V728" s="571"/>
      <c r="W728" s="571"/>
      <c r="X728" s="571"/>
      <c r="Y728" s="571"/>
      <c r="Z728" s="571"/>
    </row>
    <row r="729" spans="1:26" ht="19.5">
      <c r="A729" s="735"/>
      <c r="B729" s="754"/>
      <c r="C729" s="754"/>
      <c r="D729" s="754" t="s">
        <v>308</v>
      </c>
      <c r="E729" s="754"/>
      <c r="F729" s="754"/>
      <c r="G729" s="189"/>
      <c r="H729" s="758" t="s">
        <v>46</v>
      </c>
      <c r="I729" s="759">
        <f ca="1">IFERROR(__xludf.DUMMYFUNCTION("IMPORTRANGE(""https://docs.google.com/spreadsheets/d/1QqKyyYR6Q21VydFLVH3TRQUabQu_ym0Zz7PgGX0-kHA/edit?usp=sharing"",""แผน!IP63"")"),0)</f>
        <v>0</v>
      </c>
      <c r="J729" s="674">
        <f>J732+J735</f>
        <v>0</v>
      </c>
      <c r="K729" s="195">
        <f t="shared" ca="1" si="293"/>
        <v>0</v>
      </c>
      <c r="L729" s="496"/>
      <c r="M729" s="189"/>
      <c r="N729" s="757"/>
      <c r="O729" s="496"/>
      <c r="P729" s="496"/>
      <c r="Q729" s="571"/>
      <c r="R729" s="571"/>
      <c r="S729" s="571"/>
      <c r="T729" s="571"/>
      <c r="U729" s="571"/>
      <c r="V729" s="571"/>
      <c r="W729" s="571"/>
      <c r="X729" s="571"/>
      <c r="Y729" s="571"/>
      <c r="Z729" s="571"/>
    </row>
    <row r="730" spans="1:26" ht="18.75">
      <c r="A730" s="735"/>
      <c r="B730" s="754"/>
      <c r="C730" s="754"/>
      <c r="D730" s="754"/>
      <c r="E730" s="754" t="s">
        <v>309</v>
      </c>
      <c r="F730" s="754"/>
      <c r="G730" s="189"/>
      <c r="H730" s="755" t="s">
        <v>35</v>
      </c>
      <c r="I730" s="756"/>
      <c r="J730" s="214">
        <v>0</v>
      </c>
      <c r="K730" s="496"/>
      <c r="L730" s="757"/>
      <c r="M730" s="496"/>
      <c r="N730" s="757"/>
      <c r="O730" s="496"/>
      <c r="P730" s="496"/>
      <c r="Q730" s="571"/>
      <c r="R730" s="571"/>
      <c r="S730" s="571"/>
      <c r="T730" s="571"/>
      <c r="U730" s="571"/>
      <c r="V730" s="571"/>
      <c r="W730" s="571"/>
      <c r="X730" s="571"/>
      <c r="Y730" s="571"/>
      <c r="Z730" s="571"/>
    </row>
    <row r="731" spans="1:26" ht="18.75">
      <c r="A731" s="735"/>
      <c r="B731" s="754"/>
      <c r="C731" s="754"/>
      <c r="D731" s="754"/>
      <c r="E731" s="754"/>
      <c r="F731" s="754"/>
      <c r="G731" s="189"/>
      <c r="H731" s="755" t="s">
        <v>34</v>
      </c>
      <c r="I731" s="756"/>
      <c r="J731" s="214">
        <v>0</v>
      </c>
      <c r="K731" s="496"/>
      <c r="L731" s="757"/>
      <c r="M731" s="496"/>
      <c r="N731" s="757"/>
      <c r="O731" s="496"/>
      <c r="P731" s="496"/>
      <c r="Q731" s="571"/>
      <c r="R731" s="571"/>
      <c r="S731" s="571"/>
      <c r="T731" s="571"/>
      <c r="U731" s="571"/>
      <c r="V731" s="571"/>
      <c r="W731" s="571"/>
      <c r="X731" s="571"/>
      <c r="Y731" s="571"/>
      <c r="Z731" s="571"/>
    </row>
    <row r="732" spans="1:26" ht="18.75">
      <c r="A732" s="735"/>
      <c r="B732" s="754"/>
      <c r="C732" s="754"/>
      <c r="D732" s="754"/>
      <c r="E732" s="754"/>
      <c r="F732" s="754"/>
      <c r="G732" s="189"/>
      <c r="H732" s="755" t="s">
        <v>46</v>
      </c>
      <c r="I732" s="756"/>
      <c r="J732" s="214">
        <v>0</v>
      </c>
      <c r="K732" s="496"/>
      <c r="L732" s="757"/>
      <c r="M732" s="496"/>
      <c r="N732" s="757"/>
      <c r="O732" s="496"/>
      <c r="P732" s="496"/>
      <c r="Q732" s="571"/>
      <c r="R732" s="571"/>
      <c r="S732" s="571"/>
      <c r="T732" s="571"/>
      <c r="U732" s="571"/>
      <c r="V732" s="571"/>
      <c r="W732" s="571"/>
      <c r="X732" s="571"/>
      <c r="Y732" s="571"/>
      <c r="Z732" s="571"/>
    </row>
    <row r="733" spans="1:26" ht="18.75">
      <c r="A733" s="735"/>
      <c r="B733" s="754"/>
      <c r="C733" s="754"/>
      <c r="D733" s="754"/>
      <c r="E733" s="754" t="s">
        <v>310</v>
      </c>
      <c r="F733" s="754"/>
      <c r="G733" s="189"/>
      <c r="H733" s="755" t="s">
        <v>35</v>
      </c>
      <c r="I733" s="756"/>
      <c r="J733" s="214">
        <v>0</v>
      </c>
      <c r="K733" s="496"/>
      <c r="L733" s="757"/>
      <c r="M733" s="496"/>
      <c r="N733" s="757"/>
      <c r="O733" s="496"/>
      <c r="P733" s="496"/>
      <c r="Q733" s="571"/>
      <c r="R733" s="571"/>
      <c r="S733" s="571"/>
      <c r="T733" s="571"/>
      <c r="U733" s="571"/>
      <c r="V733" s="571"/>
      <c r="W733" s="571"/>
      <c r="X733" s="571"/>
      <c r="Y733" s="571"/>
      <c r="Z733" s="571"/>
    </row>
    <row r="734" spans="1:26" ht="18.75">
      <c r="A734" s="735"/>
      <c r="B734" s="754"/>
      <c r="C734" s="754"/>
      <c r="D734" s="754"/>
      <c r="E734" s="754"/>
      <c r="F734" s="754"/>
      <c r="G734" s="189"/>
      <c r="H734" s="755" t="s">
        <v>34</v>
      </c>
      <c r="I734" s="756"/>
      <c r="J734" s="214">
        <v>0</v>
      </c>
      <c r="K734" s="496"/>
      <c r="L734" s="757"/>
      <c r="M734" s="496"/>
      <c r="N734" s="757"/>
      <c r="O734" s="496"/>
      <c r="P734" s="496"/>
      <c r="Q734" s="571"/>
      <c r="R734" s="571"/>
      <c r="S734" s="571"/>
      <c r="T734" s="571"/>
      <c r="U734" s="571"/>
      <c r="V734" s="571"/>
      <c r="W734" s="571"/>
      <c r="X734" s="571"/>
      <c r="Y734" s="571"/>
      <c r="Z734" s="571"/>
    </row>
    <row r="735" spans="1:26" ht="19.5">
      <c r="A735" s="761"/>
      <c r="B735" s="762" t="s">
        <v>311</v>
      </c>
      <c r="C735" s="725"/>
      <c r="D735" s="725"/>
      <c r="E735" s="725"/>
      <c r="F735" s="725"/>
      <c r="G735" s="726"/>
      <c r="H735" s="421" t="s">
        <v>46</v>
      </c>
      <c r="I735" s="763"/>
      <c r="J735" s="423">
        <v>0</v>
      </c>
      <c r="K735" s="500"/>
      <c r="L735" s="764"/>
      <c r="M735" s="500"/>
      <c r="N735" s="764"/>
      <c r="O735" s="500"/>
      <c r="P735" s="500"/>
      <c r="Q735" s="571"/>
      <c r="R735" s="571"/>
      <c r="S735" s="571"/>
      <c r="T735" s="571"/>
      <c r="U735" s="571"/>
      <c r="V735" s="571"/>
      <c r="W735" s="571"/>
      <c r="X735" s="571"/>
      <c r="Y735" s="571"/>
      <c r="Z735" s="571"/>
    </row>
    <row r="736" spans="1:26" ht="19.5" hidden="1">
      <c r="A736" s="765">
        <v>9</v>
      </c>
      <c r="B736" s="766" t="s">
        <v>312</v>
      </c>
      <c r="C736" s="767"/>
      <c r="D736" s="767"/>
      <c r="E736" s="767"/>
      <c r="F736" s="767"/>
      <c r="G736" s="768"/>
      <c r="H736" s="769" t="s">
        <v>46</v>
      </c>
      <c r="I736" s="770"/>
      <c r="J736" s="770">
        <f>J751</f>
        <v>0</v>
      </c>
      <c r="K736" s="771">
        <f>IF(I736&gt;0,J736*100/I736,0)</f>
        <v>0</v>
      </c>
      <c r="L736" s="772"/>
      <c r="M736" s="772"/>
      <c r="N736" s="772"/>
      <c r="O736" s="772"/>
      <c r="P736" s="772"/>
      <c r="Q736" s="597"/>
      <c r="R736" s="597"/>
      <c r="S736" s="597"/>
      <c r="T736" s="597"/>
      <c r="U736" s="597"/>
      <c r="V736" s="597"/>
      <c r="W736" s="597"/>
      <c r="X736" s="597"/>
      <c r="Y736" s="597"/>
      <c r="Z736" s="597"/>
    </row>
    <row r="737" spans="1:26" ht="19.5" hidden="1">
      <c r="A737" s="592"/>
      <c r="B737" s="750"/>
      <c r="C737" s="750" t="s">
        <v>16</v>
      </c>
      <c r="D737" s="864" t="s">
        <v>17</v>
      </c>
      <c r="E737" s="857"/>
      <c r="F737" s="857"/>
      <c r="G737" s="596"/>
      <c r="H737" s="639" t="s">
        <v>12</v>
      </c>
      <c r="I737" s="610"/>
      <c r="J737" s="610"/>
      <c r="K737" s="93"/>
      <c r="L737" s="640">
        <f t="shared" ref="L737:N737" si="294">L738+L739</f>
        <v>0</v>
      </c>
      <c r="M737" s="640">
        <f t="shared" si="294"/>
        <v>0</v>
      </c>
      <c r="N737" s="640">
        <f t="shared" si="294"/>
        <v>0</v>
      </c>
      <c r="O737" s="640">
        <f t="shared" ref="O737:O742" si="295">IF(L737&gt;0,N737*100/L737,0)</f>
        <v>0</v>
      </c>
      <c r="P737" s="640">
        <f t="shared" ref="P737:P742" si="296">IF(M737&gt;0,N737*100/M737,0)</f>
        <v>0</v>
      </c>
      <c r="Q737" s="597"/>
      <c r="R737" s="597"/>
      <c r="S737" s="597"/>
      <c r="T737" s="597"/>
      <c r="U737" s="597"/>
      <c r="V737" s="597"/>
      <c r="W737" s="597"/>
      <c r="X737" s="597"/>
      <c r="Y737" s="597"/>
      <c r="Z737" s="597"/>
    </row>
    <row r="738" spans="1:26" ht="18.75" hidden="1">
      <c r="A738" s="592"/>
      <c r="B738" s="750"/>
      <c r="C738" s="750"/>
      <c r="D738" s="711"/>
      <c r="E738" s="750" t="s">
        <v>184</v>
      </c>
      <c r="F738" s="750"/>
      <c r="G738" s="596"/>
      <c r="H738" s="165" t="s">
        <v>12</v>
      </c>
      <c r="I738" s="610"/>
      <c r="J738" s="610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597"/>
      <c r="R738" s="597"/>
      <c r="S738" s="597"/>
      <c r="T738" s="597"/>
      <c r="U738" s="597"/>
      <c r="V738" s="597"/>
      <c r="W738" s="597"/>
      <c r="X738" s="597"/>
      <c r="Y738" s="597"/>
      <c r="Z738" s="597"/>
    </row>
    <row r="739" spans="1:26" ht="18.75" hidden="1">
      <c r="A739" s="592"/>
      <c r="B739" s="600"/>
      <c r="C739" s="750"/>
      <c r="D739" s="711"/>
      <c r="E739" s="750" t="s">
        <v>185</v>
      </c>
      <c r="F739" s="750"/>
      <c r="G739" s="596"/>
      <c r="H739" s="165" t="s">
        <v>12</v>
      </c>
      <c r="I739" s="610"/>
      <c r="J739" s="610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597"/>
      <c r="R739" s="597"/>
      <c r="S739" s="597"/>
      <c r="T739" s="597"/>
      <c r="U739" s="597"/>
      <c r="V739" s="597"/>
      <c r="W739" s="597"/>
      <c r="X739" s="597"/>
      <c r="Y739" s="597"/>
      <c r="Z739" s="597"/>
    </row>
    <row r="740" spans="1:26" ht="19.5" hidden="1">
      <c r="A740" s="592"/>
      <c r="B740" s="600"/>
      <c r="C740" s="750"/>
      <c r="D740" s="638" t="s">
        <v>20</v>
      </c>
      <c r="E740" s="750"/>
      <c r="F740" s="750"/>
      <c r="G740" s="596"/>
      <c r="H740" s="639" t="s">
        <v>12</v>
      </c>
      <c r="I740" s="166"/>
      <c r="J740" s="166"/>
      <c r="K740" s="167"/>
      <c r="L740" s="640">
        <f t="shared" ref="L740:N740" si="298">L741+L742</f>
        <v>0</v>
      </c>
      <c r="M740" s="640">
        <f t="shared" si="298"/>
        <v>0</v>
      </c>
      <c r="N740" s="640">
        <f t="shared" si="298"/>
        <v>0</v>
      </c>
      <c r="O740" s="640">
        <f t="shared" si="295"/>
        <v>0</v>
      </c>
      <c r="P740" s="640">
        <f t="shared" si="296"/>
        <v>0</v>
      </c>
      <c r="Q740" s="597"/>
      <c r="R740" s="597"/>
      <c r="S740" s="597"/>
      <c r="T740" s="597"/>
      <c r="U740" s="597"/>
      <c r="V740" s="597"/>
      <c r="W740" s="597"/>
      <c r="X740" s="597"/>
      <c r="Y740" s="597"/>
      <c r="Z740" s="597"/>
    </row>
    <row r="741" spans="1:26" ht="18.75" hidden="1">
      <c r="A741" s="592"/>
      <c r="B741" s="600"/>
      <c r="C741" s="750"/>
      <c r="D741" s="711"/>
      <c r="E741" s="750" t="s">
        <v>184</v>
      </c>
      <c r="F741" s="750"/>
      <c r="G741" s="596"/>
      <c r="H741" s="165" t="s">
        <v>12</v>
      </c>
      <c r="I741" s="610"/>
      <c r="J741" s="610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597"/>
      <c r="R741" s="597"/>
      <c r="S741" s="597"/>
      <c r="T741" s="597"/>
      <c r="U741" s="597"/>
      <c r="V741" s="597"/>
      <c r="W741" s="597"/>
      <c r="X741" s="597"/>
      <c r="Y741" s="597"/>
      <c r="Z741" s="597"/>
    </row>
    <row r="742" spans="1:26" ht="18.75" hidden="1">
      <c r="A742" s="592"/>
      <c r="B742" s="600"/>
      <c r="C742" s="750"/>
      <c r="D742" s="711"/>
      <c r="E742" s="750" t="s">
        <v>185</v>
      </c>
      <c r="F742" s="750"/>
      <c r="G742" s="596"/>
      <c r="H742" s="165" t="s">
        <v>12</v>
      </c>
      <c r="I742" s="610"/>
      <c r="J742" s="610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597"/>
      <c r="R742" s="597"/>
      <c r="S742" s="597"/>
      <c r="T742" s="597"/>
      <c r="U742" s="597"/>
      <c r="V742" s="597"/>
      <c r="W742" s="597"/>
      <c r="X742" s="597"/>
      <c r="Y742" s="597"/>
      <c r="Z742" s="597"/>
    </row>
    <row r="743" spans="1:26" ht="18.75" hidden="1">
      <c r="A743" s="642"/>
      <c r="B743" s="600"/>
      <c r="C743" s="750"/>
      <c r="D743" s="750"/>
      <c r="E743" s="750"/>
      <c r="F743" s="750" t="s">
        <v>186</v>
      </c>
      <c r="G743" s="596"/>
      <c r="H743" s="165" t="s">
        <v>12</v>
      </c>
      <c r="I743" s="610"/>
      <c r="J743" s="610"/>
      <c r="K743" s="93"/>
      <c r="L743" s="93"/>
      <c r="M743" s="93"/>
      <c r="N743" s="93"/>
      <c r="O743" s="93"/>
      <c r="P743" s="93"/>
      <c r="Q743" s="597"/>
      <c r="R743" s="597"/>
      <c r="S743" s="597"/>
      <c r="T743" s="597"/>
      <c r="U743" s="597"/>
      <c r="V743" s="597"/>
      <c r="W743" s="597"/>
      <c r="X743" s="597"/>
      <c r="Y743" s="597"/>
      <c r="Z743" s="597"/>
    </row>
    <row r="744" spans="1:26" ht="18.75" hidden="1">
      <c r="A744" s="642"/>
      <c r="B744" s="600"/>
      <c r="C744" s="750"/>
      <c r="D744" s="750"/>
      <c r="E744" s="750"/>
      <c r="F744" s="750" t="s">
        <v>187</v>
      </c>
      <c r="G744" s="596"/>
      <c r="H744" s="165" t="s">
        <v>12</v>
      </c>
      <c r="I744" s="610"/>
      <c r="J744" s="610"/>
      <c r="K744" s="93"/>
      <c r="L744" s="93"/>
      <c r="M744" s="93"/>
      <c r="N744" s="93"/>
      <c r="O744" s="93"/>
      <c r="P744" s="93"/>
      <c r="Q744" s="597"/>
      <c r="R744" s="597"/>
      <c r="S744" s="597"/>
      <c r="T744" s="597"/>
      <c r="U744" s="597"/>
      <c r="V744" s="597"/>
      <c r="W744" s="597"/>
      <c r="X744" s="597"/>
      <c r="Y744" s="597"/>
      <c r="Z744" s="597"/>
    </row>
    <row r="745" spans="1:26" ht="18.75" hidden="1">
      <c r="A745" s="642"/>
      <c r="B745" s="600"/>
      <c r="C745" s="750"/>
      <c r="D745" s="750"/>
      <c r="E745" s="750"/>
      <c r="F745" s="750" t="s">
        <v>188</v>
      </c>
      <c r="G745" s="596"/>
      <c r="H745" s="165" t="s">
        <v>12</v>
      </c>
      <c r="I745" s="610"/>
      <c r="J745" s="610"/>
      <c r="K745" s="93"/>
      <c r="L745" s="93"/>
      <c r="M745" s="93"/>
      <c r="N745" s="93"/>
      <c r="O745" s="93"/>
      <c r="P745" s="93"/>
      <c r="Q745" s="597"/>
      <c r="R745" s="597"/>
      <c r="S745" s="597"/>
      <c r="T745" s="597"/>
      <c r="U745" s="597"/>
      <c r="V745" s="597"/>
      <c r="W745" s="597"/>
      <c r="X745" s="597"/>
      <c r="Y745" s="597"/>
      <c r="Z745" s="597"/>
    </row>
    <row r="746" spans="1:26" ht="18.75" hidden="1">
      <c r="A746" s="642"/>
      <c r="B746" s="600"/>
      <c r="C746" s="750"/>
      <c r="D746" s="750"/>
      <c r="E746" s="750"/>
      <c r="F746" s="750" t="s">
        <v>189</v>
      </c>
      <c r="G746" s="596"/>
      <c r="H746" s="165" t="s">
        <v>12</v>
      </c>
      <c r="I746" s="610"/>
      <c r="J746" s="610"/>
      <c r="K746" s="93"/>
      <c r="L746" s="93"/>
      <c r="M746" s="93"/>
      <c r="N746" s="93"/>
      <c r="O746" s="93"/>
      <c r="P746" s="93"/>
      <c r="Q746" s="597"/>
      <c r="R746" s="597"/>
      <c r="S746" s="597"/>
      <c r="T746" s="597"/>
      <c r="U746" s="597"/>
      <c r="V746" s="597"/>
      <c r="W746" s="597"/>
      <c r="X746" s="597"/>
      <c r="Y746" s="597"/>
      <c r="Z746" s="597"/>
    </row>
    <row r="747" spans="1:26" ht="19.5" hidden="1">
      <c r="A747" s="592"/>
      <c r="B747" s="600"/>
      <c r="C747" s="750"/>
      <c r="D747" s="638" t="s">
        <v>21</v>
      </c>
      <c r="E747" s="750"/>
      <c r="F747" s="750"/>
      <c r="G747" s="596"/>
      <c r="H747" s="774" t="s">
        <v>12</v>
      </c>
      <c r="I747" s="166"/>
      <c r="J747" s="166"/>
      <c r="K747" s="167"/>
      <c r="L747" s="640">
        <f t="shared" ref="L747:N747" si="299">L748+L749</f>
        <v>0</v>
      </c>
      <c r="M747" s="640">
        <f t="shared" si="299"/>
        <v>0</v>
      </c>
      <c r="N747" s="640">
        <f t="shared" si="299"/>
        <v>0</v>
      </c>
      <c r="O747" s="640">
        <f t="shared" ref="O747:O749" si="300">IF(L747&gt;0,N747*100/L747,0)</f>
        <v>0</v>
      </c>
      <c r="P747" s="640">
        <f t="shared" ref="P747:P749" si="301">IF(M747&gt;0,N747*100/M747,0)</f>
        <v>0</v>
      </c>
      <c r="Q747" s="597"/>
      <c r="R747" s="597"/>
      <c r="S747" s="597"/>
      <c r="T747" s="597"/>
      <c r="U747" s="597"/>
      <c r="V747" s="597"/>
      <c r="W747" s="597"/>
      <c r="X747" s="597"/>
      <c r="Y747" s="597"/>
      <c r="Z747" s="597"/>
    </row>
    <row r="748" spans="1:26" ht="18.75" hidden="1">
      <c r="A748" s="592"/>
      <c r="B748" s="600"/>
      <c r="C748" s="750"/>
      <c r="D748" s="750"/>
      <c r="E748" s="750" t="s">
        <v>18</v>
      </c>
      <c r="F748" s="750"/>
      <c r="G748" s="596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597"/>
      <c r="R748" s="597"/>
      <c r="S748" s="597"/>
      <c r="T748" s="597"/>
      <c r="U748" s="597"/>
      <c r="V748" s="597"/>
      <c r="W748" s="597"/>
      <c r="X748" s="597"/>
      <c r="Y748" s="597"/>
      <c r="Z748" s="597"/>
    </row>
    <row r="749" spans="1:26" ht="18.75" hidden="1">
      <c r="A749" s="592"/>
      <c r="B749" s="600"/>
      <c r="C749" s="750"/>
      <c r="D749" s="750"/>
      <c r="E749" s="750" t="s">
        <v>19</v>
      </c>
      <c r="F749" s="750"/>
      <c r="G749" s="596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597"/>
      <c r="R749" s="597"/>
      <c r="S749" s="597"/>
      <c r="T749" s="597"/>
      <c r="U749" s="597"/>
      <c r="V749" s="597"/>
      <c r="W749" s="597"/>
      <c r="X749" s="597"/>
      <c r="Y749" s="597"/>
      <c r="Z749" s="597"/>
    </row>
    <row r="750" spans="1:26" ht="19.5" hidden="1">
      <c r="A750" s="607"/>
      <c r="B750" s="609"/>
      <c r="C750" s="750" t="s">
        <v>16</v>
      </c>
      <c r="D750" s="841" t="s">
        <v>38</v>
      </c>
      <c r="E750" s="644"/>
      <c r="F750" s="644"/>
      <c r="G750" s="645"/>
      <c r="H750" s="365"/>
      <c r="I750" s="166"/>
      <c r="J750" s="166"/>
      <c r="K750" s="167"/>
      <c r="L750" s="167"/>
      <c r="M750" s="167"/>
      <c r="N750" s="167"/>
      <c r="O750" s="167"/>
      <c r="P750" s="167"/>
      <c r="Q750" s="597"/>
      <c r="R750" s="597"/>
      <c r="S750" s="597"/>
      <c r="T750" s="597"/>
      <c r="U750" s="597"/>
      <c r="V750" s="597"/>
      <c r="W750" s="597"/>
      <c r="X750" s="597"/>
      <c r="Y750" s="597"/>
      <c r="Z750" s="597"/>
    </row>
    <row r="751" spans="1:26" ht="18.75" hidden="1">
      <c r="A751" s="642"/>
      <c r="B751" s="600"/>
      <c r="C751" s="750"/>
      <c r="D751" s="750"/>
      <c r="E751" s="750" t="s">
        <v>313</v>
      </c>
      <c r="F751" s="750"/>
      <c r="G751" s="596"/>
      <c r="H751" s="165" t="s">
        <v>46</v>
      </c>
      <c r="I751" s="610"/>
      <c r="J751" s="610"/>
      <c r="K751" s="93"/>
      <c r="L751" s="93"/>
      <c r="M751" s="93"/>
      <c r="N751" s="93"/>
      <c r="O751" s="93"/>
      <c r="P751" s="93"/>
      <c r="Q751" s="597"/>
      <c r="R751" s="597"/>
      <c r="S751" s="597"/>
      <c r="T751" s="597"/>
      <c r="U751" s="597"/>
      <c r="V751" s="597"/>
      <c r="W751" s="597"/>
      <c r="X751" s="597"/>
      <c r="Y751" s="597"/>
      <c r="Z751" s="597"/>
    </row>
    <row r="752" spans="1:26" ht="18.75" hidden="1">
      <c r="A752" s="642"/>
      <c r="B752" s="600"/>
      <c r="C752" s="750"/>
      <c r="D752" s="750"/>
      <c r="E752" s="750"/>
      <c r="F752" s="750"/>
      <c r="G752" s="596"/>
      <c r="H752" s="165" t="s">
        <v>314</v>
      </c>
      <c r="I752" s="610"/>
      <c r="J752" s="610"/>
      <c r="K752" s="93"/>
      <c r="L752" s="93"/>
      <c r="M752" s="93"/>
      <c r="N752" s="93"/>
      <c r="O752" s="93"/>
      <c r="P752" s="93"/>
      <c r="Q752" s="597"/>
      <c r="R752" s="597"/>
      <c r="S752" s="597"/>
      <c r="T752" s="597"/>
      <c r="U752" s="597"/>
      <c r="V752" s="597"/>
      <c r="W752" s="597"/>
      <c r="X752" s="597"/>
      <c r="Y752" s="597"/>
      <c r="Z752" s="597"/>
    </row>
    <row r="753" spans="1:26" ht="19.5" hidden="1">
      <c r="A753" s="776">
        <v>10</v>
      </c>
      <c r="B753" s="777" t="s">
        <v>315</v>
      </c>
      <c r="C753" s="778"/>
      <c r="D753" s="778"/>
      <c r="E753" s="778"/>
      <c r="F753" s="778"/>
      <c r="G753" s="779"/>
      <c r="H753" s="780" t="s">
        <v>46</v>
      </c>
      <c r="I753" s="781"/>
      <c r="J753" s="781">
        <f>J768</f>
        <v>0</v>
      </c>
      <c r="K753" s="782">
        <f>IF(I753&gt;0,J753*100/I753,0)</f>
        <v>0</v>
      </c>
      <c r="L753" s="783"/>
      <c r="M753" s="783"/>
      <c r="N753" s="783"/>
      <c r="O753" s="783"/>
      <c r="P753" s="783"/>
      <c r="Q753" s="597"/>
      <c r="R753" s="597"/>
      <c r="S753" s="597"/>
      <c r="T753" s="597"/>
      <c r="U753" s="597"/>
      <c r="V753" s="597"/>
      <c r="W753" s="597"/>
      <c r="X753" s="597"/>
      <c r="Y753" s="597"/>
      <c r="Z753" s="597"/>
    </row>
    <row r="754" spans="1:26" ht="19.5" hidden="1">
      <c r="A754" s="592"/>
      <c r="B754" s="750"/>
      <c r="C754" s="750" t="s">
        <v>16</v>
      </c>
      <c r="D754" s="864" t="s">
        <v>17</v>
      </c>
      <c r="E754" s="857"/>
      <c r="F754" s="857"/>
      <c r="G754" s="596"/>
      <c r="H754" s="639" t="s">
        <v>12</v>
      </c>
      <c r="I754" s="610"/>
      <c r="J754" s="610"/>
      <c r="K754" s="93"/>
      <c r="L754" s="640">
        <f t="shared" ref="L754:N754" si="302">L755+L756</f>
        <v>0</v>
      </c>
      <c r="M754" s="640">
        <f t="shared" si="302"/>
        <v>0</v>
      </c>
      <c r="N754" s="640">
        <f t="shared" si="302"/>
        <v>0</v>
      </c>
      <c r="O754" s="640">
        <f t="shared" ref="O754:O759" si="303">IF(L754&gt;0,N754*100/L754,0)</f>
        <v>0</v>
      </c>
      <c r="P754" s="640">
        <f t="shared" ref="P754:P759" si="304">IF(M754&gt;0,N754*100/M754,0)</f>
        <v>0</v>
      </c>
      <c r="Q754" s="597"/>
      <c r="R754" s="597"/>
      <c r="S754" s="597"/>
      <c r="T754" s="597"/>
      <c r="U754" s="597"/>
      <c r="V754" s="597"/>
      <c r="W754" s="597"/>
      <c r="X754" s="597"/>
      <c r="Y754" s="597"/>
      <c r="Z754" s="597"/>
    </row>
    <row r="755" spans="1:26" ht="18.75" hidden="1">
      <c r="A755" s="592"/>
      <c r="B755" s="750"/>
      <c r="C755" s="750"/>
      <c r="D755" s="711"/>
      <c r="E755" s="750" t="s">
        <v>184</v>
      </c>
      <c r="F755" s="750"/>
      <c r="G755" s="596"/>
      <c r="H755" s="165" t="s">
        <v>12</v>
      </c>
      <c r="I755" s="610"/>
      <c r="J755" s="610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597"/>
      <c r="R755" s="597"/>
      <c r="S755" s="597"/>
      <c r="T755" s="597"/>
      <c r="U755" s="597"/>
      <c r="V755" s="597"/>
      <c r="W755" s="597"/>
      <c r="X755" s="597"/>
      <c r="Y755" s="597"/>
      <c r="Z755" s="597"/>
    </row>
    <row r="756" spans="1:26" ht="18.75" hidden="1">
      <c r="A756" s="592"/>
      <c r="B756" s="600"/>
      <c r="C756" s="750"/>
      <c r="D756" s="711"/>
      <c r="E756" s="750" t="s">
        <v>185</v>
      </c>
      <c r="F756" s="750"/>
      <c r="G756" s="596"/>
      <c r="H756" s="165" t="s">
        <v>12</v>
      </c>
      <c r="I756" s="610"/>
      <c r="J756" s="610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597"/>
      <c r="R756" s="597"/>
      <c r="S756" s="597"/>
      <c r="T756" s="597"/>
      <c r="U756" s="597"/>
      <c r="V756" s="597"/>
      <c r="W756" s="597"/>
      <c r="X756" s="597"/>
      <c r="Y756" s="597"/>
      <c r="Z756" s="597"/>
    </row>
    <row r="757" spans="1:26" ht="19.5" hidden="1">
      <c r="A757" s="592"/>
      <c r="B757" s="600"/>
      <c r="C757" s="750"/>
      <c r="D757" s="638" t="s">
        <v>20</v>
      </c>
      <c r="E757" s="750"/>
      <c r="F757" s="750"/>
      <c r="G757" s="596"/>
      <c r="H757" s="639" t="s">
        <v>12</v>
      </c>
      <c r="I757" s="166"/>
      <c r="J757" s="166"/>
      <c r="K757" s="167"/>
      <c r="L757" s="640">
        <f t="shared" ref="L757:N757" si="306">L758+L759</f>
        <v>0</v>
      </c>
      <c r="M757" s="640">
        <f t="shared" si="306"/>
        <v>0</v>
      </c>
      <c r="N757" s="640">
        <f t="shared" si="306"/>
        <v>0</v>
      </c>
      <c r="O757" s="640">
        <f t="shared" si="303"/>
        <v>0</v>
      </c>
      <c r="P757" s="640">
        <f t="shared" si="304"/>
        <v>0</v>
      </c>
      <c r="Q757" s="597"/>
      <c r="R757" s="597"/>
      <c r="S757" s="597"/>
      <c r="T757" s="597"/>
      <c r="U757" s="597"/>
      <c r="V757" s="597"/>
      <c r="W757" s="597"/>
      <c r="X757" s="597"/>
      <c r="Y757" s="597"/>
      <c r="Z757" s="597"/>
    </row>
    <row r="758" spans="1:26" ht="18.75" hidden="1">
      <c r="A758" s="592"/>
      <c r="B758" s="600"/>
      <c r="C758" s="750"/>
      <c r="D758" s="711"/>
      <c r="E758" s="750" t="s">
        <v>184</v>
      </c>
      <c r="F758" s="750"/>
      <c r="G758" s="596"/>
      <c r="H758" s="165" t="s">
        <v>12</v>
      </c>
      <c r="I758" s="610"/>
      <c r="J758" s="610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597"/>
      <c r="R758" s="597"/>
      <c r="S758" s="597"/>
      <c r="T758" s="597"/>
      <c r="U758" s="597"/>
      <c r="V758" s="597"/>
      <c r="W758" s="597"/>
      <c r="X758" s="597"/>
      <c r="Y758" s="597"/>
      <c r="Z758" s="597"/>
    </row>
    <row r="759" spans="1:26" ht="18.75" hidden="1">
      <c r="A759" s="592"/>
      <c r="B759" s="600"/>
      <c r="C759" s="750"/>
      <c r="D759" s="711"/>
      <c r="E759" s="750" t="s">
        <v>185</v>
      </c>
      <c r="F759" s="750"/>
      <c r="G759" s="596"/>
      <c r="H759" s="165" t="s">
        <v>12</v>
      </c>
      <c r="I759" s="610"/>
      <c r="J759" s="610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597"/>
      <c r="R759" s="597"/>
      <c r="S759" s="597"/>
      <c r="T759" s="597"/>
      <c r="U759" s="597"/>
      <c r="V759" s="597"/>
      <c r="W759" s="597"/>
      <c r="X759" s="597"/>
      <c r="Y759" s="597"/>
      <c r="Z759" s="597"/>
    </row>
    <row r="760" spans="1:26" ht="18.75" hidden="1">
      <c r="A760" s="642"/>
      <c r="B760" s="600"/>
      <c r="C760" s="750"/>
      <c r="D760" s="750"/>
      <c r="E760" s="750"/>
      <c r="F760" s="750" t="s">
        <v>186</v>
      </c>
      <c r="G760" s="596"/>
      <c r="H760" s="165" t="s">
        <v>12</v>
      </c>
      <c r="I760" s="610"/>
      <c r="J760" s="610"/>
      <c r="K760" s="93"/>
      <c r="L760" s="93"/>
      <c r="M760" s="93"/>
      <c r="N760" s="93"/>
      <c r="O760" s="93"/>
      <c r="P760" s="93"/>
      <c r="Q760" s="597"/>
      <c r="R760" s="597"/>
      <c r="S760" s="597"/>
      <c r="T760" s="597"/>
      <c r="U760" s="597"/>
      <c r="V760" s="597"/>
      <c r="W760" s="597"/>
      <c r="X760" s="597"/>
      <c r="Y760" s="597"/>
      <c r="Z760" s="597"/>
    </row>
    <row r="761" spans="1:26" ht="18.75" hidden="1">
      <c r="A761" s="642"/>
      <c r="B761" s="600"/>
      <c r="C761" s="750"/>
      <c r="D761" s="750"/>
      <c r="E761" s="750"/>
      <c r="F761" s="750" t="s">
        <v>187</v>
      </c>
      <c r="G761" s="596"/>
      <c r="H761" s="165" t="s">
        <v>12</v>
      </c>
      <c r="I761" s="610"/>
      <c r="J761" s="610"/>
      <c r="K761" s="93"/>
      <c r="L761" s="93"/>
      <c r="M761" s="93"/>
      <c r="N761" s="93"/>
      <c r="O761" s="93"/>
      <c r="P761" s="93"/>
      <c r="Q761" s="597"/>
      <c r="R761" s="597"/>
      <c r="S761" s="597"/>
      <c r="T761" s="597"/>
      <c r="U761" s="597"/>
      <c r="V761" s="597"/>
      <c r="W761" s="597"/>
      <c r="X761" s="597"/>
      <c r="Y761" s="597"/>
      <c r="Z761" s="597"/>
    </row>
    <row r="762" spans="1:26" ht="18.75" hidden="1">
      <c r="A762" s="642"/>
      <c r="B762" s="600"/>
      <c r="C762" s="750"/>
      <c r="D762" s="750"/>
      <c r="E762" s="750"/>
      <c r="F762" s="750" t="s">
        <v>188</v>
      </c>
      <c r="G762" s="596"/>
      <c r="H762" s="165" t="s">
        <v>12</v>
      </c>
      <c r="I762" s="610"/>
      <c r="J762" s="610"/>
      <c r="K762" s="93"/>
      <c r="L762" s="93"/>
      <c r="M762" s="93"/>
      <c r="N762" s="93"/>
      <c r="O762" s="93"/>
      <c r="P762" s="93"/>
      <c r="Q762" s="597"/>
      <c r="R762" s="597"/>
      <c r="S762" s="597"/>
      <c r="T762" s="597"/>
      <c r="U762" s="597"/>
      <c r="V762" s="597"/>
      <c r="W762" s="597"/>
      <c r="X762" s="597"/>
      <c r="Y762" s="597"/>
      <c r="Z762" s="597"/>
    </row>
    <row r="763" spans="1:26" ht="18.75" hidden="1">
      <c r="A763" s="642"/>
      <c r="B763" s="600"/>
      <c r="C763" s="750"/>
      <c r="D763" s="750"/>
      <c r="E763" s="750"/>
      <c r="F763" s="750" t="s">
        <v>189</v>
      </c>
      <c r="G763" s="596"/>
      <c r="H763" s="165" t="s">
        <v>12</v>
      </c>
      <c r="I763" s="610"/>
      <c r="J763" s="610"/>
      <c r="K763" s="93"/>
      <c r="L763" s="93"/>
      <c r="M763" s="93"/>
      <c r="N763" s="93"/>
      <c r="O763" s="93"/>
      <c r="P763" s="93"/>
      <c r="Q763" s="597"/>
      <c r="R763" s="597"/>
      <c r="S763" s="597"/>
      <c r="T763" s="597"/>
      <c r="U763" s="597"/>
      <c r="V763" s="597"/>
      <c r="W763" s="597"/>
      <c r="X763" s="597"/>
      <c r="Y763" s="597"/>
      <c r="Z763" s="597"/>
    </row>
    <row r="764" spans="1:26" ht="19.5" hidden="1">
      <c r="A764" s="592"/>
      <c r="B764" s="600"/>
      <c r="C764" s="750"/>
      <c r="D764" s="638" t="s">
        <v>21</v>
      </c>
      <c r="E764" s="750"/>
      <c r="F764" s="750"/>
      <c r="G764" s="596"/>
      <c r="H764" s="774" t="s">
        <v>12</v>
      </c>
      <c r="I764" s="166"/>
      <c r="J764" s="166"/>
      <c r="K764" s="167"/>
      <c r="L764" s="640">
        <f t="shared" ref="L764:N764" si="307">L765+L766</f>
        <v>0</v>
      </c>
      <c r="M764" s="640">
        <f t="shared" si="307"/>
        <v>0</v>
      </c>
      <c r="N764" s="640">
        <f t="shared" si="307"/>
        <v>0</v>
      </c>
      <c r="O764" s="640">
        <f t="shared" ref="O764:O766" si="308">IF(L764&gt;0,N764*100/L764,0)</f>
        <v>0</v>
      </c>
      <c r="P764" s="640">
        <f t="shared" ref="P764:P766" si="309">IF(M764&gt;0,N764*100/M764,0)</f>
        <v>0</v>
      </c>
      <c r="Q764" s="597"/>
      <c r="R764" s="597"/>
      <c r="S764" s="597"/>
      <c r="T764" s="597"/>
      <c r="U764" s="597"/>
      <c r="V764" s="597"/>
      <c r="W764" s="597"/>
      <c r="X764" s="597"/>
      <c r="Y764" s="597"/>
      <c r="Z764" s="597"/>
    </row>
    <row r="765" spans="1:26" ht="18.75" hidden="1">
      <c r="A765" s="592"/>
      <c r="B765" s="600"/>
      <c r="C765" s="750"/>
      <c r="D765" s="750"/>
      <c r="E765" s="750" t="s">
        <v>18</v>
      </c>
      <c r="F765" s="750"/>
      <c r="G765" s="596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597"/>
      <c r="R765" s="597"/>
      <c r="S765" s="597"/>
      <c r="T765" s="597"/>
      <c r="U765" s="597"/>
      <c r="V765" s="597"/>
      <c r="W765" s="597"/>
      <c r="X765" s="597"/>
      <c r="Y765" s="597"/>
      <c r="Z765" s="597"/>
    </row>
    <row r="766" spans="1:26" ht="18.75" hidden="1">
      <c r="A766" s="592"/>
      <c r="B766" s="600"/>
      <c r="C766" s="750"/>
      <c r="D766" s="750"/>
      <c r="E766" s="750" t="s">
        <v>19</v>
      </c>
      <c r="F766" s="750"/>
      <c r="G766" s="596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597"/>
      <c r="R766" s="597"/>
      <c r="S766" s="597"/>
      <c r="T766" s="597"/>
      <c r="U766" s="597"/>
      <c r="V766" s="597"/>
      <c r="W766" s="597"/>
      <c r="X766" s="597"/>
      <c r="Y766" s="597"/>
      <c r="Z766" s="597"/>
    </row>
    <row r="767" spans="1:26" ht="19.5" hidden="1">
      <c r="A767" s="607"/>
      <c r="B767" s="609"/>
      <c r="C767" s="750" t="s">
        <v>16</v>
      </c>
      <c r="D767" s="841" t="s">
        <v>38</v>
      </c>
      <c r="E767" s="644"/>
      <c r="F767" s="644"/>
      <c r="G767" s="645"/>
      <c r="H767" s="365"/>
      <c r="I767" s="166"/>
      <c r="J767" s="166"/>
      <c r="K767" s="167"/>
      <c r="L767" s="167"/>
      <c r="M767" s="167"/>
      <c r="N767" s="167"/>
      <c r="O767" s="167"/>
      <c r="P767" s="167"/>
      <c r="Q767" s="597"/>
      <c r="R767" s="597"/>
      <c r="S767" s="597"/>
      <c r="T767" s="597"/>
      <c r="U767" s="597"/>
      <c r="V767" s="597"/>
      <c r="W767" s="597"/>
      <c r="X767" s="597"/>
      <c r="Y767" s="597"/>
      <c r="Z767" s="597"/>
    </row>
    <row r="768" spans="1:26" ht="18.75" hidden="1">
      <c r="A768" s="642"/>
      <c r="B768" s="600"/>
      <c r="C768" s="750"/>
      <c r="D768" s="750"/>
      <c r="E768" s="750" t="s">
        <v>316</v>
      </c>
      <c r="F768" s="750"/>
      <c r="G768" s="596"/>
      <c r="H768" s="165" t="s">
        <v>46</v>
      </c>
      <c r="I768" s="610"/>
      <c r="J768" s="610"/>
      <c r="K768" s="93"/>
      <c r="L768" s="93"/>
      <c r="M768" s="93"/>
      <c r="N768" s="93"/>
      <c r="O768" s="93"/>
      <c r="P768" s="93"/>
      <c r="Q768" s="597"/>
      <c r="R768" s="597"/>
      <c r="S768" s="597"/>
      <c r="T768" s="597"/>
      <c r="U768" s="597"/>
      <c r="V768" s="597"/>
      <c r="W768" s="597"/>
      <c r="X768" s="597"/>
      <c r="Y768" s="597"/>
      <c r="Z768" s="597"/>
    </row>
    <row r="769" spans="1:26" ht="19.5" hidden="1">
      <c r="A769" s="784">
        <v>11</v>
      </c>
      <c r="B769" s="785" t="s">
        <v>317</v>
      </c>
      <c r="C769" s="786"/>
      <c r="D769" s="786"/>
      <c r="E769" s="786"/>
      <c r="F769" s="786"/>
      <c r="G769" s="787"/>
      <c r="H769" s="788" t="s">
        <v>46</v>
      </c>
      <c r="I769" s="789"/>
      <c r="J769" s="789">
        <f>J784</f>
        <v>0</v>
      </c>
      <c r="K769" s="790">
        <f>IF(I769&gt;0,J769*100/I769,0)</f>
        <v>0</v>
      </c>
      <c r="L769" s="791"/>
      <c r="M769" s="791"/>
      <c r="N769" s="791"/>
      <c r="O769" s="791"/>
      <c r="P769" s="791"/>
      <c r="Q769" s="597"/>
      <c r="R769" s="597"/>
      <c r="S769" s="597"/>
      <c r="T769" s="597"/>
      <c r="U769" s="597"/>
      <c r="V769" s="597"/>
      <c r="W769" s="597"/>
      <c r="X769" s="597"/>
      <c r="Y769" s="597"/>
      <c r="Z769" s="597"/>
    </row>
    <row r="770" spans="1:26" ht="19.5" hidden="1">
      <c r="A770" s="592"/>
      <c r="B770" s="750"/>
      <c r="C770" s="750" t="s">
        <v>16</v>
      </c>
      <c r="D770" s="864" t="s">
        <v>17</v>
      </c>
      <c r="E770" s="857"/>
      <c r="F770" s="857"/>
      <c r="G770" s="596"/>
      <c r="H770" s="639" t="s">
        <v>12</v>
      </c>
      <c r="I770" s="610"/>
      <c r="J770" s="610"/>
      <c r="K770" s="93"/>
      <c r="L770" s="640">
        <f t="shared" ref="L770:N770" si="310">L771+L772</f>
        <v>0</v>
      </c>
      <c r="M770" s="640">
        <f t="shared" si="310"/>
        <v>0</v>
      </c>
      <c r="N770" s="640">
        <f t="shared" si="310"/>
        <v>0</v>
      </c>
      <c r="O770" s="640">
        <f t="shared" ref="O770:O775" si="311">IF(L770&gt;0,N770*100/L770,0)</f>
        <v>0</v>
      </c>
      <c r="P770" s="640">
        <f t="shared" ref="P770:P775" si="312">IF(M770&gt;0,N770*100/M770,0)</f>
        <v>0</v>
      </c>
      <c r="Q770" s="597"/>
      <c r="R770" s="597"/>
      <c r="S770" s="597"/>
      <c r="T770" s="597"/>
      <c r="U770" s="597"/>
      <c r="V770" s="597"/>
      <c r="W770" s="597"/>
      <c r="X770" s="597"/>
      <c r="Y770" s="597"/>
      <c r="Z770" s="597"/>
    </row>
    <row r="771" spans="1:26" ht="18.75" hidden="1">
      <c r="A771" s="592"/>
      <c r="B771" s="750"/>
      <c r="C771" s="750"/>
      <c r="D771" s="711"/>
      <c r="E771" s="750" t="s">
        <v>184</v>
      </c>
      <c r="F771" s="750"/>
      <c r="G771" s="596"/>
      <c r="H771" s="165" t="s">
        <v>12</v>
      </c>
      <c r="I771" s="610"/>
      <c r="J771" s="610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597"/>
      <c r="R771" s="597"/>
      <c r="S771" s="597"/>
      <c r="T771" s="597"/>
      <c r="U771" s="597"/>
      <c r="V771" s="597"/>
      <c r="W771" s="597"/>
      <c r="X771" s="597"/>
      <c r="Y771" s="597"/>
      <c r="Z771" s="597"/>
    </row>
    <row r="772" spans="1:26" ht="18.75" hidden="1">
      <c r="A772" s="592"/>
      <c r="B772" s="600"/>
      <c r="C772" s="750"/>
      <c r="D772" s="711"/>
      <c r="E772" s="750" t="s">
        <v>185</v>
      </c>
      <c r="F772" s="750"/>
      <c r="G772" s="596"/>
      <c r="H772" s="165" t="s">
        <v>12</v>
      </c>
      <c r="I772" s="610"/>
      <c r="J772" s="610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597"/>
      <c r="R772" s="597"/>
      <c r="S772" s="597"/>
      <c r="T772" s="597"/>
      <c r="U772" s="597"/>
      <c r="V772" s="597"/>
      <c r="W772" s="597"/>
      <c r="X772" s="597"/>
      <c r="Y772" s="597"/>
      <c r="Z772" s="597"/>
    </row>
    <row r="773" spans="1:26" ht="19.5" hidden="1">
      <c r="A773" s="592"/>
      <c r="B773" s="600"/>
      <c r="C773" s="750"/>
      <c r="D773" s="638" t="s">
        <v>20</v>
      </c>
      <c r="E773" s="750"/>
      <c r="F773" s="750"/>
      <c r="G773" s="596"/>
      <c r="H773" s="639" t="s">
        <v>12</v>
      </c>
      <c r="I773" s="166"/>
      <c r="J773" s="166"/>
      <c r="K773" s="167"/>
      <c r="L773" s="640">
        <f t="shared" ref="L773:N773" si="314">L774+L775</f>
        <v>0</v>
      </c>
      <c r="M773" s="640">
        <f t="shared" si="314"/>
        <v>0</v>
      </c>
      <c r="N773" s="640">
        <f t="shared" si="314"/>
        <v>0</v>
      </c>
      <c r="O773" s="640">
        <f t="shared" si="311"/>
        <v>0</v>
      </c>
      <c r="P773" s="640">
        <f t="shared" si="312"/>
        <v>0</v>
      </c>
      <c r="Q773" s="597"/>
      <c r="R773" s="597"/>
      <c r="S773" s="597"/>
      <c r="T773" s="597"/>
      <c r="U773" s="597"/>
      <c r="V773" s="597"/>
      <c r="W773" s="597"/>
      <c r="X773" s="597"/>
      <c r="Y773" s="597"/>
      <c r="Z773" s="597"/>
    </row>
    <row r="774" spans="1:26" ht="18.75" hidden="1">
      <c r="A774" s="592"/>
      <c r="B774" s="600"/>
      <c r="C774" s="750"/>
      <c r="D774" s="711"/>
      <c r="E774" s="750" t="s">
        <v>184</v>
      </c>
      <c r="F774" s="750"/>
      <c r="G774" s="596"/>
      <c r="H774" s="165" t="s">
        <v>12</v>
      </c>
      <c r="I774" s="610"/>
      <c r="J774" s="610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597"/>
      <c r="R774" s="597"/>
      <c r="S774" s="597"/>
      <c r="T774" s="597"/>
      <c r="U774" s="597"/>
      <c r="V774" s="597"/>
      <c r="W774" s="597"/>
      <c r="X774" s="597"/>
      <c r="Y774" s="597"/>
      <c r="Z774" s="597"/>
    </row>
    <row r="775" spans="1:26" ht="18.75" hidden="1">
      <c r="A775" s="592"/>
      <c r="B775" s="600"/>
      <c r="C775" s="750"/>
      <c r="D775" s="711"/>
      <c r="E775" s="750" t="s">
        <v>185</v>
      </c>
      <c r="F775" s="750"/>
      <c r="G775" s="596"/>
      <c r="H775" s="165" t="s">
        <v>12</v>
      </c>
      <c r="I775" s="610"/>
      <c r="J775" s="610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597"/>
      <c r="R775" s="597"/>
      <c r="S775" s="597"/>
      <c r="T775" s="597"/>
      <c r="U775" s="597"/>
      <c r="V775" s="597"/>
      <c r="W775" s="597"/>
      <c r="X775" s="597"/>
      <c r="Y775" s="597"/>
      <c r="Z775" s="597"/>
    </row>
    <row r="776" spans="1:26" ht="18.75" hidden="1">
      <c r="A776" s="642"/>
      <c r="B776" s="600"/>
      <c r="C776" s="750"/>
      <c r="D776" s="750"/>
      <c r="E776" s="750"/>
      <c r="F776" s="750" t="s">
        <v>186</v>
      </c>
      <c r="G776" s="596"/>
      <c r="H776" s="165" t="s">
        <v>12</v>
      </c>
      <c r="I776" s="610"/>
      <c r="J776" s="610"/>
      <c r="K776" s="93"/>
      <c r="L776" s="93"/>
      <c r="M776" s="93"/>
      <c r="N776" s="93"/>
      <c r="O776" s="93"/>
      <c r="P776" s="93"/>
      <c r="Q776" s="597"/>
      <c r="R776" s="597"/>
      <c r="S776" s="597"/>
      <c r="T776" s="597"/>
      <c r="U776" s="597"/>
      <c r="V776" s="597"/>
      <c r="W776" s="597"/>
      <c r="X776" s="597"/>
      <c r="Y776" s="597"/>
      <c r="Z776" s="597"/>
    </row>
    <row r="777" spans="1:26" ht="18.75" hidden="1">
      <c r="A777" s="642"/>
      <c r="B777" s="600"/>
      <c r="C777" s="750"/>
      <c r="D777" s="750"/>
      <c r="E777" s="750"/>
      <c r="F777" s="750" t="s">
        <v>187</v>
      </c>
      <c r="G777" s="596"/>
      <c r="H777" s="165" t="s">
        <v>12</v>
      </c>
      <c r="I777" s="610"/>
      <c r="J777" s="610"/>
      <c r="K777" s="93"/>
      <c r="L777" s="93"/>
      <c r="M777" s="93"/>
      <c r="N777" s="93"/>
      <c r="O777" s="93"/>
      <c r="P777" s="93"/>
      <c r="Q777" s="597"/>
      <c r="R777" s="597"/>
      <c r="S777" s="597"/>
      <c r="T777" s="597"/>
      <c r="U777" s="597"/>
      <c r="V777" s="597"/>
      <c r="W777" s="597"/>
      <c r="X777" s="597"/>
      <c r="Y777" s="597"/>
      <c r="Z777" s="597"/>
    </row>
    <row r="778" spans="1:26" ht="18.75" hidden="1">
      <c r="A778" s="642"/>
      <c r="B778" s="600"/>
      <c r="C778" s="750"/>
      <c r="D778" s="750"/>
      <c r="E778" s="750"/>
      <c r="F778" s="750" t="s">
        <v>188</v>
      </c>
      <c r="G778" s="596"/>
      <c r="H778" s="165" t="s">
        <v>12</v>
      </c>
      <c r="I778" s="610"/>
      <c r="J778" s="610"/>
      <c r="K778" s="93"/>
      <c r="L778" s="93"/>
      <c r="M778" s="93"/>
      <c r="N778" s="93"/>
      <c r="O778" s="93"/>
      <c r="P778" s="93"/>
      <c r="Q778" s="597"/>
      <c r="R778" s="597"/>
      <c r="S778" s="597"/>
      <c r="T778" s="597"/>
      <c r="U778" s="597"/>
      <c r="V778" s="597"/>
      <c r="W778" s="597"/>
      <c r="X778" s="597"/>
      <c r="Y778" s="597"/>
      <c r="Z778" s="597"/>
    </row>
    <row r="779" spans="1:26" ht="18.75" hidden="1">
      <c r="A779" s="642"/>
      <c r="B779" s="600"/>
      <c r="C779" s="750"/>
      <c r="D779" s="750"/>
      <c r="E779" s="750"/>
      <c r="F779" s="750" t="s">
        <v>189</v>
      </c>
      <c r="G779" s="596"/>
      <c r="H779" s="165" t="s">
        <v>12</v>
      </c>
      <c r="I779" s="610"/>
      <c r="J779" s="610"/>
      <c r="K779" s="93"/>
      <c r="L779" s="93"/>
      <c r="M779" s="93"/>
      <c r="N779" s="93"/>
      <c r="O779" s="93"/>
      <c r="P779" s="93"/>
      <c r="Q779" s="597"/>
      <c r="R779" s="597"/>
      <c r="S779" s="597"/>
      <c r="T779" s="597"/>
      <c r="U779" s="597"/>
      <c r="V779" s="597"/>
      <c r="W779" s="597"/>
      <c r="X779" s="597"/>
      <c r="Y779" s="597"/>
      <c r="Z779" s="597"/>
    </row>
    <row r="780" spans="1:26" ht="19.5" hidden="1">
      <c r="A780" s="592"/>
      <c r="B780" s="600"/>
      <c r="C780" s="750"/>
      <c r="D780" s="638" t="s">
        <v>21</v>
      </c>
      <c r="E780" s="750"/>
      <c r="F780" s="750"/>
      <c r="G780" s="596"/>
      <c r="H780" s="774" t="s">
        <v>12</v>
      </c>
      <c r="I780" s="166"/>
      <c r="J780" s="166"/>
      <c r="K780" s="167"/>
      <c r="L780" s="640">
        <f t="shared" ref="L780:N780" si="315">L781+L782</f>
        <v>0</v>
      </c>
      <c r="M780" s="640">
        <f t="shared" si="315"/>
        <v>0</v>
      </c>
      <c r="N780" s="640">
        <f t="shared" si="315"/>
        <v>0</v>
      </c>
      <c r="O780" s="640">
        <f t="shared" ref="O780:O782" si="316">IF(L780&gt;0,N780*100/L780,0)</f>
        <v>0</v>
      </c>
      <c r="P780" s="640">
        <f t="shared" ref="P780:P782" si="317">IF(M780&gt;0,N780*100/M780,0)</f>
        <v>0</v>
      </c>
      <c r="Q780" s="597"/>
      <c r="R780" s="597"/>
      <c r="S780" s="597"/>
      <c r="T780" s="597"/>
      <c r="U780" s="597"/>
      <c r="V780" s="597"/>
      <c r="W780" s="597"/>
      <c r="X780" s="597"/>
      <c r="Y780" s="597"/>
      <c r="Z780" s="597"/>
    </row>
    <row r="781" spans="1:26" ht="18.75" hidden="1">
      <c r="A781" s="592"/>
      <c r="B781" s="600"/>
      <c r="C781" s="750"/>
      <c r="D781" s="750"/>
      <c r="E781" s="750" t="s">
        <v>18</v>
      </c>
      <c r="F781" s="750"/>
      <c r="G781" s="596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597"/>
      <c r="R781" s="597"/>
      <c r="S781" s="597"/>
      <c r="T781" s="597"/>
      <c r="U781" s="597"/>
      <c r="V781" s="597"/>
      <c r="W781" s="597"/>
      <c r="X781" s="597"/>
      <c r="Y781" s="597"/>
      <c r="Z781" s="597"/>
    </row>
    <row r="782" spans="1:26" ht="18.75" hidden="1">
      <c r="A782" s="592"/>
      <c r="B782" s="600"/>
      <c r="C782" s="750"/>
      <c r="D782" s="750"/>
      <c r="E782" s="750" t="s">
        <v>19</v>
      </c>
      <c r="F782" s="750"/>
      <c r="G782" s="596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597"/>
      <c r="R782" s="597"/>
      <c r="S782" s="597"/>
      <c r="T782" s="597"/>
      <c r="U782" s="597"/>
      <c r="V782" s="597"/>
      <c r="W782" s="597"/>
      <c r="X782" s="597"/>
      <c r="Y782" s="597"/>
      <c r="Z782" s="597"/>
    </row>
    <row r="783" spans="1:26" ht="19.5" hidden="1">
      <c r="A783" s="607"/>
      <c r="B783" s="609"/>
      <c r="C783" s="750" t="s">
        <v>16</v>
      </c>
      <c r="D783" s="841" t="s">
        <v>38</v>
      </c>
      <c r="E783" s="644"/>
      <c r="F783" s="644"/>
      <c r="G783" s="645"/>
      <c r="H783" s="792"/>
      <c r="I783" s="166"/>
      <c r="J783" s="166"/>
      <c r="K783" s="167"/>
      <c r="L783" s="167"/>
      <c r="M783" s="167"/>
      <c r="N783" s="167"/>
      <c r="O783" s="167"/>
      <c r="P783" s="167"/>
      <c r="Q783" s="597"/>
      <c r="R783" s="597"/>
      <c r="S783" s="597"/>
      <c r="T783" s="597"/>
      <c r="U783" s="597"/>
      <c r="V783" s="597"/>
      <c r="W783" s="597"/>
      <c r="X783" s="597"/>
      <c r="Y783" s="597"/>
      <c r="Z783" s="597"/>
    </row>
    <row r="784" spans="1:26" ht="18.75" hidden="1">
      <c r="A784" s="642"/>
      <c r="B784" s="600"/>
      <c r="C784" s="750"/>
      <c r="D784" s="750"/>
      <c r="E784" s="750" t="s">
        <v>318</v>
      </c>
      <c r="F784" s="750"/>
      <c r="G784" s="596"/>
      <c r="H784" s="165" t="s">
        <v>46</v>
      </c>
      <c r="I784" s="610"/>
      <c r="J784" s="610"/>
      <c r="K784" s="93"/>
      <c r="L784" s="93"/>
      <c r="M784" s="93"/>
      <c r="N784" s="93"/>
      <c r="O784" s="93"/>
      <c r="P784" s="93"/>
      <c r="Q784" s="597"/>
      <c r="R784" s="597"/>
      <c r="S784" s="597"/>
      <c r="T784" s="597"/>
      <c r="U784" s="597"/>
      <c r="V784" s="597"/>
      <c r="W784" s="597"/>
      <c r="X784" s="597"/>
      <c r="Y784" s="597"/>
      <c r="Z784" s="597"/>
    </row>
    <row r="785" spans="1:26" ht="19.5" hidden="1">
      <c r="A785" s="793">
        <v>12</v>
      </c>
      <c r="B785" s="794" t="s">
        <v>319</v>
      </c>
      <c r="C785" s="795"/>
      <c r="D785" s="795"/>
      <c r="E785" s="795"/>
      <c r="F785" s="795"/>
      <c r="G785" s="796"/>
      <c r="H785" s="797" t="s">
        <v>46</v>
      </c>
      <c r="I785" s="798">
        <f t="shared" ref="I785:J785" ca="1" si="318">I800</f>
        <v>0</v>
      </c>
      <c r="J785" s="799">
        <f t="shared" ca="1" si="318"/>
        <v>0</v>
      </c>
      <c r="K785" s="800">
        <f ca="1">IF(I785&gt;0,J785*100/I785,0)</f>
        <v>0</v>
      </c>
      <c r="L785" s="801"/>
      <c r="M785" s="801"/>
      <c r="N785" s="801"/>
      <c r="O785" s="801"/>
      <c r="P785" s="801"/>
      <c r="Q785" s="571"/>
      <c r="R785" s="571"/>
      <c r="S785" s="571"/>
      <c r="T785" s="571"/>
      <c r="U785" s="571"/>
      <c r="V785" s="571"/>
      <c r="W785" s="571"/>
      <c r="X785" s="571"/>
      <c r="Y785" s="571"/>
      <c r="Z785" s="571"/>
    </row>
    <row r="786" spans="1:26" ht="19.5" hidden="1">
      <c r="A786" s="590"/>
      <c r="B786" s="568"/>
      <c r="C786" s="754" t="s">
        <v>16</v>
      </c>
      <c r="D786" s="863" t="s">
        <v>17</v>
      </c>
      <c r="E786" s="857"/>
      <c r="F786" s="857"/>
      <c r="G786" s="189"/>
      <c r="H786" s="591" t="s">
        <v>12</v>
      </c>
      <c r="I786" s="269"/>
      <c r="J786" s="269"/>
      <c r="K786" s="496"/>
      <c r="L786" s="195">
        <f t="shared" ref="L786:N786" ca="1" si="319">L787+L788</f>
        <v>0</v>
      </c>
      <c r="M786" s="195">
        <f t="shared" si="319"/>
        <v>0</v>
      </c>
      <c r="N786" s="195">
        <f t="shared" si="319"/>
        <v>0</v>
      </c>
      <c r="O786" s="195">
        <f t="shared" ref="O786:O791" ca="1" si="320">IF(L786&gt;0,N786*100/L786,0)</f>
        <v>0</v>
      </c>
      <c r="P786" s="195">
        <f t="shared" ref="P786:P791" si="321">IF(M786&gt;0,N786*100/M786,0)</f>
        <v>0</v>
      </c>
      <c r="Q786" s="571"/>
      <c r="R786" s="571"/>
      <c r="S786" s="571"/>
      <c r="T786" s="571"/>
      <c r="U786" s="571"/>
      <c r="V786" s="571"/>
      <c r="W786" s="571"/>
      <c r="X786" s="571"/>
      <c r="Y786" s="571"/>
      <c r="Z786" s="571"/>
    </row>
    <row r="787" spans="1:26" ht="18.75" hidden="1">
      <c r="A787" s="592"/>
      <c r="B787" s="600"/>
      <c r="C787" s="750"/>
      <c r="D787" s="711"/>
      <c r="E787" s="750" t="s">
        <v>184</v>
      </c>
      <c r="F787" s="750"/>
      <c r="G787" s="596"/>
      <c r="H787" s="165" t="s">
        <v>12</v>
      </c>
      <c r="I787" s="610"/>
      <c r="J787" s="610"/>
      <c r="K787" s="93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597"/>
      <c r="R787" s="597"/>
      <c r="S787" s="597"/>
      <c r="T787" s="597"/>
      <c r="U787" s="597"/>
      <c r="V787" s="597"/>
      <c r="W787" s="597"/>
      <c r="X787" s="597"/>
      <c r="Y787" s="597"/>
      <c r="Z787" s="597"/>
    </row>
    <row r="788" spans="1:26" ht="18.75" hidden="1">
      <c r="A788" s="592"/>
      <c r="B788" s="600"/>
      <c r="C788" s="600"/>
      <c r="D788" s="609"/>
      <c r="E788" s="750" t="s">
        <v>185</v>
      </c>
      <c r="F788" s="750"/>
      <c r="G788" s="596"/>
      <c r="H788" s="165" t="s">
        <v>12</v>
      </c>
      <c r="I788" s="610"/>
      <c r="J788" s="610"/>
      <c r="K788" s="93"/>
      <c r="L788" s="93">
        <f t="shared" ca="1" si="322"/>
        <v>0</v>
      </c>
      <c r="M788" s="93">
        <f t="shared" si="322"/>
        <v>0</v>
      </c>
      <c r="N788" s="93">
        <f t="shared" si="322"/>
        <v>0</v>
      </c>
      <c r="O788" s="93">
        <f t="shared" ca="1" si="320"/>
        <v>0</v>
      </c>
      <c r="P788" s="93">
        <f t="shared" si="321"/>
        <v>0</v>
      </c>
      <c r="Q788" s="597"/>
      <c r="R788" s="597"/>
      <c r="S788" s="597"/>
      <c r="T788" s="597"/>
      <c r="U788" s="597"/>
      <c r="V788" s="597"/>
      <c r="W788" s="597"/>
      <c r="X788" s="597"/>
      <c r="Y788" s="597"/>
      <c r="Z788" s="597"/>
    </row>
    <row r="789" spans="1:26" ht="18.75" hidden="1">
      <c r="A789" s="590"/>
      <c r="B789" s="568"/>
      <c r="C789" s="568"/>
      <c r="D789" s="599" t="s">
        <v>20</v>
      </c>
      <c r="E789" s="754"/>
      <c r="F789" s="754"/>
      <c r="G789" s="189"/>
      <c r="H789" s="161" t="s">
        <v>12</v>
      </c>
      <c r="I789" s="184"/>
      <c r="J789" s="184"/>
      <c r="K789" s="163"/>
      <c r="L789" s="496">
        <f t="shared" ref="L789:N789" ca="1" si="323">L790+L791</f>
        <v>0</v>
      </c>
      <c r="M789" s="496">
        <f t="shared" si="323"/>
        <v>0</v>
      </c>
      <c r="N789" s="496">
        <f t="shared" si="323"/>
        <v>0</v>
      </c>
      <c r="O789" s="496">
        <f t="shared" ca="1" si="320"/>
        <v>0</v>
      </c>
      <c r="P789" s="496">
        <f t="shared" si="321"/>
        <v>0</v>
      </c>
      <c r="Q789" s="571"/>
      <c r="R789" s="571"/>
      <c r="S789" s="571"/>
      <c r="T789" s="571"/>
      <c r="U789" s="571"/>
      <c r="V789" s="571"/>
      <c r="W789" s="571"/>
      <c r="X789" s="571"/>
      <c r="Y789" s="571"/>
      <c r="Z789" s="571"/>
    </row>
    <row r="790" spans="1:26" ht="18.75" hidden="1">
      <c r="A790" s="592"/>
      <c r="B790" s="600"/>
      <c r="C790" s="600"/>
      <c r="D790" s="609"/>
      <c r="E790" s="750" t="s">
        <v>184</v>
      </c>
      <c r="F790" s="750"/>
      <c r="G790" s="596"/>
      <c r="H790" s="165" t="s">
        <v>12</v>
      </c>
      <c r="I790" s="610"/>
      <c r="J790" s="610"/>
      <c r="K790" s="93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597"/>
      <c r="R790" s="597"/>
      <c r="S790" s="597"/>
      <c r="T790" s="597"/>
      <c r="U790" s="597"/>
      <c r="V790" s="597"/>
      <c r="W790" s="597"/>
      <c r="X790" s="597"/>
      <c r="Y790" s="597"/>
      <c r="Z790" s="597"/>
    </row>
    <row r="791" spans="1:26" ht="18.75" hidden="1">
      <c r="A791" s="592"/>
      <c r="B791" s="600"/>
      <c r="C791" s="600"/>
      <c r="D791" s="609"/>
      <c r="E791" s="750" t="s">
        <v>185</v>
      </c>
      <c r="F791" s="750"/>
      <c r="G791" s="596"/>
      <c r="H791" s="165" t="s">
        <v>12</v>
      </c>
      <c r="I791" s="610"/>
      <c r="J791" s="610"/>
      <c r="K791" s="93"/>
      <c r="L791" s="93">
        <f ca="1">IFERROR(__xludf.DUMMYFUNCTION("IMPORTRANGE(""https://docs.google.com/spreadsheets/d/1QqKyyYR6Q21VydFLVH3TRQUabQu_ym0Zz7PgGX0-kHA/edit?usp=sharing"",""แผน!JJ63"")"),0)</f>
        <v>0</v>
      </c>
      <c r="M791" s="93">
        <v>0</v>
      </c>
      <c r="N791" s="93">
        <f>N792+N793+N794+N795</f>
        <v>0</v>
      </c>
      <c r="O791" s="93">
        <f t="shared" ca="1" si="320"/>
        <v>0</v>
      </c>
      <c r="P791" s="93">
        <f t="shared" si="321"/>
        <v>0</v>
      </c>
      <c r="Q791" s="597"/>
      <c r="R791" s="597"/>
      <c r="S791" s="597"/>
      <c r="T791" s="597"/>
      <c r="U791" s="597"/>
      <c r="V791" s="597"/>
      <c r="W791" s="597"/>
      <c r="X791" s="597"/>
      <c r="Y791" s="597"/>
      <c r="Z791" s="597"/>
    </row>
    <row r="792" spans="1:26" ht="18.75" hidden="1">
      <c r="A792" s="567"/>
      <c r="B792" s="568"/>
      <c r="C792" s="754"/>
      <c r="D792" s="754"/>
      <c r="E792" s="754"/>
      <c r="F792" s="754" t="s">
        <v>186</v>
      </c>
      <c r="G792" s="189"/>
      <c r="H792" s="161" t="s">
        <v>12</v>
      </c>
      <c r="I792" s="269"/>
      <c r="J792" s="269"/>
      <c r="K792" s="496"/>
      <c r="L792" s="496"/>
      <c r="M792" s="496"/>
      <c r="N792" s="817">
        <v>0</v>
      </c>
      <c r="O792" s="496"/>
      <c r="P792" s="496"/>
      <c r="Q792" s="571"/>
      <c r="R792" s="571"/>
      <c r="S792" s="571"/>
      <c r="T792" s="571"/>
      <c r="U792" s="571"/>
      <c r="V792" s="571"/>
      <c r="W792" s="571"/>
      <c r="X792" s="571"/>
      <c r="Y792" s="571"/>
      <c r="Z792" s="571"/>
    </row>
    <row r="793" spans="1:26" ht="18.75" hidden="1">
      <c r="A793" s="567"/>
      <c r="B793" s="568"/>
      <c r="C793" s="754"/>
      <c r="D793" s="754"/>
      <c r="E793" s="754"/>
      <c r="F793" s="754" t="s">
        <v>187</v>
      </c>
      <c r="G793" s="189"/>
      <c r="H793" s="161" t="s">
        <v>12</v>
      </c>
      <c r="I793" s="269"/>
      <c r="J793" s="269"/>
      <c r="K793" s="496"/>
      <c r="L793" s="496"/>
      <c r="M793" s="496"/>
      <c r="N793" s="817">
        <v>0</v>
      </c>
      <c r="O793" s="496"/>
      <c r="P793" s="496"/>
      <c r="Q793" s="571"/>
      <c r="R793" s="571"/>
      <c r="S793" s="571"/>
      <c r="T793" s="571"/>
      <c r="U793" s="571"/>
      <c r="V793" s="571"/>
      <c r="W793" s="571"/>
      <c r="X793" s="571"/>
      <c r="Y793" s="571"/>
      <c r="Z793" s="571"/>
    </row>
    <row r="794" spans="1:26" ht="18.75" hidden="1">
      <c r="A794" s="567"/>
      <c r="B794" s="568"/>
      <c r="C794" s="754"/>
      <c r="D794" s="754"/>
      <c r="E794" s="754"/>
      <c r="F794" s="754" t="s">
        <v>188</v>
      </c>
      <c r="G794" s="189"/>
      <c r="H794" s="161" t="s">
        <v>12</v>
      </c>
      <c r="I794" s="269"/>
      <c r="J794" s="269"/>
      <c r="K794" s="496"/>
      <c r="L794" s="496"/>
      <c r="M794" s="496"/>
      <c r="N794" s="817">
        <v>0</v>
      </c>
      <c r="O794" s="496"/>
      <c r="P794" s="496"/>
      <c r="Q794" s="571"/>
      <c r="R794" s="571"/>
      <c r="S794" s="571"/>
      <c r="T794" s="571"/>
      <c r="U794" s="571"/>
      <c r="V794" s="571"/>
      <c r="W794" s="571"/>
      <c r="X794" s="571"/>
      <c r="Y794" s="571"/>
      <c r="Z794" s="571"/>
    </row>
    <row r="795" spans="1:26" ht="18.75" hidden="1">
      <c r="A795" s="567"/>
      <c r="B795" s="568"/>
      <c r="C795" s="754"/>
      <c r="D795" s="754"/>
      <c r="E795" s="754"/>
      <c r="F795" s="754" t="s">
        <v>189</v>
      </c>
      <c r="G795" s="189"/>
      <c r="H795" s="161" t="s">
        <v>12</v>
      </c>
      <c r="I795" s="269"/>
      <c r="J795" s="269"/>
      <c r="K795" s="496"/>
      <c r="L795" s="496"/>
      <c r="M795" s="496"/>
      <c r="N795" s="817">
        <v>0</v>
      </c>
      <c r="O795" s="496"/>
      <c r="P795" s="496"/>
      <c r="Q795" s="571"/>
      <c r="R795" s="571"/>
      <c r="S795" s="571"/>
      <c r="T795" s="571"/>
      <c r="U795" s="571"/>
      <c r="V795" s="571"/>
      <c r="W795" s="571"/>
      <c r="X795" s="571"/>
      <c r="Y795" s="571"/>
      <c r="Z795" s="571"/>
    </row>
    <row r="796" spans="1:26" ht="18.75" hidden="1">
      <c r="A796" s="590"/>
      <c r="B796" s="568"/>
      <c r="C796" s="754"/>
      <c r="D796" s="599" t="s">
        <v>21</v>
      </c>
      <c r="E796" s="754"/>
      <c r="F796" s="754"/>
      <c r="G796" s="189"/>
      <c r="H796" s="168" t="s">
        <v>12</v>
      </c>
      <c r="I796" s="184"/>
      <c r="J796" s="184"/>
      <c r="K796" s="163"/>
      <c r="L796" s="496">
        <f t="shared" ref="L796:N796" si="324">L797+L798</f>
        <v>0</v>
      </c>
      <c r="M796" s="496">
        <f t="shared" si="324"/>
        <v>0</v>
      </c>
      <c r="N796" s="496">
        <f t="shared" si="324"/>
        <v>0</v>
      </c>
      <c r="O796" s="496">
        <f t="shared" ref="O796:O798" si="325">IF(L796&gt;0,N796*100/L796,0)</f>
        <v>0</v>
      </c>
      <c r="P796" s="496">
        <f t="shared" ref="P796:P798" si="326">IF(M796&gt;0,N796*100/M796,0)</f>
        <v>0</v>
      </c>
      <c r="Q796" s="571"/>
      <c r="R796" s="571"/>
      <c r="S796" s="571"/>
      <c r="T796" s="571"/>
      <c r="U796" s="571"/>
      <c r="V796" s="571"/>
      <c r="W796" s="571"/>
      <c r="X796" s="571"/>
      <c r="Y796" s="571"/>
      <c r="Z796" s="571"/>
    </row>
    <row r="797" spans="1:26" ht="18.75" hidden="1">
      <c r="A797" s="592"/>
      <c r="B797" s="600"/>
      <c r="C797" s="750"/>
      <c r="D797" s="750"/>
      <c r="E797" s="750" t="s">
        <v>18</v>
      </c>
      <c r="F797" s="750"/>
      <c r="G797" s="596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597"/>
      <c r="R797" s="597"/>
      <c r="S797" s="597"/>
      <c r="T797" s="597"/>
      <c r="U797" s="597"/>
      <c r="V797" s="597"/>
      <c r="W797" s="597"/>
      <c r="X797" s="597"/>
      <c r="Y797" s="597"/>
      <c r="Z797" s="597"/>
    </row>
    <row r="798" spans="1:26" ht="18.75" hidden="1">
      <c r="A798" s="592"/>
      <c r="B798" s="600"/>
      <c r="C798" s="750"/>
      <c r="D798" s="750"/>
      <c r="E798" s="750" t="s">
        <v>19</v>
      </c>
      <c r="F798" s="750"/>
      <c r="G798" s="596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597"/>
      <c r="R798" s="597"/>
      <c r="S798" s="597"/>
      <c r="T798" s="597"/>
      <c r="U798" s="597"/>
      <c r="V798" s="597"/>
      <c r="W798" s="597"/>
      <c r="X798" s="597"/>
      <c r="Y798" s="597"/>
      <c r="Z798" s="597"/>
    </row>
    <row r="799" spans="1:26" ht="19.5" hidden="1">
      <c r="A799" s="601"/>
      <c r="B799" s="611"/>
      <c r="C799" s="754" t="s">
        <v>16</v>
      </c>
      <c r="D799" s="840" t="s">
        <v>38</v>
      </c>
      <c r="E799" s="752"/>
      <c r="F799" s="752"/>
      <c r="G799" s="606"/>
      <c r="H799" s="802"/>
      <c r="I799" s="184"/>
      <c r="J799" s="184"/>
      <c r="K799" s="163"/>
      <c r="L799" s="163"/>
      <c r="M799" s="163"/>
      <c r="N799" s="163"/>
      <c r="O799" s="163"/>
      <c r="P799" s="163"/>
      <c r="Q799" s="571"/>
      <c r="R799" s="571"/>
      <c r="S799" s="571"/>
      <c r="T799" s="571"/>
      <c r="U799" s="571"/>
      <c r="V799" s="571"/>
      <c r="W799" s="571"/>
      <c r="X799" s="571"/>
      <c r="Y799" s="571"/>
      <c r="Z799" s="571"/>
    </row>
    <row r="800" spans="1:26" ht="18.75" hidden="1">
      <c r="A800" s="601"/>
      <c r="B800" s="611"/>
      <c r="C800" s="611"/>
      <c r="D800" s="611"/>
      <c r="E800" s="619"/>
      <c r="F800" s="619" t="s">
        <v>320</v>
      </c>
      <c r="G800" s="753"/>
      <c r="H800" s="185" t="s">
        <v>46</v>
      </c>
      <c r="I800" s="184">
        <f ca="1">IFERROR(__xludf.DUMMYFUNCTION("IMPORTRANGE(""https://docs.google.com/spreadsheets/d/1QqKyyYR6Q21VydFLVH3TRQUabQu_ym0Zz7PgGX0-kHA/edit?usp=sharing"",""แผน!JN63"")"),0)</f>
        <v>0</v>
      </c>
      <c r="J800" s="184">
        <f ca="1">IFERROR(__xludf.DUMMYFUNCTION("IMPORTRANGE(""https://docs.google.com/spreadsheets/d/1MaWodYyGHDf7siQLGxnXhG4mBNTNIuy296niS2xXulU/edit?usp=sharing"",""RTK!H63"")"),0)</f>
        <v>0</v>
      </c>
      <c r="K800" s="496">
        <f ca="1">IF(I800&gt;0,J800*100/I800,0)</f>
        <v>0</v>
      </c>
      <c r="L800" s="496"/>
      <c r="M800" s="496"/>
      <c r="N800" s="496"/>
      <c r="O800" s="163"/>
      <c r="P800" s="163"/>
      <c r="Q800" s="571"/>
      <c r="R800" s="571"/>
      <c r="S800" s="571"/>
      <c r="T800" s="571"/>
      <c r="U800" s="571"/>
      <c r="V800" s="571"/>
      <c r="W800" s="571"/>
      <c r="X800" s="571"/>
      <c r="Y800" s="571"/>
      <c r="Z800" s="571"/>
    </row>
    <row r="801" spans="1:26" ht="18.75" hidden="1">
      <c r="A801" s="601"/>
      <c r="B801" s="611"/>
      <c r="C801" s="611"/>
      <c r="D801" s="611"/>
      <c r="E801" s="619"/>
      <c r="F801" s="619"/>
      <c r="G801" s="753"/>
      <c r="H801" s="161" t="s">
        <v>34</v>
      </c>
      <c r="I801" s="184"/>
      <c r="J801" s="269">
        <f ca="1">IFERROR(__xludf.DUMMYFUNCTION("IMPORTRANGE(""https://docs.google.com/spreadsheets/d/1MaWodYyGHDf7siQLGxnXhG4mBNTNIuy296niS2xXulU/edit?usp=sharing"",""RTK!I63"")"),0)</f>
        <v>0</v>
      </c>
      <c r="K801" s="496"/>
      <c r="L801" s="496"/>
      <c r="M801" s="496"/>
      <c r="N801" s="496"/>
      <c r="O801" s="163"/>
      <c r="P801" s="163"/>
      <c r="Q801" s="571"/>
      <c r="R801" s="571"/>
      <c r="S801" s="571"/>
      <c r="T801" s="571"/>
      <c r="U801" s="571"/>
      <c r="V801" s="571"/>
      <c r="W801" s="571"/>
      <c r="X801" s="571"/>
      <c r="Y801" s="571"/>
      <c r="Z801" s="571"/>
    </row>
    <row r="802" spans="1:26" ht="18.75" hidden="1">
      <c r="A802" s="607"/>
      <c r="B802" s="609"/>
      <c r="C802" s="609"/>
      <c r="D802" s="609"/>
      <c r="E802" s="711"/>
      <c r="F802" s="711" t="s">
        <v>321</v>
      </c>
      <c r="G802" s="365"/>
      <c r="H802" s="646" t="s">
        <v>46</v>
      </c>
      <c r="I802" s="166"/>
      <c r="J802" s="610"/>
      <c r="K802" s="167">
        <f>IF(I802&gt;0,J802*100/I802,0)</f>
        <v>0</v>
      </c>
      <c r="L802" s="167"/>
      <c r="M802" s="167"/>
      <c r="N802" s="167"/>
      <c r="O802" s="167"/>
      <c r="P802" s="167"/>
      <c r="Q802" s="597"/>
      <c r="R802" s="597"/>
      <c r="S802" s="597"/>
      <c r="T802" s="597"/>
      <c r="U802" s="597"/>
      <c r="V802" s="597"/>
      <c r="W802" s="597"/>
      <c r="X802" s="597"/>
      <c r="Y802" s="597"/>
      <c r="Z802" s="597"/>
    </row>
    <row r="803" spans="1:26" ht="18.75" hidden="1">
      <c r="A803" s="607"/>
      <c r="B803" s="609"/>
      <c r="C803" s="609"/>
      <c r="D803" s="609"/>
      <c r="E803" s="711"/>
      <c r="F803" s="711"/>
      <c r="G803" s="365"/>
      <c r="H803" s="646" t="s">
        <v>34</v>
      </c>
      <c r="I803" s="166"/>
      <c r="J803" s="610"/>
      <c r="K803" s="167"/>
      <c r="L803" s="167"/>
      <c r="M803" s="167"/>
      <c r="N803" s="167"/>
      <c r="O803" s="167"/>
      <c r="P803" s="167"/>
      <c r="Q803" s="597"/>
      <c r="R803" s="597"/>
      <c r="S803" s="597"/>
      <c r="T803" s="597"/>
      <c r="U803" s="597"/>
      <c r="V803" s="597"/>
      <c r="W803" s="597"/>
      <c r="X803" s="597"/>
      <c r="Y803" s="597"/>
      <c r="Z803" s="597"/>
    </row>
    <row r="804" spans="1:26" ht="19.5" hidden="1">
      <c r="A804" s="784">
        <v>13</v>
      </c>
      <c r="B804" s="785" t="s">
        <v>322</v>
      </c>
      <c r="C804" s="786"/>
      <c r="D804" s="803"/>
      <c r="E804" s="786"/>
      <c r="F804" s="786"/>
      <c r="G804" s="787"/>
      <c r="H804" s="788" t="s">
        <v>46</v>
      </c>
      <c r="I804" s="789"/>
      <c r="J804" s="789">
        <f>J819</f>
        <v>0</v>
      </c>
      <c r="K804" s="790">
        <f>IF(I804&gt;0,J804*100/I804,0)</f>
        <v>0</v>
      </c>
      <c r="L804" s="791"/>
      <c r="M804" s="791"/>
      <c r="N804" s="791"/>
      <c r="O804" s="791"/>
      <c r="P804" s="791"/>
      <c r="Q804" s="597"/>
      <c r="R804" s="597"/>
      <c r="S804" s="597"/>
      <c r="T804" s="597"/>
      <c r="U804" s="597"/>
      <c r="V804" s="597"/>
      <c r="W804" s="597"/>
      <c r="X804" s="597"/>
      <c r="Y804" s="597"/>
      <c r="Z804" s="597"/>
    </row>
    <row r="805" spans="1:26" ht="19.5" hidden="1">
      <c r="A805" s="592"/>
      <c r="B805" s="750"/>
      <c r="C805" s="750" t="s">
        <v>16</v>
      </c>
      <c r="D805" s="864" t="s">
        <v>17</v>
      </c>
      <c r="E805" s="857"/>
      <c r="F805" s="857"/>
      <c r="G805" s="596"/>
      <c r="H805" s="639" t="s">
        <v>12</v>
      </c>
      <c r="I805" s="610"/>
      <c r="J805" s="610"/>
      <c r="K805" s="93"/>
      <c r="L805" s="640">
        <f t="shared" ref="L805:N805" si="327">L806+L807</f>
        <v>0</v>
      </c>
      <c r="M805" s="640">
        <f t="shared" si="327"/>
        <v>0</v>
      </c>
      <c r="N805" s="640">
        <f t="shared" si="327"/>
        <v>0</v>
      </c>
      <c r="O805" s="640">
        <f t="shared" ref="O805:O810" si="328">IF(L805&gt;0,N805*100/L805,0)</f>
        <v>0</v>
      </c>
      <c r="P805" s="640">
        <f t="shared" ref="P805:P810" si="329">IF(M805&gt;0,N805*100/M805,0)</f>
        <v>0</v>
      </c>
      <c r="Q805" s="597"/>
      <c r="R805" s="597"/>
      <c r="S805" s="597"/>
      <c r="T805" s="597"/>
      <c r="U805" s="597"/>
      <c r="V805" s="597"/>
      <c r="W805" s="597"/>
      <c r="X805" s="597"/>
      <c r="Y805" s="597"/>
      <c r="Z805" s="597"/>
    </row>
    <row r="806" spans="1:26" ht="18.75" hidden="1">
      <c r="A806" s="592"/>
      <c r="B806" s="750"/>
      <c r="C806" s="750"/>
      <c r="D806" s="609"/>
      <c r="E806" s="750" t="s">
        <v>184</v>
      </c>
      <c r="F806" s="750"/>
      <c r="G806" s="596"/>
      <c r="H806" s="165" t="s">
        <v>12</v>
      </c>
      <c r="I806" s="610"/>
      <c r="J806" s="610"/>
      <c r="K806" s="93"/>
      <c r="L806" s="93">
        <f t="shared" ref="L806:N807" si="330">L809+L816</f>
        <v>0</v>
      </c>
      <c r="M806" s="93">
        <f t="shared" si="330"/>
        <v>0</v>
      </c>
      <c r="N806" s="93">
        <f t="shared" si="330"/>
        <v>0</v>
      </c>
      <c r="O806" s="93">
        <f t="shared" si="328"/>
        <v>0</v>
      </c>
      <c r="P806" s="93">
        <f t="shared" si="329"/>
        <v>0</v>
      </c>
      <c r="Q806" s="597"/>
      <c r="R806" s="597"/>
      <c r="S806" s="597"/>
      <c r="T806" s="597"/>
      <c r="U806" s="597"/>
      <c r="V806" s="597"/>
      <c r="W806" s="597"/>
      <c r="X806" s="597"/>
      <c r="Y806" s="597"/>
      <c r="Z806" s="597"/>
    </row>
    <row r="807" spans="1:26" ht="18.75" hidden="1">
      <c r="A807" s="592"/>
      <c r="B807" s="750"/>
      <c r="C807" s="750"/>
      <c r="D807" s="609"/>
      <c r="E807" s="750" t="s">
        <v>185</v>
      </c>
      <c r="F807" s="750"/>
      <c r="G807" s="596"/>
      <c r="H807" s="165" t="s">
        <v>12</v>
      </c>
      <c r="I807" s="610"/>
      <c r="J807" s="610"/>
      <c r="K807" s="93"/>
      <c r="L807" s="93">
        <f t="shared" si="330"/>
        <v>0</v>
      </c>
      <c r="M807" s="93">
        <f t="shared" si="330"/>
        <v>0</v>
      </c>
      <c r="N807" s="93">
        <f t="shared" si="330"/>
        <v>0</v>
      </c>
      <c r="O807" s="93">
        <f t="shared" si="328"/>
        <v>0</v>
      </c>
      <c r="P807" s="93">
        <f t="shared" si="329"/>
        <v>0</v>
      </c>
      <c r="Q807" s="597"/>
      <c r="R807" s="597"/>
      <c r="S807" s="597"/>
      <c r="T807" s="597"/>
      <c r="U807" s="597"/>
      <c r="V807" s="597"/>
      <c r="W807" s="597"/>
      <c r="X807" s="597"/>
      <c r="Y807" s="597"/>
      <c r="Z807" s="597"/>
    </row>
    <row r="808" spans="1:26" ht="19.5" hidden="1">
      <c r="A808" s="592"/>
      <c r="B808" s="600"/>
      <c r="C808" s="750"/>
      <c r="D808" s="869" t="s">
        <v>20</v>
      </c>
      <c r="E808" s="857"/>
      <c r="F808" s="857"/>
      <c r="G808" s="596"/>
      <c r="H808" s="639" t="s">
        <v>12</v>
      </c>
      <c r="I808" s="166"/>
      <c r="J808" s="166"/>
      <c r="K808" s="167"/>
      <c r="L808" s="640">
        <f t="shared" ref="L808:N808" si="331">L809+L810</f>
        <v>0</v>
      </c>
      <c r="M808" s="640">
        <f t="shared" si="331"/>
        <v>0</v>
      </c>
      <c r="N808" s="640">
        <f t="shared" si="331"/>
        <v>0</v>
      </c>
      <c r="O808" s="640">
        <f t="shared" si="328"/>
        <v>0</v>
      </c>
      <c r="P808" s="640">
        <f t="shared" si="329"/>
        <v>0</v>
      </c>
      <c r="Q808" s="597"/>
      <c r="R808" s="597"/>
      <c r="S808" s="597"/>
      <c r="T808" s="597"/>
      <c r="U808" s="597"/>
      <c r="V808" s="597"/>
      <c r="W808" s="597"/>
      <c r="X808" s="597"/>
      <c r="Y808" s="597"/>
      <c r="Z808" s="597"/>
    </row>
    <row r="809" spans="1:26" ht="18.75" hidden="1">
      <c r="A809" s="592"/>
      <c r="B809" s="750"/>
      <c r="C809" s="750"/>
      <c r="D809" s="609"/>
      <c r="E809" s="750" t="s">
        <v>184</v>
      </c>
      <c r="F809" s="750"/>
      <c r="G809" s="596"/>
      <c r="H809" s="165" t="s">
        <v>12</v>
      </c>
      <c r="I809" s="610"/>
      <c r="J809" s="610"/>
      <c r="K809" s="93"/>
      <c r="L809" s="93">
        <v>0</v>
      </c>
      <c r="M809" s="93">
        <v>0</v>
      </c>
      <c r="N809" s="93">
        <v>0</v>
      </c>
      <c r="O809" s="93">
        <f t="shared" si="328"/>
        <v>0</v>
      </c>
      <c r="P809" s="93">
        <f t="shared" si="329"/>
        <v>0</v>
      </c>
      <c r="Q809" s="597"/>
      <c r="R809" s="597"/>
      <c r="S809" s="597"/>
      <c r="T809" s="597"/>
      <c r="U809" s="597"/>
      <c r="V809" s="597"/>
      <c r="W809" s="597"/>
      <c r="X809" s="597"/>
      <c r="Y809" s="597"/>
      <c r="Z809" s="597"/>
    </row>
    <row r="810" spans="1:26" ht="18.75" hidden="1">
      <c r="A810" s="592"/>
      <c r="B810" s="750"/>
      <c r="C810" s="750"/>
      <c r="D810" s="609"/>
      <c r="E810" s="750" t="s">
        <v>185</v>
      </c>
      <c r="F810" s="750"/>
      <c r="G810" s="596"/>
      <c r="H810" s="165" t="s">
        <v>12</v>
      </c>
      <c r="I810" s="610"/>
      <c r="J810" s="610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8"/>
        <v>0</v>
      </c>
      <c r="P810" s="93">
        <f t="shared" si="329"/>
        <v>0</v>
      </c>
      <c r="Q810" s="597"/>
      <c r="R810" s="597"/>
      <c r="S810" s="597"/>
      <c r="T810" s="597"/>
      <c r="U810" s="597"/>
      <c r="V810" s="597"/>
      <c r="W810" s="597"/>
      <c r="X810" s="597"/>
      <c r="Y810" s="597"/>
      <c r="Z810" s="597"/>
    </row>
    <row r="811" spans="1:26" ht="18.75" hidden="1">
      <c r="A811" s="642"/>
      <c r="B811" s="600"/>
      <c r="C811" s="750"/>
      <c r="D811" s="600"/>
      <c r="E811" s="750"/>
      <c r="F811" s="750" t="s">
        <v>186</v>
      </c>
      <c r="G811" s="596"/>
      <c r="H811" s="165" t="s">
        <v>12</v>
      </c>
      <c r="I811" s="610"/>
      <c r="J811" s="610"/>
      <c r="K811" s="93"/>
      <c r="L811" s="93"/>
      <c r="M811" s="93"/>
      <c r="N811" s="93"/>
      <c r="O811" s="93"/>
      <c r="P811" s="93"/>
      <c r="Q811" s="597"/>
      <c r="R811" s="597"/>
      <c r="S811" s="597"/>
      <c r="T811" s="597"/>
      <c r="U811" s="597"/>
      <c r="V811" s="597"/>
      <c r="W811" s="597"/>
      <c r="X811" s="597"/>
      <c r="Y811" s="597"/>
      <c r="Z811" s="597"/>
    </row>
    <row r="812" spans="1:26" ht="18.75" hidden="1">
      <c r="A812" s="642"/>
      <c r="B812" s="600"/>
      <c r="C812" s="750"/>
      <c r="D812" s="600"/>
      <c r="E812" s="750"/>
      <c r="F812" s="750" t="s">
        <v>187</v>
      </c>
      <c r="G812" s="596"/>
      <c r="H812" s="165" t="s">
        <v>12</v>
      </c>
      <c r="I812" s="610"/>
      <c r="J812" s="610"/>
      <c r="K812" s="93"/>
      <c r="L812" s="93"/>
      <c r="M812" s="93"/>
      <c r="N812" s="93"/>
      <c r="O812" s="93"/>
      <c r="P812" s="93"/>
      <c r="Q812" s="597"/>
      <c r="R812" s="597"/>
      <c r="S812" s="597"/>
      <c r="T812" s="597"/>
      <c r="U812" s="597"/>
      <c r="V812" s="597"/>
      <c r="W812" s="597"/>
      <c r="X812" s="597"/>
      <c r="Y812" s="597"/>
      <c r="Z812" s="597"/>
    </row>
    <row r="813" spans="1:26" ht="18.75" hidden="1">
      <c r="A813" s="642"/>
      <c r="B813" s="600"/>
      <c r="C813" s="750"/>
      <c r="D813" s="600"/>
      <c r="E813" s="750"/>
      <c r="F813" s="750" t="s">
        <v>188</v>
      </c>
      <c r="G813" s="596"/>
      <c r="H813" s="165" t="s">
        <v>12</v>
      </c>
      <c r="I813" s="610"/>
      <c r="J813" s="610"/>
      <c r="K813" s="93"/>
      <c r="L813" s="93"/>
      <c r="M813" s="93"/>
      <c r="N813" s="93"/>
      <c r="O813" s="93"/>
      <c r="P813" s="93"/>
      <c r="Q813" s="597"/>
      <c r="R813" s="597"/>
      <c r="S813" s="597"/>
      <c r="T813" s="597"/>
      <c r="U813" s="597"/>
      <c r="V813" s="597"/>
      <c r="W813" s="597"/>
      <c r="X813" s="597"/>
      <c r="Y813" s="597"/>
      <c r="Z813" s="597"/>
    </row>
    <row r="814" spans="1:26" ht="18.75" hidden="1">
      <c r="A814" s="642"/>
      <c r="B814" s="600"/>
      <c r="C814" s="750"/>
      <c r="D814" s="600"/>
      <c r="E814" s="750"/>
      <c r="F814" s="750" t="s">
        <v>189</v>
      </c>
      <c r="G814" s="596"/>
      <c r="H814" s="165" t="s">
        <v>12</v>
      </c>
      <c r="I814" s="610"/>
      <c r="J814" s="610"/>
      <c r="K814" s="93"/>
      <c r="L814" s="93"/>
      <c r="M814" s="93"/>
      <c r="N814" s="93"/>
      <c r="O814" s="93"/>
      <c r="P814" s="93"/>
      <c r="Q814" s="597"/>
      <c r="R814" s="597"/>
      <c r="S814" s="597"/>
      <c r="T814" s="597"/>
      <c r="U814" s="597"/>
      <c r="V814" s="597"/>
      <c r="W814" s="597"/>
      <c r="X814" s="597"/>
      <c r="Y814" s="597"/>
      <c r="Z814" s="597"/>
    </row>
    <row r="815" spans="1:26" ht="19.5" hidden="1">
      <c r="A815" s="592"/>
      <c r="B815" s="600"/>
      <c r="C815" s="750"/>
      <c r="D815" s="869" t="s">
        <v>21</v>
      </c>
      <c r="E815" s="857"/>
      <c r="F815" s="857"/>
      <c r="G815" s="596"/>
      <c r="H815" s="774" t="s">
        <v>12</v>
      </c>
      <c r="I815" s="166"/>
      <c r="J815" s="166"/>
      <c r="K815" s="167"/>
      <c r="L815" s="640">
        <f t="shared" ref="L815:N815" si="332">L816+L817</f>
        <v>0</v>
      </c>
      <c r="M815" s="640">
        <f t="shared" si="332"/>
        <v>0</v>
      </c>
      <c r="N815" s="640">
        <f t="shared" si="332"/>
        <v>0</v>
      </c>
      <c r="O815" s="640">
        <f t="shared" ref="O815:O817" si="333">IF(L815&gt;0,N815*100/L815,0)</f>
        <v>0</v>
      </c>
      <c r="P815" s="640">
        <f t="shared" ref="P815:P817" si="334">IF(M815&gt;0,N815*100/M815,0)</f>
        <v>0</v>
      </c>
      <c r="Q815" s="597"/>
      <c r="R815" s="597"/>
      <c r="S815" s="597"/>
      <c r="T815" s="597"/>
      <c r="U815" s="597"/>
      <c r="V815" s="597"/>
      <c r="W815" s="597"/>
      <c r="X815" s="597"/>
      <c r="Y815" s="597"/>
      <c r="Z815" s="597"/>
    </row>
    <row r="816" spans="1:26" ht="18.75" hidden="1">
      <c r="A816" s="592"/>
      <c r="B816" s="600"/>
      <c r="C816" s="750"/>
      <c r="D816" s="600"/>
      <c r="E816" s="750" t="s">
        <v>18</v>
      </c>
      <c r="F816" s="750"/>
      <c r="G816" s="596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3"/>
        <v>0</v>
      </c>
      <c r="P816" s="93">
        <f t="shared" si="334"/>
        <v>0</v>
      </c>
      <c r="Q816" s="597"/>
      <c r="R816" s="597"/>
      <c r="S816" s="597"/>
      <c r="T816" s="597"/>
      <c r="U816" s="597"/>
      <c r="V816" s="597"/>
      <c r="W816" s="597"/>
      <c r="X816" s="597"/>
      <c r="Y816" s="597"/>
      <c r="Z816" s="597"/>
    </row>
    <row r="817" spans="1:26" ht="18.75" hidden="1">
      <c r="A817" s="592"/>
      <c r="B817" s="600"/>
      <c r="C817" s="750"/>
      <c r="D817" s="600"/>
      <c r="E817" s="750" t="s">
        <v>19</v>
      </c>
      <c r="F817" s="750"/>
      <c r="G817" s="596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3"/>
        <v>0</v>
      </c>
      <c r="P817" s="93">
        <f t="shared" si="334"/>
        <v>0</v>
      </c>
      <c r="Q817" s="597"/>
      <c r="R817" s="597"/>
      <c r="S817" s="597"/>
      <c r="T817" s="597"/>
      <c r="U817" s="597"/>
      <c r="V817" s="597"/>
      <c r="W817" s="597"/>
      <c r="X817" s="597"/>
      <c r="Y817" s="597"/>
      <c r="Z817" s="597"/>
    </row>
    <row r="818" spans="1:26" ht="19.5" hidden="1">
      <c r="A818" s="607"/>
      <c r="B818" s="609"/>
      <c r="C818" s="750" t="s">
        <v>16</v>
      </c>
      <c r="D818" s="842" t="s">
        <v>38</v>
      </c>
      <c r="E818" s="644"/>
      <c r="F818" s="644"/>
      <c r="G818" s="645"/>
      <c r="H818" s="365"/>
      <c r="I818" s="166"/>
      <c r="J818" s="166"/>
      <c r="K818" s="167"/>
      <c r="L818" s="167"/>
      <c r="M818" s="167"/>
      <c r="N818" s="167"/>
      <c r="O818" s="167"/>
      <c r="P818" s="167"/>
      <c r="Q818" s="597"/>
      <c r="R818" s="597"/>
      <c r="S818" s="597"/>
      <c r="T818" s="597"/>
      <c r="U818" s="597"/>
      <c r="V818" s="597"/>
      <c r="W818" s="597"/>
      <c r="X818" s="597"/>
      <c r="Y818" s="597"/>
      <c r="Z818" s="597"/>
    </row>
    <row r="819" spans="1:26" ht="19.5" hidden="1" thickBot="1">
      <c r="A819" s="805"/>
      <c r="B819" s="806"/>
      <c r="C819" s="808"/>
      <c r="D819" s="806"/>
      <c r="E819" s="808" t="s">
        <v>323</v>
      </c>
      <c r="F819" s="808"/>
      <c r="G819" s="809"/>
      <c r="H819" s="810" t="s">
        <v>46</v>
      </c>
      <c r="I819" s="811"/>
      <c r="J819" s="811"/>
      <c r="K819" s="812"/>
      <c r="L819" s="812"/>
      <c r="M819" s="812"/>
      <c r="N819" s="812"/>
      <c r="O819" s="812"/>
      <c r="P819" s="812"/>
      <c r="Q819" s="597"/>
      <c r="R819" s="597"/>
      <c r="S819" s="597"/>
      <c r="T819" s="597"/>
      <c r="U819" s="597"/>
      <c r="V819" s="597"/>
      <c r="W819" s="597"/>
      <c r="X819" s="597"/>
      <c r="Y819" s="597"/>
      <c r="Z819" s="597"/>
    </row>
    <row r="820" spans="1:26" ht="19.5">
      <c r="A820" s="813" t="s">
        <v>331</v>
      </c>
      <c r="B820" s="814"/>
      <c r="C820" s="814"/>
      <c r="D820" s="815"/>
      <c r="E820" s="814"/>
      <c r="F820" s="814"/>
      <c r="G820" s="816"/>
      <c r="H820" s="816"/>
      <c r="I820" s="214"/>
      <c r="J820" s="214"/>
      <c r="K820" s="817"/>
      <c r="L820" s="817"/>
      <c r="M820" s="817"/>
      <c r="N820" s="817"/>
      <c r="O820" s="817"/>
      <c r="P820" s="817"/>
      <c r="Q820" s="571"/>
      <c r="R820" s="571"/>
      <c r="S820" s="571"/>
      <c r="T820" s="571"/>
      <c r="U820" s="571"/>
      <c r="V820" s="571"/>
      <c r="W820" s="571"/>
      <c r="X820" s="571"/>
      <c r="Y820" s="571"/>
      <c r="Z820" s="571"/>
    </row>
    <row r="821" spans="1:26" ht="18.75">
      <c r="A821" s="735"/>
      <c r="B821" s="754" t="s">
        <v>325</v>
      </c>
      <c r="C821" s="754"/>
      <c r="D821" s="568"/>
      <c r="E821" s="754"/>
      <c r="F821" s="754"/>
      <c r="G821" s="189"/>
      <c r="H821" s="616" t="s">
        <v>12</v>
      </c>
      <c r="I821" s="269">
        <f ca="1">IFERROR(__xludf.DUMMYFUNCTION("IMPORTRANGE(""https://docs.google.com/spreadsheets/d/19vJNZY_5yjcGF2XGBMNZRCAIB0Kwfpjp8YEOfu-bneM/edit?usp=sharing"",""งานกองทุน!D63"")"),8410909.31)</f>
        <v>8410909.3100000005</v>
      </c>
      <c r="J821" s="269">
        <f ca="1">IFERROR(__xludf.DUMMYFUNCTION("IMPORTRANGE(""https://docs.google.com/spreadsheets/d/19vJNZY_5yjcGF2XGBMNZRCAIB0Kwfpjp8YEOfu-bneM/edit?usp=sharing"",""งานกองทุน!F63"")"),200752.06)</f>
        <v>200752.06</v>
      </c>
      <c r="K821" s="496">
        <f t="shared" ref="K821:K828" ca="1" si="335">IF(I821&gt;0,J821*100/I821,0)</f>
        <v>2.3868056663186157</v>
      </c>
      <c r="L821" s="496"/>
      <c r="M821" s="496"/>
      <c r="N821" s="496"/>
      <c r="O821" s="496"/>
      <c r="P821" s="496"/>
      <c r="Q821" s="571"/>
      <c r="R821" s="571"/>
      <c r="S821" s="571"/>
      <c r="T821" s="571"/>
      <c r="U821" s="571"/>
      <c r="V821" s="571"/>
      <c r="W821" s="571"/>
      <c r="X821" s="571"/>
      <c r="Y821" s="571"/>
      <c r="Z821" s="571"/>
    </row>
    <row r="822" spans="1:26" ht="18.75">
      <c r="A822" s="735"/>
      <c r="B822" s="754"/>
      <c r="C822" s="754"/>
      <c r="D822" s="568"/>
      <c r="E822" s="754"/>
      <c r="F822" s="754"/>
      <c r="G822" s="189"/>
      <c r="H822" s="616" t="s">
        <v>35</v>
      </c>
      <c r="I822" s="269">
        <f ca="1">IFERROR(__xludf.DUMMYFUNCTION("IMPORTRANGE(""https://docs.google.com/spreadsheets/d/19vJNZY_5yjcGF2XGBMNZRCAIB0Kwfpjp8YEOfu-bneM/edit?usp=sharing"",""งานกองทุน!C63"")"),187)</f>
        <v>187</v>
      </c>
      <c r="J822" s="269">
        <f ca="1">IFERROR(__xludf.DUMMYFUNCTION("IMPORTRANGE(""https://docs.google.com/spreadsheets/d/19vJNZY_5yjcGF2XGBMNZRCAIB0Kwfpjp8YEOfu-bneM/edit?usp=sharing"",""งานกองทุน!E63"")"),6)</f>
        <v>6</v>
      </c>
      <c r="K822" s="496">
        <f t="shared" ca="1" si="335"/>
        <v>3.2085561497326203</v>
      </c>
      <c r="L822" s="496"/>
      <c r="M822" s="496"/>
      <c r="N822" s="496"/>
      <c r="O822" s="496"/>
      <c r="P822" s="496"/>
      <c r="Q822" s="571"/>
      <c r="R822" s="571"/>
      <c r="S822" s="571"/>
      <c r="T822" s="571"/>
      <c r="U822" s="571"/>
      <c r="V822" s="571"/>
      <c r="W822" s="571"/>
      <c r="X822" s="571"/>
      <c r="Y822" s="571"/>
      <c r="Z822" s="571"/>
    </row>
    <row r="823" spans="1:26" ht="18.75">
      <c r="A823" s="735"/>
      <c r="B823" s="754" t="s">
        <v>326</v>
      </c>
      <c r="C823" s="754"/>
      <c r="D823" s="568"/>
      <c r="E823" s="754"/>
      <c r="F823" s="754"/>
      <c r="G823" s="189"/>
      <c r="H823" s="616" t="s">
        <v>12</v>
      </c>
      <c r="I823" s="269">
        <f ca="1">IFERROR(__xludf.DUMMYFUNCTION("IMPORTRANGE(""https://docs.google.com/spreadsheets/d/19vJNZY_5yjcGF2XGBMNZRCAIB0Kwfpjp8YEOfu-bneM/edit?usp=sharing"",""งานกองทุน!I63"")"),6314754.88)</f>
        <v>6314754.8799999999</v>
      </c>
      <c r="J823" s="269">
        <f ca="1">IFERROR(__xludf.DUMMYFUNCTION("IMPORTRANGE(""https://docs.google.com/spreadsheets/d/19vJNZY_5yjcGF2XGBMNZRCAIB0Kwfpjp8YEOfu-bneM/edit?usp=sharing"",""งานกองทุน!K63"")"),133893.56)</f>
        <v>133893.56</v>
      </c>
      <c r="K823" s="496">
        <f t="shared" ca="1" si="335"/>
        <v>2.1203286991244226</v>
      </c>
      <c r="L823" s="496"/>
      <c r="M823" s="496"/>
      <c r="N823" s="496"/>
      <c r="O823" s="496"/>
      <c r="P823" s="496"/>
      <c r="Q823" s="571"/>
      <c r="R823" s="571"/>
      <c r="S823" s="571"/>
      <c r="T823" s="571"/>
      <c r="U823" s="571"/>
      <c r="V823" s="571"/>
      <c r="W823" s="571"/>
      <c r="X823" s="571"/>
      <c r="Y823" s="571"/>
      <c r="Z823" s="571"/>
    </row>
    <row r="824" spans="1:26" ht="18.75">
      <c r="A824" s="735"/>
      <c r="B824" s="754"/>
      <c r="C824" s="754"/>
      <c r="D824" s="568"/>
      <c r="E824" s="754"/>
      <c r="F824" s="754"/>
      <c r="G824" s="189"/>
      <c r="H824" s="616" t="s">
        <v>35</v>
      </c>
      <c r="I824" s="269">
        <f ca="1">IFERROR(__xludf.DUMMYFUNCTION("IMPORTRANGE(""https://docs.google.com/spreadsheets/d/19vJNZY_5yjcGF2XGBMNZRCAIB0Kwfpjp8YEOfu-bneM/edit?usp=sharing"",""งานกองทุน!H63"")"),147)</f>
        <v>147</v>
      </c>
      <c r="J824" s="269">
        <f ca="1">IFERROR(__xludf.DUMMYFUNCTION("IMPORTRANGE(""https://docs.google.com/spreadsheets/d/19vJNZY_5yjcGF2XGBMNZRCAIB0Kwfpjp8YEOfu-bneM/edit?usp=sharing"",""งานกองทุน!J63"")"),50)</f>
        <v>50</v>
      </c>
      <c r="K824" s="496">
        <f t="shared" ca="1" si="335"/>
        <v>34.013605442176868</v>
      </c>
      <c r="L824" s="496"/>
      <c r="M824" s="496"/>
      <c r="N824" s="496"/>
      <c r="O824" s="496"/>
      <c r="P824" s="496"/>
      <c r="Q824" s="571"/>
      <c r="R824" s="571"/>
      <c r="S824" s="571"/>
      <c r="T824" s="571"/>
      <c r="U824" s="571"/>
      <c r="V824" s="571"/>
      <c r="W824" s="571"/>
      <c r="X824" s="571"/>
      <c r="Y824" s="571"/>
      <c r="Z824" s="571"/>
    </row>
    <row r="825" spans="1:26" ht="18.75">
      <c r="A825" s="735"/>
      <c r="B825" s="754" t="s">
        <v>327</v>
      </c>
      <c r="C825" s="754"/>
      <c r="D825" s="568"/>
      <c r="E825" s="754"/>
      <c r="F825" s="754"/>
      <c r="G825" s="189"/>
      <c r="H825" s="616" t="s">
        <v>12</v>
      </c>
      <c r="I825" s="269">
        <f ca="1">IFERROR(__xludf.DUMMYFUNCTION("IMPORTRANGE(""https://docs.google.com/spreadsheets/d/19vJNZY_5yjcGF2XGBMNZRCAIB0Kwfpjp8YEOfu-bneM/edit?usp=sharing"",""งานกองทุน!N63"")"),693729.38)</f>
        <v>693729.38</v>
      </c>
      <c r="J825" s="269">
        <f ca="1">IFERROR(__xludf.DUMMYFUNCTION("IMPORTRANGE(""https://docs.google.com/spreadsheets/d/19vJNZY_5yjcGF2XGBMNZRCAIB0Kwfpjp8YEOfu-bneM/edit?usp=sharing"",""งานกองทุน!P63"")"),12556.98)</f>
        <v>12556.98</v>
      </c>
      <c r="K825" s="496">
        <f t="shared" ca="1" si="335"/>
        <v>1.8100689349498216</v>
      </c>
      <c r="L825" s="496"/>
      <c r="M825" s="496"/>
      <c r="N825" s="496"/>
      <c r="O825" s="496"/>
      <c r="P825" s="496"/>
      <c r="Q825" s="571"/>
      <c r="R825" s="571"/>
      <c r="S825" s="571"/>
      <c r="T825" s="571"/>
      <c r="U825" s="571"/>
      <c r="V825" s="571"/>
      <c r="W825" s="571"/>
      <c r="X825" s="571"/>
      <c r="Y825" s="571"/>
      <c r="Z825" s="571"/>
    </row>
    <row r="826" spans="1:26" ht="18.75">
      <c r="A826" s="735"/>
      <c r="B826" s="754"/>
      <c r="C826" s="754"/>
      <c r="D826" s="568"/>
      <c r="E826" s="754"/>
      <c r="F826" s="754"/>
      <c r="G826" s="189"/>
      <c r="H826" s="616" t="s">
        <v>35</v>
      </c>
      <c r="I826" s="269">
        <f ca="1">IFERROR(__xludf.DUMMYFUNCTION("IMPORTRANGE(""https://docs.google.com/spreadsheets/d/19vJNZY_5yjcGF2XGBMNZRCAIB0Kwfpjp8YEOfu-bneM/edit?usp=sharing"",""งานกองทุน!M63"")"),445)</f>
        <v>445</v>
      </c>
      <c r="J826" s="269">
        <f ca="1">IFERROR(__xludf.DUMMYFUNCTION("IMPORTRANGE(""https://docs.google.com/spreadsheets/d/19vJNZY_5yjcGF2XGBMNZRCAIB0Kwfpjp8YEOfu-bneM/edit?usp=sharing"",""งานกองทุน!O63"")"),11)</f>
        <v>11</v>
      </c>
      <c r="K826" s="496">
        <f t="shared" ca="1" si="335"/>
        <v>2.4719101123595504</v>
      </c>
      <c r="L826" s="496"/>
      <c r="M826" s="496"/>
      <c r="N826" s="496"/>
      <c r="O826" s="496"/>
      <c r="P826" s="496"/>
      <c r="Q826" s="571"/>
      <c r="R826" s="571"/>
      <c r="S826" s="571"/>
      <c r="T826" s="571"/>
      <c r="U826" s="571"/>
      <c r="V826" s="571"/>
      <c r="W826" s="571"/>
      <c r="X826" s="571"/>
      <c r="Y826" s="571"/>
      <c r="Z826" s="571"/>
    </row>
    <row r="827" spans="1:26" ht="18.75">
      <c r="A827" s="735"/>
      <c r="B827" s="754" t="s">
        <v>328</v>
      </c>
      <c r="C827" s="754"/>
      <c r="D827" s="568"/>
      <c r="E827" s="754"/>
      <c r="F827" s="754"/>
      <c r="G827" s="189"/>
      <c r="H827" s="616" t="s">
        <v>12</v>
      </c>
      <c r="I827" s="269">
        <f ca="1">IFERROR(__xludf.DUMMYFUNCTION("IMPORTRANGE(""https://docs.google.com/spreadsheets/d/19vJNZY_5yjcGF2XGBMNZRCAIB0Kwfpjp8YEOfu-bneM/edit?usp=sharing"",""งานกองทุน!S63"")"),4980000)</f>
        <v>4980000</v>
      </c>
      <c r="J827" s="269">
        <f ca="1">IFERROR(__xludf.DUMMYFUNCTION("IMPORTRANGE(""https://docs.google.com/spreadsheets/d/19vJNZY_5yjcGF2XGBMNZRCAIB0Kwfpjp8YEOfu-bneM/edit?usp=sharing"",""งานกองทุน!U63"")"),300000)</f>
        <v>300000</v>
      </c>
      <c r="K827" s="496">
        <f t="shared" ca="1" si="335"/>
        <v>6.024096385542169</v>
      </c>
      <c r="L827" s="496"/>
      <c r="M827" s="496"/>
      <c r="N827" s="496"/>
      <c r="O827" s="496"/>
      <c r="P827" s="496"/>
      <c r="Q827" s="571"/>
      <c r="R827" s="571"/>
      <c r="S827" s="571"/>
      <c r="T827" s="571"/>
      <c r="U827" s="571"/>
      <c r="V827" s="571"/>
      <c r="W827" s="571"/>
      <c r="X827" s="571"/>
      <c r="Y827" s="571"/>
      <c r="Z827" s="571"/>
    </row>
    <row r="828" spans="1:26" ht="18.75">
      <c r="A828" s="738"/>
      <c r="B828" s="740"/>
      <c r="C828" s="740"/>
      <c r="D828" s="739"/>
      <c r="E828" s="740"/>
      <c r="F828" s="740"/>
      <c r="G828" s="818"/>
      <c r="H828" s="819" t="s">
        <v>35</v>
      </c>
      <c r="I828" s="499">
        <f ca="1">IFERROR(__xludf.DUMMYFUNCTION("IMPORTRANGE(""https://docs.google.com/spreadsheets/d/19vJNZY_5yjcGF2XGBMNZRCAIB0Kwfpjp8YEOfu-bneM/edit?usp=sharing"",""งานกองทุน!R63"")"),199)</f>
        <v>199</v>
      </c>
      <c r="J828" s="499">
        <f ca="1">IFERROR(__xludf.DUMMYFUNCTION("IMPORTRANGE(""https://docs.google.com/spreadsheets/d/19vJNZY_5yjcGF2XGBMNZRCAIB0Kwfpjp8YEOfu-bneM/edit?usp=sharing"",""งานกองทุน!T63"")"),6)</f>
        <v>6</v>
      </c>
      <c r="K828" s="500">
        <f t="shared" ca="1" si="335"/>
        <v>3.0150753768844223</v>
      </c>
      <c r="L828" s="500"/>
      <c r="M828" s="500"/>
      <c r="N828" s="500"/>
      <c r="O828" s="500"/>
      <c r="P828" s="500"/>
      <c r="Q828" s="571"/>
      <c r="R828" s="571"/>
      <c r="S828" s="571"/>
      <c r="T828" s="571"/>
      <c r="U828" s="571"/>
      <c r="V828" s="571"/>
      <c r="W828" s="571"/>
      <c r="X828" s="571"/>
      <c r="Y828" s="571"/>
      <c r="Z828" s="571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544:F544"/>
    <mergeCell ref="A7:G7"/>
    <mergeCell ref="A17:G17"/>
    <mergeCell ref="A27:G27"/>
    <mergeCell ref="B40:G40"/>
    <mergeCell ref="A50:G50"/>
    <mergeCell ref="B51:G51"/>
    <mergeCell ref="D419:F419"/>
    <mergeCell ref="D444:F444"/>
    <mergeCell ref="D467:F467"/>
    <mergeCell ref="D502:F502"/>
    <mergeCell ref="D523:F523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 gridLines="1"/>
  <pageMargins left="0.23622047244094491" right="0.23622047244094491" top="0.74803149606299213" bottom="0.74803149606299213" header="0" footer="0"/>
  <pageSetup paperSize="9" scale="42" fitToHeight="0" pageOrder="overThenDown" orientation="portrait" cellComments="atEnd" r:id="rId1"/>
  <headerFooter>
    <oddFooter>&amp;Cหน้า &amp;P/&amp;N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F6F491-7439-463C-B9B3-4C7BA80C99A5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activeCell="A2" sqref="A2:P2"/>
      <selection pane="bottomLeft" activeCell="A2" sqref="A2:P2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9" width="16.85546875" bestFit="1" customWidth="1"/>
    <col min="10" max="10" width="14.42578125" bestFit="1" customWidth="1"/>
    <col min="11" max="11" width="12.5703125" customWidth="1"/>
    <col min="12" max="13" width="21.28515625" bestFit="1" customWidth="1"/>
    <col min="14" max="14" width="18.7109375" bestFit="1" customWidth="1"/>
    <col min="15" max="16" width="17.5703125" customWidth="1"/>
  </cols>
  <sheetData>
    <row r="1" spans="1:26" ht="19.5">
      <c r="A1" s="844" t="s">
        <v>0</v>
      </c>
      <c r="B1" s="845"/>
      <c r="C1" s="845"/>
      <c r="D1" s="845"/>
      <c r="E1" s="845"/>
      <c r="F1" s="845"/>
      <c r="G1" s="845"/>
      <c r="H1" s="845"/>
      <c r="I1" s="845"/>
      <c r="J1" s="845"/>
      <c r="K1" s="845"/>
      <c r="L1" s="845"/>
      <c r="M1" s="845"/>
      <c r="N1" s="845"/>
      <c r="O1" s="845"/>
      <c r="P1" s="845"/>
    </row>
    <row r="2" spans="1:26" ht="19.5">
      <c r="A2" s="844" t="s">
        <v>350</v>
      </c>
      <c r="B2" s="845"/>
      <c r="C2" s="845"/>
      <c r="D2" s="845"/>
      <c r="E2" s="845"/>
      <c r="F2" s="845"/>
      <c r="G2" s="845"/>
      <c r="H2" s="845"/>
      <c r="I2" s="845"/>
      <c r="J2" s="845"/>
      <c r="K2" s="845"/>
      <c r="L2" s="845"/>
      <c r="M2" s="845"/>
      <c r="N2" s="845"/>
      <c r="O2" s="845"/>
      <c r="P2" s="845"/>
    </row>
    <row r="3" spans="1:26" ht="19.5">
      <c r="A3" s="844" t="s">
        <v>347</v>
      </c>
      <c r="B3" s="845"/>
      <c r="C3" s="845"/>
      <c r="D3" s="845"/>
      <c r="E3" s="845"/>
      <c r="F3" s="845"/>
      <c r="G3" s="845"/>
      <c r="H3" s="845"/>
      <c r="I3" s="845"/>
      <c r="J3" s="845"/>
      <c r="K3" s="845"/>
      <c r="L3" s="845"/>
      <c r="M3" s="845"/>
      <c r="N3" s="845"/>
      <c r="O3" s="845"/>
      <c r="P3" s="845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52" t="s">
        <v>2</v>
      </c>
      <c r="B5" s="845"/>
      <c r="C5" s="845"/>
      <c r="D5" s="845"/>
      <c r="E5" s="845"/>
      <c r="F5" s="845"/>
      <c r="G5" s="853"/>
      <c r="H5" s="846" t="s">
        <v>3</v>
      </c>
      <c r="I5" s="848" t="s">
        <v>4</v>
      </c>
      <c r="J5" s="849"/>
      <c r="K5" s="847"/>
      <c r="L5" s="850" t="s">
        <v>5</v>
      </c>
      <c r="M5" s="847"/>
      <c r="N5" s="851" t="s">
        <v>6</v>
      </c>
      <c r="O5" s="849"/>
      <c r="P5" s="847"/>
    </row>
    <row r="6" spans="1:26" ht="19.5">
      <c r="A6" s="854"/>
      <c r="B6" s="849"/>
      <c r="C6" s="849"/>
      <c r="D6" s="849"/>
      <c r="E6" s="849"/>
      <c r="F6" s="849"/>
      <c r="G6" s="847"/>
      <c r="H6" s="847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55" t="s">
        <v>15</v>
      </c>
      <c r="B7" s="849"/>
      <c r="C7" s="849"/>
      <c r="D7" s="849"/>
      <c r="E7" s="849"/>
      <c r="F7" s="849"/>
      <c r="G7" s="847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3306120</v>
      </c>
      <c r="M8" s="22">
        <f t="shared" ca="1" si="0"/>
        <v>1448510</v>
      </c>
      <c r="N8" s="22">
        <f t="shared" ca="1" si="0"/>
        <v>811106.53</v>
      </c>
      <c r="O8" s="22">
        <f t="shared" ref="O8:O16" ca="1" si="1">IF(L8&gt;0,N8*100/L8,0)</f>
        <v>24.533487290237499</v>
      </c>
      <c r="P8" s="22">
        <f t="shared" ref="P8:P16" ca="1" si="2">IF(M8&gt;0,N8*100/M8,0)</f>
        <v>55.99592201641687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3306120</v>
      </c>
      <c r="M10" s="30">
        <f t="shared" ca="1" si="3"/>
        <v>1448510</v>
      </c>
      <c r="N10" s="30">
        <f t="shared" ca="1" si="3"/>
        <v>811106.53</v>
      </c>
      <c r="O10" s="30">
        <f t="shared" ca="1" si="1"/>
        <v>24.533487290237499</v>
      </c>
      <c r="P10" s="30">
        <f t="shared" ca="1" si="2"/>
        <v>55.99592201641687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16" t="s">
        <v>12</v>
      </c>
      <c r="I11" s="269"/>
      <c r="J11" s="269"/>
      <c r="K11" s="496"/>
      <c r="L11" s="496">
        <f t="shared" ref="L11:N11" ca="1" si="4">L12+L13</f>
        <v>3230120</v>
      </c>
      <c r="M11" s="496">
        <f t="shared" ca="1" si="4"/>
        <v>1372510</v>
      </c>
      <c r="N11" s="496">
        <f t="shared" ca="1" si="4"/>
        <v>735106.53</v>
      </c>
      <c r="O11" s="496">
        <f t="shared" ca="1" si="1"/>
        <v>22.757870605426422</v>
      </c>
      <c r="P11" s="496">
        <f t="shared" ca="1" si="2"/>
        <v>53.559284085361853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2" t="s">
        <v>18</v>
      </c>
      <c r="F12" s="40"/>
      <c r="G12" s="42"/>
      <c r="H12" s="43" t="s">
        <v>12</v>
      </c>
      <c r="I12" s="610"/>
      <c r="J12" s="610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2" t="s">
        <v>19</v>
      </c>
      <c r="F13" s="40"/>
      <c r="G13" s="42"/>
      <c r="H13" s="43" t="s">
        <v>12</v>
      </c>
      <c r="I13" s="610"/>
      <c r="J13" s="610"/>
      <c r="K13" s="93"/>
      <c r="L13" s="93">
        <f t="shared" ca="1" si="5"/>
        <v>3230120</v>
      </c>
      <c r="M13" s="93">
        <f t="shared" ca="1" si="5"/>
        <v>1372510</v>
      </c>
      <c r="N13" s="93">
        <f t="shared" ca="1" si="5"/>
        <v>735106.53</v>
      </c>
      <c r="O13" s="93">
        <f t="shared" ca="1" si="1"/>
        <v>22.757870605426422</v>
      </c>
      <c r="P13" s="93">
        <f t="shared" ca="1" si="2"/>
        <v>53.559284085361853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16" t="s">
        <v>12</v>
      </c>
      <c r="I14" s="269"/>
      <c r="J14" s="269"/>
      <c r="K14" s="496"/>
      <c r="L14" s="496">
        <f t="shared" ref="L14:N14" ca="1" si="6">L15+L16</f>
        <v>76000</v>
      </c>
      <c r="M14" s="496">
        <f t="shared" ca="1" si="6"/>
        <v>76000</v>
      </c>
      <c r="N14" s="496">
        <f t="shared" ca="1" si="6"/>
        <v>76000</v>
      </c>
      <c r="O14" s="496">
        <f t="shared" ca="1" si="1"/>
        <v>100</v>
      </c>
      <c r="P14" s="496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2" t="s">
        <v>18</v>
      </c>
      <c r="F15" s="40"/>
      <c r="G15" s="42"/>
      <c r="H15" s="43" t="s">
        <v>12</v>
      </c>
      <c r="I15" s="610"/>
      <c r="J15" s="610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76000</v>
      </c>
      <c r="M16" s="52">
        <f t="shared" ca="1" si="7"/>
        <v>76000</v>
      </c>
      <c r="N16" s="52">
        <f t="shared" ca="1" si="7"/>
        <v>76000</v>
      </c>
      <c r="O16" s="52">
        <f t="shared" ca="1" si="1"/>
        <v>100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55" t="s">
        <v>22</v>
      </c>
      <c r="B17" s="849"/>
      <c r="C17" s="849"/>
      <c r="D17" s="849"/>
      <c r="E17" s="849"/>
      <c r="F17" s="849"/>
      <c r="G17" s="847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2837820</v>
      </c>
      <c r="M18" s="22">
        <f t="shared" ca="1" si="8"/>
        <v>1448510</v>
      </c>
      <c r="N18" s="22">
        <f t="shared" ca="1" si="8"/>
        <v>811106.53</v>
      </c>
      <c r="O18" s="22">
        <f t="shared" ref="O18:O26" ca="1" si="9">IF(L18&gt;0,N18*100/L18,0)</f>
        <v>28.582028810847763</v>
      </c>
      <c r="P18" s="22">
        <f t="shared" ref="P18:P26" ca="1" si="10">IF(M18&gt;0,N18*100/M18,0)</f>
        <v>55.99592201641687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2837820</v>
      </c>
      <c r="M20" s="30">
        <f t="shared" ca="1" si="11"/>
        <v>1448510</v>
      </c>
      <c r="N20" s="30">
        <f t="shared" ca="1" si="11"/>
        <v>811106.53</v>
      </c>
      <c r="O20" s="30">
        <f t="shared" ca="1" si="9"/>
        <v>28.582028810847763</v>
      </c>
      <c r="P20" s="30">
        <f t="shared" ca="1" si="10"/>
        <v>55.99592201641687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16" t="s">
        <v>12</v>
      </c>
      <c r="I21" s="269"/>
      <c r="J21" s="269"/>
      <c r="K21" s="496"/>
      <c r="L21" s="496">
        <f t="shared" ref="L21:N21" ca="1" si="12">L22+L23</f>
        <v>2761820</v>
      </c>
      <c r="M21" s="496">
        <f t="shared" ca="1" si="12"/>
        <v>1372510</v>
      </c>
      <c r="N21" s="496">
        <f t="shared" ca="1" si="12"/>
        <v>735106.53</v>
      </c>
      <c r="O21" s="496">
        <f t="shared" ca="1" si="9"/>
        <v>26.616742944869689</v>
      </c>
      <c r="P21" s="496">
        <f t="shared" ca="1" si="10"/>
        <v>53.559284085361853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2" t="s">
        <v>18</v>
      </c>
      <c r="F22" s="40"/>
      <c r="G22" s="42"/>
      <c r="H22" s="43" t="s">
        <v>12</v>
      </c>
      <c r="I22" s="610"/>
      <c r="J22" s="610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2" t="s">
        <v>19</v>
      </c>
      <c r="F23" s="40"/>
      <c r="G23" s="42"/>
      <c r="H23" s="43" t="s">
        <v>12</v>
      </c>
      <c r="I23" s="610"/>
      <c r="J23" s="610"/>
      <c r="K23" s="93"/>
      <c r="L23" s="93">
        <f t="shared" ca="1" si="13"/>
        <v>2761820</v>
      </c>
      <c r="M23" s="93">
        <f t="shared" ca="1" si="13"/>
        <v>1372510</v>
      </c>
      <c r="N23" s="93">
        <f t="shared" ca="1" si="13"/>
        <v>735106.53</v>
      </c>
      <c r="O23" s="93">
        <f t="shared" ca="1" si="9"/>
        <v>26.616742944869689</v>
      </c>
      <c r="P23" s="93">
        <f t="shared" ca="1" si="10"/>
        <v>53.559284085361853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16" t="s">
        <v>12</v>
      </c>
      <c r="I24" s="269"/>
      <c r="J24" s="269"/>
      <c r="K24" s="496"/>
      <c r="L24" s="496">
        <f t="shared" ref="L24:N24" ca="1" si="14">L25+L26</f>
        <v>76000</v>
      </c>
      <c r="M24" s="496">
        <f t="shared" ca="1" si="14"/>
        <v>76000</v>
      </c>
      <c r="N24" s="496">
        <f t="shared" ca="1" si="14"/>
        <v>76000</v>
      </c>
      <c r="O24" s="496">
        <f t="shared" ca="1" si="9"/>
        <v>100</v>
      </c>
      <c r="P24" s="496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2" t="s">
        <v>18</v>
      </c>
      <c r="F25" s="40"/>
      <c r="G25" s="42"/>
      <c r="H25" s="43" t="s">
        <v>12</v>
      </c>
      <c r="I25" s="610"/>
      <c r="J25" s="610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76000</v>
      </c>
      <c r="M26" s="52">
        <f t="shared" ca="1" si="15"/>
        <v>76000</v>
      </c>
      <c r="N26" s="52">
        <f t="shared" ca="1" si="15"/>
        <v>76000</v>
      </c>
      <c r="O26" s="52">
        <f t="shared" ca="1" si="9"/>
        <v>100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55" t="s">
        <v>23</v>
      </c>
      <c r="B27" s="849"/>
      <c r="C27" s="849"/>
      <c r="D27" s="849"/>
      <c r="E27" s="849"/>
      <c r="F27" s="849"/>
      <c r="G27" s="847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468300</v>
      </c>
      <c r="M28" s="22">
        <f t="shared" si="16"/>
        <v>0</v>
      </c>
      <c r="N28" s="22">
        <f t="shared" si="16"/>
        <v>0</v>
      </c>
      <c r="O28" s="22">
        <f t="shared" ref="O28:O37" ca="1" si="17">IF(L28&gt;0,N28*100/L28,0)</f>
        <v>0</v>
      </c>
      <c r="P28" s="22">
        <f t="shared" ref="P28:P37" si="18">IF(M28&gt;0,N28*100/M28,0)</f>
        <v>0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468300</v>
      </c>
      <c r="M30" s="30">
        <f t="shared" si="19"/>
        <v>0</v>
      </c>
      <c r="N30" s="30">
        <f t="shared" si="19"/>
        <v>0</v>
      </c>
      <c r="O30" s="30">
        <f t="shared" ca="1" si="17"/>
        <v>0</v>
      </c>
      <c r="P30" s="30">
        <f t="shared" si="18"/>
        <v>0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16" t="s">
        <v>12</v>
      </c>
      <c r="I31" s="269"/>
      <c r="J31" s="269"/>
      <c r="K31" s="496"/>
      <c r="L31" s="496">
        <f t="shared" ref="L31:N31" ca="1" si="20">L32+L33</f>
        <v>468300</v>
      </c>
      <c r="M31" s="496">
        <f t="shared" si="20"/>
        <v>0</v>
      </c>
      <c r="N31" s="496">
        <f t="shared" si="20"/>
        <v>0</v>
      </c>
      <c r="O31" s="496">
        <f t="shared" ca="1" si="17"/>
        <v>0</v>
      </c>
      <c r="P31" s="496">
        <f t="shared" si="18"/>
        <v>0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2" t="s">
        <v>18</v>
      </c>
      <c r="F32" s="40"/>
      <c r="G32" s="42"/>
      <c r="H32" s="43" t="s">
        <v>12</v>
      </c>
      <c r="I32" s="610"/>
      <c r="J32" s="610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2" t="s">
        <v>19</v>
      </c>
      <c r="F33" s="40"/>
      <c r="G33" s="42"/>
      <c r="H33" s="43" t="s">
        <v>12</v>
      </c>
      <c r="I33" s="610"/>
      <c r="J33" s="610"/>
      <c r="K33" s="93"/>
      <c r="L33" s="93">
        <f t="shared" ca="1" si="21"/>
        <v>468300</v>
      </c>
      <c r="M33" s="93">
        <f t="shared" si="21"/>
        <v>0</v>
      </c>
      <c r="N33" s="93">
        <f t="shared" si="21"/>
        <v>0</v>
      </c>
      <c r="O33" s="93">
        <f t="shared" ca="1" si="17"/>
        <v>0</v>
      </c>
      <c r="P33" s="93">
        <f t="shared" si="18"/>
        <v>0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16" t="s">
        <v>12</v>
      </c>
      <c r="I34" s="269"/>
      <c r="J34" s="269"/>
      <c r="K34" s="496"/>
      <c r="L34" s="496">
        <f t="shared" ref="L34:N34" ca="1" si="22">L35+L36</f>
        <v>0</v>
      </c>
      <c r="M34" s="496">
        <f t="shared" si="22"/>
        <v>0</v>
      </c>
      <c r="N34" s="496">
        <f t="shared" si="22"/>
        <v>0</v>
      </c>
      <c r="O34" s="496">
        <f t="shared" ca="1" si="17"/>
        <v>0</v>
      </c>
      <c r="P34" s="496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2" t="s">
        <v>18</v>
      </c>
      <c r="F35" s="40"/>
      <c r="G35" s="42"/>
      <c r="H35" s="43" t="s">
        <v>12</v>
      </c>
      <c r="I35" s="610"/>
      <c r="J35" s="610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53" t="s">
        <v>24</v>
      </c>
      <c r="B37" s="54"/>
      <c r="C37" s="54"/>
      <c r="D37" s="54"/>
      <c r="E37" s="54"/>
      <c r="F37" s="54"/>
      <c r="G37" s="55"/>
      <c r="H37" s="56"/>
      <c r="I37" s="423"/>
      <c r="J37" s="423"/>
      <c r="K37" s="58"/>
      <c r="L37" s="59">
        <f t="shared" ref="L37:N37" ca="1" si="24">L41+L53+L66+L88+L119+L132+L149+L165+L181+L261+L277+L298+L315+L328+L345+L389+L402</f>
        <v>2837820</v>
      </c>
      <c r="M37" s="59">
        <f t="shared" ca="1" si="24"/>
        <v>1448510</v>
      </c>
      <c r="N37" s="59">
        <f t="shared" ca="1" si="24"/>
        <v>811106.53</v>
      </c>
      <c r="O37" s="59">
        <f t="shared" ca="1" si="17"/>
        <v>28.582028810847763</v>
      </c>
      <c r="P37" s="59">
        <f t="shared" ca="1" si="18"/>
        <v>55.99592201641687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56" t="s">
        <v>27</v>
      </c>
      <c r="C40" s="857"/>
      <c r="D40" s="857"/>
      <c r="E40" s="857"/>
      <c r="F40" s="857"/>
      <c r="G40" s="858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20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312700</v>
      </c>
      <c r="M41" s="85">
        <f t="shared" ca="1" si="25"/>
        <v>162200</v>
      </c>
      <c r="N41" s="85">
        <f t="shared" ca="1" si="25"/>
        <v>118167.74</v>
      </c>
      <c r="O41" s="85">
        <f t="shared" ref="O41:O49" ca="1" si="26">IF(L41&gt;0,N41*100/L41,0)</f>
        <v>37.789491525423728</v>
      </c>
      <c r="P41" s="85">
        <f t="shared" ref="P41:P49" ca="1" si="27">IF(M41&gt;0,N41*100/M41,0)</f>
        <v>72.853107274969176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312700</v>
      </c>
      <c r="M43" s="92">
        <f t="shared" ca="1" si="28"/>
        <v>162200</v>
      </c>
      <c r="N43" s="92">
        <f t="shared" ca="1" si="28"/>
        <v>118167.74</v>
      </c>
      <c r="O43" s="92">
        <f t="shared" ca="1" si="26"/>
        <v>37.789491525423728</v>
      </c>
      <c r="P43" s="92">
        <f t="shared" ca="1" si="27"/>
        <v>72.853107274969176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16" t="s">
        <v>12</v>
      </c>
      <c r="I44" s="269"/>
      <c r="J44" s="269"/>
      <c r="K44" s="496"/>
      <c r="L44" s="496">
        <f t="shared" ref="L44:N44" ca="1" si="29">L45+L46</f>
        <v>312700</v>
      </c>
      <c r="M44" s="496">
        <f t="shared" ca="1" si="29"/>
        <v>162200</v>
      </c>
      <c r="N44" s="496">
        <f t="shared" ca="1" si="29"/>
        <v>118167.74</v>
      </c>
      <c r="O44" s="496">
        <f t="shared" ca="1" si="26"/>
        <v>37.789491525423728</v>
      </c>
      <c r="P44" s="496">
        <f t="shared" ca="1" si="27"/>
        <v>72.853107274969176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2" t="s">
        <v>18</v>
      </c>
      <c r="F45" s="40"/>
      <c r="G45" s="42"/>
      <c r="H45" s="43" t="s">
        <v>12</v>
      </c>
      <c r="I45" s="610"/>
      <c r="J45" s="610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2" t="s">
        <v>19</v>
      </c>
      <c r="F46" s="40"/>
      <c r="G46" s="42"/>
      <c r="H46" s="43" t="s">
        <v>12</v>
      </c>
      <c r="I46" s="610"/>
      <c r="J46" s="610"/>
      <c r="K46" s="93"/>
      <c r="L46" s="93">
        <f ca="1">IFERROR(__xludf.DUMMYFUNCTION("IMPORTRANGE(""https://docs.google.com/spreadsheets/d/1MeEWN-I1oV_STSDYn1IFDPWt_1FKiwhDph83XaGc0o0/edit?usp=sharing"",""งบพรบ!M64"")"),312700)</f>
        <v>312700</v>
      </c>
      <c r="M46" s="93">
        <f ca="1">IFERROR(__xludf.DUMMYFUNCTION("IMPORTRANGE(""https://docs.google.com/spreadsheets/d/1MeEWN-I1oV_STSDYn1IFDPWt_1FKiwhDph83XaGc0o0/edit?usp=sharing"",""งบพรบ!R64"")"),162200)</f>
        <v>162200</v>
      </c>
      <c r="N46" s="93">
        <f ca="1">IFERROR(__xludf.DUMMYFUNCTION("IMPORTRANGE(""https://docs.google.com/spreadsheets/d/1MeEWN-I1oV_STSDYn1IFDPWt_1FKiwhDph83XaGc0o0/edit?usp=sharing"",""งบพรบ!T64"")"),118167.74)</f>
        <v>118167.74</v>
      </c>
      <c r="O46" s="93">
        <f t="shared" ca="1" si="26"/>
        <v>37.789491525423728</v>
      </c>
      <c r="P46" s="93">
        <f t="shared" ca="1" si="27"/>
        <v>72.853107274969176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16" t="s">
        <v>12</v>
      </c>
      <c r="I47" s="269"/>
      <c r="J47" s="269"/>
      <c r="K47" s="496"/>
      <c r="L47" s="496">
        <f t="shared" ref="L47:N47" ca="1" si="30">L48+L49</f>
        <v>0</v>
      </c>
      <c r="M47" s="496">
        <f t="shared" ca="1" si="30"/>
        <v>0</v>
      </c>
      <c r="N47" s="496">
        <f t="shared" ca="1" si="30"/>
        <v>0</v>
      </c>
      <c r="O47" s="496">
        <f t="shared" ca="1" si="26"/>
        <v>0</v>
      </c>
      <c r="P47" s="496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2" t="s">
        <v>18</v>
      </c>
      <c r="F48" s="40"/>
      <c r="G48" s="42"/>
      <c r="H48" s="43" t="s">
        <v>12</v>
      </c>
      <c r="I48" s="610"/>
      <c r="J48" s="610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IFERROR(__xludf.DUMMYFUNCTION("IMPORTRANGE(""https://docs.google.com/spreadsheets/d/1MeEWN-I1oV_STSDYn1IFDPWt_1FKiwhDph83XaGc0o0/edit?usp=sharing"",""งบพรบ!P64"")"),0)</f>
        <v>0</v>
      </c>
      <c r="M49" s="52">
        <f ca="1">IFERROR(__xludf.DUMMYFUNCTION("IMPORTRANGE(""https://docs.google.com/spreadsheets/d/1MeEWN-I1oV_STSDYn1IFDPWt_1FKiwhDph83XaGc0o0/edit?usp=sharing"",""งบพรบ!S64"")"),0)</f>
        <v>0</v>
      </c>
      <c r="N49" s="52">
        <f ca="1">IFERROR(__xludf.DUMMYFUNCTION("IMPORTRANGE(""https://docs.google.com/spreadsheets/d/1MeEWN-I1oV_STSDYn1IFDPWt_1FKiwhDph83XaGc0o0/edit?usp=sharing"",""งบพรบ!U64"")"),0)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59" t="s">
        <v>28</v>
      </c>
      <c r="B50" s="849"/>
      <c r="C50" s="849"/>
      <c r="D50" s="849"/>
      <c r="E50" s="849"/>
      <c r="F50" s="849"/>
      <c r="G50" s="847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60" t="s">
        <v>29</v>
      </c>
      <c r="C51" s="857"/>
      <c r="D51" s="857"/>
      <c r="E51" s="857"/>
      <c r="F51" s="857"/>
      <c r="G51" s="858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21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356900</v>
      </c>
      <c r="M53" s="116">
        <f t="shared" ca="1" si="31"/>
        <v>178450</v>
      </c>
      <c r="N53" s="116">
        <f t="shared" ca="1" si="31"/>
        <v>114737.57</v>
      </c>
      <c r="O53" s="116">
        <f t="shared" ref="O53:O61" ca="1" si="32">IF(L53&gt;0,N53*100/L53,0)</f>
        <v>32.148380498739144</v>
      </c>
      <c r="P53" s="116">
        <f t="shared" ref="P53:P61" ca="1" si="33">IF(M53&gt;0,N53*100/M53,0)</f>
        <v>64.296760997478287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356900</v>
      </c>
      <c r="M55" s="123">
        <f t="shared" ca="1" si="34"/>
        <v>178450</v>
      </c>
      <c r="N55" s="123">
        <f t="shared" ca="1" si="34"/>
        <v>114737.57</v>
      </c>
      <c r="O55" s="123">
        <f t="shared" ca="1" si="32"/>
        <v>32.148380498739144</v>
      </c>
      <c r="P55" s="123">
        <f t="shared" ca="1" si="33"/>
        <v>64.296760997478287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16" t="s">
        <v>12</v>
      </c>
      <c r="I56" s="269"/>
      <c r="J56" s="269"/>
      <c r="K56" s="496"/>
      <c r="L56" s="496">
        <f t="shared" ref="L56:N56" ca="1" si="35">L57+L58</f>
        <v>356900</v>
      </c>
      <c r="M56" s="496">
        <f t="shared" ca="1" si="35"/>
        <v>178450</v>
      </c>
      <c r="N56" s="496">
        <f t="shared" ca="1" si="35"/>
        <v>114737.57</v>
      </c>
      <c r="O56" s="496">
        <f t="shared" ca="1" si="32"/>
        <v>32.148380498739144</v>
      </c>
      <c r="P56" s="496">
        <f t="shared" ca="1" si="33"/>
        <v>64.296760997478287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2" t="s">
        <v>18</v>
      </c>
      <c r="F57" s="40"/>
      <c r="G57" s="42"/>
      <c r="H57" s="43" t="s">
        <v>12</v>
      </c>
      <c r="I57" s="610"/>
      <c r="J57" s="610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2" t="s">
        <v>19</v>
      </c>
      <c r="F58" s="40"/>
      <c r="G58" s="42"/>
      <c r="H58" s="43" t="s">
        <v>12</v>
      </c>
      <c r="I58" s="610"/>
      <c r="J58" s="610"/>
      <c r="K58" s="93"/>
      <c r="L58" s="93">
        <f ca="1">IFERROR(__xludf.DUMMYFUNCTION("IMPORTRANGE(""https://docs.google.com/spreadsheets/d/1MeEWN-I1oV_STSDYn1IFDPWt_1FKiwhDph83XaGc0o0/edit?usp=sharing"",""งบพรบ!W64"")"),356900)</f>
        <v>356900</v>
      </c>
      <c r="M58" s="93">
        <f ca="1">IFERROR(__xludf.DUMMYFUNCTION("IMPORTRANGE(""https://docs.google.com/spreadsheets/d/1MeEWN-I1oV_STSDYn1IFDPWt_1FKiwhDph83XaGc0o0/edit?usp=sharing"",""งบพรบ!AB64"")"),178450)</f>
        <v>178450</v>
      </c>
      <c r="N58" s="93">
        <f ca="1">IFERROR(__xludf.DUMMYFUNCTION("IMPORTRANGE(""https://docs.google.com/spreadsheets/d/1MeEWN-I1oV_STSDYn1IFDPWt_1FKiwhDph83XaGc0o0/edit?usp=sharing"",""งบพรบ!AD64"")"),114737.57)</f>
        <v>114737.57</v>
      </c>
      <c r="O58" s="93">
        <f t="shared" ca="1" si="32"/>
        <v>32.148380498739144</v>
      </c>
      <c r="P58" s="93">
        <f t="shared" ca="1" si="33"/>
        <v>64.296760997478287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16" t="s">
        <v>12</v>
      </c>
      <c r="I59" s="269"/>
      <c r="J59" s="269"/>
      <c r="K59" s="496"/>
      <c r="L59" s="496">
        <f t="shared" ref="L59:N59" ca="1" si="36">L60+L61</f>
        <v>0</v>
      </c>
      <c r="M59" s="496">
        <f t="shared" ca="1" si="36"/>
        <v>0</v>
      </c>
      <c r="N59" s="496">
        <f t="shared" ca="1" si="36"/>
        <v>0</v>
      </c>
      <c r="O59" s="496">
        <f t="shared" ca="1" si="32"/>
        <v>0</v>
      </c>
      <c r="P59" s="496">
        <f t="shared" ca="1" si="33"/>
        <v>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2" t="s">
        <v>18</v>
      </c>
      <c r="F60" s="40"/>
      <c r="G60" s="42"/>
      <c r="H60" s="43" t="s">
        <v>12</v>
      </c>
      <c r="I60" s="610"/>
      <c r="J60" s="610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IFERROR(__xludf.DUMMYFUNCTION("IMPORTRANGE(""https://docs.google.com/spreadsheets/d/1MeEWN-I1oV_STSDYn1IFDPWt_1FKiwhDph83XaGc0o0/edit?usp=sharing"",""งบพรบ!Z64"")"),0)</f>
        <v>0</v>
      </c>
      <c r="M61" s="52">
        <f ca="1">IFERROR(__xludf.DUMMYFUNCTION("IMPORTRANGE(""https://docs.google.com/spreadsheets/d/1MeEWN-I1oV_STSDYn1IFDPWt_1FKiwhDph83XaGc0o0/edit?usp=sharing"",""งบพรบ!AC64"")"),0)</f>
        <v>0</v>
      </c>
      <c r="N61" s="52">
        <f ca="1">IFERROR(__xludf.DUMMYFUNCTION("IMPORTRANGE(""https://docs.google.com/spreadsheets/d/1MeEWN-I1oV_STSDYn1IFDPWt_1FKiwhDph83XaGc0o0/edit?usp=sharing"",""งบพรบ!AE64"")"),0)</f>
        <v>0</v>
      </c>
      <c r="O61" s="52">
        <f t="shared" ca="1" si="32"/>
        <v>0</v>
      </c>
      <c r="P61" s="52">
        <f t="shared" ca="1" si="33"/>
        <v>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>
      <c r="A64" s="138"/>
      <c r="B64" s="208" t="s">
        <v>33</v>
      </c>
      <c r="C64" s="140"/>
      <c r="D64" s="141"/>
      <c r="E64" s="140"/>
      <c r="F64" s="140"/>
      <c r="G64" s="142"/>
      <c r="H64" s="143" t="s">
        <v>34</v>
      </c>
      <c r="I64" s="144">
        <f t="shared" ref="I64:J65" ca="1" si="37">I76</f>
        <v>1</v>
      </c>
      <c r="J64" s="144">
        <f t="shared" si="37"/>
        <v>0</v>
      </c>
      <c r="K64" s="145">
        <f t="shared" ref="K64:K65" ca="1" si="38">IF(I64&gt;0,J64*100/I64,0)</f>
        <v>0</v>
      </c>
      <c r="L64" s="146"/>
      <c r="M64" s="146"/>
      <c r="N64" s="146"/>
      <c r="O64" s="146"/>
      <c r="P64" s="146"/>
    </row>
    <row r="65" spans="1:26" ht="19.5">
      <c r="A65" s="138"/>
      <c r="B65" s="140"/>
      <c r="C65" s="140"/>
      <c r="D65" s="141"/>
      <c r="E65" s="140"/>
      <c r="F65" s="140"/>
      <c r="G65" s="142"/>
      <c r="H65" s="143" t="s">
        <v>35</v>
      </c>
      <c r="I65" s="144">
        <f t="shared" ca="1" si="37"/>
        <v>42</v>
      </c>
      <c r="J65" s="144">
        <f t="shared" si="37"/>
        <v>0</v>
      </c>
      <c r="K65" s="145">
        <f t="shared" ca="1" si="38"/>
        <v>0</v>
      </c>
      <c r="L65" s="146"/>
      <c r="M65" s="146"/>
      <c r="N65" s="146"/>
      <c r="O65" s="146"/>
      <c r="P65" s="146"/>
    </row>
    <row r="66" spans="1:26" ht="19.5">
      <c r="A66" s="147"/>
      <c r="B66" s="148"/>
      <c r="C66" s="149" t="s">
        <v>16</v>
      </c>
      <c r="D66" s="822" t="s">
        <v>17</v>
      </c>
      <c r="E66" s="148"/>
      <c r="F66" s="148"/>
      <c r="G66" s="151"/>
      <c r="H66" s="152" t="s">
        <v>12</v>
      </c>
      <c r="I66" s="419"/>
      <c r="J66" s="419"/>
      <c r="K66" s="154"/>
      <c r="L66" s="155">
        <f t="shared" ref="L66:N66" ca="1" si="39">L67+L68</f>
        <v>609800</v>
      </c>
      <c r="M66" s="155">
        <f t="shared" ca="1" si="39"/>
        <v>297300</v>
      </c>
      <c r="N66" s="155">
        <f t="shared" ca="1" si="39"/>
        <v>145592.5</v>
      </c>
      <c r="O66" s="155">
        <f t="shared" ref="O66:O74" ca="1" si="40">IF(L66&gt;0,N66*100/L66,0)</f>
        <v>23.875450967530337</v>
      </c>
      <c r="P66" s="155">
        <f t="shared" ref="P66:P74" ca="1" si="41">IF(M66&gt;0,N66*100/M66,0)</f>
        <v>48.971577531113354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2" t="s">
        <v>18</v>
      </c>
      <c r="F67" s="40"/>
      <c r="G67" s="157"/>
      <c r="H67" s="158" t="s">
        <v>12</v>
      </c>
      <c r="I67" s="610"/>
      <c r="J67" s="610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2" t="s">
        <v>19</v>
      </c>
      <c r="F68" s="40"/>
      <c r="G68" s="157"/>
      <c r="H68" s="158" t="s">
        <v>12</v>
      </c>
      <c r="I68" s="610"/>
      <c r="J68" s="610"/>
      <c r="K68" s="93"/>
      <c r="L68" s="93">
        <f t="shared" ca="1" si="42"/>
        <v>609800</v>
      </c>
      <c r="M68" s="93">
        <f t="shared" ca="1" si="42"/>
        <v>297300</v>
      </c>
      <c r="N68" s="93">
        <f t="shared" ca="1" si="42"/>
        <v>145592.5</v>
      </c>
      <c r="O68" s="93">
        <f t="shared" ca="1" si="40"/>
        <v>23.875450967530337</v>
      </c>
      <c r="P68" s="93">
        <f t="shared" ca="1" si="41"/>
        <v>48.971577531113354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>
      <c r="A69" s="159"/>
      <c r="B69" s="33"/>
      <c r="C69" s="281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6">
        <f t="shared" ref="L69:N69" ca="1" si="43">L70+L71</f>
        <v>609800</v>
      </c>
      <c r="M69" s="496">
        <f t="shared" ca="1" si="43"/>
        <v>297300</v>
      </c>
      <c r="N69" s="496">
        <f t="shared" ca="1" si="43"/>
        <v>145592.5</v>
      </c>
      <c r="O69" s="496">
        <f t="shared" ca="1" si="40"/>
        <v>23.875450967530337</v>
      </c>
      <c r="P69" s="496">
        <f t="shared" ca="1" si="41"/>
        <v>48.971577531113354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2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2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IFERROR(__xludf.DUMMYFUNCTION("IMPORTRANGE(""https://docs.google.com/spreadsheets/d/1MeEWN-I1oV_STSDYn1IFDPWt_1FKiwhDph83XaGc0o0/edit?usp=sharing"",""งบพรบ!AG64"")"),609800)</f>
        <v>609800</v>
      </c>
      <c r="M71" s="93">
        <f ca="1">IFERROR(__xludf.DUMMYFUNCTION("IMPORTRANGE(""https://docs.google.com/spreadsheets/d/1MeEWN-I1oV_STSDYn1IFDPWt_1FKiwhDph83XaGc0o0/edit?usp=sharing"",""งบพรบ!AL64"")"),297300)</f>
        <v>297300</v>
      </c>
      <c r="N71" s="93">
        <f ca="1">IFERROR(__xludf.DUMMYFUNCTION("IMPORTRANGE(""https://docs.google.com/spreadsheets/d/1MeEWN-I1oV_STSDYn1IFDPWt_1FKiwhDph83XaGc0o0/edit?usp=sharing"",""งบพรบ!AN64"")"),145592.5)</f>
        <v>145592.5</v>
      </c>
      <c r="O71" s="93">
        <f t="shared" ca="1" si="40"/>
        <v>23.875450967530337</v>
      </c>
      <c r="P71" s="93">
        <f t="shared" ca="1" si="41"/>
        <v>48.971577531113354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>
      <c r="A72" s="159"/>
      <c r="B72" s="33"/>
      <c r="C72" s="281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6">
        <f t="shared" ref="L72:N72" ca="1" si="44">L73+L74</f>
        <v>0</v>
      </c>
      <c r="M72" s="496">
        <f t="shared" ca="1" si="44"/>
        <v>0</v>
      </c>
      <c r="N72" s="496">
        <f t="shared" ca="1" si="44"/>
        <v>0</v>
      </c>
      <c r="O72" s="496">
        <f t="shared" ca="1" si="40"/>
        <v>0</v>
      </c>
      <c r="P72" s="496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2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2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IFERROR(__xludf.DUMMYFUNCTION("IMPORTRANGE(""https://docs.google.com/spreadsheets/d/1MeEWN-I1oV_STSDYn1IFDPWt_1FKiwhDph83XaGc0o0/edit?usp=sharing"",""งบพรบ!AJ64"")"),0)</f>
        <v>0</v>
      </c>
      <c r="M74" s="93">
        <f ca="1">IFERROR(__xludf.DUMMYFUNCTION("IMPORTRANGE(""https://docs.google.com/spreadsheets/d/1MeEWN-I1oV_STSDYn1IFDPWt_1FKiwhDph83XaGc0o0/edit?usp=sharing"",""งบพรบ!AM64"")"),0)</f>
        <v>0</v>
      </c>
      <c r="N74" s="93">
        <f ca="1">IFERROR(__xludf.DUMMYFUNCTION("IMPORTRANGE(""https://docs.google.com/spreadsheets/d/1MeEWN-I1oV_STSDYn1IFDPWt_1FKiwhDph83XaGc0o0/edit?usp=sharing"",""งบพรบ!AO64"")"),0)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>
      <c r="A75" s="170"/>
      <c r="B75" s="171"/>
      <c r="C75" s="164" t="s">
        <v>16</v>
      </c>
      <c r="D75" s="823" t="s">
        <v>38</v>
      </c>
      <c r="E75" s="173"/>
      <c r="F75" s="173"/>
      <c r="G75" s="174"/>
      <c r="H75" s="753"/>
      <c r="I75" s="184"/>
      <c r="J75" s="184"/>
      <c r="K75" s="163"/>
      <c r="L75" s="163"/>
      <c r="M75" s="163"/>
      <c r="N75" s="163"/>
      <c r="O75" s="163"/>
      <c r="P75" s="163"/>
    </row>
    <row r="76" spans="1:26" ht="19.5">
      <c r="A76" s="170"/>
      <c r="B76" s="171"/>
      <c r="C76" s="171"/>
      <c r="D76" s="176" t="s">
        <v>39</v>
      </c>
      <c r="E76" s="446"/>
      <c r="F76" s="178"/>
      <c r="G76" s="179"/>
      <c r="H76" s="180" t="s">
        <v>34</v>
      </c>
      <c r="I76" s="269">
        <f t="shared" ref="I76:J77" ca="1" si="45">I78+I80+I82</f>
        <v>1</v>
      </c>
      <c r="J76" s="269">
        <f t="shared" si="45"/>
        <v>0</v>
      </c>
      <c r="K76" s="163">
        <f t="shared" ref="K76:K84" ca="1" si="46">IF(I76&gt;0,J76*100/I76,0)</f>
        <v>0</v>
      </c>
      <c r="L76" s="163"/>
      <c r="M76" s="163"/>
      <c r="N76" s="163"/>
      <c r="O76" s="163"/>
      <c r="P76" s="163"/>
    </row>
    <row r="77" spans="1:26" ht="19.5">
      <c r="A77" s="170"/>
      <c r="B77" s="171"/>
      <c r="C77" s="171"/>
      <c r="D77" s="171"/>
      <c r="E77" s="178"/>
      <c r="F77" s="178"/>
      <c r="G77" s="179"/>
      <c r="H77" s="180" t="s">
        <v>35</v>
      </c>
      <c r="I77" s="269">
        <f t="shared" ca="1" si="45"/>
        <v>42</v>
      </c>
      <c r="J77" s="269">
        <f t="shared" si="45"/>
        <v>0</v>
      </c>
      <c r="K77" s="163">
        <f t="shared" ca="1" si="46"/>
        <v>0</v>
      </c>
      <c r="L77" s="163"/>
      <c r="M77" s="163"/>
      <c r="N77" s="163"/>
      <c r="O77" s="163"/>
      <c r="P77" s="163"/>
    </row>
    <row r="78" spans="1:26" ht="18.75">
      <c r="A78" s="170"/>
      <c r="B78" s="171"/>
      <c r="C78" s="171"/>
      <c r="D78" s="171"/>
      <c r="E78" s="446" t="s">
        <v>40</v>
      </c>
      <c r="F78" s="446"/>
      <c r="G78" s="179"/>
      <c r="H78" s="755" t="s">
        <v>34</v>
      </c>
      <c r="I78" s="184">
        <f ca="1">IFERROR(__xludf.DUMMYFUNCTION("IMPORTRANGE(""https://docs.google.com/spreadsheets/d/1QqKyyYR6Q21VydFLVH3TRQUabQu_ym0Zz7PgGX0-kHA/edit?usp=sharing"",""แผน!H64"")"),1)</f>
        <v>1</v>
      </c>
      <c r="J78" s="214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>
      <c r="A79" s="170"/>
      <c r="B79" s="171"/>
      <c r="C79" s="171"/>
      <c r="D79" s="171"/>
      <c r="E79" s="178"/>
      <c r="F79" s="178"/>
      <c r="G79" s="179"/>
      <c r="H79" s="755" t="s">
        <v>35</v>
      </c>
      <c r="I79" s="184">
        <f ca="1">IFERROR(__xludf.DUMMYFUNCTION("IMPORTRANGE(""https://docs.google.com/spreadsheets/d/1QqKyyYR6Q21VydFLVH3TRQUabQu_ym0Zz7PgGX0-kHA/edit?usp=sharing"",""แผน!I64"")"),42)</f>
        <v>42</v>
      </c>
      <c r="J79" s="214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>
      <c r="A80" s="170"/>
      <c r="B80" s="171"/>
      <c r="C80" s="171"/>
      <c r="D80" s="171"/>
      <c r="E80" s="446" t="s">
        <v>41</v>
      </c>
      <c r="F80" s="446"/>
      <c r="G80" s="179"/>
      <c r="H80" s="755" t="s">
        <v>34</v>
      </c>
      <c r="I80" s="184">
        <f ca="1">IFERROR(__xludf.DUMMYFUNCTION("IMPORTRANGE(""https://docs.google.com/spreadsheets/d/1QqKyyYR6Q21VydFLVH3TRQUabQu_ym0Zz7PgGX0-kHA/edit?usp=sharing"",""แผน!F64"")"),0)</f>
        <v>0</v>
      </c>
      <c r="J80" s="214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>
      <c r="A81" s="170"/>
      <c r="B81" s="171"/>
      <c r="C81" s="171"/>
      <c r="D81" s="171"/>
      <c r="E81" s="178"/>
      <c r="F81" s="178"/>
      <c r="G81" s="179"/>
      <c r="H81" s="755" t="s">
        <v>35</v>
      </c>
      <c r="I81" s="184">
        <f ca="1">IFERROR(__xludf.DUMMYFUNCTION("IMPORTRANGE(""https://docs.google.com/spreadsheets/d/1QqKyyYR6Q21VydFLVH3TRQUabQu_ym0Zz7PgGX0-kHA/edit?usp=sharing"",""แผน!G64"")"),0)</f>
        <v>0</v>
      </c>
      <c r="J81" s="214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>
      <c r="A82" s="170"/>
      <c r="B82" s="171"/>
      <c r="C82" s="171"/>
      <c r="D82" s="171"/>
      <c r="E82" s="446" t="s">
        <v>42</v>
      </c>
      <c r="F82" s="446"/>
      <c r="G82" s="179"/>
      <c r="H82" s="755" t="s">
        <v>34</v>
      </c>
      <c r="I82" s="184">
        <f ca="1">IFERROR(__xludf.DUMMYFUNCTION("IMPORTRANGE(""https://docs.google.com/spreadsheets/d/1QqKyyYR6Q21VydFLVH3TRQUabQu_ym0Zz7PgGX0-kHA/edit?usp=sharing"",""แผน!D64"")"),0)</f>
        <v>0</v>
      </c>
      <c r="J82" s="214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>
      <c r="A83" s="170"/>
      <c r="B83" s="171"/>
      <c r="C83" s="171"/>
      <c r="D83" s="171"/>
      <c r="E83" s="178"/>
      <c r="F83" s="178"/>
      <c r="G83" s="179"/>
      <c r="H83" s="755" t="s">
        <v>35</v>
      </c>
      <c r="I83" s="184">
        <f ca="1">IFERROR(__xludf.DUMMYFUNCTION("IMPORTRANGE(""https://docs.google.com/spreadsheets/d/1QqKyyYR6Q21VydFLVH3TRQUabQu_ym0Zz7PgGX0-kHA/edit?usp=sharing"",""แผน!E64"")"),0)</f>
        <v>0</v>
      </c>
      <c r="J83" s="214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>
      <c r="A84" s="170"/>
      <c r="B84" s="171"/>
      <c r="C84" s="171"/>
      <c r="D84" s="176" t="s">
        <v>43</v>
      </c>
      <c r="E84" s="446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IFERROR(__xludf.DUMMYFUNCTION("IMPORTRANGE(""https://docs.google.com/spreadsheets/d/1QqKyyYR6Q21VydFLVH3TRQUabQu_ym0Zz7PgGX0-kHA/edit?usp=sharing"",""แผน!J64"")"),1)</f>
        <v>1</v>
      </c>
      <c r="J84" s="214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8" t="s">
        <v>45</v>
      </c>
      <c r="C86" s="140"/>
      <c r="D86" s="141"/>
      <c r="E86" s="140"/>
      <c r="F86" s="140"/>
      <c r="G86" s="142"/>
      <c r="H86" s="143" t="s">
        <v>46</v>
      </c>
      <c r="I86" s="144">
        <f t="shared" ref="I86:J87" ca="1" si="47">I98</f>
        <v>0</v>
      </c>
      <c r="J86" s="144">
        <f t="shared" si="47"/>
        <v>0</v>
      </c>
      <c r="K86" s="145">
        <f t="shared" ref="K86:K87" ca="1" si="48">IF(I86&gt;0,J86*100/I86,0)</f>
        <v>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143" t="s">
        <v>35</v>
      </c>
      <c r="I87" s="144">
        <f t="shared" ca="1" si="47"/>
        <v>0</v>
      </c>
      <c r="J87" s="144">
        <f t="shared" si="47"/>
        <v>0</v>
      </c>
      <c r="K87" s="145">
        <f t="shared" ca="1" si="48"/>
        <v>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22" t="s">
        <v>17</v>
      </c>
      <c r="E88" s="148"/>
      <c r="F88" s="148"/>
      <c r="G88" s="151"/>
      <c r="H88" s="152" t="s">
        <v>12</v>
      </c>
      <c r="I88" s="419"/>
      <c r="J88" s="419"/>
      <c r="K88" s="154"/>
      <c r="L88" s="155">
        <f t="shared" ref="L88:N88" ca="1" si="49">L89+L90</f>
        <v>31200</v>
      </c>
      <c r="M88" s="155">
        <f t="shared" ca="1" si="49"/>
        <v>27750</v>
      </c>
      <c r="N88" s="155">
        <f t="shared" ca="1" si="49"/>
        <v>27750</v>
      </c>
      <c r="O88" s="155">
        <f t="shared" ref="O88:O96" ca="1" si="50">IF(L88&gt;0,N88*100/L88,0)</f>
        <v>88.942307692307693</v>
      </c>
      <c r="P88" s="155">
        <f t="shared" ref="P88:P96" ca="1" si="51">IF(M88&gt;0,N88*100/M88,0)</f>
        <v>100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2" t="s">
        <v>18</v>
      </c>
      <c r="F89" s="40"/>
      <c r="G89" s="157"/>
      <c r="H89" s="158" t="s">
        <v>12</v>
      </c>
      <c r="I89" s="610"/>
      <c r="J89" s="610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2" t="s">
        <v>19</v>
      </c>
      <c r="F90" s="40"/>
      <c r="G90" s="157"/>
      <c r="H90" s="158" t="s">
        <v>12</v>
      </c>
      <c r="I90" s="610"/>
      <c r="J90" s="610"/>
      <c r="K90" s="93"/>
      <c r="L90" s="93">
        <f t="shared" ca="1" si="52"/>
        <v>31200</v>
      </c>
      <c r="M90" s="93">
        <f t="shared" ca="1" si="52"/>
        <v>27750</v>
      </c>
      <c r="N90" s="93">
        <f t="shared" ca="1" si="52"/>
        <v>27750</v>
      </c>
      <c r="O90" s="93">
        <f t="shared" ca="1" si="50"/>
        <v>88.942307692307693</v>
      </c>
      <c r="P90" s="93">
        <f t="shared" ca="1" si="51"/>
        <v>100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1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6">
        <f t="shared" ref="L91:N91" ca="1" si="53">L92+L93</f>
        <v>31200</v>
      </c>
      <c r="M91" s="496">
        <f t="shared" ca="1" si="53"/>
        <v>27750</v>
      </c>
      <c r="N91" s="496">
        <f t="shared" ca="1" si="53"/>
        <v>27750</v>
      </c>
      <c r="O91" s="496">
        <f t="shared" ca="1" si="50"/>
        <v>88.942307692307693</v>
      </c>
      <c r="P91" s="496">
        <f t="shared" ca="1" si="51"/>
        <v>100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2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2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IFERROR(__xludf.DUMMYFUNCTION("IMPORTRANGE(""https://docs.google.com/spreadsheets/d/1MeEWN-I1oV_STSDYn1IFDPWt_1FKiwhDph83XaGc0o0/edit?usp=sharing"",""งบพรบ!AQ64"")"),31200)</f>
        <v>31200</v>
      </c>
      <c r="M93" s="93">
        <f ca="1">IFERROR(__xludf.DUMMYFUNCTION("IMPORTRANGE(""https://docs.google.com/spreadsheets/d/1MeEWN-I1oV_STSDYn1IFDPWt_1FKiwhDph83XaGc0o0/edit?usp=sharing"",""งบพรบ!AV64"")"),27750)</f>
        <v>27750</v>
      </c>
      <c r="N93" s="93">
        <f ca="1">IFERROR(__xludf.DUMMYFUNCTION("IMPORTRANGE(""https://docs.google.com/spreadsheets/d/1MeEWN-I1oV_STSDYn1IFDPWt_1FKiwhDph83XaGc0o0/edit?usp=sharing"",""งบพรบ!AX64"")"),27750)</f>
        <v>27750</v>
      </c>
      <c r="O93" s="93">
        <f t="shared" ca="1" si="50"/>
        <v>88.942307692307693</v>
      </c>
      <c r="P93" s="93">
        <f t="shared" ca="1" si="51"/>
        <v>100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1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6">
        <f t="shared" ref="L94:N94" ca="1" si="54">L95+L96</f>
        <v>0</v>
      </c>
      <c r="M94" s="496">
        <f t="shared" ca="1" si="54"/>
        <v>0</v>
      </c>
      <c r="N94" s="496">
        <f t="shared" ca="1" si="54"/>
        <v>0</v>
      </c>
      <c r="O94" s="496">
        <f t="shared" ca="1" si="50"/>
        <v>0</v>
      </c>
      <c r="P94" s="496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2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2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IFERROR(__xludf.DUMMYFUNCTION("IMPORTRANGE(""https://docs.google.com/spreadsheets/d/1MeEWN-I1oV_STSDYn1IFDPWt_1FKiwhDph83XaGc0o0/edit?usp=sharing"",""งบพรบ!AT64"")"),0)</f>
        <v>0</v>
      </c>
      <c r="M96" s="93">
        <f ca="1">IFERROR(__xludf.DUMMYFUNCTION("IMPORTRANGE(""https://docs.google.com/spreadsheets/d/1MeEWN-I1oV_STSDYn1IFDPWt_1FKiwhDph83XaGc0o0/edit?usp=sharing"",""งบพรบ!AW64"")"),0)</f>
        <v>0</v>
      </c>
      <c r="N96" s="93">
        <f ca="1">IFERROR(__xludf.DUMMYFUNCTION("IMPORTRANGE(""https://docs.google.com/spreadsheets/d/1MeEWN-I1oV_STSDYn1IFDPWt_1FKiwhDph83XaGc0o0/edit?usp=sharing"",""งบพรบ!AY64"")"),0)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23" t="s">
        <v>38</v>
      </c>
      <c r="E97" s="173"/>
      <c r="F97" s="173"/>
      <c r="G97" s="174"/>
      <c r="H97" s="753"/>
      <c r="I97" s="184"/>
      <c r="J97" s="269"/>
      <c r="K97" s="496"/>
      <c r="L97" s="496"/>
      <c r="M97" s="496"/>
      <c r="N97" s="496"/>
      <c r="O97" s="163"/>
      <c r="P97" s="163"/>
    </row>
    <row r="98" spans="1:16" ht="18.75">
      <c r="A98" s="170"/>
      <c r="B98" s="171"/>
      <c r="C98" s="171"/>
      <c r="D98" s="446" t="s">
        <v>47</v>
      </c>
      <c r="E98" s="446"/>
      <c r="F98" s="178"/>
      <c r="G98" s="179"/>
      <c r="H98" s="616" t="s">
        <v>46</v>
      </c>
      <c r="I98" s="269">
        <f ca="1">IFERROR(__xludf.DUMMYFUNCTION("IMPORTRANGE(""https://docs.google.com/spreadsheets/d/1QqKyyYR6Q21VydFLVH3TRQUabQu_ym0Zz7PgGX0-kHA/edit?usp=sharing"",""แผน!K64"")"),0)</f>
        <v>0</v>
      </c>
      <c r="J98" s="269">
        <f>J102</f>
        <v>0</v>
      </c>
      <c r="K98" s="496">
        <f t="shared" ref="K98:K100" ca="1" si="55">IF(I98&gt;0,J98*100/I98,0)</f>
        <v>0</v>
      </c>
      <c r="L98" s="496"/>
      <c r="M98" s="496"/>
      <c r="N98" s="496"/>
      <c r="O98" s="163"/>
      <c r="P98" s="163"/>
    </row>
    <row r="99" spans="1:16" ht="18.75">
      <c r="A99" s="170"/>
      <c r="B99" s="171"/>
      <c r="C99" s="171"/>
      <c r="D99" s="446" t="s">
        <v>48</v>
      </c>
      <c r="E99" s="446"/>
      <c r="F99" s="178"/>
      <c r="G99" s="179"/>
      <c r="H99" s="616" t="s">
        <v>35</v>
      </c>
      <c r="I99" s="269">
        <f ca="1">IFERROR(__xludf.DUMMYFUNCTION("IMPORTRANGE(""https://docs.google.com/spreadsheets/d/1QqKyyYR6Q21VydFLVH3TRQUabQu_ym0Zz7PgGX0-kHA/edit?usp=sharing"",""แผน!L64"")"),0)</f>
        <v>0</v>
      </c>
      <c r="J99" s="269">
        <f>J104</f>
        <v>0</v>
      </c>
      <c r="K99" s="496">
        <f t="shared" ca="1" si="55"/>
        <v>0</v>
      </c>
      <c r="L99" s="496"/>
      <c r="M99" s="496"/>
      <c r="N99" s="496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16" t="s">
        <v>49</v>
      </c>
      <c r="I100" s="269">
        <f ca="1">IFERROR(__xludf.DUMMYFUNCTION("IMPORTRANGE(""https://docs.google.com/spreadsheets/d/1QqKyyYR6Q21VydFLVH3TRQUabQu_ym0Zz7PgGX0-kHA/edit?usp=sharing"",""แผน!M64"")"),1)</f>
        <v>1</v>
      </c>
      <c r="J100" s="269">
        <f>J107+J110</f>
        <v>0</v>
      </c>
      <c r="K100" s="496">
        <f t="shared" ca="1" si="55"/>
        <v>0</v>
      </c>
      <c r="L100" s="496"/>
      <c r="M100" s="496"/>
      <c r="N100" s="496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16"/>
      <c r="I101" s="269"/>
      <c r="J101" s="269"/>
      <c r="K101" s="496"/>
      <c r="L101" s="496"/>
      <c r="M101" s="496"/>
      <c r="N101" s="496"/>
      <c r="O101" s="163"/>
      <c r="P101" s="163"/>
    </row>
    <row r="102" spans="1:16" ht="18.75">
      <c r="A102" s="170"/>
      <c r="B102" s="171"/>
      <c r="C102" s="171"/>
      <c r="D102" s="178"/>
      <c r="E102" s="619" t="s">
        <v>47</v>
      </c>
      <c r="F102" s="178"/>
      <c r="G102" s="179"/>
      <c r="H102" s="616" t="s">
        <v>46</v>
      </c>
      <c r="I102" s="269">
        <f ca="1">IFERROR(__xludf.DUMMYFUNCTION("IMPORTRANGE(""https://docs.google.com/spreadsheets/d/1QqKyyYR6Q21VydFLVH3TRQUabQu_ym0Zz7PgGX0-kHA/edit?usp=sharing"",""แผน!N64"")"),0)</f>
        <v>0</v>
      </c>
      <c r="J102" s="214">
        <v>0</v>
      </c>
      <c r="K102" s="496">
        <f t="shared" ref="K102:K104" ca="1" si="56">IF(I102&gt;0,J102*100/I102,0)</f>
        <v>0</v>
      </c>
      <c r="L102" s="496"/>
      <c r="M102" s="496"/>
      <c r="N102" s="496"/>
      <c r="O102" s="163"/>
      <c r="P102" s="163"/>
    </row>
    <row r="103" spans="1:16" ht="19.5">
      <c r="A103" s="170"/>
      <c r="B103" s="171"/>
      <c r="C103" s="171"/>
      <c r="D103" s="178"/>
      <c r="E103" s="446" t="s">
        <v>51</v>
      </c>
      <c r="F103" s="178"/>
      <c r="G103" s="179"/>
      <c r="H103" s="616" t="s">
        <v>35</v>
      </c>
      <c r="I103" s="269">
        <f ca="1">IFERROR(__xludf.DUMMYFUNCTION("IMPORTRANGE(""https://docs.google.com/spreadsheets/d/1QqKyyYR6Q21VydFLVH3TRQUabQu_ym0Zz7PgGX0-kHA/edit?usp=sharing"",""แผน!O64"")"),0)</f>
        <v>0</v>
      </c>
      <c r="J103" s="214">
        <v>0</v>
      </c>
      <c r="K103" s="496">
        <f t="shared" ca="1" si="56"/>
        <v>0</v>
      </c>
      <c r="L103" s="496"/>
      <c r="M103" s="496"/>
      <c r="N103" s="496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16" t="s">
        <v>35</v>
      </c>
      <c r="I104" s="269">
        <f ca="1">IFERROR(__xludf.DUMMYFUNCTION("IMPORTRANGE(""https://docs.google.com/spreadsheets/d/1QqKyyYR6Q21VydFLVH3TRQUabQu_ym0Zz7PgGX0-kHA/edit?usp=sharing"",""แผน!O64"")"),0)</f>
        <v>0</v>
      </c>
      <c r="J104" s="214">
        <v>0</v>
      </c>
      <c r="K104" s="496">
        <f t="shared" ca="1" si="56"/>
        <v>0</v>
      </c>
      <c r="L104" s="496"/>
      <c r="M104" s="496"/>
      <c r="N104" s="496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69"/>
      <c r="J105" s="269"/>
      <c r="K105" s="496"/>
      <c r="L105" s="496"/>
      <c r="M105" s="496"/>
      <c r="N105" s="496"/>
      <c r="O105" s="163"/>
      <c r="P105" s="163"/>
    </row>
    <row r="106" spans="1:16" ht="19.5">
      <c r="A106" s="170"/>
      <c r="B106" s="171"/>
      <c r="C106" s="171"/>
      <c r="D106" s="178"/>
      <c r="E106" s="446" t="s">
        <v>54</v>
      </c>
      <c r="F106" s="178"/>
      <c r="G106" s="179"/>
      <c r="H106" s="616" t="s">
        <v>49</v>
      </c>
      <c r="I106" s="269">
        <f ca="1">IFERROR(__xludf.DUMMYFUNCTION("IMPORTRANGE(""https://docs.google.com/spreadsheets/d/1QqKyyYR6Q21VydFLVH3TRQUabQu_ym0Zz7PgGX0-kHA/edit?usp=sharing"",""แผน!P64"")"),0)</f>
        <v>0</v>
      </c>
      <c r="J106" s="214">
        <v>0</v>
      </c>
      <c r="K106" s="496">
        <f t="shared" ref="K106:K107" ca="1" si="57">IF(I106&gt;0,J106*100/I106,0)</f>
        <v>0</v>
      </c>
      <c r="L106" s="496"/>
      <c r="M106" s="496"/>
      <c r="N106" s="496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16" t="s">
        <v>49</v>
      </c>
      <c r="I107" s="269">
        <f ca="1">IFERROR(__xludf.DUMMYFUNCTION("IMPORTRANGE(""https://docs.google.com/spreadsheets/d/1QqKyyYR6Q21VydFLVH3TRQUabQu_ym0Zz7PgGX0-kHA/edit?usp=sharing"",""แผน!P64"")"),0)</f>
        <v>0</v>
      </c>
      <c r="J107" s="214">
        <v>0</v>
      </c>
      <c r="K107" s="496">
        <f t="shared" ca="1" si="57"/>
        <v>0</v>
      </c>
      <c r="L107" s="496"/>
      <c r="M107" s="496"/>
      <c r="N107" s="496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69"/>
      <c r="J108" s="269"/>
      <c r="K108" s="496"/>
      <c r="L108" s="496"/>
      <c r="M108" s="496"/>
      <c r="N108" s="496"/>
      <c r="O108" s="163"/>
      <c r="P108" s="163"/>
    </row>
    <row r="109" spans="1:16" ht="19.5">
      <c r="A109" s="170"/>
      <c r="B109" s="171"/>
      <c r="C109" s="171"/>
      <c r="D109" s="178"/>
      <c r="E109" s="446" t="s">
        <v>57</v>
      </c>
      <c r="F109" s="178"/>
      <c r="G109" s="179"/>
      <c r="H109" s="616" t="s">
        <v>49</v>
      </c>
      <c r="I109" s="269">
        <f ca="1">IFERROR(__xludf.DUMMYFUNCTION("IMPORTRANGE(""https://docs.google.com/spreadsheets/d/1QqKyyYR6Q21VydFLVH3TRQUabQu_ym0Zz7PgGX0-kHA/edit?usp=sharing"",""แผน!Q64"")"),1)</f>
        <v>1</v>
      </c>
      <c r="J109" s="214">
        <v>0</v>
      </c>
      <c r="K109" s="496">
        <f t="shared" ref="K109:K116" ca="1" si="58">IF(I109&gt;0,J109*100/I109,0)</f>
        <v>0</v>
      </c>
      <c r="L109" s="496"/>
      <c r="M109" s="496"/>
      <c r="N109" s="496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16" t="s">
        <v>49</v>
      </c>
      <c r="I110" s="269">
        <f ca="1">IFERROR(__xludf.DUMMYFUNCTION("IMPORTRANGE(""https://docs.google.com/spreadsheets/d/1QqKyyYR6Q21VydFLVH3TRQUabQu_ym0Zz7PgGX0-kHA/edit?usp=sharing"",""แผน!Q64"")"),1)</f>
        <v>1</v>
      </c>
      <c r="J110" s="214">
        <v>0</v>
      </c>
      <c r="K110" s="496">
        <f t="shared" ca="1" si="58"/>
        <v>0</v>
      </c>
      <c r="L110" s="496"/>
      <c r="M110" s="496"/>
      <c r="N110" s="496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58" t="s">
        <v>35</v>
      </c>
      <c r="I111" s="193">
        <f ca="1">IFERROR(__xludf.DUMMYFUNCTION("IMPORTRANGE(""https://docs.google.com/spreadsheets/d/1QqKyyYR6Q21VydFLVH3TRQUabQu_ym0Zz7PgGX0-kHA/edit?usp=sharing"",""แผน!R64"")"),0)</f>
        <v>0</v>
      </c>
      <c r="J111" s="674">
        <f>J114</f>
        <v>0</v>
      </c>
      <c r="K111" s="195">
        <f t="shared" ca="1" si="58"/>
        <v>0</v>
      </c>
      <c r="L111" s="496"/>
      <c r="M111" s="496"/>
      <c r="N111" s="496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1</v>
      </c>
      <c r="J112" s="674">
        <f t="shared" si="59"/>
        <v>0</v>
      </c>
      <c r="K112" s="195">
        <f t="shared" ca="1" si="58"/>
        <v>0</v>
      </c>
      <c r="L112" s="496"/>
      <c r="M112" s="496"/>
      <c r="N112" s="496"/>
      <c r="O112" s="163"/>
      <c r="P112" s="163"/>
    </row>
    <row r="113" spans="1:26" ht="19.5">
      <c r="A113" s="170"/>
      <c r="B113" s="171"/>
      <c r="C113" s="171"/>
      <c r="D113" s="171"/>
      <c r="E113" s="525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IFERROR(__xludf.DUMMYFUNCTION("IMPORTRANGE(""https://docs.google.com/spreadsheets/d/1QqKyyYR6Q21VydFLVH3TRQUabQu_ym0Zz7PgGX0-kHA/edit?usp=sharing"",""แผน!R64"")"),0)</f>
        <v>0</v>
      </c>
      <c r="J113" s="214">
        <v>0</v>
      </c>
      <c r="K113" s="496">
        <f t="shared" ca="1" si="58"/>
        <v>0</v>
      </c>
      <c r="L113" s="496"/>
      <c r="M113" s="496"/>
      <c r="N113" s="496"/>
      <c r="O113" s="163"/>
      <c r="P113" s="163"/>
    </row>
    <row r="114" spans="1:26" ht="19.5">
      <c r="A114" s="170"/>
      <c r="B114" s="171"/>
      <c r="C114" s="171"/>
      <c r="D114" s="171"/>
      <c r="E114" s="446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IFERROR(__xludf.DUMMYFUNCTION("IMPORTRANGE(""https://docs.google.com/spreadsheets/d/1QqKyyYR6Q21VydFLVH3TRQUabQu_ym0Zz7PgGX0-kHA/edit?usp=sharing"",""แผน!R64"")"),0)</f>
        <v>0</v>
      </c>
      <c r="J114" s="214">
        <v>0</v>
      </c>
      <c r="K114" s="496">
        <f t="shared" ca="1" si="58"/>
        <v>0</v>
      </c>
      <c r="L114" s="496"/>
      <c r="M114" s="496"/>
      <c r="N114" s="496"/>
      <c r="O114" s="163"/>
      <c r="P114" s="163"/>
    </row>
    <row r="115" spans="1:26" ht="18.75">
      <c r="A115" s="170"/>
      <c r="B115" s="171"/>
      <c r="C115" s="171"/>
      <c r="D115" s="171"/>
      <c r="E115" s="446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IFERROR(__xludf.DUMMYFUNCTION("IMPORTRANGE(""https://docs.google.com/spreadsheets/d/1QqKyyYR6Q21VydFLVH3TRQUabQu_ym0Zz7PgGX0-kHA/edit?usp=sharing"",""แผน!S64"")"),0)</f>
        <v>0</v>
      </c>
      <c r="J115" s="214">
        <v>0</v>
      </c>
      <c r="K115" s="496">
        <f t="shared" ca="1" si="58"/>
        <v>0</v>
      </c>
      <c r="L115" s="496"/>
      <c r="M115" s="496"/>
      <c r="N115" s="496"/>
      <c r="O115" s="163"/>
      <c r="P115" s="163"/>
    </row>
    <row r="116" spans="1:26" ht="18.75">
      <c r="A116" s="170"/>
      <c r="B116" s="171"/>
      <c r="C116" s="171"/>
      <c r="D116" s="171"/>
      <c r="E116" s="446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IFERROR(__xludf.DUMMYFUNCTION("IMPORTRANGE(""https://docs.google.com/spreadsheets/d/1QqKyyYR6Q21VydFLVH3TRQUabQu_ym0Zz7PgGX0-kHA/edit?usp=sharing"",""แผน!T64"")"),1)</f>
        <v>1</v>
      </c>
      <c r="J116" s="214">
        <v>0</v>
      </c>
      <c r="K116" s="496">
        <f t="shared" ca="1" si="58"/>
        <v>0</v>
      </c>
      <c r="L116" s="496"/>
      <c r="M116" s="496"/>
      <c r="N116" s="496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8" t="s">
        <v>65</v>
      </c>
      <c r="C118" s="204"/>
      <c r="D118" s="141"/>
      <c r="E118" s="140"/>
      <c r="F118" s="140"/>
      <c r="G118" s="142"/>
      <c r="H118" s="143"/>
      <c r="I118" s="205"/>
      <c r="J118" s="205"/>
      <c r="K118" s="146"/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22" t="s">
        <v>17</v>
      </c>
      <c r="E119" s="148"/>
      <c r="F119" s="148"/>
      <c r="G119" s="151"/>
      <c r="H119" s="152" t="s">
        <v>12</v>
      </c>
      <c r="I119" s="419"/>
      <c r="J119" s="419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2" t="s">
        <v>18</v>
      </c>
      <c r="F120" s="40"/>
      <c r="G120" s="157"/>
      <c r="H120" s="158" t="s">
        <v>12</v>
      </c>
      <c r="I120" s="610"/>
      <c r="J120" s="610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2" t="s">
        <v>19</v>
      </c>
      <c r="F121" s="40"/>
      <c r="G121" s="157"/>
      <c r="H121" s="158" t="s">
        <v>12</v>
      </c>
      <c r="I121" s="610"/>
      <c r="J121" s="610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1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6">
        <f t="shared" ref="L122:N122" ca="1" si="64">L123+L124</f>
        <v>0</v>
      </c>
      <c r="M122" s="496">
        <f t="shared" ca="1" si="64"/>
        <v>0</v>
      </c>
      <c r="N122" s="496">
        <f t="shared" ca="1" si="64"/>
        <v>0</v>
      </c>
      <c r="O122" s="496">
        <f t="shared" ca="1" si="61"/>
        <v>0</v>
      </c>
      <c r="P122" s="496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2"/>
      <c r="D123" s="40"/>
      <c r="E123" s="222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2"/>
      <c r="D124" s="40"/>
      <c r="E124" s="222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IFERROR(__xludf.DUMMYFUNCTION("IMPORTRANGE(""https://docs.google.com/spreadsheets/d/1MeEWN-I1oV_STSDYn1IFDPWt_1FKiwhDph83XaGc0o0/edit?usp=sharing"",""งบพรบ!BA64"")"),0)</f>
        <v>0</v>
      </c>
      <c r="M124" s="93">
        <f ca="1">IFERROR(__xludf.DUMMYFUNCTION("IMPORTRANGE(""https://docs.google.com/spreadsheets/d/1MeEWN-I1oV_STSDYn1IFDPWt_1FKiwhDph83XaGc0o0/edit?usp=sharing"",""งบพรบ!BF64"")"),0)</f>
        <v>0</v>
      </c>
      <c r="N124" s="93">
        <f ca="1">IFERROR(__xludf.DUMMYFUNCTION("IMPORTRANGE(""https://docs.google.com/spreadsheets/d/1MeEWN-I1oV_STSDYn1IFDPWt_1FKiwhDph83XaGc0o0/edit?usp=sharing"",""งบพรบ!BH64"")"),0)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1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6">
        <f t="shared" ref="L125:N125" ca="1" si="65">L126+L127</f>
        <v>0</v>
      </c>
      <c r="M125" s="496">
        <f t="shared" ca="1" si="65"/>
        <v>0</v>
      </c>
      <c r="N125" s="496">
        <f t="shared" ca="1" si="65"/>
        <v>0</v>
      </c>
      <c r="O125" s="496">
        <f t="shared" ca="1" si="61"/>
        <v>0</v>
      </c>
      <c r="P125" s="496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2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2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IFERROR(__xludf.DUMMYFUNCTION("IMPORTRANGE(""https://docs.google.com/spreadsheets/d/1MeEWN-I1oV_STSDYn1IFDPWt_1FKiwhDph83XaGc0o0/edit?usp=sharing"",""งบพรบ!BD64"")"),0)</f>
        <v>0</v>
      </c>
      <c r="M127" s="93">
        <f ca="1">IFERROR(__xludf.DUMMYFUNCTION("IMPORTRANGE(""https://docs.google.com/spreadsheets/d/1MeEWN-I1oV_STSDYn1IFDPWt_1FKiwhDph83XaGc0o0/edit?usp=sharing"",""งบพรบ!BG64"")"),0)</f>
        <v>0</v>
      </c>
      <c r="N127" s="93">
        <f ca="1">IFERROR(__xludf.DUMMYFUNCTION("IMPORTRANGE(""https://docs.google.com/spreadsheets/d/1MeEWN-I1oV_STSDYn1IFDPWt_1FKiwhDph83XaGc0o0/edit?usp=sharing"",""งบพรบ!BI64"")"),0)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66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8" t="s">
        <v>67</v>
      </c>
      <c r="C129" s="204"/>
      <c r="D129" s="141"/>
      <c r="E129" s="140"/>
      <c r="F129" s="140"/>
      <c r="G129" s="140"/>
      <c r="H129" s="207"/>
      <c r="I129" s="205"/>
      <c r="J129" s="205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8"/>
      <c r="C130" s="209" t="s">
        <v>68</v>
      </c>
      <c r="D130" s="141"/>
      <c r="E130" s="140"/>
      <c r="F130" s="140"/>
      <c r="G130" s="142"/>
      <c r="H130" s="143" t="s">
        <v>69</v>
      </c>
      <c r="I130" s="144">
        <f t="shared" ref="I130:J130" ca="1" si="66">I146</f>
        <v>0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8"/>
      <c r="C131" s="209" t="s">
        <v>70</v>
      </c>
      <c r="D131" s="141"/>
      <c r="E131" s="140"/>
      <c r="F131" s="140"/>
      <c r="G131" s="142"/>
      <c r="H131" s="143" t="s">
        <v>35</v>
      </c>
      <c r="I131" s="144">
        <f t="shared" ref="I131:J131" ca="1" si="68">I143</f>
        <v>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822" t="s">
        <v>17</v>
      </c>
      <c r="E132" s="148"/>
      <c r="F132" s="148"/>
      <c r="G132" s="151"/>
      <c r="H132" s="152" t="s">
        <v>12</v>
      </c>
      <c r="I132" s="419"/>
      <c r="J132" s="419"/>
      <c r="K132" s="154"/>
      <c r="L132" s="155">
        <f t="shared" ref="L132:N132" ca="1" si="69">L133+L134</f>
        <v>0</v>
      </c>
      <c r="M132" s="155">
        <f t="shared" ca="1" si="69"/>
        <v>0</v>
      </c>
      <c r="N132" s="155">
        <f t="shared" ca="1" si="69"/>
        <v>0</v>
      </c>
      <c r="O132" s="155">
        <f t="shared" ref="O132:O140" ca="1" si="70">IF(L132&gt;0,N132*100/L132,0)</f>
        <v>0</v>
      </c>
      <c r="P132" s="155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2" t="s">
        <v>18</v>
      </c>
      <c r="F133" s="40"/>
      <c r="G133" s="157"/>
      <c r="H133" s="158" t="s">
        <v>12</v>
      </c>
      <c r="I133" s="610"/>
      <c r="J133" s="610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2" t="s">
        <v>19</v>
      </c>
      <c r="F134" s="40"/>
      <c r="G134" s="157"/>
      <c r="H134" s="158" t="s">
        <v>12</v>
      </c>
      <c r="I134" s="610"/>
      <c r="J134" s="610"/>
      <c r="K134" s="93"/>
      <c r="L134" s="93">
        <f t="shared" ca="1" si="72"/>
        <v>0</v>
      </c>
      <c r="M134" s="93">
        <f t="shared" ca="1" si="72"/>
        <v>0</v>
      </c>
      <c r="N134" s="93">
        <f t="shared" ca="1" si="72"/>
        <v>0</v>
      </c>
      <c r="O134" s="93">
        <f t="shared" ca="1" si="70"/>
        <v>0</v>
      </c>
      <c r="P134" s="93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1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6">
        <f t="shared" ref="L135:N135" ca="1" si="73">L136+L137</f>
        <v>0</v>
      </c>
      <c r="M135" s="496">
        <f t="shared" ca="1" si="73"/>
        <v>0</v>
      </c>
      <c r="N135" s="496">
        <f t="shared" ca="1" si="73"/>
        <v>0</v>
      </c>
      <c r="O135" s="496">
        <f t="shared" ca="1" si="70"/>
        <v>0</v>
      </c>
      <c r="P135" s="496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2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2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IFERROR(__xludf.DUMMYFUNCTION("IMPORTRANGE(""https://docs.google.com/spreadsheets/d/1MeEWN-I1oV_STSDYn1IFDPWt_1FKiwhDph83XaGc0o0/edit?usp=sharing"",""งบพรบ!BK64"")"),0)</f>
        <v>0</v>
      </c>
      <c r="M137" s="93">
        <f ca="1">IFERROR(__xludf.DUMMYFUNCTION("IMPORTRANGE(""https://docs.google.com/spreadsheets/d/1MeEWN-I1oV_STSDYn1IFDPWt_1FKiwhDph83XaGc0o0/edit?usp=sharing"",""งบพรบ!BP64"")"),0)</f>
        <v>0</v>
      </c>
      <c r="N137" s="93">
        <f ca="1">IFERROR(__xludf.DUMMYFUNCTION("IMPORTRANGE(""https://docs.google.com/spreadsheets/d/1MeEWN-I1oV_STSDYn1IFDPWt_1FKiwhDph83XaGc0o0/edit?usp=sharing"",""งบพรบ!BR64"")"),0)</f>
        <v>0</v>
      </c>
      <c r="O137" s="93">
        <f t="shared" ca="1" si="70"/>
        <v>0</v>
      </c>
      <c r="P137" s="93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1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6">
        <f t="shared" ref="L138:N138" ca="1" si="74">L139+L140</f>
        <v>0</v>
      </c>
      <c r="M138" s="496">
        <f t="shared" ca="1" si="74"/>
        <v>0</v>
      </c>
      <c r="N138" s="496">
        <f t="shared" ca="1" si="74"/>
        <v>0</v>
      </c>
      <c r="O138" s="496">
        <f t="shared" ca="1" si="70"/>
        <v>0</v>
      </c>
      <c r="P138" s="496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2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2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IFERROR(__xludf.DUMMYFUNCTION("IMPORTRANGE(""https://docs.google.com/spreadsheets/d/1MeEWN-I1oV_STSDYn1IFDPWt_1FKiwhDph83XaGc0o0/edit?usp=sharing"",""งบพรบ!BN64"")"),0)</f>
        <v>0</v>
      </c>
      <c r="M140" s="93">
        <f ca="1">IFERROR(__xludf.DUMMYFUNCTION("IMPORTRANGE(""https://docs.google.com/spreadsheets/d/1MeEWN-I1oV_STSDYn1IFDPWt_1FKiwhDph83XaGc0o0/edit?usp=sharing"",""งบพรบ!BQ64"")"),0)</f>
        <v>0</v>
      </c>
      <c r="N140" s="93">
        <f ca="1">IFERROR(__xludf.DUMMYFUNCTION("IMPORTRANGE(""https://docs.google.com/spreadsheets/d/1MeEWN-I1oV_STSDYn1IFDPWt_1FKiwhDph83XaGc0o0/edit?usp=sharing"",""งบพรบ!BS64"")"),0)</f>
        <v>0</v>
      </c>
      <c r="O140" s="93">
        <f t="shared" ca="1" si="70"/>
        <v>0</v>
      </c>
      <c r="P140" s="93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823" t="s">
        <v>38</v>
      </c>
      <c r="E141" s="173"/>
      <c r="F141" s="173"/>
      <c r="G141" s="174"/>
      <c r="H141" s="168"/>
      <c r="I141" s="269"/>
      <c r="J141" s="269"/>
      <c r="K141" s="496"/>
      <c r="L141" s="496"/>
      <c r="M141" s="496"/>
      <c r="N141" s="496"/>
      <c r="O141" s="496"/>
      <c r="P141" s="496"/>
    </row>
    <row r="142" spans="1:26" ht="19.5" hidden="1">
      <c r="A142" s="159"/>
      <c r="B142" s="33"/>
      <c r="C142" s="210"/>
      <c r="D142" s="281" t="s">
        <v>71</v>
      </c>
      <c r="E142" s="34"/>
      <c r="F142" s="33"/>
      <c r="G142" s="213"/>
      <c r="H142" s="168"/>
      <c r="I142" s="269"/>
      <c r="J142" s="214">
        <v>0</v>
      </c>
      <c r="K142" s="496"/>
      <c r="L142" s="496"/>
      <c r="M142" s="496"/>
      <c r="N142" s="496"/>
      <c r="O142" s="496"/>
      <c r="P142" s="496"/>
    </row>
    <row r="143" spans="1:26" ht="19.5" hidden="1">
      <c r="A143" s="159"/>
      <c r="B143" s="33"/>
      <c r="C143" s="210"/>
      <c r="D143" s="281" t="s">
        <v>72</v>
      </c>
      <c r="E143" s="34"/>
      <c r="F143" s="33"/>
      <c r="G143" s="213"/>
      <c r="H143" s="168" t="s">
        <v>35</v>
      </c>
      <c r="I143" s="269">
        <f ca="1">I145</f>
        <v>0</v>
      </c>
      <c r="J143" s="269">
        <f ca="1">IF(AND(J144&gt;=I144,J145&gt;=I145),J145,0)</f>
        <v>0</v>
      </c>
      <c r="K143" s="496">
        <f t="shared" ref="K143:K146" ca="1" si="75">IF(I143&gt;0,J143*100/I143,0)</f>
        <v>0</v>
      </c>
      <c r="L143" s="496"/>
      <c r="M143" s="496"/>
      <c r="N143" s="496"/>
      <c r="O143" s="496"/>
      <c r="P143" s="496"/>
    </row>
    <row r="144" spans="1:26" ht="19.5" hidden="1">
      <c r="A144" s="159"/>
      <c r="B144" s="33"/>
      <c r="C144" s="210"/>
      <c r="D144" s="178"/>
      <c r="E144" s="281" t="s">
        <v>73</v>
      </c>
      <c r="F144" s="33"/>
      <c r="G144" s="213"/>
      <c r="H144" s="168" t="s">
        <v>35</v>
      </c>
      <c r="I144" s="269">
        <f ca="1">IFERROR(__xludf.DUMMYFUNCTION("IMPORTRANGE(""https://docs.google.com/spreadsheets/d/1QqKyyYR6Q21VydFLVH3TRQUabQu_ym0Zz7PgGX0-kHA/edit?usp=sharing"",""แผน!U64"")"),0)</f>
        <v>0</v>
      </c>
      <c r="J144" s="214">
        <v>0</v>
      </c>
      <c r="K144" s="496">
        <f t="shared" ca="1" si="75"/>
        <v>0</v>
      </c>
      <c r="L144" s="496"/>
      <c r="M144" s="496"/>
      <c r="N144" s="496"/>
      <c r="O144" s="496"/>
      <c r="P144" s="496"/>
    </row>
    <row r="145" spans="1:26" ht="19.5" hidden="1">
      <c r="A145" s="159"/>
      <c r="B145" s="33"/>
      <c r="C145" s="210"/>
      <c r="D145" s="178"/>
      <c r="E145" s="281" t="s">
        <v>74</v>
      </c>
      <c r="F145" s="33"/>
      <c r="G145" s="213"/>
      <c r="H145" s="168" t="s">
        <v>35</v>
      </c>
      <c r="I145" s="269">
        <f ca="1">IFERROR(__xludf.DUMMYFUNCTION("IMPORTRANGE(""https://docs.google.com/spreadsheets/d/1QqKyyYR6Q21VydFLVH3TRQUabQu_ym0Zz7PgGX0-kHA/edit?usp=sharing"",""แผน!V64"")"),0)</f>
        <v>0</v>
      </c>
      <c r="J145" s="214">
        <v>0</v>
      </c>
      <c r="K145" s="496">
        <f t="shared" ca="1" si="75"/>
        <v>0</v>
      </c>
      <c r="L145" s="496"/>
      <c r="M145" s="496"/>
      <c r="N145" s="496"/>
      <c r="O145" s="496"/>
      <c r="P145" s="496"/>
    </row>
    <row r="146" spans="1:26" ht="19.5" hidden="1">
      <c r="A146" s="159"/>
      <c r="B146" s="33"/>
      <c r="C146" s="210"/>
      <c r="D146" s="281" t="s">
        <v>75</v>
      </c>
      <c r="E146" s="34"/>
      <c r="F146" s="33"/>
      <c r="G146" s="213"/>
      <c r="H146" s="168" t="s">
        <v>69</v>
      </c>
      <c r="I146" s="269">
        <f ca="1">IFERROR(__xludf.DUMMYFUNCTION("IMPORTRANGE(""https://docs.google.com/spreadsheets/d/1QqKyyYR6Q21VydFLVH3TRQUabQu_ym0Zz7PgGX0-kHA/edit?usp=sharing"",""แผน!W64"")"),0)</f>
        <v>0</v>
      </c>
      <c r="J146" s="214">
        <v>0</v>
      </c>
      <c r="K146" s="496">
        <f t="shared" ca="1" si="75"/>
        <v>0</v>
      </c>
      <c r="L146" s="496"/>
      <c r="M146" s="496"/>
      <c r="N146" s="496"/>
      <c r="O146" s="496"/>
      <c r="P146" s="496"/>
    </row>
    <row r="147" spans="1:26" ht="19.5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>
      <c r="A148" s="216"/>
      <c r="B148" s="208" t="s">
        <v>77</v>
      </c>
      <c r="C148" s="208"/>
      <c r="D148" s="208"/>
      <c r="E148" s="824"/>
      <c r="F148" s="218"/>
      <c r="G148" s="219"/>
      <c r="H148" s="220" t="s">
        <v>35</v>
      </c>
      <c r="I148" s="144">
        <f t="shared" ref="I148:J148" ca="1" si="76">I159</f>
        <v>10</v>
      </c>
      <c r="J148" s="144">
        <f t="shared" si="76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1"/>
      <c r="R148" s="221"/>
      <c r="S148" s="221"/>
      <c r="T148" s="221"/>
      <c r="U148" s="221"/>
      <c r="V148" s="221"/>
      <c r="W148" s="221"/>
      <c r="X148" s="221"/>
      <c r="Y148" s="221"/>
      <c r="Z148" s="221"/>
    </row>
    <row r="149" spans="1:26" ht="19.5">
      <c r="A149" s="147"/>
      <c r="B149" s="148"/>
      <c r="C149" s="149" t="s">
        <v>16</v>
      </c>
      <c r="D149" s="822" t="s">
        <v>17</v>
      </c>
      <c r="E149" s="148"/>
      <c r="F149" s="148"/>
      <c r="G149" s="151"/>
      <c r="H149" s="152" t="s">
        <v>12</v>
      </c>
      <c r="I149" s="419"/>
      <c r="J149" s="419"/>
      <c r="K149" s="154"/>
      <c r="L149" s="155">
        <f t="shared" ref="L149:N149" ca="1" si="77">L150+L151</f>
        <v>5000</v>
      </c>
      <c r="M149" s="155">
        <f t="shared" ca="1" si="77"/>
        <v>12800</v>
      </c>
      <c r="N149" s="155">
        <f t="shared" ca="1" si="77"/>
        <v>8665.4</v>
      </c>
      <c r="O149" s="155">
        <f t="shared" ref="O149:O157" ca="1" si="78">IF(L149&gt;0,N149*100/L149,0)</f>
        <v>173.30799999999999</v>
      </c>
      <c r="P149" s="155">
        <f t="shared" ref="P149:P157" ca="1" si="79">IF(M149&gt;0,N149*100/M149,0)</f>
        <v>67.698437499999997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2" t="s">
        <v>18</v>
      </c>
      <c r="F150" s="40"/>
      <c r="G150" s="157"/>
      <c r="H150" s="158" t="s">
        <v>12</v>
      </c>
      <c r="I150" s="610"/>
      <c r="J150" s="610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2" t="s">
        <v>19</v>
      </c>
      <c r="F151" s="40"/>
      <c r="G151" s="157"/>
      <c r="H151" s="158" t="s">
        <v>12</v>
      </c>
      <c r="I151" s="610"/>
      <c r="J151" s="610"/>
      <c r="K151" s="93"/>
      <c r="L151" s="93">
        <f t="shared" ca="1" si="80"/>
        <v>5000</v>
      </c>
      <c r="M151" s="93">
        <f t="shared" ca="1" si="80"/>
        <v>12800</v>
      </c>
      <c r="N151" s="93">
        <f t="shared" ca="1" si="80"/>
        <v>8665.4</v>
      </c>
      <c r="O151" s="93">
        <f t="shared" ca="1" si="78"/>
        <v>173.30799999999999</v>
      </c>
      <c r="P151" s="93">
        <f t="shared" ca="1" si="79"/>
        <v>67.698437499999997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>
      <c r="A152" s="159"/>
      <c r="B152" s="33"/>
      <c r="C152" s="281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6">
        <f t="shared" ref="L152:N152" ca="1" si="81">L153+L154</f>
        <v>5000</v>
      </c>
      <c r="M152" s="496">
        <f t="shared" ca="1" si="81"/>
        <v>12800</v>
      </c>
      <c r="N152" s="496">
        <f t="shared" ca="1" si="81"/>
        <v>8665.4</v>
      </c>
      <c r="O152" s="496">
        <f t="shared" ca="1" si="78"/>
        <v>173.30799999999999</v>
      </c>
      <c r="P152" s="496">
        <f t="shared" ca="1" si="79"/>
        <v>67.698437499999997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2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2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IFERROR(__xludf.DUMMYFUNCTION("IMPORTRANGE(""https://docs.google.com/spreadsheets/d/1MeEWN-I1oV_STSDYn1IFDPWt_1FKiwhDph83XaGc0o0/edit?usp=sharing"",""งบพรบ!BU64"")"),5000)</f>
        <v>5000</v>
      </c>
      <c r="M154" s="93">
        <f ca="1">IFERROR(__xludf.DUMMYFUNCTION("IMPORTRANGE(""https://docs.google.com/spreadsheets/d/1MeEWN-I1oV_STSDYn1IFDPWt_1FKiwhDph83XaGc0o0/edit?usp=sharing"",""งบพรบ!BZ64"")"),12800)</f>
        <v>12800</v>
      </c>
      <c r="N154" s="93">
        <f ca="1">IFERROR(__xludf.DUMMYFUNCTION("IMPORTRANGE(""https://docs.google.com/spreadsheets/d/1MeEWN-I1oV_STSDYn1IFDPWt_1FKiwhDph83XaGc0o0/edit?usp=sharing"",""งบพรบ!CB64"")"),8665.4)</f>
        <v>8665.4</v>
      </c>
      <c r="O154" s="93">
        <f t="shared" ca="1" si="78"/>
        <v>173.30799999999999</v>
      </c>
      <c r="P154" s="93">
        <f t="shared" ca="1" si="79"/>
        <v>67.698437499999997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>
      <c r="A155" s="159"/>
      <c r="B155" s="33"/>
      <c r="C155" s="281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6">
        <f t="shared" ref="L155:N155" ca="1" si="82">L156+L157</f>
        <v>0</v>
      </c>
      <c r="M155" s="496">
        <f t="shared" ca="1" si="82"/>
        <v>0</v>
      </c>
      <c r="N155" s="496">
        <f t="shared" ca="1" si="82"/>
        <v>0</v>
      </c>
      <c r="O155" s="496">
        <f t="shared" ca="1" si="78"/>
        <v>0</v>
      </c>
      <c r="P155" s="496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2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2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IFERROR(__xludf.DUMMYFUNCTION("IMPORTRANGE(""https://docs.google.com/spreadsheets/d/1MeEWN-I1oV_STSDYn1IFDPWt_1FKiwhDph83XaGc0o0/edit?usp=sharing"",""งบพรบ!BX64"")"),0)</f>
        <v>0</v>
      </c>
      <c r="M157" s="93">
        <f ca="1">IFERROR(__xludf.DUMMYFUNCTION("IMPORTRANGE(""https://docs.google.com/spreadsheets/d/1MeEWN-I1oV_STSDYn1IFDPWt_1FKiwhDph83XaGc0o0/edit?usp=sharing"",""งบพรบ!CA64"")"),0)</f>
        <v>0</v>
      </c>
      <c r="N157" s="93">
        <f ca="1">IFERROR(__xludf.DUMMYFUNCTION("IMPORTRANGE(""https://docs.google.com/spreadsheets/d/1MeEWN-I1oV_STSDYn1IFDPWt_1FKiwhDph83XaGc0o0/edit?usp=sharing"",""งบพรบ!CC64"")"),0)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>
      <c r="A158" s="170"/>
      <c r="B158" s="171"/>
      <c r="C158" s="164" t="s">
        <v>16</v>
      </c>
      <c r="D158" s="823" t="s">
        <v>38</v>
      </c>
      <c r="E158" s="173"/>
      <c r="F158" s="173"/>
      <c r="G158" s="174"/>
      <c r="H158" s="168"/>
      <c r="I158" s="269"/>
      <c r="J158" s="269"/>
      <c r="K158" s="496"/>
      <c r="L158" s="496"/>
      <c r="M158" s="496"/>
      <c r="N158" s="496"/>
      <c r="O158" s="496"/>
      <c r="P158" s="496"/>
    </row>
    <row r="159" spans="1:26" ht="19.5">
      <c r="A159" s="159"/>
      <c r="B159" s="33"/>
      <c r="C159" s="210"/>
      <c r="D159" s="281" t="s">
        <v>78</v>
      </c>
      <c r="E159" s="34"/>
      <c r="F159" s="33"/>
      <c r="G159" s="213"/>
      <c r="H159" s="168" t="s">
        <v>35</v>
      </c>
      <c r="I159" s="269">
        <f ca="1">IFERROR(__xludf.DUMMYFUNCTION("IMPORTRANGE(""https://docs.google.com/spreadsheets/d/1QqKyyYR6Q21VydFLVH3TRQUabQu_ym0Zz7PgGX0-kHA/edit?usp=sharing"",""แผน!X64"")"),10)</f>
        <v>10</v>
      </c>
      <c r="J159" s="214">
        <v>0</v>
      </c>
      <c r="K159" s="496">
        <f ca="1">IF(I159&gt;0,J159*100/I159,0)</f>
        <v>0</v>
      </c>
      <c r="L159" s="496"/>
      <c r="M159" s="496"/>
      <c r="N159" s="496"/>
      <c r="O159" s="496"/>
      <c r="P159" s="496"/>
    </row>
    <row r="160" spans="1:26" ht="19.5" hidden="1">
      <c r="A160" s="156"/>
      <c r="B160" s="40"/>
      <c r="C160" s="164"/>
      <c r="D160" s="222" t="s">
        <v>79</v>
      </c>
      <c r="E160" s="223"/>
      <c r="F160" s="40"/>
      <c r="G160" s="157"/>
      <c r="H160" s="169" t="s">
        <v>35</v>
      </c>
      <c r="I160" s="610"/>
      <c r="J160" s="610"/>
      <c r="K160" s="93"/>
      <c r="L160" s="93"/>
      <c r="M160" s="93"/>
      <c r="N160" s="93"/>
      <c r="O160" s="93"/>
      <c r="P160" s="93"/>
      <c r="Q160" s="224"/>
      <c r="R160" s="224"/>
      <c r="S160" s="224"/>
      <c r="T160" s="224"/>
      <c r="U160" s="224"/>
      <c r="V160" s="224"/>
      <c r="W160" s="224"/>
      <c r="X160" s="224"/>
      <c r="Y160" s="224"/>
      <c r="Z160" s="224"/>
    </row>
    <row r="161" spans="1:26" ht="19.5" hidden="1">
      <c r="A161" s="225"/>
      <c r="B161" s="226"/>
      <c r="C161" s="227"/>
      <c r="D161" s="228" t="s">
        <v>80</v>
      </c>
      <c r="E161" s="825"/>
      <c r="F161" s="226"/>
      <c r="G161" s="230"/>
      <c r="H161" s="231" t="s">
        <v>35</v>
      </c>
      <c r="I161" s="232"/>
      <c r="J161" s="232"/>
      <c r="K161" s="233"/>
      <c r="L161" s="233"/>
      <c r="M161" s="233"/>
      <c r="N161" s="233"/>
      <c r="O161" s="233"/>
      <c r="P161" s="233"/>
      <c r="Q161" s="224"/>
      <c r="R161" s="224"/>
      <c r="S161" s="224"/>
      <c r="T161" s="224"/>
      <c r="U161" s="224"/>
      <c r="V161" s="224"/>
      <c r="W161" s="224"/>
      <c r="X161" s="224"/>
      <c r="Y161" s="224"/>
      <c r="Z161" s="224"/>
    </row>
    <row r="162" spans="1:26" ht="19.5">
      <c r="A162" s="234" t="s">
        <v>81</v>
      </c>
      <c r="B162" s="235"/>
      <c r="C162" s="235"/>
      <c r="D162" s="235"/>
      <c r="E162" s="236"/>
      <c r="F162" s="236"/>
      <c r="G162" s="237"/>
      <c r="H162" s="238"/>
      <c r="I162" s="239"/>
      <c r="J162" s="239"/>
      <c r="K162" s="240"/>
      <c r="L162" s="240"/>
      <c r="M162" s="240"/>
      <c r="N162" s="240"/>
      <c r="O162" s="240"/>
      <c r="P162" s="240"/>
    </row>
    <row r="163" spans="1:26" ht="19.5">
      <c r="A163" s="241" t="s">
        <v>82</v>
      </c>
      <c r="B163" s="242"/>
      <c r="C163" s="242"/>
      <c r="D163" s="243"/>
      <c r="E163" s="243"/>
      <c r="F163" s="243"/>
      <c r="G163" s="244"/>
      <c r="H163" s="245"/>
      <c r="I163" s="246"/>
      <c r="J163" s="246"/>
      <c r="K163" s="247"/>
      <c r="L163" s="247"/>
      <c r="M163" s="247"/>
      <c r="N163" s="247"/>
      <c r="O163" s="247"/>
      <c r="P163" s="247"/>
    </row>
    <row r="164" spans="1:26" ht="19.5">
      <c r="A164" s="248"/>
      <c r="B164" s="249" t="s">
        <v>83</v>
      </c>
      <c r="C164" s="250"/>
      <c r="D164" s="173"/>
      <c r="E164" s="173"/>
      <c r="F164" s="173"/>
      <c r="G164" s="174"/>
      <c r="H164" s="251" t="s">
        <v>35</v>
      </c>
      <c r="I164" s="252">
        <f t="shared" ref="I164:J164" ca="1" si="83">I174+I177</f>
        <v>12</v>
      </c>
      <c r="J164" s="252">
        <f t="shared" si="83"/>
        <v>0</v>
      </c>
      <c r="K164" s="253">
        <f ca="1">IF(I164&gt;0,J164*100/I164,0)</f>
        <v>0</v>
      </c>
      <c r="L164" s="254"/>
      <c r="M164" s="254"/>
      <c r="N164" s="254"/>
      <c r="O164" s="254"/>
      <c r="P164" s="254"/>
    </row>
    <row r="165" spans="1:26" ht="19.5">
      <c r="A165" s="147"/>
      <c r="B165" s="148"/>
      <c r="C165" s="149" t="s">
        <v>16</v>
      </c>
      <c r="D165" s="822" t="s">
        <v>17</v>
      </c>
      <c r="E165" s="148"/>
      <c r="F165" s="148"/>
      <c r="G165" s="151"/>
      <c r="H165" s="152" t="s">
        <v>12</v>
      </c>
      <c r="I165" s="419"/>
      <c r="J165" s="419"/>
      <c r="K165" s="154"/>
      <c r="L165" s="155">
        <f t="shared" ref="L165:N165" ca="1" si="84">L166+L167</f>
        <v>23060</v>
      </c>
      <c r="M165" s="155">
        <f t="shared" ca="1" si="84"/>
        <v>23060</v>
      </c>
      <c r="N165" s="155">
        <f t="shared" ca="1" si="84"/>
        <v>20991.119999999999</v>
      </c>
      <c r="O165" s="155">
        <f t="shared" ref="O165:O173" ca="1" si="85">IF(L165&gt;0,N165*100/L165,0)</f>
        <v>91.028274067649605</v>
      </c>
      <c r="P165" s="155">
        <f t="shared" ref="P165:P173" ca="1" si="86">IF(M165&gt;0,N165*100/M165,0)</f>
        <v>91.028274067649605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2" t="s">
        <v>18</v>
      </c>
      <c r="F166" s="40"/>
      <c r="G166" s="157"/>
      <c r="H166" s="158" t="s">
        <v>12</v>
      </c>
      <c r="I166" s="610"/>
      <c r="J166" s="610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2" t="s">
        <v>19</v>
      </c>
      <c r="F167" s="40"/>
      <c r="G167" s="157"/>
      <c r="H167" s="158" t="s">
        <v>12</v>
      </c>
      <c r="I167" s="610"/>
      <c r="J167" s="610"/>
      <c r="K167" s="93"/>
      <c r="L167" s="93">
        <f t="shared" ca="1" si="87"/>
        <v>23060</v>
      </c>
      <c r="M167" s="93">
        <f t="shared" ca="1" si="87"/>
        <v>23060</v>
      </c>
      <c r="N167" s="93">
        <f t="shared" ca="1" si="87"/>
        <v>20991.119999999999</v>
      </c>
      <c r="O167" s="93">
        <f t="shared" ca="1" si="85"/>
        <v>91.028274067649605</v>
      </c>
      <c r="P167" s="93">
        <f t="shared" ca="1" si="86"/>
        <v>91.028274067649605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1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6">
        <f t="shared" ref="L168:N168" ca="1" si="88">L169+L170</f>
        <v>23060</v>
      </c>
      <c r="M168" s="496">
        <f t="shared" ca="1" si="88"/>
        <v>23060</v>
      </c>
      <c r="N168" s="496">
        <f t="shared" ca="1" si="88"/>
        <v>20991.119999999999</v>
      </c>
      <c r="O168" s="496">
        <f t="shared" ca="1" si="85"/>
        <v>91.028274067649605</v>
      </c>
      <c r="P168" s="496">
        <f t="shared" ca="1" si="86"/>
        <v>91.028274067649605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2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2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IFERROR(__xludf.DUMMYFUNCTION("IMPORTRANGE(""https://docs.google.com/spreadsheets/d/1MeEWN-I1oV_STSDYn1IFDPWt_1FKiwhDph83XaGc0o0/edit?usp=sharing"",""งบพรบ!CE64"")"),23060)</f>
        <v>23060</v>
      </c>
      <c r="M170" s="93">
        <f ca="1">IFERROR(__xludf.DUMMYFUNCTION("IMPORTRANGE(""https://docs.google.com/spreadsheets/d/1MeEWN-I1oV_STSDYn1IFDPWt_1FKiwhDph83XaGc0o0/edit?usp=sharing"",""งบพรบ!CJ64"")"),23060)</f>
        <v>23060</v>
      </c>
      <c r="N170" s="93">
        <f ca="1">IFERROR(__xludf.DUMMYFUNCTION("IMPORTRANGE(""https://docs.google.com/spreadsheets/d/1MeEWN-I1oV_STSDYn1IFDPWt_1FKiwhDph83XaGc0o0/edit?usp=sharing"",""งบพรบ!CL64"")"),20991.12)</f>
        <v>20991.119999999999</v>
      </c>
      <c r="O170" s="93">
        <f t="shared" ca="1" si="85"/>
        <v>91.028274067649605</v>
      </c>
      <c r="P170" s="93">
        <f t="shared" ca="1" si="86"/>
        <v>91.028274067649605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1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6">
        <f t="shared" ref="L171:N171" ca="1" si="89">L172+L173</f>
        <v>0</v>
      </c>
      <c r="M171" s="496">
        <f t="shared" ca="1" si="89"/>
        <v>0</v>
      </c>
      <c r="N171" s="496">
        <f t="shared" ca="1" si="89"/>
        <v>0</v>
      </c>
      <c r="O171" s="496">
        <f t="shared" ca="1" si="85"/>
        <v>0</v>
      </c>
      <c r="P171" s="496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2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2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IFERROR(__xludf.DUMMYFUNCTION("IMPORTRANGE(""https://docs.google.com/spreadsheets/d/1MeEWN-I1oV_STSDYn1IFDPWt_1FKiwhDph83XaGc0o0/edit?usp=sharing"",""งบพรบ!CH64"")"),0)</f>
        <v>0</v>
      </c>
      <c r="M173" s="93">
        <f ca="1">IFERROR(__xludf.DUMMYFUNCTION("IMPORTRANGE(""https://docs.google.com/spreadsheets/d/1MeEWN-I1oV_STSDYn1IFDPWt_1FKiwhDph83XaGc0o0/edit?usp=sharing"",""งบพรบ!CK64"")"),0)</f>
        <v>0</v>
      </c>
      <c r="N173" s="93">
        <f ca="1">IFERROR(__xludf.DUMMYFUNCTION("IMPORTRANGE(""https://docs.google.com/spreadsheets/d/1MeEWN-I1oV_STSDYn1IFDPWt_1FKiwhDph83XaGc0o0/edit?usp=sharing"",""งบพรบ!CM64"")"),0)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5"/>
      <c r="B174" s="256"/>
      <c r="C174" s="257" t="s">
        <v>84</v>
      </c>
      <c r="D174" s="256"/>
      <c r="E174" s="256"/>
      <c r="F174" s="256"/>
      <c r="G174" s="258"/>
      <c r="H174" s="259" t="s">
        <v>35</v>
      </c>
      <c r="I174" s="260">
        <f t="shared" ref="I174:J174" ca="1" si="90">I176</f>
        <v>12</v>
      </c>
      <c r="J174" s="260">
        <f t="shared" si="90"/>
        <v>0</v>
      </c>
      <c r="K174" s="261">
        <f ca="1">IF(I174&gt;0,J174*100/I174,0)</f>
        <v>0</v>
      </c>
      <c r="L174" s="261"/>
      <c r="M174" s="261"/>
      <c r="N174" s="261"/>
      <c r="O174" s="261"/>
      <c r="P174" s="261"/>
    </row>
    <row r="175" spans="1:26" ht="19.5">
      <c r="A175" s="170"/>
      <c r="B175" s="171"/>
      <c r="C175" s="164" t="s">
        <v>16</v>
      </c>
      <c r="D175" s="823" t="s">
        <v>38</v>
      </c>
      <c r="E175" s="173"/>
      <c r="F175" s="173"/>
      <c r="G175" s="174"/>
      <c r="H175" s="753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37" t="s">
        <v>85</v>
      </c>
      <c r="E176" s="178"/>
      <c r="F176" s="178"/>
      <c r="G176" s="179"/>
      <c r="H176" s="616" t="s">
        <v>35</v>
      </c>
      <c r="I176" s="269">
        <f ca="1">IFERROR(__xludf.DUMMYFUNCTION("IMPORTRANGE(""https://docs.google.com/spreadsheets/d/1QqKyyYR6Q21VydFLVH3TRQUabQu_ym0Zz7PgGX0-kHA/edit?usp=sharing"",""แผน!Y64"")"),12)</f>
        <v>12</v>
      </c>
      <c r="J176" s="214">
        <v>0</v>
      </c>
      <c r="K176" s="163">
        <f ca="1">IF(I176&gt;0,J176*100/I176,0)</f>
        <v>0</v>
      </c>
      <c r="L176" s="163"/>
      <c r="M176" s="163"/>
      <c r="N176" s="163"/>
      <c r="O176" s="163"/>
      <c r="P176" s="163"/>
    </row>
    <row r="177" spans="1:26" ht="19.5" hidden="1">
      <c r="A177" s="255"/>
      <c r="B177" s="263"/>
      <c r="C177" s="264" t="s">
        <v>86</v>
      </c>
      <c r="D177" s="263"/>
      <c r="E177" s="256"/>
      <c r="F177" s="256"/>
      <c r="G177" s="258"/>
      <c r="H177" s="265" t="s">
        <v>35</v>
      </c>
      <c r="I177" s="260"/>
      <c r="J177" s="260">
        <f>J179</f>
        <v>0</v>
      </c>
      <c r="K177" s="261"/>
      <c r="L177" s="261"/>
      <c r="M177" s="261"/>
      <c r="N177" s="261"/>
      <c r="O177" s="261"/>
      <c r="P177" s="261"/>
    </row>
    <row r="178" spans="1:26" ht="19.5" hidden="1">
      <c r="A178" s="170"/>
      <c r="B178" s="171"/>
      <c r="C178" s="164" t="s">
        <v>16</v>
      </c>
      <c r="D178" s="266" t="s">
        <v>38</v>
      </c>
      <c r="E178" s="173"/>
      <c r="F178" s="173"/>
      <c r="G178" s="174"/>
      <c r="H178" s="753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3" t="s">
        <v>87</v>
      </c>
      <c r="E179" s="178"/>
      <c r="F179" s="366"/>
      <c r="G179" s="179"/>
      <c r="H179" s="43" t="s">
        <v>35</v>
      </c>
      <c r="I179" s="269"/>
      <c r="J179" s="269"/>
      <c r="K179" s="163"/>
      <c r="L179" s="163"/>
      <c r="M179" s="163"/>
      <c r="N179" s="163"/>
      <c r="O179" s="163"/>
      <c r="P179" s="163"/>
    </row>
    <row r="180" spans="1:26" ht="19.5">
      <c r="A180" s="248"/>
      <c r="B180" s="249" t="s">
        <v>88</v>
      </c>
      <c r="C180" s="250"/>
      <c r="D180" s="173"/>
      <c r="E180" s="173"/>
      <c r="F180" s="173"/>
      <c r="G180" s="174"/>
      <c r="H180" s="251" t="s">
        <v>35</v>
      </c>
      <c r="I180" s="252">
        <f t="shared" ref="I180:J180" ca="1" si="91">I225+I226</f>
        <v>35</v>
      </c>
      <c r="J180" s="252">
        <f t="shared" si="91"/>
        <v>20</v>
      </c>
      <c r="K180" s="253">
        <f ca="1">IF(I180&gt;0,J180*100/I180,0)</f>
        <v>57.142857142857146</v>
      </c>
      <c r="L180" s="254"/>
      <c r="M180" s="254"/>
      <c r="N180" s="254"/>
      <c r="O180" s="254"/>
      <c r="P180" s="254"/>
    </row>
    <row r="181" spans="1:26" ht="19.5">
      <c r="A181" s="147"/>
      <c r="B181" s="148"/>
      <c r="C181" s="149" t="s">
        <v>16</v>
      </c>
      <c r="D181" s="822" t="s">
        <v>17</v>
      </c>
      <c r="E181" s="148"/>
      <c r="F181" s="148"/>
      <c r="G181" s="151"/>
      <c r="H181" s="152" t="s">
        <v>12</v>
      </c>
      <c r="I181" s="419"/>
      <c r="J181" s="419"/>
      <c r="K181" s="154"/>
      <c r="L181" s="155">
        <f t="shared" ref="L181:N181" ca="1" si="92">L182+L183</f>
        <v>527750</v>
      </c>
      <c r="M181" s="155">
        <f t="shared" ca="1" si="92"/>
        <v>230750</v>
      </c>
      <c r="N181" s="155">
        <f t="shared" ca="1" si="92"/>
        <v>152041.19</v>
      </c>
      <c r="O181" s="155">
        <f t="shared" ref="O181:O189" ca="1" si="93">IF(L181&gt;0,N181*100/L181,0)</f>
        <v>28.809320701089533</v>
      </c>
      <c r="P181" s="155">
        <f t="shared" ref="P181:P189" ca="1" si="94">IF(M181&gt;0,N181*100/M181,0)</f>
        <v>65.890006500541716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2" t="s">
        <v>18</v>
      </c>
      <c r="F182" s="40"/>
      <c r="G182" s="157"/>
      <c r="H182" s="158" t="s">
        <v>12</v>
      </c>
      <c r="I182" s="610"/>
      <c r="J182" s="610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2" t="s">
        <v>19</v>
      </c>
      <c r="F183" s="40"/>
      <c r="G183" s="157"/>
      <c r="H183" s="158" t="s">
        <v>12</v>
      </c>
      <c r="I183" s="610"/>
      <c r="J183" s="610"/>
      <c r="K183" s="93"/>
      <c r="L183" s="93">
        <f t="shared" ca="1" si="95"/>
        <v>527750</v>
      </c>
      <c r="M183" s="93">
        <f t="shared" ca="1" si="95"/>
        <v>230750</v>
      </c>
      <c r="N183" s="93">
        <f t="shared" ca="1" si="95"/>
        <v>152041.19</v>
      </c>
      <c r="O183" s="93">
        <f t="shared" ca="1" si="93"/>
        <v>28.809320701089533</v>
      </c>
      <c r="P183" s="93">
        <f t="shared" ca="1" si="94"/>
        <v>65.890006500541716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1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6">
        <f t="shared" ref="L184:N184" ca="1" si="96">L185+L186</f>
        <v>527750</v>
      </c>
      <c r="M184" s="496">
        <f t="shared" ca="1" si="96"/>
        <v>230750</v>
      </c>
      <c r="N184" s="496">
        <f t="shared" ca="1" si="96"/>
        <v>152041.19</v>
      </c>
      <c r="O184" s="496">
        <f t="shared" ca="1" si="93"/>
        <v>28.809320701089533</v>
      </c>
      <c r="P184" s="496">
        <f t="shared" ca="1" si="94"/>
        <v>65.890006500541716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2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2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IFERROR(__xludf.DUMMYFUNCTION("IMPORTRANGE(""https://docs.google.com/spreadsheets/d/1MeEWN-I1oV_STSDYn1IFDPWt_1FKiwhDph83XaGc0o0/edit?usp=sharing"",""งบพรบ!CO64"")"),527750)</f>
        <v>527750</v>
      </c>
      <c r="M186" s="93">
        <f ca="1">IFERROR(__xludf.DUMMYFUNCTION("IMPORTRANGE(""https://docs.google.com/spreadsheets/d/1MeEWN-I1oV_STSDYn1IFDPWt_1FKiwhDph83XaGc0o0/edit?usp=sharing"",""งบพรบ!CT64"")"),230750)</f>
        <v>230750</v>
      </c>
      <c r="N186" s="93">
        <f ca="1">IFERROR(__xludf.DUMMYFUNCTION("IMPORTRANGE(""https://docs.google.com/spreadsheets/d/1MeEWN-I1oV_STSDYn1IFDPWt_1FKiwhDph83XaGc0o0/edit?usp=sharing"",""งบพรบ!CV64"")"),152041.19)</f>
        <v>152041.19</v>
      </c>
      <c r="O186" s="93">
        <f t="shared" ca="1" si="93"/>
        <v>28.809320701089533</v>
      </c>
      <c r="P186" s="93">
        <f t="shared" ca="1" si="94"/>
        <v>65.890006500541716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1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6">
        <f t="shared" ref="L187:N187" ca="1" si="97">L188+L189</f>
        <v>0</v>
      </c>
      <c r="M187" s="496">
        <f t="shared" ca="1" si="97"/>
        <v>0</v>
      </c>
      <c r="N187" s="496">
        <f t="shared" ca="1" si="97"/>
        <v>0</v>
      </c>
      <c r="O187" s="496">
        <f t="shared" ca="1" si="93"/>
        <v>0</v>
      </c>
      <c r="P187" s="496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2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2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IFERROR(__xludf.DUMMYFUNCTION("IMPORTRANGE(""https://docs.google.com/spreadsheets/d/1MeEWN-I1oV_STSDYn1IFDPWt_1FKiwhDph83XaGc0o0/edit?usp=sharing"",""งบพรบ!CR64"")"),0)</f>
        <v>0</v>
      </c>
      <c r="M189" s="93">
        <f ca="1">IFERROR(__xludf.DUMMYFUNCTION("IMPORTRANGE(""https://docs.google.com/spreadsheets/d/1MeEWN-I1oV_STSDYn1IFDPWt_1FKiwhDph83XaGc0o0/edit?usp=sharing"",""งบพรบ!CU64"")"),0)</f>
        <v>0</v>
      </c>
      <c r="N189" s="93">
        <f ca="1">IFERROR(__xludf.DUMMYFUNCTION("IMPORTRANGE(""https://docs.google.com/spreadsheets/d/1MeEWN-I1oV_STSDYn1IFDPWt_1FKiwhDph83XaGc0o0/edit?usp=sharing"",""งบพรบ!CW64"")"),0)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5"/>
      <c r="B190" s="263"/>
      <c r="C190" s="270" t="s">
        <v>89</v>
      </c>
      <c r="D190" s="256"/>
      <c r="E190" s="256"/>
      <c r="F190" s="256"/>
      <c r="G190" s="258"/>
      <c r="H190" s="259" t="s">
        <v>90</v>
      </c>
      <c r="I190" s="271">
        <f t="shared" ref="I190:J190" ca="1" si="98">I193</f>
        <v>4</v>
      </c>
      <c r="J190" s="271">
        <f t="shared" si="98"/>
        <v>0</v>
      </c>
      <c r="K190" s="272">
        <f ca="1">IF(I190&gt;0,J190*100/I190,0)</f>
        <v>0</v>
      </c>
      <c r="L190" s="261"/>
      <c r="M190" s="261"/>
      <c r="N190" s="261"/>
      <c r="O190" s="261"/>
      <c r="P190" s="261"/>
    </row>
    <row r="191" spans="1:26" ht="19.5">
      <c r="A191" s="147"/>
      <c r="B191" s="148"/>
      <c r="C191" s="149" t="s">
        <v>16</v>
      </c>
      <c r="D191" s="826" t="s">
        <v>17</v>
      </c>
      <c r="E191" s="148"/>
      <c r="F191" s="148"/>
      <c r="G191" s="151"/>
      <c r="H191" s="274" t="s">
        <v>12</v>
      </c>
      <c r="I191" s="419"/>
      <c r="J191" s="419"/>
      <c r="K191" s="154"/>
      <c r="L191" s="155">
        <f ca="1">IFERROR(__xludf.DUMMYFUNCTION("IMPORTRANGE(""https://docs.google.com/spreadsheets/d/1QqKyyYR6Q21VydFLVH3TRQUabQu_ym0Zz7PgGX0-kHA/edit?usp=sharing"",""แผน!Z64"")"),6000)</f>
        <v>6000</v>
      </c>
      <c r="M191" s="155"/>
      <c r="N191" s="275">
        <v>0</v>
      </c>
      <c r="O191" s="155">
        <f ca="1">IF(L191&gt;0,N191*100/L191,0)</f>
        <v>0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0" t="s">
        <v>16</v>
      </c>
      <c r="D192" s="823" t="s">
        <v>38</v>
      </c>
      <c r="E192" s="173"/>
      <c r="F192" s="173"/>
      <c r="G192" s="174"/>
      <c r="H192" s="753"/>
      <c r="I192" s="269"/>
      <c r="J192" s="269"/>
      <c r="K192" s="496"/>
      <c r="L192" s="496"/>
      <c r="M192" s="496"/>
      <c r="N192" s="496"/>
      <c r="O192" s="496"/>
      <c r="P192" s="496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6" t="s">
        <v>91</v>
      </c>
      <c r="E193" s="178"/>
      <c r="F193" s="178"/>
      <c r="G193" s="179"/>
      <c r="H193" s="755" t="s">
        <v>90</v>
      </c>
      <c r="I193" s="269">
        <f ca="1">IFERROR(__xludf.DUMMYFUNCTION("IMPORTRANGE(""https://docs.google.com/spreadsheets/d/1QqKyyYR6Q21VydFLVH3TRQUabQu_ym0Zz7PgGX0-kHA/edit?usp=sharing"",""แผน!AC64"")"),4)</f>
        <v>4</v>
      </c>
      <c r="J193" s="214">
        <v>0</v>
      </c>
      <c r="K193" s="496">
        <f ca="1">IF(I193&gt;0,J193*100/I193,0)</f>
        <v>0</v>
      </c>
      <c r="L193" s="496"/>
      <c r="M193" s="496"/>
      <c r="N193" s="496"/>
      <c r="O193" s="496"/>
      <c r="P193" s="496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6" t="s">
        <v>92</v>
      </c>
      <c r="E194" s="178"/>
      <c r="F194" s="178"/>
      <c r="G194" s="179"/>
      <c r="H194" s="276" t="s">
        <v>35</v>
      </c>
      <c r="I194" s="269"/>
      <c r="J194" s="269">
        <f>J195+J196</f>
        <v>0</v>
      </c>
      <c r="K194" s="496"/>
      <c r="L194" s="496"/>
      <c r="M194" s="496"/>
      <c r="N194" s="496"/>
      <c r="O194" s="496"/>
      <c r="P194" s="496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6" t="s">
        <v>93</v>
      </c>
      <c r="F195" s="178"/>
      <c r="G195" s="179"/>
      <c r="H195" s="276" t="s">
        <v>35</v>
      </c>
      <c r="I195" s="269"/>
      <c r="J195" s="214">
        <v>0</v>
      </c>
      <c r="K195" s="496"/>
      <c r="L195" s="496"/>
      <c r="M195" s="496"/>
      <c r="N195" s="496"/>
      <c r="O195" s="496"/>
      <c r="P195" s="496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6" t="s">
        <v>94</v>
      </c>
      <c r="F196" s="178"/>
      <c r="G196" s="179"/>
      <c r="H196" s="276" t="s">
        <v>35</v>
      </c>
      <c r="I196" s="269"/>
      <c r="J196" s="214">
        <v>0</v>
      </c>
      <c r="K196" s="496"/>
      <c r="L196" s="496"/>
      <c r="M196" s="496"/>
      <c r="N196" s="496"/>
      <c r="O196" s="496"/>
      <c r="P196" s="496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 hidden="1">
      <c r="A197" s="255"/>
      <c r="B197" s="263"/>
      <c r="C197" s="270" t="s">
        <v>95</v>
      </c>
      <c r="D197" s="256"/>
      <c r="E197" s="256"/>
      <c r="F197" s="256"/>
      <c r="G197" s="258"/>
      <c r="H197" s="277" t="s">
        <v>96</v>
      </c>
      <c r="I197" s="271">
        <f t="shared" ref="I197:J197" ca="1" si="99">I204</f>
        <v>0</v>
      </c>
      <c r="J197" s="271">
        <f t="shared" si="99"/>
        <v>0</v>
      </c>
      <c r="K197" s="272">
        <f ca="1">IF(I197&gt;0,J197*100/I197,0)</f>
        <v>0</v>
      </c>
      <c r="L197" s="261"/>
      <c r="M197" s="261"/>
      <c r="N197" s="261"/>
      <c r="O197" s="261"/>
      <c r="P197" s="261"/>
    </row>
    <row r="198" spans="1:26" ht="19.5" hidden="1">
      <c r="A198" s="147"/>
      <c r="B198" s="148"/>
      <c r="C198" s="149" t="s">
        <v>16</v>
      </c>
      <c r="D198" s="826" t="s">
        <v>17</v>
      </c>
      <c r="E198" s="148"/>
      <c r="F198" s="148"/>
      <c r="G198" s="151"/>
      <c r="H198" s="274" t="s">
        <v>12</v>
      </c>
      <c r="I198" s="418"/>
      <c r="J198" s="418"/>
      <c r="K198" s="279"/>
      <c r="L198" s="155">
        <f ca="1">L199+L200+L201+L202</f>
        <v>0</v>
      </c>
      <c r="M198" s="155"/>
      <c r="N198" s="155">
        <f>N199+N200+N201+N202</f>
        <v>0</v>
      </c>
      <c r="O198" s="155">
        <f ca="1">IF(L198&gt;0,N198*100/L198,0)</f>
        <v>0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 hidden="1">
      <c r="A199" s="159"/>
      <c r="B199" s="280"/>
      <c r="C199" s="33"/>
      <c r="D199" s="281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6">
        <f ca="1">IFERROR(__xludf.DUMMYFUNCTION("IMPORTRANGE(""https://docs.google.com/spreadsheets/d/1QqKyyYR6Q21VydFLVH3TRQUabQu_ym0Zz7PgGX0-kHA/edit?usp=sharing"",""แผน!AE64"")"),0)</f>
        <v>0</v>
      </c>
      <c r="M199" s="496"/>
      <c r="N199" s="817">
        <v>0</v>
      </c>
      <c r="O199" s="496"/>
      <c r="P199" s="496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 hidden="1">
      <c r="A200" s="284"/>
      <c r="B200" s="280"/>
      <c r="C200" s="210"/>
      <c r="D200" s="281" t="s">
        <v>98</v>
      </c>
      <c r="E200" s="33"/>
      <c r="F200" s="33"/>
      <c r="G200" s="35"/>
      <c r="H200" s="616" t="s">
        <v>12</v>
      </c>
      <c r="I200" s="269"/>
      <c r="J200" s="269"/>
      <c r="K200" s="496"/>
      <c r="L200" s="496">
        <f ca="1">IFERROR(__xludf.DUMMYFUNCTION("IMPORTRANGE(""https://docs.google.com/spreadsheets/d/1QqKyyYR6Q21VydFLVH3TRQUabQu_ym0Zz7PgGX0-kHA/edit?usp=sharing"",""แผน!AF64"")"),0)</f>
        <v>0</v>
      </c>
      <c r="M200" s="496"/>
      <c r="N200" s="817">
        <v>0</v>
      </c>
      <c r="O200" s="496"/>
      <c r="P200" s="496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 hidden="1">
      <c r="A201" s="284"/>
      <c r="B201" s="280"/>
      <c r="C201" s="210"/>
      <c r="D201" s="281" t="s">
        <v>99</v>
      </c>
      <c r="E201" s="33"/>
      <c r="F201" s="33"/>
      <c r="G201" s="35"/>
      <c r="H201" s="616" t="s">
        <v>12</v>
      </c>
      <c r="I201" s="269"/>
      <c r="J201" s="269"/>
      <c r="K201" s="496"/>
      <c r="L201" s="496">
        <f ca="1">IFERROR(__xludf.DUMMYFUNCTION("IMPORTRANGE(""https://docs.google.com/spreadsheets/d/1QqKyyYR6Q21VydFLVH3TRQUabQu_ym0Zz7PgGX0-kHA/edit?usp=sharing"",""แผน!AG64"")"),0)</f>
        <v>0</v>
      </c>
      <c r="M201" s="496"/>
      <c r="N201" s="817">
        <v>0</v>
      </c>
      <c r="O201" s="496"/>
      <c r="P201" s="496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 hidden="1">
      <c r="A202" s="284"/>
      <c r="B202" s="280"/>
      <c r="C202" s="210"/>
      <c r="D202" s="281" t="s">
        <v>100</v>
      </c>
      <c r="E202" s="33"/>
      <c r="F202" s="33"/>
      <c r="G202" s="35"/>
      <c r="H202" s="616" t="s">
        <v>12</v>
      </c>
      <c r="I202" s="269"/>
      <c r="J202" s="269"/>
      <c r="K202" s="496"/>
      <c r="L202" s="496">
        <f ca="1">IFERROR(__xludf.DUMMYFUNCTION("IMPORTRANGE(""https://docs.google.com/spreadsheets/d/1QqKyyYR6Q21VydFLVH3TRQUabQu_ym0Zz7PgGX0-kHA/edit?usp=sharing"",""แผน!AH64"")"),0)</f>
        <v>0</v>
      </c>
      <c r="M202" s="496"/>
      <c r="N202" s="817">
        <v>0</v>
      </c>
      <c r="O202" s="496"/>
      <c r="P202" s="496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 hidden="1">
      <c r="A203" s="170"/>
      <c r="B203" s="171"/>
      <c r="C203" s="210" t="s">
        <v>16</v>
      </c>
      <c r="D203" s="823" t="s">
        <v>38</v>
      </c>
      <c r="E203" s="173"/>
      <c r="F203" s="173"/>
      <c r="G203" s="174"/>
      <c r="H203" s="753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 hidden="1">
      <c r="A204" s="170"/>
      <c r="B204" s="171"/>
      <c r="C204" s="171"/>
      <c r="D204" s="176" t="s">
        <v>101</v>
      </c>
      <c r="E204" s="178"/>
      <c r="F204" s="178"/>
      <c r="G204" s="179"/>
      <c r="H204" s="753" t="s">
        <v>96</v>
      </c>
      <c r="I204" s="269">
        <f ca="1">IFERROR(__xludf.DUMMYFUNCTION("IMPORTRANGE(""https://docs.google.com/spreadsheets/d/1QqKyyYR6Q21VydFLVH3TRQUabQu_ym0Zz7PgGX0-kHA/edit?usp=sharing"",""แผน!AI64"")"),0)</f>
        <v>0</v>
      </c>
      <c r="J204" s="214">
        <v>0</v>
      </c>
      <c r="K204" s="163">
        <f ca="1">IF(I204&gt;0,J204*100/I204,0)</f>
        <v>0</v>
      </c>
      <c r="L204" s="496"/>
      <c r="M204" s="496"/>
      <c r="N204" s="496"/>
      <c r="O204" s="496"/>
      <c r="P204" s="496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 hidden="1">
      <c r="A205" s="170"/>
      <c r="B205" s="171"/>
      <c r="C205" s="171"/>
      <c r="D205" s="446" t="s">
        <v>59</v>
      </c>
      <c r="E205" s="178"/>
      <c r="F205" s="178"/>
      <c r="G205" s="179"/>
      <c r="H205" s="753"/>
      <c r="I205" s="269"/>
      <c r="J205" s="269"/>
      <c r="K205" s="163"/>
      <c r="L205" s="496"/>
      <c r="M205" s="496"/>
      <c r="N205" s="496"/>
      <c r="O205" s="496"/>
      <c r="P205" s="496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 hidden="1">
      <c r="A206" s="170"/>
      <c r="B206" s="171"/>
      <c r="C206" s="171"/>
      <c r="D206" s="178"/>
      <c r="E206" s="446" t="s">
        <v>343</v>
      </c>
      <c r="F206" s="178"/>
      <c r="G206" s="179"/>
      <c r="H206" s="753" t="s">
        <v>96</v>
      </c>
      <c r="I206" s="269"/>
      <c r="J206" s="214">
        <v>0</v>
      </c>
      <c r="K206" s="163"/>
      <c r="L206" s="496"/>
      <c r="M206" s="496"/>
      <c r="N206" s="496"/>
      <c r="O206" s="496"/>
      <c r="P206" s="496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 hidden="1">
      <c r="A207" s="170"/>
      <c r="B207" s="171"/>
      <c r="C207" s="171"/>
      <c r="D207" s="446"/>
      <c r="E207" s="446" t="s">
        <v>344</v>
      </c>
      <c r="F207" s="178"/>
      <c r="G207" s="179"/>
      <c r="H207" s="755" t="s">
        <v>69</v>
      </c>
      <c r="I207" s="269"/>
      <c r="J207" s="214">
        <v>0</v>
      </c>
      <c r="K207" s="163"/>
      <c r="L207" s="496"/>
      <c r="M207" s="496"/>
      <c r="N207" s="496"/>
      <c r="O207" s="496"/>
      <c r="P207" s="496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 hidden="1">
      <c r="A208" s="255"/>
      <c r="B208" s="263"/>
      <c r="C208" s="270" t="s">
        <v>105</v>
      </c>
      <c r="D208" s="256"/>
      <c r="E208" s="256"/>
      <c r="F208" s="291"/>
      <c r="G208" s="258"/>
      <c r="H208" s="277" t="s">
        <v>96</v>
      </c>
      <c r="I208" s="271">
        <f t="shared" ref="I208:J208" ca="1" si="100">I215</f>
        <v>0</v>
      </c>
      <c r="J208" s="271">
        <f t="shared" si="100"/>
        <v>0</v>
      </c>
      <c r="K208" s="272">
        <f ca="1">IF(I208&gt;0,J208*100/I208,0)</f>
        <v>0</v>
      </c>
      <c r="L208" s="261"/>
      <c r="M208" s="261"/>
      <c r="N208" s="261"/>
      <c r="O208" s="261"/>
      <c r="P208" s="261"/>
    </row>
    <row r="209" spans="1:26" ht="19.5" hidden="1">
      <c r="A209" s="147"/>
      <c r="B209" s="148"/>
      <c r="C209" s="149" t="s">
        <v>16</v>
      </c>
      <c r="D209" s="826" t="s">
        <v>17</v>
      </c>
      <c r="E209" s="148"/>
      <c r="F209" s="148"/>
      <c r="G209" s="151"/>
      <c r="H209" s="274" t="s">
        <v>12</v>
      </c>
      <c r="I209" s="418"/>
      <c r="J209" s="418"/>
      <c r="K209" s="279"/>
      <c r="L209" s="155">
        <f ca="1">L210+L211+L212</f>
        <v>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 hidden="1">
      <c r="A210" s="159"/>
      <c r="B210" s="280"/>
      <c r="C210" s="33"/>
      <c r="D210" s="281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6">
        <f ca="1">IFERROR(__xludf.DUMMYFUNCTION("IMPORTRANGE(""https://docs.google.com/spreadsheets/d/1QqKyyYR6Q21VydFLVH3TRQUabQu_ym0Zz7PgGX0-kHA/edit?usp=sharing"",""แผน!AK64"")"),0)</f>
        <v>0</v>
      </c>
      <c r="M210" s="496"/>
      <c r="N210" s="817">
        <v>0</v>
      </c>
      <c r="O210" s="496"/>
      <c r="P210" s="496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 hidden="1">
      <c r="A211" s="284"/>
      <c r="B211" s="280"/>
      <c r="C211" s="292"/>
      <c r="D211" s="281" t="s">
        <v>99</v>
      </c>
      <c r="E211" s="33"/>
      <c r="F211" s="33"/>
      <c r="G211" s="35"/>
      <c r="H211" s="161" t="s">
        <v>12</v>
      </c>
      <c r="I211" s="269"/>
      <c r="J211" s="269"/>
      <c r="K211" s="496"/>
      <c r="L211" s="496">
        <f ca="1">IFERROR(__xludf.DUMMYFUNCTION("IMPORTRANGE(""https://docs.google.com/spreadsheets/d/1QqKyyYR6Q21VydFLVH3TRQUabQu_ym0Zz7PgGX0-kHA/edit?usp=sharing"",""แผน!AL64"")"),0)</f>
        <v>0</v>
      </c>
      <c r="M211" s="496"/>
      <c r="N211" s="817">
        <v>0</v>
      </c>
      <c r="O211" s="496"/>
      <c r="P211" s="496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 hidden="1">
      <c r="A212" s="284"/>
      <c r="B212" s="280"/>
      <c r="C212" s="292"/>
      <c r="D212" s="281" t="s">
        <v>98</v>
      </c>
      <c r="E212" s="33"/>
      <c r="F212" s="33"/>
      <c r="G212" s="35"/>
      <c r="H212" s="161" t="s">
        <v>12</v>
      </c>
      <c r="I212" s="269"/>
      <c r="J212" s="269"/>
      <c r="K212" s="496"/>
      <c r="L212" s="496">
        <f ca="1">IFERROR(__xludf.DUMMYFUNCTION("IMPORTRANGE(""https://docs.google.com/spreadsheets/d/1QqKyyYR6Q21VydFLVH3TRQUabQu_ym0Zz7PgGX0-kHA/edit?usp=sharing"",""แผน!AM64"")"),0)</f>
        <v>0</v>
      </c>
      <c r="M212" s="496"/>
      <c r="N212" s="817">
        <v>0</v>
      </c>
      <c r="O212" s="496"/>
      <c r="P212" s="496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 hidden="1">
      <c r="A213" s="170"/>
      <c r="B213" s="171"/>
      <c r="C213" s="292" t="s">
        <v>16</v>
      </c>
      <c r="D213" s="823" t="s">
        <v>38</v>
      </c>
      <c r="E213" s="173"/>
      <c r="F213" s="173"/>
      <c r="G213" s="174"/>
      <c r="H213" s="753"/>
      <c r="I213" s="184"/>
      <c r="J213" s="269"/>
      <c r="K213" s="496"/>
      <c r="L213" s="496"/>
      <c r="M213" s="496"/>
      <c r="N213" s="496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 hidden="1">
      <c r="A214" s="170"/>
      <c r="B214" s="171"/>
      <c r="C214" s="171"/>
      <c r="D214" s="176" t="s">
        <v>106</v>
      </c>
      <c r="E214" s="178"/>
      <c r="F214" s="178"/>
      <c r="G214" s="179"/>
      <c r="H214" s="753" t="s">
        <v>96</v>
      </c>
      <c r="I214" s="269">
        <f ca="1">IFERROR(__xludf.DUMMYFUNCTION("IMPORTRANGE(""https://docs.google.com/spreadsheets/d/1QqKyyYR6Q21VydFLVH3TRQUabQu_ym0Zz7PgGX0-kHA/edit?usp=sharing"",""แผน!AN64"")"),0)</f>
        <v>0</v>
      </c>
      <c r="J214" s="214">
        <v>0</v>
      </c>
      <c r="K214" s="496">
        <f t="shared" ref="K214:K216" ca="1" si="101">IF(I214&gt;0,J214*100/I214,0)</f>
        <v>0</v>
      </c>
      <c r="L214" s="496"/>
      <c r="M214" s="496"/>
      <c r="N214" s="496"/>
      <c r="O214" s="496"/>
      <c r="P214" s="496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 hidden="1">
      <c r="A215" s="170"/>
      <c r="B215" s="171"/>
      <c r="C215" s="171"/>
      <c r="D215" s="176" t="s">
        <v>107</v>
      </c>
      <c r="E215" s="178"/>
      <c r="F215" s="178"/>
      <c r="G215" s="179"/>
      <c r="H215" s="753" t="s">
        <v>96</v>
      </c>
      <c r="I215" s="269">
        <f ca="1">IFERROR(__xludf.DUMMYFUNCTION("IMPORTRANGE(""https://docs.google.com/spreadsheets/d/1QqKyyYR6Q21VydFLVH3TRQUabQu_ym0Zz7PgGX0-kHA/edit?usp=sharing"",""แผน!AN64"")"),0)</f>
        <v>0</v>
      </c>
      <c r="J215" s="214">
        <v>0</v>
      </c>
      <c r="K215" s="496">
        <f t="shared" ca="1" si="101"/>
        <v>0</v>
      </c>
      <c r="L215" s="496"/>
      <c r="M215" s="496"/>
      <c r="N215" s="496"/>
      <c r="O215" s="496"/>
      <c r="P215" s="496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5"/>
      <c r="B216" s="263"/>
      <c r="C216" s="270" t="s">
        <v>108</v>
      </c>
      <c r="D216" s="256"/>
      <c r="E216" s="256"/>
      <c r="F216" s="291"/>
      <c r="G216" s="258"/>
      <c r="H216" s="259" t="s">
        <v>109</v>
      </c>
      <c r="I216" s="271">
        <f t="shared" ref="I216:J216" ca="1" si="102">I224</f>
        <v>20000</v>
      </c>
      <c r="J216" s="271">
        <f t="shared" si="102"/>
        <v>0</v>
      </c>
      <c r="K216" s="272">
        <f t="shared" ca="1" si="101"/>
        <v>0</v>
      </c>
      <c r="L216" s="261"/>
      <c r="M216" s="261"/>
      <c r="N216" s="261"/>
      <c r="O216" s="261"/>
      <c r="P216" s="261"/>
    </row>
    <row r="217" spans="1:26" ht="19.5">
      <c r="A217" s="147"/>
      <c r="B217" s="148"/>
      <c r="C217" s="149" t="s">
        <v>16</v>
      </c>
      <c r="D217" s="826" t="s">
        <v>17</v>
      </c>
      <c r="E217" s="148"/>
      <c r="F217" s="148"/>
      <c r="G217" s="151"/>
      <c r="H217" s="274" t="s">
        <v>12</v>
      </c>
      <c r="I217" s="418"/>
      <c r="J217" s="418"/>
      <c r="K217" s="279"/>
      <c r="L217" s="155">
        <f ca="1">L218+L219+L220</f>
        <v>8000</v>
      </c>
      <c r="M217" s="155"/>
      <c r="N217" s="155">
        <f>N218+N219+N220</f>
        <v>0</v>
      </c>
      <c r="O217" s="155">
        <f ca="1">IF(L217&gt;0,N217*100/L217,0)</f>
        <v>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0"/>
      <c r="C218" s="33"/>
      <c r="D218" s="281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6">
        <f ca="1">IFERROR(__xludf.DUMMYFUNCTION("IMPORTRANGE(""https://docs.google.com/spreadsheets/d/1QqKyyYR6Q21VydFLVH3TRQUabQu_ym0Zz7PgGX0-kHA/edit?usp=sharing"",""แผน!AP64"")"),3000)</f>
        <v>3000</v>
      </c>
      <c r="M218" s="496"/>
      <c r="N218" s="817">
        <v>0</v>
      </c>
      <c r="O218" s="496"/>
      <c r="P218" s="496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4"/>
      <c r="B219" s="280"/>
      <c r="C219" s="292"/>
      <c r="D219" s="281" t="s">
        <v>110</v>
      </c>
      <c r="E219" s="33"/>
      <c r="F219" s="33"/>
      <c r="G219" s="35"/>
      <c r="H219" s="161" t="s">
        <v>12</v>
      </c>
      <c r="I219" s="269"/>
      <c r="J219" s="269"/>
      <c r="K219" s="496"/>
      <c r="L219" s="496">
        <f ca="1">IFERROR(__xludf.DUMMYFUNCTION("IMPORTRANGE(""https://docs.google.com/spreadsheets/d/1QqKyyYR6Q21VydFLVH3TRQUabQu_ym0Zz7PgGX0-kHA/edit?usp=sharing"",""แผน!AQ64"")"),5000)</f>
        <v>5000</v>
      </c>
      <c r="M219" s="496"/>
      <c r="N219" s="817">
        <v>0</v>
      </c>
      <c r="O219" s="496"/>
      <c r="P219" s="496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0"/>
      <c r="C220" s="292"/>
      <c r="D220" s="281" t="s">
        <v>98</v>
      </c>
      <c r="E220" s="33"/>
      <c r="F220" s="33"/>
      <c r="G220" s="35"/>
      <c r="H220" s="161" t="s">
        <v>12</v>
      </c>
      <c r="I220" s="269"/>
      <c r="J220" s="269"/>
      <c r="K220" s="496"/>
      <c r="L220" s="496">
        <f ca="1">IFERROR(__xludf.DUMMYFUNCTION("IMPORTRANGE(""https://docs.google.com/spreadsheets/d/1QqKyyYR6Q21VydFLVH3TRQUabQu_ym0Zz7PgGX0-kHA/edit?usp=sharing"",""แผน!AR64"")"),0)</f>
        <v>0</v>
      </c>
      <c r="M220" s="496"/>
      <c r="N220" s="817">
        <v>0</v>
      </c>
      <c r="O220" s="496"/>
      <c r="P220" s="496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70"/>
      <c r="B221" s="171"/>
      <c r="C221" s="292" t="s">
        <v>16</v>
      </c>
      <c r="D221" s="823" t="s">
        <v>38</v>
      </c>
      <c r="E221" s="173"/>
      <c r="F221" s="173"/>
      <c r="G221" s="174"/>
      <c r="H221" s="753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1" t="s">
        <v>111</v>
      </c>
      <c r="E222" s="178"/>
      <c r="F222" s="178"/>
      <c r="G222" s="179"/>
      <c r="H222" s="753"/>
      <c r="I222" s="269"/>
      <c r="J222" s="269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55" t="s">
        <v>109</v>
      </c>
      <c r="I223" s="269">
        <f ca="1">IFERROR(__xludf.DUMMYFUNCTION("IMPORTRANGE(""https://docs.google.com/spreadsheets/d/1QqKyyYR6Q21VydFLVH3TRQUabQu_ym0Zz7PgGX0-kHA/edit?usp=sharing"",""แผน!AT64"")"),20000)</f>
        <v>20000</v>
      </c>
      <c r="J223" s="214">
        <v>0</v>
      </c>
      <c r="K223" s="163">
        <f t="shared" ref="K223:K226" ca="1" si="103">IF(I223&gt;0,J223*100/I223,0)</f>
        <v>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55" t="s">
        <v>109</v>
      </c>
      <c r="I224" s="269">
        <f ca="1">IFERROR(__xludf.DUMMYFUNCTION("IMPORTRANGE(""https://docs.google.com/spreadsheets/d/1QqKyyYR6Q21VydFLVH3TRQUabQu_ym0Zz7PgGX0-kHA/edit?usp=sharing"",""แผน!AT64"")"),20000)</f>
        <v>20000</v>
      </c>
      <c r="J224" s="214">
        <v>0</v>
      </c>
      <c r="K224" s="163">
        <f t="shared" ca="1" si="103"/>
        <v>0</v>
      </c>
      <c r="L224" s="496"/>
      <c r="M224" s="496"/>
      <c r="N224" s="496"/>
      <c r="O224" s="496"/>
      <c r="P224" s="496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1" t="s">
        <v>114</v>
      </c>
      <c r="E225" s="178"/>
      <c r="F225" s="178"/>
      <c r="G225" s="179"/>
      <c r="H225" s="755" t="s">
        <v>35</v>
      </c>
      <c r="I225" s="269">
        <f ca="1">IFERROR(__xludf.DUMMYFUNCTION("IMPORTRANGE(""https://docs.google.com/spreadsheets/d/1QqKyyYR6Q21VydFLVH3TRQUabQu_ym0Zz7PgGX0-kHA/edit?usp=sharing"",""แผน!AS64"")"),0)</f>
        <v>0</v>
      </c>
      <c r="J225" s="214">
        <v>0</v>
      </c>
      <c r="K225" s="163">
        <f t="shared" ca="1" si="103"/>
        <v>0</v>
      </c>
      <c r="L225" s="496"/>
      <c r="M225" s="496"/>
      <c r="N225" s="496"/>
      <c r="O225" s="496"/>
      <c r="P225" s="496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5"/>
      <c r="B226" s="263"/>
      <c r="C226" s="341" t="s">
        <v>115</v>
      </c>
      <c r="D226" s="256"/>
      <c r="E226" s="256"/>
      <c r="F226" s="256"/>
      <c r="G226" s="258"/>
      <c r="H226" s="265" t="s">
        <v>35</v>
      </c>
      <c r="I226" s="344">
        <f t="shared" ref="I226:J226" ca="1" si="104">I237+I248</f>
        <v>35</v>
      </c>
      <c r="J226" s="344">
        <f t="shared" si="104"/>
        <v>20</v>
      </c>
      <c r="K226" s="345">
        <f t="shared" ca="1" si="103"/>
        <v>57.142857142857146</v>
      </c>
      <c r="L226" s="261"/>
      <c r="M226" s="261"/>
      <c r="N226" s="261"/>
      <c r="O226" s="261"/>
      <c r="P226" s="261"/>
    </row>
    <row r="227" spans="1:26" ht="19.5" hidden="1">
      <c r="A227" s="347"/>
      <c r="B227" s="348"/>
      <c r="C227" s="349" t="s">
        <v>16</v>
      </c>
      <c r="D227" s="827" t="s">
        <v>17</v>
      </c>
      <c r="E227" s="348"/>
      <c r="F227" s="348"/>
      <c r="G227" s="351"/>
      <c r="H227" s="352" t="s">
        <v>12</v>
      </c>
      <c r="I227" s="353"/>
      <c r="J227" s="353"/>
      <c r="K227" s="354"/>
      <c r="L227" s="355">
        <f t="shared" ref="L227:L231" ca="1" si="105">L238+L249</f>
        <v>227750</v>
      </c>
      <c r="M227" s="355"/>
      <c r="N227" s="355">
        <f t="shared" ref="N227:N231" si="106">N238+N249</f>
        <v>0</v>
      </c>
      <c r="O227" s="828"/>
      <c r="P227" s="828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6"/>
      <c r="C228" s="40"/>
      <c r="D228" s="222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5"/>
        <v>163000</v>
      </c>
      <c r="M228" s="93"/>
      <c r="N228" s="93">
        <f t="shared" si="106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8"/>
      <c r="B229" s="356"/>
      <c r="C229" s="359"/>
      <c r="D229" s="222" t="s">
        <v>98</v>
      </c>
      <c r="E229" s="40"/>
      <c r="F229" s="40"/>
      <c r="G229" s="42"/>
      <c r="H229" s="165" t="s">
        <v>12</v>
      </c>
      <c r="I229" s="610"/>
      <c r="J229" s="610"/>
      <c r="K229" s="93"/>
      <c r="L229" s="93">
        <f t="shared" ca="1" si="105"/>
        <v>37250</v>
      </c>
      <c r="M229" s="93"/>
      <c r="N229" s="93">
        <f t="shared" si="106"/>
        <v>0</v>
      </c>
      <c r="O229" s="93"/>
      <c r="P229" s="93"/>
      <c r="Q229" s="360"/>
      <c r="R229" s="360"/>
      <c r="S229" s="360"/>
      <c r="T229" s="360"/>
      <c r="U229" s="360"/>
      <c r="V229" s="360"/>
      <c r="W229" s="360"/>
      <c r="X229" s="360"/>
      <c r="Y229" s="360"/>
      <c r="Z229" s="360"/>
    </row>
    <row r="230" spans="1:26" ht="19.5" hidden="1">
      <c r="A230" s="358"/>
      <c r="B230" s="356"/>
      <c r="C230" s="359"/>
      <c r="D230" s="222" t="s">
        <v>116</v>
      </c>
      <c r="E230" s="40"/>
      <c r="F230" s="40"/>
      <c r="G230" s="42"/>
      <c r="H230" s="165" t="s">
        <v>12</v>
      </c>
      <c r="I230" s="610"/>
      <c r="J230" s="610"/>
      <c r="K230" s="93"/>
      <c r="L230" s="93">
        <f t="shared" ca="1" si="105"/>
        <v>17500</v>
      </c>
      <c r="M230" s="93"/>
      <c r="N230" s="93">
        <f t="shared" si="106"/>
        <v>0</v>
      </c>
      <c r="O230" s="93"/>
      <c r="P230" s="93"/>
      <c r="Q230" s="360"/>
      <c r="R230" s="360"/>
      <c r="S230" s="360"/>
      <c r="T230" s="360"/>
      <c r="U230" s="360"/>
      <c r="V230" s="360"/>
      <c r="W230" s="360"/>
      <c r="X230" s="360"/>
      <c r="Y230" s="360"/>
      <c r="Z230" s="360"/>
    </row>
    <row r="231" spans="1:26" ht="19.5" hidden="1">
      <c r="A231" s="358"/>
      <c r="B231" s="356"/>
      <c r="C231" s="359"/>
      <c r="D231" s="222" t="s">
        <v>100</v>
      </c>
      <c r="E231" s="40"/>
      <c r="F231" s="40"/>
      <c r="G231" s="42"/>
      <c r="H231" s="165" t="s">
        <v>12</v>
      </c>
      <c r="I231" s="610"/>
      <c r="J231" s="610"/>
      <c r="K231" s="93"/>
      <c r="L231" s="93">
        <f t="shared" ca="1" si="105"/>
        <v>10000</v>
      </c>
      <c r="M231" s="93"/>
      <c r="N231" s="93">
        <f t="shared" si="106"/>
        <v>0</v>
      </c>
      <c r="O231" s="93"/>
      <c r="P231" s="93"/>
      <c r="Q231" s="360"/>
      <c r="R231" s="360"/>
      <c r="S231" s="360"/>
      <c r="T231" s="360"/>
      <c r="U231" s="360"/>
      <c r="V231" s="360"/>
      <c r="W231" s="360"/>
      <c r="X231" s="360"/>
      <c r="Y231" s="360"/>
      <c r="Z231" s="360"/>
    </row>
    <row r="232" spans="1:26" ht="19.5" hidden="1">
      <c r="A232" s="361"/>
      <c r="B232" s="362"/>
      <c r="C232" s="359" t="s">
        <v>16</v>
      </c>
      <c r="D232" s="266" t="s">
        <v>38</v>
      </c>
      <c r="E232" s="363"/>
      <c r="F232" s="363"/>
      <c r="G232" s="364"/>
      <c r="H232" s="365"/>
      <c r="I232" s="166"/>
      <c r="J232" s="610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1"/>
      <c r="B233" s="362"/>
      <c r="C233" s="362"/>
      <c r="D233" s="366" t="s">
        <v>117</v>
      </c>
      <c r="E233" s="372"/>
      <c r="F233" s="372"/>
      <c r="G233" s="368"/>
      <c r="H233" s="369" t="s">
        <v>35</v>
      </c>
      <c r="I233" s="610">
        <f t="shared" ref="I233:J233" ca="1" si="107">I244+I255</f>
        <v>35</v>
      </c>
      <c r="J233" s="610">
        <f t="shared" si="107"/>
        <v>20</v>
      </c>
      <c r="K233" s="93">
        <f ca="1">IF(I233&gt;0,J233*100/I233,0)</f>
        <v>57.142857142857146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1"/>
      <c r="B234" s="362"/>
      <c r="C234" s="362"/>
      <c r="D234" s="371" t="s">
        <v>43</v>
      </c>
      <c r="E234" s="372"/>
      <c r="F234" s="372"/>
      <c r="G234" s="368"/>
      <c r="H234" s="369"/>
      <c r="I234" s="610"/>
      <c r="J234" s="610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1"/>
      <c r="B235" s="362"/>
      <c r="C235" s="362"/>
      <c r="D235" s="362"/>
      <c r="E235" s="373" t="s">
        <v>118</v>
      </c>
      <c r="F235" s="372"/>
      <c r="G235" s="368"/>
      <c r="H235" s="369" t="s">
        <v>35</v>
      </c>
      <c r="I235" s="610">
        <f t="shared" ref="I235:J236" si="108">I246+I257</f>
        <v>35</v>
      </c>
      <c r="J235" s="610">
        <f t="shared" si="108"/>
        <v>0</v>
      </c>
      <c r="K235" s="93">
        <f t="shared" ref="K235:K237" si="109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1"/>
      <c r="B236" s="362"/>
      <c r="C236" s="362"/>
      <c r="D236" s="362"/>
      <c r="E236" s="373" t="s">
        <v>119</v>
      </c>
      <c r="F236" s="372"/>
      <c r="G236" s="368"/>
      <c r="H236" s="369" t="s">
        <v>69</v>
      </c>
      <c r="I236" s="610">
        <f t="shared" si="108"/>
        <v>1</v>
      </c>
      <c r="J236" s="610">
        <f t="shared" si="108"/>
        <v>0</v>
      </c>
      <c r="K236" s="93">
        <f t="shared" si="109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>
      <c r="A237" s="255"/>
      <c r="B237" s="263"/>
      <c r="C237" s="270" t="s">
        <v>341</v>
      </c>
      <c r="D237" s="256"/>
      <c r="E237" s="256"/>
      <c r="F237" s="256"/>
      <c r="G237" s="258"/>
      <c r="H237" s="259" t="s">
        <v>35</v>
      </c>
      <c r="I237" s="271">
        <f t="shared" ref="I237:J237" ca="1" si="110">I244</f>
        <v>35</v>
      </c>
      <c r="J237" s="271">
        <f t="shared" si="110"/>
        <v>20</v>
      </c>
      <c r="K237" s="272">
        <f t="shared" ca="1" si="109"/>
        <v>57.142857142857146</v>
      </c>
      <c r="L237" s="261"/>
      <c r="M237" s="261"/>
      <c r="N237" s="261"/>
      <c r="O237" s="261"/>
      <c r="P237" s="261"/>
    </row>
    <row r="238" spans="1:26" ht="19.5">
      <c r="A238" s="147"/>
      <c r="B238" s="148"/>
      <c r="C238" s="149" t="s">
        <v>16</v>
      </c>
      <c r="D238" s="822" t="s">
        <v>17</v>
      </c>
      <c r="E238" s="148"/>
      <c r="F238" s="148"/>
      <c r="G238" s="151"/>
      <c r="H238" s="274" t="s">
        <v>12</v>
      </c>
      <c r="I238" s="418"/>
      <c r="J238" s="418"/>
      <c r="K238" s="279"/>
      <c r="L238" s="155">
        <f ca="1">L239+L240+L241+L242</f>
        <v>227750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>
      <c r="A239" s="314"/>
      <c r="B239" s="315"/>
      <c r="C239" s="316"/>
      <c r="D239" s="324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282">
        <f ca="1">IFERROR(__xludf.DUMMYFUNCTION("IMPORTRANGE(""https://docs.google.com/spreadsheets/d/1QqKyyYR6Q21VydFLVH3TRQUabQu_ym0Zz7PgGX0-kHA/edit?usp=sharing"",""แผน!AV64"")"),163000)</f>
        <v>163000</v>
      </c>
      <c r="M239" s="282"/>
      <c r="N239" s="829">
        <v>0</v>
      </c>
      <c r="O239" s="282"/>
      <c r="P239" s="28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>
      <c r="A240" s="322"/>
      <c r="B240" s="315"/>
      <c r="C240" s="323"/>
      <c r="D240" s="324" t="s">
        <v>98</v>
      </c>
      <c r="E240" s="316"/>
      <c r="F240" s="316"/>
      <c r="G240" s="318"/>
      <c r="H240" s="319" t="s">
        <v>12</v>
      </c>
      <c r="I240" s="325"/>
      <c r="J240" s="325"/>
      <c r="K240" s="282"/>
      <c r="L240" s="282">
        <f ca="1">IFERROR(__xludf.DUMMYFUNCTION("IMPORTRANGE(""https://docs.google.com/spreadsheets/d/1QqKyyYR6Q21VydFLVH3TRQUabQu_ym0Zz7PgGX0-kHA/edit?usp=sharing"",""แผน!AW64"")"),37250)</f>
        <v>37250</v>
      </c>
      <c r="M240" s="282"/>
      <c r="N240" s="829">
        <v>0</v>
      </c>
      <c r="O240" s="282"/>
      <c r="P240" s="282"/>
      <c r="Q240" s="326"/>
      <c r="R240" s="326"/>
      <c r="S240" s="326"/>
      <c r="T240" s="326"/>
      <c r="U240" s="326"/>
      <c r="V240" s="326"/>
      <c r="W240" s="326"/>
      <c r="X240" s="326"/>
      <c r="Y240" s="326"/>
      <c r="Z240" s="326"/>
    </row>
    <row r="241" spans="1:26" ht="19.5">
      <c r="A241" s="322"/>
      <c r="B241" s="315"/>
      <c r="C241" s="323"/>
      <c r="D241" s="324" t="s">
        <v>116</v>
      </c>
      <c r="E241" s="316"/>
      <c r="F241" s="316"/>
      <c r="G241" s="318"/>
      <c r="H241" s="319" t="s">
        <v>12</v>
      </c>
      <c r="I241" s="325"/>
      <c r="J241" s="325"/>
      <c r="K241" s="282"/>
      <c r="L241" s="282">
        <f ca="1">IFERROR(__xludf.DUMMYFUNCTION("IMPORTRANGE(""https://docs.google.com/spreadsheets/d/1QqKyyYR6Q21VydFLVH3TRQUabQu_ym0Zz7PgGX0-kHA/edit?usp=sharing"",""แผน!AX64"")"),17500)</f>
        <v>17500</v>
      </c>
      <c r="M241" s="282"/>
      <c r="N241" s="829">
        <v>0</v>
      </c>
      <c r="O241" s="282"/>
      <c r="P241" s="282"/>
      <c r="Q241" s="326"/>
      <c r="R241" s="326"/>
      <c r="S241" s="326"/>
      <c r="T241" s="326"/>
      <c r="U241" s="326"/>
      <c r="V241" s="326"/>
      <c r="W241" s="326"/>
      <c r="X241" s="326"/>
      <c r="Y241" s="326"/>
      <c r="Z241" s="326"/>
    </row>
    <row r="242" spans="1:26" ht="19.5">
      <c r="A242" s="322"/>
      <c r="B242" s="315"/>
      <c r="C242" s="323"/>
      <c r="D242" s="324" t="s">
        <v>100</v>
      </c>
      <c r="E242" s="316"/>
      <c r="F242" s="316"/>
      <c r="G242" s="318"/>
      <c r="H242" s="319" t="s">
        <v>12</v>
      </c>
      <c r="I242" s="325"/>
      <c r="J242" s="325"/>
      <c r="K242" s="282"/>
      <c r="L242" s="282">
        <f ca="1">IFERROR(__xludf.DUMMYFUNCTION("IMPORTRANGE(""https://docs.google.com/spreadsheets/d/1QqKyyYR6Q21VydFLVH3TRQUabQu_ym0Zz7PgGX0-kHA/edit?usp=sharing"",""แผน!AY64"")"),10000)</f>
        <v>10000</v>
      </c>
      <c r="M242" s="282"/>
      <c r="N242" s="829">
        <v>0</v>
      </c>
      <c r="O242" s="282"/>
      <c r="P242" s="282"/>
      <c r="Q242" s="326"/>
      <c r="R242" s="326"/>
      <c r="S242" s="326"/>
      <c r="T242" s="326"/>
      <c r="U242" s="326"/>
      <c r="V242" s="326"/>
      <c r="W242" s="326"/>
      <c r="X242" s="326"/>
      <c r="Y242" s="326"/>
      <c r="Z242" s="326"/>
    </row>
    <row r="243" spans="1:26" ht="19.5">
      <c r="A243" s="170"/>
      <c r="B243" s="171"/>
      <c r="C243" s="292" t="s">
        <v>16</v>
      </c>
      <c r="D243" s="823" t="s">
        <v>38</v>
      </c>
      <c r="E243" s="173"/>
      <c r="F243" s="173"/>
      <c r="G243" s="174"/>
      <c r="H243" s="753"/>
      <c r="I243" s="184"/>
      <c r="J243" s="269"/>
      <c r="K243" s="496"/>
      <c r="L243" s="496"/>
      <c r="M243" s="496"/>
      <c r="N243" s="496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>
      <c r="A244" s="170"/>
      <c r="B244" s="171"/>
      <c r="C244" s="171"/>
      <c r="D244" s="446" t="s">
        <v>117</v>
      </c>
      <c r="E244" s="178"/>
      <c r="F244" s="178"/>
      <c r="G244" s="179"/>
      <c r="H244" s="755" t="s">
        <v>35</v>
      </c>
      <c r="I244" s="269">
        <f ca="1">IFERROR(__xludf.DUMMYFUNCTION("IMPORTRANGE(""https://docs.google.com/spreadsheets/d/1QqKyyYR6Q21VydFLVH3TRQUabQu_ym0Zz7PgGX0-kHA/edit?usp=sharing"",""แผน!BE64"")"),35)</f>
        <v>35</v>
      </c>
      <c r="J244" s="214">
        <v>20</v>
      </c>
      <c r="K244" s="496">
        <f ca="1">IF(I244&gt;0,J244*100/I244,0)</f>
        <v>57.142857142857146</v>
      </c>
      <c r="L244" s="496"/>
      <c r="M244" s="496"/>
      <c r="N244" s="496"/>
      <c r="O244" s="496"/>
      <c r="P244" s="496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>
      <c r="A245" s="170"/>
      <c r="B245" s="171"/>
      <c r="C245" s="171"/>
      <c r="D245" s="830" t="s">
        <v>43</v>
      </c>
      <c r="E245" s="178"/>
      <c r="F245" s="178"/>
      <c r="G245" s="179"/>
      <c r="H245" s="755"/>
      <c r="I245" s="269"/>
      <c r="J245" s="269"/>
      <c r="K245" s="496"/>
      <c r="L245" s="496"/>
      <c r="M245" s="496"/>
      <c r="N245" s="496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>
      <c r="A246" s="170"/>
      <c r="B246" s="171"/>
      <c r="C246" s="171"/>
      <c r="D246" s="171"/>
      <c r="E246" s="176" t="s">
        <v>118</v>
      </c>
      <c r="F246" s="178"/>
      <c r="G246" s="179"/>
      <c r="H246" s="755" t="s">
        <v>35</v>
      </c>
      <c r="I246" s="269">
        <v>35</v>
      </c>
      <c r="J246" s="214">
        <v>0</v>
      </c>
      <c r="K246" s="496">
        <f t="shared" ref="K246:K248" si="111">IF(I246&gt;0,J246*100/I246,0)</f>
        <v>0</v>
      </c>
      <c r="L246" s="496"/>
      <c r="M246" s="496"/>
      <c r="N246" s="496"/>
      <c r="O246" s="496"/>
      <c r="P246" s="496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>
      <c r="A247" s="170"/>
      <c r="B247" s="171"/>
      <c r="C247" s="171"/>
      <c r="D247" s="171"/>
      <c r="E247" s="176" t="s">
        <v>119</v>
      </c>
      <c r="F247" s="178"/>
      <c r="G247" s="179"/>
      <c r="H247" s="755" t="s">
        <v>69</v>
      </c>
      <c r="I247" s="269">
        <v>1</v>
      </c>
      <c r="J247" s="214">
        <v>0</v>
      </c>
      <c r="K247" s="496">
        <f t="shared" si="111"/>
        <v>0</v>
      </c>
      <c r="L247" s="496"/>
      <c r="M247" s="496"/>
      <c r="N247" s="496"/>
      <c r="O247" s="496"/>
      <c r="P247" s="496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5"/>
      <c r="B248" s="263"/>
      <c r="C248" s="270" t="s">
        <v>121</v>
      </c>
      <c r="D248" s="256"/>
      <c r="E248" s="256"/>
      <c r="F248" s="256"/>
      <c r="G248" s="258"/>
      <c r="H248" s="259" t="s">
        <v>35</v>
      </c>
      <c r="I248" s="271">
        <f t="shared" ref="I248:J248" ca="1" si="112">I255</f>
        <v>0</v>
      </c>
      <c r="J248" s="271">
        <f t="shared" si="112"/>
        <v>0</v>
      </c>
      <c r="K248" s="272">
        <f t="shared" ca="1" si="111"/>
        <v>0</v>
      </c>
      <c r="L248" s="261"/>
      <c r="M248" s="261"/>
      <c r="N248" s="261"/>
      <c r="O248" s="261"/>
      <c r="P248" s="261"/>
    </row>
    <row r="249" spans="1:26" ht="19.5" hidden="1">
      <c r="A249" s="147"/>
      <c r="B249" s="148"/>
      <c r="C249" s="149" t="s">
        <v>16</v>
      </c>
      <c r="D249" s="826" t="s">
        <v>17</v>
      </c>
      <c r="E249" s="148"/>
      <c r="F249" s="148"/>
      <c r="G249" s="151"/>
      <c r="H249" s="274" t="s">
        <v>12</v>
      </c>
      <c r="I249" s="418"/>
      <c r="J249" s="418"/>
      <c r="K249" s="279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4"/>
      <c r="B250" s="315"/>
      <c r="C250" s="316"/>
      <c r="D250" s="324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282">
        <f ca="1">IFERROR(__xludf.DUMMYFUNCTION("IMPORTRANGE(""https://docs.google.com/spreadsheets/d/1QqKyyYR6Q21VydFLVH3TRQUabQu_ym0Zz7PgGX0-kHA/edit?usp=sharing"",""แผน!AZ64"")"),0)</f>
        <v>0</v>
      </c>
      <c r="M250" s="282"/>
      <c r="N250" s="829">
        <v>0</v>
      </c>
      <c r="O250" s="282"/>
      <c r="P250" s="282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9.5" hidden="1">
      <c r="A251" s="322"/>
      <c r="B251" s="315"/>
      <c r="C251" s="323"/>
      <c r="D251" s="324" t="s">
        <v>98</v>
      </c>
      <c r="E251" s="316"/>
      <c r="F251" s="316"/>
      <c r="G251" s="318"/>
      <c r="H251" s="319" t="s">
        <v>12</v>
      </c>
      <c r="I251" s="325"/>
      <c r="J251" s="325"/>
      <c r="K251" s="282"/>
      <c r="L251" s="282">
        <f ca="1">IFERROR(__xludf.DUMMYFUNCTION("IMPORTRANGE(""https://docs.google.com/spreadsheets/d/1QqKyyYR6Q21VydFLVH3TRQUabQu_ym0Zz7PgGX0-kHA/edit?usp=sharing"",""แผน!BA64"")"),0)</f>
        <v>0</v>
      </c>
      <c r="M251" s="282"/>
      <c r="N251" s="829">
        <v>0</v>
      </c>
      <c r="O251" s="282"/>
      <c r="P251" s="282"/>
      <c r="Q251" s="326"/>
      <c r="R251" s="326"/>
      <c r="S251" s="326"/>
      <c r="T251" s="326"/>
      <c r="U251" s="326"/>
      <c r="V251" s="326"/>
      <c r="W251" s="326"/>
      <c r="X251" s="326"/>
      <c r="Y251" s="326"/>
      <c r="Z251" s="326"/>
    </row>
    <row r="252" spans="1:26" ht="19.5" hidden="1">
      <c r="A252" s="322"/>
      <c r="B252" s="315"/>
      <c r="C252" s="323"/>
      <c r="D252" s="324" t="s">
        <v>116</v>
      </c>
      <c r="E252" s="316"/>
      <c r="F252" s="316"/>
      <c r="G252" s="318"/>
      <c r="H252" s="319" t="s">
        <v>12</v>
      </c>
      <c r="I252" s="325"/>
      <c r="J252" s="325"/>
      <c r="K252" s="282"/>
      <c r="L252" s="282">
        <f ca="1">IFERROR(__xludf.DUMMYFUNCTION("IMPORTRANGE(""https://docs.google.com/spreadsheets/d/1QqKyyYR6Q21VydFLVH3TRQUabQu_ym0Zz7PgGX0-kHA/edit?usp=sharing"",""แผน!BB64"")"),0)</f>
        <v>0</v>
      </c>
      <c r="M252" s="282"/>
      <c r="N252" s="829">
        <v>0</v>
      </c>
      <c r="O252" s="282"/>
      <c r="P252" s="282"/>
      <c r="Q252" s="326"/>
      <c r="R252" s="326"/>
      <c r="S252" s="326"/>
      <c r="T252" s="326"/>
      <c r="U252" s="326"/>
      <c r="V252" s="326"/>
      <c r="W252" s="326"/>
      <c r="X252" s="326"/>
      <c r="Y252" s="326"/>
      <c r="Z252" s="326"/>
    </row>
    <row r="253" spans="1:26" ht="19.5" hidden="1">
      <c r="A253" s="322"/>
      <c r="B253" s="315"/>
      <c r="C253" s="323"/>
      <c r="D253" s="324" t="s">
        <v>100</v>
      </c>
      <c r="E253" s="316"/>
      <c r="F253" s="316"/>
      <c r="G253" s="318"/>
      <c r="H253" s="319" t="s">
        <v>12</v>
      </c>
      <c r="I253" s="325"/>
      <c r="J253" s="325"/>
      <c r="K253" s="282"/>
      <c r="L253" s="282">
        <f ca="1">IFERROR(__xludf.DUMMYFUNCTION("IMPORTRANGE(""https://docs.google.com/spreadsheets/d/1QqKyyYR6Q21VydFLVH3TRQUabQu_ym0Zz7PgGX0-kHA/edit?usp=sharing"",""แผน!BC64"")"),0)</f>
        <v>0</v>
      </c>
      <c r="M253" s="282"/>
      <c r="N253" s="829">
        <v>0</v>
      </c>
      <c r="O253" s="282"/>
      <c r="P253" s="282"/>
      <c r="Q253" s="326"/>
      <c r="R253" s="326"/>
      <c r="S253" s="326"/>
      <c r="T253" s="326"/>
      <c r="U253" s="326"/>
      <c r="V253" s="326"/>
      <c r="W253" s="326"/>
      <c r="X253" s="326"/>
      <c r="Y253" s="326"/>
      <c r="Z253" s="326"/>
    </row>
    <row r="254" spans="1:26" ht="19.5" hidden="1">
      <c r="A254" s="170"/>
      <c r="B254" s="171"/>
      <c r="C254" s="292" t="s">
        <v>16</v>
      </c>
      <c r="D254" s="823" t="s">
        <v>38</v>
      </c>
      <c r="E254" s="173"/>
      <c r="F254" s="173"/>
      <c r="G254" s="174"/>
      <c r="H254" s="753"/>
      <c r="I254" s="184"/>
      <c r="J254" s="269"/>
      <c r="K254" s="496"/>
      <c r="L254" s="496"/>
      <c r="M254" s="496"/>
      <c r="N254" s="496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6" t="s">
        <v>117</v>
      </c>
      <c r="E255" s="178"/>
      <c r="F255" s="178"/>
      <c r="G255" s="179"/>
      <c r="H255" s="755" t="s">
        <v>35</v>
      </c>
      <c r="I255" s="269">
        <f ca="1">IFERROR(__xludf.DUMMYFUNCTION("IMPORTRANGE(""https://docs.google.com/spreadsheets/d/1QqKyyYR6Q21VydFLVH3TRQUabQu_ym0Zz7PgGX0-kHA/edit?usp=sharing"",""แผน!BF64"")"),0)</f>
        <v>0</v>
      </c>
      <c r="J255" s="214">
        <v>0</v>
      </c>
      <c r="K255" s="496">
        <f ca="1">IF(I255&gt;0,J255*100/I255,0)</f>
        <v>0</v>
      </c>
      <c r="L255" s="496"/>
      <c r="M255" s="496"/>
      <c r="N255" s="496"/>
      <c r="O255" s="496"/>
      <c r="P255" s="496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30" t="s">
        <v>43</v>
      </c>
      <c r="E256" s="178"/>
      <c r="F256" s="178"/>
      <c r="G256" s="179"/>
      <c r="H256" s="755"/>
      <c r="I256" s="269"/>
      <c r="J256" s="269"/>
      <c r="K256" s="496"/>
      <c r="L256" s="496"/>
      <c r="M256" s="496"/>
      <c r="N256" s="496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55" t="s">
        <v>35</v>
      </c>
      <c r="I257" s="269"/>
      <c r="J257" s="214">
        <v>0</v>
      </c>
      <c r="K257" s="496">
        <f t="shared" ref="K257:K258" si="113">IF(I257&gt;0,J257*100/I257,0)</f>
        <v>0</v>
      </c>
      <c r="L257" s="496"/>
      <c r="M257" s="496"/>
      <c r="N257" s="496"/>
      <c r="O257" s="496"/>
      <c r="P257" s="496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55" t="s">
        <v>69</v>
      </c>
      <c r="I258" s="269"/>
      <c r="J258" s="214">
        <v>0</v>
      </c>
      <c r="K258" s="496">
        <f t="shared" si="113"/>
        <v>0</v>
      </c>
      <c r="L258" s="496"/>
      <c r="M258" s="496"/>
      <c r="N258" s="496"/>
      <c r="O258" s="496"/>
      <c r="P258" s="496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1" t="s">
        <v>122</v>
      </c>
      <c r="B259" s="242"/>
      <c r="C259" s="242"/>
      <c r="D259" s="243"/>
      <c r="E259" s="243"/>
      <c r="F259" s="243"/>
      <c r="G259" s="244"/>
      <c r="H259" s="245"/>
      <c r="I259" s="246"/>
      <c r="J259" s="246"/>
      <c r="K259" s="247"/>
      <c r="L259" s="247"/>
      <c r="M259" s="247"/>
      <c r="N259" s="247"/>
      <c r="O259" s="247"/>
      <c r="P259" s="247"/>
    </row>
    <row r="260" spans="1:26" ht="19.5">
      <c r="A260" s="248"/>
      <c r="B260" s="249" t="s">
        <v>123</v>
      </c>
      <c r="C260" s="250"/>
      <c r="D260" s="173"/>
      <c r="E260" s="173"/>
      <c r="F260" s="173"/>
      <c r="G260" s="174"/>
      <c r="H260" s="251" t="s">
        <v>35</v>
      </c>
      <c r="I260" s="252">
        <f t="shared" ref="I260:J260" ca="1" si="114">I271</f>
        <v>22</v>
      </c>
      <c r="J260" s="252">
        <f t="shared" si="114"/>
        <v>0</v>
      </c>
      <c r="K260" s="253">
        <f ca="1">IF(I260&gt;0,J260*100/I260,0)</f>
        <v>0</v>
      </c>
      <c r="L260" s="254"/>
      <c r="M260" s="254"/>
      <c r="N260" s="254"/>
      <c r="O260" s="254"/>
      <c r="P260" s="254"/>
    </row>
    <row r="261" spans="1:26" ht="19.5">
      <c r="A261" s="147"/>
      <c r="B261" s="148"/>
      <c r="C261" s="149" t="s">
        <v>16</v>
      </c>
      <c r="D261" s="822" t="s">
        <v>17</v>
      </c>
      <c r="E261" s="148"/>
      <c r="F261" s="148"/>
      <c r="G261" s="151"/>
      <c r="H261" s="152" t="s">
        <v>12</v>
      </c>
      <c r="I261" s="419"/>
      <c r="J261" s="419"/>
      <c r="K261" s="154"/>
      <c r="L261" s="155">
        <f t="shared" ref="L261:N261" ca="1" si="115">L262+L263</f>
        <v>26900</v>
      </c>
      <c r="M261" s="155">
        <f t="shared" ca="1" si="115"/>
        <v>0</v>
      </c>
      <c r="N261" s="155">
        <f t="shared" ca="1" si="115"/>
        <v>0</v>
      </c>
      <c r="O261" s="155">
        <f t="shared" ref="O261:O269" ca="1" si="116">IF(L261&gt;0,N261*100/L261,0)</f>
        <v>0</v>
      </c>
      <c r="P261" s="155">
        <f t="shared" ref="P261:P269" ca="1" si="117">IF(M261&gt;0,N261*100/M261,0)</f>
        <v>0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2" t="s">
        <v>18</v>
      </c>
      <c r="F262" s="40"/>
      <c r="G262" s="157"/>
      <c r="H262" s="158" t="s">
        <v>12</v>
      </c>
      <c r="I262" s="610"/>
      <c r="J262" s="610"/>
      <c r="K262" s="93"/>
      <c r="L262" s="93">
        <f t="shared" ref="L262:N263" si="118">L265+L268</f>
        <v>0</v>
      </c>
      <c r="M262" s="93">
        <f t="shared" si="118"/>
        <v>0</v>
      </c>
      <c r="N262" s="93">
        <f t="shared" si="118"/>
        <v>0</v>
      </c>
      <c r="O262" s="93">
        <f t="shared" si="116"/>
        <v>0</v>
      </c>
      <c r="P262" s="93">
        <f t="shared" si="117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2" t="s">
        <v>19</v>
      </c>
      <c r="F263" s="40"/>
      <c r="G263" s="157"/>
      <c r="H263" s="158" t="s">
        <v>12</v>
      </c>
      <c r="I263" s="610"/>
      <c r="J263" s="610"/>
      <c r="K263" s="93"/>
      <c r="L263" s="93">
        <f t="shared" ca="1" si="118"/>
        <v>26900</v>
      </c>
      <c r="M263" s="93">
        <f t="shared" ca="1" si="118"/>
        <v>0</v>
      </c>
      <c r="N263" s="93">
        <f t="shared" ca="1" si="118"/>
        <v>0</v>
      </c>
      <c r="O263" s="93">
        <f t="shared" ca="1" si="116"/>
        <v>0</v>
      </c>
      <c r="P263" s="93">
        <f t="shared" ca="1" si="117"/>
        <v>0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1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6">
        <f t="shared" ref="L264:N264" ca="1" si="119">L265+L266</f>
        <v>26900</v>
      </c>
      <c r="M264" s="496">
        <f t="shared" ca="1" si="119"/>
        <v>0</v>
      </c>
      <c r="N264" s="496">
        <f t="shared" ca="1" si="119"/>
        <v>0</v>
      </c>
      <c r="O264" s="496">
        <f t="shared" ca="1" si="116"/>
        <v>0</v>
      </c>
      <c r="P264" s="496">
        <f t="shared" ca="1" si="117"/>
        <v>0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2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6"/>
        <v>0</v>
      </c>
      <c r="P265" s="93">
        <f t="shared" si="117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2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IFERROR(__xludf.DUMMYFUNCTION("IMPORTRANGE(""https://docs.google.com/spreadsheets/d/1MeEWN-I1oV_STSDYn1IFDPWt_1FKiwhDph83XaGc0o0/edit?usp=sharing"",""งบพรบ!CY64"")"),26900)</f>
        <v>26900</v>
      </c>
      <c r="M266" s="93">
        <f ca="1">IFERROR(__xludf.DUMMYFUNCTION("IMPORTRANGE(""https://docs.google.com/spreadsheets/d/1MeEWN-I1oV_STSDYn1IFDPWt_1FKiwhDph83XaGc0o0/edit?usp=sharing"",""งบพรบ!DD64"")"),0)</f>
        <v>0</v>
      </c>
      <c r="N266" s="93">
        <f ca="1">IFERROR(__xludf.DUMMYFUNCTION("IMPORTRANGE(""https://docs.google.com/spreadsheets/d/1MeEWN-I1oV_STSDYn1IFDPWt_1FKiwhDph83XaGc0o0/edit?usp=sharing"",""งบพรบ!DF64"")"),0)</f>
        <v>0</v>
      </c>
      <c r="O266" s="93">
        <f t="shared" ca="1" si="116"/>
        <v>0</v>
      </c>
      <c r="P266" s="93">
        <f t="shared" ca="1" si="117"/>
        <v>0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1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6">
        <f t="shared" ref="L267:N267" ca="1" si="120">L268+L269</f>
        <v>0</v>
      </c>
      <c r="M267" s="496">
        <f t="shared" ca="1" si="120"/>
        <v>0</v>
      </c>
      <c r="N267" s="496">
        <f t="shared" ca="1" si="120"/>
        <v>0</v>
      </c>
      <c r="O267" s="496">
        <f t="shared" ca="1" si="116"/>
        <v>0</v>
      </c>
      <c r="P267" s="496">
        <f t="shared" ca="1" si="117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2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6"/>
        <v>0</v>
      </c>
      <c r="P268" s="93">
        <f t="shared" si="117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2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IFERROR(__xludf.DUMMYFUNCTION("IMPORTRANGE(""https://docs.google.com/spreadsheets/d/1MeEWN-I1oV_STSDYn1IFDPWt_1FKiwhDph83XaGc0o0/edit?usp=sharing"",""งบพรบ!DB64"")"),0)</f>
        <v>0</v>
      </c>
      <c r="M269" s="93">
        <f ca="1">IFERROR(__xludf.DUMMYFUNCTION("IMPORTRANGE(""https://docs.google.com/spreadsheets/d/1MeEWN-I1oV_STSDYn1IFDPWt_1FKiwhDph83XaGc0o0/edit?usp=sharing"",""งบพรบ!DE64"")"),0)</f>
        <v>0</v>
      </c>
      <c r="N269" s="93">
        <f ca="1">IFERROR(__xludf.DUMMYFUNCTION("IMPORTRANGE(""https://docs.google.com/spreadsheets/d/1MeEWN-I1oV_STSDYn1IFDPWt_1FKiwhDph83XaGc0o0/edit?usp=sharing"",""งบพรบ!DG64"")"),0)</f>
        <v>0</v>
      </c>
      <c r="O269" s="93">
        <f t="shared" ca="1" si="116"/>
        <v>0</v>
      </c>
      <c r="P269" s="93">
        <f t="shared" ca="1" si="117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1" t="s">
        <v>16</v>
      </c>
      <c r="D270" s="823" t="s">
        <v>38</v>
      </c>
      <c r="E270" s="173"/>
      <c r="F270" s="173"/>
      <c r="G270" s="174"/>
      <c r="H270" s="753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5" t="s">
        <v>124</v>
      </c>
      <c r="E271" s="178"/>
      <c r="F271" s="366"/>
      <c r="G271" s="179"/>
      <c r="H271" s="376" t="s">
        <v>35</v>
      </c>
      <c r="I271" s="269">
        <f ca="1">IFERROR(__xludf.DUMMYFUNCTION("IMPORTRANGE(""https://docs.google.com/spreadsheets/d/1QqKyyYR6Q21VydFLVH3TRQUabQu_ym0Zz7PgGX0-kHA/edit?usp=sharing"",""แผน!EA64"")"),22)</f>
        <v>22</v>
      </c>
      <c r="J271" s="214">
        <v>0</v>
      </c>
      <c r="K271" s="163">
        <f ca="1">IF(I271&gt;0,J271*100/I271,0)</f>
        <v>0</v>
      </c>
      <c r="L271" s="163"/>
      <c r="M271" s="163"/>
      <c r="N271" s="163"/>
      <c r="O271" s="163"/>
      <c r="P271" s="163"/>
    </row>
    <row r="272" spans="1:26" ht="18.75" hidden="1">
      <c r="A272" s="377"/>
      <c r="B272" s="378"/>
      <c r="C272" s="378"/>
      <c r="D272" s="379" t="s">
        <v>125</v>
      </c>
      <c r="E272" s="380"/>
      <c r="F272" s="380"/>
      <c r="G272" s="381"/>
      <c r="H272" s="50" t="s">
        <v>35</v>
      </c>
      <c r="I272" s="499">
        <v>0</v>
      </c>
      <c r="J272" s="499">
        <v>0</v>
      </c>
      <c r="K272" s="384">
        <v>0</v>
      </c>
      <c r="L272" s="384"/>
      <c r="M272" s="384"/>
      <c r="N272" s="384"/>
      <c r="O272" s="384"/>
      <c r="P272" s="384"/>
    </row>
    <row r="273" spans="1:26" ht="19.5">
      <c r="A273" s="385" t="s">
        <v>126</v>
      </c>
      <c r="B273" s="386"/>
      <c r="C273" s="386"/>
      <c r="D273" s="386"/>
      <c r="E273" s="387"/>
      <c r="F273" s="387"/>
      <c r="G273" s="388"/>
      <c r="H273" s="389"/>
      <c r="I273" s="390"/>
      <c r="J273" s="390"/>
      <c r="K273" s="391"/>
      <c r="L273" s="391"/>
      <c r="M273" s="391"/>
      <c r="N273" s="391"/>
      <c r="O273" s="391"/>
      <c r="P273" s="391"/>
    </row>
    <row r="274" spans="1:26" ht="19.5" hidden="1">
      <c r="A274" s="392" t="s">
        <v>127</v>
      </c>
      <c r="B274" s="393"/>
      <c r="C274" s="394"/>
      <c r="D274" s="393"/>
      <c r="E274" s="393"/>
      <c r="F274" s="393"/>
      <c r="G274" s="393"/>
      <c r="H274" s="395"/>
      <c r="I274" s="396"/>
      <c r="J274" s="397"/>
      <c r="K274" s="398"/>
      <c r="L274" s="398"/>
      <c r="M274" s="398"/>
      <c r="N274" s="398"/>
      <c r="O274" s="398"/>
      <c r="P274" s="398"/>
    </row>
    <row r="275" spans="1:26" ht="19.5" hidden="1">
      <c r="A275" s="399"/>
      <c r="B275" s="408" t="s">
        <v>128</v>
      </c>
      <c r="C275" s="401"/>
      <c r="D275" s="402"/>
      <c r="E275" s="401"/>
      <c r="F275" s="401"/>
      <c r="G275" s="403"/>
      <c r="H275" s="404" t="s">
        <v>35</v>
      </c>
      <c r="I275" s="405">
        <f t="shared" ref="I275:J275" ca="1" si="121">I288</f>
        <v>0</v>
      </c>
      <c r="J275" s="405">
        <f t="shared" ca="1" si="121"/>
        <v>0</v>
      </c>
      <c r="K275" s="406">
        <f t="shared" ref="K275:K276" ca="1" si="122">IF(I275&gt;0,J275*100/I275,0)</f>
        <v>0</v>
      </c>
      <c r="L275" s="407"/>
      <c r="M275" s="407"/>
      <c r="N275" s="407"/>
      <c r="O275" s="407"/>
      <c r="P275" s="407"/>
    </row>
    <row r="276" spans="1:26" ht="19.5" hidden="1">
      <c r="A276" s="399"/>
      <c r="B276" s="408"/>
      <c r="C276" s="401"/>
      <c r="D276" s="402"/>
      <c r="E276" s="401"/>
      <c r="F276" s="401"/>
      <c r="G276" s="403"/>
      <c r="H276" s="404" t="s">
        <v>46</v>
      </c>
      <c r="I276" s="831">
        <f t="shared" ref="I276:J276" ca="1" si="123">I287</f>
        <v>0</v>
      </c>
      <c r="J276" s="831">
        <f t="shared" si="123"/>
        <v>0</v>
      </c>
      <c r="K276" s="407">
        <f t="shared" ca="1" si="122"/>
        <v>0</v>
      </c>
      <c r="L276" s="407"/>
      <c r="M276" s="407"/>
      <c r="N276" s="407"/>
      <c r="O276" s="407"/>
      <c r="P276" s="407"/>
    </row>
    <row r="277" spans="1:26" ht="19.5" hidden="1">
      <c r="A277" s="147"/>
      <c r="B277" s="148"/>
      <c r="C277" s="149" t="s">
        <v>16</v>
      </c>
      <c r="D277" s="822" t="s">
        <v>17</v>
      </c>
      <c r="E277" s="148"/>
      <c r="F277" s="148"/>
      <c r="G277" s="151"/>
      <c r="H277" s="152" t="s">
        <v>12</v>
      </c>
      <c r="I277" s="419"/>
      <c r="J277" s="419"/>
      <c r="K277" s="154"/>
      <c r="L277" s="155">
        <f t="shared" ref="L277:N277" ca="1" si="124">L278+L279</f>
        <v>0</v>
      </c>
      <c r="M277" s="155">
        <f t="shared" ca="1" si="124"/>
        <v>0</v>
      </c>
      <c r="N277" s="155">
        <f t="shared" ca="1" si="124"/>
        <v>0</v>
      </c>
      <c r="O277" s="155">
        <f t="shared" ref="O277:O285" ca="1" si="125">IF(L277&gt;0,N277*100/L277,0)</f>
        <v>0</v>
      </c>
      <c r="P277" s="155">
        <f t="shared" ref="P277:P285" ca="1" si="126">IF(M277&gt;0,N277*100/M277,0)</f>
        <v>0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2" t="s">
        <v>18</v>
      </c>
      <c r="F278" s="40"/>
      <c r="G278" s="157"/>
      <c r="H278" s="158" t="s">
        <v>12</v>
      </c>
      <c r="I278" s="610"/>
      <c r="J278" s="610"/>
      <c r="K278" s="93"/>
      <c r="L278" s="93">
        <f t="shared" ref="L278:N279" si="127">L281+L284</f>
        <v>0</v>
      </c>
      <c r="M278" s="93">
        <f t="shared" si="127"/>
        <v>0</v>
      </c>
      <c r="N278" s="93">
        <f t="shared" si="127"/>
        <v>0</v>
      </c>
      <c r="O278" s="93">
        <f t="shared" si="125"/>
        <v>0</v>
      </c>
      <c r="P278" s="93">
        <f t="shared" si="126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2" t="s">
        <v>19</v>
      </c>
      <c r="F279" s="40"/>
      <c r="G279" s="157"/>
      <c r="H279" s="158" t="s">
        <v>12</v>
      </c>
      <c r="I279" s="610"/>
      <c r="J279" s="610"/>
      <c r="K279" s="93"/>
      <c r="L279" s="93">
        <f t="shared" ca="1" si="127"/>
        <v>0</v>
      </c>
      <c r="M279" s="93">
        <f t="shared" ca="1" si="127"/>
        <v>0</v>
      </c>
      <c r="N279" s="93">
        <f t="shared" ca="1" si="127"/>
        <v>0</v>
      </c>
      <c r="O279" s="93">
        <f t="shared" ca="1" si="125"/>
        <v>0</v>
      </c>
      <c r="P279" s="93">
        <f t="shared" ca="1" si="126"/>
        <v>0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 hidden="1">
      <c r="A280" s="159"/>
      <c r="B280" s="33"/>
      <c r="C280" s="281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6">
        <f t="shared" ref="L280:N280" ca="1" si="128">L281+L282</f>
        <v>0</v>
      </c>
      <c r="M280" s="496">
        <f t="shared" ca="1" si="128"/>
        <v>0</v>
      </c>
      <c r="N280" s="496">
        <f t="shared" ca="1" si="128"/>
        <v>0</v>
      </c>
      <c r="O280" s="496">
        <f t="shared" ca="1" si="125"/>
        <v>0</v>
      </c>
      <c r="P280" s="496">
        <f t="shared" ca="1" si="126"/>
        <v>0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2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5"/>
        <v>0</v>
      </c>
      <c r="P281" s="93">
        <f t="shared" si="126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2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IFERROR(__xludf.DUMMYFUNCTION("IMPORTRANGE(""https://docs.google.com/spreadsheets/d/1MeEWN-I1oV_STSDYn1IFDPWt_1FKiwhDph83XaGc0o0/edit?usp=sharing"",""งบพรบ!DI64"")"),0)</f>
        <v>0</v>
      </c>
      <c r="M282" s="93">
        <f ca="1">IFERROR(__xludf.DUMMYFUNCTION("IMPORTRANGE(""https://docs.google.com/spreadsheets/d/1MeEWN-I1oV_STSDYn1IFDPWt_1FKiwhDph83XaGc0o0/edit?usp=sharing"",""งบพรบ!DN64"")"),0)</f>
        <v>0</v>
      </c>
      <c r="N282" s="93">
        <f ca="1">IFERROR(__xludf.DUMMYFUNCTION("IMPORTRANGE(""https://docs.google.com/spreadsheets/d/1MeEWN-I1oV_STSDYn1IFDPWt_1FKiwhDph83XaGc0o0/edit?usp=sharing"",""งบพรบ!DP64"")"),0)</f>
        <v>0</v>
      </c>
      <c r="O282" s="93">
        <f t="shared" ca="1" si="125"/>
        <v>0</v>
      </c>
      <c r="P282" s="93">
        <f t="shared" ca="1" si="126"/>
        <v>0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 hidden="1">
      <c r="A283" s="159"/>
      <c r="B283" s="33"/>
      <c r="C283" s="281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6">
        <f t="shared" ref="L283:N283" ca="1" si="129">L284+L285</f>
        <v>0</v>
      </c>
      <c r="M283" s="496">
        <f t="shared" ca="1" si="129"/>
        <v>0</v>
      </c>
      <c r="N283" s="496">
        <f t="shared" ca="1" si="129"/>
        <v>0</v>
      </c>
      <c r="O283" s="496">
        <f t="shared" ca="1" si="125"/>
        <v>0</v>
      </c>
      <c r="P283" s="496">
        <f t="shared" ca="1" si="126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2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5"/>
        <v>0</v>
      </c>
      <c r="P284" s="93">
        <f t="shared" si="126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2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IFERROR(__xludf.DUMMYFUNCTION("IMPORTRANGE(""https://docs.google.com/spreadsheets/d/1MeEWN-I1oV_STSDYn1IFDPWt_1FKiwhDph83XaGc0o0/edit?usp=sharing"",""งบพรบ!DL64"")"),0)</f>
        <v>0</v>
      </c>
      <c r="M285" s="93">
        <f ca="1">IFERROR(__xludf.DUMMYFUNCTION("IMPORTRANGE(""https://docs.google.com/spreadsheets/d/1MeEWN-I1oV_STSDYn1IFDPWt_1FKiwhDph83XaGc0o0/edit?usp=sharing"",""งบพรบ!DO64"")"),0)</f>
        <v>0</v>
      </c>
      <c r="N285" s="93">
        <f ca="1">IFERROR(__xludf.DUMMYFUNCTION("IMPORTRANGE(""https://docs.google.com/spreadsheets/d/1MeEWN-I1oV_STSDYn1IFDPWt_1FKiwhDph83XaGc0o0/edit?usp=sharing"",""งบพรบ!DQ64"")"),0)</f>
        <v>0</v>
      </c>
      <c r="O285" s="93">
        <f t="shared" ca="1" si="125"/>
        <v>0</v>
      </c>
      <c r="P285" s="93">
        <f t="shared" ca="1" si="126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 hidden="1">
      <c r="A286" s="170"/>
      <c r="B286" s="171"/>
      <c r="C286" s="164" t="s">
        <v>16</v>
      </c>
      <c r="D286" s="823" t="s">
        <v>38</v>
      </c>
      <c r="E286" s="173"/>
      <c r="F286" s="173"/>
      <c r="G286" s="174"/>
      <c r="H286" s="753"/>
      <c r="I286" s="184"/>
      <c r="J286" s="184"/>
      <c r="K286" s="163"/>
      <c r="L286" s="163"/>
      <c r="M286" s="163"/>
      <c r="N286" s="163"/>
      <c r="O286" s="163"/>
      <c r="P286" s="163"/>
    </row>
    <row r="287" spans="1:26" ht="18.75" hidden="1">
      <c r="A287" s="170"/>
      <c r="B287" s="171"/>
      <c r="C287" s="171"/>
      <c r="D287" s="619" t="s">
        <v>129</v>
      </c>
      <c r="E287" s="171"/>
      <c r="F287" s="178"/>
      <c r="G287" s="179"/>
      <c r="H287" s="185" t="s">
        <v>46</v>
      </c>
      <c r="I287" s="269">
        <f ca="1">IFERROR(__xludf.DUMMYFUNCTION("IMPORTRANGE(""https://docs.google.com/spreadsheets/d/1QqKyyYR6Q21VydFLVH3TRQUabQu_ym0Zz7PgGX0-kHA/edit?usp=sharing"",""แผน!EC64"")"),0)</f>
        <v>0</v>
      </c>
      <c r="J287" s="269">
        <v>0</v>
      </c>
      <c r="K287" s="163">
        <f t="shared" ref="K287:K288" ca="1" si="130">IF(I287&gt;0,J287*100/I287,0)</f>
        <v>0</v>
      </c>
      <c r="L287" s="163"/>
      <c r="M287" s="163"/>
      <c r="N287" s="163"/>
      <c r="O287" s="163"/>
      <c r="P287" s="163"/>
    </row>
    <row r="288" spans="1:26" ht="19.5" hidden="1">
      <c r="A288" s="170"/>
      <c r="B288" s="171"/>
      <c r="C288" s="171"/>
      <c r="D288" s="619" t="s">
        <v>130</v>
      </c>
      <c r="E288" s="171"/>
      <c r="F288" s="178"/>
      <c r="G288" s="179"/>
      <c r="H288" s="180" t="s">
        <v>35</v>
      </c>
      <c r="I288" s="674">
        <f ca="1">IFERROR(__xludf.DUMMYFUNCTION("IMPORTRANGE(""https://docs.google.com/spreadsheets/d/1QqKyyYR6Q21VydFLVH3TRQUabQu_ym0Zz7PgGX0-kHA/edit?usp=sharing"",""แผน!EB64"")"),0)</f>
        <v>0</v>
      </c>
      <c r="J288" s="674">
        <f ca="1">IF(AND(J291&gt;=I288,J294&gt;=I288),J294,0)</f>
        <v>0</v>
      </c>
      <c r="K288" s="410">
        <f t="shared" ca="1" si="130"/>
        <v>0</v>
      </c>
      <c r="L288" s="163"/>
      <c r="M288" s="163"/>
      <c r="N288" s="163"/>
      <c r="O288" s="163"/>
      <c r="P288" s="163"/>
    </row>
    <row r="289" spans="1:26" ht="19.5" hidden="1">
      <c r="A289" s="170"/>
      <c r="B289" s="171"/>
      <c r="C289" s="171"/>
      <c r="D289" s="411"/>
      <c r="E289" s="412" t="s">
        <v>131</v>
      </c>
      <c r="F289" s="178"/>
      <c r="G289" s="179"/>
      <c r="H289" s="755"/>
      <c r="I289" s="184"/>
      <c r="J289" s="269"/>
      <c r="K289" s="163"/>
      <c r="L289" s="163"/>
      <c r="M289" s="163"/>
      <c r="N289" s="163"/>
      <c r="O289" s="163"/>
      <c r="P289" s="163"/>
    </row>
    <row r="290" spans="1:26" ht="19.5" hidden="1">
      <c r="A290" s="170"/>
      <c r="B290" s="171"/>
      <c r="C290" s="171"/>
      <c r="D290" s="411"/>
      <c r="E290" s="619" t="s">
        <v>132</v>
      </c>
      <c r="F290" s="178"/>
      <c r="G290" s="179"/>
      <c r="H290" s="755" t="s">
        <v>35</v>
      </c>
      <c r="I290" s="184">
        <f ca="1">IFERROR(__xludf.DUMMYFUNCTION("IMPORTRANGE(""https://docs.google.com/spreadsheets/d/1QqKyyYR6Q21VydFLVH3TRQUabQu_ym0Zz7PgGX0-kHA/edit?usp=sharing"",""แผน!EB64"")"),0)</f>
        <v>0</v>
      </c>
      <c r="J290" s="214">
        <v>0</v>
      </c>
      <c r="K290" s="163">
        <f t="shared" ref="K290:K291" ca="1" si="131">IF(I290&gt;0,J290*100/I290,0)</f>
        <v>0</v>
      </c>
      <c r="L290" s="163"/>
      <c r="M290" s="163"/>
      <c r="N290" s="163"/>
      <c r="O290" s="163"/>
      <c r="P290" s="163"/>
    </row>
    <row r="291" spans="1:26" ht="19.5" hidden="1">
      <c r="A291" s="170"/>
      <c r="B291" s="171"/>
      <c r="C291" s="171"/>
      <c r="D291" s="178"/>
      <c r="E291" s="619" t="s">
        <v>333</v>
      </c>
      <c r="F291" s="178"/>
      <c r="G291" s="179"/>
      <c r="H291" s="755" t="s">
        <v>35</v>
      </c>
      <c r="I291" s="184">
        <f ca="1">IFERROR(__xludf.DUMMYFUNCTION("IMPORTRANGE(""https://docs.google.com/spreadsheets/d/1QqKyyYR6Q21VydFLVH3TRQUabQu_ym0Zz7PgGX0-kHA/edit?usp=sharing"",""แผน!EB64"")"),0)</f>
        <v>0</v>
      </c>
      <c r="J291" s="214">
        <v>0</v>
      </c>
      <c r="K291" s="163">
        <f t="shared" ca="1" si="131"/>
        <v>0</v>
      </c>
      <c r="L291" s="163"/>
      <c r="M291" s="163"/>
      <c r="N291" s="163"/>
      <c r="O291" s="163"/>
      <c r="P291" s="163"/>
    </row>
    <row r="292" spans="1:26" ht="19.5" hidden="1">
      <c r="A292" s="413"/>
      <c r="B292" s="414"/>
      <c r="C292" s="414"/>
      <c r="D292" s="415"/>
      <c r="E292" s="416" t="s">
        <v>134</v>
      </c>
      <c r="F292" s="287"/>
      <c r="G292" s="288"/>
      <c r="H292" s="417"/>
      <c r="I292" s="418"/>
      <c r="J292" s="419"/>
      <c r="K292" s="279"/>
      <c r="L292" s="279"/>
      <c r="M292" s="279"/>
      <c r="N292" s="279"/>
      <c r="O292" s="279"/>
      <c r="P292" s="279"/>
    </row>
    <row r="293" spans="1:26" ht="19.5" hidden="1">
      <c r="A293" s="170"/>
      <c r="B293" s="171"/>
      <c r="C293" s="171"/>
      <c r="D293" s="411"/>
      <c r="E293" s="619" t="s">
        <v>132</v>
      </c>
      <c r="F293" s="178"/>
      <c r="G293" s="179"/>
      <c r="H293" s="755" t="s">
        <v>35</v>
      </c>
      <c r="I293" s="184">
        <f ca="1">IFERROR(__xludf.DUMMYFUNCTION("IMPORTRANGE(""https://docs.google.com/spreadsheets/d/1QqKyyYR6Q21VydFLVH3TRQUabQu_ym0Zz7PgGX0-kHA/edit?usp=sharing"",""แผน!EB64"")"),0)</f>
        <v>0</v>
      </c>
      <c r="J293" s="214">
        <v>0</v>
      </c>
      <c r="K293" s="163">
        <f t="shared" ref="K293:K294" ca="1" si="132">IF(I293&gt;0,J293*100/I293,0)</f>
        <v>0</v>
      </c>
      <c r="L293" s="163"/>
      <c r="M293" s="163"/>
      <c r="N293" s="163"/>
      <c r="O293" s="163"/>
      <c r="P293" s="163"/>
    </row>
    <row r="294" spans="1:26" ht="19.5" hidden="1">
      <c r="A294" s="377"/>
      <c r="B294" s="378"/>
      <c r="C294" s="378"/>
      <c r="D294" s="380"/>
      <c r="E294" s="725" t="s">
        <v>333</v>
      </c>
      <c r="F294" s="380"/>
      <c r="G294" s="381"/>
      <c r="H294" s="421" t="s">
        <v>35</v>
      </c>
      <c r="I294" s="422">
        <f ca="1">IFERROR(__xludf.DUMMYFUNCTION("IMPORTRANGE(""https://docs.google.com/spreadsheets/d/1QqKyyYR6Q21VydFLVH3TRQUabQu_ym0Zz7PgGX0-kHA/edit?usp=sharing"",""แผน!EB64"")"),0)</f>
        <v>0</v>
      </c>
      <c r="J294" s="423">
        <v>0</v>
      </c>
      <c r="K294" s="384">
        <f t="shared" ca="1" si="132"/>
        <v>0</v>
      </c>
      <c r="L294" s="384"/>
      <c r="M294" s="384"/>
      <c r="N294" s="384"/>
      <c r="O294" s="384"/>
      <c r="P294" s="384"/>
    </row>
    <row r="295" spans="1:26" ht="19.5">
      <c r="A295" s="424" t="s">
        <v>137</v>
      </c>
      <c r="B295" s="425"/>
      <c r="C295" s="425"/>
      <c r="D295" s="425"/>
      <c r="E295" s="426"/>
      <c r="F295" s="426"/>
      <c r="G295" s="427"/>
      <c r="H295" s="428"/>
      <c r="I295" s="429"/>
      <c r="J295" s="429"/>
      <c r="K295" s="430"/>
      <c r="L295" s="430"/>
      <c r="M295" s="430"/>
      <c r="N295" s="430"/>
      <c r="O295" s="430"/>
      <c r="P295" s="430"/>
    </row>
    <row r="296" spans="1:26" ht="19.5">
      <c r="A296" s="431" t="s">
        <v>138</v>
      </c>
      <c r="B296" s="432"/>
      <c r="C296" s="432"/>
      <c r="D296" s="433"/>
      <c r="E296" s="433"/>
      <c r="F296" s="433"/>
      <c r="G296" s="434"/>
      <c r="H296" s="435"/>
      <c r="I296" s="436"/>
      <c r="J296" s="436"/>
      <c r="K296" s="437"/>
      <c r="L296" s="437"/>
      <c r="M296" s="437"/>
      <c r="N296" s="437"/>
      <c r="O296" s="437"/>
      <c r="P296" s="437"/>
    </row>
    <row r="297" spans="1:26" ht="19.5">
      <c r="A297" s="438"/>
      <c r="B297" s="439" t="s">
        <v>139</v>
      </c>
      <c r="C297" s="440"/>
      <c r="D297" s="440"/>
      <c r="E297" s="440"/>
      <c r="F297" s="440"/>
      <c r="G297" s="441"/>
      <c r="H297" s="442" t="s">
        <v>35</v>
      </c>
      <c r="I297" s="443">
        <f t="shared" ref="I297:J297" ca="1" si="133">I309</f>
        <v>15</v>
      </c>
      <c r="J297" s="443">
        <f t="shared" si="133"/>
        <v>15</v>
      </c>
      <c r="K297" s="444">
        <f ca="1">IF(I297&gt;0,J297*100/I297,0)</f>
        <v>100</v>
      </c>
      <c r="L297" s="445"/>
      <c r="M297" s="445"/>
      <c r="N297" s="445"/>
      <c r="O297" s="445"/>
      <c r="P297" s="445"/>
    </row>
    <row r="298" spans="1:26" ht="19.5">
      <c r="A298" s="147"/>
      <c r="B298" s="148"/>
      <c r="C298" s="149" t="s">
        <v>16</v>
      </c>
      <c r="D298" s="822" t="s">
        <v>17</v>
      </c>
      <c r="E298" s="148"/>
      <c r="F298" s="148"/>
      <c r="G298" s="151"/>
      <c r="H298" s="152" t="s">
        <v>12</v>
      </c>
      <c r="I298" s="419"/>
      <c r="J298" s="419"/>
      <c r="K298" s="154"/>
      <c r="L298" s="155">
        <f t="shared" ref="L298:N298" ca="1" si="134">L299+L300</f>
        <v>63800</v>
      </c>
      <c r="M298" s="155">
        <f t="shared" ca="1" si="134"/>
        <v>37840</v>
      </c>
      <c r="N298" s="155">
        <f t="shared" ca="1" si="134"/>
        <v>26295.4</v>
      </c>
      <c r="O298" s="155">
        <f t="shared" ref="O298:O306" ca="1" si="135">IF(L298&gt;0,N298*100/L298,0)</f>
        <v>41.215360501567396</v>
      </c>
      <c r="P298" s="155">
        <f t="shared" ref="P298:P306" ca="1" si="136">IF(M298&gt;0,N298*100/M298,0)</f>
        <v>69.491014799154328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2" t="s">
        <v>18</v>
      </c>
      <c r="F299" s="40"/>
      <c r="G299" s="157"/>
      <c r="H299" s="158" t="s">
        <v>12</v>
      </c>
      <c r="I299" s="610"/>
      <c r="J299" s="610"/>
      <c r="K299" s="93"/>
      <c r="L299" s="93">
        <f t="shared" ref="L299:N300" si="137">L302+L305</f>
        <v>0</v>
      </c>
      <c r="M299" s="93">
        <f t="shared" si="137"/>
        <v>0</v>
      </c>
      <c r="N299" s="93">
        <f t="shared" si="137"/>
        <v>0</v>
      </c>
      <c r="O299" s="93">
        <f t="shared" si="135"/>
        <v>0</v>
      </c>
      <c r="P299" s="93">
        <f t="shared" si="136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2" t="s">
        <v>19</v>
      </c>
      <c r="F300" s="40"/>
      <c r="G300" s="157"/>
      <c r="H300" s="158" t="s">
        <v>12</v>
      </c>
      <c r="I300" s="610"/>
      <c r="J300" s="610"/>
      <c r="K300" s="93"/>
      <c r="L300" s="93">
        <f t="shared" ca="1" si="137"/>
        <v>63800</v>
      </c>
      <c r="M300" s="93">
        <f t="shared" ca="1" si="137"/>
        <v>37840</v>
      </c>
      <c r="N300" s="93">
        <f t="shared" ca="1" si="137"/>
        <v>26295.4</v>
      </c>
      <c r="O300" s="93">
        <f t="shared" ca="1" si="135"/>
        <v>41.215360501567396</v>
      </c>
      <c r="P300" s="93">
        <f t="shared" ca="1" si="136"/>
        <v>69.491014799154328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>
      <c r="A301" s="159"/>
      <c r="B301" s="33"/>
      <c r="C301" s="281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6">
        <f t="shared" ref="L301:N301" ca="1" si="138">L302+L303</f>
        <v>63800</v>
      </c>
      <c r="M301" s="496">
        <f t="shared" ca="1" si="138"/>
        <v>37840</v>
      </c>
      <c r="N301" s="496">
        <f t="shared" ca="1" si="138"/>
        <v>26295.4</v>
      </c>
      <c r="O301" s="496">
        <f t="shared" ca="1" si="135"/>
        <v>41.215360501567396</v>
      </c>
      <c r="P301" s="496">
        <f t="shared" ca="1" si="136"/>
        <v>69.491014799154328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2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5"/>
        <v>0</v>
      </c>
      <c r="P302" s="93">
        <f t="shared" si="136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2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IFERROR(__xludf.DUMMYFUNCTION("IMPORTRANGE(""https://docs.google.com/spreadsheets/d/1MeEWN-I1oV_STSDYn1IFDPWt_1FKiwhDph83XaGc0o0/edit?usp=sharing"",""งบพรบ!DS64"")"),63800)</f>
        <v>63800</v>
      </c>
      <c r="M303" s="93">
        <f ca="1">IFERROR(__xludf.DUMMYFUNCTION("IMPORTRANGE(""https://docs.google.com/spreadsheets/d/1MeEWN-I1oV_STSDYn1IFDPWt_1FKiwhDph83XaGc0o0/edit?usp=sharing"",""งบพรบ!DX64"")"),37840)</f>
        <v>37840</v>
      </c>
      <c r="N303" s="93">
        <f ca="1">IFERROR(__xludf.DUMMYFUNCTION("IMPORTRANGE(""https://docs.google.com/spreadsheets/d/1MeEWN-I1oV_STSDYn1IFDPWt_1FKiwhDph83XaGc0o0/edit?usp=sharing"",""งบพรบ!DZ64"")"),26295.4)</f>
        <v>26295.4</v>
      </c>
      <c r="O303" s="93">
        <f t="shared" ca="1" si="135"/>
        <v>41.215360501567396</v>
      </c>
      <c r="P303" s="93">
        <f t="shared" ca="1" si="136"/>
        <v>69.491014799154328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>
      <c r="A304" s="159"/>
      <c r="B304" s="33"/>
      <c r="C304" s="281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6">
        <f t="shared" ref="L304:N304" ca="1" si="139">L305+L306</f>
        <v>0</v>
      </c>
      <c r="M304" s="496">
        <f t="shared" ca="1" si="139"/>
        <v>0</v>
      </c>
      <c r="N304" s="496">
        <f t="shared" ca="1" si="139"/>
        <v>0</v>
      </c>
      <c r="O304" s="496">
        <f t="shared" ca="1" si="135"/>
        <v>0</v>
      </c>
      <c r="P304" s="496">
        <f t="shared" ca="1" si="136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2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5"/>
        <v>0</v>
      </c>
      <c r="P305" s="93">
        <f t="shared" si="136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2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IFERROR(__xludf.DUMMYFUNCTION("IMPORTRANGE(""https://docs.google.com/spreadsheets/d/1MeEWN-I1oV_STSDYn1IFDPWt_1FKiwhDph83XaGc0o0/edit?usp=sharing"",""งบพรบ!DV64"")"),0)</f>
        <v>0</v>
      </c>
      <c r="M306" s="93">
        <f ca="1">IFERROR(__xludf.DUMMYFUNCTION("IMPORTRANGE(""https://docs.google.com/spreadsheets/d/1MeEWN-I1oV_STSDYn1IFDPWt_1FKiwhDph83XaGc0o0/edit?usp=sharing"",""งบพรบ!DY64"")"),0)</f>
        <v>0</v>
      </c>
      <c r="N306" s="93">
        <f ca="1">IFERROR(__xludf.DUMMYFUNCTION("IMPORTRANGE(""https://docs.google.com/spreadsheets/d/1MeEWN-I1oV_STSDYn1IFDPWt_1FKiwhDph83XaGc0o0/edit?usp=sharing"",""งบพรบ!EA64"")"),0)</f>
        <v>0</v>
      </c>
      <c r="O306" s="93">
        <f t="shared" ca="1" si="135"/>
        <v>0</v>
      </c>
      <c r="P306" s="93">
        <f t="shared" ca="1" si="136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>
      <c r="A307" s="170"/>
      <c r="B307" s="171"/>
      <c r="C307" s="164" t="s">
        <v>16</v>
      </c>
      <c r="D307" s="823" t="s">
        <v>38</v>
      </c>
      <c r="E307" s="173"/>
      <c r="F307" s="173"/>
      <c r="G307" s="174"/>
      <c r="H307" s="753"/>
      <c r="I307" s="269"/>
      <c r="J307" s="269"/>
      <c r="K307" s="496"/>
      <c r="L307" s="496"/>
      <c r="M307" s="496"/>
      <c r="N307" s="496"/>
      <c r="O307" s="496"/>
      <c r="P307" s="496"/>
    </row>
    <row r="308" spans="1:26" ht="18.75">
      <c r="A308" s="170"/>
      <c r="B308" s="171"/>
      <c r="C308" s="171"/>
      <c r="D308" s="446" t="s">
        <v>140</v>
      </c>
      <c r="E308" s="446"/>
      <c r="F308" s="446"/>
      <c r="G308" s="179"/>
      <c r="H308" s="755"/>
      <c r="I308" s="269"/>
      <c r="J308" s="214">
        <v>0</v>
      </c>
      <c r="K308" s="496"/>
      <c r="L308" s="496"/>
      <c r="M308" s="496"/>
      <c r="N308" s="496"/>
      <c r="O308" s="496"/>
      <c r="P308" s="496"/>
    </row>
    <row r="309" spans="1:26" ht="18.75">
      <c r="A309" s="170"/>
      <c r="B309" s="171"/>
      <c r="C309" s="171"/>
      <c r="D309" s="446" t="s">
        <v>141</v>
      </c>
      <c r="E309" s="446"/>
      <c r="F309" s="446"/>
      <c r="G309" s="179"/>
      <c r="H309" s="755" t="s">
        <v>35</v>
      </c>
      <c r="I309" s="269">
        <f ca="1">IFERROR(__xludf.DUMMYFUNCTION("IMPORTRANGE(""https://docs.google.com/spreadsheets/d/1QqKyyYR6Q21VydFLVH3TRQUabQu_ym0Zz7PgGX0-kHA/edit?usp=sharing"",""แผน!ED64"")"),15)</f>
        <v>15</v>
      </c>
      <c r="J309" s="214">
        <v>15</v>
      </c>
      <c r="K309" s="496">
        <f t="shared" ref="K309:K312" ca="1" si="140">IF(I309&gt;0,J309*100/I309,0)</f>
        <v>100</v>
      </c>
      <c r="L309" s="496"/>
      <c r="M309" s="496"/>
      <c r="N309" s="496"/>
      <c r="O309" s="496"/>
      <c r="P309" s="496"/>
    </row>
    <row r="310" spans="1:26" ht="18.75">
      <c r="A310" s="170"/>
      <c r="B310" s="171"/>
      <c r="C310" s="171"/>
      <c r="D310" s="446" t="s">
        <v>142</v>
      </c>
      <c r="E310" s="446"/>
      <c r="F310" s="446"/>
      <c r="G310" s="179"/>
      <c r="H310" s="755" t="s">
        <v>35</v>
      </c>
      <c r="I310" s="269">
        <f ca="1">IFERROR(__xludf.DUMMYFUNCTION("IMPORTRANGE(""https://docs.google.com/spreadsheets/d/1QqKyyYR6Q21VydFLVH3TRQUabQu_ym0Zz7PgGX0-kHA/edit?usp=sharing"",""แผน!ED64"")"),15)</f>
        <v>15</v>
      </c>
      <c r="J310" s="214">
        <v>15</v>
      </c>
      <c r="K310" s="496">
        <f t="shared" ca="1" si="140"/>
        <v>100</v>
      </c>
      <c r="L310" s="496"/>
      <c r="M310" s="496"/>
      <c r="N310" s="496"/>
      <c r="O310" s="496"/>
      <c r="P310" s="496"/>
    </row>
    <row r="311" spans="1:26" ht="18.75">
      <c r="A311" s="170"/>
      <c r="B311" s="171"/>
      <c r="C311" s="171"/>
      <c r="D311" s="446" t="s">
        <v>59</v>
      </c>
      <c r="E311" s="446"/>
      <c r="F311" s="446"/>
      <c r="G311" s="179"/>
      <c r="H311" s="755" t="s">
        <v>35</v>
      </c>
      <c r="I311" s="269">
        <f ca="1">IFERROR(__xludf.DUMMYFUNCTION("IMPORTRANGE(""https://docs.google.com/spreadsheets/d/1QqKyyYR6Q21VydFLVH3TRQUabQu_ym0Zz7PgGX0-kHA/edit?usp=sharing"",""แผน!ED64"")"),15)</f>
        <v>15</v>
      </c>
      <c r="J311" s="214">
        <v>0</v>
      </c>
      <c r="K311" s="496">
        <f t="shared" ca="1" si="140"/>
        <v>0</v>
      </c>
      <c r="L311" s="496"/>
      <c r="M311" s="496"/>
      <c r="N311" s="496"/>
      <c r="O311" s="496"/>
      <c r="P311" s="496"/>
    </row>
    <row r="312" spans="1:26" ht="18.75">
      <c r="A312" s="170"/>
      <c r="B312" s="171"/>
      <c r="C312" s="171"/>
      <c r="D312" s="446" t="s">
        <v>143</v>
      </c>
      <c r="E312" s="446"/>
      <c r="F312" s="446"/>
      <c r="G312" s="179"/>
      <c r="H312" s="755" t="s">
        <v>35</v>
      </c>
      <c r="I312" s="269">
        <f ca="1">IFERROR(__xludf.DUMMYFUNCTION("IMPORTRANGE(""https://docs.google.com/spreadsheets/d/1QqKyyYR6Q21VydFLVH3TRQUabQu_ym0Zz7PgGX0-kHA/edit?usp=sharing"",""แผน!EE64"")"),3)</f>
        <v>3</v>
      </c>
      <c r="J312" s="214">
        <v>0</v>
      </c>
      <c r="K312" s="496">
        <f t="shared" ca="1" si="140"/>
        <v>0</v>
      </c>
      <c r="L312" s="496"/>
      <c r="M312" s="496"/>
      <c r="N312" s="496"/>
      <c r="O312" s="496"/>
      <c r="P312" s="496"/>
    </row>
    <row r="313" spans="1:26" ht="19.5" hidden="1">
      <c r="A313" s="431" t="s">
        <v>144</v>
      </c>
      <c r="B313" s="432"/>
      <c r="C313" s="432"/>
      <c r="D313" s="433"/>
      <c r="E313" s="432"/>
      <c r="F313" s="432"/>
      <c r="G313" s="432"/>
      <c r="H313" s="448"/>
      <c r="I313" s="436"/>
      <c r="J313" s="436"/>
      <c r="K313" s="437"/>
      <c r="L313" s="437"/>
      <c r="M313" s="437"/>
      <c r="N313" s="437"/>
      <c r="O313" s="437"/>
      <c r="P313" s="437"/>
    </row>
    <row r="314" spans="1:26" ht="19.5" hidden="1">
      <c r="A314" s="449"/>
      <c r="B314" s="439" t="s">
        <v>145</v>
      </c>
      <c r="C314" s="450"/>
      <c r="D314" s="451"/>
      <c r="E314" s="440"/>
      <c r="F314" s="440"/>
      <c r="G314" s="441"/>
      <c r="H314" s="442" t="s">
        <v>146</v>
      </c>
      <c r="I314" s="443">
        <f t="shared" ref="I314:J314" ca="1" si="141">I325</f>
        <v>0</v>
      </c>
      <c r="J314" s="443">
        <f t="shared" si="141"/>
        <v>0</v>
      </c>
      <c r="K314" s="444">
        <f ca="1">IF(I314&gt;0,J314*100/I314,0)</f>
        <v>0</v>
      </c>
      <c r="L314" s="445"/>
      <c r="M314" s="445"/>
      <c r="N314" s="445"/>
      <c r="O314" s="445"/>
      <c r="P314" s="445"/>
    </row>
    <row r="315" spans="1:26" ht="19.5" hidden="1">
      <c r="A315" s="147"/>
      <c r="B315" s="148"/>
      <c r="C315" s="149" t="s">
        <v>16</v>
      </c>
      <c r="D315" s="822" t="s">
        <v>17</v>
      </c>
      <c r="E315" s="148"/>
      <c r="F315" s="148"/>
      <c r="G315" s="151"/>
      <c r="H315" s="152" t="s">
        <v>12</v>
      </c>
      <c r="I315" s="419"/>
      <c r="J315" s="419"/>
      <c r="K315" s="154"/>
      <c r="L315" s="155">
        <f t="shared" ref="L315:N315" ca="1" si="142">L316+L317</f>
        <v>0</v>
      </c>
      <c r="M315" s="155">
        <f t="shared" ca="1" si="142"/>
        <v>0</v>
      </c>
      <c r="N315" s="155">
        <f t="shared" ca="1" si="142"/>
        <v>0</v>
      </c>
      <c r="O315" s="155">
        <f t="shared" ref="O315:O323" ca="1" si="143">IF(L315&gt;0,N315*100/L315,0)</f>
        <v>0</v>
      </c>
      <c r="P315" s="155">
        <f t="shared" ref="P315:P323" ca="1" si="144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2" t="s">
        <v>18</v>
      </c>
      <c r="F316" s="40"/>
      <c r="G316" s="157"/>
      <c r="H316" s="158" t="s">
        <v>12</v>
      </c>
      <c r="I316" s="610"/>
      <c r="J316" s="610"/>
      <c r="K316" s="93"/>
      <c r="L316" s="93">
        <f t="shared" ref="L316:N317" si="145">L319+L322</f>
        <v>0</v>
      </c>
      <c r="M316" s="93">
        <f t="shared" si="145"/>
        <v>0</v>
      </c>
      <c r="N316" s="93">
        <f t="shared" si="145"/>
        <v>0</v>
      </c>
      <c r="O316" s="93">
        <f t="shared" si="143"/>
        <v>0</v>
      </c>
      <c r="P316" s="93">
        <f t="shared" si="144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2" t="s">
        <v>19</v>
      </c>
      <c r="F317" s="40"/>
      <c r="G317" s="157"/>
      <c r="H317" s="158" t="s">
        <v>12</v>
      </c>
      <c r="I317" s="610"/>
      <c r="J317" s="610"/>
      <c r="K317" s="93"/>
      <c r="L317" s="93">
        <f t="shared" ca="1" si="145"/>
        <v>0</v>
      </c>
      <c r="M317" s="93">
        <f t="shared" ca="1" si="145"/>
        <v>0</v>
      </c>
      <c r="N317" s="93">
        <f t="shared" ca="1" si="145"/>
        <v>0</v>
      </c>
      <c r="O317" s="93">
        <f t="shared" ca="1" si="143"/>
        <v>0</v>
      </c>
      <c r="P317" s="93">
        <f t="shared" ca="1" si="144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1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6">
        <f t="shared" ref="L318:N318" ca="1" si="146">L319+L320</f>
        <v>0</v>
      </c>
      <c r="M318" s="496">
        <f t="shared" ca="1" si="146"/>
        <v>0</v>
      </c>
      <c r="N318" s="496">
        <f t="shared" ca="1" si="146"/>
        <v>0</v>
      </c>
      <c r="O318" s="496">
        <f t="shared" ca="1" si="143"/>
        <v>0</v>
      </c>
      <c r="P318" s="496">
        <f t="shared" ca="1" si="144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2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3"/>
        <v>0</v>
      </c>
      <c r="P319" s="93">
        <f t="shared" si="144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2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IFERROR(__xludf.DUMMYFUNCTION("IMPORTRANGE(""https://docs.google.com/spreadsheets/d/1MeEWN-I1oV_STSDYn1IFDPWt_1FKiwhDph83XaGc0o0/edit?usp=sharing"",""งบพรบ!EC64"")"),0)</f>
        <v>0</v>
      </c>
      <c r="M320" s="93">
        <f ca="1">IFERROR(__xludf.DUMMYFUNCTION("IMPORTRANGE(""https://docs.google.com/spreadsheets/d/1MeEWN-I1oV_STSDYn1IFDPWt_1FKiwhDph83XaGc0o0/edit?usp=sharing"",""งบพรบ!EH64"")"),0)</f>
        <v>0</v>
      </c>
      <c r="N320" s="93">
        <f ca="1">IFERROR(__xludf.DUMMYFUNCTION("IMPORTRANGE(""https://docs.google.com/spreadsheets/d/1MeEWN-I1oV_STSDYn1IFDPWt_1FKiwhDph83XaGc0o0/edit?usp=sharing"",""งบพรบ!EJ64"")"),0)</f>
        <v>0</v>
      </c>
      <c r="O320" s="93">
        <f t="shared" ca="1" si="143"/>
        <v>0</v>
      </c>
      <c r="P320" s="93">
        <f t="shared" ca="1" si="144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1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6">
        <f t="shared" ref="L321:N321" ca="1" si="147">L322+L323</f>
        <v>0</v>
      </c>
      <c r="M321" s="496">
        <f t="shared" ca="1" si="147"/>
        <v>0</v>
      </c>
      <c r="N321" s="496">
        <f t="shared" ca="1" si="147"/>
        <v>0</v>
      </c>
      <c r="O321" s="496">
        <f t="shared" ca="1" si="143"/>
        <v>0</v>
      </c>
      <c r="P321" s="496">
        <f t="shared" ca="1" si="144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2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3"/>
        <v>0</v>
      </c>
      <c r="P322" s="93">
        <f t="shared" si="144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2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IFERROR(__xludf.DUMMYFUNCTION("IMPORTRANGE(""https://docs.google.com/spreadsheets/d/1MeEWN-I1oV_STSDYn1IFDPWt_1FKiwhDph83XaGc0o0/edit?usp=sharing"",""งบพรบ!EF64"")"),0)</f>
        <v>0</v>
      </c>
      <c r="M323" s="93">
        <f ca="1">IFERROR(__xludf.DUMMYFUNCTION("IMPORTRANGE(""https://docs.google.com/spreadsheets/d/1MeEWN-I1oV_STSDYn1IFDPWt_1FKiwhDph83XaGc0o0/edit?usp=sharing"",""งบพรบ!EI64"")"),0)</f>
        <v>0</v>
      </c>
      <c r="N323" s="93">
        <f ca="1">IFERROR(__xludf.DUMMYFUNCTION("IMPORTRANGE(""https://docs.google.com/spreadsheets/d/1MeEWN-I1oV_STSDYn1IFDPWt_1FKiwhDph83XaGc0o0/edit?usp=sharing"",""งบพรบ!EK64"")"),0)</f>
        <v>0</v>
      </c>
      <c r="O323" s="93">
        <f t="shared" ca="1" si="143"/>
        <v>0</v>
      </c>
      <c r="P323" s="93">
        <f t="shared" ca="1" si="144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23" t="s">
        <v>38</v>
      </c>
      <c r="E324" s="173"/>
      <c r="F324" s="173"/>
      <c r="G324" s="174"/>
      <c r="H324" s="753"/>
      <c r="I324" s="184"/>
      <c r="J324" s="269"/>
      <c r="K324" s="496"/>
      <c r="L324" s="496"/>
      <c r="M324" s="496"/>
      <c r="N324" s="496"/>
      <c r="O324" s="163"/>
      <c r="P324" s="163"/>
    </row>
    <row r="325" spans="1:26" ht="18.75" hidden="1">
      <c r="A325" s="170"/>
      <c r="B325" s="171"/>
      <c r="C325" s="171"/>
      <c r="D325" s="176" t="s">
        <v>147</v>
      </c>
      <c r="E325" s="178"/>
      <c r="F325" s="446"/>
      <c r="G325" s="179"/>
      <c r="H325" s="616" t="s">
        <v>146</v>
      </c>
      <c r="I325" s="269">
        <f ca="1">IFERROR(__xludf.DUMMYFUNCTION("IMPORTRANGE(""https://docs.google.com/spreadsheets/d/1QqKyyYR6Q21VydFLVH3TRQUabQu_ym0Zz7PgGX0-kHA/edit?usp=sharing"",""แผน!EF64"")"),0)</f>
        <v>0</v>
      </c>
      <c r="J325" s="214">
        <v>0</v>
      </c>
      <c r="K325" s="496">
        <f ca="1">IF(I325&gt;0,J325*100/I325,0)</f>
        <v>0</v>
      </c>
      <c r="L325" s="496"/>
      <c r="M325" s="496"/>
      <c r="N325" s="496"/>
      <c r="O325" s="163"/>
      <c r="P325" s="163"/>
    </row>
    <row r="326" spans="1:26" ht="19.5">
      <c r="A326" s="431" t="s">
        <v>148</v>
      </c>
      <c r="B326" s="432"/>
      <c r="C326" s="432"/>
      <c r="D326" s="433"/>
      <c r="E326" s="432"/>
      <c r="F326" s="432"/>
      <c r="G326" s="432"/>
      <c r="H326" s="448"/>
      <c r="I326" s="436"/>
      <c r="J326" s="436"/>
      <c r="K326" s="437"/>
      <c r="L326" s="437"/>
      <c r="M326" s="437"/>
      <c r="N326" s="437"/>
      <c r="O326" s="437"/>
      <c r="P326" s="437"/>
    </row>
    <row r="327" spans="1:26" ht="19.5">
      <c r="A327" s="438"/>
      <c r="B327" s="439" t="s">
        <v>149</v>
      </c>
      <c r="C327" s="451"/>
      <c r="D327" s="440"/>
      <c r="E327" s="440"/>
      <c r="F327" s="440"/>
      <c r="G327" s="441"/>
      <c r="H327" s="442" t="s">
        <v>35</v>
      </c>
      <c r="I327" s="443">
        <f ca="1">IFERROR(__xludf.DUMMYFUNCTION("IMPORTRANGE(""https://docs.google.com/spreadsheets/d/1QqKyyYR6Q21VydFLVH3TRQUabQu_ym0Zz7PgGX0-kHA/edit?usp=sharing"",""แผน!EG64"")"),800)</f>
        <v>800</v>
      </c>
      <c r="J327" s="443">
        <f ca="1">J338+J341+J342+J343</f>
        <v>222</v>
      </c>
      <c r="K327" s="444">
        <f ca="1">IF(I327&gt;0,J327*100/I327,0)</f>
        <v>27.75</v>
      </c>
      <c r="L327" s="445"/>
      <c r="M327" s="445"/>
      <c r="N327" s="445"/>
      <c r="O327" s="445"/>
      <c r="P327" s="445"/>
    </row>
    <row r="328" spans="1:26" ht="19.5">
      <c r="A328" s="147"/>
      <c r="B328" s="148"/>
      <c r="C328" s="149" t="s">
        <v>16</v>
      </c>
      <c r="D328" s="822" t="s">
        <v>17</v>
      </c>
      <c r="E328" s="148"/>
      <c r="F328" s="148"/>
      <c r="G328" s="151"/>
      <c r="H328" s="152" t="s">
        <v>12</v>
      </c>
      <c r="I328" s="419"/>
      <c r="J328" s="419"/>
      <c r="K328" s="154"/>
      <c r="L328" s="155">
        <f t="shared" ref="L328:N328" ca="1" si="148">L329+L330</f>
        <v>588600</v>
      </c>
      <c r="M328" s="155">
        <f t="shared" ca="1" si="148"/>
        <v>294300</v>
      </c>
      <c r="N328" s="155">
        <f t="shared" ca="1" si="148"/>
        <v>89414</v>
      </c>
      <c r="O328" s="155">
        <f t="shared" ref="O328:O336" ca="1" si="149">IF(L328&gt;0,N328*100/L328,0)</f>
        <v>15.19096160380564</v>
      </c>
      <c r="P328" s="155">
        <f t="shared" ref="P328:P336" ca="1" si="150">IF(M328&gt;0,N328*100/M328,0)</f>
        <v>30.38192320761128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2" t="s">
        <v>18</v>
      </c>
      <c r="F329" s="40"/>
      <c r="G329" s="157"/>
      <c r="H329" s="158" t="s">
        <v>12</v>
      </c>
      <c r="I329" s="610"/>
      <c r="J329" s="610"/>
      <c r="K329" s="93"/>
      <c r="L329" s="93">
        <f t="shared" ref="L329:N330" si="151">L332+L335</f>
        <v>0</v>
      </c>
      <c r="M329" s="93">
        <f t="shared" si="151"/>
        <v>0</v>
      </c>
      <c r="N329" s="93">
        <f t="shared" si="151"/>
        <v>0</v>
      </c>
      <c r="O329" s="93">
        <f t="shared" si="149"/>
        <v>0</v>
      </c>
      <c r="P329" s="93">
        <f t="shared" si="150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2" t="s">
        <v>19</v>
      </c>
      <c r="F330" s="40"/>
      <c r="G330" s="157"/>
      <c r="H330" s="158" t="s">
        <v>12</v>
      </c>
      <c r="I330" s="610"/>
      <c r="J330" s="610"/>
      <c r="K330" s="93"/>
      <c r="L330" s="93">
        <f t="shared" ca="1" si="151"/>
        <v>588600</v>
      </c>
      <c r="M330" s="93">
        <f t="shared" ca="1" si="151"/>
        <v>294300</v>
      </c>
      <c r="N330" s="93">
        <f t="shared" ca="1" si="151"/>
        <v>89414</v>
      </c>
      <c r="O330" s="93">
        <f t="shared" ca="1" si="149"/>
        <v>15.19096160380564</v>
      </c>
      <c r="P330" s="93">
        <f t="shared" ca="1" si="150"/>
        <v>30.38192320761128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1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6">
        <f t="shared" ref="L331:N331" ca="1" si="152">L332+L333</f>
        <v>588600</v>
      </c>
      <c r="M331" s="496">
        <f t="shared" ca="1" si="152"/>
        <v>294300</v>
      </c>
      <c r="N331" s="496">
        <f t="shared" ca="1" si="152"/>
        <v>89414</v>
      </c>
      <c r="O331" s="496">
        <f t="shared" ca="1" si="149"/>
        <v>15.19096160380564</v>
      </c>
      <c r="P331" s="496">
        <f t="shared" ca="1" si="150"/>
        <v>30.38192320761128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2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49"/>
        <v>0</v>
      </c>
      <c r="P332" s="93">
        <f t="shared" si="150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2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IFERROR(__xludf.DUMMYFUNCTION("IMPORTRANGE(""https://docs.google.com/spreadsheets/d/1MeEWN-I1oV_STSDYn1IFDPWt_1FKiwhDph83XaGc0o0/edit?usp=sharing"",""งบพรบ!EM64"")"),588600)</f>
        <v>588600</v>
      </c>
      <c r="M333" s="93">
        <f ca="1">IFERROR(__xludf.DUMMYFUNCTION("IMPORTRANGE(""https://docs.google.com/spreadsheets/d/1MeEWN-I1oV_STSDYn1IFDPWt_1FKiwhDph83XaGc0o0/edit?usp=sharing"",""งบพรบ!ER64"")"),294300)</f>
        <v>294300</v>
      </c>
      <c r="N333" s="93">
        <f ca="1">IFERROR(__xludf.DUMMYFUNCTION("IMPORTRANGE(""https://docs.google.com/spreadsheets/d/1MeEWN-I1oV_STSDYn1IFDPWt_1FKiwhDph83XaGc0o0/edit?usp=sharing"",""งบพรบ!ET64"")"),89414)</f>
        <v>89414</v>
      </c>
      <c r="O333" s="93">
        <f t="shared" ca="1" si="149"/>
        <v>15.19096160380564</v>
      </c>
      <c r="P333" s="93">
        <f t="shared" ca="1" si="150"/>
        <v>30.38192320761128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1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6">
        <f t="shared" ref="L334:N334" ca="1" si="153">L335+L336</f>
        <v>0</v>
      </c>
      <c r="M334" s="496">
        <f t="shared" ca="1" si="153"/>
        <v>0</v>
      </c>
      <c r="N334" s="496">
        <f t="shared" ca="1" si="153"/>
        <v>0</v>
      </c>
      <c r="O334" s="496">
        <f t="shared" ca="1" si="149"/>
        <v>0</v>
      </c>
      <c r="P334" s="496">
        <f t="shared" ca="1" si="150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2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49"/>
        <v>0</v>
      </c>
      <c r="P335" s="93">
        <f t="shared" si="150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2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IFERROR(__xludf.DUMMYFUNCTION("IMPORTRANGE(""https://docs.google.com/spreadsheets/d/1MeEWN-I1oV_STSDYn1IFDPWt_1FKiwhDph83XaGc0o0/edit?usp=sharing"",""งบพรบ!EP64"")"),0)</f>
        <v>0</v>
      </c>
      <c r="M336" s="93">
        <f ca="1">IFERROR(__xludf.DUMMYFUNCTION("IMPORTRANGE(""https://docs.google.com/spreadsheets/d/1MeEWN-I1oV_STSDYn1IFDPWt_1FKiwhDph83XaGc0o0/edit?usp=sharing"",""งบพรบ!ES64"")"),0)</f>
        <v>0</v>
      </c>
      <c r="N336" s="93">
        <f ca="1">IFERROR(__xludf.DUMMYFUNCTION("IMPORTRANGE(""https://docs.google.com/spreadsheets/d/1MeEWN-I1oV_STSDYn1IFDPWt_1FKiwhDph83XaGc0o0/edit?usp=sharing"",""งบพรบ!EU64"")"),0)</f>
        <v>0</v>
      </c>
      <c r="O336" s="93">
        <f t="shared" ca="1" si="149"/>
        <v>0</v>
      </c>
      <c r="P336" s="93">
        <f t="shared" ca="1" si="150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23" t="s">
        <v>38</v>
      </c>
      <c r="E337" s="173"/>
      <c r="F337" s="173"/>
      <c r="G337" s="174"/>
      <c r="H337" s="753"/>
      <c r="I337" s="184"/>
      <c r="J337" s="269"/>
      <c r="K337" s="496"/>
      <c r="L337" s="496"/>
      <c r="M337" s="496"/>
      <c r="N337" s="496"/>
      <c r="O337" s="163"/>
      <c r="P337" s="163"/>
    </row>
    <row r="338" spans="1:26" ht="18.75">
      <c r="A338" s="284"/>
      <c r="B338" s="33"/>
      <c r="C338" s="280"/>
      <c r="D338" s="446" t="s">
        <v>150</v>
      </c>
      <c r="E338" s="171"/>
      <c r="F338" s="33"/>
      <c r="G338" s="35"/>
      <c r="H338" s="276" t="s">
        <v>35</v>
      </c>
      <c r="I338" s="269">
        <f ca="1">IFERROR(__xludf.DUMMYFUNCTION("IMPORTRANGE(""https://docs.google.com/spreadsheets/d/1QqKyyYR6Q21VydFLVH3TRQUabQu_ym0Zz7PgGX0-kHA/edit?usp=sharing"",""แผน!EG64"")"),800)</f>
        <v>800</v>
      </c>
      <c r="J338" s="269">
        <f ca="1">IFERROR(__xludf.DUMMYFUNCTION("IMPORTRANGE(""https://docs.google.com/spreadsheets/d/1kVcqe37tkHyjCSG3S0O1AXqVkqjo8mSIZil3BcpIysc/edit?usp=sharing"",""ศูนย์!D64"")"),108)</f>
        <v>108</v>
      </c>
      <c r="K338" s="496">
        <f ca="1">IF(I338&gt;0,J338*100/I338,0)</f>
        <v>13.5</v>
      </c>
      <c r="L338" s="496"/>
      <c r="M338" s="496"/>
      <c r="N338" s="496"/>
      <c r="O338" s="496"/>
      <c r="P338" s="496"/>
    </row>
    <row r="339" spans="1:26" ht="18.75">
      <c r="A339" s="284"/>
      <c r="B339" s="33"/>
      <c r="C339" s="280"/>
      <c r="D339" s="446" t="s">
        <v>151</v>
      </c>
      <c r="E339" s="171"/>
      <c r="F339" s="33"/>
      <c r="G339" s="35"/>
      <c r="H339" s="276"/>
      <c r="I339" s="269"/>
      <c r="J339" s="269"/>
      <c r="K339" s="496"/>
      <c r="L339" s="496"/>
      <c r="M339" s="496"/>
      <c r="N339" s="496"/>
      <c r="O339" s="496"/>
      <c r="P339" s="496"/>
    </row>
    <row r="340" spans="1:26" ht="18.75">
      <c r="A340" s="284"/>
      <c r="B340" s="33"/>
      <c r="C340" s="280"/>
      <c r="D340" s="178"/>
      <c r="E340" s="446" t="s">
        <v>152</v>
      </c>
      <c r="F340" s="33"/>
      <c r="G340" s="35"/>
      <c r="H340" s="276" t="s">
        <v>153</v>
      </c>
      <c r="I340" s="269">
        <f ca="1">IFERROR(__xludf.DUMMYFUNCTION("IMPORTRANGE(""https://docs.google.com/spreadsheets/d/1QqKyyYR6Q21VydFLVH3TRQUabQu_ym0Zz7PgGX0-kHA/edit?usp=sharing"",""แผน!EH64"")"),3)</f>
        <v>3</v>
      </c>
      <c r="J340" s="269">
        <f ca="1">IFERROR(__xludf.DUMMYFUNCTION("IMPORTRANGE(""https://docs.google.com/spreadsheets/d/1kVcqe37tkHyjCSG3S0O1AXqVkqjo8mSIZil3BcpIysc/edit?usp=sharing"",""ศูนย์!E64"")"),2)</f>
        <v>2</v>
      </c>
      <c r="K340" s="496">
        <f ca="1">IF(I340&gt;0,J340*100/I340,0)</f>
        <v>66.666666666666671</v>
      </c>
      <c r="L340" s="496"/>
      <c r="M340" s="496"/>
      <c r="N340" s="496"/>
      <c r="O340" s="496"/>
      <c r="P340" s="496"/>
    </row>
    <row r="341" spans="1:26" ht="18.75">
      <c r="A341" s="284"/>
      <c r="B341" s="33"/>
      <c r="C341" s="280"/>
      <c r="D341" s="178"/>
      <c r="E341" s="446" t="s">
        <v>154</v>
      </c>
      <c r="F341" s="33"/>
      <c r="G341" s="35"/>
      <c r="H341" s="276" t="s">
        <v>35</v>
      </c>
      <c r="I341" s="269"/>
      <c r="J341" s="269">
        <f ca="1">IFERROR(__xludf.DUMMYFUNCTION("IMPORTRANGE(""https://docs.google.com/spreadsheets/d/1kVcqe37tkHyjCSG3S0O1AXqVkqjo8mSIZil3BcpIysc/edit?usp=sharing"",""ศูนย์!F64"")"),114)</f>
        <v>114</v>
      </c>
      <c r="K341" s="496"/>
      <c r="L341" s="496"/>
      <c r="M341" s="496"/>
      <c r="N341" s="496"/>
      <c r="O341" s="496"/>
      <c r="P341" s="496"/>
    </row>
    <row r="342" spans="1:26" ht="18.75">
      <c r="A342" s="284"/>
      <c r="B342" s="33"/>
      <c r="C342" s="280"/>
      <c r="D342" s="446" t="s">
        <v>155</v>
      </c>
      <c r="E342" s="178"/>
      <c r="F342" s="178"/>
      <c r="G342" s="35"/>
      <c r="H342" s="276" t="s">
        <v>35</v>
      </c>
      <c r="I342" s="269"/>
      <c r="J342" s="269">
        <f ca="1">IFERROR(__xludf.DUMMYFUNCTION("IMPORTRANGE(""https://docs.google.com/spreadsheets/d/1kVcqe37tkHyjCSG3S0O1AXqVkqjo8mSIZil3BcpIysc/edit?usp=sharing"",""ศูนย์!G64"")"),0)</f>
        <v>0</v>
      </c>
      <c r="K342" s="496"/>
      <c r="L342" s="496"/>
      <c r="M342" s="496"/>
      <c r="N342" s="496"/>
      <c r="O342" s="496"/>
      <c r="P342" s="496"/>
    </row>
    <row r="343" spans="1:26" ht="18.75">
      <c r="A343" s="284"/>
      <c r="B343" s="33"/>
      <c r="C343" s="280"/>
      <c r="D343" s="446" t="s">
        <v>156</v>
      </c>
      <c r="E343" s="178"/>
      <c r="F343" s="178"/>
      <c r="G343" s="35"/>
      <c r="H343" s="276" t="s">
        <v>35</v>
      </c>
      <c r="I343" s="269"/>
      <c r="J343" s="269">
        <f ca="1">IFERROR(__xludf.DUMMYFUNCTION("IMPORTRANGE(""https://docs.google.com/spreadsheets/d/1kVcqe37tkHyjCSG3S0O1AXqVkqjo8mSIZil3BcpIysc/edit?usp=sharing"",""ศูนย์!H64"")"),0)</f>
        <v>0</v>
      </c>
      <c r="K343" s="496"/>
      <c r="L343" s="496"/>
      <c r="M343" s="496"/>
      <c r="N343" s="496"/>
      <c r="O343" s="496"/>
      <c r="P343" s="496"/>
    </row>
    <row r="344" spans="1:26" ht="19.5">
      <c r="A344" s="438"/>
      <c r="B344" s="439" t="s">
        <v>157</v>
      </c>
      <c r="C344" s="451"/>
      <c r="D344" s="440"/>
      <c r="E344" s="440"/>
      <c r="F344" s="440"/>
      <c r="G344" s="441"/>
      <c r="H344" s="442"/>
      <c r="I344" s="452"/>
      <c r="J344" s="452"/>
      <c r="K344" s="445"/>
      <c r="L344" s="445"/>
      <c r="M344" s="445"/>
      <c r="N344" s="445"/>
      <c r="O344" s="445"/>
      <c r="P344" s="445"/>
    </row>
    <row r="345" spans="1:26" ht="19.5">
      <c r="A345" s="147"/>
      <c r="B345" s="148"/>
      <c r="C345" s="149" t="s">
        <v>16</v>
      </c>
      <c r="D345" s="822" t="s">
        <v>17</v>
      </c>
      <c r="E345" s="148"/>
      <c r="F345" s="148"/>
      <c r="G345" s="151"/>
      <c r="H345" s="152" t="s">
        <v>12</v>
      </c>
      <c r="I345" s="419"/>
      <c r="J345" s="419"/>
      <c r="K345" s="154"/>
      <c r="L345" s="155">
        <f t="shared" ref="L345:N345" ca="1" si="154">L346+L347</f>
        <v>292110</v>
      </c>
      <c r="M345" s="155">
        <f t="shared" ca="1" si="154"/>
        <v>184060</v>
      </c>
      <c r="N345" s="155">
        <f t="shared" ca="1" si="154"/>
        <v>107451.61</v>
      </c>
      <c r="O345" s="155">
        <f t="shared" ref="O345:O353" ca="1" si="155">IF(L345&gt;0,N345*100/L345,0)</f>
        <v>36.784639348190751</v>
      </c>
      <c r="P345" s="155">
        <f t="shared" ref="P345:P353" ca="1" si="156">IF(M345&gt;0,N345*100/M345,0)</f>
        <v>58.378577637726828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2" t="s">
        <v>18</v>
      </c>
      <c r="F346" s="40"/>
      <c r="G346" s="157"/>
      <c r="H346" s="158" t="s">
        <v>12</v>
      </c>
      <c r="I346" s="610"/>
      <c r="J346" s="610"/>
      <c r="K346" s="93"/>
      <c r="L346" s="93">
        <f t="shared" ref="L346:N347" si="157">L349+L352</f>
        <v>0</v>
      </c>
      <c r="M346" s="93">
        <f t="shared" si="157"/>
        <v>0</v>
      </c>
      <c r="N346" s="93">
        <f t="shared" si="157"/>
        <v>0</v>
      </c>
      <c r="O346" s="93">
        <f t="shared" si="155"/>
        <v>0</v>
      </c>
      <c r="P346" s="93">
        <f t="shared" si="156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2" t="s">
        <v>19</v>
      </c>
      <c r="F347" s="40"/>
      <c r="G347" s="157"/>
      <c r="H347" s="158" t="s">
        <v>12</v>
      </c>
      <c r="I347" s="610"/>
      <c r="J347" s="610"/>
      <c r="K347" s="93"/>
      <c r="L347" s="93">
        <f t="shared" ca="1" si="157"/>
        <v>292110</v>
      </c>
      <c r="M347" s="93">
        <f t="shared" ca="1" si="157"/>
        <v>184060</v>
      </c>
      <c r="N347" s="93">
        <f t="shared" ca="1" si="157"/>
        <v>107451.61</v>
      </c>
      <c r="O347" s="93">
        <f t="shared" ca="1" si="155"/>
        <v>36.784639348190751</v>
      </c>
      <c r="P347" s="93">
        <f t="shared" ca="1" si="156"/>
        <v>58.378577637726828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1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6">
        <f t="shared" ref="L348:N348" ca="1" si="158">L349+L350</f>
        <v>216110</v>
      </c>
      <c r="M348" s="496">
        <f t="shared" ca="1" si="158"/>
        <v>108060</v>
      </c>
      <c r="N348" s="496">
        <f t="shared" ca="1" si="158"/>
        <v>31451.61</v>
      </c>
      <c r="O348" s="496">
        <f t="shared" ca="1" si="155"/>
        <v>14.553519041229004</v>
      </c>
      <c r="P348" s="496">
        <f t="shared" ca="1" si="156"/>
        <v>29.105691282620768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2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5"/>
        <v>0</v>
      </c>
      <c r="P349" s="93">
        <f t="shared" si="156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2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IFERROR(__xludf.DUMMYFUNCTION("IMPORTRANGE(""https://docs.google.com/spreadsheets/d/1MeEWN-I1oV_STSDYn1IFDPWt_1FKiwhDph83XaGc0o0/edit?usp=sharing"",""งบพรบ!EW64"")"),216110)</f>
        <v>216110</v>
      </c>
      <c r="M350" s="93">
        <f ca="1">IFERROR(__xludf.DUMMYFUNCTION("IMPORTRANGE(""https://docs.google.com/spreadsheets/d/1MeEWN-I1oV_STSDYn1IFDPWt_1FKiwhDph83XaGc0o0/edit?usp=sharing"",""งบพรบ!FB64"")"),108060)</f>
        <v>108060</v>
      </c>
      <c r="N350" s="93">
        <f ca="1">IFERROR(__xludf.DUMMYFUNCTION("IMPORTRANGE(""https://docs.google.com/spreadsheets/d/1MeEWN-I1oV_STSDYn1IFDPWt_1FKiwhDph83XaGc0o0/edit?usp=sharing"",""งบพรบ!FD64"")"),31451.61)</f>
        <v>31451.61</v>
      </c>
      <c r="O350" s="93">
        <f t="shared" ca="1" si="155"/>
        <v>14.553519041229004</v>
      </c>
      <c r="P350" s="93">
        <f t="shared" ca="1" si="156"/>
        <v>29.105691282620768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1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6">
        <f t="shared" ref="L351:N351" ca="1" si="159">L352+L353</f>
        <v>76000</v>
      </c>
      <c r="M351" s="496">
        <f t="shared" ca="1" si="159"/>
        <v>76000</v>
      </c>
      <c r="N351" s="496">
        <f t="shared" ca="1" si="159"/>
        <v>76000</v>
      </c>
      <c r="O351" s="496">
        <f t="shared" ca="1" si="155"/>
        <v>100</v>
      </c>
      <c r="P351" s="496">
        <f t="shared" ca="1" si="156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2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5"/>
        <v>0</v>
      </c>
      <c r="P352" s="93">
        <f t="shared" si="156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2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IFERROR(__xludf.DUMMYFUNCTION("IMPORTRANGE(""https://docs.google.com/spreadsheets/d/1MeEWN-I1oV_STSDYn1IFDPWt_1FKiwhDph83XaGc0o0/edit?usp=sharing"",""งบพรบ!EZ64"")"),76000)</f>
        <v>76000</v>
      </c>
      <c r="M353" s="93">
        <f ca="1">IFERROR(__xludf.DUMMYFUNCTION("IMPORTRANGE(""https://docs.google.com/spreadsheets/d/1MeEWN-I1oV_STSDYn1IFDPWt_1FKiwhDph83XaGc0o0/edit?usp=sharing"",""งบพรบ!FC64"")"),76000)</f>
        <v>76000</v>
      </c>
      <c r="N353" s="93">
        <f ca="1">IFERROR(__xludf.DUMMYFUNCTION("IMPORTRANGE(""https://docs.google.com/spreadsheets/d/1MeEWN-I1oV_STSDYn1IFDPWt_1FKiwhDph83XaGc0o0/edit?usp=sharing"",""งบพรบ!FE64"")"),76000)</f>
        <v>76000</v>
      </c>
      <c r="O353" s="93">
        <f t="shared" ca="1" si="155"/>
        <v>100</v>
      </c>
      <c r="P353" s="93">
        <f t="shared" ca="1" si="156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 hidden="1">
      <c r="A354" s="255"/>
      <c r="B354" s="263"/>
      <c r="C354" s="256"/>
      <c r="D354" s="832" t="s">
        <v>158</v>
      </c>
      <c r="E354" s="256"/>
      <c r="F354" s="256"/>
      <c r="G354" s="258"/>
      <c r="H354" s="454"/>
      <c r="I354" s="260"/>
      <c r="J354" s="260"/>
      <c r="K354" s="261"/>
      <c r="L354" s="261"/>
      <c r="M354" s="261"/>
      <c r="N354" s="261"/>
      <c r="O354" s="261"/>
      <c r="P354" s="261"/>
    </row>
    <row r="355" spans="1:26" ht="19.5" hidden="1">
      <c r="A355" s="455"/>
      <c r="B355" s="456"/>
      <c r="C355" s="457"/>
      <c r="D355" s="833" t="s">
        <v>159</v>
      </c>
      <c r="E355" s="459"/>
      <c r="F355" s="459"/>
      <c r="G355" s="460"/>
      <c r="H355" s="461" t="s">
        <v>35</v>
      </c>
      <c r="I355" s="463">
        <f ca="1">IFERROR(__xludf.DUMMYFUNCTION("IMPORTRANGE(""https://docs.google.com/spreadsheets/d/1QqKyyYR6Q21VydFLVH3TRQUabQu_ym0Zz7PgGX0-kHA/edit?usp=sharing"",""แผน!EP64"")"),0)</f>
        <v>0</v>
      </c>
      <c r="J355" s="463">
        <f ca="1">J362</f>
        <v>0</v>
      </c>
      <c r="K355" s="464">
        <f ca="1">IF(I355&gt;0,J355*100/I355,0)</f>
        <v>0</v>
      </c>
      <c r="L355" s="465"/>
      <c r="M355" s="465"/>
      <c r="N355" s="465"/>
      <c r="O355" s="465"/>
      <c r="P355" s="465"/>
    </row>
    <row r="356" spans="1:26" ht="19.5" hidden="1">
      <c r="A356" s="455"/>
      <c r="B356" s="456"/>
      <c r="C356" s="457"/>
      <c r="D356" s="466" t="s">
        <v>160</v>
      </c>
      <c r="E356" s="459"/>
      <c r="F356" s="459"/>
      <c r="G356" s="460"/>
      <c r="H356" s="467"/>
      <c r="I356" s="468"/>
      <c r="J356" s="468"/>
      <c r="K356" s="465"/>
      <c r="L356" s="465"/>
      <c r="M356" s="465"/>
      <c r="N356" s="465"/>
      <c r="O356" s="465"/>
      <c r="P356" s="465"/>
    </row>
    <row r="357" spans="1:26" ht="19.5" hidden="1">
      <c r="A357" s="170"/>
      <c r="B357" s="171"/>
      <c r="C357" s="164" t="s">
        <v>16</v>
      </c>
      <c r="D357" s="823" t="s">
        <v>38</v>
      </c>
      <c r="E357" s="173"/>
      <c r="F357" s="173"/>
      <c r="G357" s="174"/>
      <c r="H357" s="753"/>
      <c r="I357" s="269"/>
      <c r="J357" s="269"/>
      <c r="K357" s="496"/>
      <c r="L357" s="163"/>
      <c r="M357" s="163"/>
      <c r="N357" s="163"/>
      <c r="O357" s="163"/>
      <c r="P357" s="163"/>
    </row>
    <row r="358" spans="1:26" ht="18.75" hidden="1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69">
        <v>0</v>
      </c>
      <c r="J358" s="269">
        <f ca="1">IFERROR(__xludf.DUMMYFUNCTION("IMPORTRANGE(""https://docs.google.com/spreadsheets/d/1XWAQStnk-4SwqDmLtmXYiTMKHgktTP8We1SCoS47DrQ/edit?usp=sharing"",""จัดที่ดิน!W64"")"),0)</f>
        <v>0</v>
      </c>
      <c r="K358" s="496">
        <f t="shared" ref="K358:K365" si="160">IF(I358&gt;0,J358*100/I358,0)</f>
        <v>0</v>
      </c>
      <c r="L358" s="163"/>
      <c r="M358" s="163"/>
      <c r="N358" s="163"/>
      <c r="O358" s="163"/>
      <c r="P358" s="163"/>
    </row>
    <row r="359" spans="1:26" ht="18.75" hidden="1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69">
        <f ca="1">IFERROR(__xludf.DUMMYFUNCTION("IMPORTRANGE(""https://docs.google.com/spreadsheets/d/1QqKyyYR6Q21VydFLVH3TRQUabQu_ym0Zz7PgGX0-kHA/edit?usp=sharing"",""แผน!EO64"")"),0)</f>
        <v>0</v>
      </c>
      <c r="J359" s="269">
        <f ca="1">IFERROR(__xludf.DUMMYFUNCTION("IMPORTRANGE(""https://docs.google.com/spreadsheets/d/1XWAQStnk-4SwqDmLtmXYiTMKHgktTP8We1SCoS47DrQ/edit?usp=sharing"",""จัดที่ดิน!X64"")"),0)</f>
        <v>0</v>
      </c>
      <c r="K359" s="496">
        <f t="shared" ca="1" si="160"/>
        <v>0</v>
      </c>
      <c r="L359" s="163"/>
      <c r="M359" s="163"/>
      <c r="N359" s="163"/>
      <c r="O359" s="163"/>
      <c r="P359" s="163"/>
    </row>
    <row r="360" spans="1:26" ht="18.75" hidden="1">
      <c r="A360" s="170"/>
      <c r="B360" s="178"/>
      <c r="C360" s="171"/>
      <c r="D360" s="178"/>
      <c r="E360" s="176" t="s">
        <v>162</v>
      </c>
      <c r="F360" s="178"/>
      <c r="G360" s="179"/>
      <c r="H360" s="755" t="s">
        <v>35</v>
      </c>
      <c r="I360" s="269">
        <f ca="1">IFERROR(__xludf.DUMMYFUNCTION("IMPORTRANGE(""https://docs.google.com/spreadsheets/d/1QqKyyYR6Q21VydFLVH3TRQUabQu_ym0Zz7PgGX0-kHA/edit?usp=sharing"",""แผน!EP64"")"),0)</f>
        <v>0</v>
      </c>
      <c r="J360" s="269">
        <f ca="1">IFERROR(__xludf.DUMMYFUNCTION("IMPORTRANGE(""https://docs.google.com/spreadsheets/d/1XWAQStnk-4SwqDmLtmXYiTMKHgktTP8We1SCoS47DrQ/edit?usp=sharing"",""จัดที่ดิน!Y64"")"),0)</f>
        <v>0</v>
      </c>
      <c r="K360" s="496">
        <f t="shared" ca="1" si="160"/>
        <v>0</v>
      </c>
      <c r="L360" s="163"/>
      <c r="M360" s="163"/>
      <c r="N360" s="163"/>
      <c r="O360" s="163"/>
      <c r="P360" s="163"/>
    </row>
    <row r="361" spans="1:26" ht="18.75" hidden="1">
      <c r="A361" s="170"/>
      <c r="B361" s="178"/>
      <c r="C361" s="171"/>
      <c r="D361" s="178"/>
      <c r="E361" s="178"/>
      <c r="F361" s="178"/>
      <c r="G361" s="179"/>
      <c r="H361" s="755" t="s">
        <v>46</v>
      </c>
      <c r="I361" s="269">
        <v>0</v>
      </c>
      <c r="J361" s="269">
        <f ca="1">IFERROR(__xludf.DUMMYFUNCTION("IMPORTRANGE(""https://docs.google.com/spreadsheets/d/1XWAQStnk-4SwqDmLtmXYiTMKHgktTP8We1SCoS47DrQ/edit?usp=sharing"",""จัดที่ดิน!Z64"")"),0)</f>
        <v>0</v>
      </c>
      <c r="K361" s="496">
        <f t="shared" si="160"/>
        <v>0</v>
      </c>
      <c r="L361" s="163"/>
      <c r="M361" s="163"/>
      <c r="N361" s="163"/>
      <c r="O361" s="163"/>
      <c r="P361" s="163"/>
    </row>
    <row r="362" spans="1:26" ht="18.75" hidden="1">
      <c r="A362" s="170"/>
      <c r="B362" s="178"/>
      <c r="C362" s="171"/>
      <c r="D362" s="178"/>
      <c r="E362" s="176" t="s">
        <v>163</v>
      </c>
      <c r="F362" s="178"/>
      <c r="G362" s="179"/>
      <c r="H362" s="755" t="s">
        <v>35</v>
      </c>
      <c r="I362" s="269">
        <f ca="1">IFERROR(__xludf.DUMMYFUNCTION("IMPORTRANGE(""https://docs.google.com/spreadsheets/d/1QqKyyYR6Q21VydFLVH3TRQUabQu_ym0Zz7PgGX0-kHA/edit?usp=sharing"",""แผน!EP64"")"),0)</f>
        <v>0</v>
      </c>
      <c r="J362" s="269">
        <f ca="1">IFERROR(__xludf.DUMMYFUNCTION("IMPORTRANGE(""https://docs.google.com/spreadsheets/d/1XWAQStnk-4SwqDmLtmXYiTMKHgktTP8We1SCoS47DrQ/edit?usp=sharing"",""จัดที่ดิน!AA64"")"),0)</f>
        <v>0</v>
      </c>
      <c r="K362" s="496">
        <f t="shared" ca="1" si="160"/>
        <v>0</v>
      </c>
      <c r="L362" s="163"/>
      <c r="M362" s="163"/>
      <c r="N362" s="163"/>
      <c r="O362" s="163"/>
      <c r="P362" s="163"/>
    </row>
    <row r="363" spans="1:26" ht="18.75" hidden="1">
      <c r="A363" s="469" t="s">
        <v>164</v>
      </c>
      <c r="B363" s="178"/>
      <c r="C363" s="171"/>
      <c r="D363" s="178"/>
      <c r="E363" s="446"/>
      <c r="F363" s="178"/>
      <c r="G363" s="179"/>
      <c r="H363" s="755" t="s">
        <v>46</v>
      </c>
      <c r="I363" s="269">
        <v>0</v>
      </c>
      <c r="J363" s="269">
        <f ca="1">IFERROR(__xludf.DUMMYFUNCTION("IMPORTRANGE(""https://docs.google.com/spreadsheets/d/1XWAQStnk-4SwqDmLtmXYiTMKHgktTP8We1SCoS47DrQ/edit?usp=sharing"",""จัดที่ดิน!AB64"")"),0)</f>
        <v>0</v>
      </c>
      <c r="K363" s="496">
        <f t="shared" si="160"/>
        <v>0</v>
      </c>
      <c r="L363" s="163"/>
      <c r="M363" s="163"/>
      <c r="N363" s="163"/>
      <c r="O363" s="163"/>
      <c r="P363" s="163"/>
    </row>
    <row r="364" spans="1:26" ht="19.5" hidden="1">
      <c r="A364" s="470"/>
      <c r="B364" s="471"/>
      <c r="C364" s="472"/>
      <c r="D364" s="473" t="s">
        <v>165</v>
      </c>
      <c r="E364" s="474"/>
      <c r="F364" s="474"/>
      <c r="G364" s="475"/>
      <c r="H364" s="476" t="s">
        <v>35</v>
      </c>
      <c r="I364" s="477">
        <f t="shared" ref="I364:J364" ca="1" si="161">I365+I374</f>
        <v>0</v>
      </c>
      <c r="J364" s="477">
        <f t="shared" ca="1" si="161"/>
        <v>0</v>
      </c>
      <c r="K364" s="478">
        <f t="shared" ca="1" si="160"/>
        <v>0</v>
      </c>
      <c r="L364" s="479"/>
      <c r="M364" s="479"/>
      <c r="N364" s="479"/>
      <c r="O364" s="479"/>
      <c r="P364" s="479"/>
      <c r="Q364" s="480"/>
      <c r="R364" s="480"/>
      <c r="S364" s="480"/>
      <c r="T364" s="480"/>
      <c r="U364" s="480"/>
      <c r="V364" s="480"/>
      <c r="W364" s="480"/>
      <c r="X364" s="480"/>
      <c r="Y364" s="480"/>
      <c r="Z364" s="480"/>
    </row>
    <row r="365" spans="1:26" ht="19.5" hidden="1">
      <c r="A365" s="481"/>
      <c r="B365" s="482"/>
      <c r="C365" s="484"/>
      <c r="D365" s="484" t="s">
        <v>166</v>
      </c>
      <c r="E365" s="485"/>
      <c r="F365" s="485"/>
      <c r="G365" s="486"/>
      <c r="H365" s="487" t="s">
        <v>35</v>
      </c>
      <c r="I365" s="489">
        <f ca="1">IFERROR(__xludf.DUMMYFUNCTION("IMPORTRANGE(""https://docs.google.com/spreadsheets/d/1QqKyyYR6Q21VydFLVH3TRQUabQu_ym0Zz7PgGX0-kHA/edit?usp=sharing"",""แผน!EJ64"")"),0)</f>
        <v>0</v>
      </c>
      <c r="J365" s="489">
        <f ca="1">J372</f>
        <v>0</v>
      </c>
      <c r="K365" s="490">
        <f t="shared" ca="1" si="160"/>
        <v>0</v>
      </c>
      <c r="L365" s="491"/>
      <c r="M365" s="491"/>
      <c r="N365" s="491"/>
      <c r="O365" s="491"/>
      <c r="P365" s="491"/>
      <c r="Q365" s="480"/>
      <c r="R365" s="480"/>
      <c r="S365" s="480"/>
      <c r="T365" s="480"/>
      <c r="U365" s="480"/>
      <c r="V365" s="480"/>
      <c r="W365" s="480"/>
      <c r="X365" s="480"/>
      <c r="Y365" s="480"/>
      <c r="Z365" s="480"/>
    </row>
    <row r="366" spans="1:26" ht="19.5" hidden="1">
      <c r="A366" s="481"/>
      <c r="B366" s="482"/>
      <c r="C366" s="484"/>
      <c r="D366" s="492" t="s">
        <v>167</v>
      </c>
      <c r="E366" s="485"/>
      <c r="F366" s="485"/>
      <c r="G366" s="486"/>
      <c r="H366" s="493"/>
      <c r="I366" s="494"/>
      <c r="J366" s="494"/>
      <c r="K366" s="491"/>
      <c r="L366" s="491"/>
      <c r="M366" s="491"/>
      <c r="N366" s="491"/>
      <c r="O366" s="491"/>
      <c r="P366" s="491"/>
      <c r="Q366" s="480"/>
      <c r="R366" s="480"/>
      <c r="S366" s="480"/>
      <c r="T366" s="480"/>
      <c r="U366" s="480"/>
      <c r="V366" s="480"/>
      <c r="W366" s="480"/>
      <c r="X366" s="480"/>
      <c r="Y366" s="480"/>
      <c r="Z366" s="480"/>
    </row>
    <row r="367" spans="1:26" ht="19.5" hidden="1">
      <c r="A367" s="170"/>
      <c r="B367" s="171"/>
      <c r="C367" s="164" t="s">
        <v>16</v>
      </c>
      <c r="D367" s="823" t="s">
        <v>38</v>
      </c>
      <c r="E367" s="173"/>
      <c r="F367" s="173"/>
      <c r="G367" s="174"/>
      <c r="H367" s="753"/>
      <c r="I367" s="269"/>
      <c r="J367" s="269"/>
      <c r="K367" s="496"/>
      <c r="L367" s="163"/>
      <c r="M367" s="163"/>
      <c r="N367" s="163"/>
      <c r="O367" s="163"/>
      <c r="P367" s="163"/>
    </row>
    <row r="368" spans="1:26" ht="18.75" hidden="1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69">
        <v>0</v>
      </c>
      <c r="J368" s="269">
        <f ca="1">IFERROR(__xludf.DUMMYFUNCTION("IMPORTRANGE(""https://docs.google.com/spreadsheets/d/1XWAQStnk-4SwqDmLtmXYiTMKHgktTP8We1SCoS47DrQ/edit?usp=sharing"",""จัดที่ดิน!E64"")"),0)</f>
        <v>0</v>
      </c>
      <c r="K368" s="496">
        <f t="shared" ref="K368:K374" si="162">IF(I368&gt;0,J368*100/I368,0)</f>
        <v>0</v>
      </c>
      <c r="L368" s="163"/>
      <c r="M368" s="163"/>
      <c r="N368" s="163"/>
      <c r="O368" s="163"/>
      <c r="P368" s="163"/>
    </row>
    <row r="369" spans="1:26" ht="18.75" hidden="1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69">
        <f ca="1">IFERROR(__xludf.DUMMYFUNCTION("IMPORTRANGE(""https://docs.google.com/spreadsheets/d/1QqKyyYR6Q21VydFLVH3TRQUabQu_ym0Zz7PgGX0-kHA/edit?usp=sharing"",""แผน!EI64"")"),0)</f>
        <v>0</v>
      </c>
      <c r="J369" s="269">
        <f ca="1">IFERROR(__xludf.DUMMYFUNCTION("IMPORTRANGE(""https://docs.google.com/spreadsheets/d/1XWAQStnk-4SwqDmLtmXYiTMKHgktTP8We1SCoS47DrQ/edit?usp=sharing"",""จัดที่ดิน!F64"")"),0)</f>
        <v>0</v>
      </c>
      <c r="K369" s="496">
        <f t="shared" ca="1" si="162"/>
        <v>0</v>
      </c>
      <c r="L369" s="163"/>
      <c r="M369" s="163"/>
      <c r="N369" s="163"/>
      <c r="O369" s="163"/>
      <c r="P369" s="163"/>
    </row>
    <row r="370" spans="1:26" ht="18.75" hidden="1">
      <c r="A370" s="170"/>
      <c r="B370" s="178"/>
      <c r="C370" s="171"/>
      <c r="D370" s="178"/>
      <c r="E370" s="176" t="s">
        <v>162</v>
      </c>
      <c r="F370" s="178"/>
      <c r="G370" s="179"/>
      <c r="H370" s="755" t="s">
        <v>35</v>
      </c>
      <c r="I370" s="269">
        <f ca="1">IFERROR(__xludf.DUMMYFUNCTION("IMPORTRANGE(""https://docs.google.com/spreadsheets/d/1QqKyyYR6Q21VydFLVH3TRQUabQu_ym0Zz7PgGX0-kHA/edit?usp=sharing"",""แผน!EJ64"")"),0)</f>
        <v>0</v>
      </c>
      <c r="J370" s="269">
        <f ca="1">IFERROR(__xludf.DUMMYFUNCTION("IMPORTRANGE(""https://docs.google.com/spreadsheets/d/1XWAQStnk-4SwqDmLtmXYiTMKHgktTP8We1SCoS47DrQ/edit?usp=sharing"",""จัดที่ดิน!G64"")"),0)</f>
        <v>0</v>
      </c>
      <c r="K370" s="496">
        <f t="shared" ca="1" si="162"/>
        <v>0</v>
      </c>
      <c r="L370" s="163"/>
      <c r="M370" s="163"/>
      <c r="N370" s="163"/>
      <c r="O370" s="163"/>
      <c r="P370" s="163"/>
    </row>
    <row r="371" spans="1:26" ht="18.75" hidden="1">
      <c r="A371" s="170"/>
      <c r="B371" s="178"/>
      <c r="C371" s="171"/>
      <c r="D371" s="178"/>
      <c r="E371" s="178"/>
      <c r="F371" s="178"/>
      <c r="G371" s="179"/>
      <c r="H371" s="755" t="s">
        <v>46</v>
      </c>
      <c r="I371" s="269">
        <v>0</v>
      </c>
      <c r="J371" s="269">
        <f ca="1">IFERROR(__xludf.DUMMYFUNCTION("IMPORTRANGE(""https://docs.google.com/spreadsheets/d/1XWAQStnk-4SwqDmLtmXYiTMKHgktTP8We1SCoS47DrQ/edit?usp=sharing"",""จัดที่ดิน!H64"")"),0)</f>
        <v>0</v>
      </c>
      <c r="K371" s="496">
        <f t="shared" si="162"/>
        <v>0</v>
      </c>
      <c r="L371" s="163"/>
      <c r="M371" s="163"/>
      <c r="N371" s="163"/>
      <c r="O371" s="163"/>
      <c r="P371" s="163"/>
    </row>
    <row r="372" spans="1:26" ht="18.75" hidden="1">
      <c r="A372" s="170"/>
      <c r="B372" s="178"/>
      <c r="C372" s="171"/>
      <c r="D372" s="178"/>
      <c r="E372" s="176" t="s">
        <v>163</v>
      </c>
      <c r="F372" s="178"/>
      <c r="G372" s="179"/>
      <c r="H372" s="755" t="s">
        <v>35</v>
      </c>
      <c r="I372" s="269">
        <f ca="1">IFERROR(__xludf.DUMMYFUNCTION("IMPORTRANGE(""https://docs.google.com/spreadsheets/d/1QqKyyYR6Q21VydFLVH3TRQUabQu_ym0Zz7PgGX0-kHA/edit?usp=sharing"",""แผน!EJ64"")"),0)</f>
        <v>0</v>
      </c>
      <c r="J372" s="269">
        <f ca="1">IFERROR(__xludf.DUMMYFUNCTION("IMPORTRANGE(""https://docs.google.com/spreadsheets/d/1XWAQStnk-4SwqDmLtmXYiTMKHgktTP8We1SCoS47DrQ/edit?usp=sharing"",""จัดที่ดิน!I64"")"),0)</f>
        <v>0</v>
      </c>
      <c r="K372" s="496">
        <f t="shared" ca="1" si="162"/>
        <v>0</v>
      </c>
      <c r="L372" s="163"/>
      <c r="M372" s="163"/>
      <c r="N372" s="163"/>
      <c r="O372" s="163"/>
      <c r="P372" s="163"/>
    </row>
    <row r="373" spans="1:26" ht="18.75" hidden="1">
      <c r="A373" s="469" t="s">
        <v>164</v>
      </c>
      <c r="B373" s="178"/>
      <c r="C373" s="171"/>
      <c r="D373" s="178"/>
      <c r="E373" s="446"/>
      <c r="F373" s="178"/>
      <c r="G373" s="179"/>
      <c r="H373" s="755" t="s">
        <v>46</v>
      </c>
      <c r="I373" s="269">
        <v>0</v>
      </c>
      <c r="J373" s="269">
        <f ca="1">IFERROR(__xludf.DUMMYFUNCTION("IMPORTRANGE(""https://docs.google.com/spreadsheets/d/1XWAQStnk-4SwqDmLtmXYiTMKHgktTP8We1SCoS47DrQ/edit?usp=sharing"",""จัดที่ดิน!J64"")"),0)</f>
        <v>0</v>
      </c>
      <c r="K373" s="496">
        <f t="shared" si="162"/>
        <v>0</v>
      </c>
      <c r="L373" s="163"/>
      <c r="M373" s="163"/>
      <c r="N373" s="163"/>
      <c r="O373" s="163"/>
      <c r="P373" s="163"/>
    </row>
    <row r="374" spans="1:26" ht="19.5" hidden="1">
      <c r="A374" s="481"/>
      <c r="B374" s="482"/>
      <c r="C374" s="484"/>
      <c r="D374" s="484" t="s">
        <v>168</v>
      </c>
      <c r="E374" s="485"/>
      <c r="F374" s="485"/>
      <c r="G374" s="486"/>
      <c r="H374" s="487" t="s">
        <v>35</v>
      </c>
      <c r="I374" s="495">
        <f ca="1">IFERROR(__xludf.DUMMYFUNCTION("IMPORTRANGE(""https://docs.google.com/spreadsheets/d/1QqKyyYR6Q21VydFLVH3TRQUabQu_ym0Zz7PgGX0-kHA/edit?usp=sharing"",""แผน!EU64"")"),0)</f>
        <v>0</v>
      </c>
      <c r="J374" s="489">
        <f ca="1">J381</f>
        <v>0</v>
      </c>
      <c r="K374" s="490">
        <f t="shared" ca="1" si="162"/>
        <v>0</v>
      </c>
      <c r="L374" s="491"/>
      <c r="M374" s="491"/>
      <c r="N374" s="491"/>
      <c r="O374" s="491"/>
      <c r="P374" s="491"/>
      <c r="Q374" s="480"/>
      <c r="R374" s="480"/>
      <c r="S374" s="480"/>
      <c r="T374" s="480"/>
      <c r="U374" s="480"/>
      <c r="V374" s="480"/>
      <c r="W374" s="480"/>
      <c r="X374" s="480"/>
      <c r="Y374" s="480"/>
      <c r="Z374" s="480"/>
    </row>
    <row r="375" spans="1:26" ht="19.5" hidden="1">
      <c r="A375" s="481"/>
      <c r="B375" s="482"/>
      <c r="C375" s="484"/>
      <c r="D375" s="492" t="s">
        <v>169</v>
      </c>
      <c r="E375" s="485"/>
      <c r="F375" s="485"/>
      <c r="G375" s="486"/>
      <c r="H375" s="493"/>
      <c r="I375" s="494"/>
      <c r="J375" s="494"/>
      <c r="K375" s="491"/>
      <c r="L375" s="491"/>
      <c r="M375" s="491"/>
      <c r="N375" s="491"/>
      <c r="O375" s="491"/>
      <c r="P375" s="491"/>
      <c r="Q375" s="480"/>
      <c r="R375" s="480"/>
      <c r="S375" s="480"/>
      <c r="T375" s="480"/>
      <c r="U375" s="480"/>
      <c r="V375" s="480"/>
      <c r="W375" s="480"/>
      <c r="X375" s="480"/>
      <c r="Y375" s="480"/>
      <c r="Z375" s="480"/>
    </row>
    <row r="376" spans="1:26" ht="19.5" hidden="1">
      <c r="A376" s="170"/>
      <c r="B376" s="171"/>
      <c r="C376" s="164" t="s">
        <v>16</v>
      </c>
      <c r="D376" s="823" t="s">
        <v>38</v>
      </c>
      <c r="E376" s="173"/>
      <c r="F376" s="173"/>
      <c r="G376" s="174"/>
      <c r="H376" s="753"/>
      <c r="I376" s="269"/>
      <c r="J376" s="269"/>
      <c r="K376" s="496"/>
      <c r="L376" s="163"/>
      <c r="M376" s="163"/>
      <c r="N376" s="163"/>
      <c r="O376" s="163"/>
      <c r="P376" s="163"/>
    </row>
    <row r="377" spans="1:26" ht="18.75" hidden="1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69">
        <v>0</v>
      </c>
      <c r="J377" s="269">
        <f ca="1">IFERROR(__xludf.DUMMYFUNCTION("IMPORTRANGE(""https://docs.google.com/spreadsheets/d/1XWAQStnk-4SwqDmLtmXYiTMKHgktTP8We1SCoS47DrQ/edit?usp=sharing"",""จัดที่ดิน!AH64"")"),0)</f>
        <v>0</v>
      </c>
      <c r="K377" s="496">
        <f t="shared" ref="K377:K382" si="163">IF(I377&gt;0,J377*100/I377,0)</f>
        <v>0</v>
      </c>
      <c r="L377" s="163"/>
      <c r="M377" s="163"/>
      <c r="N377" s="163"/>
      <c r="O377" s="163"/>
      <c r="P377" s="163"/>
    </row>
    <row r="378" spans="1:26" ht="18.75" hidden="1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69">
        <f ca="1">IFERROR(__xludf.DUMMYFUNCTION("IMPORTRANGE(""https://docs.google.com/spreadsheets/d/1QqKyyYR6Q21VydFLVH3TRQUabQu_ym0Zz7PgGX0-kHA/edit?usp=sharing"",""แผน!ET64"")"),0)</f>
        <v>0</v>
      </c>
      <c r="J378" s="269">
        <f ca="1">IFERROR(__xludf.DUMMYFUNCTION("IMPORTRANGE(""https://docs.google.com/spreadsheets/d/1XWAQStnk-4SwqDmLtmXYiTMKHgktTP8We1SCoS47DrQ/edit?usp=sharing"",""จัดที่ดิน!AI64"")"),0)</f>
        <v>0</v>
      </c>
      <c r="K378" s="496">
        <f t="shared" ca="1" si="163"/>
        <v>0</v>
      </c>
      <c r="L378" s="163"/>
      <c r="M378" s="163"/>
      <c r="N378" s="163"/>
      <c r="O378" s="163"/>
      <c r="P378" s="163"/>
    </row>
    <row r="379" spans="1:26" ht="18.75" hidden="1">
      <c r="A379" s="170"/>
      <c r="B379" s="178"/>
      <c r="C379" s="171"/>
      <c r="D379" s="178"/>
      <c r="E379" s="176" t="s">
        <v>162</v>
      </c>
      <c r="F379" s="178"/>
      <c r="G379" s="179"/>
      <c r="H379" s="755" t="s">
        <v>35</v>
      </c>
      <c r="I379" s="269">
        <f ca="1">IFERROR(__xludf.DUMMYFUNCTION("IMPORTRANGE(""https://docs.google.com/spreadsheets/d/1QqKyyYR6Q21VydFLVH3TRQUabQu_ym0Zz7PgGX0-kHA/edit?usp=sharing"",""แผน!EU64"")"),0)</f>
        <v>0</v>
      </c>
      <c r="J379" s="269">
        <f ca="1">IFERROR(__xludf.DUMMYFUNCTION("IMPORTRANGE(""https://docs.google.com/spreadsheets/d/1XWAQStnk-4SwqDmLtmXYiTMKHgktTP8We1SCoS47DrQ/edit?usp=sharing"",""จัดที่ดิน!AJ64"")"),0)</f>
        <v>0</v>
      </c>
      <c r="K379" s="496">
        <f t="shared" ca="1" si="163"/>
        <v>0</v>
      </c>
      <c r="L379" s="163"/>
      <c r="M379" s="163"/>
      <c r="N379" s="163"/>
      <c r="O379" s="163"/>
      <c r="P379" s="163"/>
    </row>
    <row r="380" spans="1:26" ht="18.75" hidden="1">
      <c r="A380" s="170"/>
      <c r="B380" s="178"/>
      <c r="C380" s="171"/>
      <c r="D380" s="178"/>
      <c r="E380" s="178"/>
      <c r="F380" s="178"/>
      <c r="G380" s="179"/>
      <c r="H380" s="755" t="s">
        <v>46</v>
      </c>
      <c r="I380" s="269">
        <v>0</v>
      </c>
      <c r="J380" s="269">
        <f ca="1">IFERROR(__xludf.DUMMYFUNCTION("IMPORTRANGE(""https://docs.google.com/spreadsheets/d/1XWAQStnk-4SwqDmLtmXYiTMKHgktTP8We1SCoS47DrQ/edit?usp=sharing"",""จัดที่ดิน!AK64"")"),0)</f>
        <v>0</v>
      </c>
      <c r="K380" s="496">
        <f t="shared" si="163"/>
        <v>0</v>
      </c>
      <c r="L380" s="163"/>
      <c r="M380" s="163"/>
      <c r="N380" s="163"/>
      <c r="O380" s="163"/>
      <c r="P380" s="163"/>
    </row>
    <row r="381" spans="1:26" ht="18.75" hidden="1">
      <c r="A381" s="170"/>
      <c r="B381" s="178"/>
      <c r="C381" s="171"/>
      <c r="D381" s="178"/>
      <c r="E381" s="176" t="s">
        <v>163</v>
      </c>
      <c r="F381" s="178"/>
      <c r="G381" s="179"/>
      <c r="H381" s="755" t="s">
        <v>35</v>
      </c>
      <c r="I381" s="269">
        <f ca="1">IFERROR(__xludf.DUMMYFUNCTION("IMPORTRANGE(""https://docs.google.com/spreadsheets/d/1QqKyyYR6Q21VydFLVH3TRQUabQu_ym0Zz7PgGX0-kHA/edit?usp=sharing"",""แผน!EU64"")"),0)</f>
        <v>0</v>
      </c>
      <c r="J381" s="269">
        <f ca="1">IFERROR(__xludf.DUMMYFUNCTION("IMPORTRANGE(""https://docs.google.com/spreadsheets/d/1XWAQStnk-4SwqDmLtmXYiTMKHgktTP8We1SCoS47DrQ/edit?usp=sharing"",""จัดที่ดิน!AL64"")"),0)</f>
        <v>0</v>
      </c>
      <c r="K381" s="496">
        <f t="shared" ca="1" si="163"/>
        <v>0</v>
      </c>
      <c r="L381" s="163"/>
      <c r="M381" s="163"/>
      <c r="N381" s="163"/>
      <c r="O381" s="163"/>
      <c r="P381" s="163"/>
    </row>
    <row r="382" spans="1:26" ht="18.75" hidden="1">
      <c r="A382" s="469" t="s">
        <v>164</v>
      </c>
      <c r="B382" s="178"/>
      <c r="C382" s="171"/>
      <c r="D382" s="178"/>
      <c r="E382" s="446"/>
      <c r="F382" s="178"/>
      <c r="G382" s="179"/>
      <c r="H382" s="755" t="s">
        <v>46</v>
      </c>
      <c r="I382" s="269">
        <v>0</v>
      </c>
      <c r="J382" s="269">
        <f ca="1">IFERROR(__xludf.DUMMYFUNCTION("IMPORTRANGE(""https://docs.google.com/spreadsheets/d/1XWAQStnk-4SwqDmLtmXYiTMKHgktTP8We1SCoS47DrQ/edit?usp=sharing"",""จัดที่ดิน!AM64"")"),0)</f>
        <v>0</v>
      </c>
      <c r="K382" s="496">
        <f t="shared" si="163"/>
        <v>0</v>
      </c>
      <c r="L382" s="163"/>
      <c r="M382" s="163"/>
      <c r="N382" s="163"/>
      <c r="O382" s="163"/>
      <c r="P382" s="163"/>
    </row>
    <row r="383" spans="1:26" ht="19.5">
      <c r="A383" s="255"/>
      <c r="B383" s="263"/>
      <c r="C383" s="256"/>
      <c r="D383" s="832" t="s">
        <v>170</v>
      </c>
      <c r="E383" s="256"/>
      <c r="F383" s="256"/>
      <c r="G383" s="258"/>
      <c r="H383" s="454"/>
      <c r="I383" s="260"/>
      <c r="J383" s="260"/>
      <c r="K383" s="261"/>
      <c r="L383" s="261"/>
      <c r="M383" s="261"/>
      <c r="N383" s="261"/>
      <c r="O383" s="261"/>
      <c r="P383" s="261"/>
    </row>
    <row r="384" spans="1:26" ht="19.5">
      <c r="A384" s="170"/>
      <c r="B384" s="171"/>
      <c r="C384" s="33" t="s">
        <v>16</v>
      </c>
      <c r="D384" s="823" t="s">
        <v>38</v>
      </c>
      <c r="E384" s="173"/>
      <c r="F384" s="173"/>
      <c r="G384" s="174"/>
      <c r="H384" s="753"/>
      <c r="I384" s="269"/>
      <c r="J384" s="269"/>
      <c r="K384" s="496"/>
      <c r="L384" s="163"/>
      <c r="M384" s="163"/>
      <c r="N384" s="163"/>
      <c r="O384" s="163"/>
      <c r="P384" s="163"/>
    </row>
    <row r="385" spans="1:26" ht="18.75">
      <c r="A385" s="377"/>
      <c r="B385" s="380"/>
      <c r="C385" s="378"/>
      <c r="D385" s="380"/>
      <c r="E385" s="497" t="s">
        <v>163</v>
      </c>
      <c r="F385" s="380"/>
      <c r="G385" s="381"/>
      <c r="H385" s="498" t="s">
        <v>35</v>
      </c>
      <c r="I385" s="499">
        <f ca="1">IFERROR(__xludf.DUMMYFUNCTION("IMPORTRANGE(""https://docs.google.com/spreadsheets/d/1QqKyyYR6Q21VydFLVH3TRQUabQu_ym0Zz7PgGX0-kHA/edit?usp=sharing"",""แผน!EW64"")"),25)</f>
        <v>25</v>
      </c>
      <c r="J385" s="499">
        <f ca="1">IFERROR(__xludf.DUMMYFUNCTION("IMPORTRANGE(""https://docs.google.com/spreadsheets/d/1XWAQStnk-4SwqDmLtmXYiTMKHgktTP8We1SCoS47DrQ/edit?usp=sharing"",""จัดที่ดิน!AP64"")"),0)</f>
        <v>0</v>
      </c>
      <c r="K385" s="500">
        <f ca="1">IF(I385&gt;0,J385*100/I385,0)</f>
        <v>0</v>
      </c>
      <c r="L385" s="384"/>
      <c r="M385" s="384"/>
      <c r="N385" s="384"/>
      <c r="O385" s="384"/>
      <c r="P385" s="384"/>
    </row>
    <row r="386" spans="1:26" ht="19.5" hidden="1">
      <c r="A386" s="501" t="s">
        <v>171</v>
      </c>
      <c r="B386" s="502"/>
      <c r="C386" s="502"/>
      <c r="D386" s="502"/>
      <c r="E386" s="503"/>
      <c r="F386" s="503"/>
      <c r="G386" s="504"/>
      <c r="H386" s="505"/>
      <c r="I386" s="506"/>
      <c r="J386" s="506"/>
      <c r="K386" s="507"/>
      <c r="L386" s="507"/>
      <c r="M386" s="507"/>
      <c r="N386" s="507"/>
      <c r="O386" s="507"/>
      <c r="P386" s="507"/>
    </row>
    <row r="387" spans="1:26" ht="19.5" hidden="1">
      <c r="A387" s="508" t="s">
        <v>172</v>
      </c>
      <c r="B387" s="509"/>
      <c r="C387" s="509"/>
      <c r="D387" s="510"/>
      <c r="E387" s="509"/>
      <c r="F387" s="509"/>
      <c r="G387" s="509"/>
      <c r="H387" s="511"/>
      <c r="I387" s="512"/>
      <c r="J387" s="512"/>
      <c r="K387" s="513"/>
      <c r="L387" s="513"/>
      <c r="M387" s="513"/>
      <c r="N387" s="513"/>
      <c r="O387" s="513"/>
      <c r="P387" s="513"/>
    </row>
    <row r="388" spans="1:26" ht="19.5" hidden="1">
      <c r="A388" s="514"/>
      <c r="B388" s="515" t="s">
        <v>173</v>
      </c>
      <c r="C388" s="516"/>
      <c r="D388" s="517"/>
      <c r="E388" s="517"/>
      <c r="F388" s="517"/>
      <c r="G388" s="518"/>
      <c r="H388" s="519" t="s">
        <v>69</v>
      </c>
      <c r="I388" s="520">
        <f t="shared" ref="I388:J388" si="164">I400</f>
        <v>0</v>
      </c>
      <c r="J388" s="520">
        <f t="shared" si="164"/>
        <v>0</v>
      </c>
      <c r="K388" s="521">
        <f>IF(I388&gt;0,J388*100/I388,0)</f>
        <v>0</v>
      </c>
      <c r="L388" s="522"/>
      <c r="M388" s="522"/>
      <c r="N388" s="522"/>
      <c r="O388" s="522"/>
      <c r="P388" s="522"/>
    </row>
    <row r="389" spans="1:26" ht="19.5" hidden="1">
      <c r="A389" s="147"/>
      <c r="B389" s="148"/>
      <c r="C389" s="149" t="s">
        <v>16</v>
      </c>
      <c r="D389" s="822" t="s">
        <v>17</v>
      </c>
      <c r="E389" s="148"/>
      <c r="F389" s="148"/>
      <c r="G389" s="151"/>
      <c r="H389" s="152" t="s">
        <v>12</v>
      </c>
      <c r="I389" s="419"/>
      <c r="J389" s="419"/>
      <c r="K389" s="154"/>
      <c r="L389" s="155">
        <f t="shared" ref="L389:N389" ca="1" si="165">L390+L391</f>
        <v>0</v>
      </c>
      <c r="M389" s="155">
        <f t="shared" ca="1" si="165"/>
        <v>0</v>
      </c>
      <c r="N389" s="155">
        <f t="shared" ca="1" si="165"/>
        <v>0</v>
      </c>
      <c r="O389" s="155">
        <f t="shared" ref="O389:O397" ca="1" si="166">IF(L389&gt;0,N389*100/L389,0)</f>
        <v>0</v>
      </c>
      <c r="P389" s="155">
        <f t="shared" ref="P389:P397" ca="1" si="167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2" t="s">
        <v>18</v>
      </c>
      <c r="F390" s="40"/>
      <c r="G390" s="157"/>
      <c r="H390" s="158" t="s">
        <v>12</v>
      </c>
      <c r="I390" s="610"/>
      <c r="J390" s="610"/>
      <c r="K390" s="93"/>
      <c r="L390" s="93">
        <f t="shared" ref="L390:N391" si="168">L393+L396</f>
        <v>0</v>
      </c>
      <c r="M390" s="93">
        <f t="shared" si="168"/>
        <v>0</v>
      </c>
      <c r="N390" s="93">
        <f t="shared" si="168"/>
        <v>0</v>
      </c>
      <c r="O390" s="93">
        <f t="shared" si="166"/>
        <v>0</v>
      </c>
      <c r="P390" s="93">
        <f t="shared" si="167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2" t="s">
        <v>19</v>
      </c>
      <c r="F391" s="40"/>
      <c r="G391" s="157"/>
      <c r="H391" s="158" t="s">
        <v>12</v>
      </c>
      <c r="I391" s="610"/>
      <c r="J391" s="610"/>
      <c r="K391" s="93"/>
      <c r="L391" s="93">
        <f t="shared" ca="1" si="168"/>
        <v>0</v>
      </c>
      <c r="M391" s="93">
        <f t="shared" ca="1" si="168"/>
        <v>0</v>
      </c>
      <c r="N391" s="93">
        <f t="shared" ca="1" si="168"/>
        <v>0</v>
      </c>
      <c r="O391" s="93">
        <f t="shared" ca="1" si="166"/>
        <v>0</v>
      </c>
      <c r="P391" s="93">
        <f t="shared" ca="1" si="167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1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6">
        <f t="shared" ref="L392:N392" ca="1" si="169">L393+L394</f>
        <v>0</v>
      </c>
      <c r="M392" s="496">
        <f t="shared" ca="1" si="169"/>
        <v>0</v>
      </c>
      <c r="N392" s="496">
        <f t="shared" ca="1" si="169"/>
        <v>0</v>
      </c>
      <c r="O392" s="496">
        <f t="shared" ca="1" si="166"/>
        <v>0</v>
      </c>
      <c r="P392" s="496">
        <f t="shared" ca="1" si="167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2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6"/>
        <v>0</v>
      </c>
      <c r="P393" s="93">
        <f t="shared" si="167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2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IFERROR(__xludf.DUMMYFUNCTION("IMPORTRANGE(""https://docs.google.com/spreadsheets/d/1MeEWN-I1oV_STSDYn1IFDPWt_1FKiwhDph83XaGc0o0/edit?usp=sharing"",""งบพรบ!FG64"")"),0)</f>
        <v>0</v>
      </c>
      <c r="M394" s="93">
        <f ca="1">IFERROR(__xludf.DUMMYFUNCTION("IMPORTRANGE(""https://docs.google.com/spreadsheets/d/1MeEWN-I1oV_STSDYn1IFDPWt_1FKiwhDph83XaGc0o0/edit?usp=sharing"",""งบพรบ!FL64"")"),0)</f>
        <v>0</v>
      </c>
      <c r="N394" s="93">
        <f ca="1">IFERROR(__xludf.DUMMYFUNCTION("IMPORTRANGE(""https://docs.google.com/spreadsheets/d/1MeEWN-I1oV_STSDYn1IFDPWt_1FKiwhDph83XaGc0o0/edit?usp=sharing"",""งบพรบ!FN64"")"),0)</f>
        <v>0</v>
      </c>
      <c r="O394" s="93">
        <f t="shared" ca="1" si="166"/>
        <v>0</v>
      </c>
      <c r="P394" s="93">
        <f t="shared" ca="1" si="167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1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6">
        <f t="shared" ref="L395:N395" ca="1" si="170">L396+L397</f>
        <v>0</v>
      </c>
      <c r="M395" s="496">
        <f t="shared" ca="1" si="170"/>
        <v>0</v>
      </c>
      <c r="N395" s="496">
        <f t="shared" ca="1" si="170"/>
        <v>0</v>
      </c>
      <c r="O395" s="496">
        <f t="shared" ca="1" si="166"/>
        <v>0</v>
      </c>
      <c r="P395" s="496">
        <f t="shared" ca="1" si="167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2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6"/>
        <v>0</v>
      </c>
      <c r="P396" s="93">
        <f t="shared" si="167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2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IFERROR(__xludf.DUMMYFUNCTION("IMPORTRANGE(""https://docs.google.com/spreadsheets/d/1MeEWN-I1oV_STSDYn1IFDPWt_1FKiwhDph83XaGc0o0/edit?usp=sharing"",""งบพรบ!FJ64"")"),0)</f>
        <v>0</v>
      </c>
      <c r="M397" s="93">
        <f ca="1">IFERROR(__xludf.DUMMYFUNCTION("IMPORTRANGE(""https://docs.google.com/spreadsheets/d/1MeEWN-I1oV_STSDYn1IFDPWt_1FKiwhDph83XaGc0o0/edit?usp=sharing"",""งบพรบ!FM64"")"),0)</f>
        <v>0</v>
      </c>
      <c r="N397" s="93">
        <f ca="1">IFERROR(__xludf.DUMMYFUNCTION("IMPORTRANGE(""https://docs.google.com/spreadsheets/d/1MeEWN-I1oV_STSDYn1IFDPWt_1FKiwhDph83XaGc0o0/edit?usp=sharing"",""งบพรบ!FO64"")"),0)</f>
        <v>0</v>
      </c>
      <c r="O397" s="93">
        <f t="shared" ca="1" si="166"/>
        <v>0</v>
      </c>
      <c r="P397" s="93">
        <f t="shared" ca="1" si="167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23" t="s">
        <v>38</v>
      </c>
      <c r="E398" s="173"/>
      <c r="F398" s="173"/>
      <c r="G398" s="174"/>
      <c r="H398" s="753"/>
      <c r="I398" s="184"/>
      <c r="J398" s="269"/>
      <c r="K398" s="496"/>
      <c r="L398" s="496"/>
      <c r="M398" s="496"/>
      <c r="N398" s="496"/>
      <c r="O398" s="163"/>
      <c r="P398" s="163"/>
    </row>
    <row r="399" spans="1:26" ht="18.75" hidden="1">
      <c r="A399" s="523"/>
      <c r="B399" s="148"/>
      <c r="C399" s="524"/>
      <c r="D399" s="525" t="s">
        <v>174</v>
      </c>
      <c r="E399" s="414"/>
      <c r="F399" s="148"/>
      <c r="G399" s="151"/>
      <c r="H399" s="526" t="s">
        <v>9</v>
      </c>
      <c r="I399" s="269">
        <v>0</v>
      </c>
      <c r="J399" s="214">
        <v>0</v>
      </c>
      <c r="K399" s="496">
        <f t="shared" ref="K399:K401" si="171">IF(I399&gt;0,J399*100/I399,0)</f>
        <v>0</v>
      </c>
      <c r="L399" s="527"/>
      <c r="M399" s="527"/>
      <c r="N399" s="527"/>
      <c r="O399" s="527"/>
      <c r="P399" s="527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4"/>
      <c r="B400" s="33"/>
      <c r="C400" s="280"/>
      <c r="D400" s="446" t="s">
        <v>175</v>
      </c>
      <c r="E400" s="171"/>
      <c r="F400" s="33"/>
      <c r="G400" s="35"/>
      <c r="H400" s="276" t="s">
        <v>69</v>
      </c>
      <c r="I400" s="269">
        <v>0</v>
      </c>
      <c r="J400" s="214">
        <v>0</v>
      </c>
      <c r="K400" s="496">
        <f t="shared" si="171"/>
        <v>0</v>
      </c>
      <c r="L400" s="496"/>
      <c r="M400" s="496"/>
      <c r="N400" s="496"/>
      <c r="O400" s="496"/>
      <c r="P400" s="496"/>
    </row>
    <row r="401" spans="1:26" ht="19.5" hidden="1">
      <c r="A401" s="514"/>
      <c r="B401" s="515" t="s">
        <v>176</v>
      </c>
      <c r="C401" s="516"/>
      <c r="D401" s="517"/>
      <c r="E401" s="517"/>
      <c r="F401" s="517"/>
      <c r="G401" s="518"/>
      <c r="H401" s="519" t="s">
        <v>69</v>
      </c>
      <c r="I401" s="520">
        <f t="shared" ref="I401:J401" si="172">I412</f>
        <v>0</v>
      </c>
      <c r="J401" s="520">
        <f t="shared" si="172"/>
        <v>0</v>
      </c>
      <c r="K401" s="521">
        <f t="shared" si="171"/>
        <v>0</v>
      </c>
      <c r="L401" s="522"/>
      <c r="M401" s="522"/>
      <c r="N401" s="522"/>
      <c r="O401" s="522"/>
      <c r="P401" s="522"/>
    </row>
    <row r="402" spans="1:26" ht="19.5" hidden="1">
      <c r="A402" s="147"/>
      <c r="B402" s="148"/>
      <c r="C402" s="149" t="s">
        <v>16</v>
      </c>
      <c r="D402" s="822" t="s">
        <v>17</v>
      </c>
      <c r="E402" s="148"/>
      <c r="F402" s="148"/>
      <c r="G402" s="151"/>
      <c r="H402" s="152" t="s">
        <v>12</v>
      </c>
      <c r="I402" s="419"/>
      <c r="J402" s="419"/>
      <c r="K402" s="154"/>
      <c r="L402" s="155">
        <f t="shared" ref="L402:N402" ca="1" si="173">L403+L404</f>
        <v>0</v>
      </c>
      <c r="M402" s="155">
        <f t="shared" ca="1" si="173"/>
        <v>0</v>
      </c>
      <c r="N402" s="155">
        <f t="shared" ca="1" si="173"/>
        <v>0</v>
      </c>
      <c r="O402" s="155">
        <f t="shared" ref="O402:O410" ca="1" si="174">IF(L402&gt;0,N402*100/L402,0)</f>
        <v>0</v>
      </c>
      <c r="P402" s="155">
        <f t="shared" ref="P402:P410" ca="1" si="175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2" t="s">
        <v>18</v>
      </c>
      <c r="F403" s="40"/>
      <c r="G403" s="157"/>
      <c r="H403" s="158" t="s">
        <v>12</v>
      </c>
      <c r="I403" s="610"/>
      <c r="J403" s="610"/>
      <c r="K403" s="93"/>
      <c r="L403" s="93">
        <f t="shared" ref="L403:N404" si="176">L406+L409</f>
        <v>0</v>
      </c>
      <c r="M403" s="93">
        <f t="shared" si="176"/>
        <v>0</v>
      </c>
      <c r="N403" s="93">
        <f t="shared" si="176"/>
        <v>0</v>
      </c>
      <c r="O403" s="93">
        <f t="shared" si="174"/>
        <v>0</v>
      </c>
      <c r="P403" s="93">
        <f t="shared" si="175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2" t="s">
        <v>19</v>
      </c>
      <c r="F404" s="40"/>
      <c r="G404" s="157"/>
      <c r="H404" s="158" t="s">
        <v>12</v>
      </c>
      <c r="I404" s="610"/>
      <c r="J404" s="610"/>
      <c r="K404" s="93"/>
      <c r="L404" s="93">
        <f t="shared" ca="1" si="176"/>
        <v>0</v>
      </c>
      <c r="M404" s="93">
        <f t="shared" ca="1" si="176"/>
        <v>0</v>
      </c>
      <c r="N404" s="93">
        <f t="shared" ca="1" si="176"/>
        <v>0</v>
      </c>
      <c r="O404" s="93">
        <f t="shared" ca="1" si="174"/>
        <v>0</v>
      </c>
      <c r="P404" s="93">
        <f t="shared" ca="1" si="175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1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6">
        <f t="shared" ref="L405:N405" ca="1" si="177">L406+L407</f>
        <v>0</v>
      </c>
      <c r="M405" s="496">
        <f t="shared" ca="1" si="177"/>
        <v>0</v>
      </c>
      <c r="N405" s="496">
        <f t="shared" ca="1" si="177"/>
        <v>0</v>
      </c>
      <c r="O405" s="496">
        <f t="shared" ca="1" si="174"/>
        <v>0</v>
      </c>
      <c r="P405" s="496">
        <f t="shared" ca="1" si="175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2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4"/>
        <v>0</v>
      </c>
      <c r="P406" s="93">
        <f t="shared" si="175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2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IFERROR(__xludf.DUMMYFUNCTION("IMPORTRANGE(""https://docs.google.com/spreadsheets/d/1MeEWN-I1oV_STSDYn1IFDPWt_1FKiwhDph83XaGc0o0/edit?usp=sharing"",""งบพรบ!FQ64"")"),0)</f>
        <v>0</v>
      </c>
      <c r="M407" s="93">
        <f ca="1">IFERROR(__xludf.DUMMYFUNCTION("IMPORTRANGE(""https://docs.google.com/spreadsheets/d/1MeEWN-I1oV_STSDYn1IFDPWt_1FKiwhDph83XaGc0o0/edit?usp=sharing"",""งบพรบ!FV64"")"),0)</f>
        <v>0</v>
      </c>
      <c r="N407" s="93">
        <f ca="1">IFERROR(__xludf.DUMMYFUNCTION("IMPORTRANGE(""https://docs.google.com/spreadsheets/d/1MeEWN-I1oV_STSDYn1IFDPWt_1FKiwhDph83XaGc0o0/edit?usp=sharing"",""งบพรบ!FX64"")"),0)</f>
        <v>0</v>
      </c>
      <c r="O407" s="93">
        <f t="shared" ca="1" si="174"/>
        <v>0</v>
      </c>
      <c r="P407" s="93">
        <f t="shared" ca="1" si="175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1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6">
        <f t="shared" ref="L408:N408" ca="1" si="178">L409+L410</f>
        <v>0</v>
      </c>
      <c r="M408" s="496">
        <f t="shared" ca="1" si="178"/>
        <v>0</v>
      </c>
      <c r="N408" s="496">
        <f t="shared" ca="1" si="178"/>
        <v>0</v>
      </c>
      <c r="O408" s="496">
        <f t="shared" ca="1" si="174"/>
        <v>0</v>
      </c>
      <c r="P408" s="496">
        <f t="shared" ca="1" si="175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2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4"/>
        <v>0</v>
      </c>
      <c r="P409" s="93">
        <f t="shared" si="175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2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IFERROR(__xludf.DUMMYFUNCTION("IMPORTRANGE(""https://docs.google.com/spreadsheets/d/1MeEWN-I1oV_STSDYn1IFDPWt_1FKiwhDph83XaGc0o0/edit?usp=sharing"",""งบพรบ!FT64"")"),0)</f>
        <v>0</v>
      </c>
      <c r="M410" s="93">
        <f ca="1">IFERROR(__xludf.DUMMYFUNCTION("IMPORTRANGE(""https://docs.google.com/spreadsheets/d/1MeEWN-I1oV_STSDYn1IFDPWt_1FKiwhDph83XaGc0o0/edit?usp=sharing"",""งบพรบ!FW64"")"),0)</f>
        <v>0</v>
      </c>
      <c r="N410" s="93">
        <f ca="1">IFERROR(__xludf.DUMMYFUNCTION("IMPORTRANGE(""https://docs.google.com/spreadsheets/d/1MeEWN-I1oV_STSDYn1IFDPWt_1FKiwhDph83XaGc0o0/edit?usp=sharing"",""งบพรบ!FY64"")"),0)</f>
        <v>0</v>
      </c>
      <c r="O410" s="93">
        <f t="shared" ca="1" si="174"/>
        <v>0</v>
      </c>
      <c r="P410" s="93">
        <f t="shared" ca="1" si="175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34" t="s">
        <v>38</v>
      </c>
      <c r="E411" s="529"/>
      <c r="F411" s="529"/>
      <c r="G411" s="530"/>
      <c r="H411" s="753"/>
      <c r="I411" s="269"/>
      <c r="J411" s="269"/>
      <c r="K411" s="496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6" t="s">
        <v>177</v>
      </c>
      <c r="E412" s="178"/>
      <c r="F412" s="178"/>
      <c r="G412" s="179"/>
      <c r="H412" s="531" t="s">
        <v>69</v>
      </c>
      <c r="I412" s="269">
        <v>0</v>
      </c>
      <c r="J412" s="214">
        <v>0</v>
      </c>
      <c r="K412" s="496">
        <f t="shared" ref="K412:K413" si="179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2"/>
      <c r="B413" s="533"/>
      <c r="C413" s="533"/>
      <c r="D413" s="534" t="s">
        <v>178</v>
      </c>
      <c r="E413" s="533"/>
      <c r="F413" s="533"/>
      <c r="G413" s="535"/>
      <c r="H413" s="536" t="s">
        <v>179</v>
      </c>
      <c r="I413" s="537">
        <v>0</v>
      </c>
      <c r="J413" s="538">
        <v>0</v>
      </c>
      <c r="K413" s="539">
        <f t="shared" si="179"/>
        <v>0</v>
      </c>
      <c r="L413" s="540"/>
      <c r="M413" s="540"/>
      <c r="N413" s="540"/>
      <c r="O413" s="540"/>
      <c r="P413" s="540"/>
    </row>
    <row r="414" spans="1:26" ht="19.5">
      <c r="A414" s="541" t="s">
        <v>180</v>
      </c>
      <c r="B414" s="542"/>
      <c r="C414" s="542"/>
      <c r="D414" s="542"/>
      <c r="E414" s="542"/>
      <c r="F414" s="542"/>
      <c r="G414" s="543"/>
      <c r="H414" s="544"/>
      <c r="I414" s="545"/>
      <c r="J414" s="545"/>
      <c r="K414" s="546"/>
      <c r="L414" s="547">
        <f t="shared" ref="L414:N414" ca="1" si="180">L419+L444+L467+L502+L523+L544+L629+L655+L685+L737+L754+L770+L786+L805</f>
        <v>468300</v>
      </c>
      <c r="M414" s="547">
        <f t="shared" si="180"/>
        <v>0</v>
      </c>
      <c r="N414" s="547">
        <f t="shared" si="180"/>
        <v>0</v>
      </c>
      <c r="O414" s="547">
        <f ca="1">IF(L414&gt;0,N414*100/L414,0)</f>
        <v>0</v>
      </c>
      <c r="P414" s="547">
        <f>IF(M414&gt;0,N414*100/M414,0)</f>
        <v>0</v>
      </c>
    </row>
    <row r="415" spans="1:26" ht="19.5">
      <c r="A415" s="548" t="s">
        <v>181</v>
      </c>
      <c r="B415" s="549"/>
      <c r="C415" s="549"/>
      <c r="D415" s="549"/>
      <c r="E415" s="549"/>
      <c r="F415" s="549"/>
      <c r="G415" s="549"/>
      <c r="H415" s="550"/>
      <c r="I415" s="551"/>
      <c r="J415" s="551"/>
      <c r="K415" s="552"/>
      <c r="L415" s="553"/>
      <c r="M415" s="553"/>
      <c r="N415" s="553"/>
      <c r="O415" s="553"/>
      <c r="P415" s="553"/>
    </row>
    <row r="416" spans="1:26" ht="19.5">
      <c r="A416" s="548" t="s">
        <v>182</v>
      </c>
      <c r="B416" s="549"/>
      <c r="C416" s="549"/>
      <c r="D416" s="549"/>
      <c r="E416" s="549"/>
      <c r="F416" s="549"/>
      <c r="G416" s="554"/>
      <c r="H416" s="555"/>
      <c r="I416" s="556"/>
      <c r="J416" s="556"/>
      <c r="K416" s="553"/>
      <c r="L416" s="553"/>
      <c r="M416" s="553"/>
      <c r="N416" s="553"/>
      <c r="O416" s="553"/>
      <c r="P416" s="553"/>
    </row>
    <row r="417" spans="1:26" ht="39">
      <c r="A417" s="557">
        <v>1</v>
      </c>
      <c r="B417" s="559" t="s">
        <v>183</v>
      </c>
      <c r="C417" s="559"/>
      <c r="D417" s="560"/>
      <c r="E417" s="560"/>
      <c r="F417" s="560"/>
      <c r="G417" s="561"/>
      <c r="H417" s="562" t="s">
        <v>35</v>
      </c>
      <c r="I417" s="563">
        <f t="shared" ref="I417:J418" ca="1" si="181">I433</f>
        <v>60</v>
      </c>
      <c r="J417" s="563">
        <f t="shared" ca="1" si="181"/>
        <v>0</v>
      </c>
      <c r="K417" s="564">
        <f t="shared" ref="K417:K418" ca="1" si="182">IF(I417&gt;0,J417*100/I417,0)</f>
        <v>0</v>
      </c>
      <c r="L417" s="565"/>
      <c r="M417" s="565"/>
      <c r="N417" s="565"/>
      <c r="O417" s="565"/>
      <c r="P417" s="565"/>
    </row>
    <row r="418" spans="1:26" ht="19.5">
      <c r="A418" s="566"/>
      <c r="B418" s="557"/>
      <c r="C418" s="559"/>
      <c r="D418" s="560"/>
      <c r="E418" s="560"/>
      <c r="F418" s="560"/>
      <c r="G418" s="561"/>
      <c r="H418" s="562" t="s">
        <v>49</v>
      </c>
      <c r="I418" s="563">
        <f t="shared" ca="1" si="181"/>
        <v>2</v>
      </c>
      <c r="J418" s="563">
        <f t="shared" si="181"/>
        <v>1</v>
      </c>
      <c r="K418" s="564">
        <f t="shared" ca="1" si="182"/>
        <v>50</v>
      </c>
      <c r="L418" s="565"/>
      <c r="M418" s="565"/>
      <c r="N418" s="565"/>
      <c r="O418" s="565"/>
      <c r="P418" s="565"/>
    </row>
    <row r="419" spans="1:26" ht="19.5">
      <c r="A419" s="147"/>
      <c r="B419" s="148"/>
      <c r="C419" s="148" t="s">
        <v>16</v>
      </c>
      <c r="D419" s="868" t="s">
        <v>17</v>
      </c>
      <c r="E419" s="862"/>
      <c r="F419" s="862"/>
      <c r="G419" s="151"/>
      <c r="H419" s="274" t="s">
        <v>12</v>
      </c>
      <c r="I419" s="419"/>
      <c r="J419" s="419"/>
      <c r="K419" s="154"/>
      <c r="L419" s="155">
        <f t="shared" ref="L419:N419" ca="1" si="183">L420+L421</f>
        <v>188600</v>
      </c>
      <c r="M419" s="155">
        <f t="shared" si="183"/>
        <v>0</v>
      </c>
      <c r="N419" s="155">
        <f t="shared" si="183"/>
        <v>0</v>
      </c>
      <c r="O419" s="155">
        <f t="shared" ref="O419:O424" ca="1" si="184">IF(L419&gt;0,N419*100/L419,0)</f>
        <v>0</v>
      </c>
      <c r="P419" s="155">
        <f t="shared" ref="P419:P424" si="185">IF(M419&gt;0,N419*100/M419,0)</f>
        <v>0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2"/>
      <c r="E420" s="222" t="s">
        <v>184</v>
      </c>
      <c r="F420" s="40"/>
      <c r="G420" s="157"/>
      <c r="H420" s="165" t="s">
        <v>12</v>
      </c>
      <c r="I420" s="610"/>
      <c r="J420" s="610"/>
      <c r="K420" s="93"/>
      <c r="L420" s="93">
        <f t="shared" ref="L420:N421" si="186">L423+L430</f>
        <v>0</v>
      </c>
      <c r="M420" s="93">
        <f t="shared" si="186"/>
        <v>0</v>
      </c>
      <c r="N420" s="93">
        <f t="shared" si="186"/>
        <v>0</v>
      </c>
      <c r="O420" s="93">
        <f t="shared" si="184"/>
        <v>0</v>
      </c>
      <c r="P420" s="93">
        <f t="shared" si="185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2"/>
      <c r="E421" s="222" t="s">
        <v>185</v>
      </c>
      <c r="F421" s="40"/>
      <c r="G421" s="157"/>
      <c r="H421" s="165" t="s">
        <v>12</v>
      </c>
      <c r="I421" s="610"/>
      <c r="J421" s="610"/>
      <c r="K421" s="93"/>
      <c r="L421" s="93">
        <f t="shared" ca="1" si="186"/>
        <v>188600</v>
      </c>
      <c r="M421" s="93">
        <f t="shared" si="186"/>
        <v>0</v>
      </c>
      <c r="N421" s="93">
        <f t="shared" si="186"/>
        <v>0</v>
      </c>
      <c r="O421" s="93">
        <f t="shared" ca="1" si="184"/>
        <v>0</v>
      </c>
      <c r="P421" s="93">
        <f t="shared" si="185"/>
        <v>0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0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6">
        <f t="shared" ref="L422:N422" ca="1" si="187">L423+L424</f>
        <v>188600</v>
      </c>
      <c r="M422" s="496">
        <f t="shared" si="187"/>
        <v>0</v>
      </c>
      <c r="N422" s="496">
        <f t="shared" si="187"/>
        <v>0</v>
      </c>
      <c r="O422" s="496">
        <f t="shared" ca="1" si="184"/>
        <v>0</v>
      </c>
      <c r="P422" s="496">
        <f t="shared" si="185"/>
        <v>0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2"/>
      <c r="E423" s="222" t="s">
        <v>184</v>
      </c>
      <c r="F423" s="40"/>
      <c r="G423" s="157"/>
      <c r="H423" s="165" t="s">
        <v>12</v>
      </c>
      <c r="I423" s="610"/>
      <c r="J423" s="610"/>
      <c r="K423" s="93"/>
      <c r="L423" s="93">
        <v>0</v>
      </c>
      <c r="M423" s="93">
        <v>0</v>
      </c>
      <c r="N423" s="93">
        <v>0</v>
      </c>
      <c r="O423" s="93">
        <f t="shared" si="184"/>
        <v>0</v>
      </c>
      <c r="P423" s="93">
        <f t="shared" si="185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2"/>
      <c r="E424" s="222" t="s">
        <v>185</v>
      </c>
      <c r="F424" s="40"/>
      <c r="G424" s="157"/>
      <c r="H424" s="165" t="s">
        <v>12</v>
      </c>
      <c r="I424" s="610"/>
      <c r="J424" s="610"/>
      <c r="K424" s="93"/>
      <c r="L424" s="93">
        <f ca="1">IFERROR(__xludf.DUMMYFUNCTION("IMPORTRANGE(""https://docs.google.com/spreadsheets/d/1QqKyyYR6Q21VydFLVH3TRQUabQu_ym0Zz7PgGX0-kHA/edit?usp=sharing"",""แผน!EY64"")"),188600)</f>
        <v>188600</v>
      </c>
      <c r="M424" s="93">
        <v>0</v>
      </c>
      <c r="N424" s="93">
        <f>N425+N426+N427+N428</f>
        <v>0</v>
      </c>
      <c r="O424" s="93">
        <f t="shared" ca="1" si="184"/>
        <v>0</v>
      </c>
      <c r="P424" s="93">
        <f t="shared" si="185"/>
        <v>0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67"/>
      <c r="B425" s="568"/>
      <c r="C425" s="754"/>
      <c r="D425" s="754"/>
      <c r="E425" s="754"/>
      <c r="F425" s="754" t="s">
        <v>186</v>
      </c>
      <c r="G425" s="189"/>
      <c r="H425" s="161" t="s">
        <v>12</v>
      </c>
      <c r="I425" s="269"/>
      <c r="J425" s="269"/>
      <c r="K425" s="496"/>
      <c r="L425" s="496"/>
      <c r="M425" s="496"/>
      <c r="N425" s="817">
        <v>0</v>
      </c>
      <c r="O425" s="496"/>
      <c r="P425" s="496"/>
      <c r="Q425" s="571"/>
      <c r="R425" s="571"/>
      <c r="S425" s="571"/>
      <c r="T425" s="571"/>
      <c r="U425" s="571"/>
      <c r="V425" s="571"/>
      <c r="W425" s="571"/>
      <c r="X425" s="571"/>
      <c r="Y425" s="571"/>
      <c r="Z425" s="571"/>
    </row>
    <row r="426" spans="1:26" ht="18.75">
      <c r="A426" s="567"/>
      <c r="B426" s="568"/>
      <c r="C426" s="754"/>
      <c r="D426" s="754"/>
      <c r="E426" s="754"/>
      <c r="F426" s="754" t="s">
        <v>187</v>
      </c>
      <c r="G426" s="189"/>
      <c r="H426" s="161" t="s">
        <v>12</v>
      </c>
      <c r="I426" s="269"/>
      <c r="J426" s="269"/>
      <c r="K426" s="496"/>
      <c r="L426" s="496"/>
      <c r="M426" s="496"/>
      <c r="N426" s="817">
        <v>0</v>
      </c>
      <c r="O426" s="496"/>
      <c r="P426" s="496"/>
      <c r="Q426" s="571"/>
      <c r="R426" s="571"/>
      <c r="S426" s="571"/>
      <c r="T426" s="571"/>
      <c r="U426" s="571"/>
      <c r="V426" s="571"/>
      <c r="W426" s="571"/>
      <c r="X426" s="571"/>
      <c r="Y426" s="571"/>
      <c r="Z426" s="571"/>
    </row>
    <row r="427" spans="1:26" ht="18.75">
      <c r="A427" s="567"/>
      <c r="B427" s="568"/>
      <c r="C427" s="754"/>
      <c r="D427" s="754"/>
      <c r="E427" s="754"/>
      <c r="F427" s="754" t="s">
        <v>188</v>
      </c>
      <c r="G427" s="189"/>
      <c r="H427" s="161" t="s">
        <v>12</v>
      </c>
      <c r="I427" s="269"/>
      <c r="J427" s="269"/>
      <c r="K427" s="496"/>
      <c r="L427" s="496"/>
      <c r="M427" s="496"/>
      <c r="N427" s="817">
        <v>0</v>
      </c>
      <c r="O427" s="496"/>
      <c r="P427" s="496"/>
      <c r="Q427" s="571"/>
      <c r="R427" s="571"/>
      <c r="S427" s="571"/>
      <c r="T427" s="571"/>
      <c r="U427" s="571"/>
      <c r="V427" s="571"/>
      <c r="W427" s="571"/>
      <c r="X427" s="571"/>
      <c r="Y427" s="571"/>
      <c r="Z427" s="571"/>
    </row>
    <row r="428" spans="1:26" ht="18.75">
      <c r="A428" s="284"/>
      <c r="B428" s="280"/>
      <c r="C428" s="33"/>
      <c r="D428" s="33"/>
      <c r="E428" s="33"/>
      <c r="F428" s="281" t="s">
        <v>189</v>
      </c>
      <c r="G428" s="213"/>
      <c r="H428" s="161" t="s">
        <v>12</v>
      </c>
      <c r="I428" s="269"/>
      <c r="J428" s="269"/>
      <c r="K428" s="496"/>
      <c r="L428" s="496"/>
      <c r="M428" s="496"/>
      <c r="N428" s="817">
        <v>0</v>
      </c>
      <c r="O428" s="496"/>
      <c r="P428" s="496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0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6">
        <f t="shared" ref="L429:N429" ca="1" si="188">L430+L431</f>
        <v>0</v>
      </c>
      <c r="M429" s="496">
        <f t="shared" si="188"/>
        <v>0</v>
      </c>
      <c r="N429" s="496">
        <f t="shared" si="188"/>
        <v>0</v>
      </c>
      <c r="O429" s="496">
        <f t="shared" ref="O429:O431" ca="1" si="189">IF(L429&gt;0,N429*100/L429,0)</f>
        <v>0</v>
      </c>
      <c r="P429" s="496">
        <f t="shared" ref="P429:P431" si="190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6"/>
      <c r="C430" s="40"/>
      <c r="D430" s="40"/>
      <c r="E430" s="222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89"/>
        <v>0</v>
      </c>
      <c r="P430" s="93">
        <f t="shared" si="190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6"/>
      <c r="C431" s="40"/>
      <c r="D431" s="40"/>
      <c r="E431" s="222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IFERROR(__xludf.DUMMYFUNCTION("IMPORTRANGE(""https://docs.google.com/spreadsheets/d/1QqKyyYR6Q21VydFLVH3TRQUabQu_ym0Zz7PgGX0-kHA/edit?usp=sharing"",""แผน!FB64"")"),0)</f>
        <v>0</v>
      </c>
      <c r="M431" s="93">
        <v>0</v>
      </c>
      <c r="N431" s="93">
        <v>0</v>
      </c>
      <c r="O431" s="93">
        <f t="shared" ca="1" si="189"/>
        <v>0</v>
      </c>
      <c r="P431" s="93">
        <f t="shared" si="190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3"/>
      <c r="B432" s="414"/>
      <c r="C432" s="148" t="s">
        <v>16</v>
      </c>
      <c r="D432" s="835" t="s">
        <v>38</v>
      </c>
      <c r="E432" s="573"/>
      <c r="F432" s="573"/>
      <c r="G432" s="574"/>
      <c r="H432" s="575"/>
      <c r="I432" s="419"/>
      <c r="J432" s="419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190</v>
      </c>
      <c r="E433" s="178"/>
      <c r="F433" s="178"/>
      <c r="G433" s="179"/>
      <c r="H433" s="196" t="s">
        <v>35</v>
      </c>
      <c r="I433" s="674">
        <f ca="1">I435</f>
        <v>60</v>
      </c>
      <c r="J433" s="674">
        <f ca="1">IF(AND(J435=I435,J437=I437,J439=I439),I437+I439,IF(AND(J435=I437,J437=I437),I437,IF(AND(J435=I439,J439=I439),I439,0)))</f>
        <v>0</v>
      </c>
      <c r="K433" s="195">
        <f t="shared" ref="K433:K435" ca="1" si="191">IF(I433&gt;0,J433*100/I433,0)</f>
        <v>0</v>
      </c>
      <c r="L433" s="496"/>
      <c r="M433" s="496"/>
      <c r="N433" s="496"/>
      <c r="O433" s="496"/>
      <c r="P433" s="496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191</v>
      </c>
      <c r="E434" s="178"/>
      <c r="F434" s="178"/>
      <c r="G434" s="179"/>
      <c r="H434" s="196" t="s">
        <v>49</v>
      </c>
      <c r="I434" s="674">
        <f t="shared" ref="I434:J434" ca="1" si="192">I438+I440</f>
        <v>2</v>
      </c>
      <c r="J434" s="674">
        <f t="shared" si="192"/>
        <v>1</v>
      </c>
      <c r="K434" s="195">
        <f t="shared" ca="1" si="191"/>
        <v>50</v>
      </c>
      <c r="L434" s="496"/>
      <c r="M434" s="496"/>
      <c r="N434" s="496"/>
      <c r="O434" s="496"/>
      <c r="P434" s="496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6" t="s">
        <v>192</v>
      </c>
      <c r="E435" s="178"/>
      <c r="F435" s="178"/>
      <c r="G435" s="179"/>
      <c r="H435" s="616" t="s">
        <v>35</v>
      </c>
      <c r="I435" s="576">
        <f ca="1">IFERROR(__xludf.DUMMYFUNCTION("IMPORTRANGE(""https://docs.google.com/spreadsheets/d/1QqKyyYR6Q21VydFLVH3TRQUabQu_ym0Zz7PgGX0-kHA/edit?usp=sharing"",""แผน!FC64"")"),60)</f>
        <v>60</v>
      </c>
      <c r="J435" s="577">
        <v>60</v>
      </c>
      <c r="K435" s="496">
        <f t="shared" ca="1" si="191"/>
        <v>100</v>
      </c>
      <c r="L435" s="496"/>
      <c r="M435" s="496"/>
      <c r="N435" s="496"/>
      <c r="O435" s="496"/>
      <c r="P435" s="496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6" t="s">
        <v>193</v>
      </c>
      <c r="E436" s="178"/>
      <c r="F436" s="178"/>
      <c r="G436" s="179"/>
      <c r="H436" s="616"/>
      <c r="I436" s="269"/>
      <c r="J436" s="269"/>
      <c r="K436" s="496"/>
      <c r="L436" s="496"/>
      <c r="M436" s="496"/>
      <c r="N436" s="496"/>
      <c r="O436" s="496"/>
      <c r="P436" s="496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6" t="s">
        <v>194</v>
      </c>
      <c r="E437" s="178"/>
      <c r="F437" s="178"/>
      <c r="G437" s="179"/>
      <c r="H437" s="616" t="s">
        <v>35</v>
      </c>
      <c r="I437" s="576">
        <f ca="1">IFERROR(__xludf.DUMMYFUNCTION("IMPORTRANGE(""https://docs.google.com/spreadsheets/d/1QqKyyYR6Q21VydFLVH3TRQUabQu_ym0Zz7PgGX0-kHA/edit?usp=sharing"",""แผน!FD64"")"),40)</f>
        <v>40</v>
      </c>
      <c r="J437" s="577">
        <v>40</v>
      </c>
      <c r="K437" s="496">
        <f t="shared" ref="K437:K443" ca="1" si="193">IF(I437&gt;0,J437*100/I437,0)</f>
        <v>100</v>
      </c>
      <c r="L437" s="496"/>
      <c r="M437" s="496"/>
      <c r="N437" s="496"/>
      <c r="O437" s="496"/>
      <c r="P437" s="496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6" t="s">
        <v>195</v>
      </c>
      <c r="E438" s="178"/>
      <c r="F438" s="178"/>
      <c r="G438" s="179"/>
      <c r="H438" s="616" t="s">
        <v>49</v>
      </c>
      <c r="I438" s="269">
        <f ca="1">IFERROR(__xludf.DUMMYFUNCTION("IMPORTRANGE(""https://docs.google.com/spreadsheets/d/1QqKyyYR6Q21VydFLVH3TRQUabQu_ym0Zz7PgGX0-kHA/edit?usp=sharing"",""แผน!FE64"")"),1)</f>
        <v>1</v>
      </c>
      <c r="J438" s="214">
        <v>1</v>
      </c>
      <c r="K438" s="496">
        <f t="shared" ca="1" si="193"/>
        <v>100</v>
      </c>
      <c r="L438" s="496"/>
      <c r="M438" s="496"/>
      <c r="N438" s="496"/>
      <c r="O438" s="496"/>
      <c r="P438" s="496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6" t="s">
        <v>196</v>
      </c>
      <c r="E439" s="178"/>
      <c r="F439" s="178"/>
      <c r="G439" s="179"/>
      <c r="H439" s="616" t="s">
        <v>35</v>
      </c>
      <c r="I439" s="576">
        <f ca="1">IFERROR(__xludf.DUMMYFUNCTION("IMPORTRANGE(""https://docs.google.com/spreadsheets/d/1QqKyyYR6Q21VydFLVH3TRQUabQu_ym0Zz7PgGX0-kHA/edit?usp=sharing"",""แผน!FF64"")"),20)</f>
        <v>20</v>
      </c>
      <c r="J439" s="577">
        <v>0</v>
      </c>
      <c r="K439" s="496">
        <f t="shared" ca="1" si="193"/>
        <v>0</v>
      </c>
      <c r="L439" s="496"/>
      <c r="M439" s="496"/>
      <c r="N439" s="496"/>
      <c r="O439" s="496"/>
      <c r="P439" s="496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6" t="s">
        <v>197</v>
      </c>
      <c r="E440" s="178"/>
      <c r="F440" s="178"/>
      <c r="G440" s="179"/>
      <c r="H440" s="616" t="s">
        <v>49</v>
      </c>
      <c r="I440" s="269">
        <f ca="1">IFERROR(__xludf.DUMMYFUNCTION("IMPORTRANGE(""https://docs.google.com/spreadsheets/d/1QqKyyYR6Q21VydFLVH3TRQUabQu_ym0Zz7PgGX0-kHA/edit?usp=sharing"",""แผน!FG64"")"),1)</f>
        <v>1</v>
      </c>
      <c r="J440" s="214">
        <v>0</v>
      </c>
      <c r="K440" s="496">
        <f t="shared" ca="1" si="193"/>
        <v>0</v>
      </c>
      <c r="L440" s="496"/>
      <c r="M440" s="496"/>
      <c r="N440" s="496"/>
      <c r="O440" s="496"/>
      <c r="P440" s="496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>
      <c r="A441" s="170"/>
      <c r="B441" s="171"/>
      <c r="C441" s="171"/>
      <c r="D441" s="446" t="s">
        <v>198</v>
      </c>
      <c r="E441" s="178"/>
      <c r="F441" s="178"/>
      <c r="G441" s="179"/>
      <c r="H441" s="616" t="s">
        <v>35</v>
      </c>
      <c r="I441" s="269">
        <f ca="1">IFERROR(__xludf.DUMMYFUNCTION("IMPORTRANGE(""https://docs.google.com/spreadsheets/d/1QqKyyYR6Q21VydFLVH3TRQUabQu_ym0Zz7PgGX0-kHA/edit?usp=sharing"",""แผน!FH64"")"),0)</f>
        <v>0</v>
      </c>
      <c r="J441" s="269">
        <v>0</v>
      </c>
      <c r="K441" s="496">
        <f t="shared" ca="1" si="193"/>
        <v>0</v>
      </c>
      <c r="L441" s="496"/>
      <c r="M441" s="496"/>
      <c r="N441" s="496"/>
      <c r="O441" s="496"/>
      <c r="P441" s="496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 hidden="1">
      <c r="A442" s="578">
        <v>2</v>
      </c>
      <c r="B442" s="579" t="s">
        <v>199</v>
      </c>
      <c r="C442" s="580"/>
      <c r="D442" s="580"/>
      <c r="E442" s="580"/>
      <c r="F442" s="580"/>
      <c r="G442" s="581"/>
      <c r="H442" s="582" t="s">
        <v>35</v>
      </c>
      <c r="I442" s="583">
        <f t="shared" ref="I442:J442" ca="1" si="194">I460</f>
        <v>0</v>
      </c>
      <c r="J442" s="583">
        <f t="shared" si="194"/>
        <v>0</v>
      </c>
      <c r="K442" s="584">
        <f t="shared" ca="1" si="193"/>
        <v>0</v>
      </c>
      <c r="L442" s="585"/>
      <c r="M442" s="585"/>
      <c r="N442" s="585"/>
      <c r="O442" s="585"/>
      <c r="P442" s="585"/>
      <c r="Q442" s="571"/>
      <c r="R442" s="571"/>
      <c r="S442" s="571"/>
      <c r="T442" s="571"/>
      <c r="U442" s="571"/>
      <c r="V442" s="571"/>
      <c r="W442" s="571"/>
      <c r="X442" s="571"/>
      <c r="Y442" s="571"/>
      <c r="Z442" s="571"/>
    </row>
    <row r="443" spans="1:26" ht="19.5" hidden="1">
      <c r="A443" s="586"/>
      <c r="B443" s="587"/>
      <c r="C443" s="588"/>
      <c r="D443" s="588"/>
      <c r="E443" s="588"/>
      <c r="F443" s="588"/>
      <c r="G443" s="589"/>
      <c r="H443" s="562" t="s">
        <v>46</v>
      </c>
      <c r="I443" s="563">
        <f t="shared" ref="I443:J443" ca="1" si="195">I462</f>
        <v>0</v>
      </c>
      <c r="J443" s="563">
        <f t="shared" si="195"/>
        <v>0</v>
      </c>
      <c r="K443" s="564">
        <f t="shared" ca="1" si="193"/>
        <v>0</v>
      </c>
      <c r="L443" s="565"/>
      <c r="M443" s="565"/>
      <c r="N443" s="565"/>
      <c r="O443" s="565"/>
      <c r="P443" s="565"/>
      <c r="Q443" s="571"/>
      <c r="R443" s="571"/>
      <c r="S443" s="571"/>
      <c r="T443" s="571"/>
      <c r="U443" s="571"/>
      <c r="V443" s="571"/>
      <c r="W443" s="571"/>
      <c r="X443" s="571"/>
      <c r="Y443" s="571"/>
      <c r="Z443" s="571"/>
    </row>
    <row r="444" spans="1:26" ht="19.5" hidden="1">
      <c r="A444" s="590"/>
      <c r="B444" s="754"/>
      <c r="C444" s="754" t="s">
        <v>16</v>
      </c>
      <c r="D444" s="863" t="s">
        <v>17</v>
      </c>
      <c r="E444" s="857"/>
      <c r="F444" s="857"/>
      <c r="G444" s="189"/>
      <c r="H444" s="591" t="s">
        <v>12</v>
      </c>
      <c r="I444" s="269"/>
      <c r="J444" s="269"/>
      <c r="K444" s="496"/>
      <c r="L444" s="195">
        <f t="shared" ref="L444:N444" ca="1" si="196">L445+L446</f>
        <v>0</v>
      </c>
      <c r="M444" s="195">
        <f t="shared" si="196"/>
        <v>0</v>
      </c>
      <c r="N444" s="195">
        <f t="shared" si="196"/>
        <v>0</v>
      </c>
      <c r="O444" s="195">
        <f t="shared" ref="O444:O449" ca="1" si="197">IF(L444&gt;0,N444*100/L444,0)</f>
        <v>0</v>
      </c>
      <c r="P444" s="195">
        <f t="shared" ref="P444:P449" si="198">IF(M444&gt;0,N444*100/M444,0)</f>
        <v>0</v>
      </c>
      <c r="Q444" s="571"/>
      <c r="R444" s="571"/>
      <c r="S444" s="571"/>
      <c r="T444" s="571"/>
      <c r="U444" s="571"/>
      <c r="V444" s="571"/>
      <c r="W444" s="571"/>
      <c r="X444" s="571"/>
      <c r="Y444" s="571"/>
      <c r="Z444" s="571"/>
    </row>
    <row r="445" spans="1:26" ht="18.75" hidden="1">
      <c r="A445" s="592"/>
      <c r="B445" s="750"/>
      <c r="C445" s="750"/>
      <c r="D445" s="711"/>
      <c r="E445" s="750" t="s">
        <v>184</v>
      </c>
      <c r="F445" s="750"/>
      <c r="G445" s="596"/>
      <c r="H445" s="165" t="s">
        <v>12</v>
      </c>
      <c r="I445" s="610"/>
      <c r="J445" s="610"/>
      <c r="K445" s="93"/>
      <c r="L445" s="93">
        <f t="shared" ref="L445:N446" si="199">L448+L455</f>
        <v>0</v>
      </c>
      <c r="M445" s="93">
        <f t="shared" si="199"/>
        <v>0</v>
      </c>
      <c r="N445" s="93">
        <f t="shared" si="199"/>
        <v>0</v>
      </c>
      <c r="O445" s="93">
        <f t="shared" si="197"/>
        <v>0</v>
      </c>
      <c r="P445" s="93">
        <f t="shared" si="198"/>
        <v>0</v>
      </c>
      <c r="Q445" s="597"/>
      <c r="R445" s="597"/>
      <c r="S445" s="597"/>
      <c r="T445" s="597"/>
      <c r="U445" s="597"/>
      <c r="V445" s="597"/>
      <c r="W445" s="597"/>
      <c r="X445" s="597"/>
      <c r="Y445" s="597"/>
      <c r="Z445" s="597"/>
    </row>
    <row r="446" spans="1:26" ht="18.75" hidden="1">
      <c r="A446" s="592"/>
      <c r="B446" s="600"/>
      <c r="C446" s="750"/>
      <c r="D446" s="711"/>
      <c r="E446" s="750" t="s">
        <v>185</v>
      </c>
      <c r="F446" s="750"/>
      <c r="G446" s="596"/>
      <c r="H446" s="165" t="s">
        <v>12</v>
      </c>
      <c r="I446" s="610"/>
      <c r="J446" s="610"/>
      <c r="K446" s="93"/>
      <c r="L446" s="93">
        <f t="shared" ca="1" si="199"/>
        <v>0</v>
      </c>
      <c r="M446" s="93">
        <f t="shared" si="199"/>
        <v>0</v>
      </c>
      <c r="N446" s="93">
        <f t="shared" si="199"/>
        <v>0</v>
      </c>
      <c r="O446" s="93">
        <f t="shared" ca="1" si="197"/>
        <v>0</v>
      </c>
      <c r="P446" s="93">
        <f t="shared" si="198"/>
        <v>0</v>
      </c>
      <c r="Q446" s="597"/>
      <c r="R446" s="597"/>
      <c r="S446" s="597"/>
      <c r="T446" s="597"/>
      <c r="U446" s="597"/>
      <c r="V446" s="597"/>
      <c r="W446" s="597"/>
      <c r="X446" s="597"/>
      <c r="Y446" s="597"/>
      <c r="Z446" s="597"/>
    </row>
    <row r="447" spans="1:26" ht="18.75" hidden="1">
      <c r="A447" s="590"/>
      <c r="B447" s="568"/>
      <c r="C447" s="754"/>
      <c r="D447" s="599" t="s">
        <v>20</v>
      </c>
      <c r="E447" s="754"/>
      <c r="F447" s="754"/>
      <c r="G447" s="189"/>
      <c r="H447" s="161" t="s">
        <v>12</v>
      </c>
      <c r="I447" s="184"/>
      <c r="J447" s="184"/>
      <c r="K447" s="163"/>
      <c r="L447" s="496">
        <f t="shared" ref="L447:N447" ca="1" si="200">L448+L449</f>
        <v>0</v>
      </c>
      <c r="M447" s="496">
        <f t="shared" si="200"/>
        <v>0</v>
      </c>
      <c r="N447" s="496">
        <f t="shared" si="200"/>
        <v>0</v>
      </c>
      <c r="O447" s="496">
        <f t="shared" ca="1" si="197"/>
        <v>0</v>
      </c>
      <c r="P447" s="496">
        <f t="shared" si="198"/>
        <v>0</v>
      </c>
      <c r="Q447" s="571"/>
      <c r="R447" s="571"/>
      <c r="S447" s="571"/>
      <c r="T447" s="571"/>
      <c r="U447" s="571"/>
      <c r="V447" s="571"/>
      <c r="W447" s="571"/>
      <c r="X447" s="571"/>
      <c r="Y447" s="571"/>
      <c r="Z447" s="571"/>
    </row>
    <row r="448" spans="1:26" ht="18.75" hidden="1">
      <c r="A448" s="592"/>
      <c r="B448" s="600"/>
      <c r="C448" s="750"/>
      <c r="D448" s="711"/>
      <c r="E448" s="750" t="s">
        <v>184</v>
      </c>
      <c r="F448" s="750"/>
      <c r="G448" s="596"/>
      <c r="H448" s="165" t="s">
        <v>12</v>
      </c>
      <c r="I448" s="610"/>
      <c r="J448" s="610"/>
      <c r="K448" s="93"/>
      <c r="L448" s="93">
        <v>0</v>
      </c>
      <c r="M448" s="93">
        <v>0</v>
      </c>
      <c r="N448" s="93">
        <v>0</v>
      </c>
      <c r="O448" s="93">
        <f t="shared" si="197"/>
        <v>0</v>
      </c>
      <c r="P448" s="93">
        <f t="shared" si="198"/>
        <v>0</v>
      </c>
      <c r="Q448" s="597"/>
      <c r="R448" s="597"/>
      <c r="S448" s="597"/>
      <c r="T448" s="597"/>
      <c r="U448" s="597"/>
      <c r="V448" s="597"/>
      <c r="W448" s="597"/>
      <c r="X448" s="597"/>
      <c r="Y448" s="597"/>
      <c r="Z448" s="597"/>
    </row>
    <row r="449" spans="1:26" ht="18.75" hidden="1">
      <c r="A449" s="592"/>
      <c r="B449" s="600"/>
      <c r="C449" s="750"/>
      <c r="D449" s="711"/>
      <c r="E449" s="750" t="s">
        <v>185</v>
      </c>
      <c r="F449" s="750"/>
      <c r="G449" s="596"/>
      <c r="H449" s="165" t="s">
        <v>12</v>
      </c>
      <c r="I449" s="610"/>
      <c r="J449" s="610"/>
      <c r="K449" s="93"/>
      <c r="L449" s="93">
        <f ca="1">IFERROR(__xludf.DUMMYFUNCTION("IMPORTRANGE(""https://docs.google.com/spreadsheets/d/1QqKyyYR6Q21VydFLVH3TRQUabQu_ym0Zz7PgGX0-kHA/edit?usp=sharing"",""แผน!FJ64"")"),0)</f>
        <v>0</v>
      </c>
      <c r="M449" s="93">
        <v>0</v>
      </c>
      <c r="N449" s="93">
        <f>N450+N451+N452+N453</f>
        <v>0</v>
      </c>
      <c r="O449" s="93">
        <f t="shared" ca="1" si="197"/>
        <v>0</v>
      </c>
      <c r="P449" s="93">
        <f t="shared" si="198"/>
        <v>0</v>
      </c>
      <c r="Q449" s="597"/>
      <c r="R449" s="597"/>
      <c r="S449" s="597"/>
      <c r="T449" s="597"/>
      <c r="U449" s="597"/>
      <c r="V449" s="597"/>
      <c r="W449" s="597"/>
      <c r="X449" s="597"/>
      <c r="Y449" s="597"/>
      <c r="Z449" s="597"/>
    </row>
    <row r="450" spans="1:26" ht="18.75" hidden="1">
      <c r="A450" s="567"/>
      <c r="B450" s="568"/>
      <c r="C450" s="754"/>
      <c r="D450" s="754"/>
      <c r="E450" s="754"/>
      <c r="F450" s="754" t="s">
        <v>186</v>
      </c>
      <c r="G450" s="189"/>
      <c r="H450" s="161" t="s">
        <v>12</v>
      </c>
      <c r="I450" s="269"/>
      <c r="J450" s="269"/>
      <c r="K450" s="496"/>
      <c r="L450" s="496"/>
      <c r="M450" s="496"/>
      <c r="N450" s="817">
        <v>0</v>
      </c>
      <c r="O450" s="496"/>
      <c r="P450" s="496"/>
      <c r="Q450" s="571"/>
      <c r="R450" s="571"/>
      <c r="S450" s="571"/>
      <c r="T450" s="571"/>
      <c r="U450" s="571"/>
      <c r="V450" s="571"/>
      <c r="W450" s="571"/>
      <c r="X450" s="571"/>
      <c r="Y450" s="571"/>
      <c r="Z450" s="571"/>
    </row>
    <row r="451" spans="1:26" ht="18.75" hidden="1">
      <c r="A451" s="567"/>
      <c r="B451" s="568"/>
      <c r="C451" s="754"/>
      <c r="D451" s="754"/>
      <c r="E451" s="754"/>
      <c r="F451" s="754" t="s">
        <v>187</v>
      </c>
      <c r="G451" s="189"/>
      <c r="H451" s="161" t="s">
        <v>12</v>
      </c>
      <c r="I451" s="269"/>
      <c r="J451" s="269"/>
      <c r="K451" s="496"/>
      <c r="L451" s="496"/>
      <c r="M451" s="496"/>
      <c r="N451" s="817">
        <v>0</v>
      </c>
      <c r="O451" s="496"/>
      <c r="P451" s="496"/>
      <c r="Q451" s="571"/>
      <c r="R451" s="571"/>
      <c r="S451" s="571"/>
      <c r="T451" s="571"/>
      <c r="U451" s="571"/>
      <c r="V451" s="571"/>
      <c r="W451" s="571"/>
      <c r="X451" s="571"/>
      <c r="Y451" s="571"/>
      <c r="Z451" s="571"/>
    </row>
    <row r="452" spans="1:26" ht="18.75" hidden="1">
      <c r="A452" s="567"/>
      <c r="B452" s="568"/>
      <c r="C452" s="568"/>
      <c r="D452" s="568"/>
      <c r="E452" s="568"/>
      <c r="F452" s="754" t="s">
        <v>188</v>
      </c>
      <c r="G452" s="189"/>
      <c r="H452" s="161" t="s">
        <v>12</v>
      </c>
      <c r="I452" s="269"/>
      <c r="J452" s="269"/>
      <c r="K452" s="496"/>
      <c r="L452" s="496"/>
      <c r="M452" s="496"/>
      <c r="N452" s="817">
        <v>0</v>
      </c>
      <c r="O452" s="496"/>
      <c r="P452" s="496"/>
      <c r="Q452" s="571"/>
      <c r="R452" s="571"/>
      <c r="S452" s="571"/>
      <c r="T452" s="571"/>
      <c r="U452" s="571"/>
      <c r="V452" s="571"/>
      <c r="W452" s="571"/>
      <c r="X452" s="571"/>
      <c r="Y452" s="571"/>
      <c r="Z452" s="571"/>
    </row>
    <row r="453" spans="1:26" ht="18.75" hidden="1">
      <c r="A453" s="567"/>
      <c r="B453" s="568"/>
      <c r="C453" s="568"/>
      <c r="D453" s="568"/>
      <c r="E453" s="568"/>
      <c r="F453" s="754" t="s">
        <v>189</v>
      </c>
      <c r="G453" s="189"/>
      <c r="H453" s="161" t="s">
        <v>12</v>
      </c>
      <c r="I453" s="269"/>
      <c r="J453" s="269"/>
      <c r="K453" s="496"/>
      <c r="L453" s="496"/>
      <c r="M453" s="496"/>
      <c r="N453" s="817">
        <v>0</v>
      </c>
      <c r="O453" s="496"/>
      <c r="P453" s="496"/>
      <c r="Q453" s="571"/>
      <c r="R453" s="571"/>
      <c r="S453" s="571"/>
      <c r="T453" s="571"/>
      <c r="U453" s="571"/>
      <c r="V453" s="571"/>
      <c r="W453" s="571"/>
      <c r="X453" s="571"/>
      <c r="Y453" s="571"/>
      <c r="Z453" s="571"/>
    </row>
    <row r="454" spans="1:26" ht="18.75" hidden="1">
      <c r="A454" s="590"/>
      <c r="B454" s="568"/>
      <c r="C454" s="568"/>
      <c r="D454" s="599" t="s">
        <v>21</v>
      </c>
      <c r="E454" s="568"/>
      <c r="F454" s="754"/>
      <c r="G454" s="189"/>
      <c r="H454" s="168" t="s">
        <v>12</v>
      </c>
      <c r="I454" s="184"/>
      <c r="J454" s="184"/>
      <c r="K454" s="163"/>
      <c r="L454" s="496">
        <f t="shared" ref="L454:N454" ca="1" si="201">L455+L456</f>
        <v>0</v>
      </c>
      <c r="M454" s="496">
        <f t="shared" si="201"/>
        <v>0</v>
      </c>
      <c r="N454" s="496">
        <f t="shared" si="201"/>
        <v>0</v>
      </c>
      <c r="O454" s="496">
        <f t="shared" ref="O454:O456" ca="1" si="202">IF(L454&gt;0,N454*100/L454,0)</f>
        <v>0</v>
      </c>
      <c r="P454" s="496">
        <f t="shared" ref="P454:P456" si="203">IF(M454&gt;0,N454*100/M454,0)</f>
        <v>0</v>
      </c>
      <c r="Q454" s="571"/>
      <c r="R454" s="571"/>
      <c r="S454" s="571"/>
      <c r="T454" s="571"/>
      <c r="U454" s="571"/>
      <c r="V454" s="571"/>
      <c r="W454" s="571"/>
      <c r="X454" s="571"/>
      <c r="Y454" s="571"/>
      <c r="Z454" s="571"/>
    </row>
    <row r="455" spans="1:26" ht="18.75" hidden="1">
      <c r="A455" s="592"/>
      <c r="B455" s="600"/>
      <c r="C455" s="600"/>
      <c r="D455" s="600"/>
      <c r="E455" s="600" t="s">
        <v>18</v>
      </c>
      <c r="F455" s="750"/>
      <c r="G455" s="596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2"/>
        <v>0</v>
      </c>
      <c r="P455" s="93">
        <f t="shared" si="203"/>
        <v>0</v>
      </c>
      <c r="Q455" s="597"/>
      <c r="R455" s="597"/>
      <c r="S455" s="597"/>
      <c r="T455" s="597"/>
      <c r="U455" s="597"/>
      <c r="V455" s="597"/>
      <c r="W455" s="597"/>
      <c r="X455" s="597"/>
      <c r="Y455" s="597"/>
      <c r="Z455" s="597"/>
    </row>
    <row r="456" spans="1:26" ht="18.75" hidden="1">
      <c r="A456" s="592"/>
      <c r="B456" s="600"/>
      <c r="C456" s="600"/>
      <c r="D456" s="600"/>
      <c r="E456" s="600" t="s">
        <v>19</v>
      </c>
      <c r="F456" s="750"/>
      <c r="G456" s="596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IFERROR(__xludf.DUMMYFUNCTION("IMPORTRANGE(""https://docs.google.com/spreadsheets/d/1QqKyyYR6Q21VydFLVH3TRQUabQu_ym0Zz7PgGX0-kHA/edit?usp=sharing"",""แผน!FM64"")"),0)</f>
        <v>0</v>
      </c>
      <c r="M456" s="93">
        <v>0</v>
      </c>
      <c r="N456" s="93">
        <v>0</v>
      </c>
      <c r="O456" s="93">
        <f t="shared" ca="1" si="202"/>
        <v>0</v>
      </c>
      <c r="P456" s="93">
        <f t="shared" si="203"/>
        <v>0</v>
      </c>
      <c r="Q456" s="597"/>
      <c r="R456" s="597"/>
      <c r="S456" s="597"/>
      <c r="T456" s="597"/>
      <c r="U456" s="597"/>
      <c r="V456" s="597"/>
      <c r="W456" s="597"/>
      <c r="X456" s="597"/>
      <c r="Y456" s="597"/>
      <c r="Z456" s="597"/>
    </row>
    <row r="457" spans="1:26" ht="19.5" hidden="1">
      <c r="A457" s="601"/>
      <c r="B457" s="611"/>
      <c r="C457" s="568" t="s">
        <v>16</v>
      </c>
      <c r="D457" s="836" t="s">
        <v>38</v>
      </c>
      <c r="E457" s="604"/>
      <c r="F457" s="752"/>
      <c r="G457" s="606"/>
      <c r="H457" s="753"/>
      <c r="I457" s="269"/>
      <c r="J457" s="269"/>
      <c r="K457" s="496"/>
      <c r="L457" s="496"/>
      <c r="M457" s="496"/>
      <c r="N457" s="496"/>
      <c r="O457" s="496"/>
      <c r="P457" s="496"/>
      <c r="Q457" s="571"/>
      <c r="R457" s="571"/>
      <c r="S457" s="571"/>
      <c r="T457" s="571"/>
      <c r="U457" s="571"/>
      <c r="V457" s="571"/>
      <c r="W457" s="571"/>
      <c r="X457" s="571"/>
      <c r="Y457" s="571"/>
      <c r="Z457" s="571"/>
    </row>
    <row r="458" spans="1:26" ht="18.75" hidden="1">
      <c r="A458" s="607"/>
      <c r="B458" s="609"/>
      <c r="C458" s="609"/>
      <c r="D458" s="609" t="s">
        <v>200</v>
      </c>
      <c r="E458" s="609"/>
      <c r="F458" s="711"/>
      <c r="G458" s="365"/>
      <c r="H458" s="369" t="s">
        <v>35</v>
      </c>
      <c r="I458" s="610">
        <v>0</v>
      </c>
      <c r="J458" s="610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597"/>
      <c r="R458" s="597"/>
      <c r="S458" s="597"/>
      <c r="T458" s="597"/>
      <c r="U458" s="597"/>
      <c r="V458" s="597"/>
      <c r="W458" s="597"/>
      <c r="X458" s="597"/>
      <c r="Y458" s="597"/>
      <c r="Z458" s="597"/>
    </row>
    <row r="459" spans="1:26" ht="18.75" hidden="1">
      <c r="A459" s="607"/>
      <c r="B459" s="609"/>
      <c r="C459" s="609"/>
      <c r="D459" s="609" t="s">
        <v>201</v>
      </c>
      <c r="E459" s="609"/>
      <c r="F459" s="711"/>
      <c r="G459" s="365"/>
      <c r="H459" s="369"/>
      <c r="I459" s="610"/>
      <c r="J459" s="610"/>
      <c r="K459" s="93"/>
      <c r="L459" s="93"/>
      <c r="M459" s="93"/>
      <c r="N459" s="93"/>
      <c r="O459" s="93"/>
      <c r="P459" s="93"/>
      <c r="Q459" s="597"/>
      <c r="R459" s="597"/>
      <c r="S459" s="597"/>
      <c r="T459" s="597"/>
      <c r="U459" s="597"/>
      <c r="V459" s="597"/>
      <c r="W459" s="597"/>
      <c r="X459" s="597"/>
      <c r="Y459" s="597"/>
      <c r="Z459" s="597"/>
    </row>
    <row r="460" spans="1:26" ht="18.75" hidden="1">
      <c r="A460" s="601"/>
      <c r="B460" s="611"/>
      <c r="C460" s="611"/>
      <c r="D460" s="611" t="s">
        <v>202</v>
      </c>
      <c r="E460" s="611"/>
      <c r="F460" s="619"/>
      <c r="G460" s="753"/>
      <c r="H460" s="755" t="s">
        <v>35</v>
      </c>
      <c r="I460" s="269">
        <f ca="1">IFERROR(__xludf.DUMMYFUNCTION("IMPORTRANGE(""https://docs.google.com/spreadsheets/d/1QqKyyYR6Q21VydFLVH3TRQUabQu_ym0Zz7PgGX0-kHA/edit?usp=sharing"",""แผน!FN64"")"),0)</f>
        <v>0</v>
      </c>
      <c r="J460" s="214">
        <v>0</v>
      </c>
      <c r="K460" s="496">
        <f ca="1">IF(I460&gt;0,J460*100/I460,0)</f>
        <v>0</v>
      </c>
      <c r="L460" s="496"/>
      <c r="M460" s="496"/>
      <c r="N460" s="496"/>
      <c r="O460" s="496"/>
      <c r="P460" s="496"/>
      <c r="Q460" s="571"/>
      <c r="R460" s="571"/>
      <c r="S460" s="571"/>
      <c r="T460" s="571"/>
      <c r="U460" s="571"/>
      <c r="V460" s="571"/>
      <c r="W460" s="571"/>
      <c r="X460" s="571"/>
      <c r="Y460" s="571"/>
      <c r="Z460" s="571"/>
    </row>
    <row r="461" spans="1:26" ht="18.75" hidden="1">
      <c r="A461" s="601"/>
      <c r="B461" s="611"/>
      <c r="C461" s="611"/>
      <c r="D461" s="611" t="s">
        <v>203</v>
      </c>
      <c r="E461" s="619"/>
      <c r="F461" s="619"/>
      <c r="G461" s="753"/>
      <c r="H461" s="755"/>
      <c r="I461" s="269"/>
      <c r="J461" s="269"/>
      <c r="K461" s="496"/>
      <c r="L461" s="496"/>
      <c r="M461" s="496"/>
      <c r="N461" s="496"/>
      <c r="O461" s="496"/>
      <c r="P461" s="496"/>
      <c r="Q461" s="571"/>
      <c r="R461" s="571"/>
      <c r="S461" s="571"/>
      <c r="T461" s="571"/>
      <c r="U461" s="571"/>
      <c r="V461" s="571"/>
      <c r="W461" s="571"/>
      <c r="X461" s="571"/>
      <c r="Y461" s="571"/>
      <c r="Z461" s="571"/>
    </row>
    <row r="462" spans="1:26" ht="18.75" hidden="1">
      <c r="A462" s="601"/>
      <c r="B462" s="611"/>
      <c r="C462" s="611"/>
      <c r="D462" s="611" t="s">
        <v>204</v>
      </c>
      <c r="E462" s="619"/>
      <c r="F462" s="619"/>
      <c r="G462" s="753"/>
      <c r="H462" s="755" t="s">
        <v>46</v>
      </c>
      <c r="I462" s="269">
        <f ca="1">IFERROR(__xludf.DUMMYFUNCTION("IMPORTRANGE(""https://docs.google.com/spreadsheets/d/1QqKyyYR6Q21VydFLVH3TRQUabQu_ym0Zz7PgGX0-kHA/edit?usp=sharing"",""แผน!FO64"")"),0)</f>
        <v>0</v>
      </c>
      <c r="J462" s="214">
        <v>0</v>
      </c>
      <c r="K462" s="496">
        <f ca="1">IF(I462&gt;0,J462*100/I462,0)</f>
        <v>0</v>
      </c>
      <c r="L462" s="496"/>
      <c r="M462" s="496"/>
      <c r="N462" s="496"/>
      <c r="O462" s="496"/>
      <c r="P462" s="496"/>
      <c r="Q462" s="571"/>
      <c r="R462" s="571"/>
      <c r="S462" s="571"/>
      <c r="T462" s="571"/>
      <c r="U462" s="571"/>
      <c r="V462" s="571"/>
      <c r="W462" s="571"/>
      <c r="X462" s="571"/>
      <c r="Y462" s="571"/>
      <c r="Z462" s="571"/>
    </row>
    <row r="463" spans="1:26" ht="18.75" hidden="1">
      <c r="A463" s="601"/>
      <c r="B463" s="611"/>
      <c r="C463" s="611"/>
      <c r="D463" s="611" t="s">
        <v>59</v>
      </c>
      <c r="E463" s="619"/>
      <c r="F463" s="754"/>
      <c r="G463" s="189"/>
      <c r="H463" s="755" t="s">
        <v>46</v>
      </c>
      <c r="I463" s="269">
        <f ca="1">IFERROR(__xludf.DUMMYFUNCTION("IMPORTRANGE(""https://docs.google.com/spreadsheets/d/1QqKyyYR6Q21VydFLVH3TRQUabQu_ym0Zz7PgGX0-kHA/edit?usp=sharing"",""แผน!FO64"")"),0)</f>
        <v>0</v>
      </c>
      <c r="J463" s="214">
        <v>0</v>
      </c>
      <c r="K463" s="496"/>
      <c r="L463" s="496"/>
      <c r="M463" s="496"/>
      <c r="N463" s="496"/>
      <c r="O463" s="496"/>
      <c r="P463" s="496"/>
      <c r="Q463" s="571"/>
      <c r="R463" s="571"/>
      <c r="S463" s="571"/>
      <c r="T463" s="571"/>
      <c r="U463" s="571"/>
      <c r="V463" s="571"/>
      <c r="W463" s="571"/>
      <c r="X463" s="571"/>
      <c r="Y463" s="571"/>
      <c r="Z463" s="571"/>
    </row>
    <row r="464" spans="1:26" ht="19.5" hidden="1">
      <c r="A464" s="601"/>
      <c r="B464" s="611"/>
      <c r="C464" s="611"/>
      <c r="D464" s="611"/>
      <c r="E464" s="619"/>
      <c r="F464" s="619"/>
      <c r="G464" s="613"/>
      <c r="H464" s="755" t="s">
        <v>35</v>
      </c>
      <c r="I464" s="269">
        <f ca="1">IFERROR(__xludf.DUMMYFUNCTION("IMPORTRANGE(""https://docs.google.com/spreadsheets/d/1QqKyyYR6Q21VydFLVH3TRQUabQu_ym0Zz7PgGX0-kHA/edit?usp=sharing"",""แผน!FN64"")"),0)</f>
        <v>0</v>
      </c>
      <c r="J464" s="214">
        <v>0</v>
      </c>
      <c r="K464" s="496"/>
      <c r="L464" s="496"/>
      <c r="M464" s="496"/>
      <c r="N464" s="496"/>
      <c r="O464" s="496"/>
      <c r="P464" s="496"/>
      <c r="Q464" s="571"/>
      <c r="R464" s="571"/>
      <c r="S464" s="571"/>
      <c r="T464" s="571"/>
      <c r="U464" s="571"/>
      <c r="V464" s="571"/>
      <c r="W464" s="571"/>
      <c r="X464" s="571"/>
      <c r="Y464" s="571"/>
      <c r="Z464" s="571"/>
    </row>
    <row r="465" spans="1:26" ht="19.5" hidden="1">
      <c r="A465" s="578">
        <v>3</v>
      </c>
      <c r="B465" s="579" t="s">
        <v>205</v>
      </c>
      <c r="C465" s="580"/>
      <c r="D465" s="580"/>
      <c r="E465" s="580"/>
      <c r="F465" s="580"/>
      <c r="G465" s="581"/>
      <c r="H465" s="582" t="s">
        <v>35</v>
      </c>
      <c r="I465" s="583">
        <f ca="1">IFERROR(__xludf.DUMMYFUNCTION("IMPORTRANGE(""https://docs.google.com/spreadsheets/d/1QqKyyYR6Q21VydFLVH3TRQUabQu_ym0Zz7PgGX0-kHA/edit?usp=sharing"",""แผน!FX64"")"),0)</f>
        <v>0</v>
      </c>
      <c r="J465" s="583">
        <f>J485+J489+J492</f>
        <v>0</v>
      </c>
      <c r="K465" s="584">
        <f t="shared" ref="K465:K466" ca="1" si="204">IF(I465&gt;0,J465*100/I465,0)</f>
        <v>0</v>
      </c>
      <c r="L465" s="585"/>
      <c r="M465" s="585"/>
      <c r="N465" s="585"/>
      <c r="O465" s="585"/>
      <c r="P465" s="585"/>
      <c r="Q465" s="571"/>
      <c r="R465" s="571"/>
      <c r="S465" s="571"/>
      <c r="T465" s="571"/>
      <c r="U465" s="571"/>
      <c r="V465" s="571"/>
      <c r="W465" s="571"/>
      <c r="X465" s="571"/>
      <c r="Y465" s="571"/>
      <c r="Z465" s="571"/>
    </row>
    <row r="466" spans="1:26" ht="19.5" hidden="1">
      <c r="A466" s="586"/>
      <c r="B466" s="587"/>
      <c r="C466" s="588"/>
      <c r="D466" s="588"/>
      <c r="E466" s="588"/>
      <c r="F466" s="588"/>
      <c r="G466" s="589"/>
      <c r="H466" s="562" t="s">
        <v>46</v>
      </c>
      <c r="I466" s="563">
        <f ca="1">IFERROR(__xludf.DUMMYFUNCTION("IMPORTRANGE(""https://docs.google.com/spreadsheets/d/1QqKyyYR6Q21VydFLVH3TRQUabQu_ym0Zz7PgGX0-kHA/edit?usp=sharing"",""แผน!FW64"")"),0)</f>
        <v>0</v>
      </c>
      <c r="J466" s="563">
        <f>J483+J487</f>
        <v>0</v>
      </c>
      <c r="K466" s="564">
        <f t="shared" ca="1" si="204"/>
        <v>0</v>
      </c>
      <c r="L466" s="565"/>
      <c r="M466" s="565"/>
      <c r="N466" s="565"/>
      <c r="O466" s="565"/>
      <c r="P466" s="565"/>
      <c r="Q466" s="571"/>
      <c r="R466" s="571"/>
      <c r="S466" s="571"/>
      <c r="T466" s="571"/>
      <c r="U466" s="571"/>
      <c r="V466" s="571"/>
      <c r="W466" s="571"/>
      <c r="X466" s="571"/>
      <c r="Y466" s="571"/>
      <c r="Z466" s="571"/>
    </row>
    <row r="467" spans="1:26" ht="19.5" hidden="1">
      <c r="A467" s="590"/>
      <c r="B467" s="754"/>
      <c r="C467" s="754" t="s">
        <v>16</v>
      </c>
      <c r="D467" s="863" t="s">
        <v>17</v>
      </c>
      <c r="E467" s="857"/>
      <c r="F467" s="857"/>
      <c r="G467" s="189"/>
      <c r="H467" s="591" t="s">
        <v>12</v>
      </c>
      <c r="I467" s="269"/>
      <c r="J467" s="269"/>
      <c r="K467" s="496"/>
      <c r="L467" s="195">
        <f t="shared" ref="L467:N467" ca="1" si="205">L468+L469</f>
        <v>0</v>
      </c>
      <c r="M467" s="195">
        <f t="shared" si="205"/>
        <v>0</v>
      </c>
      <c r="N467" s="195">
        <f t="shared" si="205"/>
        <v>0</v>
      </c>
      <c r="O467" s="195">
        <f t="shared" ref="O467:O472" ca="1" si="206">IF(L467&gt;0,N467*100/L467,0)</f>
        <v>0</v>
      </c>
      <c r="P467" s="195">
        <f t="shared" ref="P467:P472" si="207">IF(M467&gt;0,N467*100/M467,0)</f>
        <v>0</v>
      </c>
      <c r="Q467" s="571"/>
      <c r="R467" s="571"/>
      <c r="S467" s="571"/>
      <c r="T467" s="571"/>
      <c r="U467" s="571"/>
      <c r="V467" s="571"/>
      <c r="W467" s="571"/>
      <c r="X467" s="571"/>
      <c r="Y467" s="571"/>
      <c r="Z467" s="571"/>
    </row>
    <row r="468" spans="1:26" ht="18.75" hidden="1">
      <c r="A468" s="592"/>
      <c r="B468" s="750"/>
      <c r="C468" s="750"/>
      <c r="D468" s="711"/>
      <c r="E468" s="750" t="s">
        <v>184</v>
      </c>
      <c r="F468" s="750"/>
      <c r="G468" s="596"/>
      <c r="H468" s="165" t="s">
        <v>12</v>
      </c>
      <c r="I468" s="610"/>
      <c r="J468" s="610"/>
      <c r="K468" s="93"/>
      <c r="L468" s="93">
        <f t="shared" ref="L468:N469" si="208">L471+L478</f>
        <v>0</v>
      </c>
      <c r="M468" s="93">
        <f t="shared" si="208"/>
        <v>0</v>
      </c>
      <c r="N468" s="93">
        <f t="shared" si="208"/>
        <v>0</v>
      </c>
      <c r="O468" s="93">
        <f t="shared" si="206"/>
        <v>0</v>
      </c>
      <c r="P468" s="93">
        <f t="shared" si="207"/>
        <v>0</v>
      </c>
      <c r="Q468" s="597"/>
      <c r="R468" s="597"/>
      <c r="S468" s="597"/>
      <c r="T468" s="597"/>
      <c r="U468" s="597"/>
      <c r="V468" s="597"/>
      <c r="W468" s="597"/>
      <c r="X468" s="597"/>
      <c r="Y468" s="597"/>
      <c r="Z468" s="597"/>
    </row>
    <row r="469" spans="1:26" ht="18.75" hidden="1">
      <c r="A469" s="592"/>
      <c r="B469" s="600"/>
      <c r="C469" s="750"/>
      <c r="D469" s="711"/>
      <c r="E469" s="750" t="s">
        <v>185</v>
      </c>
      <c r="F469" s="750"/>
      <c r="G469" s="596"/>
      <c r="H469" s="165" t="s">
        <v>12</v>
      </c>
      <c r="I469" s="610"/>
      <c r="J469" s="610"/>
      <c r="K469" s="93"/>
      <c r="L469" s="93">
        <f t="shared" ca="1" si="208"/>
        <v>0</v>
      </c>
      <c r="M469" s="93">
        <f t="shared" si="208"/>
        <v>0</v>
      </c>
      <c r="N469" s="93">
        <f t="shared" si="208"/>
        <v>0</v>
      </c>
      <c r="O469" s="93">
        <f t="shared" ca="1" si="206"/>
        <v>0</v>
      </c>
      <c r="P469" s="93">
        <f t="shared" si="207"/>
        <v>0</v>
      </c>
      <c r="Q469" s="597"/>
      <c r="R469" s="597"/>
      <c r="S469" s="597"/>
      <c r="T469" s="597"/>
      <c r="U469" s="597"/>
      <c r="V469" s="597"/>
      <c r="W469" s="597"/>
      <c r="X469" s="597"/>
      <c r="Y469" s="597"/>
      <c r="Z469" s="597"/>
    </row>
    <row r="470" spans="1:26" ht="18.75" hidden="1">
      <c r="A470" s="590"/>
      <c r="B470" s="568"/>
      <c r="C470" s="754"/>
      <c r="D470" s="599" t="s">
        <v>20</v>
      </c>
      <c r="E470" s="754"/>
      <c r="F470" s="754"/>
      <c r="G470" s="189"/>
      <c r="H470" s="161" t="s">
        <v>12</v>
      </c>
      <c r="I470" s="184"/>
      <c r="J470" s="184"/>
      <c r="K470" s="163"/>
      <c r="L470" s="496">
        <f t="shared" ref="L470:N470" ca="1" si="209">L471+L472</f>
        <v>0</v>
      </c>
      <c r="M470" s="496">
        <f t="shared" si="209"/>
        <v>0</v>
      </c>
      <c r="N470" s="496">
        <f t="shared" si="209"/>
        <v>0</v>
      </c>
      <c r="O470" s="496">
        <f t="shared" ca="1" si="206"/>
        <v>0</v>
      </c>
      <c r="P470" s="496">
        <f t="shared" si="207"/>
        <v>0</v>
      </c>
      <c r="Q470" s="571"/>
      <c r="R470" s="571"/>
      <c r="S470" s="571"/>
      <c r="T470" s="571"/>
      <c r="U470" s="571"/>
      <c r="V470" s="571"/>
      <c r="W470" s="571"/>
      <c r="X470" s="571"/>
      <c r="Y470" s="571"/>
      <c r="Z470" s="571"/>
    </row>
    <row r="471" spans="1:26" ht="18.75" hidden="1">
      <c r="A471" s="592"/>
      <c r="B471" s="600"/>
      <c r="C471" s="750"/>
      <c r="D471" s="711"/>
      <c r="E471" s="750" t="s">
        <v>184</v>
      </c>
      <c r="F471" s="750"/>
      <c r="G471" s="596"/>
      <c r="H471" s="165" t="s">
        <v>12</v>
      </c>
      <c r="I471" s="610"/>
      <c r="J471" s="610"/>
      <c r="K471" s="93"/>
      <c r="L471" s="93">
        <v>0</v>
      </c>
      <c r="M471" s="93">
        <v>0</v>
      </c>
      <c r="N471" s="93">
        <v>0</v>
      </c>
      <c r="O471" s="93">
        <f t="shared" si="206"/>
        <v>0</v>
      </c>
      <c r="P471" s="93">
        <f t="shared" si="207"/>
        <v>0</v>
      </c>
      <c r="Q471" s="597"/>
      <c r="R471" s="597"/>
      <c r="S471" s="597"/>
      <c r="T471" s="597"/>
      <c r="U471" s="597"/>
      <c r="V471" s="597"/>
      <c r="W471" s="597"/>
      <c r="X471" s="597"/>
      <c r="Y471" s="597"/>
      <c r="Z471" s="597"/>
    </row>
    <row r="472" spans="1:26" ht="18.75" hidden="1">
      <c r="A472" s="592"/>
      <c r="B472" s="600"/>
      <c r="C472" s="750"/>
      <c r="D472" s="711"/>
      <c r="E472" s="750" t="s">
        <v>185</v>
      </c>
      <c r="F472" s="750"/>
      <c r="G472" s="596"/>
      <c r="H472" s="165" t="s">
        <v>12</v>
      </c>
      <c r="I472" s="610"/>
      <c r="J472" s="610"/>
      <c r="K472" s="93"/>
      <c r="L472" s="93">
        <f ca="1">IFERROR(__xludf.DUMMYFUNCTION("IMPORTRANGE(""https://docs.google.com/spreadsheets/d/1QqKyyYR6Q21VydFLVH3TRQUabQu_ym0Zz7PgGX0-kHA/edit?usp=sharing"",""แผน!FS64"")"),0)</f>
        <v>0</v>
      </c>
      <c r="M472" s="93">
        <v>0</v>
      </c>
      <c r="N472" s="93">
        <f>N473+N474+N475+N476</f>
        <v>0</v>
      </c>
      <c r="O472" s="93">
        <f t="shared" ca="1" si="206"/>
        <v>0</v>
      </c>
      <c r="P472" s="93">
        <f t="shared" si="207"/>
        <v>0</v>
      </c>
      <c r="Q472" s="597"/>
      <c r="R472" s="597"/>
      <c r="S472" s="597"/>
      <c r="T472" s="597"/>
      <c r="U472" s="597"/>
      <c r="V472" s="597"/>
      <c r="W472" s="597"/>
      <c r="X472" s="597"/>
      <c r="Y472" s="597"/>
      <c r="Z472" s="597"/>
    </row>
    <row r="473" spans="1:26" ht="18.75" hidden="1">
      <c r="A473" s="567"/>
      <c r="B473" s="568"/>
      <c r="C473" s="754"/>
      <c r="D473" s="754"/>
      <c r="E473" s="754"/>
      <c r="F473" s="754" t="s">
        <v>186</v>
      </c>
      <c r="G473" s="189"/>
      <c r="H473" s="161" t="s">
        <v>12</v>
      </c>
      <c r="I473" s="269"/>
      <c r="J473" s="269"/>
      <c r="K473" s="496"/>
      <c r="L473" s="496"/>
      <c r="M473" s="496"/>
      <c r="N473" s="817">
        <v>0</v>
      </c>
      <c r="O473" s="496"/>
      <c r="P473" s="496"/>
      <c r="Q473" s="571"/>
      <c r="R473" s="571"/>
      <c r="S473" s="571"/>
      <c r="T473" s="571"/>
      <c r="U473" s="571"/>
      <c r="V473" s="571"/>
      <c r="W473" s="571"/>
      <c r="X473" s="571"/>
      <c r="Y473" s="571"/>
      <c r="Z473" s="571"/>
    </row>
    <row r="474" spans="1:26" ht="18.75" hidden="1">
      <c r="A474" s="567"/>
      <c r="B474" s="568"/>
      <c r="C474" s="754"/>
      <c r="D474" s="754"/>
      <c r="E474" s="754"/>
      <c r="F474" s="754" t="s">
        <v>187</v>
      </c>
      <c r="G474" s="189"/>
      <c r="H474" s="161" t="s">
        <v>12</v>
      </c>
      <c r="I474" s="269"/>
      <c r="J474" s="269"/>
      <c r="K474" s="496"/>
      <c r="L474" s="496"/>
      <c r="M474" s="496"/>
      <c r="N474" s="817">
        <v>0</v>
      </c>
      <c r="O474" s="496"/>
      <c r="P474" s="496"/>
      <c r="Q474" s="571"/>
      <c r="R474" s="571"/>
      <c r="S474" s="571"/>
      <c r="T474" s="571"/>
      <c r="U474" s="571"/>
      <c r="V474" s="571"/>
      <c r="W474" s="571"/>
      <c r="X474" s="571"/>
      <c r="Y474" s="571"/>
      <c r="Z474" s="571"/>
    </row>
    <row r="475" spans="1:26" ht="18.75" hidden="1">
      <c r="A475" s="567"/>
      <c r="B475" s="568"/>
      <c r="C475" s="568"/>
      <c r="D475" s="568"/>
      <c r="E475" s="568"/>
      <c r="F475" s="754" t="s">
        <v>188</v>
      </c>
      <c r="G475" s="189"/>
      <c r="H475" s="161" t="s">
        <v>12</v>
      </c>
      <c r="I475" s="269"/>
      <c r="J475" s="269"/>
      <c r="K475" s="496"/>
      <c r="L475" s="496"/>
      <c r="M475" s="496"/>
      <c r="N475" s="817">
        <v>0</v>
      </c>
      <c r="O475" s="496"/>
      <c r="P475" s="496"/>
      <c r="Q475" s="571"/>
      <c r="R475" s="571"/>
      <c r="S475" s="571"/>
      <c r="T475" s="571"/>
      <c r="U475" s="571"/>
      <c r="V475" s="571"/>
      <c r="W475" s="571"/>
      <c r="X475" s="571"/>
      <c r="Y475" s="571"/>
      <c r="Z475" s="571"/>
    </row>
    <row r="476" spans="1:26" ht="18.75" hidden="1">
      <c r="A476" s="567"/>
      <c r="B476" s="568"/>
      <c r="C476" s="568"/>
      <c r="D476" s="568"/>
      <c r="E476" s="568"/>
      <c r="F476" s="754" t="s">
        <v>189</v>
      </c>
      <c r="G476" s="189"/>
      <c r="H476" s="161" t="s">
        <v>12</v>
      </c>
      <c r="I476" s="269"/>
      <c r="J476" s="269"/>
      <c r="K476" s="496"/>
      <c r="L476" s="496"/>
      <c r="M476" s="496"/>
      <c r="N476" s="817">
        <v>0</v>
      </c>
      <c r="O476" s="496"/>
      <c r="P476" s="496"/>
      <c r="Q476" s="571"/>
      <c r="R476" s="571"/>
      <c r="S476" s="571"/>
      <c r="T476" s="571"/>
      <c r="U476" s="571"/>
      <c r="V476" s="571"/>
      <c r="W476" s="571"/>
      <c r="X476" s="571"/>
      <c r="Y476" s="571"/>
      <c r="Z476" s="571"/>
    </row>
    <row r="477" spans="1:26" ht="18.75" hidden="1">
      <c r="A477" s="590"/>
      <c r="B477" s="568"/>
      <c r="C477" s="568"/>
      <c r="D477" s="599" t="s">
        <v>21</v>
      </c>
      <c r="E477" s="568"/>
      <c r="F477" s="568"/>
      <c r="G477" s="189"/>
      <c r="H477" s="168" t="s">
        <v>12</v>
      </c>
      <c r="I477" s="184"/>
      <c r="J477" s="184"/>
      <c r="K477" s="163"/>
      <c r="L477" s="496">
        <f t="shared" ref="L477:N477" ca="1" si="210">L478+L479</f>
        <v>0</v>
      </c>
      <c r="M477" s="496">
        <f t="shared" si="210"/>
        <v>0</v>
      </c>
      <c r="N477" s="496">
        <f t="shared" si="210"/>
        <v>0</v>
      </c>
      <c r="O477" s="496">
        <f t="shared" ref="O477:O479" ca="1" si="211">IF(L477&gt;0,N477*100/L477,0)</f>
        <v>0</v>
      </c>
      <c r="P477" s="496">
        <f t="shared" ref="P477:P479" si="212">IF(M477&gt;0,N477*100/M477,0)</f>
        <v>0</v>
      </c>
      <c r="Q477" s="571"/>
      <c r="R477" s="571"/>
      <c r="S477" s="571"/>
      <c r="T477" s="571"/>
      <c r="U477" s="571"/>
      <c r="V477" s="571"/>
      <c r="W477" s="571"/>
      <c r="X477" s="571"/>
      <c r="Y477" s="571"/>
      <c r="Z477" s="571"/>
    </row>
    <row r="478" spans="1:26" ht="18.75" hidden="1">
      <c r="A478" s="592"/>
      <c r="B478" s="600"/>
      <c r="C478" s="600"/>
      <c r="D478" s="600"/>
      <c r="E478" s="600" t="s">
        <v>18</v>
      </c>
      <c r="F478" s="600"/>
      <c r="G478" s="596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1"/>
        <v>0</v>
      </c>
      <c r="P478" s="93">
        <f t="shared" si="212"/>
        <v>0</v>
      </c>
      <c r="Q478" s="597"/>
      <c r="R478" s="597"/>
      <c r="S478" s="597"/>
      <c r="T478" s="597"/>
      <c r="U478" s="597"/>
      <c r="V478" s="597"/>
      <c r="W478" s="597"/>
      <c r="X478" s="597"/>
      <c r="Y478" s="597"/>
      <c r="Z478" s="597"/>
    </row>
    <row r="479" spans="1:26" ht="18.75" hidden="1">
      <c r="A479" s="592"/>
      <c r="B479" s="600"/>
      <c r="C479" s="600"/>
      <c r="D479" s="600"/>
      <c r="E479" s="600" t="s">
        <v>19</v>
      </c>
      <c r="F479" s="600"/>
      <c r="G479" s="596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IFERROR(__xludf.DUMMYFUNCTION("IMPORTRANGE(""https://docs.google.com/spreadsheets/d/1QqKyyYR6Q21VydFLVH3TRQUabQu_ym0Zz7PgGX0-kHA/edit?usp=sharing"",""แผน!FV64"")"),0)</f>
        <v>0</v>
      </c>
      <c r="M479" s="93">
        <v>0</v>
      </c>
      <c r="N479" s="93">
        <v>0</v>
      </c>
      <c r="O479" s="93">
        <f t="shared" ca="1" si="211"/>
        <v>0</v>
      </c>
      <c r="P479" s="93">
        <f t="shared" si="212"/>
        <v>0</v>
      </c>
      <c r="Q479" s="597"/>
      <c r="R479" s="597"/>
      <c r="S479" s="597"/>
      <c r="T479" s="597"/>
      <c r="U479" s="597"/>
      <c r="V479" s="597"/>
      <c r="W479" s="597"/>
      <c r="X479" s="597"/>
      <c r="Y479" s="597"/>
      <c r="Z479" s="597"/>
    </row>
    <row r="480" spans="1:26" ht="19.5" hidden="1">
      <c r="A480" s="601"/>
      <c r="B480" s="611"/>
      <c r="C480" s="568" t="s">
        <v>16</v>
      </c>
      <c r="D480" s="837" t="s">
        <v>38</v>
      </c>
      <c r="E480" s="604"/>
      <c r="F480" s="752"/>
      <c r="G480" s="606"/>
      <c r="H480" s="753"/>
      <c r="I480" s="269"/>
      <c r="J480" s="269"/>
      <c r="K480" s="496"/>
      <c r="L480" s="496"/>
      <c r="M480" s="496"/>
      <c r="N480" s="496"/>
      <c r="O480" s="496"/>
      <c r="P480" s="496"/>
      <c r="Q480" s="571"/>
      <c r="R480" s="571"/>
      <c r="S480" s="571"/>
      <c r="T480" s="571"/>
      <c r="U480" s="571"/>
      <c r="V480" s="571"/>
      <c r="W480" s="571"/>
      <c r="X480" s="571"/>
      <c r="Y480" s="571"/>
      <c r="Z480" s="571"/>
    </row>
    <row r="481" spans="1:26" ht="19.5" hidden="1">
      <c r="A481" s="601"/>
      <c r="B481" s="611"/>
      <c r="C481" s="611"/>
      <c r="D481" s="618" t="s">
        <v>206</v>
      </c>
      <c r="E481" s="611"/>
      <c r="F481" s="611"/>
      <c r="G481" s="753"/>
      <c r="H481" s="189"/>
      <c r="I481" s="269"/>
      <c r="J481" s="269"/>
      <c r="K481" s="496"/>
      <c r="L481" s="496"/>
      <c r="M481" s="496"/>
      <c r="N481" s="496"/>
      <c r="O481" s="496"/>
      <c r="P481" s="496"/>
      <c r="Q481" s="571"/>
      <c r="R481" s="571"/>
      <c r="S481" s="571"/>
      <c r="T481" s="571"/>
      <c r="U481" s="571"/>
      <c r="V481" s="571"/>
      <c r="W481" s="571"/>
      <c r="X481" s="571"/>
      <c r="Y481" s="571"/>
      <c r="Z481" s="571"/>
    </row>
    <row r="482" spans="1:26" ht="18.75" hidden="1">
      <c r="A482" s="601"/>
      <c r="B482" s="611"/>
      <c r="C482" s="611"/>
      <c r="D482" s="611"/>
      <c r="E482" s="611" t="s">
        <v>207</v>
      </c>
      <c r="F482" s="611"/>
      <c r="G482" s="753"/>
      <c r="H482" s="189"/>
      <c r="I482" s="269"/>
      <c r="J482" s="269"/>
      <c r="K482" s="496"/>
      <c r="L482" s="496"/>
      <c r="M482" s="496"/>
      <c r="N482" s="496"/>
      <c r="O482" s="496"/>
      <c r="P482" s="496"/>
      <c r="Q482" s="571"/>
      <c r="R482" s="571"/>
      <c r="S482" s="571"/>
      <c r="T482" s="571"/>
      <c r="U482" s="571"/>
      <c r="V482" s="571"/>
      <c r="W482" s="571"/>
      <c r="X482" s="571"/>
      <c r="Y482" s="571"/>
      <c r="Z482" s="571"/>
    </row>
    <row r="483" spans="1:26" ht="18.75" hidden="1">
      <c r="A483" s="601"/>
      <c r="B483" s="611"/>
      <c r="C483" s="611"/>
      <c r="D483" s="611"/>
      <c r="E483" s="611"/>
      <c r="F483" s="611" t="s">
        <v>208</v>
      </c>
      <c r="G483" s="753"/>
      <c r="H483" s="616" t="s">
        <v>46</v>
      </c>
      <c r="I483" s="269">
        <f ca="1">IFERROR(__xludf.DUMMYFUNCTION("IMPORTRANGE(""https://docs.google.com/spreadsheets/d/1QqKyyYR6Q21VydFLVH3TRQUabQu_ym0Zz7PgGX0-kHA/edit?usp=sharing"",""แผน!FY64"")"),0)</f>
        <v>0</v>
      </c>
      <c r="J483" s="214">
        <v>0</v>
      </c>
      <c r="K483" s="496">
        <f ca="1">IF(I483&gt;0,J483*100/I483,0)</f>
        <v>0</v>
      </c>
      <c r="L483" s="496"/>
      <c r="M483" s="496"/>
      <c r="N483" s="496"/>
      <c r="O483" s="496"/>
      <c r="P483" s="496"/>
      <c r="Q483" s="571"/>
      <c r="R483" s="571"/>
      <c r="S483" s="571"/>
      <c r="T483" s="571"/>
      <c r="U483" s="571"/>
      <c r="V483" s="571"/>
      <c r="W483" s="571"/>
      <c r="X483" s="571"/>
      <c r="Y483" s="571"/>
      <c r="Z483" s="571"/>
    </row>
    <row r="484" spans="1:26" ht="18.75" hidden="1">
      <c r="A484" s="601"/>
      <c r="B484" s="611"/>
      <c r="C484" s="611"/>
      <c r="D484" s="611"/>
      <c r="E484" s="611"/>
      <c r="F484" s="611" t="s">
        <v>209</v>
      </c>
      <c r="G484" s="753"/>
      <c r="H484" s="616" t="s">
        <v>35</v>
      </c>
      <c r="I484" s="269"/>
      <c r="J484" s="214">
        <v>0</v>
      </c>
      <c r="K484" s="496"/>
      <c r="L484" s="496"/>
      <c r="M484" s="496"/>
      <c r="N484" s="496"/>
      <c r="O484" s="496"/>
      <c r="P484" s="496"/>
      <c r="Q484" s="571"/>
      <c r="R484" s="571"/>
      <c r="S484" s="571"/>
      <c r="T484" s="571"/>
      <c r="U484" s="571"/>
      <c r="V484" s="571"/>
      <c r="W484" s="571"/>
      <c r="X484" s="571"/>
      <c r="Y484" s="571"/>
      <c r="Z484" s="571"/>
    </row>
    <row r="485" spans="1:26" ht="18.75" hidden="1">
      <c r="A485" s="601"/>
      <c r="B485" s="611"/>
      <c r="C485" s="611"/>
      <c r="D485" s="611"/>
      <c r="E485" s="611"/>
      <c r="F485" s="611" t="s">
        <v>210</v>
      </c>
      <c r="G485" s="753"/>
      <c r="H485" s="616" t="s">
        <v>35</v>
      </c>
      <c r="I485" s="269">
        <f ca="1">IFERROR(__xludf.DUMMYFUNCTION("IMPORTRANGE(""https://docs.google.com/spreadsheets/d/1QqKyyYR6Q21VydFLVH3TRQUabQu_ym0Zz7PgGX0-kHA/edit?usp=sharing"",""แผน!FZ64"")"),0)</f>
        <v>0</v>
      </c>
      <c r="J485" s="214">
        <v>0</v>
      </c>
      <c r="K485" s="496">
        <f ca="1">IF(I485&gt;0,J485*100/I485,0)</f>
        <v>0</v>
      </c>
      <c r="L485" s="496"/>
      <c r="M485" s="496"/>
      <c r="N485" s="496"/>
      <c r="O485" s="496"/>
      <c r="P485" s="496"/>
      <c r="Q485" s="571"/>
      <c r="R485" s="571"/>
      <c r="S485" s="571"/>
      <c r="T485" s="571"/>
      <c r="U485" s="571"/>
      <c r="V485" s="571"/>
      <c r="W485" s="571"/>
      <c r="X485" s="571"/>
      <c r="Y485" s="571"/>
      <c r="Z485" s="571"/>
    </row>
    <row r="486" spans="1:26" ht="18.75" hidden="1">
      <c r="A486" s="601"/>
      <c r="B486" s="611"/>
      <c r="C486" s="611"/>
      <c r="D486" s="611"/>
      <c r="E486" s="611" t="s">
        <v>62</v>
      </c>
      <c r="F486" s="611"/>
      <c r="G486" s="753"/>
      <c r="H486" s="616"/>
      <c r="I486" s="269"/>
      <c r="J486" s="269"/>
      <c r="K486" s="496"/>
      <c r="L486" s="496"/>
      <c r="M486" s="496"/>
      <c r="N486" s="496"/>
      <c r="O486" s="496"/>
      <c r="P486" s="496"/>
      <c r="Q486" s="571"/>
      <c r="R486" s="571"/>
      <c r="S486" s="571"/>
      <c r="T486" s="571"/>
      <c r="U486" s="571"/>
      <c r="V486" s="571"/>
      <c r="W486" s="571"/>
      <c r="X486" s="571"/>
      <c r="Y486" s="571"/>
      <c r="Z486" s="571"/>
    </row>
    <row r="487" spans="1:26" ht="18.75" hidden="1">
      <c r="A487" s="601"/>
      <c r="B487" s="611"/>
      <c r="C487" s="611"/>
      <c r="D487" s="611"/>
      <c r="E487" s="611"/>
      <c r="F487" s="611" t="s">
        <v>208</v>
      </c>
      <c r="G487" s="753"/>
      <c r="H487" s="616" t="s">
        <v>46</v>
      </c>
      <c r="I487" s="269">
        <f ca="1">IFERROR(__xludf.DUMMYFUNCTION("IMPORTRANGE(""https://docs.google.com/spreadsheets/d/1QqKyyYR6Q21VydFLVH3TRQUabQu_ym0Zz7PgGX0-kHA/edit?usp=sharing"",""แผน!GA64"")"),0)</f>
        <v>0</v>
      </c>
      <c r="J487" s="214">
        <v>0</v>
      </c>
      <c r="K487" s="496">
        <f ca="1">IF(I487&gt;0,J487*100/I487,0)</f>
        <v>0</v>
      </c>
      <c r="L487" s="496"/>
      <c r="M487" s="496"/>
      <c r="N487" s="496"/>
      <c r="O487" s="496"/>
      <c r="P487" s="496"/>
      <c r="Q487" s="571"/>
      <c r="R487" s="571"/>
      <c r="S487" s="571"/>
      <c r="T487" s="571"/>
      <c r="U487" s="571"/>
      <c r="V487" s="571"/>
      <c r="W487" s="571"/>
      <c r="X487" s="571"/>
      <c r="Y487" s="571"/>
      <c r="Z487" s="571"/>
    </row>
    <row r="488" spans="1:26" ht="18.75" hidden="1">
      <c r="A488" s="601"/>
      <c r="B488" s="611"/>
      <c r="C488" s="611"/>
      <c r="D488" s="611"/>
      <c r="E488" s="611"/>
      <c r="F488" s="611" t="s">
        <v>211</v>
      </c>
      <c r="G488" s="753"/>
      <c r="H488" s="616" t="s">
        <v>35</v>
      </c>
      <c r="I488" s="269"/>
      <c r="J488" s="214">
        <v>0</v>
      </c>
      <c r="K488" s="496"/>
      <c r="L488" s="496"/>
      <c r="M488" s="496"/>
      <c r="N488" s="496"/>
      <c r="O488" s="496"/>
      <c r="P488" s="496"/>
      <c r="Q488" s="571"/>
      <c r="R488" s="571"/>
      <c r="S488" s="571"/>
      <c r="T488" s="571"/>
      <c r="U488" s="571"/>
      <c r="V488" s="571"/>
      <c r="W488" s="571"/>
      <c r="X488" s="571"/>
      <c r="Y488" s="571"/>
      <c r="Z488" s="571"/>
    </row>
    <row r="489" spans="1:26" ht="18.75" hidden="1">
      <c r="A489" s="601"/>
      <c r="B489" s="611"/>
      <c r="C489" s="611"/>
      <c r="D489" s="611"/>
      <c r="E489" s="611"/>
      <c r="F489" s="611" t="s">
        <v>212</v>
      </c>
      <c r="G489" s="753"/>
      <c r="H489" s="616" t="s">
        <v>35</v>
      </c>
      <c r="I489" s="269">
        <f ca="1">IFERROR(__xludf.DUMMYFUNCTION("IMPORTRANGE(""https://docs.google.com/spreadsheets/d/1QqKyyYR6Q21VydFLVH3TRQUabQu_ym0Zz7PgGX0-kHA/edit?usp=sharing"",""แผน!GB64"")"),0)</f>
        <v>0</v>
      </c>
      <c r="J489" s="214">
        <v>0</v>
      </c>
      <c r="K489" s="496">
        <f ca="1">IF(I489&gt;0,J489*100/I489,0)</f>
        <v>0</v>
      </c>
      <c r="L489" s="496"/>
      <c r="M489" s="496"/>
      <c r="N489" s="496"/>
      <c r="O489" s="496"/>
      <c r="P489" s="496"/>
      <c r="Q489" s="571"/>
      <c r="R489" s="571"/>
      <c r="S489" s="571"/>
      <c r="T489" s="571"/>
      <c r="U489" s="571"/>
      <c r="V489" s="571"/>
      <c r="W489" s="571"/>
      <c r="X489" s="571"/>
      <c r="Y489" s="571"/>
      <c r="Z489" s="571"/>
    </row>
    <row r="490" spans="1:26" ht="18.75" hidden="1">
      <c r="A490" s="601"/>
      <c r="B490" s="611"/>
      <c r="C490" s="611"/>
      <c r="D490" s="611"/>
      <c r="E490" s="611" t="s">
        <v>63</v>
      </c>
      <c r="F490" s="619"/>
      <c r="G490" s="753"/>
      <c r="H490" s="616"/>
      <c r="I490" s="269"/>
      <c r="J490" s="269"/>
      <c r="K490" s="496"/>
      <c r="L490" s="496"/>
      <c r="M490" s="496"/>
      <c r="N490" s="496"/>
      <c r="O490" s="496"/>
      <c r="P490" s="496"/>
      <c r="Q490" s="571"/>
      <c r="R490" s="571"/>
      <c r="S490" s="571"/>
      <c r="T490" s="571"/>
      <c r="U490" s="571"/>
      <c r="V490" s="571"/>
      <c r="W490" s="571"/>
      <c r="X490" s="571"/>
      <c r="Y490" s="571"/>
      <c r="Z490" s="571"/>
    </row>
    <row r="491" spans="1:26" ht="18.75" hidden="1">
      <c r="A491" s="601"/>
      <c r="B491" s="611"/>
      <c r="C491" s="611"/>
      <c r="D491" s="611"/>
      <c r="E491" s="611"/>
      <c r="F491" s="611" t="s">
        <v>213</v>
      </c>
      <c r="G491" s="753"/>
      <c r="H491" s="616" t="s">
        <v>35</v>
      </c>
      <c r="I491" s="269"/>
      <c r="J491" s="214">
        <v>0</v>
      </c>
      <c r="K491" s="496"/>
      <c r="L491" s="496"/>
      <c r="M491" s="496"/>
      <c r="N491" s="496"/>
      <c r="O491" s="496"/>
      <c r="P491" s="496"/>
      <c r="Q491" s="571"/>
      <c r="R491" s="571"/>
      <c r="S491" s="571"/>
      <c r="T491" s="571"/>
      <c r="U491" s="571"/>
      <c r="V491" s="571"/>
      <c r="W491" s="571"/>
      <c r="X491" s="571"/>
      <c r="Y491" s="571"/>
      <c r="Z491" s="571"/>
    </row>
    <row r="492" spans="1:26" ht="18.75" hidden="1">
      <c r="A492" s="601"/>
      <c r="B492" s="611"/>
      <c r="C492" s="611"/>
      <c r="D492" s="611"/>
      <c r="E492" s="611"/>
      <c r="F492" s="611" t="s">
        <v>214</v>
      </c>
      <c r="G492" s="753"/>
      <c r="H492" s="616" t="s">
        <v>35</v>
      </c>
      <c r="I492" s="269">
        <f ca="1">IFERROR(__xludf.DUMMYFUNCTION("IMPORTRANGE(""https://docs.google.com/spreadsheets/d/1QqKyyYR6Q21VydFLVH3TRQUabQu_ym0Zz7PgGX0-kHA/edit?usp=sharing"",""แผน!GC64"")"),0)</f>
        <v>0</v>
      </c>
      <c r="J492" s="214">
        <v>0</v>
      </c>
      <c r="K492" s="496">
        <f ca="1">IF(I492&gt;0,J492*100/I492,0)</f>
        <v>0</v>
      </c>
      <c r="L492" s="496"/>
      <c r="M492" s="496"/>
      <c r="N492" s="496"/>
      <c r="O492" s="496"/>
      <c r="P492" s="496"/>
      <c r="Q492" s="571"/>
      <c r="R492" s="571"/>
      <c r="S492" s="571"/>
      <c r="T492" s="571"/>
      <c r="U492" s="571"/>
      <c r="V492" s="571"/>
      <c r="W492" s="571"/>
      <c r="X492" s="571"/>
      <c r="Y492" s="571"/>
      <c r="Z492" s="571"/>
    </row>
    <row r="493" spans="1:26" ht="19.5" hidden="1">
      <c r="A493" s="601"/>
      <c r="B493" s="611"/>
      <c r="C493" s="611"/>
      <c r="D493" s="618" t="s">
        <v>59</v>
      </c>
      <c r="E493" s="611"/>
      <c r="F493" s="619"/>
      <c r="G493" s="753"/>
      <c r="H493" s="189"/>
      <c r="I493" s="269"/>
      <c r="J493" s="269"/>
      <c r="K493" s="496"/>
      <c r="L493" s="496"/>
      <c r="M493" s="496"/>
      <c r="N493" s="496"/>
      <c r="O493" s="496"/>
      <c r="P493" s="496"/>
      <c r="Q493" s="571"/>
      <c r="R493" s="571"/>
      <c r="S493" s="571"/>
      <c r="T493" s="571"/>
      <c r="U493" s="571"/>
      <c r="V493" s="571"/>
      <c r="W493" s="571"/>
      <c r="X493" s="571"/>
      <c r="Y493" s="571"/>
      <c r="Z493" s="571"/>
    </row>
    <row r="494" spans="1:26" ht="18.75" hidden="1">
      <c r="A494" s="601"/>
      <c r="B494" s="611"/>
      <c r="C494" s="611"/>
      <c r="D494" s="611"/>
      <c r="E494" s="611" t="s">
        <v>207</v>
      </c>
      <c r="F494" s="619"/>
      <c r="G494" s="753"/>
      <c r="H494" s="189"/>
      <c r="I494" s="269"/>
      <c r="J494" s="269"/>
      <c r="K494" s="496"/>
      <c r="L494" s="496"/>
      <c r="M494" s="496"/>
      <c r="N494" s="496"/>
      <c r="O494" s="496"/>
      <c r="P494" s="496"/>
      <c r="Q494" s="571"/>
      <c r="R494" s="571"/>
      <c r="S494" s="571"/>
      <c r="T494" s="571"/>
      <c r="U494" s="571"/>
      <c r="V494" s="571"/>
      <c r="W494" s="571"/>
      <c r="X494" s="571"/>
      <c r="Y494" s="571"/>
      <c r="Z494" s="571"/>
    </row>
    <row r="495" spans="1:26" ht="18.75" hidden="1">
      <c r="A495" s="601"/>
      <c r="B495" s="611"/>
      <c r="C495" s="611"/>
      <c r="D495" s="611"/>
      <c r="E495" s="611"/>
      <c r="F495" s="619" t="s">
        <v>215</v>
      </c>
      <c r="G495" s="753"/>
      <c r="H495" s="616" t="s">
        <v>46</v>
      </c>
      <c r="I495" s="269">
        <f ca="1">IFERROR(__xludf.DUMMYFUNCTION("IMPORTRANGE(""https://docs.google.com/spreadsheets/d/1QqKyyYR6Q21VydFLVH3TRQUabQu_ym0Zz7PgGX0-kHA/edit?usp=sharing"",""แผน!FY64"")"),0)</f>
        <v>0</v>
      </c>
      <c r="J495" s="214">
        <v>0</v>
      </c>
      <c r="K495" s="496">
        <f ca="1">IF(I495&gt;0,J495*100/I495,0)</f>
        <v>0</v>
      </c>
      <c r="L495" s="496"/>
      <c r="M495" s="496"/>
      <c r="N495" s="496"/>
      <c r="O495" s="496"/>
      <c r="P495" s="496"/>
      <c r="Q495" s="571"/>
      <c r="R495" s="571"/>
      <c r="S495" s="571"/>
      <c r="T495" s="571"/>
      <c r="U495" s="571"/>
      <c r="V495" s="571"/>
      <c r="W495" s="571"/>
      <c r="X495" s="571"/>
      <c r="Y495" s="571"/>
      <c r="Z495" s="571"/>
    </row>
    <row r="496" spans="1:26" ht="18.75" hidden="1">
      <c r="A496" s="601"/>
      <c r="B496" s="611"/>
      <c r="C496" s="611"/>
      <c r="D496" s="611"/>
      <c r="E496" s="611"/>
      <c r="F496" s="619" t="s">
        <v>216</v>
      </c>
      <c r="G496" s="753"/>
      <c r="H496" s="616" t="s">
        <v>46</v>
      </c>
      <c r="I496" s="269"/>
      <c r="J496" s="214">
        <v>0</v>
      </c>
      <c r="K496" s="496"/>
      <c r="L496" s="496"/>
      <c r="M496" s="496"/>
      <c r="N496" s="496"/>
      <c r="O496" s="496"/>
      <c r="P496" s="496"/>
      <c r="Q496" s="571"/>
      <c r="R496" s="571"/>
      <c r="S496" s="571"/>
      <c r="T496" s="571"/>
      <c r="U496" s="571"/>
      <c r="V496" s="571"/>
      <c r="W496" s="571"/>
      <c r="X496" s="571"/>
      <c r="Y496" s="571"/>
      <c r="Z496" s="571"/>
    </row>
    <row r="497" spans="1:26" ht="18.75" hidden="1">
      <c r="A497" s="601"/>
      <c r="B497" s="611"/>
      <c r="C497" s="611"/>
      <c r="D497" s="611"/>
      <c r="E497" s="611" t="s">
        <v>62</v>
      </c>
      <c r="F497" s="619"/>
      <c r="G497" s="753"/>
      <c r="H497" s="189"/>
      <c r="I497" s="269"/>
      <c r="J497" s="269"/>
      <c r="K497" s="496"/>
      <c r="L497" s="496"/>
      <c r="M497" s="496"/>
      <c r="N497" s="496"/>
      <c r="O497" s="496"/>
      <c r="P497" s="496"/>
      <c r="Q497" s="571"/>
      <c r="R497" s="571"/>
      <c r="S497" s="571"/>
      <c r="T497" s="571"/>
      <c r="U497" s="571"/>
      <c r="V497" s="571"/>
      <c r="W497" s="571"/>
      <c r="X497" s="571"/>
      <c r="Y497" s="571"/>
      <c r="Z497" s="571"/>
    </row>
    <row r="498" spans="1:26" ht="18.75" hidden="1">
      <c r="A498" s="601"/>
      <c r="B498" s="611"/>
      <c r="C498" s="611"/>
      <c r="D498" s="611"/>
      <c r="E498" s="619"/>
      <c r="F498" s="619" t="s">
        <v>217</v>
      </c>
      <c r="G498" s="753"/>
      <c r="H498" s="616" t="s">
        <v>46</v>
      </c>
      <c r="I498" s="269">
        <f ca="1">IFERROR(__xludf.DUMMYFUNCTION("IMPORTRANGE(""https://docs.google.com/spreadsheets/d/1QqKyyYR6Q21VydFLVH3TRQUabQu_ym0Zz7PgGX0-kHA/edit?usp=sharing"",""แผน!GA64"")"),0)</f>
        <v>0</v>
      </c>
      <c r="J498" s="214">
        <v>0</v>
      </c>
      <c r="K498" s="496">
        <f ca="1">IF(I498&gt;0,J498*100/I498,0)</f>
        <v>0</v>
      </c>
      <c r="L498" s="496"/>
      <c r="M498" s="496"/>
      <c r="N498" s="496"/>
      <c r="O498" s="496"/>
      <c r="P498" s="496"/>
      <c r="Q498" s="571"/>
      <c r="R498" s="571"/>
      <c r="S498" s="571"/>
      <c r="T498" s="571"/>
      <c r="U498" s="571"/>
      <c r="V498" s="571"/>
      <c r="W498" s="571"/>
      <c r="X498" s="571"/>
      <c r="Y498" s="571"/>
      <c r="Z498" s="571"/>
    </row>
    <row r="499" spans="1:26" ht="18.75" hidden="1">
      <c r="A499" s="601"/>
      <c r="B499" s="611"/>
      <c r="C499" s="611"/>
      <c r="D499" s="611"/>
      <c r="E499" s="619"/>
      <c r="F499" s="619" t="s">
        <v>218</v>
      </c>
      <c r="G499" s="753"/>
      <c r="H499" s="616" t="s">
        <v>46</v>
      </c>
      <c r="I499" s="269"/>
      <c r="J499" s="214">
        <v>0</v>
      </c>
      <c r="K499" s="496"/>
      <c r="L499" s="496"/>
      <c r="M499" s="496"/>
      <c r="N499" s="496"/>
      <c r="O499" s="496"/>
      <c r="P499" s="496"/>
      <c r="Q499" s="571"/>
      <c r="R499" s="571"/>
      <c r="S499" s="571"/>
      <c r="T499" s="571"/>
      <c r="U499" s="571"/>
      <c r="V499" s="571"/>
      <c r="W499" s="571"/>
      <c r="X499" s="571"/>
      <c r="Y499" s="571"/>
      <c r="Z499" s="571"/>
    </row>
    <row r="500" spans="1:26" ht="19.5" hidden="1">
      <c r="A500" s="620">
        <v>4</v>
      </c>
      <c r="B500" s="621" t="s">
        <v>219</v>
      </c>
      <c r="C500" s="622"/>
      <c r="D500" s="623"/>
      <c r="E500" s="623"/>
      <c r="F500" s="623"/>
      <c r="G500" s="624"/>
      <c r="H500" s="625" t="s">
        <v>109</v>
      </c>
      <c r="I500" s="626"/>
      <c r="J500" s="626">
        <f t="shared" ref="J500:J501" si="213">J516</f>
        <v>0</v>
      </c>
      <c r="K500" s="627">
        <f t="shared" ref="K500:K501" si="214">IF(I500&gt;0,J500*100/I500,0)</f>
        <v>0</v>
      </c>
      <c r="L500" s="628"/>
      <c r="M500" s="628"/>
      <c r="N500" s="628"/>
      <c r="O500" s="628"/>
      <c r="P500" s="628"/>
      <c r="Q500" s="597"/>
      <c r="R500" s="597"/>
      <c r="S500" s="597"/>
      <c r="T500" s="597"/>
      <c r="U500" s="597"/>
      <c r="V500" s="597"/>
      <c r="W500" s="597"/>
      <c r="X500" s="597"/>
      <c r="Y500" s="597"/>
      <c r="Z500" s="597"/>
    </row>
    <row r="501" spans="1:26" ht="19.5" hidden="1">
      <c r="A501" s="629"/>
      <c r="B501" s="631" t="s">
        <v>220</v>
      </c>
      <c r="C501" s="631"/>
      <c r="D501" s="632"/>
      <c r="E501" s="632"/>
      <c r="F501" s="632"/>
      <c r="G501" s="633"/>
      <c r="H501" s="634" t="s">
        <v>35</v>
      </c>
      <c r="I501" s="635"/>
      <c r="J501" s="635">
        <f t="shared" si="213"/>
        <v>0</v>
      </c>
      <c r="K501" s="636">
        <f t="shared" si="214"/>
        <v>0</v>
      </c>
      <c r="L501" s="637"/>
      <c r="M501" s="637"/>
      <c r="N501" s="637"/>
      <c r="O501" s="637"/>
      <c r="P501" s="637"/>
      <c r="Q501" s="597"/>
      <c r="R501" s="597"/>
      <c r="S501" s="597"/>
      <c r="T501" s="597"/>
      <c r="U501" s="597"/>
      <c r="V501" s="597"/>
      <c r="W501" s="597"/>
      <c r="X501" s="597"/>
      <c r="Y501" s="597"/>
      <c r="Z501" s="597"/>
    </row>
    <row r="502" spans="1:26" ht="19.5" hidden="1">
      <c r="A502" s="592"/>
      <c r="B502" s="750"/>
      <c r="C502" s="750" t="s">
        <v>16</v>
      </c>
      <c r="D502" s="864" t="s">
        <v>17</v>
      </c>
      <c r="E502" s="857"/>
      <c r="F502" s="857"/>
      <c r="G502" s="596"/>
      <c r="H502" s="639" t="s">
        <v>12</v>
      </c>
      <c r="I502" s="610"/>
      <c r="J502" s="610"/>
      <c r="K502" s="93"/>
      <c r="L502" s="640">
        <f t="shared" ref="L502:N502" si="215">L503+L504</f>
        <v>0</v>
      </c>
      <c r="M502" s="640">
        <f t="shared" si="215"/>
        <v>0</v>
      </c>
      <c r="N502" s="640">
        <f t="shared" si="215"/>
        <v>0</v>
      </c>
      <c r="O502" s="640">
        <f t="shared" ref="O502:O507" si="216">IF(L502&gt;0,N502*100/L502,0)</f>
        <v>0</v>
      </c>
      <c r="P502" s="640">
        <f t="shared" ref="P502:P507" si="217">IF(M502&gt;0,N502*100/M502,0)</f>
        <v>0</v>
      </c>
      <c r="Q502" s="597"/>
      <c r="R502" s="597"/>
      <c r="S502" s="597"/>
      <c r="T502" s="597"/>
      <c r="U502" s="597"/>
      <c r="V502" s="597"/>
      <c r="W502" s="597"/>
      <c r="X502" s="597"/>
      <c r="Y502" s="597"/>
      <c r="Z502" s="597"/>
    </row>
    <row r="503" spans="1:26" ht="18.75" hidden="1">
      <c r="A503" s="592"/>
      <c r="B503" s="750"/>
      <c r="C503" s="750"/>
      <c r="D503" s="711"/>
      <c r="E503" s="750" t="s">
        <v>184</v>
      </c>
      <c r="F503" s="750"/>
      <c r="G503" s="596"/>
      <c r="H503" s="165" t="s">
        <v>12</v>
      </c>
      <c r="I503" s="610"/>
      <c r="J503" s="610"/>
      <c r="K503" s="93"/>
      <c r="L503" s="93">
        <f t="shared" ref="L503:N504" si="218">L506+L513</f>
        <v>0</v>
      </c>
      <c r="M503" s="93">
        <f t="shared" si="218"/>
        <v>0</v>
      </c>
      <c r="N503" s="93">
        <f t="shared" si="218"/>
        <v>0</v>
      </c>
      <c r="O503" s="93">
        <f t="shared" si="216"/>
        <v>0</v>
      </c>
      <c r="P503" s="93">
        <f t="shared" si="217"/>
        <v>0</v>
      </c>
      <c r="Q503" s="597"/>
      <c r="R503" s="597"/>
      <c r="S503" s="597"/>
      <c r="T503" s="597"/>
      <c r="U503" s="597"/>
      <c r="V503" s="597"/>
      <c r="W503" s="597"/>
      <c r="X503" s="597"/>
      <c r="Y503" s="597"/>
      <c r="Z503" s="597"/>
    </row>
    <row r="504" spans="1:26" ht="18.75" hidden="1">
      <c r="A504" s="592"/>
      <c r="B504" s="600"/>
      <c r="C504" s="750"/>
      <c r="D504" s="711"/>
      <c r="E504" s="750" t="s">
        <v>185</v>
      </c>
      <c r="F504" s="750"/>
      <c r="G504" s="596"/>
      <c r="H504" s="165" t="s">
        <v>12</v>
      </c>
      <c r="I504" s="610"/>
      <c r="J504" s="610"/>
      <c r="K504" s="93"/>
      <c r="L504" s="93">
        <f t="shared" si="218"/>
        <v>0</v>
      </c>
      <c r="M504" s="93">
        <f t="shared" si="218"/>
        <v>0</v>
      </c>
      <c r="N504" s="93">
        <f t="shared" si="218"/>
        <v>0</v>
      </c>
      <c r="O504" s="93">
        <f t="shared" si="216"/>
        <v>0</v>
      </c>
      <c r="P504" s="93">
        <f t="shared" si="217"/>
        <v>0</v>
      </c>
      <c r="Q504" s="597"/>
      <c r="R504" s="597"/>
      <c r="S504" s="597"/>
      <c r="T504" s="597"/>
      <c r="U504" s="597"/>
      <c r="V504" s="597"/>
      <c r="W504" s="597"/>
      <c r="X504" s="597"/>
      <c r="Y504" s="597"/>
      <c r="Z504" s="597"/>
    </row>
    <row r="505" spans="1:26" ht="18.75" hidden="1">
      <c r="A505" s="592"/>
      <c r="B505" s="600"/>
      <c r="C505" s="750"/>
      <c r="D505" s="641" t="s">
        <v>20</v>
      </c>
      <c r="E505" s="750"/>
      <c r="F505" s="750"/>
      <c r="G505" s="596"/>
      <c r="H505" s="165" t="s">
        <v>12</v>
      </c>
      <c r="I505" s="166"/>
      <c r="J505" s="166"/>
      <c r="K505" s="167"/>
      <c r="L505" s="93">
        <f t="shared" ref="L505:N505" si="219">L506+L507</f>
        <v>0</v>
      </c>
      <c r="M505" s="93">
        <f t="shared" si="219"/>
        <v>0</v>
      </c>
      <c r="N505" s="93">
        <f t="shared" si="219"/>
        <v>0</v>
      </c>
      <c r="O505" s="93">
        <f t="shared" si="216"/>
        <v>0</v>
      </c>
      <c r="P505" s="93">
        <f t="shared" si="217"/>
        <v>0</v>
      </c>
      <c r="Q505" s="597"/>
      <c r="R505" s="597"/>
      <c r="S505" s="597"/>
      <c r="T505" s="597"/>
      <c r="U505" s="597"/>
      <c r="V505" s="597"/>
      <c r="W505" s="597"/>
      <c r="X505" s="597"/>
      <c r="Y505" s="597"/>
      <c r="Z505" s="597"/>
    </row>
    <row r="506" spans="1:26" ht="18.75" hidden="1">
      <c r="A506" s="592"/>
      <c r="B506" s="600"/>
      <c r="C506" s="750"/>
      <c r="D506" s="711"/>
      <c r="E506" s="750" t="s">
        <v>184</v>
      </c>
      <c r="F506" s="750"/>
      <c r="G506" s="596"/>
      <c r="H506" s="165" t="s">
        <v>12</v>
      </c>
      <c r="I506" s="610"/>
      <c r="J506" s="610"/>
      <c r="K506" s="93"/>
      <c r="L506" s="93">
        <v>0</v>
      </c>
      <c r="M506" s="93">
        <v>0</v>
      </c>
      <c r="N506" s="93">
        <v>0</v>
      </c>
      <c r="O506" s="93">
        <f t="shared" si="216"/>
        <v>0</v>
      </c>
      <c r="P506" s="93">
        <f t="shared" si="217"/>
        <v>0</v>
      </c>
      <c r="Q506" s="597"/>
      <c r="R506" s="597"/>
      <c r="S506" s="597"/>
      <c r="T506" s="597"/>
      <c r="U506" s="597"/>
      <c r="V506" s="597"/>
      <c r="W506" s="597"/>
      <c r="X506" s="597"/>
      <c r="Y506" s="597"/>
      <c r="Z506" s="597"/>
    </row>
    <row r="507" spans="1:26" ht="18.75" hidden="1">
      <c r="A507" s="592"/>
      <c r="B507" s="600"/>
      <c r="C507" s="750"/>
      <c r="D507" s="711"/>
      <c r="E507" s="750" t="s">
        <v>185</v>
      </c>
      <c r="F507" s="750"/>
      <c r="G507" s="596"/>
      <c r="H507" s="165" t="s">
        <v>12</v>
      </c>
      <c r="I507" s="610"/>
      <c r="J507" s="610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6"/>
        <v>0</v>
      </c>
      <c r="P507" s="93">
        <f t="shared" si="217"/>
        <v>0</v>
      </c>
      <c r="Q507" s="597"/>
      <c r="R507" s="597"/>
      <c r="S507" s="597"/>
      <c r="T507" s="597"/>
      <c r="U507" s="597"/>
      <c r="V507" s="597"/>
      <c r="W507" s="597"/>
      <c r="X507" s="597"/>
      <c r="Y507" s="597"/>
      <c r="Z507" s="597"/>
    </row>
    <row r="508" spans="1:26" ht="18.75" hidden="1">
      <c r="A508" s="642"/>
      <c r="B508" s="600"/>
      <c r="C508" s="750"/>
      <c r="D508" s="750"/>
      <c r="E508" s="750"/>
      <c r="F508" s="750" t="s">
        <v>186</v>
      </c>
      <c r="G508" s="596"/>
      <c r="H508" s="165" t="s">
        <v>12</v>
      </c>
      <c r="I508" s="610"/>
      <c r="J508" s="610"/>
      <c r="K508" s="93"/>
      <c r="L508" s="93"/>
      <c r="M508" s="93"/>
      <c r="N508" s="93">
        <v>0</v>
      </c>
      <c r="O508" s="93"/>
      <c r="P508" s="93"/>
      <c r="Q508" s="597"/>
      <c r="R508" s="597"/>
      <c r="S508" s="597"/>
      <c r="T508" s="597"/>
      <c r="U508" s="597"/>
      <c r="V508" s="597"/>
      <c r="W508" s="597"/>
      <c r="X508" s="597"/>
      <c r="Y508" s="597"/>
      <c r="Z508" s="597"/>
    </row>
    <row r="509" spans="1:26" ht="18.75" hidden="1">
      <c r="A509" s="642"/>
      <c r="B509" s="600"/>
      <c r="C509" s="750"/>
      <c r="D509" s="750"/>
      <c r="E509" s="750"/>
      <c r="F509" s="750" t="s">
        <v>187</v>
      </c>
      <c r="G509" s="596"/>
      <c r="H509" s="165" t="s">
        <v>12</v>
      </c>
      <c r="I509" s="610"/>
      <c r="J509" s="610"/>
      <c r="K509" s="93"/>
      <c r="L509" s="93"/>
      <c r="M509" s="93"/>
      <c r="N509" s="93">
        <v>0</v>
      </c>
      <c r="O509" s="93"/>
      <c r="P509" s="93"/>
      <c r="Q509" s="597"/>
      <c r="R509" s="597"/>
      <c r="S509" s="597"/>
      <c r="T509" s="597"/>
      <c r="U509" s="597"/>
      <c r="V509" s="597"/>
      <c r="W509" s="597"/>
      <c r="X509" s="597"/>
      <c r="Y509" s="597"/>
      <c r="Z509" s="597"/>
    </row>
    <row r="510" spans="1:26" ht="18.75" hidden="1">
      <c r="A510" s="642"/>
      <c r="B510" s="600"/>
      <c r="C510" s="600"/>
      <c r="D510" s="600"/>
      <c r="E510" s="750"/>
      <c r="F510" s="750" t="s">
        <v>188</v>
      </c>
      <c r="G510" s="596"/>
      <c r="H510" s="165" t="s">
        <v>12</v>
      </c>
      <c r="I510" s="610"/>
      <c r="J510" s="610"/>
      <c r="K510" s="93"/>
      <c r="L510" s="93"/>
      <c r="M510" s="93"/>
      <c r="N510" s="93">
        <v>0</v>
      </c>
      <c r="O510" s="93"/>
      <c r="P510" s="93"/>
      <c r="Q510" s="597"/>
      <c r="R510" s="597"/>
      <c r="S510" s="597"/>
      <c r="T510" s="597"/>
      <c r="U510" s="597"/>
      <c r="V510" s="597"/>
      <c r="W510" s="597"/>
      <c r="X510" s="597"/>
      <c r="Y510" s="597"/>
      <c r="Z510" s="597"/>
    </row>
    <row r="511" spans="1:26" ht="18.75" hidden="1">
      <c r="A511" s="642"/>
      <c r="B511" s="600"/>
      <c r="C511" s="600"/>
      <c r="D511" s="600"/>
      <c r="E511" s="750"/>
      <c r="F511" s="750" t="s">
        <v>189</v>
      </c>
      <c r="G511" s="596"/>
      <c r="H511" s="165" t="s">
        <v>12</v>
      </c>
      <c r="I511" s="610"/>
      <c r="J511" s="610"/>
      <c r="K511" s="93"/>
      <c r="L511" s="93"/>
      <c r="M511" s="93"/>
      <c r="N511" s="93">
        <v>0</v>
      </c>
      <c r="O511" s="93"/>
      <c r="P511" s="93"/>
      <c r="Q511" s="597"/>
      <c r="R511" s="597"/>
      <c r="S511" s="597"/>
      <c r="T511" s="597"/>
      <c r="U511" s="597"/>
      <c r="V511" s="597"/>
      <c r="W511" s="597"/>
      <c r="X511" s="597"/>
      <c r="Y511" s="597"/>
      <c r="Z511" s="597"/>
    </row>
    <row r="512" spans="1:26" ht="18.75" hidden="1">
      <c r="A512" s="592"/>
      <c r="B512" s="600"/>
      <c r="C512" s="600"/>
      <c r="D512" s="641" t="s">
        <v>21</v>
      </c>
      <c r="E512" s="600"/>
      <c r="F512" s="750"/>
      <c r="G512" s="596"/>
      <c r="H512" s="169" t="s">
        <v>12</v>
      </c>
      <c r="I512" s="166"/>
      <c r="J512" s="166"/>
      <c r="K512" s="167"/>
      <c r="L512" s="93">
        <f t="shared" ref="L512:N512" si="220">L513+L514</f>
        <v>0</v>
      </c>
      <c r="M512" s="93">
        <f t="shared" si="220"/>
        <v>0</v>
      </c>
      <c r="N512" s="93">
        <f t="shared" si="220"/>
        <v>0</v>
      </c>
      <c r="O512" s="93">
        <f t="shared" ref="O512:O514" si="221">IF(L512&gt;0,N512*100/L512,0)</f>
        <v>0</v>
      </c>
      <c r="P512" s="93">
        <f t="shared" ref="P512:P514" si="222">IF(M512&gt;0,N512*100/M512,0)</f>
        <v>0</v>
      </c>
      <c r="Q512" s="597"/>
      <c r="R512" s="597"/>
      <c r="S512" s="597"/>
      <c r="T512" s="597"/>
      <c r="U512" s="597"/>
      <c r="V512" s="597"/>
      <c r="W512" s="597"/>
      <c r="X512" s="597"/>
      <c r="Y512" s="597"/>
      <c r="Z512" s="597"/>
    </row>
    <row r="513" spans="1:26" ht="18.75" hidden="1">
      <c r="A513" s="592"/>
      <c r="B513" s="600"/>
      <c r="C513" s="600"/>
      <c r="D513" s="600"/>
      <c r="E513" s="600" t="s">
        <v>18</v>
      </c>
      <c r="F513" s="750"/>
      <c r="G513" s="596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1"/>
        <v>0</v>
      </c>
      <c r="P513" s="93">
        <f t="shared" si="222"/>
        <v>0</v>
      </c>
      <c r="Q513" s="597"/>
      <c r="R513" s="597"/>
      <c r="S513" s="597"/>
      <c r="T513" s="597"/>
      <c r="U513" s="597"/>
      <c r="V513" s="597"/>
      <c r="W513" s="597"/>
      <c r="X513" s="597"/>
      <c r="Y513" s="597"/>
      <c r="Z513" s="597"/>
    </row>
    <row r="514" spans="1:26" ht="18.75" hidden="1">
      <c r="A514" s="592"/>
      <c r="B514" s="600"/>
      <c r="C514" s="600"/>
      <c r="D514" s="750"/>
      <c r="E514" s="600" t="s">
        <v>19</v>
      </c>
      <c r="F514" s="750"/>
      <c r="G514" s="596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1"/>
        <v>0</v>
      </c>
      <c r="P514" s="93">
        <f t="shared" si="222"/>
        <v>0</v>
      </c>
      <c r="Q514" s="597"/>
      <c r="R514" s="597"/>
      <c r="S514" s="597"/>
      <c r="T514" s="597"/>
      <c r="U514" s="597"/>
      <c r="V514" s="597"/>
      <c r="W514" s="597"/>
      <c r="X514" s="597"/>
      <c r="Y514" s="597"/>
      <c r="Z514" s="597"/>
    </row>
    <row r="515" spans="1:26" ht="19.5" hidden="1">
      <c r="A515" s="607"/>
      <c r="B515" s="609"/>
      <c r="C515" s="600" t="s">
        <v>16</v>
      </c>
      <c r="D515" s="838" t="s">
        <v>38</v>
      </c>
      <c r="E515" s="644"/>
      <c r="F515" s="644"/>
      <c r="G515" s="645"/>
      <c r="H515" s="365"/>
      <c r="I515" s="166"/>
      <c r="J515" s="166"/>
      <c r="K515" s="167"/>
      <c r="L515" s="167"/>
      <c r="M515" s="167"/>
      <c r="N515" s="167"/>
      <c r="O515" s="167"/>
      <c r="P515" s="167"/>
      <c r="Q515" s="597"/>
      <c r="R515" s="597"/>
      <c r="S515" s="597"/>
      <c r="T515" s="597"/>
      <c r="U515" s="597"/>
      <c r="V515" s="597"/>
      <c r="W515" s="597"/>
      <c r="X515" s="597"/>
      <c r="Y515" s="597"/>
      <c r="Z515" s="597"/>
    </row>
    <row r="516" spans="1:26" ht="18.75" hidden="1">
      <c r="A516" s="607"/>
      <c r="B516" s="609"/>
      <c r="C516" s="609"/>
      <c r="D516" s="609" t="s">
        <v>221</v>
      </c>
      <c r="E516" s="711"/>
      <c r="F516" s="711"/>
      <c r="G516" s="365"/>
      <c r="H516" s="646" t="s">
        <v>109</v>
      </c>
      <c r="I516" s="610"/>
      <c r="J516" s="610">
        <v>0</v>
      </c>
      <c r="K516" s="167">
        <f t="shared" ref="K516:K517" si="223">IF(I516&gt;0,J516*100/I516,0)</f>
        <v>0</v>
      </c>
      <c r="L516" s="167"/>
      <c r="M516" s="167"/>
      <c r="N516" s="167"/>
      <c r="O516" s="167"/>
      <c r="P516" s="167"/>
      <c r="Q516" s="597"/>
      <c r="R516" s="597"/>
      <c r="S516" s="597"/>
      <c r="T516" s="597"/>
      <c r="U516" s="597"/>
      <c r="V516" s="597"/>
      <c r="W516" s="597"/>
      <c r="X516" s="597"/>
      <c r="Y516" s="597"/>
      <c r="Z516" s="597"/>
    </row>
    <row r="517" spans="1:26" ht="19.5" hidden="1">
      <c r="A517" s="607"/>
      <c r="B517" s="609"/>
      <c r="C517" s="609"/>
      <c r="D517" s="609" t="s">
        <v>222</v>
      </c>
      <c r="E517" s="711"/>
      <c r="F517" s="711"/>
      <c r="G517" s="365"/>
      <c r="H517" s="647" t="s">
        <v>35</v>
      </c>
      <c r="I517" s="648"/>
      <c r="J517" s="648">
        <f>J518+J519</f>
        <v>0</v>
      </c>
      <c r="K517" s="649">
        <f t="shared" si="223"/>
        <v>0</v>
      </c>
      <c r="L517" s="167"/>
      <c r="M517" s="167"/>
      <c r="N517" s="167"/>
      <c r="O517" s="167"/>
      <c r="P517" s="167"/>
      <c r="Q517" s="597"/>
      <c r="R517" s="597"/>
      <c r="S517" s="597"/>
      <c r="T517" s="597"/>
      <c r="U517" s="597"/>
      <c r="V517" s="597"/>
      <c r="W517" s="597"/>
      <c r="X517" s="597"/>
      <c r="Y517" s="597"/>
      <c r="Z517" s="597"/>
    </row>
    <row r="518" spans="1:26" ht="18.75" hidden="1">
      <c r="A518" s="607"/>
      <c r="B518" s="609"/>
      <c r="C518" s="609"/>
      <c r="D518" s="609"/>
      <c r="E518" s="609" t="s">
        <v>223</v>
      </c>
      <c r="F518" s="711"/>
      <c r="G518" s="365"/>
      <c r="H518" s="369" t="s">
        <v>35</v>
      </c>
      <c r="I518" s="610"/>
      <c r="J518" s="610"/>
      <c r="K518" s="167"/>
      <c r="L518" s="167"/>
      <c r="M518" s="167"/>
      <c r="N518" s="167"/>
      <c r="O518" s="167"/>
      <c r="P518" s="167"/>
      <c r="Q518" s="597"/>
      <c r="R518" s="597"/>
      <c r="S518" s="597"/>
      <c r="T518" s="597"/>
      <c r="U518" s="597"/>
      <c r="V518" s="597"/>
      <c r="W518" s="597"/>
      <c r="X518" s="597"/>
      <c r="Y518" s="597"/>
      <c r="Z518" s="597"/>
    </row>
    <row r="519" spans="1:26" ht="18.75" hidden="1">
      <c r="A519" s="607"/>
      <c r="B519" s="609"/>
      <c r="C519" s="609"/>
      <c r="D519" s="609"/>
      <c r="E519" s="609" t="s">
        <v>224</v>
      </c>
      <c r="F519" s="711"/>
      <c r="G519" s="365"/>
      <c r="H519" s="646" t="s">
        <v>35</v>
      </c>
      <c r="I519" s="610"/>
      <c r="J519" s="610"/>
      <c r="K519" s="167"/>
      <c r="L519" s="167"/>
      <c r="M519" s="167"/>
      <c r="N519" s="167"/>
      <c r="O519" s="167"/>
      <c r="P519" s="167"/>
      <c r="Q519" s="597"/>
      <c r="R519" s="597"/>
      <c r="S519" s="597"/>
      <c r="T519" s="597"/>
      <c r="U519" s="597"/>
      <c r="V519" s="597"/>
      <c r="W519" s="597"/>
      <c r="X519" s="597"/>
      <c r="Y519" s="597"/>
      <c r="Z519" s="597"/>
    </row>
    <row r="520" spans="1:26" ht="19.5">
      <c r="A520" s="650" t="s">
        <v>137</v>
      </c>
      <c r="B520" s="651"/>
      <c r="C520" s="651"/>
      <c r="D520" s="652"/>
      <c r="E520" s="652"/>
      <c r="F520" s="652"/>
      <c r="G520" s="653"/>
      <c r="H520" s="654"/>
      <c r="I520" s="655"/>
      <c r="J520" s="655"/>
      <c r="K520" s="656"/>
      <c r="L520" s="656"/>
      <c r="M520" s="656"/>
      <c r="N520" s="656"/>
      <c r="O520" s="656"/>
      <c r="P520" s="656"/>
    </row>
    <row r="521" spans="1:26" ht="19.5" hidden="1">
      <c r="A521" s="657">
        <v>5</v>
      </c>
      <c r="B521" s="658" t="s">
        <v>225</v>
      </c>
      <c r="C521" s="659"/>
      <c r="D521" s="660"/>
      <c r="E521" s="660"/>
      <c r="F521" s="660"/>
      <c r="G521" s="660"/>
      <c r="H521" s="661"/>
      <c r="I521" s="662"/>
      <c r="J521" s="662"/>
      <c r="K521" s="663"/>
      <c r="L521" s="663"/>
      <c r="M521" s="663"/>
      <c r="N521" s="663"/>
      <c r="O521" s="663"/>
      <c r="P521" s="663"/>
      <c r="Q521" s="571"/>
      <c r="R521" s="571"/>
      <c r="S521" s="571"/>
      <c r="T521" s="571"/>
      <c r="U521" s="571"/>
      <c r="V521" s="571"/>
      <c r="W521" s="571"/>
      <c r="X521" s="571"/>
      <c r="Y521" s="571"/>
      <c r="Z521" s="571"/>
    </row>
    <row r="522" spans="1:26" ht="19.5" hidden="1">
      <c r="A522" s="664"/>
      <c r="B522" s="665" t="s">
        <v>226</v>
      </c>
      <c r="C522" s="666"/>
      <c r="D522" s="666"/>
      <c r="E522" s="666"/>
      <c r="F522" s="666"/>
      <c r="G522" s="667"/>
      <c r="H522" s="668" t="s">
        <v>35</v>
      </c>
      <c r="I522" s="699">
        <f t="shared" ref="I522:J522" ca="1" si="224">I537</f>
        <v>0</v>
      </c>
      <c r="J522" s="699">
        <f t="shared" ca="1" si="224"/>
        <v>0</v>
      </c>
      <c r="K522" s="670">
        <f ca="1">IF(I522&gt;0,J522*100/I522,0)</f>
        <v>0</v>
      </c>
      <c r="L522" s="671"/>
      <c r="M522" s="671"/>
      <c r="N522" s="671"/>
      <c r="O522" s="671"/>
      <c r="P522" s="671"/>
      <c r="Q522" s="571"/>
      <c r="R522" s="571"/>
      <c r="S522" s="571"/>
      <c r="T522" s="571"/>
      <c r="U522" s="571"/>
      <c r="V522" s="571"/>
      <c r="W522" s="571"/>
      <c r="X522" s="571"/>
      <c r="Y522" s="571"/>
      <c r="Z522" s="571"/>
    </row>
    <row r="523" spans="1:26" ht="19.5" hidden="1">
      <c r="A523" s="590"/>
      <c r="B523" s="754"/>
      <c r="C523" s="754" t="s">
        <v>16</v>
      </c>
      <c r="D523" s="863" t="s">
        <v>17</v>
      </c>
      <c r="E523" s="857"/>
      <c r="F523" s="857"/>
      <c r="G523" s="189"/>
      <c r="H523" s="591" t="s">
        <v>12</v>
      </c>
      <c r="I523" s="269"/>
      <c r="J523" s="269"/>
      <c r="K523" s="496"/>
      <c r="L523" s="195">
        <f t="shared" ref="L523:N523" ca="1" si="225">L524+L525</f>
        <v>0</v>
      </c>
      <c r="M523" s="195">
        <f t="shared" si="225"/>
        <v>0</v>
      </c>
      <c r="N523" s="195">
        <f t="shared" si="225"/>
        <v>0</v>
      </c>
      <c r="O523" s="195">
        <f t="shared" ref="O523:O528" ca="1" si="226">IF(L523&gt;0,N523*100/L523,0)</f>
        <v>0</v>
      </c>
      <c r="P523" s="195">
        <f t="shared" ref="P523:P528" si="227">IF(M523&gt;0,N523*100/M523,0)</f>
        <v>0</v>
      </c>
      <c r="Q523" s="571"/>
      <c r="R523" s="571"/>
      <c r="S523" s="571"/>
      <c r="T523" s="571"/>
      <c r="U523" s="571"/>
      <c r="V523" s="571"/>
      <c r="W523" s="571"/>
      <c r="X523" s="571"/>
      <c r="Y523" s="571"/>
      <c r="Z523" s="571"/>
    </row>
    <row r="524" spans="1:26" ht="18.75" hidden="1">
      <c r="A524" s="592"/>
      <c r="B524" s="750"/>
      <c r="C524" s="750"/>
      <c r="D524" s="711"/>
      <c r="E524" s="750" t="s">
        <v>184</v>
      </c>
      <c r="F524" s="750"/>
      <c r="G524" s="596"/>
      <c r="H524" s="165" t="s">
        <v>12</v>
      </c>
      <c r="I524" s="610"/>
      <c r="J524" s="610"/>
      <c r="K524" s="93"/>
      <c r="L524" s="93">
        <f t="shared" ref="L524:N525" si="228">L527+L534</f>
        <v>0</v>
      </c>
      <c r="M524" s="93">
        <f t="shared" si="228"/>
        <v>0</v>
      </c>
      <c r="N524" s="93">
        <f t="shared" si="228"/>
        <v>0</v>
      </c>
      <c r="O524" s="93">
        <f t="shared" si="226"/>
        <v>0</v>
      </c>
      <c r="P524" s="93">
        <f t="shared" si="227"/>
        <v>0</v>
      </c>
      <c r="Q524" s="597"/>
      <c r="R524" s="597"/>
      <c r="S524" s="597"/>
      <c r="T524" s="597"/>
      <c r="U524" s="597"/>
      <c r="V524" s="597"/>
      <c r="W524" s="597"/>
      <c r="X524" s="597"/>
      <c r="Y524" s="597"/>
      <c r="Z524" s="597"/>
    </row>
    <row r="525" spans="1:26" ht="18.75" hidden="1">
      <c r="A525" s="592"/>
      <c r="B525" s="600"/>
      <c r="C525" s="750"/>
      <c r="D525" s="711"/>
      <c r="E525" s="750" t="s">
        <v>185</v>
      </c>
      <c r="F525" s="750"/>
      <c r="G525" s="596"/>
      <c r="H525" s="165" t="s">
        <v>12</v>
      </c>
      <c r="I525" s="610"/>
      <c r="J525" s="610"/>
      <c r="K525" s="93"/>
      <c r="L525" s="93">
        <f t="shared" ca="1" si="228"/>
        <v>0</v>
      </c>
      <c r="M525" s="93">
        <f t="shared" si="228"/>
        <v>0</v>
      </c>
      <c r="N525" s="93">
        <f t="shared" si="228"/>
        <v>0</v>
      </c>
      <c r="O525" s="93">
        <f t="shared" ca="1" si="226"/>
        <v>0</v>
      </c>
      <c r="P525" s="93">
        <f t="shared" si="227"/>
        <v>0</v>
      </c>
      <c r="Q525" s="597"/>
      <c r="R525" s="597"/>
      <c r="S525" s="597"/>
      <c r="T525" s="597"/>
      <c r="U525" s="597"/>
      <c r="V525" s="597"/>
      <c r="W525" s="597"/>
      <c r="X525" s="597"/>
      <c r="Y525" s="597"/>
      <c r="Z525" s="597"/>
    </row>
    <row r="526" spans="1:26" ht="18.75" hidden="1">
      <c r="A526" s="590"/>
      <c r="B526" s="568"/>
      <c r="C526" s="754"/>
      <c r="D526" s="599" t="s">
        <v>20</v>
      </c>
      <c r="E526" s="754"/>
      <c r="F526" s="754"/>
      <c r="G526" s="189"/>
      <c r="H526" s="161" t="s">
        <v>12</v>
      </c>
      <c r="I526" s="184"/>
      <c r="J526" s="184"/>
      <c r="K526" s="163"/>
      <c r="L526" s="496">
        <f t="shared" ref="L526:N526" ca="1" si="229">L527+L528</f>
        <v>0</v>
      </c>
      <c r="M526" s="496">
        <f t="shared" si="229"/>
        <v>0</v>
      </c>
      <c r="N526" s="496">
        <f t="shared" si="229"/>
        <v>0</v>
      </c>
      <c r="O526" s="496">
        <f t="shared" ca="1" si="226"/>
        <v>0</v>
      </c>
      <c r="P526" s="496">
        <f t="shared" si="227"/>
        <v>0</v>
      </c>
      <c r="Q526" s="571"/>
      <c r="R526" s="571"/>
      <c r="S526" s="571"/>
      <c r="T526" s="571"/>
      <c r="U526" s="571"/>
      <c r="V526" s="571"/>
      <c r="W526" s="571"/>
      <c r="X526" s="571"/>
      <c r="Y526" s="571"/>
      <c r="Z526" s="571"/>
    </row>
    <row r="527" spans="1:26" ht="18.75" hidden="1">
      <c r="A527" s="592"/>
      <c r="B527" s="600"/>
      <c r="C527" s="750"/>
      <c r="D527" s="711"/>
      <c r="E527" s="750" t="s">
        <v>184</v>
      </c>
      <c r="F527" s="750"/>
      <c r="G527" s="596"/>
      <c r="H527" s="165" t="s">
        <v>12</v>
      </c>
      <c r="I527" s="610"/>
      <c r="J527" s="610"/>
      <c r="K527" s="93"/>
      <c r="L527" s="93">
        <v>0</v>
      </c>
      <c r="M527" s="93">
        <v>0</v>
      </c>
      <c r="N527" s="93">
        <v>0</v>
      </c>
      <c r="O527" s="93">
        <f t="shared" si="226"/>
        <v>0</v>
      </c>
      <c r="P527" s="93">
        <f t="shared" si="227"/>
        <v>0</v>
      </c>
      <c r="Q527" s="597"/>
      <c r="R527" s="597"/>
      <c r="S527" s="597"/>
      <c r="T527" s="597"/>
      <c r="U527" s="597"/>
      <c r="V527" s="597"/>
      <c r="W527" s="597"/>
      <c r="X527" s="597"/>
      <c r="Y527" s="597"/>
      <c r="Z527" s="597"/>
    </row>
    <row r="528" spans="1:26" ht="18.75" hidden="1">
      <c r="A528" s="592"/>
      <c r="B528" s="600"/>
      <c r="C528" s="750"/>
      <c r="D528" s="711"/>
      <c r="E528" s="750" t="s">
        <v>185</v>
      </c>
      <c r="F528" s="750"/>
      <c r="G528" s="596"/>
      <c r="H528" s="165" t="s">
        <v>12</v>
      </c>
      <c r="I528" s="610"/>
      <c r="J528" s="610"/>
      <c r="K528" s="93"/>
      <c r="L528" s="93">
        <f ca="1">IFERROR(__xludf.DUMMYFUNCTION("IMPORTRANGE(""https://docs.google.com/spreadsheets/d/1QqKyyYR6Q21VydFLVH3TRQUabQu_ym0Zz7PgGX0-kHA/edit?usp=sharing"",""แผน!GQ64"")"),0)</f>
        <v>0</v>
      </c>
      <c r="M528" s="93">
        <v>0</v>
      </c>
      <c r="N528" s="93">
        <f>N529+N530+N531+N532</f>
        <v>0</v>
      </c>
      <c r="O528" s="93">
        <f t="shared" ca="1" si="226"/>
        <v>0</v>
      </c>
      <c r="P528" s="93">
        <f t="shared" si="227"/>
        <v>0</v>
      </c>
      <c r="Q528" s="597"/>
      <c r="R528" s="597"/>
      <c r="S528" s="597"/>
      <c r="T528" s="597"/>
      <c r="U528" s="597"/>
      <c r="V528" s="597"/>
      <c r="W528" s="597"/>
      <c r="X528" s="597"/>
      <c r="Y528" s="597"/>
      <c r="Z528" s="597"/>
    </row>
    <row r="529" spans="1:26" ht="18.75" hidden="1">
      <c r="A529" s="567"/>
      <c r="B529" s="568"/>
      <c r="C529" s="754"/>
      <c r="D529" s="754"/>
      <c r="E529" s="754"/>
      <c r="F529" s="754" t="s">
        <v>186</v>
      </c>
      <c r="G529" s="189"/>
      <c r="H529" s="161" t="s">
        <v>12</v>
      </c>
      <c r="I529" s="269"/>
      <c r="J529" s="269"/>
      <c r="K529" s="496"/>
      <c r="L529" s="496"/>
      <c r="M529" s="496"/>
      <c r="N529" s="817">
        <v>0</v>
      </c>
      <c r="O529" s="496"/>
      <c r="P529" s="496"/>
      <c r="Q529" s="571"/>
      <c r="R529" s="571"/>
      <c r="S529" s="571"/>
      <c r="T529" s="571"/>
      <c r="U529" s="571"/>
      <c r="V529" s="571"/>
      <c r="W529" s="571"/>
      <c r="X529" s="571"/>
      <c r="Y529" s="571"/>
      <c r="Z529" s="571"/>
    </row>
    <row r="530" spans="1:26" ht="18.75" hidden="1">
      <c r="A530" s="567"/>
      <c r="B530" s="568"/>
      <c r="C530" s="754"/>
      <c r="D530" s="754"/>
      <c r="E530" s="754"/>
      <c r="F530" s="754" t="s">
        <v>187</v>
      </c>
      <c r="G530" s="189"/>
      <c r="H530" s="161" t="s">
        <v>12</v>
      </c>
      <c r="I530" s="269"/>
      <c r="J530" s="269"/>
      <c r="K530" s="496"/>
      <c r="L530" s="496"/>
      <c r="M530" s="496"/>
      <c r="N530" s="817">
        <v>0</v>
      </c>
      <c r="O530" s="496"/>
      <c r="P530" s="496"/>
      <c r="Q530" s="571"/>
      <c r="R530" s="571"/>
      <c r="S530" s="571"/>
      <c r="T530" s="571"/>
      <c r="U530" s="571"/>
      <c r="V530" s="571"/>
      <c r="W530" s="571"/>
      <c r="X530" s="571"/>
      <c r="Y530" s="571"/>
      <c r="Z530" s="571"/>
    </row>
    <row r="531" spans="1:26" ht="18.75" hidden="1">
      <c r="A531" s="567"/>
      <c r="B531" s="568"/>
      <c r="C531" s="754"/>
      <c r="D531" s="754"/>
      <c r="E531" s="754"/>
      <c r="F531" s="754" t="s">
        <v>188</v>
      </c>
      <c r="G531" s="189"/>
      <c r="H531" s="161" t="s">
        <v>12</v>
      </c>
      <c r="I531" s="269"/>
      <c r="J531" s="269"/>
      <c r="K531" s="496"/>
      <c r="L531" s="496"/>
      <c r="M531" s="496"/>
      <c r="N531" s="817">
        <v>0</v>
      </c>
      <c r="O531" s="496"/>
      <c r="P531" s="496"/>
      <c r="Q531" s="571"/>
      <c r="R531" s="571"/>
      <c r="S531" s="571"/>
      <c r="T531" s="571"/>
      <c r="U531" s="571"/>
      <c r="V531" s="571"/>
      <c r="W531" s="571"/>
      <c r="X531" s="571"/>
      <c r="Y531" s="571"/>
      <c r="Z531" s="571"/>
    </row>
    <row r="532" spans="1:26" ht="18.75" hidden="1">
      <c r="A532" s="567"/>
      <c r="B532" s="568"/>
      <c r="C532" s="754"/>
      <c r="D532" s="754"/>
      <c r="E532" s="754"/>
      <c r="F532" s="754" t="s">
        <v>189</v>
      </c>
      <c r="G532" s="189"/>
      <c r="H532" s="161" t="s">
        <v>12</v>
      </c>
      <c r="I532" s="269"/>
      <c r="J532" s="269"/>
      <c r="K532" s="496"/>
      <c r="L532" s="496"/>
      <c r="M532" s="496"/>
      <c r="N532" s="817">
        <v>0</v>
      </c>
      <c r="O532" s="496"/>
      <c r="P532" s="496"/>
      <c r="Q532" s="571"/>
      <c r="R532" s="571"/>
      <c r="S532" s="571"/>
      <c r="T532" s="571"/>
      <c r="U532" s="571"/>
      <c r="V532" s="571"/>
      <c r="W532" s="571"/>
      <c r="X532" s="571"/>
      <c r="Y532" s="571"/>
      <c r="Z532" s="571"/>
    </row>
    <row r="533" spans="1:26" ht="18.75" hidden="1">
      <c r="A533" s="590"/>
      <c r="B533" s="568"/>
      <c r="C533" s="754"/>
      <c r="D533" s="599" t="s">
        <v>21</v>
      </c>
      <c r="E533" s="754"/>
      <c r="F533" s="754"/>
      <c r="G533" s="189"/>
      <c r="H533" s="168" t="s">
        <v>12</v>
      </c>
      <c r="I533" s="184"/>
      <c r="J533" s="184"/>
      <c r="K533" s="163"/>
      <c r="L533" s="496">
        <f t="shared" ref="L533:N533" ca="1" si="230">L534+L535</f>
        <v>0</v>
      </c>
      <c r="M533" s="496">
        <f t="shared" si="230"/>
        <v>0</v>
      </c>
      <c r="N533" s="496">
        <f t="shared" si="230"/>
        <v>0</v>
      </c>
      <c r="O533" s="496">
        <f t="shared" ref="O533:O535" ca="1" si="231">IF(L533&gt;0,N533*100/L533,0)</f>
        <v>0</v>
      </c>
      <c r="P533" s="496">
        <f t="shared" ref="P533:P535" si="232">IF(M533&gt;0,N533*100/M533,0)</f>
        <v>0</v>
      </c>
      <c r="Q533" s="571"/>
      <c r="R533" s="571"/>
      <c r="S533" s="571"/>
      <c r="T533" s="571"/>
      <c r="U533" s="571"/>
      <c r="V533" s="571"/>
      <c r="W533" s="571"/>
      <c r="X533" s="571"/>
      <c r="Y533" s="571"/>
      <c r="Z533" s="571"/>
    </row>
    <row r="534" spans="1:26" ht="18.75" hidden="1">
      <c r="A534" s="592"/>
      <c r="B534" s="600"/>
      <c r="C534" s="750"/>
      <c r="D534" s="750"/>
      <c r="E534" s="750" t="s">
        <v>18</v>
      </c>
      <c r="F534" s="750"/>
      <c r="G534" s="596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1"/>
        <v>0</v>
      </c>
      <c r="P534" s="93">
        <f t="shared" si="232"/>
        <v>0</v>
      </c>
      <c r="Q534" s="597"/>
      <c r="R534" s="597"/>
      <c r="S534" s="597"/>
      <c r="T534" s="597"/>
      <c r="U534" s="597"/>
      <c r="V534" s="597"/>
      <c r="W534" s="597"/>
      <c r="X534" s="597"/>
      <c r="Y534" s="597"/>
      <c r="Z534" s="597"/>
    </row>
    <row r="535" spans="1:26" ht="18.75" hidden="1">
      <c r="A535" s="592"/>
      <c r="B535" s="600"/>
      <c r="C535" s="750"/>
      <c r="D535" s="750"/>
      <c r="E535" s="750" t="s">
        <v>19</v>
      </c>
      <c r="F535" s="750"/>
      <c r="G535" s="596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IFERROR(__xludf.DUMMYFUNCTION("IMPORTRANGE(""https://docs.google.com/spreadsheets/d/1QqKyyYR6Q21VydFLVH3TRQUabQu_ym0Zz7PgGX0-kHA/edit?usp=sharing"",""แผน!GT64"")"),0)</f>
        <v>0</v>
      </c>
      <c r="M535" s="93">
        <v>0</v>
      </c>
      <c r="N535" s="93">
        <v>0</v>
      </c>
      <c r="O535" s="93">
        <f t="shared" ca="1" si="231"/>
        <v>0</v>
      </c>
      <c r="P535" s="93">
        <f t="shared" si="232"/>
        <v>0</v>
      </c>
      <c r="Q535" s="597"/>
      <c r="R535" s="597"/>
      <c r="S535" s="597"/>
      <c r="T535" s="597"/>
      <c r="U535" s="597"/>
      <c r="V535" s="597"/>
      <c r="W535" s="597"/>
      <c r="X535" s="597"/>
      <c r="Y535" s="597"/>
      <c r="Z535" s="597"/>
    </row>
    <row r="536" spans="1:26" ht="19.5" hidden="1">
      <c r="A536" s="601"/>
      <c r="B536" s="611"/>
      <c r="C536" s="754" t="s">
        <v>16</v>
      </c>
      <c r="D536" s="839" t="s">
        <v>38</v>
      </c>
      <c r="E536" s="752"/>
      <c r="F536" s="752"/>
      <c r="G536" s="606"/>
      <c r="H536" s="753"/>
      <c r="I536" s="184"/>
      <c r="J536" s="184"/>
      <c r="K536" s="163"/>
      <c r="L536" s="163"/>
      <c r="M536" s="163"/>
      <c r="N536" s="163"/>
      <c r="O536" s="163"/>
      <c r="P536" s="163"/>
      <c r="Q536" s="571"/>
      <c r="R536" s="571"/>
      <c r="S536" s="571"/>
      <c r="T536" s="571"/>
      <c r="U536" s="571"/>
      <c r="V536" s="571"/>
      <c r="W536" s="571"/>
      <c r="X536" s="571"/>
      <c r="Y536" s="571"/>
      <c r="Z536" s="571"/>
    </row>
    <row r="537" spans="1:26" ht="19.5" hidden="1">
      <c r="A537" s="567"/>
      <c r="B537" s="568"/>
      <c r="C537" s="754"/>
      <c r="D537" s="754" t="s">
        <v>227</v>
      </c>
      <c r="E537" s="754"/>
      <c r="F537" s="754"/>
      <c r="G537" s="189"/>
      <c r="H537" s="616" t="s">
        <v>35</v>
      </c>
      <c r="I537" s="674">
        <f ca="1">IFERROR(__xludf.DUMMYFUNCTION("IMPORTRANGE(""https://docs.google.com/spreadsheets/d/1QqKyyYR6Q21VydFLVH3TRQUabQu_ym0Zz7PgGX0-kHA/edit?usp=sharing"",""แผน!GU64"")"),0)</f>
        <v>0</v>
      </c>
      <c r="J537" s="674">
        <f ca="1">IF(AND(J538=I538,J539=I539,J540=I540,J541=I541),I537,0)</f>
        <v>0</v>
      </c>
      <c r="K537" s="496">
        <f t="shared" ref="K537:K543" ca="1" si="233">IF(I537&gt;0,J537*100/I537,0)</f>
        <v>0</v>
      </c>
      <c r="L537" s="496"/>
      <c r="M537" s="496"/>
      <c r="N537" s="496"/>
      <c r="O537" s="496"/>
      <c r="P537" s="496"/>
      <c r="Q537" s="675"/>
      <c r="R537" s="675"/>
      <c r="S537" s="675"/>
      <c r="T537" s="675"/>
      <c r="U537" s="675"/>
      <c r="V537" s="675"/>
      <c r="W537" s="675"/>
      <c r="X537" s="675"/>
      <c r="Y537" s="675"/>
      <c r="Z537" s="675"/>
    </row>
    <row r="538" spans="1:26" ht="18.75" hidden="1">
      <c r="A538" s="567"/>
      <c r="B538" s="568"/>
      <c r="C538" s="754"/>
      <c r="D538" s="754"/>
      <c r="E538" s="754" t="s">
        <v>228</v>
      </c>
      <c r="F538" s="754"/>
      <c r="G538" s="189"/>
      <c r="H538" s="616" t="s">
        <v>35</v>
      </c>
      <c r="I538" s="269">
        <f ca="1">IFERROR(__xludf.DUMMYFUNCTION("IMPORTRANGE(""https://docs.google.com/spreadsheets/d/1QqKyyYR6Q21VydFLVH3TRQUabQu_ym0Zz7PgGX0-kHA/edit?usp=sharing"",""แผน!GV64"")"),0)</f>
        <v>0</v>
      </c>
      <c r="J538" s="214">
        <v>0</v>
      </c>
      <c r="K538" s="496">
        <f t="shared" ca="1" si="233"/>
        <v>0</v>
      </c>
      <c r="L538" s="496"/>
      <c r="M538" s="496"/>
      <c r="N538" s="496"/>
      <c r="O538" s="496"/>
      <c r="P538" s="496"/>
      <c r="Q538" s="675"/>
      <c r="R538" s="675"/>
      <c r="S538" s="675"/>
      <c r="T538" s="675"/>
      <c r="U538" s="675"/>
      <c r="V538" s="675"/>
      <c r="W538" s="675"/>
      <c r="X538" s="675"/>
      <c r="Y538" s="675"/>
      <c r="Z538" s="675"/>
    </row>
    <row r="539" spans="1:26" ht="18.75" hidden="1">
      <c r="A539" s="567"/>
      <c r="B539" s="568"/>
      <c r="C539" s="754"/>
      <c r="D539" s="754"/>
      <c r="E539" s="754" t="s">
        <v>229</v>
      </c>
      <c r="F539" s="754"/>
      <c r="G539" s="189"/>
      <c r="H539" s="616" t="s">
        <v>35</v>
      </c>
      <c r="I539" s="269">
        <f ca="1">IFERROR(__xludf.DUMMYFUNCTION("IMPORTRANGE(""https://docs.google.com/spreadsheets/d/1QqKyyYR6Q21VydFLVH3TRQUabQu_ym0Zz7PgGX0-kHA/edit?usp=sharing"",""แผน!GW64"")"),0)</f>
        <v>0</v>
      </c>
      <c r="J539" s="214">
        <v>0</v>
      </c>
      <c r="K539" s="496">
        <f t="shared" ca="1" si="233"/>
        <v>0</v>
      </c>
      <c r="L539" s="496"/>
      <c r="M539" s="496"/>
      <c r="N539" s="496"/>
      <c r="O539" s="496"/>
      <c r="P539" s="496"/>
      <c r="Q539" s="675"/>
      <c r="R539" s="675"/>
      <c r="S539" s="675"/>
      <c r="T539" s="675"/>
      <c r="U539" s="675"/>
      <c r="V539" s="675"/>
      <c r="W539" s="675"/>
      <c r="X539" s="675"/>
      <c r="Y539" s="675"/>
      <c r="Z539" s="675"/>
    </row>
    <row r="540" spans="1:26" ht="18.75" hidden="1">
      <c r="A540" s="567"/>
      <c r="B540" s="568"/>
      <c r="C540" s="754"/>
      <c r="D540" s="754"/>
      <c r="E540" s="754" t="s">
        <v>230</v>
      </c>
      <c r="F540" s="754"/>
      <c r="G540" s="189"/>
      <c r="H540" s="616" t="s">
        <v>35</v>
      </c>
      <c r="I540" s="269">
        <f ca="1">IFERROR(__xludf.DUMMYFUNCTION("IMPORTRANGE(""https://docs.google.com/spreadsheets/d/1QqKyyYR6Q21VydFLVH3TRQUabQu_ym0Zz7PgGX0-kHA/edit?usp=sharing"",""แผน!GX64"")"),0)</f>
        <v>0</v>
      </c>
      <c r="J540" s="214">
        <v>0</v>
      </c>
      <c r="K540" s="496">
        <f t="shared" ca="1" si="233"/>
        <v>0</v>
      </c>
      <c r="L540" s="496"/>
      <c r="M540" s="496"/>
      <c r="N540" s="496"/>
      <c r="O540" s="496"/>
      <c r="P540" s="496"/>
      <c r="Q540" s="675"/>
      <c r="R540" s="675"/>
      <c r="S540" s="675"/>
      <c r="T540" s="675"/>
      <c r="U540" s="675"/>
      <c r="V540" s="675"/>
      <c r="W540" s="675"/>
      <c r="X540" s="675"/>
      <c r="Y540" s="675"/>
      <c r="Z540" s="675"/>
    </row>
    <row r="541" spans="1:26" ht="18.75" hidden="1">
      <c r="A541" s="567"/>
      <c r="B541" s="568"/>
      <c r="C541" s="754"/>
      <c r="D541" s="754"/>
      <c r="E541" s="760" t="s">
        <v>231</v>
      </c>
      <c r="F541" s="754"/>
      <c r="G541" s="189"/>
      <c r="H541" s="616" t="s">
        <v>35</v>
      </c>
      <c r="I541" s="269">
        <f ca="1">IFERROR(__xludf.DUMMYFUNCTION("IMPORTRANGE(""https://docs.google.com/spreadsheets/d/1QqKyyYR6Q21VydFLVH3TRQUabQu_ym0Zz7PgGX0-kHA/edit?usp=sharing"",""แผน!GY64"")"),0)</f>
        <v>0</v>
      </c>
      <c r="J541" s="214">
        <v>0</v>
      </c>
      <c r="K541" s="496">
        <f t="shared" ca="1" si="233"/>
        <v>0</v>
      </c>
      <c r="L541" s="496"/>
      <c r="M541" s="496"/>
      <c r="N541" s="496"/>
      <c r="O541" s="496"/>
      <c r="P541" s="496"/>
      <c r="Q541" s="675"/>
      <c r="R541" s="675"/>
      <c r="S541" s="675"/>
      <c r="T541" s="675"/>
      <c r="U541" s="675"/>
      <c r="V541" s="675"/>
      <c r="W541" s="675"/>
      <c r="X541" s="675"/>
      <c r="Y541" s="675"/>
      <c r="Z541" s="675"/>
    </row>
    <row r="542" spans="1:26" ht="18.75" hidden="1">
      <c r="A542" s="567"/>
      <c r="B542" s="568"/>
      <c r="C542" s="754"/>
      <c r="D542" s="754" t="s">
        <v>59</v>
      </c>
      <c r="E542" s="754"/>
      <c r="F542" s="754"/>
      <c r="G542" s="189"/>
      <c r="H542" s="616" t="s">
        <v>35</v>
      </c>
      <c r="I542" s="269">
        <f ca="1">IFERROR(__xludf.DUMMYFUNCTION("IMPORTRANGE(""https://docs.google.com/spreadsheets/d/1QqKyyYR6Q21VydFLVH3TRQUabQu_ym0Zz7PgGX0-kHA/edit?usp=sharing"",""แผน!GZ64"")"),0)</f>
        <v>0</v>
      </c>
      <c r="J542" s="214">
        <v>0</v>
      </c>
      <c r="K542" s="496">
        <f t="shared" ca="1" si="233"/>
        <v>0</v>
      </c>
      <c r="L542" s="496"/>
      <c r="M542" s="496"/>
      <c r="N542" s="496"/>
      <c r="O542" s="496"/>
      <c r="P542" s="496"/>
      <c r="Q542" s="675"/>
      <c r="R542" s="675"/>
      <c r="S542" s="675"/>
      <c r="T542" s="675"/>
      <c r="U542" s="675"/>
      <c r="V542" s="675"/>
      <c r="W542" s="675"/>
      <c r="X542" s="675"/>
      <c r="Y542" s="675"/>
      <c r="Z542" s="675"/>
    </row>
    <row r="543" spans="1:26" ht="19.5">
      <c r="A543" s="657">
        <v>6</v>
      </c>
      <c r="B543" s="678" t="s">
        <v>232</v>
      </c>
      <c r="C543" s="660"/>
      <c r="D543" s="660"/>
      <c r="E543" s="660"/>
      <c r="F543" s="660"/>
      <c r="G543" s="661"/>
      <c r="H543" s="679" t="s">
        <v>46</v>
      </c>
      <c r="I543" s="680">
        <f t="shared" ref="I543:J543" ca="1" si="234">I559</f>
        <v>0</v>
      </c>
      <c r="J543" s="680">
        <f t="shared" si="234"/>
        <v>0</v>
      </c>
      <c r="K543" s="681">
        <f t="shared" ca="1" si="233"/>
        <v>0</v>
      </c>
      <c r="L543" s="663"/>
      <c r="M543" s="663"/>
      <c r="N543" s="663"/>
      <c r="O543" s="663"/>
      <c r="P543" s="663"/>
      <c r="Q543" s="571"/>
      <c r="R543" s="571"/>
      <c r="S543" s="571"/>
      <c r="T543" s="571"/>
      <c r="U543" s="571"/>
      <c r="V543" s="571"/>
      <c r="W543" s="571"/>
      <c r="X543" s="571"/>
      <c r="Y543" s="571"/>
      <c r="Z543" s="571"/>
    </row>
    <row r="544" spans="1:26" ht="19.5">
      <c r="A544" s="682"/>
      <c r="B544" s="683"/>
      <c r="C544" s="683" t="s">
        <v>16</v>
      </c>
      <c r="D544" s="867" t="s">
        <v>17</v>
      </c>
      <c r="E544" s="862"/>
      <c r="F544" s="862"/>
      <c r="G544" s="684"/>
      <c r="H544" s="274" t="s">
        <v>12</v>
      </c>
      <c r="I544" s="419"/>
      <c r="J544" s="419"/>
      <c r="K544" s="154"/>
      <c r="L544" s="155">
        <f t="shared" ref="L544:N544" ca="1" si="235">L545+L546</f>
        <v>217400</v>
      </c>
      <c r="M544" s="155">
        <f t="shared" si="235"/>
        <v>0</v>
      </c>
      <c r="N544" s="155">
        <f t="shared" si="235"/>
        <v>0</v>
      </c>
      <c r="O544" s="155">
        <f t="shared" ref="O544:O549" ca="1" si="236">IF(L544&gt;0,N544*100/L544,0)</f>
        <v>0</v>
      </c>
      <c r="P544" s="155">
        <f t="shared" ref="P544:P549" si="237">IF(M544&gt;0,N544*100/M544,0)</f>
        <v>0</v>
      </c>
      <c r="Q544" s="571"/>
      <c r="R544" s="571"/>
      <c r="S544" s="571"/>
      <c r="T544" s="571"/>
      <c r="U544" s="571"/>
      <c r="V544" s="571"/>
      <c r="W544" s="571"/>
      <c r="X544" s="571"/>
      <c r="Y544" s="571"/>
      <c r="Z544" s="571"/>
    </row>
    <row r="545" spans="1:26" ht="18.75" hidden="1">
      <c r="A545" s="592"/>
      <c r="B545" s="750"/>
      <c r="C545" s="750"/>
      <c r="D545" s="750"/>
      <c r="E545" s="750" t="s">
        <v>184</v>
      </c>
      <c r="F545" s="750"/>
      <c r="G545" s="596"/>
      <c r="H545" s="165" t="s">
        <v>12</v>
      </c>
      <c r="I545" s="610"/>
      <c r="J545" s="610"/>
      <c r="K545" s="93"/>
      <c r="L545" s="93">
        <f t="shared" ref="L545:L546" si="238">L548+L556</f>
        <v>0</v>
      </c>
      <c r="M545" s="93">
        <f t="shared" ref="M545:N546" si="239">M548+M555</f>
        <v>0</v>
      </c>
      <c r="N545" s="93">
        <f t="shared" si="239"/>
        <v>0</v>
      </c>
      <c r="O545" s="93">
        <f t="shared" si="236"/>
        <v>0</v>
      </c>
      <c r="P545" s="93">
        <f t="shared" si="237"/>
        <v>0</v>
      </c>
      <c r="Q545" s="597"/>
      <c r="R545" s="597"/>
      <c r="S545" s="597"/>
      <c r="T545" s="597"/>
      <c r="U545" s="597"/>
      <c r="V545" s="597"/>
      <c r="W545" s="597"/>
      <c r="X545" s="597"/>
      <c r="Y545" s="597"/>
      <c r="Z545" s="597"/>
    </row>
    <row r="546" spans="1:26" ht="18.75" hidden="1">
      <c r="A546" s="592"/>
      <c r="B546" s="600"/>
      <c r="C546" s="750"/>
      <c r="D546" s="750"/>
      <c r="E546" s="750" t="s">
        <v>185</v>
      </c>
      <c r="F546" s="750"/>
      <c r="G546" s="596"/>
      <c r="H546" s="165" t="s">
        <v>12</v>
      </c>
      <c r="I546" s="610"/>
      <c r="J546" s="610"/>
      <c r="K546" s="93"/>
      <c r="L546" s="93">
        <f t="shared" ca="1" si="238"/>
        <v>217400</v>
      </c>
      <c r="M546" s="93">
        <f t="shared" si="239"/>
        <v>0</v>
      </c>
      <c r="N546" s="93">
        <f t="shared" si="239"/>
        <v>0</v>
      </c>
      <c r="O546" s="93">
        <f t="shared" ca="1" si="236"/>
        <v>0</v>
      </c>
      <c r="P546" s="93">
        <f t="shared" si="237"/>
        <v>0</v>
      </c>
      <c r="Q546" s="597"/>
      <c r="R546" s="597"/>
      <c r="S546" s="597"/>
      <c r="T546" s="597"/>
      <c r="U546" s="597"/>
      <c r="V546" s="597"/>
      <c r="W546" s="597"/>
      <c r="X546" s="597"/>
      <c r="Y546" s="597"/>
      <c r="Z546" s="597"/>
    </row>
    <row r="547" spans="1:26" ht="18.75">
      <c r="A547" s="590"/>
      <c r="B547" s="568"/>
      <c r="C547" s="754"/>
      <c r="D547" s="599" t="s">
        <v>20</v>
      </c>
      <c r="E547" s="754"/>
      <c r="F547" s="754"/>
      <c r="G547" s="189"/>
      <c r="H547" s="161" t="s">
        <v>12</v>
      </c>
      <c r="I547" s="184"/>
      <c r="J547" s="184"/>
      <c r="K547" s="163"/>
      <c r="L547" s="496">
        <f t="shared" ref="L547:N547" ca="1" si="240">L548+L549</f>
        <v>217400</v>
      </c>
      <c r="M547" s="496">
        <f t="shared" si="240"/>
        <v>0</v>
      </c>
      <c r="N547" s="496">
        <f t="shared" si="240"/>
        <v>0</v>
      </c>
      <c r="O547" s="496">
        <f t="shared" ca="1" si="236"/>
        <v>0</v>
      </c>
      <c r="P547" s="496">
        <f t="shared" si="237"/>
        <v>0</v>
      </c>
      <c r="Q547" s="571"/>
      <c r="R547" s="571"/>
      <c r="S547" s="571"/>
      <c r="T547" s="571"/>
      <c r="U547" s="571"/>
      <c r="V547" s="571"/>
      <c r="W547" s="571"/>
      <c r="X547" s="571"/>
      <c r="Y547" s="571"/>
      <c r="Z547" s="571"/>
    </row>
    <row r="548" spans="1:26" ht="18.75" hidden="1">
      <c r="A548" s="592"/>
      <c r="B548" s="600"/>
      <c r="C548" s="750"/>
      <c r="D548" s="711"/>
      <c r="E548" s="750" t="s">
        <v>184</v>
      </c>
      <c r="F548" s="750"/>
      <c r="G548" s="596"/>
      <c r="H548" s="165" t="s">
        <v>12</v>
      </c>
      <c r="I548" s="610"/>
      <c r="J548" s="610"/>
      <c r="K548" s="93"/>
      <c r="L548" s="93">
        <v>0</v>
      </c>
      <c r="M548" s="93">
        <v>0</v>
      </c>
      <c r="N548" s="93">
        <v>0</v>
      </c>
      <c r="O548" s="93">
        <f t="shared" si="236"/>
        <v>0</v>
      </c>
      <c r="P548" s="93">
        <f t="shared" si="237"/>
        <v>0</v>
      </c>
      <c r="Q548" s="597"/>
      <c r="R548" s="597"/>
      <c r="S548" s="597"/>
      <c r="T548" s="597"/>
      <c r="U548" s="597"/>
      <c r="V548" s="597"/>
      <c r="W548" s="597"/>
      <c r="X548" s="597"/>
      <c r="Y548" s="597"/>
      <c r="Z548" s="597"/>
    </row>
    <row r="549" spans="1:26" ht="18.75" hidden="1">
      <c r="A549" s="592"/>
      <c r="B549" s="600"/>
      <c r="C549" s="750"/>
      <c r="D549" s="711"/>
      <c r="E549" s="750" t="s">
        <v>185</v>
      </c>
      <c r="F549" s="750"/>
      <c r="G549" s="596"/>
      <c r="H549" s="165" t="s">
        <v>12</v>
      </c>
      <c r="I549" s="610"/>
      <c r="J549" s="610"/>
      <c r="K549" s="93"/>
      <c r="L549" s="93">
        <f ca="1">IFERROR(__xludf.DUMMYFUNCTION("IMPORTRANGE(""https://docs.google.com/spreadsheets/d/1QqKyyYR6Q21VydFLVH3TRQUabQu_ym0Zz7PgGX0-kHA/edit?usp=sharing"",""แผน!HB64"")"),217400)</f>
        <v>217400</v>
      </c>
      <c r="M549" s="93">
        <v>0</v>
      </c>
      <c r="N549" s="93">
        <f>N550+N551+N552+N553+N554</f>
        <v>0</v>
      </c>
      <c r="O549" s="93">
        <f t="shared" ca="1" si="236"/>
        <v>0</v>
      </c>
      <c r="P549" s="93">
        <f t="shared" si="237"/>
        <v>0</v>
      </c>
      <c r="Q549" s="597"/>
      <c r="R549" s="597"/>
      <c r="S549" s="597"/>
      <c r="T549" s="597"/>
      <c r="U549" s="597"/>
      <c r="V549" s="597"/>
      <c r="W549" s="597"/>
      <c r="X549" s="597"/>
      <c r="Y549" s="597"/>
      <c r="Z549" s="597"/>
    </row>
    <row r="550" spans="1:26" ht="18.75">
      <c r="A550" s="567"/>
      <c r="B550" s="568"/>
      <c r="C550" s="754"/>
      <c r="D550" s="754"/>
      <c r="E550" s="754"/>
      <c r="F550" s="754" t="s">
        <v>186</v>
      </c>
      <c r="G550" s="189"/>
      <c r="H550" s="161" t="s">
        <v>12</v>
      </c>
      <c r="I550" s="269"/>
      <c r="J550" s="269"/>
      <c r="K550" s="496"/>
      <c r="L550" s="496"/>
      <c r="M550" s="496"/>
      <c r="N550" s="817">
        <v>0</v>
      </c>
      <c r="O550" s="496"/>
      <c r="P550" s="496"/>
      <c r="Q550" s="571"/>
      <c r="R550" s="571"/>
      <c r="S550" s="571"/>
      <c r="T550" s="571"/>
      <c r="U550" s="571"/>
      <c r="V550" s="571"/>
      <c r="W550" s="571"/>
      <c r="X550" s="571"/>
      <c r="Y550" s="571"/>
      <c r="Z550" s="571"/>
    </row>
    <row r="551" spans="1:26" ht="18.75">
      <c r="A551" s="567"/>
      <c r="B551" s="568"/>
      <c r="C551" s="568"/>
      <c r="D551" s="568"/>
      <c r="E551" s="754"/>
      <c r="F551" s="754" t="s">
        <v>187</v>
      </c>
      <c r="G551" s="189"/>
      <c r="H551" s="161" t="s">
        <v>12</v>
      </c>
      <c r="I551" s="269"/>
      <c r="J551" s="269"/>
      <c r="K551" s="496"/>
      <c r="L551" s="496"/>
      <c r="M551" s="496"/>
      <c r="N551" s="817">
        <v>0</v>
      </c>
      <c r="O551" s="496"/>
      <c r="P551" s="496"/>
      <c r="Q551" s="571"/>
      <c r="R551" s="571"/>
      <c r="S551" s="571"/>
      <c r="T551" s="571"/>
      <c r="U551" s="571"/>
      <c r="V551" s="571"/>
      <c r="W551" s="571"/>
      <c r="X551" s="571"/>
      <c r="Y551" s="571"/>
      <c r="Z551" s="571"/>
    </row>
    <row r="552" spans="1:26" ht="18.75">
      <c r="A552" s="567"/>
      <c r="B552" s="568"/>
      <c r="C552" s="754"/>
      <c r="D552" s="754"/>
      <c r="E552" s="754"/>
      <c r="F552" s="754" t="s">
        <v>188</v>
      </c>
      <c r="G552" s="189"/>
      <c r="H552" s="161" t="s">
        <v>12</v>
      </c>
      <c r="I552" s="269"/>
      <c r="J552" s="269"/>
      <c r="K552" s="496"/>
      <c r="L552" s="496"/>
      <c r="M552" s="496"/>
      <c r="N552" s="817">
        <v>0</v>
      </c>
      <c r="O552" s="496"/>
      <c r="P552" s="496"/>
      <c r="Q552" s="571"/>
      <c r="R552" s="571"/>
      <c r="S552" s="571"/>
      <c r="T552" s="571"/>
      <c r="U552" s="571"/>
      <c r="V552" s="571"/>
      <c r="W552" s="571"/>
      <c r="X552" s="571"/>
      <c r="Y552" s="571"/>
      <c r="Z552" s="571"/>
    </row>
    <row r="553" spans="1:26" ht="18.75">
      <c r="A553" s="567"/>
      <c r="B553" s="568"/>
      <c r="C553" s="568"/>
      <c r="D553" s="568"/>
      <c r="E553" s="754"/>
      <c r="F553" s="754" t="s">
        <v>189</v>
      </c>
      <c r="G553" s="189"/>
      <c r="H553" s="161" t="s">
        <v>12</v>
      </c>
      <c r="I553" s="269"/>
      <c r="J553" s="269"/>
      <c r="K553" s="496"/>
      <c r="L553" s="496"/>
      <c r="M553" s="496"/>
      <c r="N553" s="817">
        <v>0</v>
      </c>
      <c r="O553" s="496"/>
      <c r="P553" s="496"/>
      <c r="Q553" s="571"/>
      <c r="R553" s="571"/>
      <c r="S553" s="571"/>
      <c r="T553" s="571"/>
      <c r="U553" s="571"/>
      <c r="V553" s="571"/>
      <c r="W553" s="571"/>
      <c r="X553" s="571"/>
      <c r="Y553" s="571"/>
      <c r="Z553" s="571"/>
    </row>
    <row r="554" spans="1:26" ht="18.75">
      <c r="A554" s="567"/>
      <c r="B554" s="568"/>
      <c r="C554" s="568"/>
      <c r="D554" s="568"/>
      <c r="E554" s="754"/>
      <c r="F554" s="754" t="s">
        <v>233</v>
      </c>
      <c r="G554" s="189"/>
      <c r="H554" s="161" t="s">
        <v>12</v>
      </c>
      <c r="I554" s="269"/>
      <c r="J554" s="269"/>
      <c r="K554" s="496"/>
      <c r="L554" s="496"/>
      <c r="M554" s="496"/>
      <c r="N554" s="817">
        <v>0</v>
      </c>
      <c r="O554" s="496"/>
      <c r="P554" s="496"/>
      <c r="Q554" s="571"/>
      <c r="R554" s="571"/>
      <c r="S554" s="571"/>
      <c r="T554" s="571"/>
      <c r="U554" s="571"/>
      <c r="V554" s="571"/>
      <c r="W554" s="571"/>
      <c r="X554" s="571"/>
      <c r="Y554" s="571"/>
      <c r="Z554" s="571"/>
    </row>
    <row r="555" spans="1:26" ht="18.75">
      <c r="A555" s="590"/>
      <c r="B555" s="568"/>
      <c r="C555" s="568"/>
      <c r="D555" s="599" t="s">
        <v>21</v>
      </c>
      <c r="E555" s="754"/>
      <c r="F555" s="754"/>
      <c r="G555" s="189"/>
      <c r="H555" s="168" t="s">
        <v>12</v>
      </c>
      <c r="I555" s="184"/>
      <c r="J555" s="184"/>
      <c r="K555" s="163"/>
      <c r="L555" s="496">
        <f t="shared" ref="L555:N555" ca="1" si="241">L556+L557</f>
        <v>0</v>
      </c>
      <c r="M555" s="496">
        <f t="shared" si="241"/>
        <v>0</v>
      </c>
      <c r="N555" s="496">
        <f t="shared" si="241"/>
        <v>0</v>
      </c>
      <c r="O555" s="496">
        <f t="shared" ref="O555:O557" ca="1" si="242">IF(L555&gt;0,N555*100/L555,0)</f>
        <v>0</v>
      </c>
      <c r="P555" s="496">
        <f t="shared" ref="P555:P557" si="243">IF(M555&gt;0,N555*100/M555,0)</f>
        <v>0</v>
      </c>
      <c r="Q555" s="571"/>
      <c r="R555" s="571"/>
      <c r="S555" s="571"/>
      <c r="T555" s="571"/>
      <c r="U555" s="571"/>
      <c r="V555" s="571"/>
      <c r="W555" s="571"/>
      <c r="X555" s="571"/>
      <c r="Y555" s="571"/>
      <c r="Z555" s="571"/>
    </row>
    <row r="556" spans="1:26" ht="18.75" hidden="1">
      <c r="A556" s="592"/>
      <c r="B556" s="600"/>
      <c r="C556" s="600"/>
      <c r="D556" s="750"/>
      <c r="E556" s="750" t="s">
        <v>18</v>
      </c>
      <c r="F556" s="750"/>
      <c r="G556" s="596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2"/>
        <v>0</v>
      </c>
      <c r="P556" s="93">
        <f t="shared" si="243"/>
        <v>0</v>
      </c>
      <c r="Q556" s="597"/>
      <c r="R556" s="597"/>
      <c r="S556" s="597"/>
      <c r="T556" s="597"/>
      <c r="U556" s="597"/>
      <c r="V556" s="597"/>
      <c r="W556" s="597"/>
      <c r="X556" s="597"/>
      <c r="Y556" s="597"/>
      <c r="Z556" s="597"/>
    </row>
    <row r="557" spans="1:26" ht="18.75" hidden="1">
      <c r="A557" s="592"/>
      <c r="B557" s="600"/>
      <c r="C557" s="600"/>
      <c r="D557" s="750"/>
      <c r="E557" s="750" t="s">
        <v>19</v>
      </c>
      <c r="F557" s="750"/>
      <c r="G557" s="596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IFERROR(__xludf.DUMMYFUNCTION("IMPORTRANGE(""https://docs.google.com/spreadsheets/d/1QqKyyYR6Q21VydFLVH3TRQUabQu_ym0Zz7PgGX0-kHA/edit?usp=sharing"",""แผน!HF64"")"),0)</f>
        <v>0</v>
      </c>
      <c r="M557" s="93">
        <v>0</v>
      </c>
      <c r="N557" s="93">
        <v>0</v>
      </c>
      <c r="O557" s="93">
        <f t="shared" ca="1" si="242"/>
        <v>0</v>
      </c>
      <c r="P557" s="93">
        <f t="shared" si="243"/>
        <v>0</v>
      </c>
      <c r="Q557" s="597"/>
      <c r="R557" s="597"/>
      <c r="S557" s="597"/>
      <c r="T557" s="597"/>
      <c r="U557" s="597"/>
      <c r="V557" s="597"/>
      <c r="W557" s="597"/>
      <c r="X557" s="597"/>
      <c r="Y557" s="597"/>
      <c r="Z557" s="597"/>
    </row>
    <row r="558" spans="1:26" ht="19.5">
      <c r="A558" s="601"/>
      <c r="B558" s="611"/>
      <c r="C558" s="568" t="s">
        <v>16</v>
      </c>
      <c r="D558" s="839" t="s">
        <v>38</v>
      </c>
      <c r="E558" s="752"/>
      <c r="F558" s="752"/>
      <c r="G558" s="606"/>
      <c r="H558" s="753"/>
      <c r="I558" s="184"/>
      <c r="J558" s="184"/>
      <c r="K558" s="163"/>
      <c r="L558" s="163"/>
      <c r="M558" s="163"/>
      <c r="N558" s="163"/>
      <c r="O558" s="163"/>
      <c r="P558" s="163"/>
      <c r="Q558" s="571"/>
      <c r="R558" s="571"/>
      <c r="S558" s="571"/>
      <c r="T558" s="571"/>
      <c r="U558" s="571"/>
      <c r="V558" s="571"/>
      <c r="W558" s="571"/>
      <c r="X558" s="571"/>
      <c r="Y558" s="571"/>
      <c r="Z558" s="571"/>
    </row>
    <row r="559" spans="1:26" ht="19.5" hidden="1">
      <c r="A559" s="685"/>
      <c r="B559" s="686" t="s">
        <v>234</v>
      </c>
      <c r="C559" s="687"/>
      <c r="D559" s="687"/>
      <c r="E559" s="666"/>
      <c r="F559" s="666"/>
      <c r="G559" s="667"/>
      <c r="H559" s="688" t="s">
        <v>46</v>
      </c>
      <c r="I559" s="699">
        <f t="shared" ref="I559:J559" ca="1" si="244">I576</f>
        <v>0</v>
      </c>
      <c r="J559" s="699">
        <f t="shared" si="244"/>
        <v>0</v>
      </c>
      <c r="K559" s="670">
        <f t="shared" ref="K559:K561" ca="1" si="245">IF(I559&gt;0,J559*100/I559,0)</f>
        <v>0</v>
      </c>
      <c r="L559" s="671"/>
      <c r="M559" s="671"/>
      <c r="N559" s="671"/>
      <c r="O559" s="671"/>
      <c r="P559" s="671"/>
      <c r="Q559" s="571"/>
      <c r="R559" s="571"/>
      <c r="S559" s="571"/>
      <c r="T559" s="571"/>
      <c r="U559" s="571"/>
      <c r="V559" s="571"/>
      <c r="W559" s="571"/>
      <c r="X559" s="571"/>
      <c r="Y559" s="571"/>
      <c r="Z559" s="571"/>
    </row>
    <row r="560" spans="1:26" ht="19.5" hidden="1">
      <c r="A560" s="601"/>
      <c r="B560" s="611"/>
      <c r="C560" s="618" t="s">
        <v>235</v>
      </c>
      <c r="D560" s="611"/>
      <c r="E560" s="619"/>
      <c r="F560" s="619"/>
      <c r="G560" s="753"/>
      <c r="H560" s="758" t="s">
        <v>46</v>
      </c>
      <c r="I560" s="193">
        <f ca="1">IFERROR(__xludf.DUMMYFUNCTION("IMPORTRANGE(""https://docs.google.com/spreadsheets/d/1QqKyyYR6Q21VydFLVH3TRQUabQu_ym0Zz7PgGX0-kHA/edit?usp=sharing"",""แผน!HH64"")"),0)</f>
        <v>0</v>
      </c>
      <c r="J560" s="193">
        <f t="shared" ref="J560:J561" si="246">J562+J564+J566</f>
        <v>0</v>
      </c>
      <c r="K560" s="410">
        <f t="shared" ca="1" si="245"/>
        <v>0</v>
      </c>
      <c r="L560" s="163"/>
      <c r="M560" s="163"/>
      <c r="N560" s="163"/>
      <c r="O560" s="163"/>
      <c r="P560" s="163"/>
      <c r="Q560" s="571"/>
      <c r="R560" s="571"/>
      <c r="S560" s="571"/>
      <c r="T560" s="571"/>
      <c r="U560" s="571"/>
      <c r="V560" s="571"/>
      <c r="W560" s="571"/>
      <c r="X560" s="571"/>
      <c r="Y560" s="571"/>
      <c r="Z560" s="571"/>
    </row>
    <row r="561" spans="1:26" ht="19.5" hidden="1">
      <c r="A561" s="601"/>
      <c r="B561" s="611"/>
      <c r="C561" s="611"/>
      <c r="D561" s="619"/>
      <c r="E561" s="619"/>
      <c r="F561" s="619"/>
      <c r="G561" s="753"/>
      <c r="H561" s="758" t="s">
        <v>34</v>
      </c>
      <c r="I561" s="193">
        <f ca="1">IFERROR(__xludf.DUMMYFUNCTION("IMPORTRANGE(""https://docs.google.com/spreadsheets/d/1QqKyyYR6Q21VydFLVH3TRQUabQu_ym0Zz7PgGX0-kHA/edit?usp=sharing"",""แผน!HG64"")"),0)</f>
        <v>0</v>
      </c>
      <c r="J561" s="193">
        <f t="shared" si="246"/>
        <v>0</v>
      </c>
      <c r="K561" s="410">
        <f t="shared" ca="1" si="245"/>
        <v>0</v>
      </c>
      <c r="L561" s="163"/>
      <c r="M561" s="163"/>
      <c r="N561" s="163"/>
      <c r="O561" s="163"/>
      <c r="P561" s="163"/>
      <c r="Q561" s="571"/>
      <c r="R561" s="571"/>
      <c r="S561" s="571"/>
      <c r="T561" s="571"/>
      <c r="U561" s="571"/>
      <c r="V561" s="571"/>
      <c r="W561" s="571"/>
      <c r="X561" s="571"/>
      <c r="Y561" s="571"/>
      <c r="Z561" s="571"/>
    </row>
    <row r="562" spans="1:26" ht="18.75" hidden="1">
      <c r="A562" s="601"/>
      <c r="B562" s="611"/>
      <c r="C562" s="611"/>
      <c r="D562" s="619" t="s">
        <v>236</v>
      </c>
      <c r="E562" s="619"/>
      <c r="F562" s="619"/>
      <c r="G562" s="753"/>
      <c r="H562" s="755" t="s">
        <v>46</v>
      </c>
      <c r="I562" s="184"/>
      <c r="J562" s="214">
        <v>0</v>
      </c>
      <c r="K562" s="163"/>
      <c r="L562" s="163"/>
      <c r="M562" s="163"/>
      <c r="N562" s="163"/>
      <c r="O562" s="163"/>
      <c r="P562" s="163"/>
      <c r="Q562" s="571"/>
      <c r="R562" s="571"/>
      <c r="S562" s="571"/>
      <c r="T562" s="571"/>
      <c r="U562" s="571"/>
      <c r="V562" s="571"/>
      <c r="W562" s="571"/>
      <c r="X562" s="571"/>
      <c r="Y562" s="571"/>
      <c r="Z562" s="571"/>
    </row>
    <row r="563" spans="1:26" ht="18.75" hidden="1">
      <c r="A563" s="601"/>
      <c r="B563" s="611"/>
      <c r="C563" s="611"/>
      <c r="D563" s="611"/>
      <c r="E563" s="619"/>
      <c r="F563" s="619"/>
      <c r="G563" s="753"/>
      <c r="H563" s="755" t="s">
        <v>34</v>
      </c>
      <c r="I563" s="184"/>
      <c r="J563" s="214">
        <v>0</v>
      </c>
      <c r="K563" s="163"/>
      <c r="L563" s="163"/>
      <c r="M563" s="163"/>
      <c r="N563" s="163"/>
      <c r="O563" s="163"/>
      <c r="P563" s="163"/>
      <c r="Q563" s="571"/>
      <c r="R563" s="571"/>
      <c r="S563" s="571"/>
      <c r="T563" s="571"/>
      <c r="U563" s="571"/>
      <c r="V563" s="571"/>
      <c r="W563" s="571"/>
      <c r="X563" s="571"/>
      <c r="Y563" s="571"/>
      <c r="Z563" s="571"/>
    </row>
    <row r="564" spans="1:26" ht="18.75" hidden="1">
      <c r="A564" s="601"/>
      <c r="B564" s="611"/>
      <c r="C564" s="611"/>
      <c r="D564" s="619" t="s">
        <v>237</v>
      </c>
      <c r="E564" s="619"/>
      <c r="F564" s="619"/>
      <c r="G564" s="753"/>
      <c r="H564" s="755" t="s">
        <v>46</v>
      </c>
      <c r="I564" s="184"/>
      <c r="J564" s="214">
        <v>0</v>
      </c>
      <c r="K564" s="163"/>
      <c r="L564" s="163"/>
      <c r="M564" s="163"/>
      <c r="N564" s="163"/>
      <c r="O564" s="163"/>
      <c r="P564" s="163"/>
      <c r="Q564" s="571"/>
      <c r="R564" s="571"/>
      <c r="S564" s="571"/>
      <c r="T564" s="571"/>
      <c r="U564" s="571"/>
      <c r="V564" s="571"/>
      <c r="W564" s="571"/>
      <c r="X564" s="571"/>
      <c r="Y564" s="571"/>
      <c r="Z564" s="571"/>
    </row>
    <row r="565" spans="1:26" ht="18.75" hidden="1">
      <c r="A565" s="601"/>
      <c r="B565" s="611"/>
      <c r="C565" s="611"/>
      <c r="D565" s="619"/>
      <c r="E565" s="619"/>
      <c r="F565" s="619"/>
      <c r="G565" s="753"/>
      <c r="H565" s="755" t="s">
        <v>34</v>
      </c>
      <c r="I565" s="184"/>
      <c r="J565" s="214">
        <v>0</v>
      </c>
      <c r="K565" s="163"/>
      <c r="L565" s="163"/>
      <c r="M565" s="163"/>
      <c r="N565" s="163"/>
      <c r="O565" s="163"/>
      <c r="P565" s="163"/>
      <c r="Q565" s="571"/>
      <c r="R565" s="571"/>
      <c r="S565" s="571"/>
      <c r="T565" s="571"/>
      <c r="U565" s="571"/>
      <c r="V565" s="571"/>
      <c r="W565" s="571"/>
      <c r="X565" s="571"/>
      <c r="Y565" s="571"/>
      <c r="Z565" s="571"/>
    </row>
    <row r="566" spans="1:26" ht="18.75" hidden="1">
      <c r="A566" s="601"/>
      <c r="B566" s="611"/>
      <c r="C566" s="611"/>
      <c r="D566" s="619" t="s">
        <v>238</v>
      </c>
      <c r="E566" s="619"/>
      <c r="F566" s="619"/>
      <c r="G566" s="753"/>
      <c r="H566" s="755" t="s">
        <v>46</v>
      </c>
      <c r="I566" s="184"/>
      <c r="J566" s="214">
        <v>0</v>
      </c>
      <c r="K566" s="163"/>
      <c r="L566" s="163"/>
      <c r="M566" s="163"/>
      <c r="N566" s="163"/>
      <c r="O566" s="163"/>
      <c r="P566" s="163"/>
      <c r="Q566" s="571"/>
      <c r="R566" s="571"/>
      <c r="S566" s="571"/>
      <c r="T566" s="571"/>
      <c r="U566" s="571"/>
      <c r="V566" s="571"/>
      <c r="W566" s="571"/>
      <c r="X566" s="571"/>
      <c r="Y566" s="571"/>
      <c r="Z566" s="571"/>
    </row>
    <row r="567" spans="1:26" ht="18.75" hidden="1">
      <c r="A567" s="601"/>
      <c r="B567" s="611"/>
      <c r="C567" s="611"/>
      <c r="D567" s="619"/>
      <c r="E567" s="619"/>
      <c r="F567" s="619"/>
      <c r="G567" s="753"/>
      <c r="H567" s="755" t="s">
        <v>34</v>
      </c>
      <c r="I567" s="184"/>
      <c r="J567" s="214">
        <v>0</v>
      </c>
      <c r="K567" s="163"/>
      <c r="L567" s="163"/>
      <c r="M567" s="163"/>
      <c r="N567" s="163"/>
      <c r="O567" s="163"/>
      <c r="P567" s="163"/>
      <c r="Q567" s="571"/>
      <c r="R567" s="571"/>
      <c r="S567" s="571"/>
      <c r="T567" s="571"/>
      <c r="U567" s="571"/>
      <c r="V567" s="571"/>
      <c r="W567" s="571"/>
      <c r="X567" s="571"/>
      <c r="Y567" s="571"/>
      <c r="Z567" s="571"/>
    </row>
    <row r="568" spans="1:26" ht="19.5" hidden="1">
      <c r="A568" s="601"/>
      <c r="B568" s="611"/>
      <c r="C568" s="618" t="s">
        <v>239</v>
      </c>
      <c r="D568" s="619"/>
      <c r="E568" s="619"/>
      <c r="F568" s="619"/>
      <c r="G568" s="753"/>
      <c r="H568" s="758" t="s">
        <v>46</v>
      </c>
      <c r="I568" s="193">
        <f ca="1">IFERROR(__xludf.DUMMYFUNCTION("IMPORTRANGE(""https://docs.google.com/spreadsheets/d/1QqKyyYR6Q21VydFLVH3TRQUabQu_ym0Zz7PgGX0-kHA/edit?usp=sharing"",""แผน!HH64"")"),0)</f>
        <v>0</v>
      </c>
      <c r="J568" s="674">
        <f t="shared" ref="J568:J569" si="247">J570+J572+J574</f>
        <v>0</v>
      </c>
      <c r="K568" s="410">
        <f t="shared" ref="K568:K569" ca="1" si="248">IF(I568&gt;0,J568*100/I568,0)</f>
        <v>0</v>
      </c>
      <c r="L568" s="163"/>
      <c r="M568" s="163"/>
      <c r="N568" s="163"/>
      <c r="O568" s="163"/>
      <c r="P568" s="163"/>
      <c r="Q568" s="571"/>
      <c r="R568" s="571"/>
      <c r="S568" s="571"/>
      <c r="T568" s="571"/>
      <c r="U568" s="571"/>
      <c r="V568" s="571"/>
      <c r="W568" s="571"/>
      <c r="X568" s="571"/>
      <c r="Y568" s="571"/>
      <c r="Z568" s="571"/>
    </row>
    <row r="569" spans="1:26" ht="19.5" hidden="1">
      <c r="A569" s="601"/>
      <c r="B569" s="611"/>
      <c r="C569" s="611"/>
      <c r="D569" s="611"/>
      <c r="E569" s="619"/>
      <c r="F569" s="619"/>
      <c r="G569" s="753"/>
      <c r="H569" s="758" t="s">
        <v>34</v>
      </c>
      <c r="I569" s="193">
        <f ca="1">IFERROR(__xludf.DUMMYFUNCTION("IMPORTRANGE(""https://docs.google.com/spreadsheets/d/1QqKyyYR6Q21VydFLVH3TRQUabQu_ym0Zz7PgGX0-kHA/edit?usp=sharing"",""แผน!HG64"")"),0)</f>
        <v>0</v>
      </c>
      <c r="J569" s="674">
        <f t="shared" si="247"/>
        <v>0</v>
      </c>
      <c r="K569" s="410">
        <f t="shared" ca="1" si="248"/>
        <v>0</v>
      </c>
      <c r="L569" s="163"/>
      <c r="M569" s="163"/>
      <c r="N569" s="163"/>
      <c r="O569" s="163"/>
      <c r="P569" s="163"/>
      <c r="Q569" s="571"/>
      <c r="R569" s="571"/>
      <c r="S569" s="571"/>
      <c r="T569" s="571"/>
      <c r="U569" s="571"/>
      <c r="V569" s="571"/>
      <c r="W569" s="571"/>
      <c r="X569" s="571"/>
      <c r="Y569" s="571"/>
      <c r="Z569" s="571"/>
    </row>
    <row r="570" spans="1:26" ht="18.75" hidden="1">
      <c r="A570" s="601"/>
      <c r="B570" s="611"/>
      <c r="C570" s="611"/>
      <c r="D570" s="619" t="s">
        <v>240</v>
      </c>
      <c r="E570" s="611"/>
      <c r="F570" s="619"/>
      <c r="G570" s="753"/>
      <c r="H570" s="755" t="s">
        <v>46</v>
      </c>
      <c r="I570" s="184"/>
      <c r="J570" s="214">
        <v>0</v>
      </c>
      <c r="K570" s="163"/>
      <c r="L570" s="163"/>
      <c r="M570" s="163"/>
      <c r="N570" s="163"/>
      <c r="O570" s="163"/>
      <c r="P570" s="163"/>
      <c r="Q570" s="571"/>
      <c r="R570" s="571"/>
      <c r="S570" s="571"/>
      <c r="T570" s="571"/>
      <c r="U570" s="571"/>
      <c r="V570" s="571"/>
      <c r="W570" s="571"/>
      <c r="X570" s="571"/>
      <c r="Y570" s="571"/>
      <c r="Z570" s="571"/>
    </row>
    <row r="571" spans="1:26" ht="18.75" hidden="1">
      <c r="A571" s="601"/>
      <c r="B571" s="611"/>
      <c r="C571" s="611"/>
      <c r="D571" s="611"/>
      <c r="E571" s="619"/>
      <c r="F571" s="619"/>
      <c r="G571" s="753"/>
      <c r="H571" s="755" t="s">
        <v>34</v>
      </c>
      <c r="I571" s="184"/>
      <c r="J571" s="214">
        <v>0</v>
      </c>
      <c r="K571" s="163"/>
      <c r="L571" s="163"/>
      <c r="M571" s="163"/>
      <c r="N571" s="163"/>
      <c r="O571" s="163"/>
      <c r="P571" s="163"/>
      <c r="Q571" s="571"/>
      <c r="R571" s="571"/>
      <c r="S571" s="571"/>
      <c r="T571" s="571"/>
      <c r="U571" s="571"/>
      <c r="V571" s="571"/>
      <c r="W571" s="571"/>
      <c r="X571" s="571"/>
      <c r="Y571" s="571"/>
      <c r="Z571" s="571"/>
    </row>
    <row r="572" spans="1:26" ht="18.75" hidden="1">
      <c r="A572" s="601"/>
      <c r="B572" s="611"/>
      <c r="C572" s="611"/>
      <c r="D572" s="619" t="s">
        <v>241</v>
      </c>
      <c r="E572" s="619"/>
      <c r="F572" s="619"/>
      <c r="G572" s="753"/>
      <c r="H572" s="755" t="s">
        <v>46</v>
      </c>
      <c r="I572" s="184"/>
      <c r="J572" s="214">
        <v>0</v>
      </c>
      <c r="K572" s="163"/>
      <c r="L572" s="163"/>
      <c r="M572" s="163"/>
      <c r="N572" s="163"/>
      <c r="O572" s="163"/>
      <c r="P572" s="163"/>
      <c r="Q572" s="571"/>
      <c r="R572" s="571"/>
      <c r="S572" s="571"/>
      <c r="T572" s="571"/>
      <c r="U572" s="571"/>
      <c r="V572" s="571"/>
      <c r="W572" s="571"/>
      <c r="X572" s="571"/>
      <c r="Y572" s="571"/>
      <c r="Z572" s="571"/>
    </row>
    <row r="573" spans="1:26" ht="18.75" hidden="1">
      <c r="A573" s="601"/>
      <c r="B573" s="611"/>
      <c r="C573" s="611"/>
      <c r="D573" s="619"/>
      <c r="E573" s="619"/>
      <c r="F573" s="619"/>
      <c r="G573" s="753"/>
      <c r="H573" s="755" t="s">
        <v>34</v>
      </c>
      <c r="I573" s="184"/>
      <c r="J573" s="214">
        <v>0</v>
      </c>
      <c r="K573" s="163"/>
      <c r="L573" s="163"/>
      <c r="M573" s="163"/>
      <c r="N573" s="163"/>
      <c r="O573" s="163"/>
      <c r="P573" s="163"/>
      <c r="Q573" s="571"/>
      <c r="R573" s="571"/>
      <c r="S573" s="571"/>
      <c r="T573" s="571"/>
      <c r="U573" s="571"/>
      <c r="V573" s="571"/>
      <c r="W573" s="571"/>
      <c r="X573" s="571"/>
      <c r="Y573" s="571"/>
      <c r="Z573" s="571"/>
    </row>
    <row r="574" spans="1:26" ht="18.75" hidden="1">
      <c r="A574" s="601"/>
      <c r="B574" s="611"/>
      <c r="C574" s="611"/>
      <c r="D574" s="619" t="s">
        <v>242</v>
      </c>
      <c r="E574" s="619"/>
      <c r="F574" s="619"/>
      <c r="G574" s="753"/>
      <c r="H574" s="755" t="s">
        <v>46</v>
      </c>
      <c r="I574" s="184"/>
      <c r="J574" s="214">
        <v>0</v>
      </c>
      <c r="K574" s="163"/>
      <c r="L574" s="163"/>
      <c r="M574" s="163"/>
      <c r="N574" s="163"/>
      <c r="O574" s="163"/>
      <c r="P574" s="163"/>
      <c r="Q574" s="571"/>
      <c r="R574" s="571"/>
      <c r="S574" s="571"/>
      <c r="T574" s="571"/>
      <c r="U574" s="571"/>
      <c r="V574" s="571"/>
      <c r="W574" s="571"/>
      <c r="X574" s="571"/>
      <c r="Y574" s="571"/>
      <c r="Z574" s="571"/>
    </row>
    <row r="575" spans="1:26" ht="18.75" hidden="1">
      <c r="A575" s="601"/>
      <c r="B575" s="611"/>
      <c r="C575" s="611"/>
      <c r="D575" s="611"/>
      <c r="E575" s="619"/>
      <c r="F575" s="619"/>
      <c r="G575" s="753"/>
      <c r="H575" s="755" t="s">
        <v>34</v>
      </c>
      <c r="I575" s="184"/>
      <c r="J575" s="214">
        <v>0</v>
      </c>
      <c r="K575" s="163"/>
      <c r="L575" s="163"/>
      <c r="M575" s="163"/>
      <c r="N575" s="163"/>
      <c r="O575" s="163"/>
      <c r="P575" s="163"/>
      <c r="Q575" s="571"/>
      <c r="R575" s="571"/>
      <c r="S575" s="571"/>
      <c r="T575" s="571"/>
      <c r="U575" s="571"/>
      <c r="V575" s="571"/>
      <c r="W575" s="571"/>
      <c r="X575" s="571"/>
      <c r="Y575" s="571"/>
      <c r="Z575" s="571"/>
    </row>
    <row r="576" spans="1:26" ht="19.5" hidden="1">
      <c r="A576" s="601"/>
      <c r="B576" s="611"/>
      <c r="C576" s="618" t="s">
        <v>243</v>
      </c>
      <c r="D576" s="611"/>
      <c r="E576" s="611"/>
      <c r="F576" s="619"/>
      <c r="G576" s="753"/>
      <c r="H576" s="758" t="s">
        <v>46</v>
      </c>
      <c r="I576" s="193">
        <f ca="1">IFERROR(__xludf.DUMMYFUNCTION("IMPORTRANGE(""https://docs.google.com/spreadsheets/d/1QqKyyYR6Q21VydFLVH3TRQUabQu_ym0Zz7PgGX0-kHA/edit?usp=sharing"",""แผน!HH64"")"),0)</f>
        <v>0</v>
      </c>
      <c r="J576" s="674">
        <f t="shared" ref="J576:J577" si="249">J578+J580+J582+J588+J590</f>
        <v>0</v>
      </c>
      <c r="K576" s="410">
        <f t="shared" ref="K576:K577" ca="1" si="250">IF(I576&gt;0,J576*100/I576,0)</f>
        <v>0</v>
      </c>
      <c r="L576" s="163"/>
      <c r="M576" s="163"/>
      <c r="N576" s="163"/>
      <c r="O576" s="163"/>
      <c r="P576" s="163"/>
      <c r="Q576" s="571"/>
      <c r="R576" s="571"/>
      <c r="S576" s="571"/>
      <c r="T576" s="571"/>
      <c r="U576" s="571"/>
      <c r="V576" s="571"/>
      <c r="W576" s="571"/>
      <c r="X576" s="571"/>
      <c r="Y576" s="571"/>
      <c r="Z576" s="571"/>
    </row>
    <row r="577" spans="1:26" ht="19.5" hidden="1">
      <c r="A577" s="601"/>
      <c r="B577" s="611"/>
      <c r="C577" s="611"/>
      <c r="D577" s="611"/>
      <c r="E577" s="619"/>
      <c r="F577" s="619"/>
      <c r="G577" s="753"/>
      <c r="H577" s="758" t="s">
        <v>34</v>
      </c>
      <c r="I577" s="193">
        <f ca="1">IFERROR(__xludf.DUMMYFUNCTION("IMPORTRANGE(""https://docs.google.com/spreadsheets/d/1QqKyyYR6Q21VydFLVH3TRQUabQu_ym0Zz7PgGX0-kHA/edit?usp=sharing"",""แผน!HG64"")"),0)</f>
        <v>0</v>
      </c>
      <c r="J577" s="674">
        <f t="shared" si="249"/>
        <v>0</v>
      </c>
      <c r="K577" s="410">
        <f t="shared" ca="1" si="250"/>
        <v>0</v>
      </c>
      <c r="L577" s="163"/>
      <c r="M577" s="163"/>
      <c r="N577" s="163"/>
      <c r="O577" s="163"/>
      <c r="P577" s="163"/>
      <c r="Q577" s="571"/>
      <c r="R577" s="571"/>
      <c r="S577" s="571"/>
      <c r="T577" s="571"/>
      <c r="U577" s="571"/>
      <c r="V577" s="571"/>
      <c r="W577" s="571"/>
      <c r="X577" s="571"/>
      <c r="Y577" s="571"/>
      <c r="Z577" s="571"/>
    </row>
    <row r="578" spans="1:26" ht="18.75" hidden="1">
      <c r="A578" s="601"/>
      <c r="B578" s="611"/>
      <c r="C578" s="611"/>
      <c r="D578" s="619" t="s">
        <v>244</v>
      </c>
      <c r="E578" s="619"/>
      <c r="F578" s="619"/>
      <c r="G578" s="753"/>
      <c r="H578" s="755" t="s">
        <v>46</v>
      </c>
      <c r="I578" s="184"/>
      <c r="J578" s="214">
        <v>0</v>
      </c>
      <c r="K578" s="163"/>
      <c r="L578" s="163"/>
      <c r="M578" s="163"/>
      <c r="N578" s="163"/>
      <c r="O578" s="163"/>
      <c r="P578" s="163"/>
      <c r="Q578" s="571"/>
      <c r="R578" s="571"/>
      <c r="S578" s="571"/>
      <c r="T578" s="571"/>
      <c r="U578" s="571"/>
      <c r="V578" s="571"/>
      <c r="W578" s="571"/>
      <c r="X578" s="571"/>
      <c r="Y578" s="571"/>
      <c r="Z578" s="571"/>
    </row>
    <row r="579" spans="1:26" ht="18.75" hidden="1">
      <c r="A579" s="601"/>
      <c r="B579" s="611"/>
      <c r="C579" s="611"/>
      <c r="D579" s="611"/>
      <c r="E579" s="619"/>
      <c r="F579" s="619"/>
      <c r="G579" s="753"/>
      <c r="H579" s="755" t="s">
        <v>34</v>
      </c>
      <c r="I579" s="184"/>
      <c r="J579" s="214">
        <v>0</v>
      </c>
      <c r="K579" s="163"/>
      <c r="L579" s="163"/>
      <c r="M579" s="163"/>
      <c r="N579" s="163"/>
      <c r="O579" s="163"/>
      <c r="P579" s="163"/>
      <c r="Q579" s="571"/>
      <c r="R579" s="571"/>
      <c r="S579" s="571"/>
      <c r="T579" s="571"/>
      <c r="U579" s="571"/>
      <c r="V579" s="571"/>
      <c r="W579" s="571"/>
      <c r="X579" s="571"/>
      <c r="Y579" s="571"/>
      <c r="Z579" s="571"/>
    </row>
    <row r="580" spans="1:26" ht="18.75" hidden="1">
      <c r="A580" s="601"/>
      <c r="B580" s="611"/>
      <c r="C580" s="611"/>
      <c r="D580" s="619" t="s">
        <v>245</v>
      </c>
      <c r="E580" s="619"/>
      <c r="F580" s="619"/>
      <c r="G580" s="753"/>
      <c r="H580" s="755" t="s">
        <v>46</v>
      </c>
      <c r="I580" s="184"/>
      <c r="J580" s="214">
        <v>0</v>
      </c>
      <c r="K580" s="163"/>
      <c r="L580" s="163"/>
      <c r="M580" s="163"/>
      <c r="N580" s="163"/>
      <c r="O580" s="163"/>
      <c r="P580" s="163"/>
      <c r="Q580" s="571"/>
      <c r="R580" s="571"/>
      <c r="S580" s="571"/>
      <c r="T580" s="571"/>
      <c r="U580" s="571"/>
      <c r="V580" s="571"/>
      <c r="W580" s="571"/>
      <c r="X580" s="571"/>
      <c r="Y580" s="571"/>
      <c r="Z580" s="571"/>
    </row>
    <row r="581" spans="1:26" ht="18.75" hidden="1">
      <c r="A581" s="601"/>
      <c r="B581" s="611"/>
      <c r="C581" s="611"/>
      <c r="D581" s="611"/>
      <c r="E581" s="619"/>
      <c r="F581" s="619"/>
      <c r="G581" s="753"/>
      <c r="H581" s="755" t="s">
        <v>34</v>
      </c>
      <c r="I581" s="184"/>
      <c r="J581" s="214">
        <v>0</v>
      </c>
      <c r="K581" s="163"/>
      <c r="L581" s="163"/>
      <c r="M581" s="163"/>
      <c r="N581" s="163"/>
      <c r="O581" s="163"/>
      <c r="P581" s="163"/>
      <c r="Q581" s="571"/>
      <c r="R581" s="571"/>
      <c r="S581" s="571"/>
      <c r="T581" s="571"/>
      <c r="U581" s="571"/>
      <c r="V581" s="571"/>
      <c r="W581" s="571"/>
      <c r="X581" s="571"/>
      <c r="Y581" s="571"/>
      <c r="Z581" s="571"/>
    </row>
    <row r="582" spans="1:26" ht="19.5" hidden="1">
      <c r="A582" s="601"/>
      <c r="B582" s="611"/>
      <c r="C582" s="611"/>
      <c r="D582" s="619" t="s">
        <v>246</v>
      </c>
      <c r="E582" s="619"/>
      <c r="F582" s="619"/>
      <c r="G582" s="753"/>
      <c r="H582" s="755" t="s">
        <v>46</v>
      </c>
      <c r="I582" s="184"/>
      <c r="J582" s="674">
        <f t="shared" ref="J582:J583" si="251">J584+J586</f>
        <v>0</v>
      </c>
      <c r="K582" s="410"/>
      <c r="L582" s="163"/>
      <c r="M582" s="163"/>
      <c r="N582" s="163"/>
      <c r="O582" s="163"/>
      <c r="P582" s="163"/>
      <c r="Q582" s="571"/>
      <c r="R582" s="571"/>
      <c r="S582" s="571"/>
      <c r="T582" s="571"/>
      <c r="U582" s="571"/>
      <c r="V582" s="571"/>
      <c r="W582" s="571"/>
      <c r="X582" s="571"/>
      <c r="Y582" s="571"/>
      <c r="Z582" s="571"/>
    </row>
    <row r="583" spans="1:26" ht="19.5" hidden="1">
      <c r="A583" s="601"/>
      <c r="B583" s="611"/>
      <c r="C583" s="611"/>
      <c r="D583" s="611"/>
      <c r="E583" s="619"/>
      <c r="F583" s="619"/>
      <c r="G583" s="753"/>
      <c r="H583" s="755" t="s">
        <v>34</v>
      </c>
      <c r="I583" s="184"/>
      <c r="J583" s="674">
        <f t="shared" si="251"/>
        <v>0</v>
      </c>
      <c r="K583" s="410"/>
      <c r="L583" s="163"/>
      <c r="M583" s="163"/>
      <c r="N583" s="163"/>
      <c r="O583" s="163"/>
      <c r="P583" s="163"/>
      <c r="Q583" s="571"/>
      <c r="R583" s="571"/>
      <c r="S583" s="571"/>
      <c r="T583" s="571"/>
      <c r="U583" s="571"/>
      <c r="V583" s="571"/>
      <c r="W583" s="571"/>
      <c r="X583" s="571"/>
      <c r="Y583" s="571"/>
      <c r="Z583" s="571"/>
    </row>
    <row r="584" spans="1:26" ht="18.75" hidden="1">
      <c r="A584" s="601"/>
      <c r="B584" s="611"/>
      <c r="C584" s="611"/>
      <c r="D584" s="611"/>
      <c r="E584" s="619" t="s">
        <v>247</v>
      </c>
      <c r="F584" s="619"/>
      <c r="G584" s="753"/>
      <c r="H584" s="755" t="s">
        <v>46</v>
      </c>
      <c r="I584" s="184"/>
      <c r="J584" s="214">
        <v>0</v>
      </c>
      <c r="K584" s="163"/>
      <c r="L584" s="163"/>
      <c r="M584" s="163"/>
      <c r="N584" s="163"/>
      <c r="O584" s="163"/>
      <c r="P584" s="163"/>
      <c r="Q584" s="571"/>
      <c r="R584" s="571"/>
      <c r="S584" s="571"/>
      <c r="T584" s="571"/>
      <c r="U584" s="571"/>
      <c r="V584" s="571"/>
      <c r="W584" s="571"/>
      <c r="X584" s="571"/>
      <c r="Y584" s="571"/>
      <c r="Z584" s="571"/>
    </row>
    <row r="585" spans="1:26" ht="18.75" hidden="1">
      <c r="A585" s="601"/>
      <c r="B585" s="611"/>
      <c r="C585" s="611"/>
      <c r="D585" s="611"/>
      <c r="E585" s="619"/>
      <c r="F585" s="619"/>
      <c r="G585" s="753"/>
      <c r="H585" s="755" t="s">
        <v>34</v>
      </c>
      <c r="I585" s="184"/>
      <c r="J585" s="214">
        <v>0</v>
      </c>
      <c r="K585" s="163"/>
      <c r="L585" s="163"/>
      <c r="M585" s="163"/>
      <c r="N585" s="163"/>
      <c r="O585" s="163"/>
      <c r="P585" s="163"/>
      <c r="Q585" s="571"/>
      <c r="R585" s="571"/>
      <c r="S585" s="571"/>
      <c r="T585" s="571"/>
      <c r="U585" s="571"/>
      <c r="V585" s="571"/>
      <c r="W585" s="571"/>
      <c r="X585" s="571"/>
      <c r="Y585" s="571"/>
      <c r="Z585" s="571"/>
    </row>
    <row r="586" spans="1:26" ht="18.75" hidden="1">
      <c r="A586" s="601"/>
      <c r="B586" s="611"/>
      <c r="C586" s="611"/>
      <c r="D586" s="611"/>
      <c r="E586" s="619" t="s">
        <v>248</v>
      </c>
      <c r="F586" s="619"/>
      <c r="G586" s="753"/>
      <c r="H586" s="755" t="s">
        <v>46</v>
      </c>
      <c r="I586" s="184"/>
      <c r="J586" s="214">
        <v>0</v>
      </c>
      <c r="K586" s="163"/>
      <c r="L586" s="163"/>
      <c r="M586" s="163"/>
      <c r="N586" s="163"/>
      <c r="O586" s="163"/>
      <c r="P586" s="163"/>
      <c r="Q586" s="571"/>
      <c r="R586" s="571"/>
      <c r="S586" s="571"/>
      <c r="T586" s="571"/>
      <c r="U586" s="571"/>
      <c r="V586" s="571"/>
      <c r="W586" s="571"/>
      <c r="X586" s="571"/>
      <c r="Y586" s="571"/>
      <c r="Z586" s="571"/>
    </row>
    <row r="587" spans="1:26" ht="18.75" hidden="1">
      <c r="A587" s="601"/>
      <c r="B587" s="611"/>
      <c r="C587" s="611"/>
      <c r="D587" s="611"/>
      <c r="E587" s="611"/>
      <c r="F587" s="619"/>
      <c r="G587" s="753"/>
      <c r="H587" s="755" t="s">
        <v>34</v>
      </c>
      <c r="I587" s="184"/>
      <c r="J587" s="214">
        <v>0</v>
      </c>
      <c r="K587" s="163"/>
      <c r="L587" s="163"/>
      <c r="M587" s="163"/>
      <c r="N587" s="163"/>
      <c r="O587" s="163"/>
      <c r="P587" s="163"/>
      <c r="Q587" s="571"/>
      <c r="R587" s="571"/>
      <c r="S587" s="571"/>
      <c r="T587" s="571"/>
      <c r="U587" s="571"/>
      <c r="V587" s="571"/>
      <c r="W587" s="571"/>
      <c r="X587" s="571"/>
      <c r="Y587" s="571"/>
      <c r="Z587" s="571"/>
    </row>
    <row r="588" spans="1:26" ht="18.75" hidden="1">
      <c r="A588" s="601"/>
      <c r="B588" s="611"/>
      <c r="C588" s="611"/>
      <c r="D588" s="619" t="s">
        <v>249</v>
      </c>
      <c r="E588" s="619"/>
      <c r="F588" s="619"/>
      <c r="G588" s="753"/>
      <c r="H588" s="755" t="s">
        <v>46</v>
      </c>
      <c r="I588" s="184"/>
      <c r="J588" s="214">
        <v>0</v>
      </c>
      <c r="K588" s="163"/>
      <c r="L588" s="163"/>
      <c r="M588" s="163"/>
      <c r="N588" s="163"/>
      <c r="O588" s="163"/>
      <c r="P588" s="163"/>
      <c r="Q588" s="571"/>
      <c r="R588" s="571"/>
      <c r="S588" s="571"/>
      <c r="T588" s="571"/>
      <c r="U588" s="571"/>
      <c r="V588" s="571"/>
      <c r="W588" s="571"/>
      <c r="X588" s="571"/>
      <c r="Y588" s="571"/>
      <c r="Z588" s="571"/>
    </row>
    <row r="589" spans="1:26" ht="18.75" hidden="1">
      <c r="A589" s="601"/>
      <c r="B589" s="611"/>
      <c r="C589" s="611"/>
      <c r="D589" s="611"/>
      <c r="E589" s="611"/>
      <c r="F589" s="619"/>
      <c r="G589" s="753"/>
      <c r="H589" s="755" t="s">
        <v>34</v>
      </c>
      <c r="I589" s="184"/>
      <c r="J589" s="214">
        <v>0</v>
      </c>
      <c r="K589" s="163"/>
      <c r="L589" s="163"/>
      <c r="M589" s="163"/>
      <c r="N589" s="163"/>
      <c r="O589" s="163"/>
      <c r="P589" s="163"/>
      <c r="Q589" s="571"/>
      <c r="R589" s="571"/>
      <c r="S589" s="571"/>
      <c r="T589" s="571"/>
      <c r="U589" s="571"/>
      <c r="V589" s="571"/>
      <c r="W589" s="571"/>
      <c r="X589" s="571"/>
      <c r="Y589" s="571"/>
      <c r="Z589" s="571"/>
    </row>
    <row r="590" spans="1:26" ht="18.75" hidden="1">
      <c r="A590" s="601"/>
      <c r="B590" s="611"/>
      <c r="C590" s="611"/>
      <c r="D590" s="619" t="s">
        <v>250</v>
      </c>
      <c r="E590" s="619"/>
      <c r="F590" s="619"/>
      <c r="G590" s="753"/>
      <c r="H590" s="755" t="s">
        <v>46</v>
      </c>
      <c r="I590" s="184"/>
      <c r="J590" s="214">
        <v>0</v>
      </c>
      <c r="K590" s="163"/>
      <c r="L590" s="163"/>
      <c r="M590" s="163"/>
      <c r="N590" s="163"/>
      <c r="O590" s="163"/>
      <c r="P590" s="163"/>
      <c r="Q590" s="571"/>
      <c r="R590" s="571"/>
      <c r="S590" s="571"/>
      <c r="T590" s="571"/>
      <c r="U590" s="571"/>
      <c r="V590" s="571"/>
      <c r="W590" s="571"/>
      <c r="X590" s="571"/>
      <c r="Y590" s="571"/>
      <c r="Z590" s="571"/>
    </row>
    <row r="591" spans="1:26" ht="18.75" hidden="1">
      <c r="A591" s="689"/>
      <c r="B591" s="690"/>
      <c r="C591" s="690"/>
      <c r="D591" s="690"/>
      <c r="E591" s="571"/>
      <c r="F591" s="571"/>
      <c r="G591" s="691"/>
      <c r="H591" s="692" t="s">
        <v>34</v>
      </c>
      <c r="I591" s="693"/>
      <c r="J591" s="694">
        <v>0</v>
      </c>
      <c r="K591" s="695"/>
      <c r="L591" s="695"/>
      <c r="M591" s="695"/>
      <c r="N591" s="695"/>
      <c r="O591" s="695"/>
      <c r="P591" s="695"/>
      <c r="Q591" s="571"/>
      <c r="R591" s="571"/>
      <c r="S591" s="571"/>
      <c r="T591" s="571"/>
      <c r="U591" s="571"/>
      <c r="V591" s="571"/>
      <c r="W591" s="571"/>
      <c r="X591" s="571"/>
      <c r="Y591" s="571"/>
      <c r="Z591" s="571"/>
    </row>
    <row r="592" spans="1:26" ht="19.5">
      <c r="A592" s="685"/>
      <c r="B592" s="686" t="s">
        <v>251</v>
      </c>
      <c r="C592" s="687"/>
      <c r="D592" s="687"/>
      <c r="E592" s="666"/>
      <c r="F592" s="666"/>
      <c r="G592" s="667"/>
      <c r="H592" s="688" t="s">
        <v>46</v>
      </c>
      <c r="I592" s="699">
        <f t="shared" ref="I592:J592" ca="1" si="252">I593</f>
        <v>280</v>
      </c>
      <c r="J592" s="699">
        <f t="shared" si="252"/>
        <v>0</v>
      </c>
      <c r="K592" s="670">
        <f t="shared" ref="K592:K594" ca="1" si="253">IF(I592&gt;0,J592*100/I592,0)</f>
        <v>0</v>
      </c>
      <c r="L592" s="671"/>
      <c r="M592" s="671"/>
      <c r="N592" s="671"/>
      <c r="O592" s="671"/>
      <c r="P592" s="671"/>
      <c r="Q592" s="571"/>
      <c r="R592" s="571"/>
      <c r="S592" s="571"/>
      <c r="T592" s="571"/>
      <c r="U592" s="571"/>
      <c r="V592" s="571"/>
      <c r="W592" s="571"/>
      <c r="X592" s="571"/>
      <c r="Y592" s="571"/>
      <c r="Z592" s="571"/>
    </row>
    <row r="593" spans="1:26" ht="19.5">
      <c r="A593" s="601"/>
      <c r="B593" s="611"/>
      <c r="C593" s="618" t="s">
        <v>252</v>
      </c>
      <c r="D593" s="611"/>
      <c r="E593" s="611"/>
      <c r="F593" s="619"/>
      <c r="G593" s="753"/>
      <c r="H593" s="758" t="s">
        <v>46</v>
      </c>
      <c r="I593" s="193">
        <f ca="1">IFERROR(__xludf.DUMMYFUNCTION("IMPORTRANGE(""https://docs.google.com/spreadsheets/d/1QqKyyYR6Q21VydFLVH3TRQUabQu_ym0Zz7PgGX0-kHA/edit?usp=sharing"",""แผน!HJ64"")"),280)</f>
        <v>280</v>
      </c>
      <c r="J593" s="193">
        <f t="shared" ref="J593:J594" si="254">J595+J603+J609</f>
        <v>0</v>
      </c>
      <c r="K593" s="410">
        <f t="shared" ca="1" si="253"/>
        <v>0</v>
      </c>
      <c r="L593" s="163"/>
      <c r="M593" s="163"/>
      <c r="N593" s="163"/>
      <c r="O593" s="163"/>
      <c r="P593" s="163"/>
      <c r="Q593" s="571"/>
      <c r="R593" s="571"/>
      <c r="S593" s="571"/>
      <c r="T593" s="571"/>
      <c r="U593" s="571"/>
      <c r="V593" s="571"/>
      <c r="W593" s="571"/>
      <c r="X593" s="571"/>
      <c r="Y593" s="571"/>
      <c r="Z593" s="571"/>
    </row>
    <row r="594" spans="1:26" ht="19.5">
      <c r="A594" s="601"/>
      <c r="B594" s="611"/>
      <c r="C594" s="611"/>
      <c r="D594" s="611"/>
      <c r="E594" s="619"/>
      <c r="F594" s="619"/>
      <c r="G594" s="753"/>
      <c r="H594" s="758" t="s">
        <v>34</v>
      </c>
      <c r="I594" s="193">
        <f ca="1">IFERROR(__xludf.DUMMYFUNCTION("IMPORTRANGE(""https://docs.google.com/spreadsheets/d/1QqKyyYR6Q21VydFLVH3TRQUabQu_ym0Zz7PgGX0-kHA/edit?usp=sharing"",""แผน!HI64"")"),18)</f>
        <v>18</v>
      </c>
      <c r="J594" s="193">
        <f t="shared" si="254"/>
        <v>0</v>
      </c>
      <c r="K594" s="410">
        <f t="shared" ca="1" si="253"/>
        <v>0</v>
      </c>
      <c r="L594" s="163"/>
      <c r="M594" s="163"/>
      <c r="N594" s="163"/>
      <c r="O594" s="163"/>
      <c r="P594" s="163"/>
      <c r="Q594" s="571"/>
      <c r="R594" s="571"/>
      <c r="S594" s="571"/>
      <c r="T594" s="571"/>
      <c r="U594" s="571"/>
      <c r="V594" s="571"/>
      <c r="W594" s="571"/>
      <c r="X594" s="571"/>
      <c r="Y594" s="571"/>
      <c r="Z594" s="571"/>
    </row>
    <row r="595" spans="1:26" ht="18.75">
      <c r="A595" s="601"/>
      <c r="B595" s="611"/>
      <c r="C595" s="611" t="s">
        <v>253</v>
      </c>
      <c r="D595" s="611"/>
      <c r="E595" s="611"/>
      <c r="F595" s="619"/>
      <c r="G595" s="753"/>
      <c r="H595" s="755" t="s">
        <v>46</v>
      </c>
      <c r="I595" s="184"/>
      <c r="J595" s="184">
        <f t="shared" ref="J595:J596" si="255">J597+J599</f>
        <v>0</v>
      </c>
      <c r="K595" s="163"/>
      <c r="L595" s="163"/>
      <c r="M595" s="163"/>
      <c r="N595" s="163"/>
      <c r="O595" s="163"/>
      <c r="P595" s="163"/>
      <c r="Q595" s="571"/>
      <c r="R595" s="571"/>
      <c r="S595" s="571"/>
      <c r="T595" s="571"/>
      <c r="U595" s="571"/>
      <c r="V595" s="571"/>
      <c r="W595" s="571"/>
      <c r="X595" s="571"/>
      <c r="Y595" s="571"/>
      <c r="Z595" s="571"/>
    </row>
    <row r="596" spans="1:26" ht="18.75">
      <c r="A596" s="601"/>
      <c r="B596" s="611"/>
      <c r="C596" s="611"/>
      <c r="D596" s="611"/>
      <c r="E596" s="619"/>
      <c r="F596" s="619"/>
      <c r="G596" s="753"/>
      <c r="H596" s="755" t="s">
        <v>34</v>
      </c>
      <c r="I596" s="184"/>
      <c r="J596" s="184">
        <f t="shared" si="255"/>
        <v>0</v>
      </c>
      <c r="K596" s="163"/>
      <c r="L596" s="163"/>
      <c r="M596" s="163"/>
      <c r="N596" s="163"/>
      <c r="O596" s="163"/>
      <c r="P596" s="163"/>
      <c r="Q596" s="571"/>
      <c r="R596" s="571"/>
      <c r="S596" s="571"/>
      <c r="T596" s="571"/>
      <c r="U596" s="571"/>
      <c r="V596" s="571"/>
      <c r="W596" s="571"/>
      <c r="X596" s="571"/>
      <c r="Y596" s="571"/>
      <c r="Z596" s="571"/>
    </row>
    <row r="597" spans="1:26" ht="18.75">
      <c r="A597" s="601"/>
      <c r="B597" s="611"/>
      <c r="C597" s="611"/>
      <c r="D597" s="737" t="s">
        <v>254</v>
      </c>
      <c r="E597" s="619"/>
      <c r="F597" s="619"/>
      <c r="G597" s="753"/>
      <c r="H597" s="755" t="s">
        <v>46</v>
      </c>
      <c r="I597" s="184"/>
      <c r="J597" s="214">
        <v>0</v>
      </c>
      <c r="K597" s="163"/>
      <c r="L597" s="163"/>
      <c r="M597" s="163"/>
      <c r="N597" s="163"/>
      <c r="O597" s="163"/>
      <c r="P597" s="163"/>
      <c r="Q597" s="571"/>
      <c r="R597" s="571"/>
      <c r="S597" s="571"/>
      <c r="T597" s="571"/>
      <c r="U597" s="571"/>
      <c r="V597" s="571"/>
      <c r="W597" s="571"/>
      <c r="X597" s="571"/>
      <c r="Y597" s="571"/>
      <c r="Z597" s="571"/>
    </row>
    <row r="598" spans="1:26" ht="18.75">
      <c r="A598" s="601"/>
      <c r="B598" s="611"/>
      <c r="C598" s="611"/>
      <c r="D598" s="611"/>
      <c r="E598" s="619"/>
      <c r="F598" s="619"/>
      <c r="G598" s="753"/>
      <c r="H598" s="755" t="s">
        <v>34</v>
      </c>
      <c r="I598" s="269"/>
      <c r="J598" s="214">
        <v>0</v>
      </c>
      <c r="K598" s="163"/>
      <c r="L598" s="163"/>
      <c r="M598" s="163"/>
      <c r="N598" s="163"/>
      <c r="O598" s="163"/>
      <c r="P598" s="163"/>
      <c r="Q598" s="571"/>
      <c r="R598" s="571"/>
      <c r="S598" s="571"/>
      <c r="T598" s="571"/>
      <c r="U598" s="571"/>
      <c r="V598" s="571"/>
      <c r="W598" s="571"/>
      <c r="X598" s="571"/>
      <c r="Y598" s="571"/>
      <c r="Z598" s="571"/>
    </row>
    <row r="599" spans="1:26" ht="18.75">
      <c r="A599" s="601"/>
      <c r="B599" s="611"/>
      <c r="C599" s="611"/>
      <c r="D599" s="737" t="s">
        <v>255</v>
      </c>
      <c r="E599" s="619"/>
      <c r="F599" s="619"/>
      <c r="G599" s="753"/>
      <c r="H599" s="755" t="s">
        <v>46</v>
      </c>
      <c r="I599" s="269"/>
      <c r="J599" s="214">
        <v>0</v>
      </c>
      <c r="K599" s="163"/>
      <c r="L599" s="163"/>
      <c r="M599" s="163"/>
      <c r="N599" s="163"/>
      <c r="O599" s="163"/>
      <c r="P599" s="163"/>
      <c r="Q599" s="571"/>
      <c r="R599" s="571"/>
      <c r="S599" s="571"/>
      <c r="T599" s="571"/>
      <c r="U599" s="571"/>
      <c r="V599" s="571"/>
      <c r="W599" s="571"/>
      <c r="X599" s="571"/>
      <c r="Y599" s="571"/>
      <c r="Z599" s="571"/>
    </row>
    <row r="600" spans="1:26" ht="18.75">
      <c r="A600" s="601"/>
      <c r="B600" s="611"/>
      <c r="C600" s="611"/>
      <c r="D600" s="611"/>
      <c r="E600" s="619"/>
      <c r="F600" s="619"/>
      <c r="G600" s="753"/>
      <c r="H600" s="755" t="s">
        <v>34</v>
      </c>
      <c r="I600" s="269"/>
      <c r="J600" s="214">
        <v>0</v>
      </c>
      <c r="K600" s="163"/>
      <c r="L600" s="163"/>
      <c r="M600" s="163"/>
      <c r="N600" s="163"/>
      <c r="O600" s="163"/>
      <c r="P600" s="163"/>
      <c r="Q600" s="571"/>
      <c r="R600" s="571"/>
      <c r="S600" s="571"/>
      <c r="T600" s="571"/>
      <c r="U600" s="571"/>
      <c r="V600" s="571"/>
      <c r="W600" s="571"/>
      <c r="X600" s="571"/>
      <c r="Y600" s="571"/>
      <c r="Z600" s="571"/>
    </row>
    <row r="601" spans="1:26" ht="18.75">
      <c r="A601" s="601"/>
      <c r="B601" s="611"/>
      <c r="C601" s="611"/>
      <c r="D601" s="737" t="s">
        <v>256</v>
      </c>
      <c r="E601" s="619"/>
      <c r="F601" s="619"/>
      <c r="G601" s="753"/>
      <c r="H601" s="755" t="s">
        <v>46</v>
      </c>
      <c r="I601" s="269"/>
      <c r="J601" s="214">
        <v>0</v>
      </c>
      <c r="K601" s="163"/>
      <c r="L601" s="163"/>
      <c r="M601" s="163"/>
      <c r="N601" s="163"/>
      <c r="O601" s="163"/>
      <c r="P601" s="163"/>
      <c r="Q601" s="571"/>
      <c r="R601" s="571"/>
      <c r="S601" s="571"/>
      <c r="T601" s="571"/>
      <c r="U601" s="571"/>
      <c r="V601" s="571"/>
      <c r="W601" s="571"/>
      <c r="X601" s="571"/>
      <c r="Y601" s="571"/>
      <c r="Z601" s="571"/>
    </row>
    <row r="602" spans="1:26" ht="18.75">
      <c r="A602" s="601"/>
      <c r="B602" s="611"/>
      <c r="C602" s="611"/>
      <c r="D602" s="611"/>
      <c r="E602" s="619"/>
      <c r="F602" s="619"/>
      <c r="G602" s="753"/>
      <c r="H602" s="755" t="s">
        <v>34</v>
      </c>
      <c r="I602" s="269"/>
      <c r="J602" s="214">
        <v>0</v>
      </c>
      <c r="K602" s="163"/>
      <c r="L602" s="163"/>
      <c r="M602" s="163"/>
      <c r="N602" s="163"/>
      <c r="O602" s="163"/>
      <c r="P602" s="163"/>
      <c r="Q602" s="571"/>
      <c r="R602" s="571"/>
      <c r="S602" s="571"/>
      <c r="T602" s="571"/>
      <c r="U602" s="571"/>
      <c r="V602" s="571"/>
      <c r="W602" s="571"/>
      <c r="X602" s="571"/>
      <c r="Y602" s="571"/>
      <c r="Z602" s="571"/>
    </row>
    <row r="603" spans="1:26" ht="18.75">
      <c r="A603" s="601"/>
      <c r="B603" s="611"/>
      <c r="C603" s="696" t="s">
        <v>257</v>
      </c>
      <c r="D603" s="611"/>
      <c r="E603" s="611"/>
      <c r="F603" s="619"/>
      <c r="G603" s="753"/>
      <c r="H603" s="755" t="s">
        <v>46</v>
      </c>
      <c r="I603" s="269"/>
      <c r="J603" s="269">
        <f t="shared" ref="J603:J604" si="256">J605+J607</f>
        <v>0</v>
      </c>
      <c r="K603" s="163"/>
      <c r="L603" s="163"/>
      <c r="M603" s="163"/>
      <c r="N603" s="163"/>
      <c r="O603" s="163"/>
      <c r="P603" s="163"/>
      <c r="Q603" s="571"/>
      <c r="R603" s="571"/>
      <c r="S603" s="571"/>
      <c r="T603" s="571"/>
      <c r="U603" s="571"/>
      <c r="V603" s="571"/>
      <c r="W603" s="571"/>
      <c r="X603" s="571"/>
      <c r="Y603" s="571"/>
      <c r="Z603" s="571"/>
    </row>
    <row r="604" spans="1:26" ht="18.75">
      <c r="A604" s="601"/>
      <c r="B604" s="611"/>
      <c r="C604" s="611"/>
      <c r="D604" s="611"/>
      <c r="E604" s="619"/>
      <c r="F604" s="619"/>
      <c r="G604" s="753"/>
      <c r="H604" s="755" t="s">
        <v>34</v>
      </c>
      <c r="I604" s="269"/>
      <c r="J604" s="269">
        <f t="shared" si="256"/>
        <v>0</v>
      </c>
      <c r="K604" s="163"/>
      <c r="L604" s="163"/>
      <c r="M604" s="163"/>
      <c r="N604" s="163"/>
      <c r="O604" s="163"/>
      <c r="P604" s="163"/>
      <c r="Q604" s="571"/>
      <c r="R604" s="571"/>
      <c r="S604" s="571"/>
      <c r="T604" s="571"/>
      <c r="U604" s="571"/>
      <c r="V604" s="571"/>
      <c r="W604" s="571"/>
      <c r="X604" s="571"/>
      <c r="Y604" s="571"/>
      <c r="Z604" s="571"/>
    </row>
    <row r="605" spans="1:26" ht="18.75">
      <c r="A605" s="601"/>
      <c r="B605" s="611"/>
      <c r="C605" s="611"/>
      <c r="D605" s="696" t="s">
        <v>258</v>
      </c>
      <c r="E605" s="619"/>
      <c r="F605" s="619"/>
      <c r="G605" s="753"/>
      <c r="H605" s="755" t="s">
        <v>46</v>
      </c>
      <c r="I605" s="269"/>
      <c r="J605" s="214">
        <v>0</v>
      </c>
      <c r="K605" s="163"/>
      <c r="L605" s="163"/>
      <c r="M605" s="163"/>
      <c r="N605" s="163"/>
      <c r="O605" s="163"/>
      <c r="P605" s="163"/>
      <c r="Q605" s="571"/>
      <c r="R605" s="571"/>
      <c r="S605" s="571"/>
      <c r="T605" s="571"/>
      <c r="U605" s="571"/>
      <c r="V605" s="571"/>
      <c r="W605" s="571"/>
      <c r="X605" s="571"/>
      <c r="Y605" s="571"/>
      <c r="Z605" s="571"/>
    </row>
    <row r="606" spans="1:26" ht="18.75">
      <c r="A606" s="601"/>
      <c r="B606" s="611"/>
      <c r="C606" s="611"/>
      <c r="D606" s="611"/>
      <c r="E606" s="611"/>
      <c r="F606" s="619"/>
      <c r="G606" s="753"/>
      <c r="H606" s="755" t="s">
        <v>34</v>
      </c>
      <c r="I606" s="269"/>
      <c r="J606" s="214">
        <v>0</v>
      </c>
      <c r="K606" s="163"/>
      <c r="L606" s="163"/>
      <c r="M606" s="163"/>
      <c r="N606" s="163"/>
      <c r="O606" s="163"/>
      <c r="P606" s="163"/>
      <c r="Q606" s="571"/>
      <c r="R606" s="571"/>
      <c r="S606" s="571"/>
      <c r="T606" s="571"/>
      <c r="U606" s="571"/>
      <c r="V606" s="571"/>
      <c r="W606" s="571"/>
      <c r="X606" s="571"/>
      <c r="Y606" s="571"/>
      <c r="Z606" s="571"/>
    </row>
    <row r="607" spans="1:26" ht="18.75">
      <c r="A607" s="601"/>
      <c r="B607" s="611"/>
      <c r="C607" s="611"/>
      <c r="D607" s="696" t="s">
        <v>259</v>
      </c>
      <c r="E607" s="611"/>
      <c r="F607" s="619"/>
      <c r="G607" s="753"/>
      <c r="H607" s="755" t="s">
        <v>46</v>
      </c>
      <c r="I607" s="269"/>
      <c r="J607" s="214">
        <v>0</v>
      </c>
      <c r="K607" s="163"/>
      <c r="L607" s="163"/>
      <c r="M607" s="163"/>
      <c r="N607" s="163"/>
      <c r="O607" s="163"/>
      <c r="P607" s="163"/>
      <c r="Q607" s="571"/>
      <c r="R607" s="571"/>
      <c r="S607" s="571"/>
      <c r="T607" s="571"/>
      <c r="U607" s="571"/>
      <c r="V607" s="571"/>
      <c r="W607" s="571"/>
      <c r="X607" s="571"/>
      <c r="Y607" s="571"/>
      <c r="Z607" s="571"/>
    </row>
    <row r="608" spans="1:26" ht="18.75">
      <c r="A608" s="601"/>
      <c r="B608" s="611"/>
      <c r="C608" s="611"/>
      <c r="D608" s="611"/>
      <c r="E608" s="619"/>
      <c r="F608" s="619"/>
      <c r="G608" s="753"/>
      <c r="H608" s="755" t="s">
        <v>34</v>
      </c>
      <c r="I608" s="269"/>
      <c r="J608" s="214">
        <v>0</v>
      </c>
      <c r="K608" s="163"/>
      <c r="L608" s="163"/>
      <c r="M608" s="163"/>
      <c r="N608" s="163"/>
      <c r="O608" s="163"/>
      <c r="P608" s="163"/>
      <c r="Q608" s="571"/>
      <c r="R608" s="571"/>
      <c r="S608" s="571"/>
      <c r="T608" s="571"/>
      <c r="U608" s="571"/>
      <c r="V608" s="571"/>
      <c r="W608" s="571"/>
      <c r="X608" s="571"/>
      <c r="Y608" s="571"/>
      <c r="Z608" s="571"/>
    </row>
    <row r="609" spans="1:26" ht="18.75">
      <c r="A609" s="601"/>
      <c r="B609" s="611"/>
      <c r="C609" s="611" t="s">
        <v>260</v>
      </c>
      <c r="D609" s="611"/>
      <c r="E609" s="611"/>
      <c r="F609" s="619"/>
      <c r="G609" s="753"/>
      <c r="H609" s="755" t="s">
        <v>46</v>
      </c>
      <c r="I609" s="269"/>
      <c r="J609" s="214">
        <v>0</v>
      </c>
      <c r="K609" s="163"/>
      <c r="L609" s="163"/>
      <c r="M609" s="163"/>
      <c r="N609" s="163"/>
      <c r="O609" s="163"/>
      <c r="P609" s="163"/>
      <c r="Q609" s="571"/>
      <c r="R609" s="571"/>
      <c r="S609" s="571"/>
      <c r="T609" s="571"/>
      <c r="U609" s="571"/>
      <c r="V609" s="571"/>
      <c r="W609" s="571"/>
      <c r="X609" s="571"/>
      <c r="Y609" s="571"/>
      <c r="Z609" s="571"/>
    </row>
    <row r="610" spans="1:26" ht="18.75">
      <c r="A610" s="601"/>
      <c r="B610" s="611"/>
      <c r="C610" s="611"/>
      <c r="D610" s="611"/>
      <c r="E610" s="619"/>
      <c r="F610" s="619"/>
      <c r="G610" s="753"/>
      <c r="H610" s="755" t="s">
        <v>34</v>
      </c>
      <c r="I610" s="269"/>
      <c r="J610" s="214">
        <v>0</v>
      </c>
      <c r="K610" s="163"/>
      <c r="L610" s="163"/>
      <c r="M610" s="163"/>
      <c r="N610" s="163"/>
      <c r="O610" s="163"/>
      <c r="P610" s="163"/>
      <c r="Q610" s="571"/>
      <c r="R610" s="571"/>
      <c r="S610" s="571"/>
      <c r="T610" s="571"/>
      <c r="U610" s="571"/>
      <c r="V610" s="571"/>
      <c r="W610" s="571"/>
      <c r="X610" s="571"/>
      <c r="Y610" s="571"/>
      <c r="Z610" s="571"/>
    </row>
    <row r="611" spans="1:26" ht="19.5" hidden="1">
      <c r="A611" s="685"/>
      <c r="B611" s="697" t="s">
        <v>261</v>
      </c>
      <c r="C611" s="687"/>
      <c r="D611" s="687"/>
      <c r="E611" s="666"/>
      <c r="F611" s="666"/>
      <c r="G611" s="667"/>
      <c r="H611" s="698" t="s">
        <v>46</v>
      </c>
      <c r="I611" s="699">
        <v>0</v>
      </c>
      <c r="J611" s="699">
        <f>J614+J616</f>
        <v>0</v>
      </c>
      <c r="K611" s="670">
        <f t="shared" ref="K611:K613" si="257">IF(I611&gt;0,J611*100/I611,0)</f>
        <v>0</v>
      </c>
      <c r="L611" s="671"/>
      <c r="M611" s="671"/>
      <c r="N611" s="671"/>
      <c r="O611" s="671"/>
      <c r="P611" s="671"/>
      <c r="Q611" s="571"/>
      <c r="R611" s="571"/>
      <c r="S611" s="571"/>
      <c r="T611" s="571"/>
      <c r="U611" s="571"/>
      <c r="V611" s="571"/>
      <c r="W611" s="571"/>
      <c r="X611" s="571"/>
      <c r="Y611" s="571"/>
      <c r="Z611" s="571"/>
    </row>
    <row r="612" spans="1:26" ht="19.5" hidden="1">
      <c r="A612" s="700"/>
      <c r="B612" s="710"/>
      <c r="C612" s="702" t="s">
        <v>262</v>
      </c>
      <c r="D612" s="710"/>
      <c r="E612" s="710"/>
      <c r="F612" s="703"/>
      <c r="G612" s="704"/>
      <c r="H612" s="705" t="s">
        <v>46</v>
      </c>
      <c r="I612" s="707">
        <v>0</v>
      </c>
      <c r="J612" s="707">
        <f t="shared" ref="J612:J613" si="258">J614+J616</f>
        <v>0</v>
      </c>
      <c r="K612" s="708">
        <f t="shared" si="257"/>
        <v>0</v>
      </c>
      <c r="L612" s="709"/>
      <c r="M612" s="709"/>
      <c r="N612" s="709"/>
      <c r="O612" s="709"/>
      <c r="P612" s="709"/>
      <c r="Q612" s="597"/>
      <c r="R612" s="597"/>
      <c r="S612" s="597"/>
      <c r="T612" s="597"/>
      <c r="U612" s="597"/>
      <c r="V612" s="597"/>
      <c r="W612" s="597"/>
      <c r="X612" s="597"/>
      <c r="Y612" s="597"/>
      <c r="Z612" s="597"/>
    </row>
    <row r="613" spans="1:26" ht="19.5" hidden="1">
      <c r="A613" s="700"/>
      <c r="B613" s="710"/>
      <c r="C613" s="710" t="s">
        <v>263</v>
      </c>
      <c r="D613" s="710"/>
      <c r="E613" s="710"/>
      <c r="F613" s="703"/>
      <c r="G613" s="704"/>
      <c r="H613" s="705" t="s">
        <v>34</v>
      </c>
      <c r="I613" s="707">
        <v>0</v>
      </c>
      <c r="J613" s="707">
        <f t="shared" si="258"/>
        <v>0</v>
      </c>
      <c r="K613" s="708">
        <f t="shared" si="257"/>
        <v>0</v>
      </c>
      <c r="L613" s="709"/>
      <c r="M613" s="709"/>
      <c r="N613" s="709"/>
      <c r="O613" s="709"/>
      <c r="P613" s="709"/>
      <c r="Q613" s="597"/>
      <c r="R613" s="597"/>
      <c r="S613" s="597"/>
      <c r="T613" s="597"/>
      <c r="U613" s="597"/>
      <c r="V613" s="597"/>
      <c r="W613" s="597"/>
      <c r="X613" s="597"/>
      <c r="Y613" s="597"/>
      <c r="Z613" s="597"/>
    </row>
    <row r="614" spans="1:26" ht="18.75" hidden="1">
      <c r="A614" s="607"/>
      <c r="B614" s="609"/>
      <c r="C614" s="609"/>
      <c r="D614" s="711" t="s">
        <v>264</v>
      </c>
      <c r="E614" s="609"/>
      <c r="F614" s="711"/>
      <c r="G614" s="365"/>
      <c r="H614" s="369" t="s">
        <v>46</v>
      </c>
      <c r="I614" s="610"/>
      <c r="J614" s="610">
        <v>0</v>
      </c>
      <c r="K614" s="167"/>
      <c r="L614" s="167"/>
      <c r="M614" s="167"/>
      <c r="N614" s="167"/>
      <c r="O614" s="167"/>
      <c r="P614" s="167"/>
      <c r="Q614" s="597"/>
      <c r="R614" s="597"/>
      <c r="S614" s="597"/>
      <c r="T614" s="597"/>
      <c r="U614" s="597"/>
      <c r="V614" s="597"/>
      <c r="W614" s="597"/>
      <c r="X614" s="597"/>
      <c r="Y614" s="597"/>
      <c r="Z614" s="597"/>
    </row>
    <row r="615" spans="1:26" ht="18.75" hidden="1">
      <c r="A615" s="607"/>
      <c r="B615" s="609"/>
      <c r="C615" s="609"/>
      <c r="D615" s="609"/>
      <c r="E615" s="609"/>
      <c r="F615" s="711"/>
      <c r="G615" s="365"/>
      <c r="H615" s="369" t="s">
        <v>34</v>
      </c>
      <c r="I615" s="610"/>
      <c r="J615" s="610">
        <v>0</v>
      </c>
      <c r="K615" s="167"/>
      <c r="L615" s="167"/>
      <c r="M615" s="167"/>
      <c r="N615" s="167"/>
      <c r="O615" s="167"/>
      <c r="P615" s="167"/>
      <c r="Q615" s="597"/>
      <c r="R615" s="597"/>
      <c r="S615" s="597"/>
      <c r="T615" s="597"/>
      <c r="U615" s="597"/>
      <c r="V615" s="597"/>
      <c r="W615" s="597"/>
      <c r="X615" s="597"/>
      <c r="Y615" s="597"/>
      <c r="Z615" s="597"/>
    </row>
    <row r="616" spans="1:26" ht="18.75" hidden="1">
      <c r="A616" s="607"/>
      <c r="B616" s="609"/>
      <c r="C616" s="609"/>
      <c r="D616" s="712" t="s">
        <v>264</v>
      </c>
      <c r="E616" s="711"/>
      <c r="F616" s="711"/>
      <c r="G616" s="365"/>
      <c r="H616" s="369" t="s">
        <v>46</v>
      </c>
      <c r="I616" s="610"/>
      <c r="J616" s="610">
        <v>0</v>
      </c>
      <c r="K616" s="167"/>
      <c r="L616" s="167"/>
      <c r="M616" s="167"/>
      <c r="N616" s="167"/>
      <c r="O616" s="167"/>
      <c r="P616" s="167"/>
      <c r="Q616" s="597"/>
      <c r="R616" s="597"/>
      <c r="S616" s="597"/>
      <c r="T616" s="597"/>
      <c r="U616" s="597"/>
      <c r="V616" s="597"/>
      <c r="W616" s="597"/>
      <c r="X616" s="597"/>
      <c r="Y616" s="597"/>
      <c r="Z616" s="597"/>
    </row>
    <row r="617" spans="1:26" ht="18.75" hidden="1">
      <c r="A617" s="607"/>
      <c r="B617" s="609"/>
      <c r="C617" s="609"/>
      <c r="D617" s="609"/>
      <c r="E617" s="711"/>
      <c r="F617" s="711"/>
      <c r="G617" s="365"/>
      <c r="H617" s="369" t="s">
        <v>34</v>
      </c>
      <c r="I617" s="610"/>
      <c r="J617" s="610">
        <v>0</v>
      </c>
      <c r="K617" s="167"/>
      <c r="L617" s="167"/>
      <c r="M617" s="167"/>
      <c r="N617" s="167"/>
      <c r="O617" s="167"/>
      <c r="P617" s="167"/>
      <c r="Q617" s="597"/>
      <c r="R617" s="597"/>
      <c r="S617" s="597"/>
      <c r="T617" s="597"/>
      <c r="U617" s="597"/>
      <c r="V617" s="597"/>
      <c r="W617" s="597"/>
      <c r="X617" s="597"/>
      <c r="Y617" s="597"/>
      <c r="Z617" s="597"/>
    </row>
    <row r="618" spans="1:26" ht="18.75" hidden="1">
      <c r="A618" s="607"/>
      <c r="B618" s="609"/>
      <c r="C618" s="609"/>
      <c r="D618" s="712" t="s">
        <v>265</v>
      </c>
      <c r="E618" s="711"/>
      <c r="F618" s="711"/>
      <c r="G618" s="365"/>
      <c r="H618" s="369" t="s">
        <v>46</v>
      </c>
      <c r="I618" s="610"/>
      <c r="J618" s="610">
        <v>0</v>
      </c>
      <c r="K618" s="167"/>
      <c r="L618" s="167"/>
      <c r="M618" s="167"/>
      <c r="N618" s="167"/>
      <c r="O618" s="167"/>
      <c r="P618" s="167"/>
      <c r="Q618" s="597"/>
      <c r="R618" s="597"/>
      <c r="S618" s="597"/>
      <c r="T618" s="597"/>
      <c r="U618" s="597"/>
      <c r="V618" s="597"/>
      <c r="W618" s="597"/>
      <c r="X618" s="597"/>
      <c r="Y618" s="597"/>
      <c r="Z618" s="597"/>
    </row>
    <row r="619" spans="1:26" ht="18.75" hidden="1">
      <c r="A619" s="607"/>
      <c r="B619" s="609"/>
      <c r="C619" s="609"/>
      <c r="D619" s="609"/>
      <c r="E619" s="711"/>
      <c r="F619" s="711"/>
      <c r="G619" s="365"/>
      <c r="H619" s="369" t="s">
        <v>34</v>
      </c>
      <c r="I619" s="610"/>
      <c r="J619" s="610">
        <v>0</v>
      </c>
      <c r="K619" s="167"/>
      <c r="L619" s="167"/>
      <c r="M619" s="167"/>
      <c r="N619" s="167"/>
      <c r="O619" s="167"/>
      <c r="P619" s="167"/>
      <c r="Q619" s="597"/>
      <c r="R619" s="597"/>
      <c r="S619" s="597"/>
      <c r="T619" s="597"/>
      <c r="U619" s="597"/>
      <c r="V619" s="597"/>
      <c r="W619" s="597"/>
      <c r="X619" s="597"/>
      <c r="Y619" s="597"/>
      <c r="Z619" s="597"/>
    </row>
    <row r="620" spans="1:26" ht="19.5" hidden="1">
      <c r="A620" s="713"/>
      <c r="B620" s="722"/>
      <c r="C620" s="715" t="s">
        <v>266</v>
      </c>
      <c r="D620" s="722"/>
      <c r="E620" s="722"/>
      <c r="F620" s="716"/>
      <c r="G620" s="717"/>
      <c r="H620" s="718" t="s">
        <v>46</v>
      </c>
      <c r="I620" s="719">
        <f ca="1">IFERROR(__xludf.DUMMYFUNCTION("IMPORTRANGE(""https://docs.google.com/spreadsheets/d/1QqKyyYR6Q21VydFLVH3TRQUabQu_ym0Zz7PgGX0-kHA/edit?usp=sharing"",""แผน!HL64"")"),0)</f>
        <v>0</v>
      </c>
      <c r="J620" s="719">
        <f t="shared" ref="J620:J621" si="259">J622+J624+J626</f>
        <v>0</v>
      </c>
      <c r="K620" s="720">
        <f t="shared" ref="K620:K621" ca="1" si="260">IF(I620&gt;0,J620*100/I620,0)</f>
        <v>0</v>
      </c>
      <c r="L620" s="721"/>
      <c r="M620" s="721"/>
      <c r="N620" s="721"/>
      <c r="O620" s="721"/>
      <c r="P620" s="721"/>
      <c r="Q620" s="571"/>
      <c r="R620" s="571"/>
      <c r="S620" s="571"/>
      <c r="T620" s="571"/>
      <c r="U620" s="571"/>
      <c r="V620" s="571"/>
      <c r="W620" s="571"/>
      <c r="X620" s="571"/>
      <c r="Y620" s="571"/>
      <c r="Z620" s="571"/>
    </row>
    <row r="621" spans="1:26" ht="19.5" hidden="1">
      <c r="A621" s="713"/>
      <c r="B621" s="722"/>
      <c r="C621" s="722" t="s">
        <v>267</v>
      </c>
      <c r="D621" s="722"/>
      <c r="E621" s="722"/>
      <c r="F621" s="716"/>
      <c r="G621" s="717"/>
      <c r="H621" s="718" t="s">
        <v>34</v>
      </c>
      <c r="I621" s="719">
        <f ca="1">IFERROR(__xludf.DUMMYFUNCTION("IMPORTRANGE(""https://docs.google.com/spreadsheets/d/1QqKyyYR6Q21VydFLVH3TRQUabQu_ym0Zz7PgGX0-kHA/edit?usp=sharing"",""แผน!HK64"")"),0)</f>
        <v>0</v>
      </c>
      <c r="J621" s="719">
        <f t="shared" si="259"/>
        <v>0</v>
      </c>
      <c r="K621" s="720">
        <f t="shared" ca="1" si="260"/>
        <v>0</v>
      </c>
      <c r="L621" s="721"/>
      <c r="M621" s="721"/>
      <c r="N621" s="721"/>
      <c r="O621" s="721"/>
      <c r="P621" s="721"/>
      <c r="Q621" s="571"/>
      <c r="R621" s="571"/>
      <c r="S621" s="571"/>
      <c r="T621" s="571"/>
      <c r="U621" s="571"/>
      <c r="V621" s="571"/>
      <c r="W621" s="571"/>
      <c r="X621" s="571"/>
      <c r="Y621" s="571"/>
      <c r="Z621" s="571"/>
    </row>
    <row r="622" spans="1:26" ht="18.75" hidden="1">
      <c r="A622" s="601"/>
      <c r="B622" s="611"/>
      <c r="C622" s="611"/>
      <c r="D622" s="737" t="s">
        <v>268</v>
      </c>
      <c r="E622" s="619"/>
      <c r="F622" s="619"/>
      <c r="G622" s="753"/>
      <c r="H622" s="755" t="s">
        <v>46</v>
      </c>
      <c r="I622" s="269"/>
      <c r="J622" s="214">
        <v>0</v>
      </c>
      <c r="K622" s="163"/>
      <c r="L622" s="163"/>
      <c r="M622" s="163"/>
      <c r="N622" s="163"/>
      <c r="O622" s="163"/>
      <c r="P622" s="163"/>
      <c r="Q622" s="571"/>
      <c r="R622" s="571"/>
      <c r="S622" s="571"/>
      <c r="T622" s="571"/>
      <c r="U622" s="571"/>
      <c r="V622" s="571"/>
      <c r="W622" s="571"/>
      <c r="X622" s="571"/>
      <c r="Y622" s="571"/>
      <c r="Z622" s="571"/>
    </row>
    <row r="623" spans="1:26" ht="18.75" hidden="1">
      <c r="A623" s="601"/>
      <c r="B623" s="611"/>
      <c r="C623" s="611"/>
      <c r="D623" s="611"/>
      <c r="E623" s="619"/>
      <c r="F623" s="619"/>
      <c r="G623" s="753"/>
      <c r="H623" s="755" t="s">
        <v>34</v>
      </c>
      <c r="I623" s="269"/>
      <c r="J623" s="214">
        <v>0</v>
      </c>
      <c r="K623" s="163"/>
      <c r="L623" s="163"/>
      <c r="M623" s="163"/>
      <c r="N623" s="163"/>
      <c r="O623" s="163"/>
      <c r="P623" s="163"/>
      <c r="Q623" s="571"/>
      <c r="R623" s="571"/>
      <c r="S623" s="571"/>
      <c r="T623" s="571"/>
      <c r="U623" s="571"/>
      <c r="V623" s="571"/>
      <c r="W623" s="571"/>
      <c r="X623" s="571"/>
      <c r="Y623" s="571"/>
      <c r="Z623" s="571"/>
    </row>
    <row r="624" spans="1:26" ht="18.75" hidden="1">
      <c r="A624" s="601"/>
      <c r="B624" s="611"/>
      <c r="C624" s="611"/>
      <c r="D624" s="737" t="s">
        <v>264</v>
      </c>
      <c r="E624" s="619"/>
      <c r="F624" s="619"/>
      <c r="G624" s="753"/>
      <c r="H624" s="755" t="s">
        <v>46</v>
      </c>
      <c r="I624" s="269"/>
      <c r="J624" s="214">
        <v>0</v>
      </c>
      <c r="K624" s="163"/>
      <c r="L624" s="163"/>
      <c r="M624" s="163"/>
      <c r="N624" s="163"/>
      <c r="O624" s="163"/>
      <c r="P624" s="163"/>
      <c r="Q624" s="571"/>
      <c r="R624" s="571"/>
      <c r="S624" s="571"/>
      <c r="T624" s="571"/>
      <c r="U624" s="571"/>
      <c r="V624" s="571"/>
      <c r="W624" s="571"/>
      <c r="X624" s="571"/>
      <c r="Y624" s="571"/>
      <c r="Z624" s="571"/>
    </row>
    <row r="625" spans="1:26" ht="18.75" hidden="1">
      <c r="A625" s="601"/>
      <c r="B625" s="611"/>
      <c r="C625" s="611"/>
      <c r="D625" s="611"/>
      <c r="E625" s="619"/>
      <c r="F625" s="619"/>
      <c r="G625" s="753"/>
      <c r="H625" s="755" t="s">
        <v>34</v>
      </c>
      <c r="I625" s="269"/>
      <c r="J625" s="214">
        <v>0</v>
      </c>
      <c r="K625" s="163"/>
      <c r="L625" s="163"/>
      <c r="M625" s="163"/>
      <c r="N625" s="163"/>
      <c r="O625" s="163"/>
      <c r="P625" s="163"/>
      <c r="Q625" s="571"/>
      <c r="R625" s="571"/>
      <c r="S625" s="571"/>
      <c r="T625" s="571"/>
      <c r="U625" s="571"/>
      <c r="V625" s="571"/>
      <c r="W625" s="571"/>
      <c r="X625" s="571"/>
      <c r="Y625" s="571"/>
      <c r="Z625" s="571"/>
    </row>
    <row r="626" spans="1:26" ht="18.75" hidden="1">
      <c r="A626" s="601"/>
      <c r="B626" s="611"/>
      <c r="C626" s="611"/>
      <c r="D626" s="737" t="s">
        <v>269</v>
      </c>
      <c r="E626" s="619"/>
      <c r="F626" s="619"/>
      <c r="G626" s="753"/>
      <c r="H626" s="755" t="s">
        <v>46</v>
      </c>
      <c r="I626" s="269"/>
      <c r="J626" s="214">
        <v>0</v>
      </c>
      <c r="K626" s="163"/>
      <c r="L626" s="163"/>
      <c r="M626" s="163"/>
      <c r="N626" s="163"/>
      <c r="O626" s="163"/>
      <c r="P626" s="163"/>
      <c r="Q626" s="571"/>
      <c r="R626" s="571"/>
      <c r="S626" s="571"/>
      <c r="T626" s="571"/>
      <c r="U626" s="571"/>
      <c r="V626" s="571"/>
      <c r="W626" s="571"/>
      <c r="X626" s="571"/>
      <c r="Y626" s="571"/>
      <c r="Z626" s="571"/>
    </row>
    <row r="627" spans="1:26" ht="18.75" hidden="1">
      <c r="A627" s="723"/>
      <c r="B627" s="724"/>
      <c r="C627" s="724"/>
      <c r="D627" s="724"/>
      <c r="E627" s="725"/>
      <c r="F627" s="725"/>
      <c r="G627" s="726"/>
      <c r="H627" s="421" t="s">
        <v>34</v>
      </c>
      <c r="I627" s="499"/>
      <c r="J627" s="423">
        <v>0</v>
      </c>
      <c r="K627" s="384"/>
      <c r="L627" s="384"/>
      <c r="M627" s="384"/>
      <c r="N627" s="384"/>
      <c r="O627" s="384"/>
      <c r="P627" s="384"/>
      <c r="Q627" s="571"/>
      <c r="R627" s="571"/>
      <c r="S627" s="571"/>
      <c r="T627" s="571"/>
      <c r="U627" s="571"/>
      <c r="V627" s="571"/>
      <c r="W627" s="571"/>
      <c r="X627" s="571"/>
      <c r="Y627" s="571"/>
      <c r="Z627" s="571"/>
    </row>
    <row r="628" spans="1:26" ht="19.5" hidden="1">
      <c r="A628" s="727">
        <v>7</v>
      </c>
      <c r="B628" s="728" t="s">
        <v>270</v>
      </c>
      <c r="C628" s="729"/>
      <c r="D628" s="729"/>
      <c r="E628" s="729"/>
      <c r="F628" s="729"/>
      <c r="G628" s="730"/>
      <c r="H628" s="731" t="s">
        <v>35</v>
      </c>
      <c r="I628" s="732">
        <f t="shared" ref="I628:J628" ca="1" si="261">I651</f>
        <v>0</v>
      </c>
      <c r="J628" s="732">
        <f t="shared" ca="1" si="261"/>
        <v>0</v>
      </c>
      <c r="K628" s="733">
        <f ca="1">IF(I628&gt;0,J628*100/I628,0)</f>
        <v>0</v>
      </c>
      <c r="L628" s="734"/>
      <c r="M628" s="734"/>
      <c r="N628" s="734"/>
      <c r="O628" s="734"/>
      <c r="P628" s="734"/>
      <c r="Q628" s="571"/>
      <c r="R628" s="571"/>
      <c r="S628" s="571"/>
      <c r="T628" s="571"/>
      <c r="U628" s="571"/>
      <c r="V628" s="571"/>
      <c r="W628" s="571"/>
      <c r="X628" s="571"/>
      <c r="Y628" s="571"/>
      <c r="Z628" s="571"/>
    </row>
    <row r="629" spans="1:26" ht="19.5" hidden="1">
      <c r="A629" s="590"/>
      <c r="B629" s="754"/>
      <c r="C629" s="754" t="s">
        <v>16</v>
      </c>
      <c r="D629" s="863" t="s">
        <v>17</v>
      </c>
      <c r="E629" s="857"/>
      <c r="F629" s="857"/>
      <c r="G629" s="189"/>
      <c r="H629" s="591" t="s">
        <v>12</v>
      </c>
      <c r="I629" s="269"/>
      <c r="J629" s="269"/>
      <c r="K629" s="496"/>
      <c r="L629" s="195">
        <f t="shared" ref="L629:N629" ca="1" si="262">L630+L631</f>
        <v>0</v>
      </c>
      <c r="M629" s="195">
        <f t="shared" si="262"/>
        <v>0</v>
      </c>
      <c r="N629" s="195">
        <f t="shared" si="262"/>
        <v>0</v>
      </c>
      <c r="O629" s="195">
        <f t="shared" ref="O629:O634" ca="1" si="263">IF(L629&gt;0,N629*100/L629,0)</f>
        <v>0</v>
      </c>
      <c r="P629" s="195">
        <f t="shared" ref="P629:P634" si="264">IF(M629&gt;0,N629*100/M629,0)</f>
        <v>0</v>
      </c>
      <c r="Q629" s="571"/>
      <c r="R629" s="571"/>
      <c r="S629" s="571"/>
      <c r="T629" s="571"/>
      <c r="U629" s="571"/>
      <c r="V629" s="571"/>
      <c r="W629" s="571"/>
      <c r="X629" s="571"/>
      <c r="Y629" s="571"/>
      <c r="Z629" s="571"/>
    </row>
    <row r="630" spans="1:26" ht="18.75" hidden="1">
      <c r="A630" s="592"/>
      <c r="B630" s="750"/>
      <c r="C630" s="750"/>
      <c r="D630" s="711"/>
      <c r="E630" s="750" t="s">
        <v>184</v>
      </c>
      <c r="F630" s="750"/>
      <c r="G630" s="596"/>
      <c r="H630" s="165" t="s">
        <v>12</v>
      </c>
      <c r="I630" s="610"/>
      <c r="J630" s="610"/>
      <c r="K630" s="93"/>
      <c r="L630" s="93">
        <f t="shared" ref="L630:N631" si="265">L633+L640</f>
        <v>0</v>
      </c>
      <c r="M630" s="93">
        <f t="shared" si="265"/>
        <v>0</v>
      </c>
      <c r="N630" s="93">
        <f t="shared" si="265"/>
        <v>0</v>
      </c>
      <c r="O630" s="93">
        <f t="shared" si="263"/>
        <v>0</v>
      </c>
      <c r="P630" s="93">
        <f t="shared" si="264"/>
        <v>0</v>
      </c>
      <c r="Q630" s="597"/>
      <c r="R630" s="597"/>
      <c r="S630" s="597"/>
      <c r="T630" s="597"/>
      <c r="U630" s="597"/>
      <c r="V630" s="597"/>
      <c r="W630" s="597"/>
      <c r="X630" s="597"/>
      <c r="Y630" s="597"/>
      <c r="Z630" s="597"/>
    </row>
    <row r="631" spans="1:26" ht="18.75" hidden="1">
      <c r="A631" s="592"/>
      <c r="B631" s="600"/>
      <c r="C631" s="750"/>
      <c r="D631" s="711"/>
      <c r="E631" s="750" t="s">
        <v>185</v>
      </c>
      <c r="F631" s="750"/>
      <c r="G631" s="596"/>
      <c r="H631" s="165" t="s">
        <v>12</v>
      </c>
      <c r="I631" s="610"/>
      <c r="J631" s="610"/>
      <c r="K631" s="93"/>
      <c r="L631" s="93">
        <f t="shared" ca="1" si="265"/>
        <v>0</v>
      </c>
      <c r="M631" s="93">
        <f t="shared" si="265"/>
        <v>0</v>
      </c>
      <c r="N631" s="93">
        <f t="shared" si="265"/>
        <v>0</v>
      </c>
      <c r="O631" s="93">
        <f t="shared" ca="1" si="263"/>
        <v>0</v>
      </c>
      <c r="P631" s="93">
        <f t="shared" si="264"/>
        <v>0</v>
      </c>
      <c r="Q631" s="597"/>
      <c r="R631" s="597"/>
      <c r="S631" s="597"/>
      <c r="T631" s="597"/>
      <c r="U631" s="597"/>
      <c r="V631" s="597"/>
      <c r="W631" s="597"/>
      <c r="X631" s="597"/>
      <c r="Y631" s="597"/>
      <c r="Z631" s="597"/>
    </row>
    <row r="632" spans="1:26" ht="18.75" hidden="1">
      <c r="A632" s="590"/>
      <c r="B632" s="568"/>
      <c r="C632" s="754"/>
      <c r="D632" s="599" t="s">
        <v>20</v>
      </c>
      <c r="E632" s="754"/>
      <c r="F632" s="754"/>
      <c r="G632" s="189"/>
      <c r="H632" s="161" t="s">
        <v>12</v>
      </c>
      <c r="I632" s="184"/>
      <c r="J632" s="184"/>
      <c r="K632" s="163"/>
      <c r="L632" s="496">
        <f t="shared" ref="L632:N632" ca="1" si="266">L633+L634</f>
        <v>0</v>
      </c>
      <c r="M632" s="496">
        <f t="shared" si="266"/>
        <v>0</v>
      </c>
      <c r="N632" s="496">
        <f t="shared" si="266"/>
        <v>0</v>
      </c>
      <c r="O632" s="496">
        <f t="shared" ca="1" si="263"/>
        <v>0</v>
      </c>
      <c r="P632" s="496">
        <f t="shared" si="264"/>
        <v>0</v>
      </c>
      <c r="Q632" s="571"/>
      <c r="R632" s="571"/>
      <c r="S632" s="571"/>
      <c r="T632" s="571"/>
      <c r="U632" s="571"/>
      <c r="V632" s="571"/>
      <c r="W632" s="571"/>
      <c r="X632" s="571"/>
      <c r="Y632" s="571"/>
      <c r="Z632" s="571"/>
    </row>
    <row r="633" spans="1:26" ht="18.75" hidden="1">
      <c r="A633" s="592"/>
      <c r="B633" s="600"/>
      <c r="C633" s="750"/>
      <c r="D633" s="711"/>
      <c r="E633" s="750" t="s">
        <v>184</v>
      </c>
      <c r="F633" s="750"/>
      <c r="G633" s="596"/>
      <c r="H633" s="165" t="s">
        <v>12</v>
      </c>
      <c r="I633" s="610"/>
      <c r="J633" s="610"/>
      <c r="K633" s="93"/>
      <c r="L633" s="93">
        <v>0</v>
      </c>
      <c r="M633" s="93">
        <v>0</v>
      </c>
      <c r="N633" s="93">
        <v>0</v>
      </c>
      <c r="O633" s="93">
        <f t="shared" si="263"/>
        <v>0</v>
      </c>
      <c r="P633" s="93">
        <f t="shared" si="264"/>
        <v>0</v>
      </c>
      <c r="Q633" s="597"/>
      <c r="R633" s="597"/>
      <c r="S633" s="597"/>
      <c r="T633" s="597"/>
      <c r="U633" s="597"/>
      <c r="V633" s="597"/>
      <c r="W633" s="597"/>
      <c r="X633" s="597"/>
      <c r="Y633" s="597"/>
      <c r="Z633" s="597"/>
    </row>
    <row r="634" spans="1:26" ht="18.75" hidden="1">
      <c r="A634" s="592"/>
      <c r="B634" s="600"/>
      <c r="C634" s="750"/>
      <c r="D634" s="711"/>
      <c r="E634" s="750" t="s">
        <v>185</v>
      </c>
      <c r="F634" s="750"/>
      <c r="G634" s="596"/>
      <c r="H634" s="165" t="s">
        <v>12</v>
      </c>
      <c r="I634" s="610"/>
      <c r="J634" s="610"/>
      <c r="K634" s="93"/>
      <c r="L634" s="93">
        <f ca="1">IFERROR(__xludf.DUMMYFUNCTION("IMPORTRANGE(""https://docs.google.com/spreadsheets/d/1QqKyyYR6Q21VydFLVH3TRQUabQu_ym0Zz7PgGX0-kHA/edit?usp=sharing"",""แผน!HN64"")"),0)</f>
        <v>0</v>
      </c>
      <c r="M634" s="93">
        <v>0</v>
      </c>
      <c r="N634" s="93">
        <f>N635+N636+N637+N638</f>
        <v>0</v>
      </c>
      <c r="O634" s="93">
        <f t="shared" ca="1" si="263"/>
        <v>0</v>
      </c>
      <c r="P634" s="93">
        <f t="shared" si="264"/>
        <v>0</v>
      </c>
      <c r="Q634" s="597"/>
      <c r="R634" s="597"/>
      <c r="S634" s="597"/>
      <c r="T634" s="597"/>
      <c r="U634" s="597"/>
      <c r="V634" s="597"/>
      <c r="W634" s="597"/>
      <c r="X634" s="597"/>
      <c r="Y634" s="597"/>
      <c r="Z634" s="597"/>
    </row>
    <row r="635" spans="1:26" ht="18.75" hidden="1">
      <c r="A635" s="567"/>
      <c r="B635" s="568"/>
      <c r="C635" s="754"/>
      <c r="D635" s="754"/>
      <c r="E635" s="754"/>
      <c r="F635" s="754" t="s">
        <v>186</v>
      </c>
      <c r="G635" s="189"/>
      <c r="H635" s="161" t="s">
        <v>12</v>
      </c>
      <c r="I635" s="269"/>
      <c r="J635" s="269"/>
      <c r="K635" s="496"/>
      <c r="L635" s="496"/>
      <c r="M635" s="496"/>
      <c r="N635" s="817">
        <v>0</v>
      </c>
      <c r="O635" s="496"/>
      <c r="P635" s="496"/>
      <c r="Q635" s="571"/>
      <c r="R635" s="571"/>
      <c r="S635" s="571"/>
      <c r="T635" s="571"/>
      <c r="U635" s="571"/>
      <c r="V635" s="571"/>
      <c r="W635" s="571"/>
      <c r="X635" s="571"/>
      <c r="Y635" s="571"/>
      <c r="Z635" s="571"/>
    </row>
    <row r="636" spans="1:26" ht="18.75" hidden="1">
      <c r="A636" s="567"/>
      <c r="B636" s="568"/>
      <c r="C636" s="754"/>
      <c r="D636" s="754"/>
      <c r="E636" s="754"/>
      <c r="F636" s="754" t="s">
        <v>187</v>
      </c>
      <c r="G636" s="189"/>
      <c r="H636" s="161" t="s">
        <v>12</v>
      </c>
      <c r="I636" s="269"/>
      <c r="J636" s="269"/>
      <c r="K636" s="496"/>
      <c r="L636" s="496"/>
      <c r="M636" s="496"/>
      <c r="N636" s="817">
        <v>0</v>
      </c>
      <c r="O636" s="496"/>
      <c r="P636" s="496"/>
      <c r="Q636" s="571"/>
      <c r="R636" s="571"/>
      <c r="S636" s="571"/>
      <c r="T636" s="571"/>
      <c r="U636" s="571"/>
      <c r="V636" s="571"/>
      <c r="W636" s="571"/>
      <c r="X636" s="571"/>
      <c r="Y636" s="571"/>
      <c r="Z636" s="571"/>
    </row>
    <row r="637" spans="1:26" ht="18.75" hidden="1">
      <c r="A637" s="567"/>
      <c r="B637" s="568"/>
      <c r="C637" s="754"/>
      <c r="D637" s="754"/>
      <c r="E637" s="754"/>
      <c r="F637" s="754" t="s">
        <v>188</v>
      </c>
      <c r="G637" s="189"/>
      <c r="H637" s="161" t="s">
        <v>12</v>
      </c>
      <c r="I637" s="269"/>
      <c r="J637" s="269"/>
      <c r="K637" s="496"/>
      <c r="L637" s="496"/>
      <c r="M637" s="496"/>
      <c r="N637" s="817">
        <v>0</v>
      </c>
      <c r="O637" s="496"/>
      <c r="P637" s="496"/>
      <c r="Q637" s="571"/>
      <c r="R637" s="571"/>
      <c r="S637" s="571"/>
      <c r="T637" s="571"/>
      <c r="U637" s="571"/>
      <c r="V637" s="571"/>
      <c r="W637" s="571"/>
      <c r="X637" s="571"/>
      <c r="Y637" s="571"/>
      <c r="Z637" s="571"/>
    </row>
    <row r="638" spans="1:26" ht="18.75" hidden="1">
      <c r="A638" s="567"/>
      <c r="B638" s="568"/>
      <c r="C638" s="754"/>
      <c r="D638" s="754"/>
      <c r="E638" s="754"/>
      <c r="F638" s="754" t="s">
        <v>189</v>
      </c>
      <c r="G638" s="189"/>
      <c r="H638" s="161" t="s">
        <v>12</v>
      </c>
      <c r="I638" s="269"/>
      <c r="J638" s="269"/>
      <c r="K638" s="496"/>
      <c r="L638" s="496"/>
      <c r="M638" s="496"/>
      <c r="N638" s="817">
        <v>0</v>
      </c>
      <c r="O638" s="496"/>
      <c r="P638" s="496"/>
      <c r="Q638" s="571"/>
      <c r="R638" s="571"/>
      <c r="S638" s="571"/>
      <c r="T638" s="571"/>
      <c r="U638" s="571"/>
      <c r="V638" s="571"/>
      <c r="W638" s="571"/>
      <c r="X638" s="571"/>
      <c r="Y638" s="571"/>
      <c r="Z638" s="571"/>
    </row>
    <row r="639" spans="1:26" ht="18.75" hidden="1">
      <c r="A639" s="590"/>
      <c r="B639" s="568"/>
      <c r="C639" s="754"/>
      <c r="D639" s="599" t="s">
        <v>21</v>
      </c>
      <c r="E639" s="754"/>
      <c r="F639" s="754"/>
      <c r="G639" s="189"/>
      <c r="H639" s="168" t="s">
        <v>12</v>
      </c>
      <c r="I639" s="184"/>
      <c r="J639" s="184"/>
      <c r="K639" s="163"/>
      <c r="L639" s="496">
        <f t="shared" ref="L639:N639" ca="1" si="267">L640+L641</f>
        <v>0</v>
      </c>
      <c r="M639" s="496">
        <f t="shared" si="267"/>
        <v>0</v>
      </c>
      <c r="N639" s="496">
        <f t="shared" si="267"/>
        <v>0</v>
      </c>
      <c r="O639" s="496">
        <f t="shared" ref="O639:O641" ca="1" si="268">IF(L639&gt;0,N639*100/L639,0)</f>
        <v>0</v>
      </c>
      <c r="P639" s="496">
        <f t="shared" ref="P639:P641" si="269">IF(M639&gt;0,N639*100/M639,0)</f>
        <v>0</v>
      </c>
      <c r="Q639" s="571"/>
      <c r="R639" s="571"/>
      <c r="S639" s="571"/>
      <c r="T639" s="571"/>
      <c r="U639" s="571"/>
      <c r="V639" s="571"/>
      <c r="W639" s="571"/>
      <c r="X639" s="571"/>
      <c r="Y639" s="571"/>
      <c r="Z639" s="571"/>
    </row>
    <row r="640" spans="1:26" ht="18.75" hidden="1">
      <c r="A640" s="592"/>
      <c r="B640" s="600"/>
      <c r="C640" s="750"/>
      <c r="D640" s="750"/>
      <c r="E640" s="750" t="s">
        <v>18</v>
      </c>
      <c r="F640" s="750"/>
      <c r="G640" s="596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8"/>
        <v>0</v>
      </c>
      <c r="P640" s="93">
        <f t="shared" si="269"/>
        <v>0</v>
      </c>
      <c r="Q640" s="597"/>
      <c r="R640" s="597"/>
      <c r="S640" s="597"/>
      <c r="T640" s="597"/>
      <c r="U640" s="597"/>
      <c r="V640" s="597"/>
      <c r="W640" s="597"/>
      <c r="X640" s="597"/>
      <c r="Y640" s="597"/>
      <c r="Z640" s="597"/>
    </row>
    <row r="641" spans="1:26" ht="18.75" hidden="1">
      <c r="A641" s="592"/>
      <c r="B641" s="600"/>
      <c r="C641" s="750"/>
      <c r="D641" s="750"/>
      <c r="E641" s="750" t="s">
        <v>19</v>
      </c>
      <c r="F641" s="750"/>
      <c r="G641" s="596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IFERROR(__xludf.DUMMYFUNCTION("IMPORTRANGE(""https://docs.google.com/spreadsheets/d/1QqKyyYR6Q21VydFLVH3TRQUabQu_ym0Zz7PgGX0-kHA/edit?usp=sharing"",""แผน!HQ64"")"),0)</f>
        <v>0</v>
      </c>
      <c r="M641" s="93">
        <v>0</v>
      </c>
      <c r="N641" s="93">
        <v>0</v>
      </c>
      <c r="O641" s="93">
        <f t="shared" ca="1" si="268"/>
        <v>0</v>
      </c>
      <c r="P641" s="93">
        <f t="shared" si="269"/>
        <v>0</v>
      </c>
      <c r="Q641" s="597"/>
      <c r="R641" s="597"/>
      <c r="S641" s="597"/>
      <c r="T641" s="597"/>
      <c r="U641" s="597"/>
      <c r="V641" s="597"/>
      <c r="W641" s="597"/>
      <c r="X641" s="597"/>
      <c r="Y641" s="597"/>
      <c r="Z641" s="597"/>
    </row>
    <row r="642" spans="1:26" ht="19.5" hidden="1">
      <c r="A642" s="601"/>
      <c r="B642" s="611"/>
      <c r="C642" s="754" t="s">
        <v>16</v>
      </c>
      <c r="D642" s="839" t="s">
        <v>38</v>
      </c>
      <c r="E642" s="752"/>
      <c r="F642" s="752"/>
      <c r="G642" s="606"/>
      <c r="H642" s="753"/>
      <c r="I642" s="184"/>
      <c r="J642" s="184"/>
      <c r="K642" s="163"/>
      <c r="L642" s="163"/>
      <c r="M642" s="163"/>
      <c r="N642" s="163"/>
      <c r="O642" s="163"/>
      <c r="P642" s="163"/>
      <c r="Q642" s="571"/>
      <c r="R642" s="571"/>
      <c r="S642" s="571"/>
      <c r="T642" s="571"/>
      <c r="U642" s="571"/>
      <c r="V642" s="571"/>
      <c r="W642" s="571"/>
      <c r="X642" s="571"/>
      <c r="Y642" s="571"/>
      <c r="Z642" s="571"/>
    </row>
    <row r="643" spans="1:26" ht="18.75" hidden="1">
      <c r="A643" s="735"/>
      <c r="B643" s="568"/>
      <c r="C643" s="754"/>
      <c r="D643" s="619"/>
      <c r="E643" s="737" t="s">
        <v>271</v>
      </c>
      <c r="F643" s="619"/>
      <c r="G643" s="753"/>
      <c r="H643" s="755" t="s">
        <v>272</v>
      </c>
      <c r="I643" s="269">
        <f ca="1">IFERROR(__xludf.DUMMYFUNCTION("IMPORTRANGE(""https://docs.google.com/spreadsheets/d/1QqKyyYR6Q21VydFLVH3TRQUabQu_ym0Zz7PgGX0-kHA/edit?usp=sharing"",""แผน!HR64"")"),0)</f>
        <v>0</v>
      </c>
      <c r="J643" s="214">
        <v>0</v>
      </c>
      <c r="K643" s="163">
        <f t="shared" ref="K643:K652" ca="1" si="270">IF(I643&gt;0,J643*100/I643,0)</f>
        <v>0</v>
      </c>
      <c r="L643" s="163"/>
      <c r="M643" s="163"/>
      <c r="N643" s="496"/>
      <c r="O643" s="163"/>
      <c r="P643" s="163"/>
      <c r="Q643" s="571"/>
      <c r="R643" s="571"/>
      <c r="S643" s="571"/>
      <c r="T643" s="571"/>
      <c r="U643" s="571"/>
      <c r="V643" s="571"/>
      <c r="W643" s="571"/>
      <c r="X643" s="571"/>
      <c r="Y643" s="571"/>
      <c r="Z643" s="571"/>
    </row>
    <row r="644" spans="1:26" ht="18.75" hidden="1">
      <c r="A644" s="735"/>
      <c r="B644" s="568"/>
      <c r="C644" s="754"/>
      <c r="D644" s="619"/>
      <c r="E644" s="737" t="s">
        <v>273</v>
      </c>
      <c r="F644" s="619"/>
      <c r="G644" s="753"/>
      <c r="H644" s="755" t="s">
        <v>274</v>
      </c>
      <c r="I644" s="269">
        <f ca="1">IFERROR(__xludf.DUMMYFUNCTION("IMPORTRANGE(""https://docs.google.com/spreadsheets/d/1QqKyyYR6Q21VydFLVH3TRQUabQu_ym0Zz7PgGX0-kHA/edit?usp=sharing"",""แผน!HR64"")"),0)</f>
        <v>0</v>
      </c>
      <c r="J644" s="214">
        <v>0</v>
      </c>
      <c r="K644" s="163">
        <f t="shared" ca="1" si="270"/>
        <v>0</v>
      </c>
      <c r="L644" s="163"/>
      <c r="M644" s="163"/>
      <c r="N644" s="496"/>
      <c r="O644" s="163"/>
      <c r="P644" s="163"/>
      <c r="Q644" s="571"/>
      <c r="R644" s="571"/>
      <c r="S644" s="571"/>
      <c r="T644" s="571"/>
      <c r="U644" s="571"/>
      <c r="V644" s="571"/>
      <c r="W644" s="571"/>
      <c r="X644" s="571"/>
      <c r="Y644" s="571"/>
      <c r="Z644" s="571"/>
    </row>
    <row r="645" spans="1:26" ht="18.75" hidden="1">
      <c r="A645" s="735"/>
      <c r="B645" s="568"/>
      <c r="C645" s="754"/>
      <c r="D645" s="619"/>
      <c r="E645" s="737" t="s">
        <v>275</v>
      </c>
      <c r="F645" s="619"/>
      <c r="G645" s="753"/>
      <c r="H645" s="755" t="s">
        <v>34</v>
      </c>
      <c r="I645" s="269">
        <v>0</v>
      </c>
      <c r="J645" s="269">
        <f ca="1">IFERROR(__xludf.DUMMYFUNCTION("IMPORTRANGE(""https://docs.google.com/spreadsheets/d/1XWAQStnk-4SwqDmLtmXYiTMKHgktTP8We1SCoS47DrQ/edit?usp=sharing"",""จัดที่ดิน!AS64"")"),0)</f>
        <v>0</v>
      </c>
      <c r="K645" s="163">
        <f t="shared" si="270"/>
        <v>0</v>
      </c>
      <c r="L645" s="163"/>
      <c r="M645" s="163"/>
      <c r="N645" s="496"/>
      <c r="O645" s="163"/>
      <c r="P645" s="163"/>
      <c r="Q645" s="571"/>
      <c r="R645" s="571"/>
      <c r="S645" s="571"/>
      <c r="T645" s="571"/>
      <c r="U645" s="571"/>
      <c r="V645" s="571"/>
      <c r="W645" s="571"/>
      <c r="X645" s="571"/>
      <c r="Y645" s="571"/>
      <c r="Z645" s="571"/>
    </row>
    <row r="646" spans="1:26" ht="18.75" hidden="1">
      <c r="A646" s="735"/>
      <c r="B646" s="568"/>
      <c r="C646" s="754"/>
      <c r="D646" s="619"/>
      <c r="E646" s="619"/>
      <c r="F646" s="619"/>
      <c r="G646" s="753"/>
      <c r="H646" s="755" t="s">
        <v>46</v>
      </c>
      <c r="I646" s="269">
        <v>0</v>
      </c>
      <c r="J646" s="269">
        <f ca="1">IFERROR(__xludf.DUMMYFUNCTION("IMPORTRANGE(""https://docs.google.com/spreadsheets/d/1XWAQStnk-4SwqDmLtmXYiTMKHgktTP8We1SCoS47DrQ/edit?usp=sharing"",""จัดที่ดิน!AT64"")"),0)</f>
        <v>0</v>
      </c>
      <c r="K646" s="496">
        <f t="shared" si="270"/>
        <v>0</v>
      </c>
      <c r="L646" s="163"/>
      <c r="M646" s="163"/>
      <c r="N646" s="496"/>
      <c r="O646" s="163"/>
      <c r="P646" s="163"/>
      <c r="Q646" s="571"/>
      <c r="R646" s="571"/>
      <c r="S646" s="571"/>
      <c r="T646" s="571"/>
      <c r="U646" s="571"/>
      <c r="V646" s="571"/>
      <c r="W646" s="571"/>
      <c r="X646" s="571"/>
      <c r="Y646" s="571"/>
      <c r="Z646" s="571"/>
    </row>
    <row r="647" spans="1:26" ht="18.75" hidden="1">
      <c r="A647" s="735"/>
      <c r="B647" s="568"/>
      <c r="C647" s="754"/>
      <c r="D647" s="619"/>
      <c r="E647" s="737" t="s">
        <v>162</v>
      </c>
      <c r="F647" s="619"/>
      <c r="G647" s="753"/>
      <c r="H647" s="755" t="s">
        <v>35</v>
      </c>
      <c r="I647" s="269">
        <f ca="1">IFERROR(__xludf.DUMMYFUNCTION("IMPORTRANGE(""https://docs.google.com/spreadsheets/d/1QqKyyYR6Q21VydFLVH3TRQUabQu_ym0Zz7PgGX0-kHA/edit?usp=sharing"",""แผน!HS64"")"),0)</f>
        <v>0</v>
      </c>
      <c r="J647" s="269">
        <f ca="1">IFERROR(__xludf.DUMMYFUNCTION("IMPORTRANGE(""https://docs.google.com/spreadsheets/d/1XWAQStnk-4SwqDmLtmXYiTMKHgktTP8We1SCoS47DrQ/edit?usp=sharing"",""จัดที่ดิน!AU64"")"),0)</f>
        <v>0</v>
      </c>
      <c r="K647" s="163">
        <f t="shared" ca="1" si="270"/>
        <v>0</v>
      </c>
      <c r="L647" s="163"/>
      <c r="M647" s="163"/>
      <c r="N647" s="163"/>
      <c r="O647" s="163"/>
      <c r="P647" s="163"/>
      <c r="Q647" s="571"/>
      <c r="R647" s="571"/>
      <c r="S647" s="571"/>
      <c r="T647" s="571"/>
      <c r="U647" s="571"/>
      <c r="V647" s="571"/>
      <c r="W647" s="571"/>
      <c r="X647" s="571"/>
      <c r="Y647" s="571"/>
      <c r="Z647" s="571"/>
    </row>
    <row r="648" spans="1:26" ht="18.75" hidden="1">
      <c r="A648" s="735"/>
      <c r="B648" s="568"/>
      <c r="C648" s="754"/>
      <c r="D648" s="619"/>
      <c r="E648" s="619"/>
      <c r="F648" s="619"/>
      <c r="G648" s="753"/>
      <c r="H648" s="755" t="s">
        <v>46</v>
      </c>
      <c r="I648" s="269">
        <v>0</v>
      </c>
      <c r="J648" s="269">
        <f ca="1">IFERROR(__xludf.DUMMYFUNCTION("IMPORTRANGE(""https://docs.google.com/spreadsheets/d/1XWAQStnk-4SwqDmLtmXYiTMKHgktTP8We1SCoS47DrQ/edit?usp=sharing"",""จัดที่ดิน!AV64"")"),0)</f>
        <v>0</v>
      </c>
      <c r="K648" s="496">
        <f t="shared" si="270"/>
        <v>0</v>
      </c>
      <c r="L648" s="163"/>
      <c r="M648" s="163"/>
      <c r="N648" s="163"/>
      <c r="O648" s="163"/>
      <c r="P648" s="163"/>
      <c r="Q648" s="571"/>
      <c r="R648" s="571"/>
      <c r="S648" s="571"/>
      <c r="T648" s="571"/>
      <c r="U648" s="571"/>
      <c r="V648" s="571"/>
      <c r="W648" s="571"/>
      <c r="X648" s="571"/>
      <c r="Y648" s="571"/>
      <c r="Z648" s="571"/>
    </row>
    <row r="649" spans="1:26" ht="18.75" hidden="1">
      <c r="A649" s="735"/>
      <c r="B649" s="568"/>
      <c r="C649" s="754"/>
      <c r="D649" s="619"/>
      <c r="E649" s="737" t="s">
        <v>276</v>
      </c>
      <c r="F649" s="619"/>
      <c r="G649" s="753"/>
      <c r="H649" s="755" t="s">
        <v>35</v>
      </c>
      <c r="I649" s="269">
        <f ca="1">IFERROR(__xludf.DUMMYFUNCTION("IMPORTRANGE(""https://docs.google.com/spreadsheets/d/1QqKyyYR6Q21VydFLVH3TRQUabQu_ym0Zz7PgGX0-kHA/edit?usp=sharing"",""แผน!HS64"")"),0)</f>
        <v>0</v>
      </c>
      <c r="J649" s="269">
        <f ca="1">IFERROR(__xludf.DUMMYFUNCTION("IMPORTRANGE(""https://docs.google.com/spreadsheets/d/1XWAQStnk-4SwqDmLtmXYiTMKHgktTP8We1SCoS47DrQ/edit?usp=sharing"",""จัดที่ดิน!AW64"")"),0)</f>
        <v>0</v>
      </c>
      <c r="K649" s="163">
        <f t="shared" ca="1" si="270"/>
        <v>0</v>
      </c>
      <c r="L649" s="163"/>
      <c r="M649" s="163"/>
      <c r="N649" s="163"/>
      <c r="O649" s="163"/>
      <c r="P649" s="163"/>
      <c r="Q649" s="571"/>
      <c r="R649" s="571"/>
      <c r="S649" s="571"/>
      <c r="T649" s="571"/>
      <c r="U649" s="571"/>
      <c r="V649" s="571"/>
      <c r="W649" s="571"/>
      <c r="X649" s="571"/>
      <c r="Y649" s="571"/>
      <c r="Z649" s="571"/>
    </row>
    <row r="650" spans="1:26" ht="18.75" hidden="1">
      <c r="A650" s="735"/>
      <c r="B650" s="568"/>
      <c r="C650" s="754"/>
      <c r="D650" s="619"/>
      <c r="E650" s="619"/>
      <c r="F650" s="619"/>
      <c r="G650" s="753"/>
      <c r="H650" s="755" t="s">
        <v>46</v>
      </c>
      <c r="I650" s="269">
        <v>0</v>
      </c>
      <c r="J650" s="269">
        <f ca="1">IFERROR(__xludf.DUMMYFUNCTION("IMPORTRANGE(""https://docs.google.com/spreadsheets/d/1XWAQStnk-4SwqDmLtmXYiTMKHgktTP8We1SCoS47DrQ/edit?usp=sharing"",""จัดที่ดิน!AX64"")"),0)</f>
        <v>0</v>
      </c>
      <c r="K650" s="496">
        <f t="shared" si="270"/>
        <v>0</v>
      </c>
      <c r="L650" s="163"/>
      <c r="M650" s="163"/>
      <c r="N650" s="163"/>
      <c r="O650" s="163"/>
      <c r="P650" s="163"/>
      <c r="Q650" s="571"/>
      <c r="R650" s="571"/>
      <c r="S650" s="571"/>
      <c r="T650" s="571"/>
      <c r="U650" s="571"/>
      <c r="V650" s="571"/>
      <c r="W650" s="571"/>
      <c r="X650" s="571"/>
      <c r="Y650" s="571"/>
      <c r="Z650" s="571"/>
    </row>
    <row r="651" spans="1:26" ht="18.75" hidden="1">
      <c r="A651" s="735"/>
      <c r="B651" s="568"/>
      <c r="C651" s="754"/>
      <c r="D651" s="619"/>
      <c r="E651" s="737" t="s">
        <v>277</v>
      </c>
      <c r="F651" s="619"/>
      <c r="G651" s="753"/>
      <c r="H651" s="755" t="s">
        <v>35</v>
      </c>
      <c r="I651" s="269">
        <f ca="1">IFERROR(__xludf.DUMMYFUNCTION("IMPORTRANGE(""https://docs.google.com/spreadsheets/d/1QqKyyYR6Q21VydFLVH3TRQUabQu_ym0Zz7PgGX0-kHA/edit?usp=sharing"",""แผน!HS64"")"),0)</f>
        <v>0</v>
      </c>
      <c r="J651" s="269">
        <f ca="1">IFERROR(__xludf.DUMMYFUNCTION("IMPORTRANGE(""https://docs.google.com/spreadsheets/d/1XWAQStnk-4SwqDmLtmXYiTMKHgktTP8We1SCoS47DrQ/edit?usp=sharing"",""จัดที่ดิน!AY64"")"),0)</f>
        <v>0</v>
      </c>
      <c r="K651" s="163">
        <f t="shared" ca="1" si="270"/>
        <v>0</v>
      </c>
      <c r="L651" s="163"/>
      <c r="M651" s="163"/>
      <c r="N651" s="163"/>
      <c r="O651" s="163"/>
      <c r="P651" s="163"/>
      <c r="Q651" s="571"/>
      <c r="R651" s="571"/>
      <c r="S651" s="571"/>
      <c r="T651" s="571"/>
      <c r="U651" s="571"/>
      <c r="V651" s="571"/>
      <c r="W651" s="571"/>
      <c r="X651" s="571"/>
      <c r="Y651" s="571"/>
      <c r="Z651" s="571"/>
    </row>
    <row r="652" spans="1:26" ht="18.75" hidden="1">
      <c r="A652" s="738"/>
      <c r="B652" s="739"/>
      <c r="C652" s="740"/>
      <c r="D652" s="725"/>
      <c r="E652" s="725"/>
      <c r="F652" s="725"/>
      <c r="G652" s="726"/>
      <c r="H652" s="498" t="s">
        <v>46</v>
      </c>
      <c r="I652" s="499">
        <v>0</v>
      </c>
      <c r="J652" s="499">
        <f ca="1">IFERROR(__xludf.DUMMYFUNCTION("IMPORTRANGE(""https://docs.google.com/spreadsheets/d/1XWAQStnk-4SwqDmLtmXYiTMKHgktTP8We1SCoS47DrQ/edit?usp=sharing"",""จัดที่ดิน!AZ64"")"),0)</f>
        <v>0</v>
      </c>
      <c r="K652" s="500">
        <f t="shared" si="270"/>
        <v>0</v>
      </c>
      <c r="L652" s="384"/>
      <c r="M652" s="384"/>
      <c r="N652" s="384"/>
      <c r="O652" s="384"/>
      <c r="P652" s="384"/>
      <c r="Q652" s="571"/>
      <c r="R652" s="571"/>
      <c r="S652" s="571"/>
      <c r="T652" s="571"/>
      <c r="U652" s="571"/>
      <c r="V652" s="571"/>
      <c r="W652" s="571"/>
      <c r="X652" s="571"/>
      <c r="Y652" s="571"/>
      <c r="Z652" s="571"/>
    </row>
    <row r="653" spans="1:26" ht="19.5">
      <c r="A653" s="741">
        <v>8</v>
      </c>
      <c r="B653" s="728" t="s">
        <v>278</v>
      </c>
      <c r="C653" s="729"/>
      <c r="D653" s="729"/>
      <c r="E653" s="729"/>
      <c r="F653" s="729"/>
      <c r="G653" s="730"/>
      <c r="H653" s="730"/>
      <c r="I653" s="742"/>
      <c r="J653" s="742"/>
      <c r="K653" s="734"/>
      <c r="L653" s="734"/>
      <c r="M653" s="734"/>
      <c r="N653" s="734"/>
      <c r="O653" s="734"/>
      <c r="P653" s="734"/>
      <c r="Q653" s="571"/>
      <c r="R653" s="571"/>
      <c r="S653" s="571"/>
      <c r="T653" s="571"/>
      <c r="U653" s="571"/>
      <c r="V653" s="571"/>
      <c r="W653" s="571"/>
      <c r="X653" s="571"/>
      <c r="Y653" s="571"/>
      <c r="Z653" s="571"/>
    </row>
    <row r="654" spans="1:26" ht="19.5">
      <c r="A654" s="666"/>
      <c r="B654" s="665" t="s">
        <v>279</v>
      </c>
      <c r="C654" s="666"/>
      <c r="D654" s="666"/>
      <c r="E654" s="666"/>
      <c r="F654" s="666"/>
      <c r="G654" s="667"/>
      <c r="H654" s="698" t="s">
        <v>46</v>
      </c>
      <c r="I654" s="699">
        <f t="shared" ref="I654:J654" ca="1" si="271">I669</f>
        <v>185</v>
      </c>
      <c r="J654" s="699">
        <f t="shared" si="271"/>
        <v>0</v>
      </c>
      <c r="K654" s="670">
        <f ca="1">IF(I654&gt;0,J654*100/I654,0)</f>
        <v>0</v>
      </c>
      <c r="L654" s="671"/>
      <c r="M654" s="671"/>
      <c r="N654" s="671"/>
      <c r="O654" s="671"/>
      <c r="P654" s="671"/>
      <c r="Q654" s="571"/>
      <c r="R654" s="571"/>
      <c r="S654" s="571"/>
      <c r="T654" s="571"/>
      <c r="U654" s="571"/>
      <c r="V654" s="571"/>
      <c r="W654" s="571"/>
      <c r="X654" s="571"/>
      <c r="Y654" s="571"/>
      <c r="Z654" s="571"/>
    </row>
    <row r="655" spans="1:26" ht="19.5">
      <c r="A655" s="590"/>
      <c r="B655" s="754"/>
      <c r="C655" s="754" t="s">
        <v>16</v>
      </c>
      <c r="D655" s="863" t="s">
        <v>17</v>
      </c>
      <c r="E655" s="857"/>
      <c r="F655" s="857"/>
      <c r="G655" s="189"/>
      <c r="H655" s="591" t="s">
        <v>12</v>
      </c>
      <c r="I655" s="269"/>
      <c r="J655" s="269"/>
      <c r="K655" s="496"/>
      <c r="L655" s="195">
        <f t="shared" ref="L655:N655" ca="1" si="272">L656+L657</f>
        <v>20700</v>
      </c>
      <c r="M655" s="195">
        <f t="shared" si="272"/>
        <v>0</v>
      </c>
      <c r="N655" s="195">
        <f t="shared" si="272"/>
        <v>0</v>
      </c>
      <c r="O655" s="195">
        <f t="shared" ref="O655:O660" ca="1" si="273">IF(L655&gt;0,N655*100/L655,0)</f>
        <v>0</v>
      </c>
      <c r="P655" s="195">
        <f t="shared" ref="P655:P660" si="274">IF(M655&gt;0,N655*100/M655,0)</f>
        <v>0</v>
      </c>
      <c r="Q655" s="571"/>
      <c r="R655" s="571"/>
      <c r="S655" s="571"/>
      <c r="T655" s="571"/>
      <c r="U655" s="571"/>
      <c r="V655" s="571"/>
      <c r="W655" s="571"/>
      <c r="X655" s="571"/>
      <c r="Y655" s="571"/>
      <c r="Z655" s="571"/>
    </row>
    <row r="656" spans="1:26" ht="18.75" hidden="1">
      <c r="A656" s="592"/>
      <c r="B656" s="750"/>
      <c r="C656" s="750"/>
      <c r="D656" s="711"/>
      <c r="E656" s="750" t="s">
        <v>184</v>
      </c>
      <c r="F656" s="750"/>
      <c r="G656" s="596"/>
      <c r="H656" s="165" t="s">
        <v>12</v>
      </c>
      <c r="I656" s="610"/>
      <c r="J656" s="610"/>
      <c r="K656" s="93"/>
      <c r="L656" s="93">
        <f t="shared" ref="L656:N657" si="275">L659+L666</f>
        <v>0</v>
      </c>
      <c r="M656" s="93">
        <f t="shared" si="275"/>
        <v>0</v>
      </c>
      <c r="N656" s="93">
        <f t="shared" si="275"/>
        <v>0</v>
      </c>
      <c r="O656" s="93">
        <f t="shared" si="273"/>
        <v>0</v>
      </c>
      <c r="P656" s="93">
        <f t="shared" si="274"/>
        <v>0</v>
      </c>
      <c r="Q656" s="597"/>
      <c r="R656" s="597"/>
      <c r="S656" s="597"/>
      <c r="T656" s="597"/>
      <c r="U656" s="597"/>
      <c r="V656" s="597"/>
      <c r="W656" s="597"/>
      <c r="X656" s="597"/>
      <c r="Y656" s="597"/>
      <c r="Z656" s="597"/>
    </row>
    <row r="657" spans="1:26" ht="18.75" hidden="1">
      <c r="A657" s="592"/>
      <c r="B657" s="600"/>
      <c r="C657" s="750"/>
      <c r="D657" s="711"/>
      <c r="E657" s="750" t="s">
        <v>185</v>
      </c>
      <c r="F657" s="750"/>
      <c r="G657" s="596"/>
      <c r="H657" s="165" t="s">
        <v>12</v>
      </c>
      <c r="I657" s="610"/>
      <c r="J657" s="610"/>
      <c r="K657" s="93"/>
      <c r="L657" s="93">
        <f t="shared" ca="1" si="275"/>
        <v>20700</v>
      </c>
      <c r="M657" s="93">
        <f t="shared" si="275"/>
        <v>0</v>
      </c>
      <c r="N657" s="93">
        <f t="shared" si="275"/>
        <v>0</v>
      </c>
      <c r="O657" s="93">
        <f t="shared" ca="1" si="273"/>
        <v>0</v>
      </c>
      <c r="P657" s="93">
        <f t="shared" si="274"/>
        <v>0</v>
      </c>
      <c r="Q657" s="597"/>
      <c r="R657" s="597"/>
      <c r="S657" s="597"/>
      <c r="T657" s="597"/>
      <c r="U657" s="597"/>
      <c r="V657" s="597"/>
      <c r="W657" s="597"/>
      <c r="X657" s="597"/>
      <c r="Y657" s="597"/>
      <c r="Z657" s="597"/>
    </row>
    <row r="658" spans="1:26" ht="18.75">
      <c r="A658" s="590"/>
      <c r="B658" s="568"/>
      <c r="C658" s="754"/>
      <c r="D658" s="599" t="s">
        <v>20</v>
      </c>
      <c r="E658" s="754"/>
      <c r="F658" s="754"/>
      <c r="G658" s="189"/>
      <c r="H658" s="161" t="s">
        <v>12</v>
      </c>
      <c r="I658" s="184"/>
      <c r="J658" s="184"/>
      <c r="K658" s="163"/>
      <c r="L658" s="496">
        <f t="shared" ref="L658:N658" ca="1" si="276">L659+L660</f>
        <v>20700</v>
      </c>
      <c r="M658" s="496">
        <f t="shared" si="276"/>
        <v>0</v>
      </c>
      <c r="N658" s="496">
        <f t="shared" si="276"/>
        <v>0</v>
      </c>
      <c r="O658" s="496">
        <f t="shared" ca="1" si="273"/>
        <v>0</v>
      </c>
      <c r="P658" s="496">
        <f t="shared" si="274"/>
        <v>0</v>
      </c>
      <c r="Q658" s="571"/>
      <c r="R658" s="571"/>
      <c r="S658" s="571"/>
      <c r="T658" s="571"/>
      <c r="U658" s="571"/>
      <c r="V658" s="571"/>
      <c r="W658" s="571"/>
      <c r="X658" s="571"/>
      <c r="Y658" s="571"/>
      <c r="Z658" s="571"/>
    </row>
    <row r="659" spans="1:26" ht="18.75" hidden="1">
      <c r="A659" s="592"/>
      <c r="B659" s="600"/>
      <c r="C659" s="750"/>
      <c r="D659" s="711"/>
      <c r="E659" s="750" t="s">
        <v>184</v>
      </c>
      <c r="F659" s="750"/>
      <c r="G659" s="596"/>
      <c r="H659" s="165" t="s">
        <v>12</v>
      </c>
      <c r="I659" s="610"/>
      <c r="J659" s="610"/>
      <c r="K659" s="93"/>
      <c r="L659" s="93">
        <v>0</v>
      </c>
      <c r="M659" s="93">
        <v>0</v>
      </c>
      <c r="N659" s="93">
        <v>0</v>
      </c>
      <c r="O659" s="93">
        <f t="shared" si="273"/>
        <v>0</v>
      </c>
      <c r="P659" s="93">
        <f t="shared" si="274"/>
        <v>0</v>
      </c>
      <c r="Q659" s="597"/>
      <c r="R659" s="597"/>
      <c r="S659" s="597"/>
      <c r="T659" s="597"/>
      <c r="U659" s="597"/>
      <c r="V659" s="597"/>
      <c r="W659" s="597"/>
      <c r="X659" s="597"/>
      <c r="Y659" s="597"/>
      <c r="Z659" s="597"/>
    </row>
    <row r="660" spans="1:26" ht="18.75" hidden="1">
      <c r="A660" s="592"/>
      <c r="B660" s="600"/>
      <c r="C660" s="750"/>
      <c r="D660" s="711"/>
      <c r="E660" s="750" t="s">
        <v>185</v>
      </c>
      <c r="F660" s="750"/>
      <c r="G660" s="596"/>
      <c r="H660" s="165" t="s">
        <v>12</v>
      </c>
      <c r="I660" s="610"/>
      <c r="J660" s="610"/>
      <c r="K660" s="93"/>
      <c r="L660" s="93">
        <f ca="1">IFERROR(__xludf.DUMMYFUNCTION("IMPORTRANGE(""https://docs.google.com/spreadsheets/d/1QqKyyYR6Q21VydFLVH3TRQUabQu_ym0Zz7PgGX0-kHA/edit?usp=sharing"",""แผน!HV64"")"),20700)</f>
        <v>20700</v>
      </c>
      <c r="M660" s="93">
        <v>0</v>
      </c>
      <c r="N660" s="93">
        <f>N661+N662+N663+N664</f>
        <v>0</v>
      </c>
      <c r="O660" s="93">
        <f t="shared" ca="1" si="273"/>
        <v>0</v>
      </c>
      <c r="P660" s="93">
        <f t="shared" si="274"/>
        <v>0</v>
      </c>
      <c r="Q660" s="597"/>
      <c r="R660" s="597"/>
      <c r="S660" s="597"/>
      <c r="T660" s="597"/>
      <c r="U660" s="597"/>
      <c r="V660" s="597"/>
      <c r="W660" s="597"/>
      <c r="X660" s="597"/>
      <c r="Y660" s="597"/>
      <c r="Z660" s="597"/>
    </row>
    <row r="661" spans="1:26" ht="18.75">
      <c r="A661" s="567"/>
      <c r="B661" s="568"/>
      <c r="C661" s="754"/>
      <c r="D661" s="754"/>
      <c r="E661" s="754"/>
      <c r="F661" s="754" t="s">
        <v>186</v>
      </c>
      <c r="G661" s="189"/>
      <c r="H661" s="161" t="s">
        <v>12</v>
      </c>
      <c r="I661" s="269"/>
      <c r="J661" s="269"/>
      <c r="K661" s="496"/>
      <c r="L661" s="496"/>
      <c r="M661" s="496"/>
      <c r="N661" s="817">
        <v>0</v>
      </c>
      <c r="O661" s="496"/>
      <c r="P661" s="496"/>
      <c r="Q661" s="571"/>
      <c r="R661" s="571"/>
      <c r="S661" s="571"/>
      <c r="T661" s="571"/>
      <c r="U661" s="571"/>
      <c r="V661" s="571"/>
      <c r="W661" s="571"/>
      <c r="X661" s="571"/>
      <c r="Y661" s="571"/>
      <c r="Z661" s="571"/>
    </row>
    <row r="662" spans="1:26" ht="18.75">
      <c r="A662" s="567"/>
      <c r="B662" s="568"/>
      <c r="C662" s="754"/>
      <c r="D662" s="754"/>
      <c r="E662" s="754"/>
      <c r="F662" s="754" t="s">
        <v>187</v>
      </c>
      <c r="G662" s="189"/>
      <c r="H662" s="161" t="s">
        <v>12</v>
      </c>
      <c r="I662" s="269"/>
      <c r="J662" s="269"/>
      <c r="K662" s="496"/>
      <c r="L662" s="496"/>
      <c r="M662" s="496"/>
      <c r="N662" s="817">
        <v>0</v>
      </c>
      <c r="O662" s="496"/>
      <c r="P662" s="496"/>
      <c r="Q662" s="571"/>
      <c r="R662" s="571"/>
      <c r="S662" s="571"/>
      <c r="T662" s="571"/>
      <c r="U662" s="571"/>
      <c r="V662" s="571"/>
      <c r="W662" s="571"/>
      <c r="X662" s="571"/>
      <c r="Y662" s="571"/>
      <c r="Z662" s="571"/>
    </row>
    <row r="663" spans="1:26" ht="18.75">
      <c r="A663" s="567"/>
      <c r="B663" s="568"/>
      <c r="C663" s="568"/>
      <c r="D663" s="754"/>
      <c r="E663" s="754"/>
      <c r="F663" s="754" t="s">
        <v>188</v>
      </c>
      <c r="G663" s="189"/>
      <c r="H663" s="161" t="s">
        <v>12</v>
      </c>
      <c r="I663" s="269"/>
      <c r="J663" s="269"/>
      <c r="K663" s="496"/>
      <c r="L663" s="496"/>
      <c r="M663" s="496"/>
      <c r="N663" s="817">
        <v>0</v>
      </c>
      <c r="O663" s="496"/>
      <c r="P663" s="496"/>
      <c r="Q663" s="571"/>
      <c r="R663" s="571"/>
      <c r="S663" s="571"/>
      <c r="T663" s="571"/>
      <c r="U663" s="571"/>
      <c r="V663" s="571"/>
      <c r="W663" s="571"/>
      <c r="X663" s="571"/>
      <c r="Y663" s="571"/>
      <c r="Z663" s="571"/>
    </row>
    <row r="664" spans="1:26" ht="18.75">
      <c r="A664" s="567"/>
      <c r="B664" s="568"/>
      <c r="C664" s="568"/>
      <c r="D664" s="568"/>
      <c r="E664" s="754"/>
      <c r="F664" s="754" t="s">
        <v>189</v>
      </c>
      <c r="G664" s="189"/>
      <c r="H664" s="161" t="s">
        <v>12</v>
      </c>
      <c r="I664" s="269"/>
      <c r="J664" s="269"/>
      <c r="K664" s="496"/>
      <c r="L664" s="496"/>
      <c r="M664" s="496"/>
      <c r="N664" s="817">
        <v>0</v>
      </c>
      <c r="O664" s="496"/>
      <c r="P664" s="496"/>
      <c r="Q664" s="571"/>
      <c r="R664" s="571"/>
      <c r="S664" s="571"/>
      <c r="T664" s="571"/>
      <c r="U664" s="571"/>
      <c r="V664" s="571"/>
      <c r="W664" s="571"/>
      <c r="X664" s="571"/>
      <c r="Y664" s="571"/>
      <c r="Z664" s="571"/>
    </row>
    <row r="665" spans="1:26" ht="18.75">
      <c r="A665" s="590"/>
      <c r="B665" s="568"/>
      <c r="C665" s="568"/>
      <c r="D665" s="599" t="s">
        <v>21</v>
      </c>
      <c r="E665" s="754"/>
      <c r="F665" s="754"/>
      <c r="G665" s="189"/>
      <c r="H665" s="168" t="s">
        <v>12</v>
      </c>
      <c r="I665" s="184"/>
      <c r="J665" s="184"/>
      <c r="K665" s="163"/>
      <c r="L665" s="496">
        <f t="shared" ref="L665:N665" si="277">L666+L667</f>
        <v>0</v>
      </c>
      <c r="M665" s="496">
        <f t="shared" si="277"/>
        <v>0</v>
      </c>
      <c r="N665" s="496">
        <f t="shared" si="277"/>
        <v>0</v>
      </c>
      <c r="O665" s="496">
        <f t="shared" ref="O665:O667" si="278">IF(L665&gt;0,N665*100/L665,0)</f>
        <v>0</v>
      </c>
      <c r="P665" s="496">
        <f t="shared" ref="P665:P667" si="279">IF(M665&gt;0,N665*100/M665,0)</f>
        <v>0</v>
      </c>
      <c r="Q665" s="571"/>
      <c r="R665" s="571"/>
      <c r="S665" s="571"/>
      <c r="T665" s="571"/>
      <c r="U665" s="571"/>
      <c r="V665" s="571"/>
      <c r="W665" s="571"/>
      <c r="X665" s="571"/>
      <c r="Y665" s="571"/>
      <c r="Z665" s="571"/>
    </row>
    <row r="666" spans="1:26" ht="18.75" hidden="1">
      <c r="A666" s="592"/>
      <c r="B666" s="600"/>
      <c r="C666" s="600"/>
      <c r="D666" s="600"/>
      <c r="E666" s="750" t="s">
        <v>18</v>
      </c>
      <c r="F666" s="750"/>
      <c r="G666" s="596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8"/>
        <v>0</v>
      </c>
      <c r="P666" s="93">
        <f t="shared" si="279"/>
        <v>0</v>
      </c>
      <c r="Q666" s="597"/>
      <c r="R666" s="597"/>
      <c r="S666" s="597"/>
      <c r="T666" s="597"/>
      <c r="U666" s="597"/>
      <c r="V666" s="597"/>
      <c r="W666" s="597"/>
      <c r="X666" s="597"/>
      <c r="Y666" s="597"/>
      <c r="Z666" s="597"/>
    </row>
    <row r="667" spans="1:26" ht="18.75" hidden="1">
      <c r="A667" s="592"/>
      <c r="B667" s="600"/>
      <c r="C667" s="600"/>
      <c r="D667" s="600"/>
      <c r="E667" s="750" t="s">
        <v>19</v>
      </c>
      <c r="F667" s="750"/>
      <c r="G667" s="596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8"/>
        <v>0</v>
      </c>
      <c r="P667" s="93">
        <f t="shared" si="279"/>
        <v>0</v>
      </c>
      <c r="Q667" s="597"/>
      <c r="R667" s="597"/>
      <c r="S667" s="597"/>
      <c r="T667" s="597"/>
      <c r="U667" s="597"/>
      <c r="V667" s="597"/>
      <c r="W667" s="597"/>
      <c r="X667" s="597"/>
      <c r="Y667" s="597"/>
      <c r="Z667" s="597"/>
    </row>
    <row r="668" spans="1:26" ht="19.5">
      <c r="A668" s="601"/>
      <c r="B668" s="611"/>
      <c r="C668" s="568" t="s">
        <v>16</v>
      </c>
      <c r="D668" s="836" t="s">
        <v>38</v>
      </c>
      <c r="E668" s="752"/>
      <c r="F668" s="752"/>
      <c r="G668" s="606"/>
      <c r="H668" s="753"/>
      <c r="I668" s="184"/>
      <c r="J668" s="184"/>
      <c r="K668" s="163"/>
      <c r="L668" s="163"/>
      <c r="M668" s="163"/>
      <c r="N668" s="163"/>
      <c r="O668" s="163"/>
      <c r="P668" s="163"/>
      <c r="Q668" s="571"/>
      <c r="R668" s="571"/>
      <c r="S668" s="571"/>
      <c r="T668" s="571"/>
      <c r="U668" s="571"/>
      <c r="V668" s="571"/>
      <c r="W668" s="571"/>
      <c r="X668" s="571"/>
      <c r="Y668" s="571"/>
      <c r="Z668" s="571"/>
    </row>
    <row r="669" spans="1:26" ht="19.5">
      <c r="A669" s="601"/>
      <c r="B669" s="611"/>
      <c r="C669" s="611"/>
      <c r="D669" s="611" t="s">
        <v>280</v>
      </c>
      <c r="E669" s="619"/>
      <c r="F669" s="619"/>
      <c r="G669" s="753"/>
      <c r="H669" s="758" t="s">
        <v>46</v>
      </c>
      <c r="I669" s="674">
        <f ca="1">IFERROR(__xludf.DUMMYFUNCTION("IMPORTRANGE(""https://docs.google.com/spreadsheets/d/1QqKyyYR6Q21VydFLVH3TRQUabQu_ym0Zz7PgGX0-kHA/edit?usp=sharing"",""แผน!IA64"")"),185)</f>
        <v>185</v>
      </c>
      <c r="J669" s="674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1"/>
      <c r="R669" s="571"/>
      <c r="S669" s="571"/>
      <c r="T669" s="571"/>
      <c r="U669" s="571"/>
      <c r="V669" s="571"/>
      <c r="W669" s="571"/>
      <c r="X669" s="571"/>
      <c r="Y669" s="571"/>
      <c r="Z669" s="571"/>
    </row>
    <row r="670" spans="1:26" ht="18.75">
      <c r="A670" s="601"/>
      <c r="B670" s="611"/>
      <c r="C670" s="611"/>
      <c r="D670" s="611"/>
      <c r="E670" s="619" t="s">
        <v>281</v>
      </c>
      <c r="F670" s="619"/>
      <c r="G670" s="753"/>
      <c r="H670" s="755" t="s">
        <v>69</v>
      </c>
      <c r="I670" s="269">
        <f ca="1">IFERROR(__xludf.DUMMYFUNCTION("IMPORTRANGE(""https://docs.google.com/spreadsheets/d/1QqKyyYR6Q21VydFLVH3TRQUabQu_ym0Zz7PgGX0-kHA/edit?usp=sharing"",""แผน!HZ64"")"),6)</f>
        <v>6</v>
      </c>
      <c r="J670" s="214">
        <v>6</v>
      </c>
      <c r="K670" s="496">
        <f ca="1">IF(I670&gt;0,(J670*100)/I670,0)</f>
        <v>100</v>
      </c>
      <c r="L670" s="163"/>
      <c r="M670" s="163"/>
      <c r="N670" s="163"/>
      <c r="O670" s="163"/>
      <c r="P670" s="163"/>
      <c r="Q670" s="571"/>
      <c r="R670" s="571"/>
      <c r="S670" s="571"/>
      <c r="T670" s="571"/>
      <c r="U670" s="571"/>
      <c r="V670" s="571"/>
      <c r="W670" s="571"/>
      <c r="X670" s="571"/>
      <c r="Y670" s="571"/>
      <c r="Z670" s="571"/>
    </row>
    <row r="671" spans="1:26" ht="18.75">
      <c r="A671" s="601"/>
      <c r="B671" s="611"/>
      <c r="C671" s="611"/>
      <c r="D671" s="611"/>
      <c r="E671" s="619" t="s">
        <v>282</v>
      </c>
      <c r="F671" s="619"/>
      <c r="G671" s="753"/>
      <c r="H671" s="755" t="s">
        <v>69</v>
      </c>
      <c r="I671" s="269">
        <f ca="1">IFERROR(__xludf.DUMMYFUNCTION("IMPORTRANGE(""https://docs.google.com/spreadsheets/d/1QqKyyYR6Q21VydFLVH3TRQUabQu_ym0Zz7PgGX0-kHA/edit?usp=sharing"",""แผน!HZ64"")"),6)</f>
        <v>6</v>
      </c>
      <c r="J671" s="214">
        <v>6</v>
      </c>
      <c r="K671" s="496">
        <f ca="1">IF(I$671&gt;0,J671*100/I$671,0)</f>
        <v>100</v>
      </c>
      <c r="L671" s="163"/>
      <c r="M671" s="163"/>
      <c r="N671" s="163"/>
      <c r="O671" s="163"/>
      <c r="P671" s="163"/>
      <c r="Q671" s="571"/>
      <c r="R671" s="571"/>
      <c r="S671" s="571"/>
      <c r="T671" s="571"/>
      <c r="U671" s="571"/>
      <c r="V671" s="571"/>
      <c r="W671" s="571"/>
      <c r="X671" s="571"/>
      <c r="Y671" s="571"/>
      <c r="Z671" s="571"/>
    </row>
    <row r="672" spans="1:26" ht="18.75">
      <c r="A672" s="601"/>
      <c r="B672" s="611"/>
      <c r="C672" s="611"/>
      <c r="D672" s="611"/>
      <c r="E672" s="619" t="s">
        <v>283</v>
      </c>
      <c r="F672" s="619"/>
      <c r="G672" s="753"/>
      <c r="H672" s="755" t="s">
        <v>46</v>
      </c>
      <c r="I672" s="269"/>
      <c r="J672" s="214">
        <v>0</v>
      </c>
      <c r="K672" s="496">
        <f t="shared" ref="K672:K675" ca="1" si="280">IF(I$669&gt;0,J672*100/I$669,0)</f>
        <v>0</v>
      </c>
      <c r="L672" s="163"/>
      <c r="M672" s="163"/>
      <c r="N672" s="163"/>
      <c r="O672" s="163"/>
      <c r="P672" s="163"/>
      <c r="Q672" s="571"/>
      <c r="R672" s="571"/>
      <c r="S672" s="571"/>
      <c r="T672" s="571"/>
      <c r="U672" s="571"/>
      <c r="V672" s="571"/>
      <c r="W672" s="571"/>
      <c r="X672" s="571"/>
      <c r="Y672" s="571"/>
      <c r="Z672" s="571"/>
    </row>
    <row r="673" spans="1:26" ht="18.75">
      <c r="A673" s="601"/>
      <c r="B673" s="611"/>
      <c r="C673" s="611"/>
      <c r="D673" s="611"/>
      <c r="E673" s="619" t="s">
        <v>284</v>
      </c>
      <c r="F673" s="619"/>
      <c r="G673" s="753"/>
      <c r="H673" s="755" t="s">
        <v>46</v>
      </c>
      <c r="I673" s="269"/>
      <c r="J673" s="214">
        <v>0</v>
      </c>
      <c r="K673" s="496">
        <f t="shared" ca="1" si="280"/>
        <v>0</v>
      </c>
      <c r="L673" s="163"/>
      <c r="M673" s="163"/>
      <c r="N673" s="163"/>
      <c r="O673" s="163"/>
      <c r="P673" s="163"/>
      <c r="Q673" s="571"/>
      <c r="R673" s="571"/>
      <c r="S673" s="571"/>
      <c r="T673" s="571"/>
      <c r="U673" s="571"/>
      <c r="V673" s="571"/>
      <c r="W673" s="571"/>
      <c r="X673" s="571"/>
      <c r="Y673" s="571"/>
      <c r="Z673" s="571"/>
    </row>
    <row r="674" spans="1:26" ht="18.75">
      <c r="A674" s="601"/>
      <c r="B674" s="611"/>
      <c r="C674" s="611"/>
      <c r="D674" s="611"/>
      <c r="E674" s="619" t="s">
        <v>285</v>
      </c>
      <c r="F674" s="619"/>
      <c r="G674" s="753"/>
      <c r="H674" s="755" t="s">
        <v>46</v>
      </c>
      <c r="I674" s="269"/>
      <c r="J674" s="214">
        <v>0</v>
      </c>
      <c r="K674" s="496">
        <f t="shared" ca="1" si="280"/>
        <v>0</v>
      </c>
      <c r="L674" s="163"/>
      <c r="M674" s="163"/>
      <c r="N674" s="163"/>
      <c r="O674" s="163"/>
      <c r="P674" s="163"/>
      <c r="Q674" s="571"/>
      <c r="R674" s="571"/>
      <c r="S674" s="571"/>
      <c r="T674" s="571"/>
      <c r="U674" s="571"/>
      <c r="V674" s="571"/>
      <c r="W674" s="571"/>
      <c r="X674" s="571"/>
      <c r="Y674" s="571"/>
      <c r="Z674" s="571"/>
    </row>
    <row r="675" spans="1:26" ht="19.5">
      <c r="A675" s="601"/>
      <c r="B675" s="611"/>
      <c r="C675" s="611"/>
      <c r="D675" s="611"/>
      <c r="E675" s="619" t="s">
        <v>286</v>
      </c>
      <c r="F675" s="619"/>
      <c r="G675" s="753"/>
      <c r="H675" s="755" t="s">
        <v>46</v>
      </c>
      <c r="I675" s="269"/>
      <c r="J675" s="674">
        <f>J676+J677</f>
        <v>0</v>
      </c>
      <c r="K675" s="195">
        <f t="shared" ca="1" si="280"/>
        <v>0</v>
      </c>
      <c r="L675" s="163"/>
      <c r="M675" s="163"/>
      <c r="N675" s="163"/>
      <c r="O675" s="163"/>
      <c r="P675" s="163"/>
      <c r="Q675" s="571"/>
      <c r="R675" s="571"/>
      <c r="S675" s="571"/>
      <c r="T675" s="571"/>
      <c r="U675" s="571"/>
      <c r="V675" s="571"/>
      <c r="W675" s="571"/>
      <c r="X675" s="571"/>
      <c r="Y675" s="571"/>
      <c r="Z675" s="571"/>
    </row>
    <row r="676" spans="1:26" ht="18.75">
      <c r="A676" s="601"/>
      <c r="B676" s="611"/>
      <c r="C676" s="611"/>
      <c r="D676" s="611"/>
      <c r="E676" s="619"/>
      <c r="F676" s="619" t="s">
        <v>287</v>
      </c>
      <c r="G676" s="753"/>
      <c r="H676" s="755" t="s">
        <v>46</v>
      </c>
      <c r="I676" s="269"/>
      <c r="J676" s="214">
        <v>0</v>
      </c>
      <c r="K676" s="496"/>
      <c r="L676" s="163"/>
      <c r="M676" s="163"/>
      <c r="N676" s="163"/>
      <c r="O676" s="163"/>
      <c r="P676" s="163"/>
      <c r="Q676" s="571"/>
      <c r="R676" s="571"/>
      <c r="S676" s="571"/>
      <c r="T676" s="571"/>
      <c r="U676" s="571"/>
      <c r="V676" s="571"/>
      <c r="W676" s="571"/>
      <c r="X676" s="571"/>
      <c r="Y676" s="571"/>
      <c r="Z676" s="571"/>
    </row>
    <row r="677" spans="1:26" ht="18.75">
      <c r="A677" s="601"/>
      <c r="B677" s="611"/>
      <c r="C677" s="611"/>
      <c r="D677" s="611"/>
      <c r="E677" s="619"/>
      <c r="F677" s="619" t="s">
        <v>288</v>
      </c>
      <c r="G677" s="753"/>
      <c r="H677" s="755" t="s">
        <v>46</v>
      </c>
      <c r="I677" s="269"/>
      <c r="J677" s="214">
        <v>0</v>
      </c>
      <c r="K677" s="496"/>
      <c r="L677" s="163"/>
      <c r="M677" s="163"/>
      <c r="N677" s="163"/>
      <c r="O677" s="163"/>
      <c r="P677" s="163"/>
      <c r="Q677" s="571"/>
      <c r="R677" s="571"/>
      <c r="S677" s="571"/>
      <c r="T677" s="571"/>
      <c r="U677" s="571"/>
      <c r="V677" s="571"/>
      <c r="W677" s="571"/>
      <c r="X677" s="571"/>
      <c r="Y677" s="571"/>
      <c r="Z677" s="571"/>
    </row>
    <row r="678" spans="1:26" ht="19.5">
      <c r="A678" s="601"/>
      <c r="B678" s="611"/>
      <c r="C678" s="611"/>
      <c r="D678" s="611" t="s">
        <v>289</v>
      </c>
      <c r="E678" s="619"/>
      <c r="F678" s="619"/>
      <c r="G678" s="753"/>
      <c r="H678" s="755" t="s">
        <v>46</v>
      </c>
      <c r="I678" s="674">
        <f ca="1">IFERROR(__xludf.DUMMYFUNCTION("IMPORTRANGE(""https://docs.google.com/spreadsheets/d/1QqKyyYR6Q21VydFLVH3TRQUabQu_ym0Zz7PgGX0-kHA/edit?usp=sharing"",""แผน!IB64"")"),0)</f>
        <v>0</v>
      </c>
      <c r="J678" s="674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1"/>
      <c r="R678" s="571"/>
      <c r="S678" s="571"/>
      <c r="T678" s="571"/>
      <c r="U678" s="571"/>
      <c r="V678" s="571"/>
      <c r="W678" s="571"/>
      <c r="X678" s="571"/>
      <c r="Y678" s="571"/>
      <c r="Z678" s="571"/>
    </row>
    <row r="679" spans="1:26" ht="18.75">
      <c r="A679" s="601"/>
      <c r="B679" s="611"/>
      <c r="C679" s="611"/>
      <c r="D679" s="611"/>
      <c r="E679" s="619" t="s">
        <v>290</v>
      </c>
      <c r="F679" s="619"/>
      <c r="G679" s="753"/>
      <c r="H679" s="755" t="s">
        <v>46</v>
      </c>
      <c r="I679" s="269"/>
      <c r="J679" s="269">
        <f>J680+J681</f>
        <v>0</v>
      </c>
      <c r="K679" s="496"/>
      <c r="L679" s="163"/>
      <c r="M679" s="163"/>
      <c r="N679" s="163"/>
      <c r="O679" s="163"/>
      <c r="P679" s="163"/>
      <c r="Q679" s="571"/>
      <c r="R679" s="571"/>
      <c r="S679" s="571"/>
      <c r="T679" s="571"/>
      <c r="U679" s="571"/>
      <c r="V679" s="571"/>
      <c r="W679" s="571"/>
      <c r="X679" s="571"/>
      <c r="Y679" s="571"/>
      <c r="Z679" s="571"/>
    </row>
    <row r="680" spans="1:26" ht="18.75">
      <c r="A680" s="601"/>
      <c r="B680" s="611"/>
      <c r="C680" s="611"/>
      <c r="D680" s="611"/>
      <c r="E680" s="619"/>
      <c r="F680" s="619" t="s">
        <v>287</v>
      </c>
      <c r="G680" s="753"/>
      <c r="H680" s="755" t="s">
        <v>46</v>
      </c>
      <c r="I680" s="269"/>
      <c r="J680" s="214">
        <v>0</v>
      </c>
      <c r="K680" s="496"/>
      <c r="L680" s="163"/>
      <c r="M680" s="163"/>
      <c r="N680" s="163"/>
      <c r="O680" s="163"/>
      <c r="P680" s="163"/>
      <c r="Q680" s="571"/>
      <c r="R680" s="571"/>
      <c r="S680" s="571"/>
      <c r="T680" s="571"/>
      <c r="U680" s="571"/>
      <c r="V680" s="571"/>
      <c r="W680" s="571"/>
      <c r="X680" s="571"/>
      <c r="Y680" s="571"/>
      <c r="Z680" s="571"/>
    </row>
    <row r="681" spans="1:26" ht="18.75">
      <c r="A681" s="601"/>
      <c r="B681" s="611"/>
      <c r="C681" s="611"/>
      <c r="D681" s="611"/>
      <c r="E681" s="619"/>
      <c r="F681" s="619" t="s">
        <v>288</v>
      </c>
      <c r="G681" s="753"/>
      <c r="H681" s="755" t="s">
        <v>46</v>
      </c>
      <c r="I681" s="269"/>
      <c r="J681" s="214">
        <v>0</v>
      </c>
      <c r="K681" s="496"/>
      <c r="L681" s="163"/>
      <c r="M681" s="163"/>
      <c r="N681" s="163"/>
      <c r="O681" s="163"/>
      <c r="P681" s="163"/>
      <c r="Q681" s="571"/>
      <c r="R681" s="571"/>
      <c r="S681" s="571"/>
      <c r="T681" s="571"/>
      <c r="U681" s="571"/>
      <c r="V681" s="571"/>
      <c r="W681" s="571"/>
      <c r="X681" s="571"/>
      <c r="Y681" s="571"/>
      <c r="Z681" s="571"/>
    </row>
    <row r="682" spans="1:26" ht="18.75">
      <c r="A682" s="601"/>
      <c r="B682" s="611"/>
      <c r="C682" s="611"/>
      <c r="D682" s="611"/>
      <c r="E682" s="619" t="s">
        <v>291</v>
      </c>
      <c r="F682" s="619"/>
      <c r="G682" s="753"/>
      <c r="H682" s="755" t="s">
        <v>46</v>
      </c>
      <c r="I682" s="269"/>
      <c r="J682" s="214">
        <v>0</v>
      </c>
      <c r="K682" s="496"/>
      <c r="L682" s="163"/>
      <c r="M682" s="163"/>
      <c r="N682" s="163"/>
      <c r="O682" s="163"/>
      <c r="P682" s="163"/>
      <c r="Q682" s="571"/>
      <c r="R682" s="571"/>
      <c r="S682" s="571"/>
      <c r="T682" s="571"/>
      <c r="U682" s="571"/>
      <c r="V682" s="571"/>
      <c r="W682" s="571"/>
      <c r="X682" s="571"/>
      <c r="Y682" s="571"/>
      <c r="Z682" s="571"/>
    </row>
    <row r="683" spans="1:26" ht="18.75">
      <c r="A683" s="601"/>
      <c r="B683" s="611"/>
      <c r="C683" s="611"/>
      <c r="D683" s="611"/>
      <c r="E683" s="619"/>
      <c r="F683" s="619" t="s">
        <v>292</v>
      </c>
      <c r="G683" s="753"/>
      <c r="H683" s="755" t="s">
        <v>46</v>
      </c>
      <c r="I683" s="269"/>
      <c r="J683" s="214">
        <v>0</v>
      </c>
      <c r="K683" s="496"/>
      <c r="L683" s="163"/>
      <c r="M683" s="163"/>
      <c r="N683" s="163"/>
      <c r="O683" s="163"/>
      <c r="P683" s="163"/>
      <c r="Q683" s="571"/>
      <c r="R683" s="571"/>
      <c r="S683" s="571"/>
      <c r="T683" s="571"/>
      <c r="U683" s="571"/>
      <c r="V683" s="571"/>
      <c r="W683" s="571"/>
      <c r="X683" s="571"/>
      <c r="Y683" s="571"/>
      <c r="Z683" s="571"/>
    </row>
    <row r="684" spans="1:26" ht="19.5">
      <c r="A684" s="744"/>
      <c r="B684" s="745" t="s">
        <v>293</v>
      </c>
      <c r="C684" s="744"/>
      <c r="D684" s="744"/>
      <c r="E684" s="744"/>
      <c r="F684" s="744"/>
      <c r="G684" s="746"/>
      <c r="H684" s="746"/>
      <c r="I684" s="747"/>
      <c r="J684" s="747"/>
      <c r="K684" s="748"/>
      <c r="L684" s="748"/>
      <c r="M684" s="748"/>
      <c r="N684" s="748"/>
      <c r="O684" s="748"/>
      <c r="P684" s="748"/>
      <c r="Q684" s="571"/>
      <c r="R684" s="571"/>
      <c r="S684" s="571"/>
      <c r="T684" s="571"/>
      <c r="U684" s="571"/>
      <c r="V684" s="571"/>
      <c r="W684" s="571"/>
      <c r="X684" s="571"/>
      <c r="Y684" s="571"/>
      <c r="Z684" s="571"/>
    </row>
    <row r="685" spans="1:26" ht="19.5">
      <c r="A685" s="590"/>
      <c r="B685" s="754"/>
      <c r="C685" s="754" t="s">
        <v>16</v>
      </c>
      <c r="D685" s="863" t="s">
        <v>17</v>
      </c>
      <c r="E685" s="857"/>
      <c r="F685" s="857"/>
      <c r="G685" s="189"/>
      <c r="H685" s="591" t="s">
        <v>12</v>
      </c>
      <c r="I685" s="269"/>
      <c r="J685" s="269"/>
      <c r="K685" s="496"/>
      <c r="L685" s="195">
        <f t="shared" ref="L685:N685" ca="1" si="281">L686+L687</f>
        <v>41600</v>
      </c>
      <c r="M685" s="195">
        <f t="shared" si="281"/>
        <v>0</v>
      </c>
      <c r="N685" s="195">
        <f t="shared" si="281"/>
        <v>0</v>
      </c>
      <c r="O685" s="195">
        <f t="shared" ref="O685:O688" ca="1" si="282">IF(L685&gt;0,N685*100/L685,0)</f>
        <v>0</v>
      </c>
      <c r="P685" s="195">
        <f t="shared" ref="P685:P688" si="283">IF(M685&gt;0,N685*100/M685,0)</f>
        <v>0</v>
      </c>
      <c r="Q685" s="571"/>
      <c r="R685" s="571"/>
      <c r="S685" s="571"/>
      <c r="T685" s="571"/>
      <c r="U685" s="571"/>
      <c r="V685" s="571"/>
      <c r="W685" s="571"/>
      <c r="X685" s="571"/>
      <c r="Y685" s="571"/>
      <c r="Z685" s="571"/>
    </row>
    <row r="686" spans="1:26" ht="18.75" hidden="1">
      <c r="A686" s="592"/>
      <c r="B686" s="750"/>
      <c r="C686" s="750"/>
      <c r="D686" s="711"/>
      <c r="E686" s="750" t="s">
        <v>184</v>
      </c>
      <c r="F686" s="750"/>
      <c r="G686" s="596"/>
      <c r="H686" s="165" t="s">
        <v>12</v>
      </c>
      <c r="I686" s="610"/>
      <c r="J686" s="610"/>
      <c r="K686" s="93"/>
      <c r="L686" s="93">
        <f t="shared" ref="L686:N687" si="284">L689+L696</f>
        <v>0</v>
      </c>
      <c r="M686" s="93">
        <f t="shared" si="284"/>
        <v>0</v>
      </c>
      <c r="N686" s="93">
        <f t="shared" si="284"/>
        <v>0</v>
      </c>
      <c r="O686" s="93">
        <f t="shared" si="282"/>
        <v>0</v>
      </c>
      <c r="P686" s="93">
        <f t="shared" si="283"/>
        <v>0</v>
      </c>
      <c r="Q686" s="597"/>
      <c r="R686" s="597"/>
      <c r="S686" s="597"/>
      <c r="T686" s="597"/>
      <c r="U686" s="597"/>
      <c r="V686" s="597"/>
      <c r="W686" s="597"/>
      <c r="X686" s="597"/>
      <c r="Y686" s="597"/>
      <c r="Z686" s="597"/>
    </row>
    <row r="687" spans="1:26" ht="18.75" hidden="1">
      <c r="A687" s="592"/>
      <c r="B687" s="600"/>
      <c r="C687" s="750"/>
      <c r="D687" s="711"/>
      <c r="E687" s="750" t="s">
        <v>185</v>
      </c>
      <c r="F687" s="750"/>
      <c r="G687" s="596"/>
      <c r="H687" s="165" t="s">
        <v>12</v>
      </c>
      <c r="I687" s="610"/>
      <c r="J687" s="610"/>
      <c r="K687" s="93"/>
      <c r="L687" s="93">
        <f t="shared" ca="1" si="284"/>
        <v>41600</v>
      </c>
      <c r="M687" s="93">
        <f t="shared" si="284"/>
        <v>0</v>
      </c>
      <c r="N687" s="93">
        <f t="shared" si="284"/>
        <v>0</v>
      </c>
      <c r="O687" s="93">
        <f t="shared" ca="1" si="282"/>
        <v>0</v>
      </c>
      <c r="P687" s="93">
        <f t="shared" si="283"/>
        <v>0</v>
      </c>
      <c r="Q687" s="597"/>
      <c r="R687" s="597"/>
      <c r="S687" s="597"/>
      <c r="T687" s="597"/>
      <c r="U687" s="597"/>
      <c r="V687" s="597"/>
      <c r="W687" s="597"/>
      <c r="X687" s="597"/>
      <c r="Y687" s="597"/>
      <c r="Z687" s="597"/>
    </row>
    <row r="688" spans="1:26" ht="18.75">
      <c r="A688" s="590"/>
      <c r="B688" s="568"/>
      <c r="C688" s="754"/>
      <c r="D688" s="599" t="s">
        <v>20</v>
      </c>
      <c r="E688" s="754"/>
      <c r="F688" s="754"/>
      <c r="G688" s="189"/>
      <c r="H688" s="161" t="s">
        <v>12</v>
      </c>
      <c r="I688" s="184"/>
      <c r="J688" s="184"/>
      <c r="K688" s="163"/>
      <c r="L688" s="496">
        <f t="shared" ref="L688:N688" ca="1" si="285">L689+L690</f>
        <v>41600</v>
      </c>
      <c r="M688" s="496">
        <f t="shared" si="285"/>
        <v>0</v>
      </c>
      <c r="N688" s="496">
        <f t="shared" si="285"/>
        <v>0</v>
      </c>
      <c r="O688" s="496">
        <f t="shared" ca="1" si="282"/>
        <v>0</v>
      </c>
      <c r="P688" s="496">
        <f t="shared" si="283"/>
        <v>0</v>
      </c>
      <c r="Q688" s="571"/>
      <c r="R688" s="571"/>
      <c r="S688" s="571"/>
      <c r="T688" s="571"/>
      <c r="U688" s="571"/>
      <c r="V688" s="571"/>
      <c r="W688" s="571"/>
      <c r="X688" s="571"/>
      <c r="Y688" s="571"/>
      <c r="Z688" s="571"/>
    </row>
    <row r="689" spans="1:26" ht="18.75" hidden="1">
      <c r="A689" s="592"/>
      <c r="B689" s="600"/>
      <c r="C689" s="750"/>
      <c r="D689" s="711"/>
      <c r="E689" s="750" t="s">
        <v>184</v>
      </c>
      <c r="F689" s="750"/>
      <c r="G689" s="596"/>
      <c r="H689" s="165" t="s">
        <v>12</v>
      </c>
      <c r="I689" s="610"/>
      <c r="J689" s="610"/>
      <c r="K689" s="93"/>
      <c r="L689" s="93">
        <v>0</v>
      </c>
      <c r="M689" s="93">
        <v>0</v>
      </c>
      <c r="N689" s="93">
        <v>0</v>
      </c>
      <c r="O689" s="93"/>
      <c r="P689" s="93"/>
      <c r="Q689" s="597"/>
      <c r="R689" s="597"/>
      <c r="S689" s="597"/>
      <c r="T689" s="597"/>
      <c r="U689" s="597"/>
      <c r="V689" s="597"/>
      <c r="W689" s="597"/>
      <c r="X689" s="597"/>
      <c r="Y689" s="597"/>
      <c r="Z689" s="597"/>
    </row>
    <row r="690" spans="1:26" ht="18.75" hidden="1">
      <c r="A690" s="592"/>
      <c r="B690" s="600"/>
      <c r="C690" s="750"/>
      <c r="D690" s="711"/>
      <c r="E690" s="750" t="s">
        <v>185</v>
      </c>
      <c r="F690" s="750"/>
      <c r="G690" s="596"/>
      <c r="H690" s="165" t="s">
        <v>12</v>
      </c>
      <c r="I690" s="610"/>
      <c r="J690" s="610"/>
      <c r="K690" s="93"/>
      <c r="L690" s="93">
        <f ca="1">IFERROR(__xludf.DUMMYFUNCTION("IMPORTRANGE(""https://docs.google.com/spreadsheets/d/1QqKyyYR6Q21VydFLVH3TRQUabQu_ym0Zz7PgGX0-kHA/edit?usp=sharing"",""แผน!HW64"")"),41600)</f>
        <v>41600</v>
      </c>
      <c r="M690" s="93">
        <v>0</v>
      </c>
      <c r="N690" s="93">
        <f>N691+N692+N693+N694</f>
        <v>0</v>
      </c>
      <c r="O690" s="93">
        <f ca="1">IF(L690&gt;0,N690*100/L690,0)</f>
        <v>0</v>
      </c>
      <c r="P690" s="93">
        <f>IF(M690&gt;0,N690*100/M690,0)</f>
        <v>0</v>
      </c>
      <c r="Q690" s="597"/>
      <c r="R690" s="597"/>
      <c r="S690" s="597"/>
      <c r="T690" s="597"/>
      <c r="U690" s="597"/>
      <c r="V690" s="597"/>
      <c r="W690" s="597"/>
      <c r="X690" s="597"/>
      <c r="Y690" s="597"/>
      <c r="Z690" s="597"/>
    </row>
    <row r="691" spans="1:26" ht="18.75">
      <c r="A691" s="567"/>
      <c r="B691" s="568"/>
      <c r="C691" s="754"/>
      <c r="D691" s="754"/>
      <c r="E691" s="754"/>
      <c r="F691" s="754" t="s">
        <v>186</v>
      </c>
      <c r="G691" s="189"/>
      <c r="H691" s="161" t="s">
        <v>12</v>
      </c>
      <c r="I691" s="269"/>
      <c r="J691" s="269"/>
      <c r="K691" s="496"/>
      <c r="L691" s="496"/>
      <c r="M691" s="496"/>
      <c r="N691" s="817">
        <v>0</v>
      </c>
      <c r="O691" s="496"/>
      <c r="P691" s="496"/>
      <c r="Q691" s="571"/>
      <c r="R691" s="571"/>
      <c r="S691" s="571"/>
      <c r="T691" s="571"/>
      <c r="U691" s="571"/>
      <c r="V691" s="571"/>
      <c r="W691" s="571"/>
      <c r="X691" s="571"/>
      <c r="Y691" s="571"/>
      <c r="Z691" s="571"/>
    </row>
    <row r="692" spans="1:26" ht="18.75">
      <c r="A692" s="567"/>
      <c r="B692" s="568"/>
      <c r="C692" s="754"/>
      <c r="D692" s="754"/>
      <c r="E692" s="754"/>
      <c r="F692" s="754" t="s">
        <v>187</v>
      </c>
      <c r="G692" s="189"/>
      <c r="H692" s="161" t="s">
        <v>12</v>
      </c>
      <c r="I692" s="269"/>
      <c r="J692" s="269"/>
      <c r="K692" s="496"/>
      <c r="L692" s="496"/>
      <c r="M692" s="496"/>
      <c r="N692" s="817">
        <v>0</v>
      </c>
      <c r="O692" s="496"/>
      <c r="P692" s="496"/>
      <c r="Q692" s="571"/>
      <c r="R692" s="571"/>
      <c r="S692" s="571"/>
      <c r="T692" s="571"/>
      <c r="U692" s="571"/>
      <c r="V692" s="571"/>
      <c r="W692" s="571"/>
      <c r="X692" s="571"/>
      <c r="Y692" s="571"/>
      <c r="Z692" s="571"/>
    </row>
    <row r="693" spans="1:26" ht="18.75">
      <c r="A693" s="567"/>
      <c r="B693" s="568"/>
      <c r="C693" s="754"/>
      <c r="D693" s="754"/>
      <c r="E693" s="754"/>
      <c r="F693" s="754" t="s">
        <v>188</v>
      </c>
      <c r="G693" s="189"/>
      <c r="H693" s="161" t="s">
        <v>12</v>
      </c>
      <c r="I693" s="269"/>
      <c r="J693" s="269"/>
      <c r="K693" s="496"/>
      <c r="L693" s="496"/>
      <c r="M693" s="496"/>
      <c r="N693" s="817">
        <v>0</v>
      </c>
      <c r="O693" s="496"/>
      <c r="P693" s="496"/>
      <c r="Q693" s="571"/>
      <c r="R693" s="571"/>
      <c r="S693" s="571"/>
      <c r="T693" s="571"/>
      <c r="U693" s="571"/>
      <c r="V693" s="571"/>
      <c r="W693" s="571"/>
      <c r="X693" s="571"/>
      <c r="Y693" s="571"/>
      <c r="Z693" s="571"/>
    </row>
    <row r="694" spans="1:26" ht="18.75">
      <c r="A694" s="567"/>
      <c r="B694" s="568"/>
      <c r="C694" s="754"/>
      <c r="D694" s="754"/>
      <c r="E694" s="754"/>
      <c r="F694" s="754" t="s">
        <v>189</v>
      </c>
      <c r="G694" s="189"/>
      <c r="H694" s="161" t="s">
        <v>12</v>
      </c>
      <c r="I694" s="269"/>
      <c r="J694" s="269"/>
      <c r="K694" s="496"/>
      <c r="L694" s="496"/>
      <c r="M694" s="496"/>
      <c r="N694" s="817">
        <v>0</v>
      </c>
      <c r="O694" s="496"/>
      <c r="P694" s="496"/>
      <c r="Q694" s="571"/>
      <c r="R694" s="571"/>
      <c r="S694" s="571"/>
      <c r="T694" s="571"/>
      <c r="U694" s="571"/>
      <c r="V694" s="571"/>
      <c r="W694" s="571"/>
      <c r="X694" s="571"/>
      <c r="Y694" s="571"/>
      <c r="Z694" s="571"/>
    </row>
    <row r="695" spans="1:26" ht="18.75">
      <c r="A695" s="590"/>
      <c r="B695" s="568"/>
      <c r="C695" s="754"/>
      <c r="D695" s="599" t="s">
        <v>21</v>
      </c>
      <c r="E695" s="754"/>
      <c r="F695" s="754"/>
      <c r="G695" s="189"/>
      <c r="H695" s="168" t="s">
        <v>12</v>
      </c>
      <c r="I695" s="184"/>
      <c r="J695" s="184"/>
      <c r="K695" s="163"/>
      <c r="L695" s="496">
        <f t="shared" ref="L695:N695" si="286">L696+L697</f>
        <v>0</v>
      </c>
      <c r="M695" s="496">
        <f t="shared" si="286"/>
        <v>0</v>
      </c>
      <c r="N695" s="496">
        <f t="shared" si="286"/>
        <v>0</v>
      </c>
      <c r="O695" s="496">
        <f t="shared" ref="O695:O697" si="287">IF(L695&gt;0,N695*100/L695,0)</f>
        <v>0</v>
      </c>
      <c r="P695" s="496">
        <f t="shared" ref="P695:P697" si="288">IF(M695&gt;0,N695*100/M695,0)</f>
        <v>0</v>
      </c>
      <c r="Q695" s="571"/>
      <c r="R695" s="571"/>
      <c r="S695" s="571"/>
      <c r="T695" s="571"/>
      <c r="U695" s="571"/>
      <c r="V695" s="571"/>
      <c r="W695" s="571"/>
      <c r="X695" s="571"/>
      <c r="Y695" s="571"/>
      <c r="Z695" s="571"/>
    </row>
    <row r="696" spans="1:26" ht="18.75" hidden="1">
      <c r="A696" s="592"/>
      <c r="B696" s="600"/>
      <c r="C696" s="750"/>
      <c r="D696" s="750"/>
      <c r="E696" s="750" t="s">
        <v>18</v>
      </c>
      <c r="F696" s="750"/>
      <c r="G696" s="596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7"/>
        <v>0</v>
      </c>
      <c r="P696" s="93">
        <f t="shared" si="288"/>
        <v>0</v>
      </c>
      <c r="Q696" s="597"/>
      <c r="R696" s="597"/>
      <c r="S696" s="597"/>
      <c r="T696" s="597"/>
      <c r="U696" s="597"/>
      <c r="V696" s="597"/>
      <c r="W696" s="597"/>
      <c r="X696" s="597"/>
      <c r="Y696" s="597"/>
      <c r="Z696" s="597"/>
    </row>
    <row r="697" spans="1:26" ht="18.75" hidden="1">
      <c r="A697" s="592"/>
      <c r="B697" s="600"/>
      <c r="C697" s="750"/>
      <c r="D697" s="750"/>
      <c r="E697" s="750" t="s">
        <v>19</v>
      </c>
      <c r="F697" s="750"/>
      <c r="G697" s="596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7"/>
        <v>0</v>
      </c>
      <c r="P697" s="93">
        <f t="shared" si="288"/>
        <v>0</v>
      </c>
      <c r="Q697" s="597"/>
      <c r="R697" s="597"/>
      <c r="S697" s="597"/>
      <c r="T697" s="597"/>
      <c r="U697" s="597"/>
      <c r="V697" s="597"/>
      <c r="W697" s="597"/>
      <c r="X697" s="597"/>
      <c r="Y697" s="597"/>
      <c r="Z697" s="597"/>
    </row>
    <row r="698" spans="1:26" ht="19.5">
      <c r="A698" s="601"/>
      <c r="B698" s="611"/>
      <c r="C698" s="754" t="s">
        <v>16</v>
      </c>
      <c r="D698" s="840" t="s">
        <v>38</v>
      </c>
      <c r="E698" s="752"/>
      <c r="F698" s="752"/>
      <c r="G698" s="606"/>
      <c r="H698" s="753"/>
      <c r="I698" s="184"/>
      <c r="J698" s="184"/>
      <c r="K698" s="163"/>
      <c r="L698" s="163"/>
      <c r="M698" s="163"/>
      <c r="N698" s="163"/>
      <c r="O698" s="163"/>
      <c r="P698" s="163"/>
      <c r="Q698" s="571"/>
      <c r="R698" s="571"/>
      <c r="S698" s="571"/>
      <c r="T698" s="571"/>
      <c r="U698" s="571"/>
      <c r="V698" s="571"/>
      <c r="W698" s="571"/>
      <c r="X698" s="571"/>
      <c r="Y698" s="571"/>
      <c r="Z698" s="571"/>
    </row>
    <row r="699" spans="1:26" ht="18.75">
      <c r="A699" s="735"/>
      <c r="B699" s="754"/>
      <c r="C699" s="754"/>
      <c r="D699" s="754" t="s">
        <v>294</v>
      </c>
      <c r="E699" s="754"/>
      <c r="F699" s="754"/>
      <c r="G699" s="189"/>
      <c r="H699" s="755" t="s">
        <v>46</v>
      </c>
      <c r="I699" s="756">
        <f ca="1">IFERROR(__xludf.DUMMYFUNCTION("IMPORTRANGE(""https://docs.google.com/spreadsheets/d/1QqKyyYR6Q21VydFLVH3TRQUabQu_ym0Zz7PgGX0-kHA/edit?usp=sharing"",""แผน!IC64"")"),0)</f>
        <v>0</v>
      </c>
      <c r="J699" s="269">
        <f ca="1">IFERROR(__xludf.DUMMYFUNCTION("IMPORTRANGE(""https://docs.google.com/spreadsheets/d/1XWAQStnk-4SwqDmLtmXYiTMKHgktTP8We1SCoS47DrQ/edit?usp=sharing"",""จัดที่ดิน!BB64"")"),0)</f>
        <v>0</v>
      </c>
      <c r="K699" s="496">
        <f t="shared" ref="K699:K701" ca="1" si="289">IF(I699&gt;0,J699*100/I699,0)</f>
        <v>0</v>
      </c>
      <c r="L699" s="496"/>
      <c r="M699" s="189"/>
      <c r="N699" s="757"/>
      <c r="O699" s="496"/>
      <c r="P699" s="496"/>
      <c r="Q699" s="571"/>
      <c r="R699" s="571"/>
      <c r="S699" s="571"/>
      <c r="T699" s="571"/>
      <c r="U699" s="571"/>
      <c r="V699" s="571"/>
      <c r="W699" s="571"/>
      <c r="X699" s="571"/>
      <c r="Y699" s="571"/>
      <c r="Z699" s="571"/>
    </row>
    <row r="700" spans="1:26" ht="18.75">
      <c r="A700" s="735"/>
      <c r="B700" s="754"/>
      <c r="C700" s="754"/>
      <c r="D700" s="754" t="s">
        <v>295</v>
      </c>
      <c r="E700" s="754"/>
      <c r="F700" s="754"/>
      <c r="G700" s="189"/>
      <c r="H700" s="755" t="s">
        <v>35</v>
      </c>
      <c r="I700" s="756">
        <f ca="1">IFERROR(__xludf.DUMMYFUNCTION("IMPORTRANGE(""https://docs.google.com/spreadsheets/d/1QqKyyYR6Q21VydFLVH3TRQUabQu_ym0Zz7PgGX0-kHA/edit?usp=sharing"",""แผน!ID64"")"),45)</f>
        <v>45</v>
      </c>
      <c r="J700" s="269">
        <f ca="1">IFERROR(__xludf.DUMMYFUNCTION("IMPORTRANGE(""https://docs.google.com/spreadsheets/d/1XWAQStnk-4SwqDmLtmXYiTMKHgktTP8We1SCoS47DrQ/edit?usp=sharing"",""จัดที่ดิน!BD64"")"),0)</f>
        <v>0</v>
      </c>
      <c r="K700" s="496">
        <f t="shared" ca="1" si="289"/>
        <v>0</v>
      </c>
      <c r="L700" s="496"/>
      <c r="M700" s="189"/>
      <c r="N700" s="757"/>
      <c r="O700" s="496"/>
      <c r="P700" s="496"/>
      <c r="Q700" s="571"/>
      <c r="R700" s="571"/>
      <c r="S700" s="571"/>
      <c r="T700" s="571"/>
      <c r="U700" s="571"/>
      <c r="V700" s="571"/>
      <c r="W700" s="571"/>
      <c r="X700" s="571"/>
      <c r="Y700" s="571"/>
      <c r="Z700" s="571"/>
    </row>
    <row r="701" spans="1:26" ht="19.5">
      <c r="A701" s="735"/>
      <c r="B701" s="754"/>
      <c r="C701" s="754"/>
      <c r="D701" s="754" t="s">
        <v>296</v>
      </c>
      <c r="E701" s="754"/>
      <c r="F701" s="754"/>
      <c r="G701" s="189"/>
      <c r="H701" s="758" t="s">
        <v>46</v>
      </c>
      <c r="I701" s="759">
        <f ca="1">IFERROR(__xludf.DUMMYFUNCTION("IMPORTRANGE(""https://docs.google.com/spreadsheets/d/1QqKyyYR6Q21VydFLVH3TRQUabQu_ym0Zz7PgGX0-kHA/edit?usp=sharing"",""แผน!IE64"")"),0)</f>
        <v>0</v>
      </c>
      <c r="J701" s="674">
        <f>J704+J707</f>
        <v>0</v>
      </c>
      <c r="K701" s="195">
        <f t="shared" ca="1" si="289"/>
        <v>0</v>
      </c>
      <c r="L701" s="496"/>
      <c r="M701" s="189"/>
      <c r="N701" s="757"/>
      <c r="O701" s="496"/>
      <c r="P701" s="496"/>
      <c r="Q701" s="571"/>
      <c r="R701" s="571"/>
      <c r="S701" s="571"/>
      <c r="T701" s="571"/>
      <c r="U701" s="571"/>
      <c r="V701" s="571"/>
      <c r="W701" s="571"/>
      <c r="X701" s="571"/>
      <c r="Y701" s="571"/>
      <c r="Z701" s="571"/>
    </row>
    <row r="702" spans="1:26" ht="18.75">
      <c r="A702" s="735"/>
      <c r="B702" s="754"/>
      <c r="C702" s="754"/>
      <c r="D702" s="754"/>
      <c r="E702" s="754" t="s">
        <v>297</v>
      </c>
      <c r="F702" s="754"/>
      <c r="G702" s="189"/>
      <c r="H702" s="755" t="s">
        <v>35</v>
      </c>
      <c r="I702" s="756"/>
      <c r="J702" s="214">
        <v>0</v>
      </c>
      <c r="K702" s="496"/>
      <c r="L702" s="496"/>
      <c r="M702" s="189"/>
      <c r="N702" s="757"/>
      <c r="O702" s="496"/>
      <c r="P702" s="496"/>
      <c r="Q702" s="571"/>
      <c r="R702" s="571"/>
      <c r="S702" s="571"/>
      <c r="T702" s="571"/>
      <c r="U702" s="571"/>
      <c r="V702" s="571"/>
      <c r="W702" s="571"/>
      <c r="X702" s="571"/>
      <c r="Y702" s="571"/>
      <c r="Z702" s="571"/>
    </row>
    <row r="703" spans="1:26" ht="18.75">
      <c r="A703" s="735"/>
      <c r="B703" s="754"/>
      <c r="C703" s="754"/>
      <c r="D703" s="754"/>
      <c r="E703" s="754"/>
      <c r="F703" s="754"/>
      <c r="G703" s="189"/>
      <c r="H703" s="755" t="s">
        <v>34</v>
      </c>
      <c r="I703" s="756"/>
      <c r="J703" s="214">
        <v>0</v>
      </c>
      <c r="K703" s="496"/>
      <c r="L703" s="496"/>
      <c r="M703" s="189"/>
      <c r="N703" s="757"/>
      <c r="O703" s="496"/>
      <c r="P703" s="496"/>
      <c r="Q703" s="571"/>
      <c r="R703" s="571"/>
      <c r="S703" s="571"/>
      <c r="T703" s="571"/>
      <c r="U703" s="571"/>
      <c r="V703" s="571"/>
      <c r="W703" s="571"/>
      <c r="X703" s="571"/>
      <c r="Y703" s="571"/>
      <c r="Z703" s="571"/>
    </row>
    <row r="704" spans="1:26" ht="18.75">
      <c r="A704" s="735"/>
      <c r="B704" s="754"/>
      <c r="C704" s="754"/>
      <c r="D704" s="754"/>
      <c r="E704" s="754"/>
      <c r="F704" s="754"/>
      <c r="G704" s="189"/>
      <c r="H704" s="755" t="s">
        <v>46</v>
      </c>
      <c r="I704" s="756">
        <f ca="1">IFERROR(__xludf.DUMMYFUNCTION("IMPORTRANGE(""https://docs.google.com/spreadsheets/d/1QqKyyYR6Q21VydFLVH3TRQUabQu_ym0Zz7PgGX0-kHA/edit?usp=sharing"",""แผน!IF64"")"),0)</f>
        <v>0</v>
      </c>
      <c r="J704" s="214">
        <v>0</v>
      </c>
      <c r="K704" s="496"/>
      <c r="L704" s="496"/>
      <c r="M704" s="189"/>
      <c r="N704" s="757"/>
      <c r="O704" s="496"/>
      <c r="P704" s="496"/>
      <c r="Q704" s="571"/>
      <c r="R704" s="571"/>
      <c r="S704" s="571"/>
      <c r="T704" s="571"/>
      <c r="U704" s="571"/>
      <c r="V704" s="571"/>
      <c r="W704" s="571"/>
      <c r="X704" s="571"/>
      <c r="Y704" s="571"/>
      <c r="Z704" s="571"/>
    </row>
    <row r="705" spans="1:26" ht="18.75">
      <c r="A705" s="735"/>
      <c r="B705" s="754"/>
      <c r="C705" s="754"/>
      <c r="D705" s="754"/>
      <c r="E705" s="754" t="s">
        <v>298</v>
      </c>
      <c r="F705" s="754"/>
      <c r="G705" s="189"/>
      <c r="H705" s="755" t="s">
        <v>35</v>
      </c>
      <c r="I705" s="756"/>
      <c r="J705" s="214">
        <v>0</v>
      </c>
      <c r="K705" s="496"/>
      <c r="L705" s="496"/>
      <c r="M705" s="189"/>
      <c r="N705" s="757"/>
      <c r="O705" s="496"/>
      <c r="P705" s="496"/>
      <c r="Q705" s="571"/>
      <c r="R705" s="571"/>
      <c r="S705" s="571"/>
      <c r="T705" s="571"/>
      <c r="U705" s="571"/>
      <c r="V705" s="571"/>
      <c r="W705" s="571"/>
      <c r="X705" s="571"/>
      <c r="Y705" s="571"/>
      <c r="Z705" s="571"/>
    </row>
    <row r="706" spans="1:26" ht="18.75">
      <c r="A706" s="735"/>
      <c r="B706" s="754"/>
      <c r="C706" s="754"/>
      <c r="D706" s="754"/>
      <c r="E706" s="754"/>
      <c r="F706" s="754"/>
      <c r="G706" s="189"/>
      <c r="H706" s="755" t="s">
        <v>34</v>
      </c>
      <c r="I706" s="756"/>
      <c r="J706" s="214">
        <v>0</v>
      </c>
      <c r="K706" s="496"/>
      <c r="L706" s="496"/>
      <c r="M706" s="189"/>
      <c r="N706" s="757"/>
      <c r="O706" s="496"/>
      <c r="P706" s="496"/>
      <c r="Q706" s="571"/>
      <c r="R706" s="571"/>
      <c r="S706" s="571"/>
      <c r="T706" s="571"/>
      <c r="U706" s="571"/>
      <c r="V706" s="571"/>
      <c r="W706" s="571"/>
      <c r="X706" s="571"/>
      <c r="Y706" s="571"/>
      <c r="Z706" s="571"/>
    </row>
    <row r="707" spans="1:26" ht="18.75">
      <c r="A707" s="735"/>
      <c r="B707" s="754"/>
      <c r="C707" s="754"/>
      <c r="D707" s="754"/>
      <c r="E707" s="754"/>
      <c r="F707" s="754"/>
      <c r="G707" s="189"/>
      <c r="H707" s="755" t="s">
        <v>46</v>
      </c>
      <c r="I707" s="756">
        <f ca="1">IFERROR(__xludf.DUMMYFUNCTION("IMPORTRANGE(""https://docs.google.com/spreadsheets/d/1QqKyyYR6Q21VydFLVH3TRQUabQu_ym0Zz7PgGX0-kHA/edit?usp=sharing"",""แผน!IG64"")"),0)</f>
        <v>0</v>
      </c>
      <c r="J707" s="214">
        <v>0</v>
      </c>
      <c r="K707" s="496"/>
      <c r="L707" s="496"/>
      <c r="M707" s="189"/>
      <c r="N707" s="757"/>
      <c r="O707" s="496"/>
      <c r="P707" s="496"/>
      <c r="Q707" s="571"/>
      <c r="R707" s="571"/>
      <c r="S707" s="571"/>
      <c r="T707" s="571"/>
      <c r="U707" s="571"/>
      <c r="V707" s="571"/>
      <c r="W707" s="571"/>
      <c r="X707" s="571"/>
      <c r="Y707" s="571"/>
      <c r="Z707" s="571"/>
    </row>
    <row r="708" spans="1:26" ht="19.5">
      <c r="A708" s="735"/>
      <c r="B708" s="754"/>
      <c r="C708" s="754"/>
      <c r="D708" s="760" t="s">
        <v>299</v>
      </c>
      <c r="E708" s="754"/>
      <c r="F708" s="754"/>
      <c r="G708" s="189"/>
      <c r="H708" s="758" t="s">
        <v>46</v>
      </c>
      <c r="I708" s="759">
        <f ca="1">IFERROR(__xludf.DUMMYFUNCTION("IMPORTRANGE(""https://docs.google.com/spreadsheets/d/1QqKyyYR6Q21VydFLVH3TRQUabQu_ym0Zz7PgGX0-kHA/edit?usp=sharing"",""แผน!IH64"")"),25)</f>
        <v>25</v>
      </c>
      <c r="J708" s="674">
        <f>J714+J717</f>
        <v>0</v>
      </c>
      <c r="K708" s="195">
        <f ca="1">IF(I708&gt;0,J708*100/I708,0)</f>
        <v>0</v>
      </c>
      <c r="L708" s="496"/>
      <c r="M708" s="189"/>
      <c r="N708" s="757"/>
      <c r="O708" s="496"/>
      <c r="P708" s="496"/>
      <c r="Q708" s="571"/>
      <c r="R708" s="571"/>
      <c r="S708" s="571"/>
      <c r="T708" s="571"/>
      <c r="U708" s="571"/>
      <c r="V708" s="571"/>
      <c r="W708" s="571"/>
      <c r="X708" s="571"/>
      <c r="Y708" s="571"/>
      <c r="Z708" s="571"/>
    </row>
    <row r="709" spans="1:26" ht="18.75">
      <c r="A709" s="735"/>
      <c r="B709" s="754"/>
      <c r="C709" s="754"/>
      <c r="D709" s="754"/>
      <c r="E709" s="754" t="s">
        <v>300</v>
      </c>
      <c r="F709" s="754"/>
      <c r="G709" s="189"/>
      <c r="H709" s="755" t="s">
        <v>34</v>
      </c>
      <c r="I709" s="756"/>
      <c r="J709" s="214">
        <v>0</v>
      </c>
      <c r="K709" s="496"/>
      <c r="L709" s="757"/>
      <c r="M709" s="189"/>
      <c r="N709" s="757"/>
      <c r="O709" s="496"/>
      <c r="P709" s="496"/>
      <c r="Q709" s="571"/>
      <c r="R709" s="571"/>
      <c r="S709" s="571"/>
      <c r="T709" s="571"/>
      <c r="U709" s="571"/>
      <c r="V709" s="571"/>
      <c r="W709" s="571"/>
      <c r="X709" s="571"/>
      <c r="Y709" s="571"/>
      <c r="Z709" s="571"/>
    </row>
    <row r="710" spans="1:26" ht="18.75">
      <c r="A710" s="735"/>
      <c r="B710" s="754"/>
      <c r="C710" s="754"/>
      <c r="D710" s="754"/>
      <c r="E710" s="754"/>
      <c r="F710" s="754"/>
      <c r="G710" s="189"/>
      <c r="H710" s="755" t="s">
        <v>46</v>
      </c>
      <c r="I710" s="756"/>
      <c r="J710" s="214">
        <v>0</v>
      </c>
      <c r="K710" s="496"/>
      <c r="L710" s="757"/>
      <c r="M710" s="189"/>
      <c r="N710" s="757"/>
      <c r="O710" s="496"/>
      <c r="P710" s="496"/>
      <c r="Q710" s="571"/>
      <c r="R710" s="571"/>
      <c r="S710" s="571"/>
      <c r="T710" s="571"/>
      <c r="U710" s="571"/>
      <c r="V710" s="571"/>
      <c r="W710" s="571"/>
      <c r="X710" s="571"/>
      <c r="Y710" s="571"/>
      <c r="Z710" s="571"/>
    </row>
    <row r="711" spans="1:26" ht="18.75">
      <c r="A711" s="735"/>
      <c r="B711" s="754"/>
      <c r="C711" s="754"/>
      <c r="D711" s="754"/>
      <c r="E711" s="754" t="s">
        <v>301</v>
      </c>
      <c r="F711" s="754"/>
      <c r="G711" s="189"/>
      <c r="H711" s="753"/>
      <c r="I711" s="756"/>
      <c r="J711" s="269"/>
      <c r="K711" s="496"/>
      <c r="L711" s="757"/>
      <c r="M711" s="189"/>
      <c r="N711" s="757"/>
      <c r="O711" s="496"/>
      <c r="P711" s="496"/>
      <c r="Q711" s="571"/>
      <c r="R711" s="571"/>
      <c r="S711" s="571"/>
      <c r="T711" s="571"/>
      <c r="U711" s="571"/>
      <c r="V711" s="571"/>
      <c r="W711" s="571"/>
      <c r="X711" s="571"/>
      <c r="Y711" s="571"/>
      <c r="Z711" s="571"/>
    </row>
    <row r="712" spans="1:26" ht="18.75">
      <c r="A712" s="735"/>
      <c r="B712" s="754"/>
      <c r="C712" s="754"/>
      <c r="D712" s="754"/>
      <c r="E712" s="754"/>
      <c r="F712" s="754" t="s">
        <v>302</v>
      </c>
      <c r="G712" s="189"/>
      <c r="H712" s="755" t="s">
        <v>35</v>
      </c>
      <c r="I712" s="756"/>
      <c r="J712" s="214">
        <v>0</v>
      </c>
      <c r="K712" s="496"/>
      <c r="L712" s="757"/>
      <c r="M712" s="189"/>
      <c r="N712" s="757"/>
      <c r="O712" s="496"/>
      <c r="P712" s="496"/>
      <c r="Q712" s="571"/>
      <c r="R712" s="571"/>
      <c r="S712" s="571"/>
      <c r="T712" s="571"/>
      <c r="U712" s="571"/>
      <c r="V712" s="571"/>
      <c r="W712" s="571"/>
      <c r="X712" s="571"/>
      <c r="Y712" s="571"/>
      <c r="Z712" s="571"/>
    </row>
    <row r="713" spans="1:26" ht="18.75">
      <c r="A713" s="735"/>
      <c r="B713" s="754"/>
      <c r="C713" s="754"/>
      <c r="D713" s="754"/>
      <c r="E713" s="754"/>
      <c r="F713" s="754"/>
      <c r="G713" s="189"/>
      <c r="H713" s="755" t="s">
        <v>34</v>
      </c>
      <c r="I713" s="756"/>
      <c r="J713" s="214">
        <v>0</v>
      </c>
      <c r="K713" s="496"/>
      <c r="L713" s="757"/>
      <c r="M713" s="189"/>
      <c r="N713" s="757"/>
      <c r="O713" s="496"/>
      <c r="P713" s="496"/>
      <c r="Q713" s="571"/>
      <c r="R713" s="571"/>
      <c r="S713" s="571"/>
      <c r="T713" s="571"/>
      <c r="U713" s="571"/>
      <c r="V713" s="571"/>
      <c r="W713" s="571"/>
      <c r="X713" s="571"/>
      <c r="Y713" s="571"/>
      <c r="Z713" s="571"/>
    </row>
    <row r="714" spans="1:26" ht="18.75">
      <c r="A714" s="735"/>
      <c r="B714" s="754"/>
      <c r="C714" s="754"/>
      <c r="D714" s="754"/>
      <c r="E714" s="754"/>
      <c r="F714" s="754"/>
      <c r="G714" s="189"/>
      <c r="H714" s="755" t="s">
        <v>46</v>
      </c>
      <c r="I714" s="756"/>
      <c r="J714" s="214">
        <v>0</v>
      </c>
      <c r="K714" s="496"/>
      <c r="L714" s="757"/>
      <c r="M714" s="189"/>
      <c r="N714" s="757"/>
      <c r="O714" s="496"/>
      <c r="P714" s="496"/>
      <c r="Q714" s="571"/>
      <c r="R714" s="571"/>
      <c r="S714" s="571"/>
      <c r="T714" s="571"/>
      <c r="U714" s="571"/>
      <c r="V714" s="571"/>
      <c r="W714" s="571"/>
      <c r="X714" s="571"/>
      <c r="Y714" s="571"/>
      <c r="Z714" s="571"/>
    </row>
    <row r="715" spans="1:26" ht="18.75">
      <c r="A715" s="735"/>
      <c r="B715" s="754"/>
      <c r="C715" s="754"/>
      <c r="D715" s="754"/>
      <c r="E715" s="754"/>
      <c r="F715" s="754" t="s">
        <v>303</v>
      </c>
      <c r="G715" s="189"/>
      <c r="H715" s="755" t="s">
        <v>35</v>
      </c>
      <c r="I715" s="756"/>
      <c r="J715" s="214">
        <v>0</v>
      </c>
      <c r="K715" s="496"/>
      <c r="L715" s="757"/>
      <c r="M715" s="189"/>
      <c r="N715" s="757"/>
      <c r="O715" s="496"/>
      <c r="P715" s="496"/>
      <c r="Q715" s="571"/>
      <c r="R715" s="571"/>
      <c r="S715" s="571"/>
      <c r="T715" s="571"/>
      <c r="U715" s="571"/>
      <c r="V715" s="571"/>
      <c r="W715" s="571"/>
      <c r="X715" s="571"/>
      <c r="Y715" s="571"/>
      <c r="Z715" s="571"/>
    </row>
    <row r="716" spans="1:26" ht="18.75">
      <c r="A716" s="735"/>
      <c r="B716" s="754"/>
      <c r="C716" s="754"/>
      <c r="D716" s="754"/>
      <c r="E716" s="754"/>
      <c r="F716" s="754"/>
      <c r="G716" s="189"/>
      <c r="H716" s="755" t="s">
        <v>34</v>
      </c>
      <c r="I716" s="756"/>
      <c r="J716" s="214">
        <v>0</v>
      </c>
      <c r="K716" s="496"/>
      <c r="L716" s="757"/>
      <c r="M716" s="189"/>
      <c r="N716" s="757"/>
      <c r="O716" s="496"/>
      <c r="P716" s="496"/>
      <c r="Q716" s="571"/>
      <c r="R716" s="571"/>
      <c r="S716" s="571"/>
      <c r="T716" s="571"/>
      <c r="U716" s="571"/>
      <c r="V716" s="571"/>
      <c r="W716" s="571"/>
      <c r="X716" s="571"/>
      <c r="Y716" s="571"/>
      <c r="Z716" s="571"/>
    </row>
    <row r="717" spans="1:26" ht="18.75">
      <c r="A717" s="735"/>
      <c r="B717" s="754"/>
      <c r="C717" s="754"/>
      <c r="D717" s="754"/>
      <c r="E717" s="754"/>
      <c r="F717" s="754"/>
      <c r="G717" s="189"/>
      <c r="H717" s="755" t="s">
        <v>46</v>
      </c>
      <c r="I717" s="756"/>
      <c r="J717" s="214">
        <v>0</v>
      </c>
      <c r="K717" s="496"/>
      <c r="L717" s="757"/>
      <c r="M717" s="189"/>
      <c r="N717" s="757"/>
      <c r="O717" s="496"/>
      <c r="P717" s="496"/>
      <c r="Q717" s="571"/>
      <c r="R717" s="571"/>
      <c r="S717" s="571"/>
      <c r="T717" s="571"/>
      <c r="U717" s="571"/>
      <c r="V717" s="571"/>
      <c r="W717" s="571"/>
      <c r="X717" s="571"/>
      <c r="Y717" s="571"/>
      <c r="Z717" s="571"/>
    </row>
    <row r="718" spans="1:26" ht="18.75">
      <c r="A718" s="735"/>
      <c r="B718" s="754"/>
      <c r="C718" s="754"/>
      <c r="D718" s="754" t="s">
        <v>304</v>
      </c>
      <c r="E718" s="754"/>
      <c r="F718" s="754"/>
      <c r="G718" s="189"/>
      <c r="H718" s="755" t="s">
        <v>35</v>
      </c>
      <c r="I718" s="756"/>
      <c r="J718" s="269">
        <f ca="1">IFERROR(__xludf.DUMMYFUNCTION("IMPORTRANGE(""https://docs.google.com/spreadsheets/d/1XWAQStnk-4SwqDmLtmXYiTMKHgktTP8We1SCoS47DrQ/edit?usp=sharing"",""จัดที่ดิน!BF64"")"),0)</f>
        <v>0</v>
      </c>
      <c r="K718" s="496"/>
      <c r="L718" s="496"/>
      <c r="M718" s="189"/>
      <c r="N718" s="757"/>
      <c r="O718" s="496"/>
      <c r="P718" s="496"/>
      <c r="Q718" s="571"/>
      <c r="R718" s="571"/>
      <c r="S718" s="571"/>
      <c r="T718" s="571"/>
      <c r="U718" s="571"/>
      <c r="V718" s="571"/>
      <c r="W718" s="571"/>
      <c r="X718" s="571"/>
      <c r="Y718" s="571"/>
      <c r="Z718" s="571"/>
    </row>
    <row r="719" spans="1:26" ht="18.75">
      <c r="A719" s="735"/>
      <c r="B719" s="754"/>
      <c r="C719" s="754"/>
      <c r="D719" s="754"/>
      <c r="E719" s="754"/>
      <c r="F719" s="754"/>
      <c r="G719" s="189"/>
      <c r="H719" s="755" t="s">
        <v>34</v>
      </c>
      <c r="I719" s="756"/>
      <c r="J719" s="269">
        <f ca="1">IFERROR(__xludf.DUMMYFUNCTION("IMPORTRANGE(""https://docs.google.com/spreadsheets/d/1XWAQStnk-4SwqDmLtmXYiTMKHgktTP8We1SCoS47DrQ/edit?usp=sharing"",""จัดที่ดิน!BG64"")"),0)</f>
        <v>0</v>
      </c>
      <c r="K719" s="496"/>
      <c r="L719" s="757"/>
      <c r="M719" s="189"/>
      <c r="N719" s="757"/>
      <c r="O719" s="496"/>
      <c r="P719" s="496"/>
      <c r="Q719" s="571"/>
      <c r="R719" s="571"/>
      <c r="S719" s="571"/>
      <c r="T719" s="571"/>
      <c r="U719" s="571"/>
      <c r="V719" s="571"/>
      <c r="W719" s="571"/>
      <c r="X719" s="571"/>
      <c r="Y719" s="571"/>
      <c r="Z719" s="571"/>
    </row>
    <row r="720" spans="1:26" ht="18.75">
      <c r="A720" s="735"/>
      <c r="B720" s="754"/>
      <c r="C720" s="754"/>
      <c r="D720" s="754"/>
      <c r="E720" s="754"/>
      <c r="F720" s="754"/>
      <c r="G720" s="189"/>
      <c r="H720" s="755" t="s">
        <v>46</v>
      </c>
      <c r="I720" s="756">
        <f ca="1">IFERROR(__xludf.DUMMYFUNCTION("IMPORTRANGE(""https://docs.google.com/spreadsheets/d/1QqKyyYR6Q21VydFLVH3TRQUabQu_ym0Zz7PgGX0-kHA/edit?usp=sharing"",""แผน!II64"")"),400)</f>
        <v>400</v>
      </c>
      <c r="J720" s="269">
        <f ca="1">IFERROR(__xludf.DUMMYFUNCTION("IMPORTRANGE(""https://docs.google.com/spreadsheets/d/1XWAQStnk-4SwqDmLtmXYiTMKHgktTP8We1SCoS47DrQ/edit?usp=sharing"",""จัดที่ดิน!BH64"")"),0)</f>
        <v>0</v>
      </c>
      <c r="K720" s="496">
        <f t="shared" ref="K720:K723" ca="1" si="290">IF(I720&gt;0,J720*100/I720,0)</f>
        <v>0</v>
      </c>
      <c r="L720" s="757"/>
      <c r="M720" s="189"/>
      <c r="N720" s="757"/>
      <c r="O720" s="496"/>
      <c r="P720" s="496"/>
      <c r="Q720" s="571"/>
      <c r="R720" s="571"/>
      <c r="S720" s="571"/>
      <c r="T720" s="571"/>
      <c r="U720" s="571"/>
      <c r="V720" s="571"/>
      <c r="W720" s="571"/>
      <c r="X720" s="571"/>
      <c r="Y720" s="571"/>
      <c r="Z720" s="571"/>
    </row>
    <row r="721" spans="1:26" ht="19.5">
      <c r="A721" s="735"/>
      <c r="B721" s="754"/>
      <c r="C721" s="754"/>
      <c r="D721" s="754" t="s">
        <v>305</v>
      </c>
      <c r="E721" s="754"/>
      <c r="F721" s="754"/>
      <c r="G721" s="189"/>
      <c r="H721" s="758" t="s">
        <v>35</v>
      </c>
      <c r="I721" s="759">
        <f ca="1">IFERROR(__xludf.DUMMYFUNCTION("IMPORTRANGE(""https://docs.google.com/spreadsheets/d/1QqKyyYR6Q21VydFLVH3TRQUabQu_ym0Zz7PgGX0-kHA/edit?usp=sharing"",""แผน!IJ64"")"),35)</f>
        <v>35</v>
      </c>
      <c r="J721" s="674">
        <f ca="1">J723+J726</f>
        <v>1</v>
      </c>
      <c r="K721" s="195">
        <f t="shared" ca="1" si="290"/>
        <v>2.8571428571428572</v>
      </c>
      <c r="L721" s="757"/>
      <c r="M721" s="189"/>
      <c r="N721" s="757"/>
      <c r="O721" s="496"/>
      <c r="P721" s="496"/>
      <c r="Q721" s="571"/>
      <c r="R721" s="571"/>
      <c r="S721" s="571"/>
      <c r="T721" s="571"/>
      <c r="U721" s="571"/>
      <c r="V721" s="571"/>
      <c r="W721" s="571"/>
      <c r="X721" s="571"/>
      <c r="Y721" s="571"/>
      <c r="Z721" s="571"/>
    </row>
    <row r="722" spans="1:26" ht="19.5">
      <c r="A722" s="735"/>
      <c r="B722" s="754"/>
      <c r="C722" s="754"/>
      <c r="D722" s="754"/>
      <c r="E722" s="754"/>
      <c r="F722" s="754"/>
      <c r="G722" s="189"/>
      <c r="H722" s="758" t="s">
        <v>46</v>
      </c>
      <c r="I722" s="759">
        <f ca="1">IFERROR(__xludf.DUMMYFUNCTION("IMPORTRANGE(""https://docs.google.com/spreadsheets/d/1QqKyyYR6Q21VydFLVH3TRQUabQu_ym0Zz7PgGX0-kHA/edit?usp=sharing"",""แผน!IK64"")"),386)</f>
        <v>386</v>
      </c>
      <c r="J722" s="674">
        <f ca="1">J725+J728</f>
        <v>11.56</v>
      </c>
      <c r="K722" s="195">
        <f t="shared" ca="1" si="290"/>
        <v>2.9948186528497409</v>
      </c>
      <c r="L722" s="496"/>
      <c r="M722" s="189"/>
      <c r="N722" s="757"/>
      <c r="O722" s="496"/>
      <c r="P722" s="496"/>
      <c r="Q722" s="571"/>
      <c r="R722" s="571"/>
      <c r="S722" s="571"/>
      <c r="T722" s="571"/>
      <c r="U722" s="571"/>
      <c r="V722" s="571"/>
      <c r="W722" s="571"/>
      <c r="X722" s="571"/>
      <c r="Y722" s="571"/>
      <c r="Z722" s="571"/>
    </row>
    <row r="723" spans="1:26" ht="18.75">
      <c r="A723" s="735"/>
      <c r="B723" s="754"/>
      <c r="C723" s="754"/>
      <c r="D723" s="754"/>
      <c r="E723" s="754" t="s">
        <v>306</v>
      </c>
      <c r="F723" s="754"/>
      <c r="G723" s="189"/>
      <c r="H723" s="755" t="s">
        <v>35</v>
      </c>
      <c r="I723" s="756">
        <f ca="1">IFERROR(__xludf.DUMMYFUNCTION("IMPORTRANGE(""https://docs.google.com/spreadsheets/d/1QqKyyYR6Q21VydFLVH3TRQUabQu_ym0Zz7PgGX0-kHA/edit?usp=sharing"",""แผน!IL64"")"),35)</f>
        <v>35</v>
      </c>
      <c r="J723" s="269">
        <f ca="1">IFERROR(__xludf.DUMMYFUNCTION("IMPORTRANGE(""https://docs.google.com/spreadsheets/d/1XWAQStnk-4SwqDmLtmXYiTMKHgktTP8We1SCoS47DrQ/edit?usp=sharing"",""จัดที่ดิน!BM64"")"),1)</f>
        <v>1</v>
      </c>
      <c r="K723" s="496">
        <f t="shared" ca="1" si="290"/>
        <v>2.8571428571428572</v>
      </c>
      <c r="L723" s="496"/>
      <c r="M723" s="189"/>
      <c r="N723" s="757"/>
      <c r="O723" s="496"/>
      <c r="P723" s="496"/>
      <c r="Q723" s="571"/>
      <c r="R723" s="571"/>
      <c r="S723" s="571"/>
      <c r="T723" s="571"/>
      <c r="U723" s="571"/>
      <c r="V723" s="571"/>
      <c r="W723" s="571"/>
      <c r="X723" s="571"/>
      <c r="Y723" s="571"/>
      <c r="Z723" s="571"/>
    </row>
    <row r="724" spans="1:26" ht="18.75">
      <c r="A724" s="735"/>
      <c r="B724" s="754"/>
      <c r="C724" s="754"/>
      <c r="D724" s="754"/>
      <c r="E724" s="754"/>
      <c r="F724" s="754"/>
      <c r="G724" s="189"/>
      <c r="H724" s="755" t="s">
        <v>34</v>
      </c>
      <c r="I724" s="756"/>
      <c r="J724" s="269">
        <f ca="1">IFERROR(__xludf.DUMMYFUNCTION("IMPORTRANGE(""https://docs.google.com/spreadsheets/d/1XWAQStnk-4SwqDmLtmXYiTMKHgktTP8We1SCoS47DrQ/edit?usp=sharing"",""จัดที่ดิน!BN64"")"),1)</f>
        <v>1</v>
      </c>
      <c r="K724" s="496"/>
      <c r="L724" s="757"/>
      <c r="M724" s="189"/>
      <c r="N724" s="757"/>
      <c r="O724" s="496"/>
      <c r="P724" s="496"/>
      <c r="Q724" s="571"/>
      <c r="R724" s="571"/>
      <c r="S724" s="571"/>
      <c r="T724" s="571"/>
      <c r="U724" s="571"/>
      <c r="V724" s="571"/>
      <c r="W724" s="571"/>
      <c r="X724" s="571"/>
      <c r="Y724" s="571"/>
      <c r="Z724" s="571"/>
    </row>
    <row r="725" spans="1:26" ht="18.75">
      <c r="A725" s="735"/>
      <c r="B725" s="754"/>
      <c r="C725" s="754"/>
      <c r="D725" s="754"/>
      <c r="E725" s="754"/>
      <c r="F725" s="754"/>
      <c r="G725" s="189"/>
      <c r="H725" s="755" t="s">
        <v>46</v>
      </c>
      <c r="I725" s="756">
        <f ca="1">IFERROR(__xludf.DUMMYFUNCTION("IMPORTRANGE(""https://docs.google.com/spreadsheets/d/1QqKyyYR6Q21VydFLVH3TRQUabQu_ym0Zz7PgGX0-kHA/edit?usp=sharing"",""แผน!IM64"")"),386)</f>
        <v>386</v>
      </c>
      <c r="J725" s="269">
        <f ca="1">IFERROR(__xludf.DUMMYFUNCTION("IMPORTRANGE(""https://docs.google.com/spreadsheets/d/1XWAQStnk-4SwqDmLtmXYiTMKHgktTP8We1SCoS47DrQ/edit?usp=sharing"",""จัดที่ดิน!BO64"")"),11.56)</f>
        <v>11.56</v>
      </c>
      <c r="K725" s="496">
        <f t="shared" ref="K725:K726" ca="1" si="291">IF(I725&gt;0,J725*100/I725,0)</f>
        <v>2.9948186528497409</v>
      </c>
      <c r="L725" s="757"/>
      <c r="M725" s="189"/>
      <c r="N725" s="757"/>
      <c r="O725" s="496"/>
      <c r="P725" s="496"/>
      <c r="Q725" s="571"/>
      <c r="R725" s="571"/>
      <c r="S725" s="571"/>
      <c r="T725" s="571"/>
      <c r="U725" s="571"/>
      <c r="V725" s="571"/>
      <c r="W725" s="571"/>
      <c r="X725" s="571"/>
      <c r="Y725" s="571"/>
      <c r="Z725" s="571"/>
    </row>
    <row r="726" spans="1:26" ht="18.75">
      <c r="A726" s="735"/>
      <c r="B726" s="754"/>
      <c r="C726" s="754"/>
      <c r="D726" s="754"/>
      <c r="E726" s="754" t="s">
        <v>307</v>
      </c>
      <c r="F726" s="754"/>
      <c r="G726" s="189"/>
      <c r="H726" s="755" t="s">
        <v>35</v>
      </c>
      <c r="I726" s="756">
        <f ca="1">IFERROR(__xludf.DUMMYFUNCTION("IMPORTRANGE(""https://docs.google.com/spreadsheets/d/1QqKyyYR6Q21VydFLVH3TRQUabQu_ym0Zz7PgGX0-kHA/edit?usp=sharing"",""แผน!IN64"")"),0)</f>
        <v>0</v>
      </c>
      <c r="J726" s="269">
        <f ca="1">IFERROR(__xludf.DUMMYFUNCTION("IMPORTRANGE(""https://docs.google.com/spreadsheets/d/1XWAQStnk-4SwqDmLtmXYiTMKHgktTP8We1SCoS47DrQ/edit?usp=sharing"",""จัดที่ดิน!BR64"")"),0)</f>
        <v>0</v>
      </c>
      <c r="K726" s="496">
        <f t="shared" ca="1" si="291"/>
        <v>0</v>
      </c>
      <c r="L726" s="496"/>
      <c r="M726" s="189"/>
      <c r="N726" s="757"/>
      <c r="O726" s="496"/>
      <c r="P726" s="496"/>
      <c r="Q726" s="571"/>
      <c r="R726" s="571"/>
      <c r="S726" s="571"/>
      <c r="T726" s="571"/>
      <c r="U726" s="571"/>
      <c r="V726" s="571"/>
      <c r="W726" s="571"/>
      <c r="X726" s="571"/>
      <c r="Y726" s="571"/>
      <c r="Z726" s="571"/>
    </row>
    <row r="727" spans="1:26" ht="18.75">
      <c r="A727" s="735"/>
      <c r="B727" s="754"/>
      <c r="C727" s="754"/>
      <c r="D727" s="754"/>
      <c r="E727" s="754"/>
      <c r="F727" s="754"/>
      <c r="G727" s="189"/>
      <c r="H727" s="755" t="s">
        <v>34</v>
      </c>
      <c r="I727" s="756"/>
      <c r="J727" s="269">
        <f ca="1">IFERROR(__xludf.DUMMYFUNCTION("IMPORTRANGE(""https://docs.google.com/spreadsheets/d/1XWAQStnk-4SwqDmLtmXYiTMKHgktTP8We1SCoS47DrQ/edit?usp=sharing"",""จัดที่ดิน!BS64"")"),0)</f>
        <v>0</v>
      </c>
      <c r="K727" s="496"/>
      <c r="L727" s="757"/>
      <c r="M727" s="189"/>
      <c r="N727" s="757"/>
      <c r="O727" s="496"/>
      <c r="P727" s="496"/>
      <c r="Q727" s="571"/>
      <c r="R727" s="571"/>
      <c r="S727" s="571"/>
      <c r="T727" s="571"/>
      <c r="U727" s="571"/>
      <c r="V727" s="571"/>
      <c r="W727" s="571"/>
      <c r="X727" s="571"/>
      <c r="Y727" s="571"/>
      <c r="Z727" s="571"/>
    </row>
    <row r="728" spans="1:26" ht="18.75">
      <c r="A728" s="735"/>
      <c r="B728" s="754"/>
      <c r="C728" s="754"/>
      <c r="D728" s="754"/>
      <c r="E728" s="754"/>
      <c r="F728" s="754"/>
      <c r="G728" s="189"/>
      <c r="H728" s="755" t="s">
        <v>46</v>
      </c>
      <c r="I728" s="756">
        <f ca="1">IFERROR(__xludf.DUMMYFUNCTION("IMPORTRANGE(""https://docs.google.com/spreadsheets/d/1QqKyyYR6Q21VydFLVH3TRQUabQu_ym0Zz7PgGX0-kHA/edit?usp=sharing"",""แผน!IO64"")"),0)</f>
        <v>0</v>
      </c>
      <c r="J728" s="269">
        <f ca="1">IFERROR(__xludf.DUMMYFUNCTION("IMPORTRANGE(""https://docs.google.com/spreadsheets/d/1XWAQStnk-4SwqDmLtmXYiTMKHgktTP8We1SCoS47DrQ/edit?usp=sharing"",""จัดที่ดิน!BT64"")"),0)</f>
        <v>0</v>
      </c>
      <c r="K728" s="496">
        <f t="shared" ref="K728:K729" ca="1" si="292">IF(I728&gt;0,J728*100/I728,0)</f>
        <v>0</v>
      </c>
      <c r="L728" s="757"/>
      <c r="M728" s="189"/>
      <c r="N728" s="757"/>
      <c r="O728" s="496"/>
      <c r="P728" s="496"/>
      <c r="Q728" s="571"/>
      <c r="R728" s="571"/>
      <c r="S728" s="571"/>
      <c r="T728" s="571"/>
      <c r="U728" s="571"/>
      <c r="V728" s="571"/>
      <c r="W728" s="571"/>
      <c r="X728" s="571"/>
      <c r="Y728" s="571"/>
      <c r="Z728" s="571"/>
    </row>
    <row r="729" spans="1:26" ht="19.5">
      <c r="A729" s="735"/>
      <c r="B729" s="754"/>
      <c r="C729" s="754"/>
      <c r="D729" s="754" t="s">
        <v>308</v>
      </c>
      <c r="E729" s="754"/>
      <c r="F729" s="754"/>
      <c r="G729" s="189"/>
      <c r="H729" s="758" t="s">
        <v>46</v>
      </c>
      <c r="I729" s="759">
        <f ca="1">IFERROR(__xludf.DUMMYFUNCTION("IMPORTRANGE(""https://docs.google.com/spreadsheets/d/1QqKyyYR6Q21VydFLVH3TRQUabQu_ym0Zz7PgGX0-kHA/edit?usp=sharing"",""แผน!IP64"")"),185)</f>
        <v>185</v>
      </c>
      <c r="J729" s="674">
        <f>J732+J735</f>
        <v>0</v>
      </c>
      <c r="K729" s="195">
        <f t="shared" ca="1" si="292"/>
        <v>0</v>
      </c>
      <c r="L729" s="496"/>
      <c r="M729" s="189"/>
      <c r="N729" s="757"/>
      <c r="O729" s="496"/>
      <c r="P729" s="496"/>
      <c r="Q729" s="571"/>
      <c r="R729" s="571"/>
      <c r="S729" s="571"/>
      <c r="T729" s="571"/>
      <c r="U729" s="571"/>
      <c r="V729" s="571"/>
      <c r="W729" s="571"/>
      <c r="X729" s="571"/>
      <c r="Y729" s="571"/>
      <c r="Z729" s="571"/>
    </row>
    <row r="730" spans="1:26" ht="18.75">
      <c r="A730" s="735"/>
      <c r="B730" s="754"/>
      <c r="C730" s="754"/>
      <c r="D730" s="754"/>
      <c r="E730" s="754" t="s">
        <v>309</v>
      </c>
      <c r="F730" s="754"/>
      <c r="G730" s="189"/>
      <c r="H730" s="755" t="s">
        <v>35</v>
      </c>
      <c r="I730" s="756"/>
      <c r="J730" s="214">
        <v>0</v>
      </c>
      <c r="K730" s="496"/>
      <c r="L730" s="757"/>
      <c r="M730" s="496"/>
      <c r="N730" s="757"/>
      <c r="O730" s="496"/>
      <c r="P730" s="496"/>
      <c r="Q730" s="571"/>
      <c r="R730" s="571"/>
      <c r="S730" s="571"/>
      <c r="T730" s="571"/>
      <c r="U730" s="571"/>
      <c r="V730" s="571"/>
      <c r="W730" s="571"/>
      <c r="X730" s="571"/>
      <c r="Y730" s="571"/>
      <c r="Z730" s="571"/>
    </row>
    <row r="731" spans="1:26" ht="18.75">
      <c r="A731" s="735"/>
      <c r="B731" s="754"/>
      <c r="C731" s="754"/>
      <c r="D731" s="754"/>
      <c r="E731" s="754"/>
      <c r="F731" s="754"/>
      <c r="G731" s="189"/>
      <c r="H731" s="755" t="s">
        <v>34</v>
      </c>
      <c r="I731" s="756"/>
      <c r="J731" s="214">
        <v>0</v>
      </c>
      <c r="K731" s="496"/>
      <c r="L731" s="757"/>
      <c r="M731" s="496"/>
      <c r="N731" s="757"/>
      <c r="O731" s="496"/>
      <c r="P731" s="496"/>
      <c r="Q731" s="571"/>
      <c r="R731" s="571"/>
      <c r="S731" s="571"/>
      <c r="T731" s="571"/>
      <c r="U731" s="571"/>
      <c r="V731" s="571"/>
      <c r="W731" s="571"/>
      <c r="X731" s="571"/>
      <c r="Y731" s="571"/>
      <c r="Z731" s="571"/>
    </row>
    <row r="732" spans="1:26" ht="18.75">
      <c r="A732" s="735"/>
      <c r="B732" s="754"/>
      <c r="C732" s="754"/>
      <c r="D732" s="754"/>
      <c r="E732" s="754"/>
      <c r="F732" s="754"/>
      <c r="G732" s="189"/>
      <c r="H732" s="755" t="s">
        <v>46</v>
      </c>
      <c r="I732" s="756"/>
      <c r="J732" s="214">
        <v>0</v>
      </c>
      <c r="K732" s="496"/>
      <c r="L732" s="757"/>
      <c r="M732" s="496"/>
      <c r="N732" s="757"/>
      <c r="O732" s="496"/>
      <c r="P732" s="496"/>
      <c r="Q732" s="571"/>
      <c r="R732" s="571"/>
      <c r="S732" s="571"/>
      <c r="T732" s="571"/>
      <c r="U732" s="571"/>
      <c r="V732" s="571"/>
      <c r="W732" s="571"/>
      <c r="X732" s="571"/>
      <c r="Y732" s="571"/>
      <c r="Z732" s="571"/>
    </row>
    <row r="733" spans="1:26" ht="18.75">
      <c r="A733" s="735"/>
      <c r="B733" s="754"/>
      <c r="C733" s="754"/>
      <c r="D733" s="754"/>
      <c r="E733" s="754" t="s">
        <v>310</v>
      </c>
      <c r="F733" s="754"/>
      <c r="G733" s="189"/>
      <c r="H733" s="755" t="s">
        <v>35</v>
      </c>
      <c r="I733" s="756"/>
      <c r="J733" s="214">
        <v>0</v>
      </c>
      <c r="K733" s="496"/>
      <c r="L733" s="757"/>
      <c r="M733" s="496"/>
      <c r="N733" s="757"/>
      <c r="O733" s="496"/>
      <c r="P733" s="496"/>
      <c r="Q733" s="571"/>
      <c r="R733" s="571"/>
      <c r="S733" s="571"/>
      <c r="T733" s="571"/>
      <c r="U733" s="571"/>
      <c r="V733" s="571"/>
      <c r="W733" s="571"/>
      <c r="X733" s="571"/>
      <c r="Y733" s="571"/>
      <c r="Z733" s="571"/>
    </row>
    <row r="734" spans="1:26" ht="18.75">
      <c r="A734" s="735"/>
      <c r="B734" s="754"/>
      <c r="C734" s="754"/>
      <c r="D734" s="754"/>
      <c r="E734" s="754"/>
      <c r="F734" s="754"/>
      <c r="G734" s="189"/>
      <c r="H734" s="755" t="s">
        <v>34</v>
      </c>
      <c r="I734" s="756"/>
      <c r="J734" s="214">
        <v>0</v>
      </c>
      <c r="K734" s="496"/>
      <c r="L734" s="757"/>
      <c r="M734" s="496"/>
      <c r="N734" s="757"/>
      <c r="O734" s="496"/>
      <c r="P734" s="496"/>
      <c r="Q734" s="571"/>
      <c r="R734" s="571"/>
      <c r="S734" s="571"/>
      <c r="T734" s="571"/>
      <c r="U734" s="571"/>
      <c r="V734" s="571"/>
      <c r="W734" s="571"/>
      <c r="X734" s="571"/>
      <c r="Y734" s="571"/>
      <c r="Z734" s="571"/>
    </row>
    <row r="735" spans="1:26" ht="19.5">
      <c r="A735" s="761"/>
      <c r="B735" s="762" t="s">
        <v>311</v>
      </c>
      <c r="C735" s="725"/>
      <c r="D735" s="725"/>
      <c r="E735" s="725"/>
      <c r="F735" s="725"/>
      <c r="G735" s="726"/>
      <c r="H735" s="421" t="s">
        <v>46</v>
      </c>
      <c r="I735" s="763"/>
      <c r="J735" s="423">
        <v>0</v>
      </c>
      <c r="K735" s="500"/>
      <c r="L735" s="764"/>
      <c r="M735" s="500"/>
      <c r="N735" s="764"/>
      <c r="O735" s="500"/>
      <c r="P735" s="500"/>
      <c r="Q735" s="571"/>
      <c r="R735" s="571"/>
      <c r="S735" s="571"/>
      <c r="T735" s="571"/>
      <c r="U735" s="571"/>
      <c r="V735" s="571"/>
      <c r="W735" s="571"/>
      <c r="X735" s="571"/>
      <c r="Y735" s="571"/>
      <c r="Z735" s="571"/>
    </row>
    <row r="736" spans="1:26" ht="19.5" hidden="1">
      <c r="A736" s="765">
        <v>9</v>
      </c>
      <c r="B736" s="766" t="s">
        <v>312</v>
      </c>
      <c r="C736" s="767"/>
      <c r="D736" s="767"/>
      <c r="E736" s="767"/>
      <c r="F736" s="767"/>
      <c r="G736" s="768"/>
      <c r="H736" s="769" t="s">
        <v>46</v>
      </c>
      <c r="I736" s="770"/>
      <c r="J736" s="770">
        <f>J751</f>
        <v>0</v>
      </c>
      <c r="K736" s="771">
        <f>IF(I736&gt;0,J736*100/I736,0)</f>
        <v>0</v>
      </c>
      <c r="L736" s="772"/>
      <c r="M736" s="772"/>
      <c r="N736" s="772"/>
      <c r="O736" s="772"/>
      <c r="P736" s="772"/>
      <c r="Q736" s="597"/>
      <c r="R736" s="597"/>
      <c r="S736" s="597"/>
      <c r="T736" s="597"/>
      <c r="U736" s="597"/>
      <c r="V736" s="597"/>
      <c r="W736" s="597"/>
      <c r="X736" s="597"/>
      <c r="Y736" s="597"/>
      <c r="Z736" s="597"/>
    </row>
    <row r="737" spans="1:26" ht="19.5" hidden="1">
      <c r="A737" s="592"/>
      <c r="B737" s="750"/>
      <c r="C737" s="750" t="s">
        <v>16</v>
      </c>
      <c r="D737" s="864" t="s">
        <v>17</v>
      </c>
      <c r="E737" s="857"/>
      <c r="F737" s="857"/>
      <c r="G737" s="596"/>
      <c r="H737" s="639" t="s">
        <v>12</v>
      </c>
      <c r="I737" s="610"/>
      <c r="J737" s="610"/>
      <c r="K737" s="93"/>
      <c r="L737" s="640">
        <f t="shared" ref="L737:N737" si="293">L738+L739</f>
        <v>0</v>
      </c>
      <c r="M737" s="640">
        <f t="shared" si="293"/>
        <v>0</v>
      </c>
      <c r="N737" s="640">
        <f t="shared" si="293"/>
        <v>0</v>
      </c>
      <c r="O737" s="640">
        <f t="shared" ref="O737:O742" si="294">IF(L737&gt;0,N737*100/L737,0)</f>
        <v>0</v>
      </c>
      <c r="P737" s="640">
        <f t="shared" ref="P737:P742" si="295">IF(M737&gt;0,N737*100/M737,0)</f>
        <v>0</v>
      </c>
      <c r="Q737" s="597"/>
      <c r="R737" s="597"/>
      <c r="S737" s="597"/>
      <c r="T737" s="597"/>
      <c r="U737" s="597"/>
      <c r="V737" s="597"/>
      <c r="W737" s="597"/>
      <c r="X737" s="597"/>
      <c r="Y737" s="597"/>
      <c r="Z737" s="597"/>
    </row>
    <row r="738" spans="1:26" ht="18.75" hidden="1">
      <c r="A738" s="592"/>
      <c r="B738" s="750"/>
      <c r="C738" s="750"/>
      <c r="D738" s="711"/>
      <c r="E738" s="750" t="s">
        <v>184</v>
      </c>
      <c r="F738" s="750"/>
      <c r="G738" s="596"/>
      <c r="H738" s="165" t="s">
        <v>12</v>
      </c>
      <c r="I738" s="610"/>
      <c r="J738" s="610"/>
      <c r="K738" s="93"/>
      <c r="L738" s="93">
        <f t="shared" ref="L738:N739" si="296">L741+L748</f>
        <v>0</v>
      </c>
      <c r="M738" s="93">
        <f t="shared" si="296"/>
        <v>0</v>
      </c>
      <c r="N738" s="93">
        <f t="shared" si="296"/>
        <v>0</v>
      </c>
      <c r="O738" s="93">
        <f t="shared" si="294"/>
        <v>0</v>
      </c>
      <c r="P738" s="93">
        <f t="shared" si="295"/>
        <v>0</v>
      </c>
      <c r="Q738" s="597"/>
      <c r="R738" s="597"/>
      <c r="S738" s="597"/>
      <c r="T738" s="597"/>
      <c r="U738" s="597"/>
      <c r="V738" s="597"/>
      <c r="W738" s="597"/>
      <c r="X738" s="597"/>
      <c r="Y738" s="597"/>
      <c r="Z738" s="597"/>
    </row>
    <row r="739" spans="1:26" ht="18.75" hidden="1">
      <c r="A739" s="592"/>
      <c r="B739" s="600"/>
      <c r="C739" s="750"/>
      <c r="D739" s="711"/>
      <c r="E739" s="750" t="s">
        <v>185</v>
      </c>
      <c r="F739" s="750"/>
      <c r="G739" s="596"/>
      <c r="H739" s="165" t="s">
        <v>12</v>
      </c>
      <c r="I739" s="610"/>
      <c r="J739" s="610"/>
      <c r="K739" s="93"/>
      <c r="L739" s="93">
        <f t="shared" si="296"/>
        <v>0</v>
      </c>
      <c r="M739" s="93">
        <f t="shared" si="296"/>
        <v>0</v>
      </c>
      <c r="N739" s="93">
        <f t="shared" si="296"/>
        <v>0</v>
      </c>
      <c r="O739" s="93">
        <f t="shared" si="294"/>
        <v>0</v>
      </c>
      <c r="P739" s="93">
        <f t="shared" si="295"/>
        <v>0</v>
      </c>
      <c r="Q739" s="597"/>
      <c r="R739" s="597"/>
      <c r="S739" s="597"/>
      <c r="T739" s="597"/>
      <c r="U739" s="597"/>
      <c r="V739" s="597"/>
      <c r="W739" s="597"/>
      <c r="X739" s="597"/>
      <c r="Y739" s="597"/>
      <c r="Z739" s="597"/>
    </row>
    <row r="740" spans="1:26" ht="19.5" hidden="1">
      <c r="A740" s="592"/>
      <c r="B740" s="600"/>
      <c r="C740" s="750"/>
      <c r="D740" s="638" t="s">
        <v>20</v>
      </c>
      <c r="E740" s="750"/>
      <c r="F740" s="750"/>
      <c r="G740" s="596"/>
      <c r="H740" s="639" t="s">
        <v>12</v>
      </c>
      <c r="I740" s="166"/>
      <c r="J740" s="166"/>
      <c r="K740" s="167"/>
      <c r="L740" s="640">
        <f t="shared" ref="L740:N740" si="297">L741+L742</f>
        <v>0</v>
      </c>
      <c r="M740" s="640">
        <f t="shared" si="297"/>
        <v>0</v>
      </c>
      <c r="N740" s="640">
        <f t="shared" si="297"/>
        <v>0</v>
      </c>
      <c r="O740" s="640">
        <f t="shared" si="294"/>
        <v>0</v>
      </c>
      <c r="P740" s="640">
        <f t="shared" si="295"/>
        <v>0</v>
      </c>
      <c r="Q740" s="597"/>
      <c r="R740" s="597"/>
      <c r="S740" s="597"/>
      <c r="T740" s="597"/>
      <c r="U740" s="597"/>
      <c r="V740" s="597"/>
      <c r="W740" s="597"/>
      <c r="X740" s="597"/>
      <c r="Y740" s="597"/>
      <c r="Z740" s="597"/>
    </row>
    <row r="741" spans="1:26" ht="18.75" hidden="1">
      <c r="A741" s="592"/>
      <c r="B741" s="600"/>
      <c r="C741" s="750"/>
      <c r="D741" s="711"/>
      <c r="E741" s="750" t="s">
        <v>184</v>
      </c>
      <c r="F741" s="750"/>
      <c r="G741" s="596"/>
      <c r="H741" s="165" t="s">
        <v>12</v>
      </c>
      <c r="I741" s="610"/>
      <c r="J741" s="610"/>
      <c r="K741" s="93"/>
      <c r="L741" s="93">
        <v>0</v>
      </c>
      <c r="M741" s="93">
        <v>0</v>
      </c>
      <c r="N741" s="93">
        <v>0</v>
      </c>
      <c r="O741" s="93">
        <f t="shared" si="294"/>
        <v>0</v>
      </c>
      <c r="P741" s="93">
        <f t="shared" si="295"/>
        <v>0</v>
      </c>
      <c r="Q741" s="597"/>
      <c r="R741" s="597"/>
      <c r="S741" s="597"/>
      <c r="T741" s="597"/>
      <c r="U741" s="597"/>
      <c r="V741" s="597"/>
      <c r="W741" s="597"/>
      <c r="X741" s="597"/>
      <c r="Y741" s="597"/>
      <c r="Z741" s="597"/>
    </row>
    <row r="742" spans="1:26" ht="18.75" hidden="1">
      <c r="A742" s="592"/>
      <c r="B742" s="600"/>
      <c r="C742" s="750"/>
      <c r="D742" s="711"/>
      <c r="E742" s="750" t="s">
        <v>185</v>
      </c>
      <c r="F742" s="750"/>
      <c r="G742" s="596"/>
      <c r="H742" s="165" t="s">
        <v>12</v>
      </c>
      <c r="I742" s="610"/>
      <c r="J742" s="610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4"/>
        <v>0</v>
      </c>
      <c r="P742" s="93">
        <f t="shared" si="295"/>
        <v>0</v>
      </c>
      <c r="Q742" s="597"/>
      <c r="R742" s="597"/>
      <c r="S742" s="597"/>
      <c r="T742" s="597"/>
      <c r="U742" s="597"/>
      <c r="V742" s="597"/>
      <c r="W742" s="597"/>
      <c r="X742" s="597"/>
      <c r="Y742" s="597"/>
      <c r="Z742" s="597"/>
    </row>
    <row r="743" spans="1:26" ht="18.75" hidden="1">
      <c r="A743" s="642"/>
      <c r="B743" s="600"/>
      <c r="C743" s="750"/>
      <c r="D743" s="750"/>
      <c r="E743" s="750"/>
      <c r="F743" s="750" t="s">
        <v>186</v>
      </c>
      <c r="G743" s="596"/>
      <c r="H743" s="165" t="s">
        <v>12</v>
      </c>
      <c r="I743" s="610"/>
      <c r="J743" s="610"/>
      <c r="K743" s="93"/>
      <c r="L743" s="93"/>
      <c r="M743" s="93"/>
      <c r="N743" s="93"/>
      <c r="O743" s="93"/>
      <c r="P743" s="93"/>
      <c r="Q743" s="597"/>
      <c r="R743" s="597"/>
      <c r="S743" s="597"/>
      <c r="T743" s="597"/>
      <c r="U743" s="597"/>
      <c r="V743" s="597"/>
      <c r="W743" s="597"/>
      <c r="X743" s="597"/>
      <c r="Y743" s="597"/>
      <c r="Z743" s="597"/>
    </row>
    <row r="744" spans="1:26" ht="18.75" hidden="1">
      <c r="A744" s="642"/>
      <c r="B744" s="600"/>
      <c r="C744" s="750"/>
      <c r="D744" s="750"/>
      <c r="E744" s="750"/>
      <c r="F744" s="750" t="s">
        <v>187</v>
      </c>
      <c r="G744" s="596"/>
      <c r="H744" s="165" t="s">
        <v>12</v>
      </c>
      <c r="I744" s="610"/>
      <c r="J744" s="610"/>
      <c r="K744" s="93"/>
      <c r="L744" s="93"/>
      <c r="M744" s="93"/>
      <c r="N744" s="93"/>
      <c r="O744" s="93"/>
      <c r="P744" s="93"/>
      <c r="Q744" s="597"/>
      <c r="R744" s="597"/>
      <c r="S744" s="597"/>
      <c r="T744" s="597"/>
      <c r="U744" s="597"/>
      <c r="V744" s="597"/>
      <c r="W744" s="597"/>
      <c r="X744" s="597"/>
      <c r="Y744" s="597"/>
      <c r="Z744" s="597"/>
    </row>
    <row r="745" spans="1:26" ht="18.75" hidden="1">
      <c r="A745" s="642"/>
      <c r="B745" s="600"/>
      <c r="C745" s="750"/>
      <c r="D745" s="750"/>
      <c r="E745" s="750"/>
      <c r="F745" s="750" t="s">
        <v>188</v>
      </c>
      <c r="G745" s="596"/>
      <c r="H745" s="165" t="s">
        <v>12</v>
      </c>
      <c r="I745" s="610"/>
      <c r="J745" s="610"/>
      <c r="K745" s="93"/>
      <c r="L745" s="93"/>
      <c r="M745" s="93"/>
      <c r="N745" s="93"/>
      <c r="O745" s="93"/>
      <c r="P745" s="93"/>
      <c r="Q745" s="597"/>
      <c r="R745" s="597"/>
      <c r="S745" s="597"/>
      <c r="T745" s="597"/>
      <c r="U745" s="597"/>
      <c r="V745" s="597"/>
      <c r="W745" s="597"/>
      <c r="X745" s="597"/>
      <c r="Y745" s="597"/>
      <c r="Z745" s="597"/>
    </row>
    <row r="746" spans="1:26" ht="18.75" hidden="1">
      <c r="A746" s="642"/>
      <c r="B746" s="600"/>
      <c r="C746" s="750"/>
      <c r="D746" s="750"/>
      <c r="E746" s="750"/>
      <c r="F746" s="750" t="s">
        <v>189</v>
      </c>
      <c r="G746" s="596"/>
      <c r="H746" s="165" t="s">
        <v>12</v>
      </c>
      <c r="I746" s="610"/>
      <c r="J746" s="610"/>
      <c r="K746" s="93"/>
      <c r="L746" s="93"/>
      <c r="M746" s="93"/>
      <c r="N746" s="93"/>
      <c r="O746" s="93"/>
      <c r="P746" s="93"/>
      <c r="Q746" s="597"/>
      <c r="R746" s="597"/>
      <c r="S746" s="597"/>
      <c r="T746" s="597"/>
      <c r="U746" s="597"/>
      <c r="V746" s="597"/>
      <c r="W746" s="597"/>
      <c r="X746" s="597"/>
      <c r="Y746" s="597"/>
      <c r="Z746" s="597"/>
    </row>
    <row r="747" spans="1:26" ht="19.5" hidden="1">
      <c r="A747" s="592"/>
      <c r="B747" s="600"/>
      <c r="C747" s="750"/>
      <c r="D747" s="638" t="s">
        <v>21</v>
      </c>
      <c r="E747" s="750"/>
      <c r="F747" s="750"/>
      <c r="G747" s="596"/>
      <c r="H747" s="774" t="s">
        <v>12</v>
      </c>
      <c r="I747" s="166"/>
      <c r="J747" s="166"/>
      <c r="K747" s="167"/>
      <c r="L747" s="640">
        <f t="shared" ref="L747:N747" si="298">L748+L749</f>
        <v>0</v>
      </c>
      <c r="M747" s="640">
        <f t="shared" si="298"/>
        <v>0</v>
      </c>
      <c r="N747" s="640">
        <f t="shared" si="298"/>
        <v>0</v>
      </c>
      <c r="O747" s="640">
        <f t="shared" ref="O747:O749" si="299">IF(L747&gt;0,N747*100/L747,0)</f>
        <v>0</v>
      </c>
      <c r="P747" s="640">
        <f t="shared" ref="P747:P749" si="300">IF(M747&gt;0,N747*100/M747,0)</f>
        <v>0</v>
      </c>
      <c r="Q747" s="597"/>
      <c r="R747" s="597"/>
      <c r="S747" s="597"/>
      <c r="T747" s="597"/>
      <c r="U747" s="597"/>
      <c r="V747" s="597"/>
      <c r="W747" s="597"/>
      <c r="X747" s="597"/>
      <c r="Y747" s="597"/>
      <c r="Z747" s="597"/>
    </row>
    <row r="748" spans="1:26" ht="18.75" hidden="1">
      <c r="A748" s="592"/>
      <c r="B748" s="600"/>
      <c r="C748" s="750"/>
      <c r="D748" s="750"/>
      <c r="E748" s="750" t="s">
        <v>18</v>
      </c>
      <c r="F748" s="750"/>
      <c r="G748" s="596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299"/>
        <v>0</v>
      </c>
      <c r="P748" s="93">
        <f t="shared" si="300"/>
        <v>0</v>
      </c>
      <c r="Q748" s="597"/>
      <c r="R748" s="597"/>
      <c r="S748" s="597"/>
      <c r="T748" s="597"/>
      <c r="U748" s="597"/>
      <c r="V748" s="597"/>
      <c r="W748" s="597"/>
      <c r="X748" s="597"/>
      <c r="Y748" s="597"/>
      <c r="Z748" s="597"/>
    </row>
    <row r="749" spans="1:26" ht="18.75" hidden="1">
      <c r="A749" s="592"/>
      <c r="B749" s="600"/>
      <c r="C749" s="750"/>
      <c r="D749" s="750"/>
      <c r="E749" s="750" t="s">
        <v>19</v>
      </c>
      <c r="F749" s="750"/>
      <c r="G749" s="596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299"/>
        <v>0</v>
      </c>
      <c r="P749" s="93">
        <f t="shared" si="300"/>
        <v>0</v>
      </c>
      <c r="Q749" s="597"/>
      <c r="R749" s="597"/>
      <c r="S749" s="597"/>
      <c r="T749" s="597"/>
      <c r="U749" s="597"/>
      <c r="V749" s="597"/>
      <c r="W749" s="597"/>
      <c r="X749" s="597"/>
      <c r="Y749" s="597"/>
      <c r="Z749" s="597"/>
    </row>
    <row r="750" spans="1:26" ht="19.5" hidden="1">
      <c r="A750" s="607"/>
      <c r="B750" s="609"/>
      <c r="C750" s="750" t="s">
        <v>16</v>
      </c>
      <c r="D750" s="841" t="s">
        <v>38</v>
      </c>
      <c r="E750" s="644"/>
      <c r="F750" s="644"/>
      <c r="G750" s="645"/>
      <c r="H750" s="365"/>
      <c r="I750" s="166"/>
      <c r="J750" s="166"/>
      <c r="K750" s="167"/>
      <c r="L750" s="167"/>
      <c r="M750" s="167"/>
      <c r="N750" s="167"/>
      <c r="O750" s="167"/>
      <c r="P750" s="167"/>
      <c r="Q750" s="597"/>
      <c r="R750" s="597"/>
      <c r="S750" s="597"/>
      <c r="T750" s="597"/>
      <c r="U750" s="597"/>
      <c r="V750" s="597"/>
      <c r="W750" s="597"/>
      <c r="X750" s="597"/>
      <c r="Y750" s="597"/>
      <c r="Z750" s="597"/>
    </row>
    <row r="751" spans="1:26" ht="18.75" hidden="1">
      <c r="A751" s="642"/>
      <c r="B751" s="600"/>
      <c r="C751" s="750"/>
      <c r="D751" s="750"/>
      <c r="E751" s="750" t="s">
        <v>313</v>
      </c>
      <c r="F751" s="750"/>
      <c r="G751" s="596"/>
      <c r="H751" s="165" t="s">
        <v>46</v>
      </c>
      <c r="I751" s="610"/>
      <c r="J751" s="610"/>
      <c r="K751" s="93"/>
      <c r="L751" s="93"/>
      <c r="M751" s="93"/>
      <c r="N751" s="93"/>
      <c r="O751" s="93"/>
      <c r="P751" s="93"/>
      <c r="Q751" s="597"/>
      <c r="R751" s="597"/>
      <c r="S751" s="597"/>
      <c r="T751" s="597"/>
      <c r="U751" s="597"/>
      <c r="V751" s="597"/>
      <c r="W751" s="597"/>
      <c r="X751" s="597"/>
      <c r="Y751" s="597"/>
      <c r="Z751" s="597"/>
    </row>
    <row r="752" spans="1:26" ht="18.75" hidden="1">
      <c r="A752" s="642"/>
      <c r="B752" s="600"/>
      <c r="C752" s="750"/>
      <c r="D752" s="750"/>
      <c r="E752" s="750"/>
      <c r="F752" s="750"/>
      <c r="G752" s="596"/>
      <c r="H752" s="165" t="s">
        <v>314</v>
      </c>
      <c r="I752" s="610"/>
      <c r="J752" s="610"/>
      <c r="K752" s="93"/>
      <c r="L752" s="93"/>
      <c r="M752" s="93"/>
      <c r="N752" s="93"/>
      <c r="O752" s="93"/>
      <c r="P752" s="93"/>
      <c r="Q752" s="597"/>
      <c r="R752" s="597"/>
      <c r="S752" s="597"/>
      <c r="T752" s="597"/>
      <c r="U752" s="597"/>
      <c r="V752" s="597"/>
      <c r="W752" s="597"/>
      <c r="X752" s="597"/>
      <c r="Y752" s="597"/>
      <c r="Z752" s="597"/>
    </row>
    <row r="753" spans="1:26" ht="19.5" hidden="1">
      <c r="A753" s="776">
        <v>10</v>
      </c>
      <c r="B753" s="777" t="s">
        <v>315</v>
      </c>
      <c r="C753" s="778"/>
      <c r="D753" s="778"/>
      <c r="E753" s="778"/>
      <c r="F753" s="778"/>
      <c r="G753" s="779"/>
      <c r="H753" s="780" t="s">
        <v>46</v>
      </c>
      <c r="I753" s="781"/>
      <c r="J753" s="781">
        <f>J768</f>
        <v>0</v>
      </c>
      <c r="K753" s="782">
        <f>IF(I753&gt;0,J753*100/I753,0)</f>
        <v>0</v>
      </c>
      <c r="L753" s="783"/>
      <c r="M753" s="783"/>
      <c r="N753" s="783"/>
      <c r="O753" s="783"/>
      <c r="P753" s="783"/>
      <c r="Q753" s="597"/>
      <c r="R753" s="597"/>
      <c r="S753" s="597"/>
      <c r="T753" s="597"/>
      <c r="U753" s="597"/>
      <c r="V753" s="597"/>
      <c r="W753" s="597"/>
      <c r="X753" s="597"/>
      <c r="Y753" s="597"/>
      <c r="Z753" s="597"/>
    </row>
    <row r="754" spans="1:26" ht="19.5" hidden="1">
      <c r="A754" s="592"/>
      <c r="B754" s="750"/>
      <c r="C754" s="750" t="s">
        <v>16</v>
      </c>
      <c r="D754" s="864" t="s">
        <v>17</v>
      </c>
      <c r="E754" s="857"/>
      <c r="F754" s="857"/>
      <c r="G754" s="596"/>
      <c r="H754" s="639" t="s">
        <v>12</v>
      </c>
      <c r="I754" s="610"/>
      <c r="J754" s="610"/>
      <c r="K754" s="93"/>
      <c r="L754" s="640">
        <f t="shared" ref="L754:N754" si="301">L755+L756</f>
        <v>0</v>
      </c>
      <c r="M754" s="640">
        <f t="shared" si="301"/>
        <v>0</v>
      </c>
      <c r="N754" s="640">
        <f t="shared" si="301"/>
        <v>0</v>
      </c>
      <c r="O754" s="640">
        <f t="shared" ref="O754:O759" si="302">IF(L754&gt;0,N754*100/L754,0)</f>
        <v>0</v>
      </c>
      <c r="P754" s="640">
        <f t="shared" ref="P754:P759" si="303">IF(M754&gt;0,N754*100/M754,0)</f>
        <v>0</v>
      </c>
      <c r="Q754" s="597"/>
      <c r="R754" s="597"/>
      <c r="S754" s="597"/>
      <c r="T754" s="597"/>
      <c r="U754" s="597"/>
      <c r="V754" s="597"/>
      <c r="W754" s="597"/>
      <c r="X754" s="597"/>
      <c r="Y754" s="597"/>
      <c r="Z754" s="597"/>
    </row>
    <row r="755" spans="1:26" ht="18.75" hidden="1">
      <c r="A755" s="592"/>
      <c r="B755" s="750"/>
      <c r="C755" s="750"/>
      <c r="D755" s="711"/>
      <c r="E755" s="750" t="s">
        <v>184</v>
      </c>
      <c r="F755" s="750"/>
      <c r="G755" s="596"/>
      <c r="H755" s="165" t="s">
        <v>12</v>
      </c>
      <c r="I755" s="610"/>
      <c r="J755" s="610"/>
      <c r="K755" s="93"/>
      <c r="L755" s="93">
        <f t="shared" ref="L755:N756" si="304">L758+L765</f>
        <v>0</v>
      </c>
      <c r="M755" s="93">
        <f t="shared" si="304"/>
        <v>0</v>
      </c>
      <c r="N755" s="93">
        <f t="shared" si="304"/>
        <v>0</v>
      </c>
      <c r="O755" s="93">
        <f t="shared" si="302"/>
        <v>0</v>
      </c>
      <c r="P755" s="93">
        <f t="shared" si="303"/>
        <v>0</v>
      </c>
      <c r="Q755" s="597"/>
      <c r="R755" s="597"/>
      <c r="S755" s="597"/>
      <c r="T755" s="597"/>
      <c r="U755" s="597"/>
      <c r="V755" s="597"/>
      <c r="W755" s="597"/>
      <c r="X755" s="597"/>
      <c r="Y755" s="597"/>
      <c r="Z755" s="597"/>
    </row>
    <row r="756" spans="1:26" ht="18.75" hidden="1">
      <c r="A756" s="592"/>
      <c r="B756" s="600"/>
      <c r="C756" s="750"/>
      <c r="D756" s="711"/>
      <c r="E756" s="750" t="s">
        <v>185</v>
      </c>
      <c r="F756" s="750"/>
      <c r="G756" s="596"/>
      <c r="H756" s="165" t="s">
        <v>12</v>
      </c>
      <c r="I756" s="610"/>
      <c r="J756" s="610"/>
      <c r="K756" s="93"/>
      <c r="L756" s="93">
        <f t="shared" si="304"/>
        <v>0</v>
      </c>
      <c r="M756" s="93">
        <f t="shared" si="304"/>
        <v>0</v>
      </c>
      <c r="N756" s="93">
        <f t="shared" si="304"/>
        <v>0</v>
      </c>
      <c r="O756" s="93">
        <f t="shared" si="302"/>
        <v>0</v>
      </c>
      <c r="P756" s="93">
        <f t="shared" si="303"/>
        <v>0</v>
      </c>
      <c r="Q756" s="597"/>
      <c r="R756" s="597"/>
      <c r="S756" s="597"/>
      <c r="T756" s="597"/>
      <c r="U756" s="597"/>
      <c r="V756" s="597"/>
      <c r="W756" s="597"/>
      <c r="X756" s="597"/>
      <c r="Y756" s="597"/>
      <c r="Z756" s="597"/>
    </row>
    <row r="757" spans="1:26" ht="19.5" hidden="1">
      <c r="A757" s="592"/>
      <c r="B757" s="600"/>
      <c r="C757" s="750"/>
      <c r="D757" s="638" t="s">
        <v>20</v>
      </c>
      <c r="E757" s="750"/>
      <c r="F757" s="750"/>
      <c r="G757" s="596"/>
      <c r="H757" s="639" t="s">
        <v>12</v>
      </c>
      <c r="I757" s="166"/>
      <c r="J757" s="166"/>
      <c r="K757" s="167"/>
      <c r="L757" s="640">
        <f t="shared" ref="L757:N757" si="305">L758+L759</f>
        <v>0</v>
      </c>
      <c r="M757" s="640">
        <f t="shared" si="305"/>
        <v>0</v>
      </c>
      <c r="N757" s="640">
        <f t="shared" si="305"/>
        <v>0</v>
      </c>
      <c r="O757" s="640">
        <f t="shared" si="302"/>
        <v>0</v>
      </c>
      <c r="P757" s="640">
        <f t="shared" si="303"/>
        <v>0</v>
      </c>
      <c r="Q757" s="597"/>
      <c r="R757" s="597"/>
      <c r="S757" s="597"/>
      <c r="T757" s="597"/>
      <c r="U757" s="597"/>
      <c r="V757" s="597"/>
      <c r="W757" s="597"/>
      <c r="X757" s="597"/>
      <c r="Y757" s="597"/>
      <c r="Z757" s="597"/>
    </row>
    <row r="758" spans="1:26" ht="18.75" hidden="1">
      <c r="A758" s="592"/>
      <c r="B758" s="600"/>
      <c r="C758" s="750"/>
      <c r="D758" s="711"/>
      <c r="E758" s="750" t="s">
        <v>184</v>
      </c>
      <c r="F758" s="750"/>
      <c r="G758" s="596"/>
      <c r="H758" s="165" t="s">
        <v>12</v>
      </c>
      <c r="I758" s="610"/>
      <c r="J758" s="610"/>
      <c r="K758" s="93"/>
      <c r="L758" s="93">
        <v>0</v>
      </c>
      <c r="M758" s="93">
        <v>0</v>
      </c>
      <c r="N758" s="93">
        <v>0</v>
      </c>
      <c r="O758" s="93">
        <f t="shared" si="302"/>
        <v>0</v>
      </c>
      <c r="P758" s="93">
        <f t="shared" si="303"/>
        <v>0</v>
      </c>
      <c r="Q758" s="597"/>
      <c r="R758" s="597"/>
      <c r="S758" s="597"/>
      <c r="T758" s="597"/>
      <c r="U758" s="597"/>
      <c r="V758" s="597"/>
      <c r="W758" s="597"/>
      <c r="X758" s="597"/>
      <c r="Y758" s="597"/>
      <c r="Z758" s="597"/>
    </row>
    <row r="759" spans="1:26" ht="18.75" hidden="1">
      <c r="A759" s="592"/>
      <c r="B759" s="600"/>
      <c r="C759" s="750"/>
      <c r="D759" s="711"/>
      <c r="E759" s="750" t="s">
        <v>185</v>
      </c>
      <c r="F759" s="750"/>
      <c r="G759" s="596"/>
      <c r="H759" s="165" t="s">
        <v>12</v>
      </c>
      <c r="I759" s="610"/>
      <c r="J759" s="610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2"/>
        <v>0</v>
      </c>
      <c r="P759" s="93">
        <f t="shared" si="303"/>
        <v>0</v>
      </c>
      <c r="Q759" s="597"/>
      <c r="R759" s="597"/>
      <c r="S759" s="597"/>
      <c r="T759" s="597"/>
      <c r="U759" s="597"/>
      <c r="V759" s="597"/>
      <c r="W759" s="597"/>
      <c r="X759" s="597"/>
      <c r="Y759" s="597"/>
      <c r="Z759" s="597"/>
    </row>
    <row r="760" spans="1:26" ht="18.75" hidden="1">
      <c r="A760" s="642"/>
      <c r="B760" s="600"/>
      <c r="C760" s="750"/>
      <c r="D760" s="750"/>
      <c r="E760" s="750"/>
      <c r="F760" s="750" t="s">
        <v>186</v>
      </c>
      <c r="G760" s="596"/>
      <c r="H760" s="165" t="s">
        <v>12</v>
      </c>
      <c r="I760" s="610"/>
      <c r="J760" s="610"/>
      <c r="K760" s="93"/>
      <c r="L760" s="93"/>
      <c r="M760" s="93"/>
      <c r="N760" s="93"/>
      <c r="O760" s="93"/>
      <c r="P760" s="93"/>
      <c r="Q760" s="597"/>
      <c r="R760" s="597"/>
      <c r="S760" s="597"/>
      <c r="T760" s="597"/>
      <c r="U760" s="597"/>
      <c r="V760" s="597"/>
      <c r="W760" s="597"/>
      <c r="X760" s="597"/>
      <c r="Y760" s="597"/>
      <c r="Z760" s="597"/>
    </row>
    <row r="761" spans="1:26" ht="18.75" hidden="1">
      <c r="A761" s="642"/>
      <c r="B761" s="600"/>
      <c r="C761" s="750"/>
      <c r="D761" s="750"/>
      <c r="E761" s="750"/>
      <c r="F761" s="750" t="s">
        <v>187</v>
      </c>
      <c r="G761" s="596"/>
      <c r="H761" s="165" t="s">
        <v>12</v>
      </c>
      <c r="I761" s="610"/>
      <c r="J761" s="610"/>
      <c r="K761" s="93"/>
      <c r="L761" s="93"/>
      <c r="M761" s="93"/>
      <c r="N761" s="93"/>
      <c r="O761" s="93"/>
      <c r="P761" s="93"/>
      <c r="Q761" s="597"/>
      <c r="R761" s="597"/>
      <c r="S761" s="597"/>
      <c r="T761" s="597"/>
      <c r="U761" s="597"/>
      <c r="V761" s="597"/>
      <c r="W761" s="597"/>
      <c r="X761" s="597"/>
      <c r="Y761" s="597"/>
      <c r="Z761" s="597"/>
    </row>
    <row r="762" spans="1:26" ht="18.75" hidden="1">
      <c r="A762" s="642"/>
      <c r="B762" s="600"/>
      <c r="C762" s="750"/>
      <c r="D762" s="750"/>
      <c r="E762" s="750"/>
      <c r="F762" s="750" t="s">
        <v>188</v>
      </c>
      <c r="G762" s="596"/>
      <c r="H762" s="165" t="s">
        <v>12</v>
      </c>
      <c r="I762" s="610"/>
      <c r="J762" s="610"/>
      <c r="K762" s="93"/>
      <c r="L762" s="93"/>
      <c r="M762" s="93"/>
      <c r="N762" s="93"/>
      <c r="O762" s="93"/>
      <c r="P762" s="93"/>
      <c r="Q762" s="597"/>
      <c r="R762" s="597"/>
      <c r="S762" s="597"/>
      <c r="T762" s="597"/>
      <c r="U762" s="597"/>
      <c r="V762" s="597"/>
      <c r="W762" s="597"/>
      <c r="X762" s="597"/>
      <c r="Y762" s="597"/>
      <c r="Z762" s="597"/>
    </row>
    <row r="763" spans="1:26" ht="18.75" hidden="1">
      <c r="A763" s="642"/>
      <c r="B763" s="600"/>
      <c r="C763" s="750"/>
      <c r="D763" s="750"/>
      <c r="E763" s="750"/>
      <c r="F763" s="750" t="s">
        <v>189</v>
      </c>
      <c r="G763" s="596"/>
      <c r="H763" s="165" t="s">
        <v>12</v>
      </c>
      <c r="I763" s="610"/>
      <c r="J763" s="610"/>
      <c r="K763" s="93"/>
      <c r="L763" s="93"/>
      <c r="M763" s="93"/>
      <c r="N763" s="93"/>
      <c r="O763" s="93"/>
      <c r="P763" s="93"/>
      <c r="Q763" s="597"/>
      <c r="R763" s="597"/>
      <c r="S763" s="597"/>
      <c r="T763" s="597"/>
      <c r="U763" s="597"/>
      <c r="V763" s="597"/>
      <c r="W763" s="597"/>
      <c r="X763" s="597"/>
      <c r="Y763" s="597"/>
      <c r="Z763" s="597"/>
    </row>
    <row r="764" spans="1:26" ht="19.5" hidden="1">
      <c r="A764" s="592"/>
      <c r="B764" s="600"/>
      <c r="C764" s="750"/>
      <c r="D764" s="638" t="s">
        <v>21</v>
      </c>
      <c r="E764" s="750"/>
      <c r="F764" s="750"/>
      <c r="G764" s="596"/>
      <c r="H764" s="774" t="s">
        <v>12</v>
      </c>
      <c r="I764" s="166"/>
      <c r="J764" s="166"/>
      <c r="K764" s="167"/>
      <c r="L764" s="640">
        <f t="shared" ref="L764:N764" si="306">L765+L766</f>
        <v>0</v>
      </c>
      <c r="M764" s="640">
        <f t="shared" si="306"/>
        <v>0</v>
      </c>
      <c r="N764" s="640">
        <f t="shared" si="306"/>
        <v>0</v>
      </c>
      <c r="O764" s="640">
        <f t="shared" ref="O764:O766" si="307">IF(L764&gt;0,N764*100/L764,0)</f>
        <v>0</v>
      </c>
      <c r="P764" s="640">
        <f t="shared" ref="P764:P766" si="308">IF(M764&gt;0,N764*100/M764,0)</f>
        <v>0</v>
      </c>
      <c r="Q764" s="597"/>
      <c r="R764" s="597"/>
      <c r="S764" s="597"/>
      <c r="T764" s="597"/>
      <c r="U764" s="597"/>
      <c r="V764" s="597"/>
      <c r="W764" s="597"/>
      <c r="X764" s="597"/>
      <c r="Y764" s="597"/>
      <c r="Z764" s="597"/>
    </row>
    <row r="765" spans="1:26" ht="18.75" hidden="1">
      <c r="A765" s="592"/>
      <c r="B765" s="600"/>
      <c r="C765" s="750"/>
      <c r="D765" s="750"/>
      <c r="E765" s="750" t="s">
        <v>18</v>
      </c>
      <c r="F765" s="750"/>
      <c r="G765" s="596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7"/>
        <v>0</v>
      </c>
      <c r="P765" s="93">
        <f t="shared" si="308"/>
        <v>0</v>
      </c>
      <c r="Q765" s="597"/>
      <c r="R765" s="597"/>
      <c r="S765" s="597"/>
      <c r="T765" s="597"/>
      <c r="U765" s="597"/>
      <c r="V765" s="597"/>
      <c r="W765" s="597"/>
      <c r="X765" s="597"/>
      <c r="Y765" s="597"/>
      <c r="Z765" s="597"/>
    </row>
    <row r="766" spans="1:26" ht="18.75" hidden="1">
      <c r="A766" s="592"/>
      <c r="B766" s="600"/>
      <c r="C766" s="750"/>
      <c r="D766" s="750"/>
      <c r="E766" s="750" t="s">
        <v>19</v>
      </c>
      <c r="F766" s="750"/>
      <c r="G766" s="596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7"/>
        <v>0</v>
      </c>
      <c r="P766" s="93">
        <f t="shared" si="308"/>
        <v>0</v>
      </c>
      <c r="Q766" s="597"/>
      <c r="R766" s="597"/>
      <c r="S766" s="597"/>
      <c r="T766" s="597"/>
      <c r="U766" s="597"/>
      <c r="V766" s="597"/>
      <c r="W766" s="597"/>
      <c r="X766" s="597"/>
      <c r="Y766" s="597"/>
      <c r="Z766" s="597"/>
    </row>
    <row r="767" spans="1:26" ht="19.5" hidden="1">
      <c r="A767" s="607"/>
      <c r="B767" s="609"/>
      <c r="C767" s="750" t="s">
        <v>16</v>
      </c>
      <c r="D767" s="841" t="s">
        <v>38</v>
      </c>
      <c r="E767" s="644"/>
      <c r="F767" s="644"/>
      <c r="G767" s="645"/>
      <c r="H767" s="365"/>
      <c r="I767" s="166"/>
      <c r="J767" s="166"/>
      <c r="K767" s="167"/>
      <c r="L767" s="167"/>
      <c r="M767" s="167"/>
      <c r="N767" s="167"/>
      <c r="O767" s="167"/>
      <c r="P767" s="167"/>
      <c r="Q767" s="597"/>
      <c r="R767" s="597"/>
      <c r="S767" s="597"/>
      <c r="T767" s="597"/>
      <c r="U767" s="597"/>
      <c r="V767" s="597"/>
      <c r="W767" s="597"/>
      <c r="X767" s="597"/>
      <c r="Y767" s="597"/>
      <c r="Z767" s="597"/>
    </row>
    <row r="768" spans="1:26" ht="18.75" hidden="1">
      <c r="A768" s="642"/>
      <c r="B768" s="600"/>
      <c r="C768" s="750"/>
      <c r="D768" s="750"/>
      <c r="E768" s="750" t="s">
        <v>316</v>
      </c>
      <c r="F768" s="750"/>
      <c r="G768" s="596"/>
      <c r="H768" s="165" t="s">
        <v>46</v>
      </c>
      <c r="I768" s="610"/>
      <c r="J768" s="610"/>
      <c r="K768" s="93"/>
      <c r="L768" s="93"/>
      <c r="M768" s="93"/>
      <c r="N768" s="93"/>
      <c r="O768" s="93"/>
      <c r="P768" s="93"/>
      <c r="Q768" s="597"/>
      <c r="R768" s="597"/>
      <c r="S768" s="597"/>
      <c r="T768" s="597"/>
      <c r="U768" s="597"/>
      <c r="V768" s="597"/>
      <c r="W768" s="597"/>
      <c r="X768" s="597"/>
      <c r="Y768" s="597"/>
      <c r="Z768" s="597"/>
    </row>
    <row r="769" spans="1:26" ht="19.5" hidden="1">
      <c r="A769" s="784">
        <v>11</v>
      </c>
      <c r="B769" s="785" t="s">
        <v>317</v>
      </c>
      <c r="C769" s="786"/>
      <c r="D769" s="786"/>
      <c r="E769" s="786"/>
      <c r="F769" s="786"/>
      <c r="G769" s="787"/>
      <c r="H769" s="788" t="s">
        <v>46</v>
      </c>
      <c r="I769" s="789"/>
      <c r="J769" s="789">
        <f>J784</f>
        <v>0</v>
      </c>
      <c r="K769" s="790">
        <f>IF(I769&gt;0,J769*100/I769,0)</f>
        <v>0</v>
      </c>
      <c r="L769" s="791"/>
      <c r="M769" s="791"/>
      <c r="N769" s="791"/>
      <c r="O769" s="791"/>
      <c r="P769" s="791"/>
      <c r="Q769" s="597"/>
      <c r="R769" s="597"/>
      <c r="S769" s="597"/>
      <c r="T769" s="597"/>
      <c r="U769" s="597"/>
      <c r="V769" s="597"/>
      <c r="W769" s="597"/>
      <c r="X769" s="597"/>
      <c r="Y769" s="597"/>
      <c r="Z769" s="597"/>
    </row>
    <row r="770" spans="1:26" ht="19.5" hidden="1">
      <c r="A770" s="592"/>
      <c r="B770" s="750"/>
      <c r="C770" s="750" t="s">
        <v>16</v>
      </c>
      <c r="D770" s="864" t="s">
        <v>17</v>
      </c>
      <c r="E770" s="857"/>
      <c r="F770" s="857"/>
      <c r="G770" s="596"/>
      <c r="H770" s="639" t="s">
        <v>12</v>
      </c>
      <c r="I770" s="610"/>
      <c r="J770" s="610"/>
      <c r="K770" s="93"/>
      <c r="L770" s="640">
        <f t="shared" ref="L770:N770" si="309">L771+L772</f>
        <v>0</v>
      </c>
      <c r="M770" s="640">
        <f t="shared" si="309"/>
        <v>0</v>
      </c>
      <c r="N770" s="640">
        <f t="shared" si="309"/>
        <v>0</v>
      </c>
      <c r="O770" s="640">
        <f t="shared" ref="O770:O775" si="310">IF(L770&gt;0,N770*100/L770,0)</f>
        <v>0</v>
      </c>
      <c r="P770" s="640">
        <f t="shared" ref="P770:P775" si="311">IF(M770&gt;0,N770*100/M770,0)</f>
        <v>0</v>
      </c>
      <c r="Q770" s="597"/>
      <c r="R770" s="597"/>
      <c r="S770" s="597"/>
      <c r="T770" s="597"/>
      <c r="U770" s="597"/>
      <c r="V770" s="597"/>
      <c r="W770" s="597"/>
      <c r="X770" s="597"/>
      <c r="Y770" s="597"/>
      <c r="Z770" s="597"/>
    </row>
    <row r="771" spans="1:26" ht="18.75" hidden="1">
      <c r="A771" s="592"/>
      <c r="B771" s="750"/>
      <c r="C771" s="750"/>
      <c r="D771" s="711"/>
      <c r="E771" s="750" t="s">
        <v>184</v>
      </c>
      <c r="F771" s="750"/>
      <c r="G771" s="596"/>
      <c r="H771" s="165" t="s">
        <v>12</v>
      </c>
      <c r="I771" s="610"/>
      <c r="J771" s="610"/>
      <c r="K771" s="93"/>
      <c r="L771" s="93">
        <f t="shared" ref="L771:N772" si="312">L774+L781</f>
        <v>0</v>
      </c>
      <c r="M771" s="93">
        <f t="shared" si="312"/>
        <v>0</v>
      </c>
      <c r="N771" s="93">
        <f t="shared" si="312"/>
        <v>0</v>
      </c>
      <c r="O771" s="93">
        <f t="shared" si="310"/>
        <v>0</v>
      </c>
      <c r="P771" s="93">
        <f t="shared" si="311"/>
        <v>0</v>
      </c>
      <c r="Q771" s="597"/>
      <c r="R771" s="597"/>
      <c r="S771" s="597"/>
      <c r="T771" s="597"/>
      <c r="U771" s="597"/>
      <c r="V771" s="597"/>
      <c r="W771" s="597"/>
      <c r="X771" s="597"/>
      <c r="Y771" s="597"/>
      <c r="Z771" s="597"/>
    </row>
    <row r="772" spans="1:26" ht="18.75" hidden="1">
      <c r="A772" s="592"/>
      <c r="B772" s="600"/>
      <c r="C772" s="750"/>
      <c r="D772" s="711"/>
      <c r="E772" s="750" t="s">
        <v>185</v>
      </c>
      <c r="F772" s="750"/>
      <c r="G772" s="596"/>
      <c r="H772" s="165" t="s">
        <v>12</v>
      </c>
      <c r="I772" s="610"/>
      <c r="J772" s="610"/>
      <c r="K772" s="93"/>
      <c r="L772" s="93">
        <f t="shared" si="312"/>
        <v>0</v>
      </c>
      <c r="M772" s="93">
        <f t="shared" si="312"/>
        <v>0</v>
      </c>
      <c r="N772" s="93">
        <f t="shared" si="312"/>
        <v>0</v>
      </c>
      <c r="O772" s="93">
        <f t="shared" si="310"/>
        <v>0</v>
      </c>
      <c r="P772" s="93">
        <f t="shared" si="311"/>
        <v>0</v>
      </c>
      <c r="Q772" s="597"/>
      <c r="R772" s="597"/>
      <c r="S772" s="597"/>
      <c r="T772" s="597"/>
      <c r="U772" s="597"/>
      <c r="V772" s="597"/>
      <c r="W772" s="597"/>
      <c r="X772" s="597"/>
      <c r="Y772" s="597"/>
      <c r="Z772" s="597"/>
    </row>
    <row r="773" spans="1:26" ht="19.5" hidden="1">
      <c r="A773" s="592"/>
      <c r="B773" s="600"/>
      <c r="C773" s="750"/>
      <c r="D773" s="638" t="s">
        <v>20</v>
      </c>
      <c r="E773" s="750"/>
      <c r="F773" s="750"/>
      <c r="G773" s="596"/>
      <c r="H773" s="639" t="s">
        <v>12</v>
      </c>
      <c r="I773" s="166"/>
      <c r="J773" s="166"/>
      <c r="K773" s="167"/>
      <c r="L773" s="640">
        <f t="shared" ref="L773:N773" si="313">L774+L775</f>
        <v>0</v>
      </c>
      <c r="M773" s="640">
        <f t="shared" si="313"/>
        <v>0</v>
      </c>
      <c r="N773" s="640">
        <f t="shared" si="313"/>
        <v>0</v>
      </c>
      <c r="O773" s="640">
        <f t="shared" si="310"/>
        <v>0</v>
      </c>
      <c r="P773" s="640">
        <f t="shared" si="311"/>
        <v>0</v>
      </c>
      <c r="Q773" s="597"/>
      <c r="R773" s="597"/>
      <c r="S773" s="597"/>
      <c r="T773" s="597"/>
      <c r="U773" s="597"/>
      <c r="V773" s="597"/>
      <c r="W773" s="597"/>
      <c r="X773" s="597"/>
      <c r="Y773" s="597"/>
      <c r="Z773" s="597"/>
    </row>
    <row r="774" spans="1:26" ht="18.75" hidden="1">
      <c r="A774" s="592"/>
      <c r="B774" s="600"/>
      <c r="C774" s="750"/>
      <c r="D774" s="711"/>
      <c r="E774" s="750" t="s">
        <v>184</v>
      </c>
      <c r="F774" s="750"/>
      <c r="G774" s="596"/>
      <c r="H774" s="165" t="s">
        <v>12</v>
      </c>
      <c r="I774" s="610"/>
      <c r="J774" s="610"/>
      <c r="K774" s="93"/>
      <c r="L774" s="93">
        <v>0</v>
      </c>
      <c r="M774" s="93">
        <v>0</v>
      </c>
      <c r="N774" s="93">
        <v>0</v>
      </c>
      <c r="O774" s="93">
        <f t="shared" si="310"/>
        <v>0</v>
      </c>
      <c r="P774" s="93">
        <f t="shared" si="311"/>
        <v>0</v>
      </c>
      <c r="Q774" s="597"/>
      <c r="R774" s="597"/>
      <c r="S774" s="597"/>
      <c r="T774" s="597"/>
      <c r="U774" s="597"/>
      <c r="V774" s="597"/>
      <c r="W774" s="597"/>
      <c r="X774" s="597"/>
      <c r="Y774" s="597"/>
      <c r="Z774" s="597"/>
    </row>
    <row r="775" spans="1:26" ht="18.75" hidden="1">
      <c r="A775" s="592"/>
      <c r="B775" s="600"/>
      <c r="C775" s="750"/>
      <c r="D775" s="711"/>
      <c r="E775" s="750" t="s">
        <v>185</v>
      </c>
      <c r="F775" s="750"/>
      <c r="G775" s="596"/>
      <c r="H775" s="165" t="s">
        <v>12</v>
      </c>
      <c r="I775" s="610"/>
      <c r="J775" s="610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0"/>
        <v>0</v>
      </c>
      <c r="P775" s="93">
        <f t="shared" si="311"/>
        <v>0</v>
      </c>
      <c r="Q775" s="597"/>
      <c r="R775" s="597"/>
      <c r="S775" s="597"/>
      <c r="T775" s="597"/>
      <c r="U775" s="597"/>
      <c r="V775" s="597"/>
      <c r="W775" s="597"/>
      <c r="X775" s="597"/>
      <c r="Y775" s="597"/>
      <c r="Z775" s="597"/>
    </row>
    <row r="776" spans="1:26" ht="18.75" hidden="1">
      <c r="A776" s="642"/>
      <c r="B776" s="600"/>
      <c r="C776" s="750"/>
      <c r="D776" s="750"/>
      <c r="E776" s="750"/>
      <c r="F776" s="750" t="s">
        <v>186</v>
      </c>
      <c r="G776" s="596"/>
      <c r="H776" s="165" t="s">
        <v>12</v>
      </c>
      <c r="I776" s="610"/>
      <c r="J776" s="610"/>
      <c r="K776" s="93"/>
      <c r="L776" s="93"/>
      <c r="M776" s="93"/>
      <c r="N776" s="93"/>
      <c r="O776" s="93"/>
      <c r="P776" s="93"/>
      <c r="Q776" s="597"/>
      <c r="R776" s="597"/>
      <c r="S776" s="597"/>
      <c r="T776" s="597"/>
      <c r="U776" s="597"/>
      <c r="V776" s="597"/>
      <c r="W776" s="597"/>
      <c r="X776" s="597"/>
      <c r="Y776" s="597"/>
      <c r="Z776" s="597"/>
    </row>
    <row r="777" spans="1:26" ht="18.75" hidden="1">
      <c r="A777" s="642"/>
      <c r="B777" s="600"/>
      <c r="C777" s="750"/>
      <c r="D777" s="750"/>
      <c r="E777" s="750"/>
      <c r="F777" s="750" t="s">
        <v>187</v>
      </c>
      <c r="G777" s="596"/>
      <c r="H777" s="165" t="s">
        <v>12</v>
      </c>
      <c r="I777" s="610"/>
      <c r="J777" s="610"/>
      <c r="K777" s="93"/>
      <c r="L777" s="93"/>
      <c r="M777" s="93"/>
      <c r="N777" s="93"/>
      <c r="O777" s="93"/>
      <c r="P777" s="93"/>
      <c r="Q777" s="597"/>
      <c r="R777" s="597"/>
      <c r="S777" s="597"/>
      <c r="T777" s="597"/>
      <c r="U777" s="597"/>
      <c r="V777" s="597"/>
      <c r="W777" s="597"/>
      <c r="X777" s="597"/>
      <c r="Y777" s="597"/>
      <c r="Z777" s="597"/>
    </row>
    <row r="778" spans="1:26" ht="18.75" hidden="1">
      <c r="A778" s="642"/>
      <c r="B778" s="600"/>
      <c r="C778" s="750"/>
      <c r="D778" s="750"/>
      <c r="E778" s="750"/>
      <c r="F778" s="750" t="s">
        <v>188</v>
      </c>
      <c r="G778" s="596"/>
      <c r="H778" s="165" t="s">
        <v>12</v>
      </c>
      <c r="I778" s="610"/>
      <c r="J778" s="610"/>
      <c r="K778" s="93"/>
      <c r="L778" s="93"/>
      <c r="M778" s="93"/>
      <c r="N778" s="93"/>
      <c r="O778" s="93"/>
      <c r="P778" s="93"/>
      <c r="Q778" s="597"/>
      <c r="R778" s="597"/>
      <c r="S778" s="597"/>
      <c r="T778" s="597"/>
      <c r="U778" s="597"/>
      <c r="V778" s="597"/>
      <c r="W778" s="597"/>
      <c r="X778" s="597"/>
      <c r="Y778" s="597"/>
      <c r="Z778" s="597"/>
    </row>
    <row r="779" spans="1:26" ht="18.75" hidden="1">
      <c r="A779" s="642"/>
      <c r="B779" s="600"/>
      <c r="C779" s="750"/>
      <c r="D779" s="750"/>
      <c r="E779" s="750"/>
      <c r="F779" s="750" t="s">
        <v>189</v>
      </c>
      <c r="G779" s="596"/>
      <c r="H779" s="165" t="s">
        <v>12</v>
      </c>
      <c r="I779" s="610"/>
      <c r="J779" s="610"/>
      <c r="K779" s="93"/>
      <c r="L779" s="93"/>
      <c r="M779" s="93"/>
      <c r="N779" s="93"/>
      <c r="O779" s="93"/>
      <c r="P779" s="93"/>
      <c r="Q779" s="597"/>
      <c r="R779" s="597"/>
      <c r="S779" s="597"/>
      <c r="T779" s="597"/>
      <c r="U779" s="597"/>
      <c r="V779" s="597"/>
      <c r="W779" s="597"/>
      <c r="X779" s="597"/>
      <c r="Y779" s="597"/>
      <c r="Z779" s="597"/>
    </row>
    <row r="780" spans="1:26" ht="19.5" hidden="1">
      <c r="A780" s="592"/>
      <c r="B780" s="600"/>
      <c r="C780" s="750"/>
      <c r="D780" s="638" t="s">
        <v>21</v>
      </c>
      <c r="E780" s="750"/>
      <c r="F780" s="750"/>
      <c r="G780" s="596"/>
      <c r="H780" s="774" t="s">
        <v>12</v>
      </c>
      <c r="I780" s="166"/>
      <c r="J780" s="166"/>
      <c r="K780" s="167"/>
      <c r="L780" s="640">
        <f t="shared" ref="L780:N780" si="314">L781+L782</f>
        <v>0</v>
      </c>
      <c r="M780" s="640">
        <f t="shared" si="314"/>
        <v>0</v>
      </c>
      <c r="N780" s="640">
        <f t="shared" si="314"/>
        <v>0</v>
      </c>
      <c r="O780" s="640">
        <f t="shared" ref="O780:O782" si="315">IF(L780&gt;0,N780*100/L780,0)</f>
        <v>0</v>
      </c>
      <c r="P780" s="640">
        <f t="shared" ref="P780:P782" si="316">IF(M780&gt;0,N780*100/M780,0)</f>
        <v>0</v>
      </c>
      <c r="Q780" s="597"/>
      <c r="R780" s="597"/>
      <c r="S780" s="597"/>
      <c r="T780" s="597"/>
      <c r="U780" s="597"/>
      <c r="V780" s="597"/>
      <c r="W780" s="597"/>
      <c r="X780" s="597"/>
      <c r="Y780" s="597"/>
      <c r="Z780" s="597"/>
    </row>
    <row r="781" spans="1:26" ht="18.75" hidden="1">
      <c r="A781" s="592"/>
      <c r="B781" s="600"/>
      <c r="C781" s="750"/>
      <c r="D781" s="750"/>
      <c r="E781" s="750" t="s">
        <v>18</v>
      </c>
      <c r="F781" s="750"/>
      <c r="G781" s="596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5"/>
        <v>0</v>
      </c>
      <c r="P781" s="93">
        <f t="shared" si="316"/>
        <v>0</v>
      </c>
      <c r="Q781" s="597"/>
      <c r="R781" s="597"/>
      <c r="S781" s="597"/>
      <c r="T781" s="597"/>
      <c r="U781" s="597"/>
      <c r="V781" s="597"/>
      <c r="W781" s="597"/>
      <c r="X781" s="597"/>
      <c r="Y781" s="597"/>
      <c r="Z781" s="597"/>
    </row>
    <row r="782" spans="1:26" ht="18.75" hidden="1">
      <c r="A782" s="592"/>
      <c r="B782" s="600"/>
      <c r="C782" s="750"/>
      <c r="D782" s="750"/>
      <c r="E782" s="750" t="s">
        <v>19</v>
      </c>
      <c r="F782" s="750"/>
      <c r="G782" s="596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5"/>
        <v>0</v>
      </c>
      <c r="P782" s="93">
        <f t="shared" si="316"/>
        <v>0</v>
      </c>
      <c r="Q782" s="597"/>
      <c r="R782" s="597"/>
      <c r="S782" s="597"/>
      <c r="T782" s="597"/>
      <c r="U782" s="597"/>
      <c r="V782" s="597"/>
      <c r="W782" s="597"/>
      <c r="X782" s="597"/>
      <c r="Y782" s="597"/>
      <c r="Z782" s="597"/>
    </row>
    <row r="783" spans="1:26" ht="19.5" hidden="1">
      <c r="A783" s="607"/>
      <c r="B783" s="609"/>
      <c r="C783" s="750" t="s">
        <v>16</v>
      </c>
      <c r="D783" s="841" t="s">
        <v>38</v>
      </c>
      <c r="E783" s="644"/>
      <c r="F783" s="644"/>
      <c r="G783" s="645"/>
      <c r="H783" s="792"/>
      <c r="I783" s="166"/>
      <c r="J783" s="166"/>
      <c r="K783" s="167"/>
      <c r="L783" s="167"/>
      <c r="M783" s="167"/>
      <c r="N783" s="167"/>
      <c r="O783" s="167"/>
      <c r="P783" s="167"/>
      <c r="Q783" s="597"/>
      <c r="R783" s="597"/>
      <c r="S783" s="597"/>
      <c r="T783" s="597"/>
      <c r="U783" s="597"/>
      <c r="V783" s="597"/>
      <c r="W783" s="597"/>
      <c r="X783" s="597"/>
      <c r="Y783" s="597"/>
      <c r="Z783" s="597"/>
    </row>
    <row r="784" spans="1:26" ht="18.75" hidden="1">
      <c r="A784" s="642"/>
      <c r="B784" s="600"/>
      <c r="C784" s="750"/>
      <c r="D784" s="750"/>
      <c r="E784" s="750" t="s">
        <v>318</v>
      </c>
      <c r="F784" s="750"/>
      <c r="G784" s="596"/>
      <c r="H784" s="165" t="s">
        <v>46</v>
      </c>
      <c r="I784" s="610"/>
      <c r="J784" s="610"/>
      <c r="K784" s="93"/>
      <c r="L784" s="93"/>
      <c r="M784" s="93"/>
      <c r="N784" s="93"/>
      <c r="O784" s="93"/>
      <c r="P784" s="93"/>
      <c r="Q784" s="597"/>
      <c r="R784" s="597"/>
      <c r="S784" s="597"/>
      <c r="T784" s="597"/>
      <c r="U784" s="597"/>
      <c r="V784" s="597"/>
      <c r="W784" s="597"/>
      <c r="X784" s="597"/>
      <c r="Y784" s="597"/>
      <c r="Z784" s="597"/>
    </row>
    <row r="785" spans="1:26" ht="19.5" hidden="1">
      <c r="A785" s="793">
        <v>12</v>
      </c>
      <c r="B785" s="794" t="s">
        <v>319</v>
      </c>
      <c r="C785" s="795"/>
      <c r="D785" s="795"/>
      <c r="E785" s="795"/>
      <c r="F785" s="795"/>
      <c r="G785" s="796"/>
      <c r="H785" s="797" t="s">
        <v>46</v>
      </c>
      <c r="I785" s="798">
        <f t="shared" ref="I785:J785" ca="1" si="317">I800</f>
        <v>0</v>
      </c>
      <c r="J785" s="799">
        <f t="shared" ca="1" si="317"/>
        <v>0</v>
      </c>
      <c r="K785" s="800">
        <f ca="1">IF(I785&gt;0,J785*100/I785,0)</f>
        <v>0</v>
      </c>
      <c r="L785" s="801"/>
      <c r="M785" s="801"/>
      <c r="N785" s="801"/>
      <c r="O785" s="801"/>
      <c r="P785" s="801"/>
      <c r="Q785" s="571"/>
      <c r="R785" s="571"/>
      <c r="S785" s="571"/>
      <c r="T785" s="571"/>
      <c r="U785" s="571"/>
      <c r="V785" s="571"/>
      <c r="W785" s="571"/>
      <c r="X785" s="571"/>
      <c r="Y785" s="571"/>
      <c r="Z785" s="571"/>
    </row>
    <row r="786" spans="1:26" ht="19.5" hidden="1">
      <c r="A786" s="590"/>
      <c r="B786" s="568"/>
      <c r="C786" s="754" t="s">
        <v>16</v>
      </c>
      <c r="D786" s="863" t="s">
        <v>17</v>
      </c>
      <c r="E786" s="857"/>
      <c r="F786" s="857"/>
      <c r="G786" s="189"/>
      <c r="H786" s="591" t="s">
        <v>12</v>
      </c>
      <c r="I786" s="269"/>
      <c r="J786" s="269"/>
      <c r="K786" s="496"/>
      <c r="L786" s="195">
        <f t="shared" ref="L786:N786" ca="1" si="318">L787+L788</f>
        <v>0</v>
      </c>
      <c r="M786" s="195">
        <f t="shared" si="318"/>
        <v>0</v>
      </c>
      <c r="N786" s="195">
        <f t="shared" si="318"/>
        <v>0</v>
      </c>
      <c r="O786" s="195">
        <f t="shared" ref="O786:O791" ca="1" si="319">IF(L786&gt;0,N786*100/L786,0)</f>
        <v>0</v>
      </c>
      <c r="P786" s="195">
        <f t="shared" ref="P786:P791" si="320">IF(M786&gt;0,N786*100/M786,0)</f>
        <v>0</v>
      </c>
      <c r="Q786" s="571"/>
      <c r="R786" s="571"/>
      <c r="S786" s="571"/>
      <c r="T786" s="571"/>
      <c r="U786" s="571"/>
      <c r="V786" s="571"/>
      <c r="W786" s="571"/>
      <c r="X786" s="571"/>
      <c r="Y786" s="571"/>
      <c r="Z786" s="571"/>
    </row>
    <row r="787" spans="1:26" ht="18.75" hidden="1">
      <c r="A787" s="592"/>
      <c r="B787" s="600"/>
      <c r="C787" s="750"/>
      <c r="D787" s="711"/>
      <c r="E787" s="750" t="s">
        <v>184</v>
      </c>
      <c r="F787" s="750"/>
      <c r="G787" s="596"/>
      <c r="H787" s="165" t="s">
        <v>12</v>
      </c>
      <c r="I787" s="610"/>
      <c r="J787" s="610"/>
      <c r="K787" s="93"/>
      <c r="L787" s="93">
        <f t="shared" ref="L787:N788" si="321">L790+L797</f>
        <v>0</v>
      </c>
      <c r="M787" s="93">
        <f t="shared" si="321"/>
        <v>0</v>
      </c>
      <c r="N787" s="93">
        <f t="shared" si="321"/>
        <v>0</v>
      </c>
      <c r="O787" s="93">
        <f t="shared" si="319"/>
        <v>0</v>
      </c>
      <c r="P787" s="93">
        <f t="shared" si="320"/>
        <v>0</v>
      </c>
      <c r="Q787" s="597"/>
      <c r="R787" s="597"/>
      <c r="S787" s="597"/>
      <c r="T787" s="597"/>
      <c r="U787" s="597"/>
      <c r="V787" s="597"/>
      <c r="W787" s="597"/>
      <c r="X787" s="597"/>
      <c r="Y787" s="597"/>
      <c r="Z787" s="597"/>
    </row>
    <row r="788" spans="1:26" ht="18.75" hidden="1">
      <c r="A788" s="592"/>
      <c r="B788" s="600"/>
      <c r="C788" s="600"/>
      <c r="D788" s="609"/>
      <c r="E788" s="750" t="s">
        <v>185</v>
      </c>
      <c r="F788" s="750"/>
      <c r="G788" s="596"/>
      <c r="H788" s="165" t="s">
        <v>12</v>
      </c>
      <c r="I788" s="610"/>
      <c r="J788" s="610"/>
      <c r="K788" s="93"/>
      <c r="L788" s="93">
        <f t="shared" ca="1" si="321"/>
        <v>0</v>
      </c>
      <c r="M788" s="93">
        <f t="shared" si="321"/>
        <v>0</v>
      </c>
      <c r="N788" s="93">
        <f t="shared" si="321"/>
        <v>0</v>
      </c>
      <c r="O788" s="93">
        <f t="shared" ca="1" si="319"/>
        <v>0</v>
      </c>
      <c r="P788" s="93">
        <f t="shared" si="320"/>
        <v>0</v>
      </c>
      <c r="Q788" s="597"/>
      <c r="R788" s="597"/>
      <c r="S788" s="597"/>
      <c r="T788" s="597"/>
      <c r="U788" s="597"/>
      <c r="V788" s="597"/>
      <c r="W788" s="597"/>
      <c r="X788" s="597"/>
      <c r="Y788" s="597"/>
      <c r="Z788" s="597"/>
    </row>
    <row r="789" spans="1:26" ht="18.75" hidden="1">
      <c r="A789" s="590"/>
      <c r="B789" s="568"/>
      <c r="C789" s="568"/>
      <c r="D789" s="599" t="s">
        <v>20</v>
      </c>
      <c r="E789" s="754"/>
      <c r="F789" s="754"/>
      <c r="G789" s="189"/>
      <c r="H789" s="161" t="s">
        <v>12</v>
      </c>
      <c r="I789" s="184"/>
      <c r="J789" s="184"/>
      <c r="K789" s="163"/>
      <c r="L789" s="496">
        <f t="shared" ref="L789:N789" ca="1" si="322">L790+L791</f>
        <v>0</v>
      </c>
      <c r="M789" s="496">
        <f t="shared" si="322"/>
        <v>0</v>
      </c>
      <c r="N789" s="496">
        <f t="shared" si="322"/>
        <v>0</v>
      </c>
      <c r="O789" s="496">
        <f t="shared" ca="1" si="319"/>
        <v>0</v>
      </c>
      <c r="P789" s="496">
        <f t="shared" si="320"/>
        <v>0</v>
      </c>
      <c r="Q789" s="571"/>
      <c r="R789" s="571"/>
      <c r="S789" s="571"/>
      <c r="T789" s="571"/>
      <c r="U789" s="571"/>
      <c r="V789" s="571"/>
      <c r="W789" s="571"/>
      <c r="X789" s="571"/>
      <c r="Y789" s="571"/>
      <c r="Z789" s="571"/>
    </row>
    <row r="790" spans="1:26" ht="18.75" hidden="1">
      <c r="A790" s="592"/>
      <c r="B790" s="600"/>
      <c r="C790" s="600"/>
      <c r="D790" s="609"/>
      <c r="E790" s="750" t="s">
        <v>184</v>
      </c>
      <c r="F790" s="750"/>
      <c r="G790" s="596"/>
      <c r="H790" s="165" t="s">
        <v>12</v>
      </c>
      <c r="I790" s="610"/>
      <c r="J790" s="610"/>
      <c r="K790" s="93"/>
      <c r="L790" s="93">
        <v>0</v>
      </c>
      <c r="M790" s="93">
        <v>0</v>
      </c>
      <c r="N790" s="93">
        <v>0</v>
      </c>
      <c r="O790" s="93">
        <f t="shared" si="319"/>
        <v>0</v>
      </c>
      <c r="P790" s="93">
        <f t="shared" si="320"/>
        <v>0</v>
      </c>
      <c r="Q790" s="597"/>
      <c r="R790" s="597"/>
      <c r="S790" s="597"/>
      <c r="T790" s="597"/>
      <c r="U790" s="597"/>
      <c r="V790" s="597"/>
      <c r="W790" s="597"/>
      <c r="X790" s="597"/>
      <c r="Y790" s="597"/>
      <c r="Z790" s="597"/>
    </row>
    <row r="791" spans="1:26" ht="18.75" hidden="1">
      <c r="A791" s="592"/>
      <c r="B791" s="600"/>
      <c r="C791" s="600"/>
      <c r="D791" s="609"/>
      <c r="E791" s="750" t="s">
        <v>185</v>
      </c>
      <c r="F791" s="750"/>
      <c r="G791" s="596"/>
      <c r="H791" s="165" t="s">
        <v>12</v>
      </c>
      <c r="I791" s="610"/>
      <c r="J791" s="610"/>
      <c r="K791" s="93"/>
      <c r="L791" s="93">
        <f ca="1">IFERROR(__xludf.DUMMYFUNCTION("IMPORTRANGE(""https://docs.google.com/spreadsheets/d/1QqKyyYR6Q21VydFLVH3TRQUabQu_ym0Zz7PgGX0-kHA/edit?usp=sharing"",""แผน!JJ64"")"),0)</f>
        <v>0</v>
      </c>
      <c r="M791" s="93">
        <v>0</v>
      </c>
      <c r="N791" s="93">
        <f>N792+N793+N794+N795</f>
        <v>0</v>
      </c>
      <c r="O791" s="93">
        <f t="shared" ca="1" si="319"/>
        <v>0</v>
      </c>
      <c r="P791" s="93">
        <f t="shared" si="320"/>
        <v>0</v>
      </c>
      <c r="Q791" s="597"/>
      <c r="R791" s="597"/>
      <c r="S791" s="597"/>
      <c r="T791" s="597"/>
      <c r="U791" s="597"/>
      <c r="V791" s="597"/>
      <c r="W791" s="597"/>
      <c r="X791" s="597"/>
      <c r="Y791" s="597"/>
      <c r="Z791" s="597"/>
    </row>
    <row r="792" spans="1:26" ht="18.75" hidden="1">
      <c r="A792" s="567"/>
      <c r="B792" s="568"/>
      <c r="C792" s="754"/>
      <c r="D792" s="754"/>
      <c r="E792" s="754"/>
      <c r="F792" s="754" t="s">
        <v>186</v>
      </c>
      <c r="G792" s="189"/>
      <c r="H792" s="161" t="s">
        <v>12</v>
      </c>
      <c r="I792" s="269"/>
      <c r="J792" s="269"/>
      <c r="K792" s="496"/>
      <c r="L792" s="496"/>
      <c r="M792" s="496"/>
      <c r="N792" s="817">
        <v>0</v>
      </c>
      <c r="O792" s="496"/>
      <c r="P792" s="496"/>
      <c r="Q792" s="571"/>
      <c r="R792" s="571"/>
      <c r="S792" s="571"/>
      <c r="T792" s="571"/>
      <c r="U792" s="571"/>
      <c r="V792" s="571"/>
      <c r="W792" s="571"/>
      <c r="X792" s="571"/>
      <c r="Y792" s="571"/>
      <c r="Z792" s="571"/>
    </row>
    <row r="793" spans="1:26" ht="18.75" hidden="1">
      <c r="A793" s="567"/>
      <c r="B793" s="568"/>
      <c r="C793" s="754"/>
      <c r="D793" s="754"/>
      <c r="E793" s="754"/>
      <c r="F793" s="754" t="s">
        <v>187</v>
      </c>
      <c r="G793" s="189"/>
      <c r="H793" s="161" t="s">
        <v>12</v>
      </c>
      <c r="I793" s="269"/>
      <c r="J793" s="269"/>
      <c r="K793" s="496"/>
      <c r="L793" s="496"/>
      <c r="M793" s="496"/>
      <c r="N793" s="817">
        <v>0</v>
      </c>
      <c r="O793" s="496"/>
      <c r="P793" s="496"/>
      <c r="Q793" s="571"/>
      <c r="R793" s="571"/>
      <c r="S793" s="571"/>
      <c r="T793" s="571"/>
      <c r="U793" s="571"/>
      <c r="V793" s="571"/>
      <c r="W793" s="571"/>
      <c r="X793" s="571"/>
      <c r="Y793" s="571"/>
      <c r="Z793" s="571"/>
    </row>
    <row r="794" spans="1:26" ht="18.75" hidden="1">
      <c r="A794" s="567"/>
      <c r="B794" s="568"/>
      <c r="C794" s="754"/>
      <c r="D794" s="754"/>
      <c r="E794" s="754"/>
      <c r="F794" s="754" t="s">
        <v>188</v>
      </c>
      <c r="G794" s="189"/>
      <c r="H794" s="161" t="s">
        <v>12</v>
      </c>
      <c r="I794" s="269"/>
      <c r="J794" s="269"/>
      <c r="K794" s="496"/>
      <c r="L794" s="496"/>
      <c r="M794" s="496"/>
      <c r="N794" s="817">
        <v>0</v>
      </c>
      <c r="O794" s="496"/>
      <c r="P794" s="496"/>
      <c r="Q794" s="571"/>
      <c r="R794" s="571"/>
      <c r="S794" s="571"/>
      <c r="T794" s="571"/>
      <c r="U794" s="571"/>
      <c r="V794" s="571"/>
      <c r="W794" s="571"/>
      <c r="X794" s="571"/>
      <c r="Y794" s="571"/>
      <c r="Z794" s="571"/>
    </row>
    <row r="795" spans="1:26" ht="18.75" hidden="1">
      <c r="A795" s="567"/>
      <c r="B795" s="568"/>
      <c r="C795" s="754"/>
      <c r="D795" s="754"/>
      <c r="E795" s="754"/>
      <c r="F795" s="754" t="s">
        <v>189</v>
      </c>
      <c r="G795" s="189"/>
      <c r="H795" s="161" t="s">
        <v>12</v>
      </c>
      <c r="I795" s="269"/>
      <c r="J795" s="269"/>
      <c r="K795" s="496"/>
      <c r="L795" s="496"/>
      <c r="M795" s="496"/>
      <c r="N795" s="817">
        <v>0</v>
      </c>
      <c r="O795" s="496"/>
      <c r="P795" s="496"/>
      <c r="Q795" s="571"/>
      <c r="R795" s="571"/>
      <c r="S795" s="571"/>
      <c r="T795" s="571"/>
      <c r="U795" s="571"/>
      <c r="V795" s="571"/>
      <c r="W795" s="571"/>
      <c r="X795" s="571"/>
      <c r="Y795" s="571"/>
      <c r="Z795" s="571"/>
    </row>
    <row r="796" spans="1:26" ht="18.75" hidden="1">
      <c r="A796" s="590"/>
      <c r="B796" s="568"/>
      <c r="C796" s="754"/>
      <c r="D796" s="599" t="s">
        <v>21</v>
      </c>
      <c r="E796" s="754"/>
      <c r="F796" s="754"/>
      <c r="G796" s="189"/>
      <c r="H796" s="168" t="s">
        <v>12</v>
      </c>
      <c r="I796" s="184"/>
      <c r="J796" s="184"/>
      <c r="K796" s="163"/>
      <c r="L796" s="496">
        <f t="shared" ref="L796:N796" si="323">L797+L798</f>
        <v>0</v>
      </c>
      <c r="M796" s="496">
        <f t="shared" si="323"/>
        <v>0</v>
      </c>
      <c r="N796" s="496">
        <f t="shared" si="323"/>
        <v>0</v>
      </c>
      <c r="O796" s="496">
        <f t="shared" ref="O796:O798" si="324">IF(L796&gt;0,N796*100/L796,0)</f>
        <v>0</v>
      </c>
      <c r="P796" s="496">
        <f t="shared" ref="P796:P798" si="325">IF(M796&gt;0,N796*100/M796,0)</f>
        <v>0</v>
      </c>
      <c r="Q796" s="571"/>
      <c r="R796" s="571"/>
      <c r="S796" s="571"/>
      <c r="T796" s="571"/>
      <c r="U796" s="571"/>
      <c r="V796" s="571"/>
      <c r="W796" s="571"/>
      <c r="X796" s="571"/>
      <c r="Y796" s="571"/>
      <c r="Z796" s="571"/>
    </row>
    <row r="797" spans="1:26" ht="18.75" hidden="1">
      <c r="A797" s="592"/>
      <c r="B797" s="600"/>
      <c r="C797" s="750"/>
      <c r="D797" s="750"/>
      <c r="E797" s="750" t="s">
        <v>18</v>
      </c>
      <c r="F797" s="750"/>
      <c r="G797" s="596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4"/>
        <v>0</v>
      </c>
      <c r="P797" s="93">
        <f t="shared" si="325"/>
        <v>0</v>
      </c>
      <c r="Q797" s="597"/>
      <c r="R797" s="597"/>
      <c r="S797" s="597"/>
      <c r="T797" s="597"/>
      <c r="U797" s="597"/>
      <c r="V797" s="597"/>
      <c r="W797" s="597"/>
      <c r="X797" s="597"/>
      <c r="Y797" s="597"/>
      <c r="Z797" s="597"/>
    </row>
    <row r="798" spans="1:26" ht="18.75" hidden="1">
      <c r="A798" s="592"/>
      <c r="B798" s="600"/>
      <c r="C798" s="750"/>
      <c r="D798" s="750"/>
      <c r="E798" s="750" t="s">
        <v>19</v>
      </c>
      <c r="F798" s="750"/>
      <c r="G798" s="596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4"/>
        <v>0</v>
      </c>
      <c r="P798" s="93">
        <f t="shared" si="325"/>
        <v>0</v>
      </c>
      <c r="Q798" s="597"/>
      <c r="R798" s="597"/>
      <c r="S798" s="597"/>
      <c r="T798" s="597"/>
      <c r="U798" s="597"/>
      <c r="V798" s="597"/>
      <c r="W798" s="597"/>
      <c r="X798" s="597"/>
      <c r="Y798" s="597"/>
      <c r="Z798" s="597"/>
    </row>
    <row r="799" spans="1:26" ht="19.5" hidden="1">
      <c r="A799" s="601"/>
      <c r="B799" s="611"/>
      <c r="C799" s="754" t="s">
        <v>16</v>
      </c>
      <c r="D799" s="840" t="s">
        <v>38</v>
      </c>
      <c r="E799" s="752"/>
      <c r="F799" s="752"/>
      <c r="G799" s="606"/>
      <c r="H799" s="802"/>
      <c r="I799" s="184"/>
      <c r="J799" s="184"/>
      <c r="K799" s="163"/>
      <c r="L799" s="163"/>
      <c r="M799" s="163"/>
      <c r="N799" s="163"/>
      <c r="O799" s="163"/>
      <c r="P799" s="163"/>
      <c r="Q799" s="571"/>
      <c r="R799" s="571"/>
      <c r="S799" s="571"/>
      <c r="T799" s="571"/>
      <c r="U799" s="571"/>
      <c r="V799" s="571"/>
      <c r="W799" s="571"/>
      <c r="X799" s="571"/>
      <c r="Y799" s="571"/>
      <c r="Z799" s="571"/>
    </row>
    <row r="800" spans="1:26" ht="18.75" hidden="1">
      <c r="A800" s="601"/>
      <c r="B800" s="611"/>
      <c r="C800" s="611"/>
      <c r="D800" s="611"/>
      <c r="E800" s="619"/>
      <c r="F800" s="619" t="s">
        <v>320</v>
      </c>
      <c r="G800" s="753"/>
      <c r="H800" s="185" t="s">
        <v>46</v>
      </c>
      <c r="I800" s="184">
        <f ca="1">IFERROR(__xludf.DUMMYFUNCTION("IMPORTRANGE(""https://docs.google.com/spreadsheets/d/1QqKyyYR6Q21VydFLVH3TRQUabQu_ym0Zz7PgGX0-kHA/edit?usp=sharing"",""แผน!JN64"")"),0)</f>
        <v>0</v>
      </c>
      <c r="J800" s="184">
        <f ca="1">IFERROR(__xludf.DUMMYFUNCTION("IMPORTRANGE(""https://docs.google.com/spreadsheets/d/1MaWodYyGHDf7siQLGxnXhG4mBNTNIuy296niS2xXulU/edit?usp=sharing"",""RTK!H64"")"),0)</f>
        <v>0</v>
      </c>
      <c r="K800" s="496">
        <f ca="1">IF(I800&gt;0,J800*100/I800,0)</f>
        <v>0</v>
      </c>
      <c r="L800" s="496"/>
      <c r="M800" s="496"/>
      <c r="N800" s="496"/>
      <c r="O800" s="163"/>
      <c r="P800" s="163"/>
      <c r="Q800" s="571"/>
      <c r="R800" s="571"/>
      <c r="S800" s="571"/>
      <c r="T800" s="571"/>
      <c r="U800" s="571"/>
      <c r="V800" s="571"/>
      <c r="W800" s="571"/>
      <c r="X800" s="571"/>
      <c r="Y800" s="571"/>
      <c r="Z800" s="571"/>
    </row>
    <row r="801" spans="1:26" ht="18.75" hidden="1">
      <c r="A801" s="601"/>
      <c r="B801" s="611"/>
      <c r="C801" s="611"/>
      <c r="D801" s="611"/>
      <c r="E801" s="619"/>
      <c r="F801" s="619"/>
      <c r="G801" s="753"/>
      <c r="H801" s="161" t="s">
        <v>34</v>
      </c>
      <c r="I801" s="184"/>
      <c r="J801" s="269">
        <f ca="1">IFERROR(__xludf.DUMMYFUNCTION("IMPORTRANGE(""https://docs.google.com/spreadsheets/d/1MaWodYyGHDf7siQLGxnXhG4mBNTNIuy296niS2xXulU/edit?usp=sharing"",""RTK!I64"")"),0)</f>
        <v>0</v>
      </c>
      <c r="K801" s="496"/>
      <c r="L801" s="496"/>
      <c r="M801" s="496"/>
      <c r="N801" s="496"/>
      <c r="O801" s="163"/>
      <c r="P801" s="163"/>
      <c r="Q801" s="571"/>
      <c r="R801" s="571"/>
      <c r="S801" s="571"/>
      <c r="T801" s="571"/>
      <c r="U801" s="571"/>
      <c r="V801" s="571"/>
      <c r="W801" s="571"/>
      <c r="X801" s="571"/>
      <c r="Y801" s="571"/>
      <c r="Z801" s="571"/>
    </row>
    <row r="802" spans="1:26" ht="18.75" hidden="1">
      <c r="A802" s="607"/>
      <c r="B802" s="609"/>
      <c r="C802" s="609"/>
      <c r="D802" s="609"/>
      <c r="E802" s="711"/>
      <c r="F802" s="711" t="s">
        <v>321</v>
      </c>
      <c r="G802" s="365"/>
      <c r="H802" s="646" t="s">
        <v>46</v>
      </c>
      <c r="I802" s="166"/>
      <c r="J802" s="610"/>
      <c r="K802" s="167">
        <f>IF(I802&gt;0,J802*100/I802,0)</f>
        <v>0</v>
      </c>
      <c r="L802" s="167"/>
      <c r="M802" s="167"/>
      <c r="N802" s="167"/>
      <c r="O802" s="167"/>
      <c r="P802" s="167"/>
      <c r="Q802" s="597"/>
      <c r="R802" s="597"/>
      <c r="S802" s="597"/>
      <c r="T802" s="597"/>
      <c r="U802" s="597"/>
      <c r="V802" s="597"/>
      <c r="W802" s="597"/>
      <c r="X802" s="597"/>
      <c r="Y802" s="597"/>
      <c r="Z802" s="597"/>
    </row>
    <row r="803" spans="1:26" ht="18.75" hidden="1">
      <c r="A803" s="607"/>
      <c r="B803" s="609"/>
      <c r="C803" s="609"/>
      <c r="D803" s="609"/>
      <c r="E803" s="711"/>
      <c r="F803" s="711"/>
      <c r="G803" s="365"/>
      <c r="H803" s="646" t="s">
        <v>34</v>
      </c>
      <c r="I803" s="166"/>
      <c r="J803" s="610"/>
      <c r="K803" s="167"/>
      <c r="L803" s="167"/>
      <c r="M803" s="167"/>
      <c r="N803" s="167"/>
      <c r="O803" s="167"/>
      <c r="P803" s="167"/>
      <c r="Q803" s="597"/>
      <c r="R803" s="597"/>
      <c r="S803" s="597"/>
      <c r="T803" s="597"/>
      <c r="U803" s="597"/>
      <c r="V803" s="597"/>
      <c r="W803" s="597"/>
      <c r="X803" s="597"/>
      <c r="Y803" s="597"/>
      <c r="Z803" s="597"/>
    </row>
    <row r="804" spans="1:26" ht="19.5" hidden="1">
      <c r="A804" s="784">
        <v>13</v>
      </c>
      <c r="B804" s="785" t="s">
        <v>322</v>
      </c>
      <c r="C804" s="786"/>
      <c r="D804" s="803"/>
      <c r="E804" s="786"/>
      <c r="F804" s="786"/>
      <c r="G804" s="787"/>
      <c r="H804" s="788" t="s">
        <v>46</v>
      </c>
      <c r="I804" s="789"/>
      <c r="J804" s="789">
        <f>J819</f>
        <v>0</v>
      </c>
      <c r="K804" s="790">
        <f>IF(I804&gt;0,J804*100/I804,0)</f>
        <v>0</v>
      </c>
      <c r="L804" s="791"/>
      <c r="M804" s="791"/>
      <c r="N804" s="791"/>
      <c r="O804" s="791"/>
      <c r="P804" s="791"/>
      <c r="Q804" s="597"/>
      <c r="R804" s="597"/>
      <c r="S804" s="597"/>
      <c r="T804" s="597"/>
      <c r="U804" s="597"/>
      <c r="V804" s="597"/>
      <c r="W804" s="597"/>
      <c r="X804" s="597"/>
      <c r="Y804" s="597"/>
      <c r="Z804" s="597"/>
    </row>
    <row r="805" spans="1:26" ht="19.5" hidden="1">
      <c r="A805" s="592"/>
      <c r="B805" s="750"/>
      <c r="C805" s="750" t="s">
        <v>16</v>
      </c>
      <c r="D805" s="864" t="s">
        <v>17</v>
      </c>
      <c r="E805" s="857"/>
      <c r="F805" s="857"/>
      <c r="G805" s="596"/>
      <c r="H805" s="639" t="s">
        <v>12</v>
      </c>
      <c r="I805" s="610"/>
      <c r="J805" s="610"/>
      <c r="K805" s="93"/>
      <c r="L805" s="640">
        <f t="shared" ref="L805:N805" si="326">L806+L807</f>
        <v>0</v>
      </c>
      <c r="M805" s="640">
        <f t="shared" si="326"/>
        <v>0</v>
      </c>
      <c r="N805" s="640">
        <f t="shared" si="326"/>
        <v>0</v>
      </c>
      <c r="O805" s="640">
        <f t="shared" ref="O805:O810" si="327">IF(L805&gt;0,N805*100/L805,0)</f>
        <v>0</v>
      </c>
      <c r="P805" s="640">
        <f t="shared" ref="P805:P810" si="328">IF(M805&gt;0,N805*100/M805,0)</f>
        <v>0</v>
      </c>
      <c r="Q805" s="597"/>
      <c r="R805" s="597"/>
      <c r="S805" s="597"/>
      <c r="T805" s="597"/>
      <c r="U805" s="597"/>
      <c r="V805" s="597"/>
      <c r="W805" s="597"/>
      <c r="X805" s="597"/>
      <c r="Y805" s="597"/>
      <c r="Z805" s="597"/>
    </row>
    <row r="806" spans="1:26" ht="18.75" hidden="1">
      <c r="A806" s="592"/>
      <c r="B806" s="750"/>
      <c r="C806" s="750"/>
      <c r="D806" s="609"/>
      <c r="E806" s="750" t="s">
        <v>184</v>
      </c>
      <c r="F806" s="750"/>
      <c r="G806" s="596"/>
      <c r="H806" s="165" t="s">
        <v>12</v>
      </c>
      <c r="I806" s="610"/>
      <c r="J806" s="610"/>
      <c r="K806" s="93"/>
      <c r="L806" s="93">
        <f t="shared" ref="L806:N807" si="329">L809+L816</f>
        <v>0</v>
      </c>
      <c r="M806" s="93">
        <f t="shared" si="329"/>
        <v>0</v>
      </c>
      <c r="N806" s="93">
        <f t="shared" si="329"/>
        <v>0</v>
      </c>
      <c r="O806" s="93">
        <f t="shared" si="327"/>
        <v>0</v>
      </c>
      <c r="P806" s="93">
        <f t="shared" si="328"/>
        <v>0</v>
      </c>
      <c r="Q806" s="597"/>
      <c r="R806" s="597"/>
      <c r="S806" s="597"/>
      <c r="T806" s="597"/>
      <c r="U806" s="597"/>
      <c r="V806" s="597"/>
      <c r="W806" s="597"/>
      <c r="X806" s="597"/>
      <c r="Y806" s="597"/>
      <c r="Z806" s="597"/>
    </row>
    <row r="807" spans="1:26" ht="18.75" hidden="1">
      <c r="A807" s="592"/>
      <c r="B807" s="750"/>
      <c r="C807" s="750"/>
      <c r="D807" s="609"/>
      <c r="E807" s="750" t="s">
        <v>185</v>
      </c>
      <c r="F807" s="750"/>
      <c r="G807" s="596"/>
      <c r="H807" s="165" t="s">
        <v>12</v>
      </c>
      <c r="I807" s="610"/>
      <c r="J807" s="610"/>
      <c r="K807" s="93"/>
      <c r="L807" s="93">
        <f t="shared" si="329"/>
        <v>0</v>
      </c>
      <c r="M807" s="93">
        <f t="shared" si="329"/>
        <v>0</v>
      </c>
      <c r="N807" s="93">
        <f t="shared" si="329"/>
        <v>0</v>
      </c>
      <c r="O807" s="93">
        <f t="shared" si="327"/>
        <v>0</v>
      </c>
      <c r="P807" s="93">
        <f t="shared" si="328"/>
        <v>0</v>
      </c>
      <c r="Q807" s="597"/>
      <c r="R807" s="597"/>
      <c r="S807" s="597"/>
      <c r="T807" s="597"/>
      <c r="U807" s="597"/>
      <c r="V807" s="597"/>
      <c r="W807" s="597"/>
      <c r="X807" s="597"/>
      <c r="Y807" s="597"/>
      <c r="Z807" s="597"/>
    </row>
    <row r="808" spans="1:26" ht="19.5" hidden="1">
      <c r="A808" s="592"/>
      <c r="B808" s="600"/>
      <c r="C808" s="750"/>
      <c r="D808" s="869" t="s">
        <v>20</v>
      </c>
      <c r="E808" s="857"/>
      <c r="F808" s="857"/>
      <c r="G808" s="596"/>
      <c r="H808" s="639" t="s">
        <v>12</v>
      </c>
      <c r="I808" s="166"/>
      <c r="J808" s="166"/>
      <c r="K808" s="167"/>
      <c r="L808" s="640">
        <f t="shared" ref="L808:N808" si="330">L809+L810</f>
        <v>0</v>
      </c>
      <c r="M808" s="640">
        <f t="shared" si="330"/>
        <v>0</v>
      </c>
      <c r="N808" s="640">
        <f t="shared" si="330"/>
        <v>0</v>
      </c>
      <c r="O808" s="640">
        <f t="shared" si="327"/>
        <v>0</v>
      </c>
      <c r="P808" s="640">
        <f t="shared" si="328"/>
        <v>0</v>
      </c>
      <c r="Q808" s="597"/>
      <c r="R808" s="597"/>
      <c r="S808" s="597"/>
      <c r="T808" s="597"/>
      <c r="U808" s="597"/>
      <c r="V808" s="597"/>
      <c r="W808" s="597"/>
      <c r="X808" s="597"/>
      <c r="Y808" s="597"/>
      <c r="Z808" s="597"/>
    </row>
    <row r="809" spans="1:26" ht="18.75" hidden="1">
      <c r="A809" s="592"/>
      <c r="B809" s="750"/>
      <c r="C809" s="750"/>
      <c r="D809" s="609"/>
      <c r="E809" s="750" t="s">
        <v>184</v>
      </c>
      <c r="F809" s="750"/>
      <c r="G809" s="596"/>
      <c r="H809" s="165" t="s">
        <v>12</v>
      </c>
      <c r="I809" s="610"/>
      <c r="J809" s="610"/>
      <c r="K809" s="93"/>
      <c r="L809" s="93">
        <v>0</v>
      </c>
      <c r="M809" s="93">
        <v>0</v>
      </c>
      <c r="N809" s="93">
        <v>0</v>
      </c>
      <c r="O809" s="93">
        <f t="shared" si="327"/>
        <v>0</v>
      </c>
      <c r="P809" s="93">
        <f t="shared" si="328"/>
        <v>0</v>
      </c>
      <c r="Q809" s="597"/>
      <c r="R809" s="597"/>
      <c r="S809" s="597"/>
      <c r="T809" s="597"/>
      <c r="U809" s="597"/>
      <c r="V809" s="597"/>
      <c r="W809" s="597"/>
      <c r="X809" s="597"/>
      <c r="Y809" s="597"/>
      <c r="Z809" s="597"/>
    </row>
    <row r="810" spans="1:26" ht="18.75" hidden="1">
      <c r="A810" s="592"/>
      <c r="B810" s="750"/>
      <c r="C810" s="750"/>
      <c r="D810" s="609"/>
      <c r="E810" s="750" t="s">
        <v>185</v>
      </c>
      <c r="F810" s="750"/>
      <c r="G810" s="596"/>
      <c r="H810" s="165" t="s">
        <v>12</v>
      </c>
      <c r="I810" s="610"/>
      <c r="J810" s="610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7"/>
        <v>0</v>
      </c>
      <c r="P810" s="93">
        <f t="shared" si="328"/>
        <v>0</v>
      </c>
      <c r="Q810" s="597"/>
      <c r="R810" s="597"/>
      <c r="S810" s="597"/>
      <c r="T810" s="597"/>
      <c r="U810" s="597"/>
      <c r="V810" s="597"/>
      <c r="W810" s="597"/>
      <c r="X810" s="597"/>
      <c r="Y810" s="597"/>
      <c r="Z810" s="597"/>
    </row>
    <row r="811" spans="1:26" ht="18.75" hidden="1">
      <c r="A811" s="642"/>
      <c r="B811" s="600"/>
      <c r="C811" s="750"/>
      <c r="D811" s="600"/>
      <c r="E811" s="750"/>
      <c r="F811" s="750" t="s">
        <v>186</v>
      </c>
      <c r="G811" s="596"/>
      <c r="H811" s="165" t="s">
        <v>12</v>
      </c>
      <c r="I811" s="610"/>
      <c r="J811" s="610"/>
      <c r="K811" s="93"/>
      <c r="L811" s="93"/>
      <c r="M811" s="93"/>
      <c r="N811" s="93"/>
      <c r="O811" s="93"/>
      <c r="P811" s="93"/>
      <c r="Q811" s="597"/>
      <c r="R811" s="597"/>
      <c r="S811" s="597"/>
      <c r="T811" s="597"/>
      <c r="U811" s="597"/>
      <c r="V811" s="597"/>
      <c r="W811" s="597"/>
      <c r="X811" s="597"/>
      <c r="Y811" s="597"/>
      <c r="Z811" s="597"/>
    </row>
    <row r="812" spans="1:26" ht="18.75" hidden="1">
      <c r="A812" s="642"/>
      <c r="B812" s="600"/>
      <c r="C812" s="750"/>
      <c r="D812" s="600"/>
      <c r="E812" s="750"/>
      <c r="F812" s="750" t="s">
        <v>187</v>
      </c>
      <c r="G812" s="596"/>
      <c r="H812" s="165" t="s">
        <v>12</v>
      </c>
      <c r="I812" s="610"/>
      <c r="J812" s="610"/>
      <c r="K812" s="93"/>
      <c r="L812" s="93"/>
      <c r="M812" s="93"/>
      <c r="N812" s="93"/>
      <c r="O812" s="93"/>
      <c r="P812" s="93"/>
      <c r="Q812" s="597"/>
      <c r="R812" s="597"/>
      <c r="S812" s="597"/>
      <c r="T812" s="597"/>
      <c r="U812" s="597"/>
      <c r="V812" s="597"/>
      <c r="W812" s="597"/>
      <c r="X812" s="597"/>
      <c r="Y812" s="597"/>
      <c r="Z812" s="597"/>
    </row>
    <row r="813" spans="1:26" ht="18.75" hidden="1">
      <c r="A813" s="642"/>
      <c r="B813" s="600"/>
      <c r="C813" s="750"/>
      <c r="D813" s="600"/>
      <c r="E813" s="750"/>
      <c r="F813" s="750" t="s">
        <v>188</v>
      </c>
      <c r="G813" s="596"/>
      <c r="H813" s="165" t="s">
        <v>12</v>
      </c>
      <c r="I813" s="610"/>
      <c r="J813" s="610"/>
      <c r="K813" s="93"/>
      <c r="L813" s="93"/>
      <c r="M813" s="93"/>
      <c r="N813" s="93"/>
      <c r="O813" s="93"/>
      <c r="P813" s="93"/>
      <c r="Q813" s="597"/>
      <c r="R813" s="597"/>
      <c r="S813" s="597"/>
      <c r="T813" s="597"/>
      <c r="U813" s="597"/>
      <c r="V813" s="597"/>
      <c r="W813" s="597"/>
      <c r="X813" s="597"/>
      <c r="Y813" s="597"/>
      <c r="Z813" s="597"/>
    </row>
    <row r="814" spans="1:26" ht="18.75" hidden="1">
      <c r="A814" s="642"/>
      <c r="B814" s="600"/>
      <c r="C814" s="750"/>
      <c r="D814" s="600"/>
      <c r="E814" s="750"/>
      <c r="F814" s="750" t="s">
        <v>189</v>
      </c>
      <c r="G814" s="596"/>
      <c r="H814" s="165" t="s">
        <v>12</v>
      </c>
      <c r="I814" s="610"/>
      <c r="J814" s="610"/>
      <c r="K814" s="93"/>
      <c r="L814" s="93"/>
      <c r="M814" s="93"/>
      <c r="N814" s="93"/>
      <c r="O814" s="93"/>
      <c r="P814" s="93"/>
      <c r="Q814" s="597"/>
      <c r="R814" s="597"/>
      <c r="S814" s="597"/>
      <c r="T814" s="597"/>
      <c r="U814" s="597"/>
      <c r="V814" s="597"/>
      <c r="W814" s="597"/>
      <c r="X814" s="597"/>
      <c r="Y814" s="597"/>
      <c r="Z814" s="597"/>
    </row>
    <row r="815" spans="1:26" ht="19.5" hidden="1">
      <c r="A815" s="592"/>
      <c r="B815" s="600"/>
      <c r="C815" s="750"/>
      <c r="D815" s="869" t="s">
        <v>21</v>
      </c>
      <c r="E815" s="857"/>
      <c r="F815" s="857"/>
      <c r="G815" s="596"/>
      <c r="H815" s="774" t="s">
        <v>12</v>
      </c>
      <c r="I815" s="166"/>
      <c r="J815" s="166"/>
      <c r="K815" s="167"/>
      <c r="L815" s="640">
        <f t="shared" ref="L815:N815" si="331">L816+L817</f>
        <v>0</v>
      </c>
      <c r="M815" s="640">
        <f t="shared" si="331"/>
        <v>0</v>
      </c>
      <c r="N815" s="640">
        <f t="shared" si="331"/>
        <v>0</v>
      </c>
      <c r="O815" s="640">
        <f t="shared" ref="O815:O817" si="332">IF(L815&gt;0,N815*100/L815,0)</f>
        <v>0</v>
      </c>
      <c r="P815" s="640">
        <f t="shared" ref="P815:P817" si="333">IF(M815&gt;0,N815*100/M815,0)</f>
        <v>0</v>
      </c>
      <c r="Q815" s="597"/>
      <c r="R815" s="597"/>
      <c r="S815" s="597"/>
      <c r="T815" s="597"/>
      <c r="U815" s="597"/>
      <c r="V815" s="597"/>
      <c r="W815" s="597"/>
      <c r="X815" s="597"/>
      <c r="Y815" s="597"/>
      <c r="Z815" s="597"/>
    </row>
    <row r="816" spans="1:26" ht="18.75" hidden="1">
      <c r="A816" s="592"/>
      <c r="B816" s="600"/>
      <c r="C816" s="750"/>
      <c r="D816" s="600"/>
      <c r="E816" s="750" t="s">
        <v>18</v>
      </c>
      <c r="F816" s="750"/>
      <c r="G816" s="596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2"/>
        <v>0</v>
      </c>
      <c r="P816" s="93">
        <f t="shared" si="333"/>
        <v>0</v>
      </c>
      <c r="Q816" s="597"/>
      <c r="R816" s="597"/>
      <c r="S816" s="597"/>
      <c r="T816" s="597"/>
      <c r="U816" s="597"/>
      <c r="V816" s="597"/>
      <c r="W816" s="597"/>
      <c r="X816" s="597"/>
      <c r="Y816" s="597"/>
      <c r="Z816" s="597"/>
    </row>
    <row r="817" spans="1:26" ht="18.75" hidden="1">
      <c r="A817" s="592"/>
      <c r="B817" s="600"/>
      <c r="C817" s="750"/>
      <c r="D817" s="600"/>
      <c r="E817" s="750" t="s">
        <v>19</v>
      </c>
      <c r="F817" s="750"/>
      <c r="G817" s="596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2"/>
        <v>0</v>
      </c>
      <c r="P817" s="93">
        <f t="shared" si="333"/>
        <v>0</v>
      </c>
      <c r="Q817" s="597"/>
      <c r="R817" s="597"/>
      <c r="S817" s="597"/>
      <c r="T817" s="597"/>
      <c r="U817" s="597"/>
      <c r="V817" s="597"/>
      <c r="W817" s="597"/>
      <c r="X817" s="597"/>
      <c r="Y817" s="597"/>
      <c r="Z817" s="597"/>
    </row>
    <row r="818" spans="1:26" ht="19.5" hidden="1">
      <c r="A818" s="607"/>
      <c r="B818" s="609"/>
      <c r="C818" s="750" t="s">
        <v>16</v>
      </c>
      <c r="D818" s="842" t="s">
        <v>38</v>
      </c>
      <c r="E818" s="644"/>
      <c r="F818" s="644"/>
      <c r="G818" s="645"/>
      <c r="H818" s="365"/>
      <c r="I818" s="166"/>
      <c r="J818" s="166"/>
      <c r="K818" s="167"/>
      <c r="L818" s="167"/>
      <c r="M818" s="167"/>
      <c r="N818" s="167"/>
      <c r="O818" s="167"/>
      <c r="P818" s="167"/>
      <c r="Q818" s="597"/>
      <c r="R818" s="597"/>
      <c r="S818" s="597"/>
      <c r="T818" s="597"/>
      <c r="U818" s="597"/>
      <c r="V818" s="597"/>
      <c r="W818" s="597"/>
      <c r="X818" s="597"/>
      <c r="Y818" s="597"/>
      <c r="Z818" s="597"/>
    </row>
    <row r="819" spans="1:26" ht="19.5" hidden="1" thickBot="1">
      <c r="A819" s="805"/>
      <c r="B819" s="806"/>
      <c r="C819" s="808"/>
      <c r="D819" s="806"/>
      <c r="E819" s="808" t="s">
        <v>323</v>
      </c>
      <c r="F819" s="808"/>
      <c r="G819" s="809"/>
      <c r="H819" s="810" t="s">
        <v>46</v>
      </c>
      <c r="I819" s="811"/>
      <c r="J819" s="811"/>
      <c r="K819" s="812"/>
      <c r="L819" s="812"/>
      <c r="M819" s="812"/>
      <c r="N819" s="812"/>
      <c r="O819" s="812"/>
      <c r="P819" s="812"/>
      <c r="Q819" s="597"/>
      <c r="R819" s="597"/>
      <c r="S819" s="597"/>
      <c r="T819" s="597"/>
      <c r="U819" s="597"/>
      <c r="V819" s="597"/>
      <c r="W819" s="597"/>
      <c r="X819" s="597"/>
      <c r="Y819" s="597"/>
      <c r="Z819" s="597"/>
    </row>
    <row r="820" spans="1:26" ht="19.5">
      <c r="A820" s="813" t="s">
        <v>331</v>
      </c>
      <c r="B820" s="814"/>
      <c r="C820" s="814"/>
      <c r="D820" s="815"/>
      <c r="E820" s="814"/>
      <c r="F820" s="814"/>
      <c r="G820" s="816"/>
      <c r="H820" s="816"/>
      <c r="I820" s="214"/>
      <c r="J820" s="214"/>
      <c r="K820" s="817"/>
      <c r="L820" s="817"/>
      <c r="M820" s="817"/>
      <c r="N820" s="817"/>
      <c r="O820" s="817"/>
      <c r="P820" s="817"/>
      <c r="Q820" s="571"/>
      <c r="R820" s="571"/>
      <c r="S820" s="571"/>
      <c r="T820" s="571"/>
      <c r="U820" s="571"/>
      <c r="V820" s="571"/>
      <c r="W820" s="571"/>
      <c r="X820" s="571"/>
      <c r="Y820" s="571"/>
      <c r="Z820" s="571"/>
    </row>
    <row r="821" spans="1:26" ht="18.75">
      <c r="A821" s="735"/>
      <c r="B821" s="754" t="s">
        <v>325</v>
      </c>
      <c r="C821" s="754"/>
      <c r="D821" s="568"/>
      <c r="E821" s="754"/>
      <c r="F821" s="754"/>
      <c r="G821" s="189"/>
      <c r="H821" s="616" t="s">
        <v>12</v>
      </c>
      <c r="I821" s="269">
        <f ca="1">IFERROR(__xludf.DUMMYFUNCTION("IMPORTRANGE(""https://docs.google.com/spreadsheets/d/19vJNZY_5yjcGF2XGBMNZRCAIB0Kwfpjp8YEOfu-bneM/edit?usp=sharing"",""งานกองทุน!D64"")"),2059340.2)</f>
        <v>2059340.2</v>
      </c>
      <c r="J821" s="269">
        <f ca="1">IFERROR(__xludf.DUMMYFUNCTION("IMPORTRANGE(""https://docs.google.com/spreadsheets/d/19vJNZY_5yjcGF2XGBMNZRCAIB0Kwfpjp8YEOfu-bneM/edit?usp=sharing"",""งานกองทุน!F64"")"),50000)</f>
        <v>50000</v>
      </c>
      <c r="K821" s="496">
        <f t="shared" ref="K821:K828" ca="1" si="334">IF(I821&gt;0,J821*100/I821,0)</f>
        <v>2.4279621210715936</v>
      </c>
      <c r="L821" s="496"/>
      <c r="M821" s="496"/>
      <c r="N821" s="496"/>
      <c r="O821" s="496"/>
      <c r="P821" s="496"/>
      <c r="Q821" s="571"/>
      <c r="R821" s="571"/>
      <c r="S821" s="571"/>
      <c r="T821" s="571"/>
      <c r="U821" s="571"/>
      <c r="V821" s="571"/>
      <c r="W821" s="571"/>
      <c r="X821" s="571"/>
      <c r="Y821" s="571"/>
      <c r="Z821" s="571"/>
    </row>
    <row r="822" spans="1:26" ht="18.75">
      <c r="A822" s="735"/>
      <c r="B822" s="754"/>
      <c r="C822" s="754"/>
      <c r="D822" s="568"/>
      <c r="E822" s="754"/>
      <c r="F822" s="754"/>
      <c r="G822" s="189"/>
      <c r="H822" s="616" t="s">
        <v>35</v>
      </c>
      <c r="I822" s="269">
        <f ca="1">IFERROR(__xludf.DUMMYFUNCTION("IMPORTRANGE(""https://docs.google.com/spreadsheets/d/19vJNZY_5yjcGF2XGBMNZRCAIB0Kwfpjp8YEOfu-bneM/edit?usp=sharing"",""งานกองทุน!C64"")"),110)</f>
        <v>110</v>
      </c>
      <c r="J822" s="269">
        <f ca="1">IFERROR(__xludf.DUMMYFUNCTION("IMPORTRANGE(""https://docs.google.com/spreadsheets/d/19vJNZY_5yjcGF2XGBMNZRCAIB0Kwfpjp8YEOfu-bneM/edit?usp=sharing"",""งานกองทุน!E64"")"),1)</f>
        <v>1</v>
      </c>
      <c r="K822" s="496">
        <f t="shared" ca="1" si="334"/>
        <v>0.90909090909090906</v>
      </c>
      <c r="L822" s="496"/>
      <c r="M822" s="496"/>
      <c r="N822" s="496"/>
      <c r="O822" s="496"/>
      <c r="P822" s="496"/>
      <c r="Q822" s="571"/>
      <c r="R822" s="571"/>
      <c r="S822" s="571"/>
      <c r="T822" s="571"/>
      <c r="U822" s="571"/>
      <c r="V822" s="571"/>
      <c r="W822" s="571"/>
      <c r="X822" s="571"/>
      <c r="Y822" s="571"/>
      <c r="Z822" s="571"/>
    </row>
    <row r="823" spans="1:26" ht="18.75">
      <c r="A823" s="735"/>
      <c r="B823" s="754" t="s">
        <v>326</v>
      </c>
      <c r="C823" s="754"/>
      <c r="D823" s="568"/>
      <c r="E823" s="754"/>
      <c r="F823" s="754"/>
      <c r="G823" s="189"/>
      <c r="H823" s="616" t="s">
        <v>12</v>
      </c>
      <c r="I823" s="269">
        <f ca="1">IFERROR(__xludf.DUMMYFUNCTION("IMPORTRANGE(""https://docs.google.com/spreadsheets/d/19vJNZY_5yjcGF2XGBMNZRCAIB0Kwfpjp8YEOfu-bneM/edit?usp=sharing"",""งานกองทุน!I64"")"),6075559.15)</f>
        <v>6075559.1500000004</v>
      </c>
      <c r="J823" s="269">
        <f ca="1">IFERROR(__xludf.DUMMYFUNCTION("IMPORTRANGE(""https://docs.google.com/spreadsheets/d/19vJNZY_5yjcGF2XGBMNZRCAIB0Kwfpjp8YEOfu-bneM/edit?usp=sharing"",""งานกองทุน!K64"")"),143629.04)</f>
        <v>143629.04</v>
      </c>
      <c r="K823" s="496">
        <f t="shared" ca="1" si="334"/>
        <v>2.3640464433631592</v>
      </c>
      <c r="L823" s="496"/>
      <c r="M823" s="496"/>
      <c r="N823" s="496"/>
      <c r="O823" s="496"/>
      <c r="P823" s="496"/>
      <c r="Q823" s="571"/>
      <c r="R823" s="571"/>
      <c r="S823" s="571"/>
      <c r="T823" s="571"/>
      <c r="U823" s="571"/>
      <c r="V823" s="571"/>
      <c r="W823" s="571"/>
      <c r="X823" s="571"/>
      <c r="Y823" s="571"/>
      <c r="Z823" s="571"/>
    </row>
    <row r="824" spans="1:26" ht="18.75">
      <c r="A824" s="735"/>
      <c r="B824" s="754"/>
      <c r="C824" s="754"/>
      <c r="D824" s="568"/>
      <c r="E824" s="754"/>
      <c r="F824" s="754"/>
      <c r="G824" s="189"/>
      <c r="H824" s="616" t="s">
        <v>35</v>
      </c>
      <c r="I824" s="269">
        <f ca="1">IFERROR(__xludf.DUMMYFUNCTION("IMPORTRANGE(""https://docs.google.com/spreadsheets/d/19vJNZY_5yjcGF2XGBMNZRCAIB0Kwfpjp8YEOfu-bneM/edit?usp=sharing"",""งานกองทุน!H64"")"),205)</f>
        <v>205</v>
      </c>
      <c r="J824" s="269">
        <f ca="1">IFERROR(__xludf.DUMMYFUNCTION("IMPORTRANGE(""https://docs.google.com/spreadsheets/d/19vJNZY_5yjcGF2XGBMNZRCAIB0Kwfpjp8YEOfu-bneM/edit?usp=sharing"",""งานกองทุน!J64"")"),20)</f>
        <v>20</v>
      </c>
      <c r="K824" s="496">
        <f t="shared" ca="1" si="334"/>
        <v>9.7560975609756095</v>
      </c>
      <c r="L824" s="496"/>
      <c r="M824" s="496"/>
      <c r="N824" s="496"/>
      <c r="O824" s="496"/>
      <c r="P824" s="496"/>
      <c r="Q824" s="571"/>
      <c r="R824" s="571"/>
      <c r="S824" s="571"/>
      <c r="T824" s="571"/>
      <c r="U824" s="571"/>
      <c r="V824" s="571"/>
      <c r="W824" s="571"/>
      <c r="X824" s="571"/>
      <c r="Y824" s="571"/>
      <c r="Z824" s="571"/>
    </row>
    <row r="825" spans="1:26" ht="18.75">
      <c r="A825" s="735"/>
      <c r="B825" s="754" t="s">
        <v>327</v>
      </c>
      <c r="C825" s="754"/>
      <c r="D825" s="568"/>
      <c r="E825" s="754"/>
      <c r="F825" s="754"/>
      <c r="G825" s="189"/>
      <c r="H825" s="616" t="s">
        <v>12</v>
      </c>
      <c r="I825" s="269">
        <f ca="1">IFERROR(__xludf.DUMMYFUNCTION("IMPORTRANGE(""https://docs.google.com/spreadsheets/d/19vJNZY_5yjcGF2XGBMNZRCAIB0Kwfpjp8YEOfu-bneM/edit?usp=sharing"",""งานกองทุน!N64"")"),1424793.2)</f>
        <v>1424793.2</v>
      </c>
      <c r="J825" s="269">
        <f ca="1">IFERROR(__xludf.DUMMYFUNCTION("IMPORTRANGE(""https://docs.google.com/spreadsheets/d/19vJNZY_5yjcGF2XGBMNZRCAIB0Kwfpjp8YEOfu-bneM/edit?usp=sharing"",""งานกองทุน!P64"")"),12536.38)</f>
        <v>12536.38</v>
      </c>
      <c r="K825" s="496">
        <f t="shared" ca="1" si="334"/>
        <v>0.87987365464686385</v>
      </c>
      <c r="L825" s="496"/>
      <c r="M825" s="496"/>
      <c r="N825" s="496"/>
      <c r="O825" s="496"/>
      <c r="P825" s="496"/>
      <c r="Q825" s="571"/>
      <c r="R825" s="571"/>
      <c r="S825" s="571"/>
      <c r="T825" s="571"/>
      <c r="U825" s="571"/>
      <c r="V825" s="571"/>
      <c r="W825" s="571"/>
      <c r="X825" s="571"/>
      <c r="Y825" s="571"/>
      <c r="Z825" s="571"/>
    </row>
    <row r="826" spans="1:26" ht="18.75">
      <c r="A826" s="735"/>
      <c r="B826" s="754"/>
      <c r="C826" s="754"/>
      <c r="D826" s="568"/>
      <c r="E826" s="754"/>
      <c r="F826" s="754"/>
      <c r="G826" s="189"/>
      <c r="H826" s="616" t="s">
        <v>35</v>
      </c>
      <c r="I826" s="269">
        <f ca="1">IFERROR(__xludf.DUMMYFUNCTION("IMPORTRANGE(""https://docs.google.com/spreadsheets/d/19vJNZY_5yjcGF2XGBMNZRCAIB0Kwfpjp8YEOfu-bneM/edit?usp=sharing"",""งานกองทุน!M64"")"),1447)</f>
        <v>1447</v>
      </c>
      <c r="J826" s="269">
        <f ca="1">IFERROR(__xludf.DUMMYFUNCTION("IMPORTRANGE(""https://docs.google.com/spreadsheets/d/19vJNZY_5yjcGF2XGBMNZRCAIB0Kwfpjp8YEOfu-bneM/edit?usp=sharing"",""งานกองทุน!O64"")"),6)</f>
        <v>6</v>
      </c>
      <c r="K826" s="496">
        <f t="shared" ca="1" si="334"/>
        <v>0.414651002073255</v>
      </c>
      <c r="L826" s="496"/>
      <c r="M826" s="496"/>
      <c r="N826" s="496"/>
      <c r="O826" s="496"/>
      <c r="P826" s="496"/>
      <c r="Q826" s="571"/>
      <c r="R826" s="571"/>
      <c r="S826" s="571"/>
      <c r="T826" s="571"/>
      <c r="U826" s="571"/>
      <c r="V826" s="571"/>
      <c r="W826" s="571"/>
      <c r="X826" s="571"/>
      <c r="Y826" s="571"/>
      <c r="Z826" s="571"/>
    </row>
    <row r="827" spans="1:26" ht="18.75">
      <c r="A827" s="735"/>
      <c r="B827" s="754" t="s">
        <v>328</v>
      </c>
      <c r="C827" s="754"/>
      <c r="D827" s="568"/>
      <c r="E827" s="754"/>
      <c r="F827" s="754"/>
      <c r="G827" s="189"/>
      <c r="H827" s="616" t="s">
        <v>12</v>
      </c>
      <c r="I827" s="269">
        <f ca="1">IFERROR(__xludf.DUMMYFUNCTION("IMPORTRANGE(""https://docs.google.com/spreadsheets/d/19vJNZY_5yjcGF2XGBMNZRCAIB0Kwfpjp8YEOfu-bneM/edit?usp=sharing"",""งานกองทุน!S64"")"),8180000)</f>
        <v>8180000</v>
      </c>
      <c r="J827" s="269">
        <f ca="1">IFERROR(__xludf.DUMMYFUNCTION("IMPORTRANGE(""https://docs.google.com/spreadsheets/d/19vJNZY_5yjcGF2XGBMNZRCAIB0Kwfpjp8YEOfu-bneM/edit?usp=sharing"",""งานกองทุน!U64"")"),0)</f>
        <v>0</v>
      </c>
      <c r="K827" s="496">
        <f t="shared" ca="1" si="334"/>
        <v>0</v>
      </c>
      <c r="L827" s="496"/>
      <c r="M827" s="496"/>
      <c r="N827" s="496"/>
      <c r="O827" s="496"/>
      <c r="P827" s="496"/>
      <c r="Q827" s="571"/>
      <c r="R827" s="571"/>
      <c r="S827" s="571"/>
      <c r="T827" s="571"/>
      <c r="U827" s="571"/>
      <c r="V827" s="571"/>
      <c r="W827" s="571"/>
      <c r="X827" s="571"/>
      <c r="Y827" s="571"/>
      <c r="Z827" s="571"/>
    </row>
    <row r="828" spans="1:26" ht="18.75">
      <c r="A828" s="738"/>
      <c r="B828" s="740"/>
      <c r="C828" s="740"/>
      <c r="D828" s="739"/>
      <c r="E828" s="740"/>
      <c r="F828" s="740"/>
      <c r="G828" s="818"/>
      <c r="H828" s="819" t="s">
        <v>35</v>
      </c>
      <c r="I828" s="499">
        <f ca="1">IFERROR(__xludf.DUMMYFUNCTION("IMPORTRANGE(""https://docs.google.com/spreadsheets/d/19vJNZY_5yjcGF2XGBMNZRCAIB0Kwfpjp8YEOfu-bneM/edit?usp=sharing"",""งานกองทุน!R64"")"),327)</f>
        <v>327</v>
      </c>
      <c r="J828" s="499">
        <f ca="1">IFERROR(__xludf.DUMMYFUNCTION("IMPORTRANGE(""https://docs.google.com/spreadsheets/d/19vJNZY_5yjcGF2XGBMNZRCAIB0Kwfpjp8YEOfu-bneM/edit?usp=sharing"",""งานกองทุน!T64"")"),0)</f>
        <v>0</v>
      </c>
      <c r="K828" s="500">
        <f t="shared" ca="1" si="334"/>
        <v>0</v>
      </c>
      <c r="L828" s="500"/>
      <c r="M828" s="500"/>
      <c r="N828" s="500"/>
      <c r="O828" s="500"/>
      <c r="P828" s="500"/>
      <c r="Q828" s="571"/>
      <c r="R828" s="571"/>
      <c r="S828" s="571"/>
      <c r="T828" s="571"/>
      <c r="U828" s="571"/>
      <c r="V828" s="571"/>
      <c r="W828" s="571"/>
      <c r="X828" s="571"/>
      <c r="Y828" s="571"/>
      <c r="Z828" s="571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544:F544"/>
    <mergeCell ref="A7:G7"/>
    <mergeCell ref="A17:G17"/>
    <mergeCell ref="A27:G27"/>
    <mergeCell ref="B40:G40"/>
    <mergeCell ref="A50:G50"/>
    <mergeCell ref="B51:G51"/>
    <mergeCell ref="D419:F419"/>
    <mergeCell ref="D444:F444"/>
    <mergeCell ref="D467:F467"/>
    <mergeCell ref="D502:F502"/>
    <mergeCell ref="D523:F523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 gridLines="1"/>
  <pageMargins left="0.23622047244094491" right="0.23622047244094491" top="0.74803149606299213" bottom="0.74803149606299213" header="0" footer="0"/>
  <pageSetup paperSize="9" scale="43" fitToHeight="0" pageOrder="overThenDown" orientation="portrait" cellComments="atEnd" r:id="rId1"/>
  <headerFooter>
    <oddFooter>&amp;Cหน้า &amp;P/&amp;N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ABD29F-A76D-4948-9AAE-95F185385AB7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activeCell="A2" sqref="A2:P2"/>
      <selection pane="bottomLeft" activeCell="A2" sqref="A2:P2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9" width="16.85546875" bestFit="1" customWidth="1"/>
    <col min="10" max="10" width="12.5703125" bestFit="1" customWidth="1"/>
    <col min="11" max="11" width="12.5703125" customWidth="1"/>
    <col min="12" max="13" width="21.28515625" bestFit="1" customWidth="1"/>
    <col min="14" max="14" width="18.7109375" bestFit="1" customWidth="1"/>
    <col min="15" max="16" width="17.5703125" customWidth="1"/>
  </cols>
  <sheetData>
    <row r="1" spans="1:26" ht="19.5">
      <c r="A1" s="844" t="s">
        <v>0</v>
      </c>
      <c r="B1" s="845"/>
      <c r="C1" s="845"/>
      <c r="D1" s="845"/>
      <c r="E1" s="845"/>
      <c r="F1" s="845"/>
      <c r="G1" s="845"/>
      <c r="H1" s="845"/>
      <c r="I1" s="845"/>
      <c r="J1" s="845"/>
      <c r="K1" s="845"/>
      <c r="L1" s="845"/>
      <c r="M1" s="845"/>
      <c r="N1" s="845"/>
      <c r="O1" s="845"/>
      <c r="P1" s="845"/>
    </row>
    <row r="2" spans="1:26" ht="19.5">
      <c r="A2" s="844" t="s">
        <v>351</v>
      </c>
      <c r="B2" s="845"/>
      <c r="C2" s="845"/>
      <c r="D2" s="845"/>
      <c r="E2" s="845"/>
      <c r="F2" s="845"/>
      <c r="G2" s="845"/>
      <c r="H2" s="845"/>
      <c r="I2" s="845"/>
      <c r="J2" s="845"/>
      <c r="K2" s="845"/>
      <c r="L2" s="845"/>
      <c r="M2" s="845"/>
      <c r="N2" s="845"/>
      <c r="O2" s="845"/>
      <c r="P2" s="845"/>
    </row>
    <row r="3" spans="1:26" ht="19.5">
      <c r="A3" s="844" t="s">
        <v>347</v>
      </c>
      <c r="B3" s="845"/>
      <c r="C3" s="845"/>
      <c r="D3" s="845"/>
      <c r="E3" s="845"/>
      <c r="F3" s="845"/>
      <c r="G3" s="845"/>
      <c r="H3" s="845"/>
      <c r="I3" s="845"/>
      <c r="J3" s="845"/>
      <c r="K3" s="845"/>
      <c r="L3" s="845"/>
      <c r="M3" s="845"/>
      <c r="N3" s="845"/>
      <c r="O3" s="845"/>
      <c r="P3" s="845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52" t="s">
        <v>2</v>
      </c>
      <c r="B5" s="845"/>
      <c r="C5" s="845"/>
      <c r="D5" s="845"/>
      <c r="E5" s="845"/>
      <c r="F5" s="845"/>
      <c r="G5" s="853"/>
      <c r="H5" s="846" t="s">
        <v>3</v>
      </c>
      <c r="I5" s="848" t="s">
        <v>4</v>
      </c>
      <c r="J5" s="849"/>
      <c r="K5" s="847"/>
      <c r="L5" s="850" t="s">
        <v>5</v>
      </c>
      <c r="M5" s="847"/>
      <c r="N5" s="851" t="s">
        <v>6</v>
      </c>
      <c r="O5" s="849"/>
      <c r="P5" s="847"/>
    </row>
    <row r="6" spans="1:26" ht="19.5">
      <c r="A6" s="854"/>
      <c r="B6" s="849"/>
      <c r="C6" s="849"/>
      <c r="D6" s="849"/>
      <c r="E6" s="849"/>
      <c r="F6" s="849"/>
      <c r="G6" s="847"/>
      <c r="H6" s="847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55" t="s">
        <v>15</v>
      </c>
      <c r="B7" s="849"/>
      <c r="C7" s="849"/>
      <c r="D7" s="849"/>
      <c r="E7" s="849"/>
      <c r="F7" s="849"/>
      <c r="G7" s="847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2689293</v>
      </c>
      <c r="M8" s="22">
        <f t="shared" ca="1" si="0"/>
        <v>1177990</v>
      </c>
      <c r="N8" s="22">
        <f t="shared" ca="1" si="0"/>
        <v>740488.63</v>
      </c>
      <c r="O8" s="22">
        <f t="shared" ref="O8:O16" ca="1" si="1">IF(L8&gt;0,N8*100/L8,0)</f>
        <v>27.53469517824945</v>
      </c>
      <c r="P8" s="22">
        <f t="shared" ref="P8:P16" ca="1" si="2">IF(M8&gt;0,N8*100/M8,0)</f>
        <v>62.860349408738614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2689293</v>
      </c>
      <c r="M10" s="30">
        <f t="shared" ca="1" si="3"/>
        <v>1177990</v>
      </c>
      <c r="N10" s="30">
        <f t="shared" ca="1" si="3"/>
        <v>740488.63</v>
      </c>
      <c r="O10" s="30">
        <f t="shared" ca="1" si="1"/>
        <v>27.53469517824945</v>
      </c>
      <c r="P10" s="30">
        <f t="shared" ca="1" si="2"/>
        <v>62.860349408738614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16" t="s">
        <v>12</v>
      </c>
      <c r="I11" s="269"/>
      <c r="J11" s="269"/>
      <c r="K11" s="496"/>
      <c r="L11" s="496">
        <f t="shared" ref="L11:N11" ca="1" si="4">L12+L13</f>
        <v>2615393</v>
      </c>
      <c r="M11" s="496">
        <f t="shared" ca="1" si="4"/>
        <v>1104090</v>
      </c>
      <c r="N11" s="496">
        <f t="shared" ca="1" si="4"/>
        <v>666588.63</v>
      </c>
      <c r="O11" s="496">
        <f t="shared" ca="1" si="1"/>
        <v>25.487130614787148</v>
      </c>
      <c r="P11" s="496">
        <f t="shared" ca="1" si="2"/>
        <v>60.374483058446323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2" t="s">
        <v>18</v>
      </c>
      <c r="F12" s="40"/>
      <c r="G12" s="42"/>
      <c r="H12" s="43" t="s">
        <v>12</v>
      </c>
      <c r="I12" s="610"/>
      <c r="J12" s="610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2" t="s">
        <v>19</v>
      </c>
      <c r="F13" s="40"/>
      <c r="G13" s="42"/>
      <c r="H13" s="43" t="s">
        <v>12</v>
      </c>
      <c r="I13" s="610"/>
      <c r="J13" s="610"/>
      <c r="K13" s="93"/>
      <c r="L13" s="93">
        <f t="shared" ca="1" si="5"/>
        <v>2615393</v>
      </c>
      <c r="M13" s="93">
        <f t="shared" ca="1" si="5"/>
        <v>1104090</v>
      </c>
      <c r="N13" s="93">
        <f t="shared" ca="1" si="5"/>
        <v>666588.63</v>
      </c>
      <c r="O13" s="93">
        <f t="shared" ca="1" si="1"/>
        <v>25.487130614787148</v>
      </c>
      <c r="P13" s="93">
        <f t="shared" ca="1" si="2"/>
        <v>60.374483058446323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16" t="s">
        <v>12</v>
      </c>
      <c r="I14" s="269"/>
      <c r="J14" s="269"/>
      <c r="K14" s="496"/>
      <c r="L14" s="496">
        <f t="shared" ref="L14:N14" ca="1" si="6">L15+L16</f>
        <v>73900</v>
      </c>
      <c r="M14" s="496">
        <f t="shared" ca="1" si="6"/>
        <v>73900</v>
      </c>
      <c r="N14" s="496">
        <f t="shared" ca="1" si="6"/>
        <v>73900</v>
      </c>
      <c r="O14" s="496">
        <f t="shared" ca="1" si="1"/>
        <v>100</v>
      </c>
      <c r="P14" s="496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2" t="s">
        <v>18</v>
      </c>
      <c r="F15" s="40"/>
      <c r="G15" s="42"/>
      <c r="H15" s="43" t="s">
        <v>12</v>
      </c>
      <c r="I15" s="610"/>
      <c r="J15" s="610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73900</v>
      </c>
      <c r="M16" s="52">
        <f t="shared" ca="1" si="7"/>
        <v>73900</v>
      </c>
      <c r="N16" s="52">
        <f t="shared" ca="1" si="7"/>
        <v>73900</v>
      </c>
      <c r="O16" s="52">
        <f t="shared" ca="1" si="1"/>
        <v>100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55" t="s">
        <v>22</v>
      </c>
      <c r="B17" s="849"/>
      <c r="C17" s="849"/>
      <c r="D17" s="849"/>
      <c r="E17" s="849"/>
      <c r="F17" s="849"/>
      <c r="G17" s="847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2195810</v>
      </c>
      <c r="M18" s="22">
        <f t="shared" ca="1" si="8"/>
        <v>1177990</v>
      </c>
      <c r="N18" s="22">
        <f t="shared" ca="1" si="8"/>
        <v>712685.63</v>
      </c>
      <c r="O18" s="22">
        <f t="shared" ref="O18:O26" ca="1" si="9">IF(L18&gt;0,N18*100/L18,0)</f>
        <v>32.456616464994696</v>
      </c>
      <c r="P18" s="22">
        <f t="shared" ref="P18:P26" ca="1" si="10">IF(M18&gt;0,N18*100/M18,0)</f>
        <v>60.500142615811676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2195810</v>
      </c>
      <c r="M20" s="30">
        <f t="shared" ca="1" si="11"/>
        <v>1177990</v>
      </c>
      <c r="N20" s="30">
        <f t="shared" ca="1" si="11"/>
        <v>712685.63</v>
      </c>
      <c r="O20" s="30">
        <f t="shared" ca="1" si="9"/>
        <v>32.456616464994696</v>
      </c>
      <c r="P20" s="30">
        <f t="shared" ca="1" si="10"/>
        <v>60.500142615811676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16" t="s">
        <v>12</v>
      </c>
      <c r="I21" s="269"/>
      <c r="J21" s="269"/>
      <c r="K21" s="496"/>
      <c r="L21" s="496">
        <f t="shared" ref="L21:N21" ca="1" si="12">L22+L23</f>
        <v>2121910</v>
      </c>
      <c r="M21" s="496">
        <f t="shared" ca="1" si="12"/>
        <v>1104090</v>
      </c>
      <c r="N21" s="496">
        <f t="shared" ca="1" si="12"/>
        <v>638785.63</v>
      </c>
      <c r="O21" s="496">
        <f t="shared" ca="1" si="9"/>
        <v>30.104275393395572</v>
      </c>
      <c r="P21" s="496">
        <f t="shared" ca="1" si="10"/>
        <v>57.856300663895155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2" t="s">
        <v>18</v>
      </c>
      <c r="F22" s="40"/>
      <c r="G22" s="42"/>
      <c r="H22" s="43" t="s">
        <v>12</v>
      </c>
      <c r="I22" s="610"/>
      <c r="J22" s="610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2" t="s">
        <v>19</v>
      </c>
      <c r="F23" s="40"/>
      <c r="G23" s="42"/>
      <c r="H23" s="43" t="s">
        <v>12</v>
      </c>
      <c r="I23" s="610"/>
      <c r="J23" s="610"/>
      <c r="K23" s="93"/>
      <c r="L23" s="93">
        <f t="shared" ca="1" si="13"/>
        <v>2121910</v>
      </c>
      <c r="M23" s="93">
        <f t="shared" ca="1" si="13"/>
        <v>1104090</v>
      </c>
      <c r="N23" s="93">
        <f t="shared" ca="1" si="13"/>
        <v>638785.63</v>
      </c>
      <c r="O23" s="93">
        <f t="shared" ca="1" si="9"/>
        <v>30.104275393395572</v>
      </c>
      <c r="P23" s="93">
        <f t="shared" ca="1" si="10"/>
        <v>57.856300663895155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16" t="s">
        <v>12</v>
      </c>
      <c r="I24" s="269"/>
      <c r="J24" s="269"/>
      <c r="K24" s="496"/>
      <c r="L24" s="496">
        <f t="shared" ref="L24:N24" ca="1" si="14">L25+L26</f>
        <v>73900</v>
      </c>
      <c r="M24" s="496">
        <f t="shared" ca="1" si="14"/>
        <v>73900</v>
      </c>
      <c r="N24" s="496">
        <f t="shared" ca="1" si="14"/>
        <v>73900</v>
      </c>
      <c r="O24" s="496">
        <f t="shared" ca="1" si="9"/>
        <v>100</v>
      </c>
      <c r="P24" s="496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2" t="s">
        <v>18</v>
      </c>
      <c r="F25" s="40"/>
      <c r="G25" s="42"/>
      <c r="H25" s="43" t="s">
        <v>12</v>
      </c>
      <c r="I25" s="610"/>
      <c r="J25" s="610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73900</v>
      </c>
      <c r="M26" s="52">
        <f t="shared" ca="1" si="15"/>
        <v>73900</v>
      </c>
      <c r="N26" s="52">
        <f t="shared" ca="1" si="15"/>
        <v>73900</v>
      </c>
      <c r="O26" s="52">
        <f t="shared" ca="1" si="9"/>
        <v>100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55" t="s">
        <v>23</v>
      </c>
      <c r="B27" s="849"/>
      <c r="C27" s="849"/>
      <c r="D27" s="849"/>
      <c r="E27" s="849"/>
      <c r="F27" s="849"/>
      <c r="G27" s="847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493483</v>
      </c>
      <c r="M28" s="22">
        <f t="shared" si="16"/>
        <v>0</v>
      </c>
      <c r="N28" s="22">
        <f t="shared" si="16"/>
        <v>27803</v>
      </c>
      <c r="O28" s="22">
        <f t="shared" ref="O28:O37" ca="1" si="17">IF(L28&gt;0,N28*100/L28,0)</f>
        <v>5.6340339991448536</v>
      </c>
      <c r="P28" s="22">
        <f t="shared" ref="P28:P37" si="18">IF(M28&gt;0,N28*100/M28,0)</f>
        <v>0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493483</v>
      </c>
      <c r="M30" s="30">
        <f t="shared" si="19"/>
        <v>0</v>
      </c>
      <c r="N30" s="30">
        <f t="shared" si="19"/>
        <v>27803</v>
      </c>
      <c r="O30" s="30">
        <f t="shared" ca="1" si="17"/>
        <v>5.6340339991448536</v>
      </c>
      <c r="P30" s="30">
        <f t="shared" si="18"/>
        <v>0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16" t="s">
        <v>12</v>
      </c>
      <c r="I31" s="269"/>
      <c r="J31" s="269"/>
      <c r="K31" s="496"/>
      <c r="L31" s="496">
        <f t="shared" ref="L31:N31" ca="1" si="20">L32+L33</f>
        <v>493483</v>
      </c>
      <c r="M31" s="496">
        <f t="shared" si="20"/>
        <v>0</v>
      </c>
      <c r="N31" s="496">
        <f t="shared" si="20"/>
        <v>27803</v>
      </c>
      <c r="O31" s="496">
        <f t="shared" ca="1" si="17"/>
        <v>5.6340339991448536</v>
      </c>
      <c r="P31" s="496">
        <f t="shared" si="18"/>
        <v>0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2" t="s">
        <v>18</v>
      </c>
      <c r="F32" s="40"/>
      <c r="G32" s="42"/>
      <c r="H32" s="43" t="s">
        <v>12</v>
      </c>
      <c r="I32" s="610"/>
      <c r="J32" s="610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2" t="s">
        <v>19</v>
      </c>
      <c r="F33" s="40"/>
      <c r="G33" s="42"/>
      <c r="H33" s="43" t="s">
        <v>12</v>
      </c>
      <c r="I33" s="610"/>
      <c r="J33" s="610"/>
      <c r="K33" s="93"/>
      <c r="L33" s="93">
        <f t="shared" ca="1" si="21"/>
        <v>493483</v>
      </c>
      <c r="M33" s="93">
        <f t="shared" si="21"/>
        <v>0</v>
      </c>
      <c r="N33" s="93">
        <f t="shared" si="21"/>
        <v>27803</v>
      </c>
      <c r="O33" s="93">
        <f t="shared" ca="1" si="17"/>
        <v>5.6340339991448536</v>
      </c>
      <c r="P33" s="93">
        <f t="shared" si="18"/>
        <v>0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16" t="s">
        <v>12</v>
      </c>
      <c r="I34" s="269"/>
      <c r="J34" s="269"/>
      <c r="K34" s="496"/>
      <c r="L34" s="496">
        <f t="shared" ref="L34:N34" ca="1" si="22">L35+L36</f>
        <v>0</v>
      </c>
      <c r="M34" s="496">
        <f t="shared" si="22"/>
        <v>0</v>
      </c>
      <c r="N34" s="496">
        <f t="shared" si="22"/>
        <v>0</v>
      </c>
      <c r="O34" s="496">
        <f t="shared" ca="1" si="17"/>
        <v>0</v>
      </c>
      <c r="P34" s="496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2" t="s">
        <v>18</v>
      </c>
      <c r="F35" s="40"/>
      <c r="G35" s="42"/>
      <c r="H35" s="43" t="s">
        <v>12</v>
      </c>
      <c r="I35" s="610"/>
      <c r="J35" s="610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53" t="s">
        <v>24</v>
      </c>
      <c r="B37" s="54"/>
      <c r="C37" s="54"/>
      <c r="D37" s="54"/>
      <c r="E37" s="54"/>
      <c r="F37" s="54"/>
      <c r="G37" s="55"/>
      <c r="H37" s="56"/>
      <c r="I37" s="423"/>
      <c r="J37" s="423"/>
      <c r="K37" s="58"/>
      <c r="L37" s="59">
        <f t="shared" ref="L37:N37" ca="1" si="24">L41+L53+L66+L88+L119+L132+L149+L165+L181+L261+L277+L298+L315+L328+L345+L389+L402</f>
        <v>2195810</v>
      </c>
      <c r="M37" s="59">
        <f t="shared" ca="1" si="24"/>
        <v>1177990</v>
      </c>
      <c r="N37" s="59">
        <f t="shared" ca="1" si="24"/>
        <v>712685.63</v>
      </c>
      <c r="O37" s="59">
        <f t="shared" ca="1" si="17"/>
        <v>32.456616464994696</v>
      </c>
      <c r="P37" s="59">
        <f t="shared" ca="1" si="18"/>
        <v>60.500142615811676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56" t="s">
        <v>27</v>
      </c>
      <c r="C40" s="857"/>
      <c r="D40" s="857"/>
      <c r="E40" s="857"/>
      <c r="F40" s="857"/>
      <c r="G40" s="858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20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355100</v>
      </c>
      <c r="M41" s="85">
        <f t="shared" ca="1" si="25"/>
        <v>183400</v>
      </c>
      <c r="N41" s="85">
        <f t="shared" ca="1" si="25"/>
        <v>93300</v>
      </c>
      <c r="O41" s="85">
        <f t="shared" ref="O41:O49" ca="1" si="26">IF(L41&gt;0,N41*100/L41,0)</f>
        <v>26.274288932695015</v>
      </c>
      <c r="P41" s="85">
        <f t="shared" ref="P41:P49" ca="1" si="27">IF(M41&gt;0,N41*100/M41,0)</f>
        <v>50.872410032715379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355100</v>
      </c>
      <c r="M43" s="92">
        <f t="shared" ca="1" si="28"/>
        <v>183400</v>
      </c>
      <c r="N43" s="92">
        <f t="shared" ca="1" si="28"/>
        <v>93300</v>
      </c>
      <c r="O43" s="92">
        <f t="shared" ca="1" si="26"/>
        <v>26.274288932695015</v>
      </c>
      <c r="P43" s="92">
        <f t="shared" ca="1" si="27"/>
        <v>50.872410032715379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16" t="s">
        <v>12</v>
      </c>
      <c r="I44" s="269"/>
      <c r="J44" s="269"/>
      <c r="K44" s="496"/>
      <c r="L44" s="496">
        <f t="shared" ref="L44:N44" ca="1" si="29">L45+L46</f>
        <v>355100</v>
      </c>
      <c r="M44" s="496">
        <f t="shared" ca="1" si="29"/>
        <v>183400</v>
      </c>
      <c r="N44" s="496">
        <f t="shared" ca="1" si="29"/>
        <v>93300</v>
      </c>
      <c r="O44" s="496">
        <f t="shared" ca="1" si="26"/>
        <v>26.274288932695015</v>
      </c>
      <c r="P44" s="496">
        <f t="shared" ca="1" si="27"/>
        <v>50.872410032715379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2" t="s">
        <v>18</v>
      </c>
      <c r="F45" s="40"/>
      <c r="G45" s="42"/>
      <c r="H45" s="43" t="s">
        <v>12</v>
      </c>
      <c r="I45" s="610"/>
      <c r="J45" s="610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2" t="s">
        <v>19</v>
      </c>
      <c r="F46" s="40"/>
      <c r="G46" s="42"/>
      <c r="H46" s="43" t="s">
        <v>12</v>
      </c>
      <c r="I46" s="610"/>
      <c r="J46" s="610"/>
      <c r="K46" s="93"/>
      <c r="L46" s="93">
        <f ca="1">IFERROR(__xludf.DUMMYFUNCTION("IMPORTRANGE(""https://docs.google.com/spreadsheets/d/1MeEWN-I1oV_STSDYn1IFDPWt_1FKiwhDph83XaGc0o0/edit?usp=sharing"",""งบพรบ!M65"")"),355100)</f>
        <v>355100</v>
      </c>
      <c r="M46" s="93">
        <f ca="1">IFERROR(__xludf.DUMMYFUNCTION("IMPORTRANGE(""https://docs.google.com/spreadsheets/d/1MeEWN-I1oV_STSDYn1IFDPWt_1FKiwhDph83XaGc0o0/edit?usp=sharing"",""งบพรบ!R65"")"),183400)</f>
        <v>183400</v>
      </c>
      <c r="N46" s="93">
        <f ca="1">IFERROR(__xludf.DUMMYFUNCTION("IMPORTRANGE(""https://docs.google.com/spreadsheets/d/1MeEWN-I1oV_STSDYn1IFDPWt_1FKiwhDph83XaGc0o0/edit?usp=sharing"",""งบพรบ!T65"")"),93300)</f>
        <v>93300</v>
      </c>
      <c r="O46" s="93">
        <f t="shared" ca="1" si="26"/>
        <v>26.274288932695015</v>
      </c>
      <c r="P46" s="93">
        <f t="shared" ca="1" si="27"/>
        <v>50.872410032715379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16" t="s">
        <v>12</v>
      </c>
      <c r="I47" s="269"/>
      <c r="J47" s="269"/>
      <c r="K47" s="496"/>
      <c r="L47" s="496">
        <f t="shared" ref="L47:N47" ca="1" si="30">L48+L49</f>
        <v>0</v>
      </c>
      <c r="M47" s="496">
        <f t="shared" ca="1" si="30"/>
        <v>0</v>
      </c>
      <c r="N47" s="496">
        <f t="shared" ca="1" si="30"/>
        <v>0</v>
      </c>
      <c r="O47" s="496">
        <f t="shared" ca="1" si="26"/>
        <v>0</v>
      </c>
      <c r="P47" s="496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2" t="s">
        <v>18</v>
      </c>
      <c r="F48" s="40"/>
      <c r="G48" s="42"/>
      <c r="H48" s="43" t="s">
        <v>12</v>
      </c>
      <c r="I48" s="610"/>
      <c r="J48" s="610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IFERROR(__xludf.DUMMYFUNCTION("IMPORTRANGE(""https://docs.google.com/spreadsheets/d/1MeEWN-I1oV_STSDYn1IFDPWt_1FKiwhDph83XaGc0o0/edit?usp=sharing"",""งบพรบ!P65"")"),0)</f>
        <v>0</v>
      </c>
      <c r="M49" s="52">
        <f ca="1">IFERROR(__xludf.DUMMYFUNCTION("IMPORTRANGE(""https://docs.google.com/spreadsheets/d/1MeEWN-I1oV_STSDYn1IFDPWt_1FKiwhDph83XaGc0o0/edit?usp=sharing"",""งบพรบ!S65"")"),0)</f>
        <v>0</v>
      </c>
      <c r="N49" s="52">
        <f ca="1">IFERROR(__xludf.DUMMYFUNCTION("IMPORTRANGE(""https://docs.google.com/spreadsheets/d/1MeEWN-I1oV_STSDYn1IFDPWt_1FKiwhDph83XaGc0o0/edit?usp=sharing"",""งบพรบ!U65"")"),0)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59" t="s">
        <v>28</v>
      </c>
      <c r="B50" s="849"/>
      <c r="C50" s="849"/>
      <c r="D50" s="849"/>
      <c r="E50" s="849"/>
      <c r="F50" s="849"/>
      <c r="G50" s="847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60" t="s">
        <v>29</v>
      </c>
      <c r="C51" s="857"/>
      <c r="D51" s="857"/>
      <c r="E51" s="857"/>
      <c r="F51" s="857"/>
      <c r="G51" s="858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21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714600</v>
      </c>
      <c r="M53" s="116">
        <f t="shared" ca="1" si="31"/>
        <v>427870</v>
      </c>
      <c r="N53" s="116">
        <f t="shared" ca="1" si="31"/>
        <v>345845.63</v>
      </c>
      <c r="O53" s="116">
        <f t="shared" ref="O53:O61" ca="1" si="32">IF(L53&gt;0,N53*100/L53,0)</f>
        <v>48.397093478869294</v>
      </c>
      <c r="P53" s="116">
        <f t="shared" ref="P53:P61" ca="1" si="33">IF(M53&gt;0,N53*100/M53,0)</f>
        <v>80.829604786500568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714600</v>
      </c>
      <c r="M55" s="123">
        <f t="shared" ca="1" si="34"/>
        <v>427870</v>
      </c>
      <c r="N55" s="123">
        <f t="shared" ca="1" si="34"/>
        <v>345845.63</v>
      </c>
      <c r="O55" s="123">
        <f t="shared" ca="1" si="32"/>
        <v>48.397093478869294</v>
      </c>
      <c r="P55" s="123">
        <f t="shared" ca="1" si="33"/>
        <v>80.829604786500568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16" t="s">
        <v>12</v>
      </c>
      <c r="I56" s="269"/>
      <c r="J56" s="269"/>
      <c r="K56" s="496"/>
      <c r="L56" s="496">
        <f t="shared" ref="L56:N56" ca="1" si="35">L57+L58</f>
        <v>686700</v>
      </c>
      <c r="M56" s="496">
        <f t="shared" ca="1" si="35"/>
        <v>399970</v>
      </c>
      <c r="N56" s="496">
        <f t="shared" ca="1" si="35"/>
        <v>317945.63</v>
      </c>
      <c r="O56" s="496">
        <f t="shared" ca="1" si="32"/>
        <v>46.30051405271589</v>
      </c>
      <c r="P56" s="496">
        <f t="shared" ca="1" si="33"/>
        <v>79.492369427707075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2" t="s">
        <v>18</v>
      </c>
      <c r="F57" s="40"/>
      <c r="G57" s="42"/>
      <c r="H57" s="43" t="s">
        <v>12</v>
      </c>
      <c r="I57" s="610"/>
      <c r="J57" s="610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2" t="s">
        <v>19</v>
      </c>
      <c r="F58" s="40"/>
      <c r="G58" s="42"/>
      <c r="H58" s="43" t="s">
        <v>12</v>
      </c>
      <c r="I58" s="610"/>
      <c r="J58" s="610"/>
      <c r="K58" s="93"/>
      <c r="L58" s="93">
        <f ca="1">IFERROR(__xludf.DUMMYFUNCTION("IMPORTRANGE(""https://docs.google.com/spreadsheets/d/1MeEWN-I1oV_STSDYn1IFDPWt_1FKiwhDph83XaGc0o0/edit?usp=sharing"",""งบพรบ!W65"")"),686700)</f>
        <v>686700</v>
      </c>
      <c r="M58" s="93">
        <f ca="1">IFERROR(__xludf.DUMMYFUNCTION("IMPORTRANGE(""https://docs.google.com/spreadsheets/d/1MeEWN-I1oV_STSDYn1IFDPWt_1FKiwhDph83XaGc0o0/edit?usp=sharing"",""งบพรบ!AB65"")"),399970)</f>
        <v>399970</v>
      </c>
      <c r="N58" s="93">
        <f ca="1">IFERROR(__xludf.DUMMYFUNCTION("IMPORTRANGE(""https://docs.google.com/spreadsheets/d/1MeEWN-I1oV_STSDYn1IFDPWt_1FKiwhDph83XaGc0o0/edit?usp=sharing"",""งบพรบ!AD65"")"),317945.63)</f>
        <v>317945.63</v>
      </c>
      <c r="O58" s="93">
        <f t="shared" ca="1" si="32"/>
        <v>46.30051405271589</v>
      </c>
      <c r="P58" s="93">
        <f t="shared" ca="1" si="33"/>
        <v>79.492369427707075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16" t="s">
        <v>12</v>
      </c>
      <c r="I59" s="269"/>
      <c r="J59" s="269"/>
      <c r="K59" s="496"/>
      <c r="L59" s="496">
        <f t="shared" ref="L59:N59" ca="1" si="36">L60+L61</f>
        <v>27900</v>
      </c>
      <c r="M59" s="496">
        <f t="shared" ca="1" si="36"/>
        <v>27900</v>
      </c>
      <c r="N59" s="496">
        <f t="shared" ca="1" si="36"/>
        <v>27900</v>
      </c>
      <c r="O59" s="496">
        <f t="shared" ca="1" si="32"/>
        <v>100</v>
      </c>
      <c r="P59" s="496">
        <f t="shared" ca="1" si="33"/>
        <v>100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2" t="s">
        <v>18</v>
      </c>
      <c r="F60" s="40"/>
      <c r="G60" s="42"/>
      <c r="H60" s="43" t="s">
        <v>12</v>
      </c>
      <c r="I60" s="610"/>
      <c r="J60" s="610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IFERROR(__xludf.DUMMYFUNCTION("IMPORTRANGE(""https://docs.google.com/spreadsheets/d/1MeEWN-I1oV_STSDYn1IFDPWt_1FKiwhDph83XaGc0o0/edit?usp=sharing"",""งบพรบ!Z65"")"),27900)</f>
        <v>27900</v>
      </c>
      <c r="M61" s="52">
        <f ca="1">IFERROR(__xludf.DUMMYFUNCTION("IMPORTRANGE(""https://docs.google.com/spreadsheets/d/1MeEWN-I1oV_STSDYn1IFDPWt_1FKiwhDph83XaGc0o0/edit?usp=sharing"",""งบพรบ!AC65"")"),27900)</f>
        <v>27900</v>
      </c>
      <c r="N61" s="52">
        <f ca="1">IFERROR(__xludf.DUMMYFUNCTION("IMPORTRANGE(""https://docs.google.com/spreadsheets/d/1MeEWN-I1oV_STSDYn1IFDPWt_1FKiwhDph83XaGc0o0/edit?usp=sharing"",""งบพรบ!AE65"")"),27900)</f>
        <v>27900</v>
      </c>
      <c r="O61" s="52">
        <f t="shared" ca="1" si="32"/>
        <v>100</v>
      </c>
      <c r="P61" s="52">
        <f t="shared" ca="1" si="33"/>
        <v>100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 hidden="1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 hidden="1">
      <c r="A64" s="138"/>
      <c r="B64" s="208" t="s">
        <v>33</v>
      </c>
      <c r="C64" s="140"/>
      <c r="D64" s="141"/>
      <c r="E64" s="140"/>
      <c r="F64" s="140"/>
      <c r="G64" s="142"/>
      <c r="H64" s="143" t="s">
        <v>34</v>
      </c>
      <c r="I64" s="144">
        <f t="shared" ref="I64:J65" ca="1" si="37">I76</f>
        <v>0</v>
      </c>
      <c r="J64" s="144">
        <f t="shared" si="37"/>
        <v>0</v>
      </c>
      <c r="K64" s="145">
        <f t="shared" ref="K64:K65" ca="1" si="38">IF(I64&gt;0,J64*100/I64,0)</f>
        <v>0</v>
      </c>
      <c r="L64" s="146"/>
      <c r="M64" s="146"/>
      <c r="N64" s="146"/>
      <c r="O64" s="146"/>
      <c r="P64" s="146"/>
    </row>
    <row r="65" spans="1:26" ht="19.5" hidden="1">
      <c r="A65" s="138"/>
      <c r="B65" s="140"/>
      <c r="C65" s="140"/>
      <c r="D65" s="141"/>
      <c r="E65" s="140"/>
      <c r="F65" s="140"/>
      <c r="G65" s="142"/>
      <c r="H65" s="143" t="s">
        <v>35</v>
      </c>
      <c r="I65" s="144">
        <f t="shared" ca="1" si="37"/>
        <v>0</v>
      </c>
      <c r="J65" s="144">
        <f t="shared" si="37"/>
        <v>0</v>
      </c>
      <c r="K65" s="145">
        <f t="shared" ca="1" si="38"/>
        <v>0</v>
      </c>
      <c r="L65" s="146"/>
      <c r="M65" s="146"/>
      <c r="N65" s="146"/>
      <c r="O65" s="146"/>
      <c r="P65" s="146"/>
    </row>
    <row r="66" spans="1:26" ht="19.5" hidden="1">
      <c r="A66" s="147"/>
      <c r="B66" s="148"/>
      <c r="C66" s="149" t="s">
        <v>16</v>
      </c>
      <c r="D66" s="822" t="s">
        <v>17</v>
      </c>
      <c r="E66" s="148"/>
      <c r="F66" s="148"/>
      <c r="G66" s="151"/>
      <c r="H66" s="152" t="s">
        <v>12</v>
      </c>
      <c r="I66" s="419"/>
      <c r="J66" s="419"/>
      <c r="K66" s="154"/>
      <c r="L66" s="155">
        <f t="shared" ref="L66:N66" ca="1" si="39">L67+L68</f>
        <v>0</v>
      </c>
      <c r="M66" s="155">
        <f t="shared" ca="1" si="39"/>
        <v>0</v>
      </c>
      <c r="N66" s="155">
        <f t="shared" ca="1" si="39"/>
        <v>0</v>
      </c>
      <c r="O66" s="155">
        <f t="shared" ref="O66:O74" ca="1" si="40">IF(L66&gt;0,N66*100/L66,0)</f>
        <v>0</v>
      </c>
      <c r="P66" s="155">
        <f t="shared" ref="P66:P74" ca="1" si="41">IF(M66&gt;0,N66*100/M66,0)</f>
        <v>0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2" t="s">
        <v>18</v>
      </c>
      <c r="F67" s="40"/>
      <c r="G67" s="157"/>
      <c r="H67" s="158" t="s">
        <v>12</v>
      </c>
      <c r="I67" s="610"/>
      <c r="J67" s="610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2" t="s">
        <v>19</v>
      </c>
      <c r="F68" s="40"/>
      <c r="G68" s="157"/>
      <c r="H68" s="158" t="s">
        <v>12</v>
      </c>
      <c r="I68" s="610"/>
      <c r="J68" s="610"/>
      <c r="K68" s="93"/>
      <c r="L68" s="93">
        <f t="shared" ca="1" si="42"/>
        <v>0</v>
      </c>
      <c r="M68" s="93">
        <f t="shared" ca="1" si="42"/>
        <v>0</v>
      </c>
      <c r="N68" s="93">
        <f t="shared" ca="1" si="42"/>
        <v>0</v>
      </c>
      <c r="O68" s="93">
        <f t="shared" ca="1" si="40"/>
        <v>0</v>
      </c>
      <c r="P68" s="93">
        <f t="shared" ca="1" si="41"/>
        <v>0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 hidden="1">
      <c r="A69" s="159"/>
      <c r="B69" s="33"/>
      <c r="C69" s="281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6">
        <f t="shared" ref="L69:N69" ca="1" si="43">L70+L71</f>
        <v>0</v>
      </c>
      <c r="M69" s="496">
        <f t="shared" ca="1" si="43"/>
        <v>0</v>
      </c>
      <c r="N69" s="496">
        <f t="shared" ca="1" si="43"/>
        <v>0</v>
      </c>
      <c r="O69" s="496">
        <f t="shared" ca="1" si="40"/>
        <v>0</v>
      </c>
      <c r="P69" s="496">
        <f t="shared" ca="1" si="41"/>
        <v>0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2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2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IFERROR(__xludf.DUMMYFUNCTION("IMPORTRANGE(""https://docs.google.com/spreadsheets/d/1MeEWN-I1oV_STSDYn1IFDPWt_1FKiwhDph83XaGc0o0/edit?usp=sharing"",""งบพรบ!AG65"")"),0)</f>
        <v>0</v>
      </c>
      <c r="M71" s="93">
        <f ca="1">IFERROR(__xludf.DUMMYFUNCTION("IMPORTRANGE(""https://docs.google.com/spreadsheets/d/1MeEWN-I1oV_STSDYn1IFDPWt_1FKiwhDph83XaGc0o0/edit?usp=sharing"",""งบพรบ!AL65"")"),0)</f>
        <v>0</v>
      </c>
      <c r="N71" s="93">
        <f ca="1">IFERROR(__xludf.DUMMYFUNCTION("IMPORTRANGE(""https://docs.google.com/spreadsheets/d/1MeEWN-I1oV_STSDYn1IFDPWt_1FKiwhDph83XaGc0o0/edit?usp=sharing"",""งบพรบ!AN65"")"),0)</f>
        <v>0</v>
      </c>
      <c r="O71" s="93">
        <f t="shared" ca="1" si="40"/>
        <v>0</v>
      </c>
      <c r="P71" s="93">
        <f t="shared" ca="1" si="41"/>
        <v>0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 hidden="1">
      <c r="A72" s="159"/>
      <c r="B72" s="33"/>
      <c r="C72" s="281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6">
        <f t="shared" ref="L72:N72" ca="1" si="44">L73+L74</f>
        <v>0</v>
      </c>
      <c r="M72" s="496">
        <f t="shared" ca="1" si="44"/>
        <v>0</v>
      </c>
      <c r="N72" s="496">
        <f t="shared" ca="1" si="44"/>
        <v>0</v>
      </c>
      <c r="O72" s="496">
        <f t="shared" ca="1" si="40"/>
        <v>0</v>
      </c>
      <c r="P72" s="496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2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2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IFERROR(__xludf.DUMMYFUNCTION("IMPORTRANGE(""https://docs.google.com/spreadsheets/d/1MeEWN-I1oV_STSDYn1IFDPWt_1FKiwhDph83XaGc0o0/edit?usp=sharing"",""งบพรบ!AJ65"")"),0)</f>
        <v>0</v>
      </c>
      <c r="M74" s="93">
        <f ca="1">IFERROR(__xludf.DUMMYFUNCTION("IMPORTRANGE(""https://docs.google.com/spreadsheets/d/1MeEWN-I1oV_STSDYn1IFDPWt_1FKiwhDph83XaGc0o0/edit?usp=sharing"",""งบพรบ!AM65"")"),0)</f>
        <v>0</v>
      </c>
      <c r="N74" s="93">
        <f ca="1">IFERROR(__xludf.DUMMYFUNCTION("IMPORTRANGE(""https://docs.google.com/spreadsheets/d/1MeEWN-I1oV_STSDYn1IFDPWt_1FKiwhDph83XaGc0o0/edit?usp=sharing"",""งบพรบ!AO65"")"),0)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 hidden="1">
      <c r="A75" s="170"/>
      <c r="B75" s="171"/>
      <c r="C75" s="164" t="s">
        <v>16</v>
      </c>
      <c r="D75" s="823" t="s">
        <v>38</v>
      </c>
      <c r="E75" s="173"/>
      <c r="F75" s="173"/>
      <c r="G75" s="174"/>
      <c r="H75" s="753"/>
      <c r="I75" s="184"/>
      <c r="J75" s="184"/>
      <c r="K75" s="163"/>
      <c r="L75" s="163"/>
      <c r="M75" s="163"/>
      <c r="N75" s="163"/>
      <c r="O75" s="163"/>
      <c r="P75" s="163"/>
    </row>
    <row r="76" spans="1:26" ht="19.5" hidden="1">
      <c r="A76" s="170"/>
      <c r="B76" s="171"/>
      <c r="C76" s="171"/>
      <c r="D76" s="176" t="s">
        <v>39</v>
      </c>
      <c r="E76" s="446"/>
      <c r="F76" s="178"/>
      <c r="G76" s="179"/>
      <c r="H76" s="180" t="s">
        <v>34</v>
      </c>
      <c r="I76" s="269">
        <f t="shared" ref="I76:J77" ca="1" si="45">I78+I80+I82</f>
        <v>0</v>
      </c>
      <c r="J76" s="269">
        <f t="shared" si="45"/>
        <v>0</v>
      </c>
      <c r="K76" s="163">
        <f t="shared" ref="K76:K84" ca="1" si="46">IF(I76&gt;0,J76*100/I76,0)</f>
        <v>0</v>
      </c>
      <c r="L76" s="163"/>
      <c r="M76" s="163"/>
      <c r="N76" s="163"/>
      <c r="O76" s="163"/>
      <c r="P76" s="163"/>
    </row>
    <row r="77" spans="1:26" ht="19.5" hidden="1">
      <c r="A77" s="170"/>
      <c r="B77" s="171"/>
      <c r="C77" s="171"/>
      <c r="D77" s="171"/>
      <c r="E77" s="178"/>
      <c r="F77" s="178"/>
      <c r="G77" s="179"/>
      <c r="H77" s="180" t="s">
        <v>35</v>
      </c>
      <c r="I77" s="269">
        <f t="shared" ca="1" si="45"/>
        <v>0</v>
      </c>
      <c r="J77" s="269">
        <f t="shared" si="45"/>
        <v>0</v>
      </c>
      <c r="K77" s="163">
        <f t="shared" ca="1" si="46"/>
        <v>0</v>
      </c>
      <c r="L77" s="163"/>
      <c r="M77" s="163"/>
      <c r="N77" s="163"/>
      <c r="O77" s="163"/>
      <c r="P77" s="163"/>
    </row>
    <row r="78" spans="1:26" ht="18.75" hidden="1">
      <c r="A78" s="170"/>
      <c r="B78" s="171"/>
      <c r="C78" s="171"/>
      <c r="D78" s="171"/>
      <c r="E78" s="446" t="s">
        <v>40</v>
      </c>
      <c r="F78" s="446"/>
      <c r="G78" s="179"/>
      <c r="H78" s="755" t="s">
        <v>34</v>
      </c>
      <c r="I78" s="184">
        <f ca="1">IFERROR(__xludf.DUMMYFUNCTION("IMPORTRANGE(""https://docs.google.com/spreadsheets/d/1QqKyyYR6Q21VydFLVH3TRQUabQu_ym0Zz7PgGX0-kHA/edit?usp=sharing"",""แผน!H65"")"),0)</f>
        <v>0</v>
      </c>
      <c r="J78" s="214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 hidden="1">
      <c r="A79" s="170"/>
      <c r="B79" s="171"/>
      <c r="C79" s="171"/>
      <c r="D79" s="171"/>
      <c r="E79" s="178"/>
      <c r="F79" s="178"/>
      <c r="G79" s="179"/>
      <c r="H79" s="755" t="s">
        <v>35</v>
      </c>
      <c r="I79" s="184">
        <f ca="1">IFERROR(__xludf.DUMMYFUNCTION("IMPORTRANGE(""https://docs.google.com/spreadsheets/d/1QqKyyYR6Q21VydFLVH3TRQUabQu_ym0Zz7PgGX0-kHA/edit?usp=sharing"",""แผน!I65"")"),0)</f>
        <v>0</v>
      </c>
      <c r="J79" s="214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 hidden="1">
      <c r="A80" s="170"/>
      <c r="B80" s="171"/>
      <c r="C80" s="171"/>
      <c r="D80" s="171"/>
      <c r="E80" s="446" t="s">
        <v>41</v>
      </c>
      <c r="F80" s="446"/>
      <c r="G80" s="179"/>
      <c r="H80" s="755" t="s">
        <v>34</v>
      </c>
      <c r="I80" s="184">
        <f ca="1">IFERROR(__xludf.DUMMYFUNCTION("IMPORTRANGE(""https://docs.google.com/spreadsheets/d/1QqKyyYR6Q21VydFLVH3TRQUabQu_ym0Zz7PgGX0-kHA/edit?usp=sharing"",""แผน!F65"")"),0)</f>
        <v>0</v>
      </c>
      <c r="J80" s="214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 hidden="1">
      <c r="A81" s="170"/>
      <c r="B81" s="171"/>
      <c r="C81" s="171"/>
      <c r="D81" s="171"/>
      <c r="E81" s="178"/>
      <c r="F81" s="178"/>
      <c r="G81" s="179"/>
      <c r="H81" s="755" t="s">
        <v>35</v>
      </c>
      <c r="I81" s="184">
        <f ca="1">IFERROR(__xludf.DUMMYFUNCTION("IMPORTRANGE(""https://docs.google.com/spreadsheets/d/1QqKyyYR6Q21VydFLVH3TRQUabQu_ym0Zz7PgGX0-kHA/edit?usp=sharing"",""แผน!G65"")"),0)</f>
        <v>0</v>
      </c>
      <c r="J81" s="214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 hidden="1">
      <c r="A82" s="170"/>
      <c r="B82" s="171"/>
      <c r="C82" s="171"/>
      <c r="D82" s="171"/>
      <c r="E82" s="446" t="s">
        <v>42</v>
      </c>
      <c r="F82" s="446"/>
      <c r="G82" s="179"/>
      <c r="H82" s="755" t="s">
        <v>34</v>
      </c>
      <c r="I82" s="184">
        <f ca="1">IFERROR(__xludf.DUMMYFUNCTION("IMPORTRANGE(""https://docs.google.com/spreadsheets/d/1QqKyyYR6Q21VydFLVH3TRQUabQu_ym0Zz7PgGX0-kHA/edit?usp=sharing"",""แผน!D65"")"),0)</f>
        <v>0</v>
      </c>
      <c r="J82" s="214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 hidden="1">
      <c r="A83" s="170"/>
      <c r="B83" s="171"/>
      <c r="C83" s="171"/>
      <c r="D83" s="171"/>
      <c r="E83" s="178"/>
      <c r="F83" s="178"/>
      <c r="G83" s="179"/>
      <c r="H83" s="755" t="s">
        <v>35</v>
      </c>
      <c r="I83" s="184">
        <f ca="1">IFERROR(__xludf.DUMMYFUNCTION("IMPORTRANGE(""https://docs.google.com/spreadsheets/d/1QqKyyYR6Q21VydFLVH3TRQUabQu_ym0Zz7PgGX0-kHA/edit?usp=sharing"",""แผน!E65"")"),0)</f>
        <v>0</v>
      </c>
      <c r="J83" s="214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 hidden="1">
      <c r="A84" s="170"/>
      <c r="B84" s="171"/>
      <c r="C84" s="171"/>
      <c r="D84" s="176" t="s">
        <v>43</v>
      </c>
      <c r="E84" s="446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IFERROR(__xludf.DUMMYFUNCTION("IMPORTRANGE(""https://docs.google.com/spreadsheets/d/1QqKyyYR6Q21VydFLVH3TRQUabQu_ym0Zz7PgGX0-kHA/edit?usp=sharing"",""แผน!J65"")"),0)</f>
        <v>0</v>
      </c>
      <c r="J84" s="214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8" t="s">
        <v>45</v>
      </c>
      <c r="C86" s="140"/>
      <c r="D86" s="141"/>
      <c r="E86" s="140"/>
      <c r="F86" s="140"/>
      <c r="G86" s="142"/>
      <c r="H86" s="143" t="s">
        <v>46</v>
      </c>
      <c r="I86" s="144">
        <f t="shared" ref="I86:J87" ca="1" si="47">I98</f>
        <v>60</v>
      </c>
      <c r="J86" s="144">
        <f t="shared" si="47"/>
        <v>0</v>
      </c>
      <c r="K86" s="145">
        <f t="shared" ref="K86:K87" ca="1" si="48">IF(I86&gt;0,J86*100/I86,0)</f>
        <v>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143" t="s">
        <v>35</v>
      </c>
      <c r="I87" s="144">
        <f t="shared" ca="1" si="47"/>
        <v>20</v>
      </c>
      <c r="J87" s="144">
        <f t="shared" si="47"/>
        <v>0</v>
      </c>
      <c r="K87" s="145">
        <f t="shared" ca="1" si="48"/>
        <v>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22" t="s">
        <v>17</v>
      </c>
      <c r="E88" s="148"/>
      <c r="F88" s="148"/>
      <c r="G88" s="151"/>
      <c r="H88" s="152" t="s">
        <v>12</v>
      </c>
      <c r="I88" s="419"/>
      <c r="J88" s="419"/>
      <c r="K88" s="154"/>
      <c r="L88" s="155">
        <f t="shared" ref="L88:N88" ca="1" si="49">L89+L90</f>
        <v>397480</v>
      </c>
      <c r="M88" s="155">
        <f t="shared" ca="1" si="49"/>
        <v>180330</v>
      </c>
      <c r="N88" s="155">
        <f t="shared" ca="1" si="49"/>
        <v>88467</v>
      </c>
      <c r="O88" s="155">
        <f t="shared" ref="O88:O96" ca="1" si="50">IF(L88&gt;0,N88*100/L88,0)</f>
        <v>22.256968904095803</v>
      </c>
      <c r="P88" s="155">
        <f t="shared" ref="P88:P96" ca="1" si="51">IF(M88&gt;0,N88*100/M88,0)</f>
        <v>49.05839294626518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2" t="s">
        <v>18</v>
      </c>
      <c r="F89" s="40"/>
      <c r="G89" s="157"/>
      <c r="H89" s="158" t="s">
        <v>12</v>
      </c>
      <c r="I89" s="610"/>
      <c r="J89" s="610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2" t="s">
        <v>19</v>
      </c>
      <c r="F90" s="40"/>
      <c r="G90" s="157"/>
      <c r="H90" s="158" t="s">
        <v>12</v>
      </c>
      <c r="I90" s="610"/>
      <c r="J90" s="610"/>
      <c r="K90" s="93"/>
      <c r="L90" s="93">
        <f t="shared" ca="1" si="52"/>
        <v>397480</v>
      </c>
      <c r="M90" s="93">
        <f t="shared" ca="1" si="52"/>
        <v>180330</v>
      </c>
      <c r="N90" s="93">
        <f t="shared" ca="1" si="52"/>
        <v>88467</v>
      </c>
      <c r="O90" s="93">
        <f t="shared" ca="1" si="50"/>
        <v>22.256968904095803</v>
      </c>
      <c r="P90" s="93">
        <f t="shared" ca="1" si="51"/>
        <v>49.05839294626518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1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6">
        <f t="shared" ref="L91:N91" ca="1" si="53">L92+L93</f>
        <v>397480</v>
      </c>
      <c r="M91" s="496">
        <f t="shared" ca="1" si="53"/>
        <v>180330</v>
      </c>
      <c r="N91" s="496">
        <f t="shared" ca="1" si="53"/>
        <v>88467</v>
      </c>
      <c r="O91" s="496">
        <f t="shared" ca="1" si="50"/>
        <v>22.256968904095803</v>
      </c>
      <c r="P91" s="496">
        <f t="shared" ca="1" si="51"/>
        <v>49.05839294626518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2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2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IFERROR(__xludf.DUMMYFUNCTION("IMPORTRANGE(""https://docs.google.com/spreadsheets/d/1MeEWN-I1oV_STSDYn1IFDPWt_1FKiwhDph83XaGc0o0/edit?usp=sharing"",""งบพรบ!AQ65"")"),397480)</f>
        <v>397480</v>
      </c>
      <c r="M93" s="93">
        <f ca="1">IFERROR(__xludf.DUMMYFUNCTION("IMPORTRANGE(""https://docs.google.com/spreadsheets/d/1MeEWN-I1oV_STSDYn1IFDPWt_1FKiwhDph83XaGc0o0/edit?usp=sharing"",""งบพรบ!AV65"")"),180330)</f>
        <v>180330</v>
      </c>
      <c r="N93" s="93">
        <f ca="1">IFERROR(__xludf.DUMMYFUNCTION("IMPORTRANGE(""https://docs.google.com/spreadsheets/d/1MeEWN-I1oV_STSDYn1IFDPWt_1FKiwhDph83XaGc0o0/edit?usp=sharing"",""งบพรบ!AX65"")"),88467)</f>
        <v>88467</v>
      </c>
      <c r="O93" s="93">
        <f t="shared" ca="1" si="50"/>
        <v>22.256968904095803</v>
      </c>
      <c r="P93" s="93">
        <f t="shared" ca="1" si="51"/>
        <v>49.05839294626518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1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6">
        <f t="shared" ref="L94:N94" ca="1" si="54">L95+L96</f>
        <v>0</v>
      </c>
      <c r="M94" s="496">
        <f t="shared" ca="1" si="54"/>
        <v>0</v>
      </c>
      <c r="N94" s="496">
        <f t="shared" ca="1" si="54"/>
        <v>0</v>
      </c>
      <c r="O94" s="496">
        <f t="shared" ca="1" si="50"/>
        <v>0</v>
      </c>
      <c r="P94" s="496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2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2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IFERROR(__xludf.DUMMYFUNCTION("IMPORTRANGE(""https://docs.google.com/spreadsheets/d/1MeEWN-I1oV_STSDYn1IFDPWt_1FKiwhDph83XaGc0o0/edit?usp=sharing"",""งบพรบ!AT65"")"),0)</f>
        <v>0</v>
      </c>
      <c r="M96" s="93">
        <f ca="1">IFERROR(__xludf.DUMMYFUNCTION("IMPORTRANGE(""https://docs.google.com/spreadsheets/d/1MeEWN-I1oV_STSDYn1IFDPWt_1FKiwhDph83XaGc0o0/edit?usp=sharing"",""งบพรบ!AW65"")"),0)</f>
        <v>0</v>
      </c>
      <c r="N96" s="93">
        <f ca="1">IFERROR(__xludf.DUMMYFUNCTION("IMPORTRANGE(""https://docs.google.com/spreadsheets/d/1MeEWN-I1oV_STSDYn1IFDPWt_1FKiwhDph83XaGc0o0/edit?usp=sharing"",""งบพรบ!AY65"")"),0)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23" t="s">
        <v>38</v>
      </c>
      <c r="E97" s="173"/>
      <c r="F97" s="173"/>
      <c r="G97" s="174"/>
      <c r="H97" s="753"/>
      <c r="I97" s="184"/>
      <c r="J97" s="269"/>
      <c r="K97" s="496"/>
      <c r="L97" s="496"/>
      <c r="M97" s="496"/>
      <c r="N97" s="496"/>
      <c r="O97" s="163"/>
      <c r="P97" s="163"/>
    </row>
    <row r="98" spans="1:16" ht="18.75">
      <c r="A98" s="170"/>
      <c r="B98" s="171"/>
      <c r="C98" s="171"/>
      <c r="D98" s="446" t="s">
        <v>47</v>
      </c>
      <c r="E98" s="446"/>
      <c r="F98" s="178"/>
      <c r="G98" s="179"/>
      <c r="H98" s="616" t="s">
        <v>46</v>
      </c>
      <c r="I98" s="269">
        <f ca="1">IFERROR(__xludf.DUMMYFUNCTION("IMPORTRANGE(""https://docs.google.com/spreadsheets/d/1QqKyyYR6Q21VydFLVH3TRQUabQu_ym0Zz7PgGX0-kHA/edit?usp=sharing"",""แผน!K65"")"),60)</f>
        <v>60</v>
      </c>
      <c r="J98" s="269">
        <f>J102</f>
        <v>0</v>
      </c>
      <c r="K98" s="496">
        <f t="shared" ref="K98:K100" ca="1" si="55">IF(I98&gt;0,J98*100/I98,0)</f>
        <v>0</v>
      </c>
      <c r="L98" s="496"/>
      <c r="M98" s="496"/>
      <c r="N98" s="496"/>
      <c r="O98" s="163"/>
      <c r="P98" s="163"/>
    </row>
    <row r="99" spans="1:16" ht="18.75">
      <c r="A99" s="170"/>
      <c r="B99" s="171"/>
      <c r="C99" s="171"/>
      <c r="D99" s="446" t="s">
        <v>48</v>
      </c>
      <c r="E99" s="446"/>
      <c r="F99" s="178"/>
      <c r="G99" s="179"/>
      <c r="H99" s="616" t="s">
        <v>35</v>
      </c>
      <c r="I99" s="269">
        <f ca="1">IFERROR(__xludf.DUMMYFUNCTION("IMPORTRANGE(""https://docs.google.com/spreadsheets/d/1QqKyyYR6Q21VydFLVH3TRQUabQu_ym0Zz7PgGX0-kHA/edit?usp=sharing"",""แผน!L65"")"),20)</f>
        <v>20</v>
      </c>
      <c r="J99" s="269">
        <f>J104</f>
        <v>0</v>
      </c>
      <c r="K99" s="496">
        <f t="shared" ca="1" si="55"/>
        <v>0</v>
      </c>
      <c r="L99" s="496"/>
      <c r="M99" s="496"/>
      <c r="N99" s="496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16" t="s">
        <v>49</v>
      </c>
      <c r="I100" s="269">
        <f ca="1">IFERROR(__xludf.DUMMYFUNCTION("IMPORTRANGE(""https://docs.google.com/spreadsheets/d/1QqKyyYR6Q21VydFLVH3TRQUabQu_ym0Zz7PgGX0-kHA/edit?usp=sharing"",""แผน!M65"")"),2)</f>
        <v>2</v>
      </c>
      <c r="J100" s="269">
        <f>J107+J110</f>
        <v>0</v>
      </c>
      <c r="K100" s="496">
        <f t="shared" ca="1" si="55"/>
        <v>0</v>
      </c>
      <c r="L100" s="496"/>
      <c r="M100" s="496"/>
      <c r="N100" s="496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16"/>
      <c r="I101" s="269"/>
      <c r="J101" s="269"/>
      <c r="K101" s="496"/>
      <c r="L101" s="496"/>
      <c r="M101" s="496"/>
      <c r="N101" s="496"/>
      <c r="O101" s="163"/>
      <c r="P101" s="163"/>
    </row>
    <row r="102" spans="1:16" ht="18.75">
      <c r="A102" s="170"/>
      <c r="B102" s="171"/>
      <c r="C102" s="171"/>
      <c r="D102" s="178"/>
      <c r="E102" s="619" t="s">
        <v>47</v>
      </c>
      <c r="F102" s="178"/>
      <c r="G102" s="179"/>
      <c r="H102" s="616" t="s">
        <v>46</v>
      </c>
      <c r="I102" s="269">
        <f ca="1">IFERROR(__xludf.DUMMYFUNCTION("IMPORTRANGE(""https://docs.google.com/spreadsheets/d/1QqKyyYR6Q21VydFLVH3TRQUabQu_ym0Zz7PgGX0-kHA/edit?usp=sharing"",""แผน!N65"")"),60)</f>
        <v>60</v>
      </c>
      <c r="J102" s="214">
        <v>0</v>
      </c>
      <c r="K102" s="496">
        <f t="shared" ref="K102:K104" ca="1" si="56">IF(I102&gt;0,J102*100/I102,0)</f>
        <v>0</v>
      </c>
      <c r="L102" s="496"/>
      <c r="M102" s="496"/>
      <c r="N102" s="496"/>
      <c r="O102" s="163"/>
      <c r="P102" s="163"/>
    </row>
    <row r="103" spans="1:16" ht="19.5">
      <c r="A103" s="170"/>
      <c r="B103" s="171"/>
      <c r="C103" s="171"/>
      <c r="D103" s="178"/>
      <c r="E103" s="446" t="s">
        <v>51</v>
      </c>
      <c r="F103" s="178"/>
      <c r="G103" s="179"/>
      <c r="H103" s="616" t="s">
        <v>35</v>
      </c>
      <c r="I103" s="269">
        <f ca="1">IFERROR(__xludf.DUMMYFUNCTION("IMPORTRANGE(""https://docs.google.com/spreadsheets/d/1QqKyyYR6Q21VydFLVH3TRQUabQu_ym0Zz7PgGX0-kHA/edit?usp=sharing"",""แผน!O65"")"),20)</f>
        <v>20</v>
      </c>
      <c r="J103" s="214">
        <v>0</v>
      </c>
      <c r="K103" s="496">
        <f t="shared" ca="1" si="56"/>
        <v>0</v>
      </c>
      <c r="L103" s="496"/>
      <c r="M103" s="496"/>
      <c r="N103" s="496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16" t="s">
        <v>35</v>
      </c>
      <c r="I104" s="269">
        <f ca="1">IFERROR(__xludf.DUMMYFUNCTION("IMPORTRANGE(""https://docs.google.com/spreadsheets/d/1QqKyyYR6Q21VydFLVH3TRQUabQu_ym0Zz7PgGX0-kHA/edit?usp=sharing"",""แผน!O65"")"),20)</f>
        <v>20</v>
      </c>
      <c r="J104" s="214">
        <v>0</v>
      </c>
      <c r="K104" s="496">
        <f t="shared" ca="1" si="56"/>
        <v>0</v>
      </c>
      <c r="L104" s="496"/>
      <c r="M104" s="496"/>
      <c r="N104" s="496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69"/>
      <c r="J105" s="269"/>
      <c r="K105" s="496"/>
      <c r="L105" s="496"/>
      <c r="M105" s="496"/>
      <c r="N105" s="496"/>
      <c r="O105" s="163"/>
      <c r="P105" s="163"/>
    </row>
    <row r="106" spans="1:16" ht="19.5">
      <c r="A106" s="170"/>
      <c r="B106" s="171"/>
      <c r="C106" s="171"/>
      <c r="D106" s="178"/>
      <c r="E106" s="446" t="s">
        <v>54</v>
      </c>
      <c r="F106" s="178"/>
      <c r="G106" s="179"/>
      <c r="H106" s="616" t="s">
        <v>49</v>
      </c>
      <c r="I106" s="269">
        <f ca="1">IFERROR(__xludf.DUMMYFUNCTION("IMPORTRANGE(""https://docs.google.com/spreadsheets/d/1QqKyyYR6Q21VydFLVH3TRQUabQu_ym0Zz7PgGX0-kHA/edit?usp=sharing"",""แผน!P65"")"),1)</f>
        <v>1</v>
      </c>
      <c r="J106" s="214">
        <v>0</v>
      </c>
      <c r="K106" s="496">
        <f t="shared" ref="K106:K107" ca="1" si="57">IF(I106&gt;0,J106*100/I106,0)</f>
        <v>0</v>
      </c>
      <c r="L106" s="496"/>
      <c r="M106" s="496"/>
      <c r="N106" s="496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16" t="s">
        <v>49</v>
      </c>
      <c r="I107" s="269">
        <f ca="1">IFERROR(__xludf.DUMMYFUNCTION("IMPORTRANGE(""https://docs.google.com/spreadsheets/d/1QqKyyYR6Q21VydFLVH3TRQUabQu_ym0Zz7PgGX0-kHA/edit?usp=sharing"",""แผน!P65"")"),1)</f>
        <v>1</v>
      </c>
      <c r="J107" s="214">
        <v>0</v>
      </c>
      <c r="K107" s="496">
        <f t="shared" ca="1" si="57"/>
        <v>0</v>
      </c>
      <c r="L107" s="496"/>
      <c r="M107" s="496"/>
      <c r="N107" s="496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69"/>
      <c r="J108" s="269"/>
      <c r="K108" s="496"/>
      <c r="L108" s="496"/>
      <c r="M108" s="496"/>
      <c r="N108" s="496"/>
      <c r="O108" s="163"/>
      <c r="P108" s="163"/>
    </row>
    <row r="109" spans="1:16" ht="19.5">
      <c r="A109" s="170"/>
      <c r="B109" s="171"/>
      <c r="C109" s="171"/>
      <c r="D109" s="178"/>
      <c r="E109" s="446" t="s">
        <v>57</v>
      </c>
      <c r="F109" s="178"/>
      <c r="G109" s="179"/>
      <c r="H109" s="616" t="s">
        <v>49</v>
      </c>
      <c r="I109" s="269">
        <f ca="1">IFERROR(__xludf.DUMMYFUNCTION("IMPORTRANGE(""https://docs.google.com/spreadsheets/d/1QqKyyYR6Q21VydFLVH3TRQUabQu_ym0Zz7PgGX0-kHA/edit?usp=sharing"",""แผน!Q65"")"),1)</f>
        <v>1</v>
      </c>
      <c r="J109" s="214">
        <v>0</v>
      </c>
      <c r="K109" s="496">
        <f t="shared" ref="K109:K116" ca="1" si="58">IF(I109&gt;0,J109*100/I109,0)</f>
        <v>0</v>
      </c>
      <c r="L109" s="496"/>
      <c r="M109" s="496"/>
      <c r="N109" s="496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16" t="s">
        <v>49</v>
      </c>
      <c r="I110" s="269">
        <f ca="1">IFERROR(__xludf.DUMMYFUNCTION("IMPORTRANGE(""https://docs.google.com/spreadsheets/d/1QqKyyYR6Q21VydFLVH3TRQUabQu_ym0Zz7PgGX0-kHA/edit?usp=sharing"",""แผน!Q65"")"),1)</f>
        <v>1</v>
      </c>
      <c r="J110" s="214">
        <v>0</v>
      </c>
      <c r="K110" s="496">
        <f t="shared" ca="1" si="58"/>
        <v>0</v>
      </c>
      <c r="L110" s="496"/>
      <c r="M110" s="496"/>
      <c r="N110" s="496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58" t="s">
        <v>35</v>
      </c>
      <c r="I111" s="193">
        <f ca="1">IFERROR(__xludf.DUMMYFUNCTION("IMPORTRANGE(""https://docs.google.com/spreadsheets/d/1QqKyyYR6Q21VydFLVH3TRQUabQu_ym0Zz7PgGX0-kHA/edit?usp=sharing"",""แผน!R65"")"),20)</f>
        <v>20</v>
      </c>
      <c r="J111" s="674">
        <f>J114</f>
        <v>0</v>
      </c>
      <c r="K111" s="195">
        <f t="shared" ca="1" si="58"/>
        <v>0</v>
      </c>
      <c r="L111" s="496"/>
      <c r="M111" s="496"/>
      <c r="N111" s="496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2</v>
      </c>
      <c r="J112" s="674">
        <f t="shared" si="59"/>
        <v>0</v>
      </c>
      <c r="K112" s="195">
        <f t="shared" ca="1" si="58"/>
        <v>0</v>
      </c>
      <c r="L112" s="496"/>
      <c r="M112" s="496"/>
      <c r="N112" s="496"/>
      <c r="O112" s="163"/>
      <c r="P112" s="163"/>
    </row>
    <row r="113" spans="1:26" ht="19.5">
      <c r="A113" s="170"/>
      <c r="B113" s="171"/>
      <c r="C113" s="171"/>
      <c r="D113" s="171"/>
      <c r="E113" s="525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IFERROR(__xludf.DUMMYFUNCTION("IMPORTRANGE(""https://docs.google.com/spreadsheets/d/1QqKyyYR6Q21VydFLVH3TRQUabQu_ym0Zz7PgGX0-kHA/edit?usp=sharing"",""แผน!R65"")"),20)</f>
        <v>20</v>
      </c>
      <c r="J113" s="214">
        <v>0</v>
      </c>
      <c r="K113" s="496">
        <f t="shared" ca="1" si="58"/>
        <v>0</v>
      </c>
      <c r="L113" s="496"/>
      <c r="M113" s="496"/>
      <c r="N113" s="496"/>
      <c r="O113" s="163"/>
      <c r="P113" s="163"/>
    </row>
    <row r="114" spans="1:26" ht="19.5">
      <c r="A114" s="170"/>
      <c r="B114" s="171"/>
      <c r="C114" s="171"/>
      <c r="D114" s="171"/>
      <c r="E114" s="446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IFERROR(__xludf.DUMMYFUNCTION("IMPORTRANGE(""https://docs.google.com/spreadsheets/d/1QqKyyYR6Q21VydFLVH3TRQUabQu_ym0Zz7PgGX0-kHA/edit?usp=sharing"",""แผน!R65"")"),20)</f>
        <v>20</v>
      </c>
      <c r="J114" s="214">
        <v>0</v>
      </c>
      <c r="K114" s="496">
        <f t="shared" ca="1" si="58"/>
        <v>0</v>
      </c>
      <c r="L114" s="496"/>
      <c r="M114" s="496"/>
      <c r="N114" s="496"/>
      <c r="O114" s="163"/>
      <c r="P114" s="163"/>
    </row>
    <row r="115" spans="1:26" ht="18.75">
      <c r="A115" s="170"/>
      <c r="B115" s="171"/>
      <c r="C115" s="171"/>
      <c r="D115" s="171"/>
      <c r="E115" s="446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IFERROR(__xludf.DUMMYFUNCTION("IMPORTRANGE(""https://docs.google.com/spreadsheets/d/1QqKyyYR6Q21VydFLVH3TRQUabQu_ym0Zz7PgGX0-kHA/edit?usp=sharing"",""แผน!S65"")"),1)</f>
        <v>1</v>
      </c>
      <c r="J115" s="214">
        <v>0</v>
      </c>
      <c r="K115" s="496">
        <f t="shared" ca="1" si="58"/>
        <v>0</v>
      </c>
      <c r="L115" s="496"/>
      <c r="M115" s="496"/>
      <c r="N115" s="496"/>
      <c r="O115" s="163"/>
      <c r="P115" s="163"/>
    </row>
    <row r="116" spans="1:26" ht="18.75">
      <c r="A116" s="170"/>
      <c r="B116" s="171"/>
      <c r="C116" s="171"/>
      <c r="D116" s="171"/>
      <c r="E116" s="446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IFERROR(__xludf.DUMMYFUNCTION("IMPORTRANGE(""https://docs.google.com/spreadsheets/d/1QqKyyYR6Q21VydFLVH3TRQUabQu_ym0Zz7PgGX0-kHA/edit?usp=sharing"",""แผน!T65"")"),1)</f>
        <v>1</v>
      </c>
      <c r="J116" s="214">
        <v>0</v>
      </c>
      <c r="K116" s="496">
        <f t="shared" ca="1" si="58"/>
        <v>0</v>
      </c>
      <c r="L116" s="496"/>
      <c r="M116" s="496"/>
      <c r="N116" s="496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8" t="s">
        <v>65</v>
      </c>
      <c r="C118" s="204"/>
      <c r="D118" s="141"/>
      <c r="E118" s="140"/>
      <c r="F118" s="140"/>
      <c r="G118" s="142"/>
      <c r="H118" s="143"/>
      <c r="I118" s="205"/>
      <c r="J118" s="205"/>
      <c r="K118" s="146"/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22" t="s">
        <v>17</v>
      </c>
      <c r="E119" s="148"/>
      <c r="F119" s="148"/>
      <c r="G119" s="151"/>
      <c r="H119" s="152" t="s">
        <v>12</v>
      </c>
      <c r="I119" s="419"/>
      <c r="J119" s="419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2" t="s">
        <v>18</v>
      </c>
      <c r="F120" s="40"/>
      <c r="G120" s="157"/>
      <c r="H120" s="158" t="s">
        <v>12</v>
      </c>
      <c r="I120" s="610"/>
      <c r="J120" s="610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2" t="s">
        <v>19</v>
      </c>
      <c r="F121" s="40"/>
      <c r="G121" s="157"/>
      <c r="H121" s="158" t="s">
        <v>12</v>
      </c>
      <c r="I121" s="610"/>
      <c r="J121" s="610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1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6">
        <f t="shared" ref="L122:N122" ca="1" si="64">L123+L124</f>
        <v>0</v>
      </c>
      <c r="M122" s="496">
        <f t="shared" ca="1" si="64"/>
        <v>0</v>
      </c>
      <c r="N122" s="496">
        <f t="shared" ca="1" si="64"/>
        <v>0</v>
      </c>
      <c r="O122" s="496">
        <f t="shared" ca="1" si="61"/>
        <v>0</v>
      </c>
      <c r="P122" s="496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2"/>
      <c r="D123" s="40"/>
      <c r="E123" s="222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2"/>
      <c r="D124" s="40"/>
      <c r="E124" s="222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IFERROR(__xludf.DUMMYFUNCTION("IMPORTRANGE(""https://docs.google.com/spreadsheets/d/1MeEWN-I1oV_STSDYn1IFDPWt_1FKiwhDph83XaGc0o0/edit?usp=sharing"",""งบพรบ!BA65"")"),0)</f>
        <v>0</v>
      </c>
      <c r="M124" s="93">
        <f ca="1">IFERROR(__xludf.DUMMYFUNCTION("IMPORTRANGE(""https://docs.google.com/spreadsheets/d/1MeEWN-I1oV_STSDYn1IFDPWt_1FKiwhDph83XaGc0o0/edit?usp=sharing"",""งบพรบ!BF65"")"),0)</f>
        <v>0</v>
      </c>
      <c r="N124" s="93">
        <f ca="1">IFERROR(__xludf.DUMMYFUNCTION("IMPORTRANGE(""https://docs.google.com/spreadsheets/d/1MeEWN-I1oV_STSDYn1IFDPWt_1FKiwhDph83XaGc0o0/edit?usp=sharing"",""งบพรบ!BH65"")"),0)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1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6">
        <f t="shared" ref="L125:N125" ca="1" si="65">L126+L127</f>
        <v>0</v>
      </c>
      <c r="M125" s="496">
        <f t="shared" ca="1" si="65"/>
        <v>0</v>
      </c>
      <c r="N125" s="496">
        <f t="shared" ca="1" si="65"/>
        <v>0</v>
      </c>
      <c r="O125" s="496">
        <f t="shared" ca="1" si="61"/>
        <v>0</v>
      </c>
      <c r="P125" s="496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2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2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IFERROR(__xludf.DUMMYFUNCTION("IMPORTRANGE(""https://docs.google.com/spreadsheets/d/1MeEWN-I1oV_STSDYn1IFDPWt_1FKiwhDph83XaGc0o0/edit?usp=sharing"",""งบพรบ!BD65"")"),0)</f>
        <v>0</v>
      </c>
      <c r="M127" s="93">
        <f ca="1">IFERROR(__xludf.DUMMYFUNCTION("IMPORTRANGE(""https://docs.google.com/spreadsheets/d/1MeEWN-I1oV_STSDYn1IFDPWt_1FKiwhDph83XaGc0o0/edit?usp=sharing"",""งบพรบ!BG65"")"),0)</f>
        <v>0</v>
      </c>
      <c r="N127" s="93">
        <f ca="1">IFERROR(__xludf.DUMMYFUNCTION("IMPORTRANGE(""https://docs.google.com/spreadsheets/d/1MeEWN-I1oV_STSDYn1IFDPWt_1FKiwhDph83XaGc0o0/edit?usp=sharing"",""งบพรบ!BI65"")"),0)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66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8" t="s">
        <v>67</v>
      </c>
      <c r="C129" s="204"/>
      <c r="D129" s="141"/>
      <c r="E129" s="140"/>
      <c r="F129" s="140"/>
      <c r="G129" s="140"/>
      <c r="H129" s="207"/>
      <c r="I129" s="205"/>
      <c r="J129" s="205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8"/>
      <c r="C130" s="209" t="s">
        <v>68</v>
      </c>
      <c r="D130" s="141"/>
      <c r="E130" s="140"/>
      <c r="F130" s="140"/>
      <c r="G130" s="142"/>
      <c r="H130" s="143" t="s">
        <v>69</v>
      </c>
      <c r="I130" s="144">
        <f t="shared" ref="I130:J130" ca="1" si="66">I146</f>
        <v>0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8"/>
      <c r="C131" s="209" t="s">
        <v>70</v>
      </c>
      <c r="D131" s="141"/>
      <c r="E131" s="140"/>
      <c r="F131" s="140"/>
      <c r="G131" s="142"/>
      <c r="H131" s="143" t="s">
        <v>35</v>
      </c>
      <c r="I131" s="144">
        <f t="shared" ref="I131:J131" ca="1" si="68">I143</f>
        <v>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822" t="s">
        <v>17</v>
      </c>
      <c r="E132" s="148"/>
      <c r="F132" s="148"/>
      <c r="G132" s="151"/>
      <c r="H132" s="152" t="s">
        <v>12</v>
      </c>
      <c r="I132" s="419"/>
      <c r="J132" s="419"/>
      <c r="K132" s="154"/>
      <c r="L132" s="155">
        <f t="shared" ref="L132:N132" ca="1" si="69">L133+L134</f>
        <v>0</v>
      </c>
      <c r="M132" s="155">
        <f t="shared" ca="1" si="69"/>
        <v>0</v>
      </c>
      <c r="N132" s="155">
        <f t="shared" ca="1" si="69"/>
        <v>0</v>
      </c>
      <c r="O132" s="155">
        <f t="shared" ref="O132:O140" ca="1" si="70">IF(L132&gt;0,N132*100/L132,0)</f>
        <v>0</v>
      </c>
      <c r="P132" s="155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2" t="s">
        <v>18</v>
      </c>
      <c r="F133" s="40"/>
      <c r="G133" s="157"/>
      <c r="H133" s="158" t="s">
        <v>12</v>
      </c>
      <c r="I133" s="610"/>
      <c r="J133" s="610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2" t="s">
        <v>19</v>
      </c>
      <c r="F134" s="40"/>
      <c r="G134" s="157"/>
      <c r="H134" s="158" t="s">
        <v>12</v>
      </c>
      <c r="I134" s="610"/>
      <c r="J134" s="610"/>
      <c r="K134" s="93"/>
      <c r="L134" s="93">
        <f t="shared" ca="1" si="72"/>
        <v>0</v>
      </c>
      <c r="M134" s="93">
        <f t="shared" ca="1" si="72"/>
        <v>0</v>
      </c>
      <c r="N134" s="93">
        <f t="shared" ca="1" si="72"/>
        <v>0</v>
      </c>
      <c r="O134" s="93">
        <f t="shared" ca="1" si="70"/>
        <v>0</v>
      </c>
      <c r="P134" s="93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1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6">
        <f t="shared" ref="L135:N135" ca="1" si="73">L136+L137</f>
        <v>0</v>
      </c>
      <c r="M135" s="496">
        <f t="shared" ca="1" si="73"/>
        <v>0</v>
      </c>
      <c r="N135" s="496">
        <f t="shared" ca="1" si="73"/>
        <v>0</v>
      </c>
      <c r="O135" s="496">
        <f t="shared" ca="1" si="70"/>
        <v>0</v>
      </c>
      <c r="P135" s="496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2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2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IFERROR(__xludf.DUMMYFUNCTION("IMPORTRANGE(""https://docs.google.com/spreadsheets/d/1MeEWN-I1oV_STSDYn1IFDPWt_1FKiwhDph83XaGc0o0/edit?usp=sharing"",""งบพรบ!BK65"")"),0)</f>
        <v>0</v>
      </c>
      <c r="M137" s="93">
        <f ca="1">IFERROR(__xludf.DUMMYFUNCTION("IMPORTRANGE(""https://docs.google.com/spreadsheets/d/1MeEWN-I1oV_STSDYn1IFDPWt_1FKiwhDph83XaGc0o0/edit?usp=sharing"",""งบพรบ!BP65"")"),0)</f>
        <v>0</v>
      </c>
      <c r="N137" s="93">
        <f ca="1">IFERROR(__xludf.DUMMYFUNCTION("IMPORTRANGE(""https://docs.google.com/spreadsheets/d/1MeEWN-I1oV_STSDYn1IFDPWt_1FKiwhDph83XaGc0o0/edit?usp=sharing"",""งบพรบ!BR65"")"),0)</f>
        <v>0</v>
      </c>
      <c r="O137" s="93">
        <f t="shared" ca="1" si="70"/>
        <v>0</v>
      </c>
      <c r="P137" s="93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1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6">
        <f t="shared" ref="L138:N138" ca="1" si="74">L139+L140</f>
        <v>0</v>
      </c>
      <c r="M138" s="496">
        <f t="shared" ca="1" si="74"/>
        <v>0</v>
      </c>
      <c r="N138" s="496">
        <f t="shared" ca="1" si="74"/>
        <v>0</v>
      </c>
      <c r="O138" s="496">
        <f t="shared" ca="1" si="70"/>
        <v>0</v>
      </c>
      <c r="P138" s="496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2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2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IFERROR(__xludf.DUMMYFUNCTION("IMPORTRANGE(""https://docs.google.com/spreadsheets/d/1MeEWN-I1oV_STSDYn1IFDPWt_1FKiwhDph83XaGc0o0/edit?usp=sharing"",""งบพรบ!BN65"")"),0)</f>
        <v>0</v>
      </c>
      <c r="M140" s="93">
        <f ca="1">IFERROR(__xludf.DUMMYFUNCTION("IMPORTRANGE(""https://docs.google.com/spreadsheets/d/1MeEWN-I1oV_STSDYn1IFDPWt_1FKiwhDph83XaGc0o0/edit?usp=sharing"",""งบพรบ!BQ65"")"),0)</f>
        <v>0</v>
      </c>
      <c r="N140" s="93">
        <f ca="1">IFERROR(__xludf.DUMMYFUNCTION("IMPORTRANGE(""https://docs.google.com/spreadsheets/d/1MeEWN-I1oV_STSDYn1IFDPWt_1FKiwhDph83XaGc0o0/edit?usp=sharing"",""งบพรบ!BS65"")"),0)</f>
        <v>0</v>
      </c>
      <c r="O140" s="93">
        <f t="shared" ca="1" si="70"/>
        <v>0</v>
      </c>
      <c r="P140" s="93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823" t="s">
        <v>38</v>
      </c>
      <c r="E141" s="173"/>
      <c r="F141" s="173"/>
      <c r="G141" s="174"/>
      <c r="H141" s="168"/>
      <c r="I141" s="269"/>
      <c r="J141" s="269"/>
      <c r="K141" s="496"/>
      <c r="L141" s="496"/>
      <c r="M141" s="496"/>
      <c r="N141" s="496"/>
      <c r="O141" s="496"/>
      <c r="P141" s="496"/>
    </row>
    <row r="142" spans="1:26" ht="19.5" hidden="1">
      <c r="A142" s="159"/>
      <c r="B142" s="33"/>
      <c r="C142" s="210"/>
      <c r="D142" s="281" t="s">
        <v>71</v>
      </c>
      <c r="E142" s="34"/>
      <c r="F142" s="33"/>
      <c r="G142" s="213"/>
      <c r="H142" s="168"/>
      <c r="I142" s="269"/>
      <c r="J142" s="214">
        <v>0</v>
      </c>
      <c r="K142" s="496"/>
      <c r="L142" s="496"/>
      <c r="M142" s="496"/>
      <c r="N142" s="496"/>
      <c r="O142" s="496"/>
      <c r="P142" s="496"/>
    </row>
    <row r="143" spans="1:26" ht="19.5" hidden="1">
      <c r="A143" s="159"/>
      <c r="B143" s="33"/>
      <c r="C143" s="210"/>
      <c r="D143" s="281" t="s">
        <v>72</v>
      </c>
      <c r="E143" s="34"/>
      <c r="F143" s="33"/>
      <c r="G143" s="213"/>
      <c r="H143" s="168" t="s">
        <v>35</v>
      </c>
      <c r="I143" s="269">
        <f ca="1">I145</f>
        <v>0</v>
      </c>
      <c r="J143" s="269">
        <f ca="1">IF(AND(J144&gt;=I144,J145&gt;=I145),J145,0)</f>
        <v>0</v>
      </c>
      <c r="K143" s="496">
        <f t="shared" ref="K143:K146" ca="1" si="75">IF(I143&gt;0,J143*100/I143,0)</f>
        <v>0</v>
      </c>
      <c r="L143" s="496"/>
      <c r="M143" s="496"/>
      <c r="N143" s="496"/>
      <c r="O143" s="496"/>
      <c r="P143" s="496"/>
    </row>
    <row r="144" spans="1:26" ht="19.5" hidden="1">
      <c r="A144" s="159"/>
      <c r="B144" s="33"/>
      <c r="C144" s="210"/>
      <c r="D144" s="178"/>
      <c r="E144" s="281" t="s">
        <v>73</v>
      </c>
      <c r="F144" s="33"/>
      <c r="G144" s="213"/>
      <c r="H144" s="168" t="s">
        <v>35</v>
      </c>
      <c r="I144" s="269">
        <f ca="1">IFERROR(__xludf.DUMMYFUNCTION("IMPORTRANGE(""https://docs.google.com/spreadsheets/d/1QqKyyYR6Q21VydFLVH3TRQUabQu_ym0Zz7PgGX0-kHA/edit?usp=sharing"",""แผน!U65"")"),0)</f>
        <v>0</v>
      </c>
      <c r="J144" s="214">
        <v>0</v>
      </c>
      <c r="K144" s="496">
        <f t="shared" ca="1" si="75"/>
        <v>0</v>
      </c>
      <c r="L144" s="496"/>
      <c r="M144" s="496"/>
      <c r="N144" s="496"/>
      <c r="O144" s="496"/>
      <c r="P144" s="496"/>
    </row>
    <row r="145" spans="1:26" ht="19.5" hidden="1">
      <c r="A145" s="159"/>
      <c r="B145" s="33"/>
      <c r="C145" s="210"/>
      <c r="D145" s="178"/>
      <c r="E145" s="281" t="s">
        <v>74</v>
      </c>
      <c r="F145" s="33"/>
      <c r="G145" s="213"/>
      <c r="H145" s="168" t="s">
        <v>35</v>
      </c>
      <c r="I145" s="269">
        <f ca="1">IFERROR(__xludf.DUMMYFUNCTION("IMPORTRANGE(""https://docs.google.com/spreadsheets/d/1QqKyyYR6Q21VydFLVH3TRQUabQu_ym0Zz7PgGX0-kHA/edit?usp=sharing"",""แผน!V65"")"),0)</f>
        <v>0</v>
      </c>
      <c r="J145" s="214">
        <v>0</v>
      </c>
      <c r="K145" s="496">
        <f t="shared" ca="1" si="75"/>
        <v>0</v>
      </c>
      <c r="L145" s="496"/>
      <c r="M145" s="496"/>
      <c r="N145" s="496"/>
      <c r="O145" s="496"/>
      <c r="P145" s="496"/>
    </row>
    <row r="146" spans="1:26" ht="19.5" hidden="1">
      <c r="A146" s="159"/>
      <c r="B146" s="33"/>
      <c r="C146" s="210"/>
      <c r="D146" s="281" t="s">
        <v>75</v>
      </c>
      <c r="E146" s="34"/>
      <c r="F146" s="33"/>
      <c r="G146" s="213"/>
      <c r="H146" s="168" t="s">
        <v>69</v>
      </c>
      <c r="I146" s="269">
        <f ca="1">IFERROR(__xludf.DUMMYFUNCTION("IMPORTRANGE(""https://docs.google.com/spreadsheets/d/1QqKyyYR6Q21VydFLVH3TRQUabQu_ym0Zz7PgGX0-kHA/edit?usp=sharing"",""แผน!W65"")"),0)</f>
        <v>0</v>
      </c>
      <c r="J146" s="214">
        <v>0</v>
      </c>
      <c r="K146" s="496">
        <f t="shared" ca="1" si="75"/>
        <v>0</v>
      </c>
      <c r="L146" s="496"/>
      <c r="M146" s="496"/>
      <c r="N146" s="496"/>
      <c r="O146" s="496"/>
      <c r="P146" s="496"/>
    </row>
    <row r="147" spans="1:26" ht="19.5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>
      <c r="A148" s="216"/>
      <c r="B148" s="208" t="s">
        <v>77</v>
      </c>
      <c r="C148" s="208"/>
      <c r="D148" s="208"/>
      <c r="E148" s="824"/>
      <c r="F148" s="218"/>
      <c r="G148" s="219"/>
      <c r="H148" s="220" t="s">
        <v>35</v>
      </c>
      <c r="I148" s="144">
        <f t="shared" ref="I148:J148" ca="1" si="76">I159</f>
        <v>15</v>
      </c>
      <c r="J148" s="144">
        <f t="shared" si="76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1"/>
      <c r="R148" s="221"/>
      <c r="S148" s="221"/>
      <c r="T148" s="221"/>
      <c r="U148" s="221"/>
      <c r="V148" s="221"/>
      <c r="W148" s="221"/>
      <c r="X148" s="221"/>
      <c r="Y148" s="221"/>
      <c r="Z148" s="221"/>
    </row>
    <row r="149" spans="1:26" ht="19.5">
      <c r="A149" s="147"/>
      <c r="B149" s="148"/>
      <c r="C149" s="149" t="s">
        <v>16</v>
      </c>
      <c r="D149" s="822" t="s">
        <v>17</v>
      </c>
      <c r="E149" s="148"/>
      <c r="F149" s="148"/>
      <c r="G149" s="151"/>
      <c r="H149" s="152" t="s">
        <v>12</v>
      </c>
      <c r="I149" s="419"/>
      <c r="J149" s="419"/>
      <c r="K149" s="154"/>
      <c r="L149" s="155">
        <f t="shared" ref="L149:N149" ca="1" si="77">L150+L151</f>
        <v>7500</v>
      </c>
      <c r="M149" s="155">
        <f t="shared" ca="1" si="77"/>
        <v>7500</v>
      </c>
      <c r="N149" s="155">
        <f t="shared" ca="1" si="77"/>
        <v>0</v>
      </c>
      <c r="O149" s="155">
        <f t="shared" ref="O149:O157" ca="1" si="78">IF(L149&gt;0,N149*100/L149,0)</f>
        <v>0</v>
      </c>
      <c r="P149" s="155">
        <f t="shared" ref="P149:P157" ca="1" si="79">IF(M149&gt;0,N149*100/M149,0)</f>
        <v>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2" t="s">
        <v>18</v>
      </c>
      <c r="F150" s="40"/>
      <c r="G150" s="157"/>
      <c r="H150" s="158" t="s">
        <v>12</v>
      </c>
      <c r="I150" s="610"/>
      <c r="J150" s="610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2" t="s">
        <v>19</v>
      </c>
      <c r="F151" s="40"/>
      <c r="G151" s="157"/>
      <c r="H151" s="158" t="s">
        <v>12</v>
      </c>
      <c r="I151" s="610"/>
      <c r="J151" s="610"/>
      <c r="K151" s="93"/>
      <c r="L151" s="93">
        <f t="shared" ca="1" si="80"/>
        <v>7500</v>
      </c>
      <c r="M151" s="93">
        <f t="shared" ca="1" si="80"/>
        <v>7500</v>
      </c>
      <c r="N151" s="93">
        <f t="shared" ca="1" si="80"/>
        <v>0</v>
      </c>
      <c r="O151" s="93">
        <f t="shared" ca="1" si="78"/>
        <v>0</v>
      </c>
      <c r="P151" s="93">
        <f t="shared" ca="1" si="79"/>
        <v>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>
      <c r="A152" s="159"/>
      <c r="B152" s="33"/>
      <c r="C152" s="281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6">
        <f t="shared" ref="L152:N152" ca="1" si="81">L153+L154</f>
        <v>7500</v>
      </c>
      <c r="M152" s="496">
        <f t="shared" ca="1" si="81"/>
        <v>7500</v>
      </c>
      <c r="N152" s="496">
        <f t="shared" ca="1" si="81"/>
        <v>0</v>
      </c>
      <c r="O152" s="496">
        <f t="shared" ca="1" si="78"/>
        <v>0</v>
      </c>
      <c r="P152" s="496">
        <f t="shared" ca="1" si="79"/>
        <v>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2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2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IFERROR(__xludf.DUMMYFUNCTION("IMPORTRANGE(""https://docs.google.com/spreadsheets/d/1MeEWN-I1oV_STSDYn1IFDPWt_1FKiwhDph83XaGc0o0/edit?usp=sharing"",""งบพรบ!BU65"")"),7500)</f>
        <v>7500</v>
      </c>
      <c r="M154" s="93">
        <f ca="1">IFERROR(__xludf.DUMMYFUNCTION("IMPORTRANGE(""https://docs.google.com/spreadsheets/d/1MeEWN-I1oV_STSDYn1IFDPWt_1FKiwhDph83XaGc0o0/edit?usp=sharing"",""งบพรบ!BZ65"")"),7500)</f>
        <v>7500</v>
      </c>
      <c r="N154" s="93">
        <f ca="1">IFERROR(__xludf.DUMMYFUNCTION("IMPORTRANGE(""https://docs.google.com/spreadsheets/d/1MeEWN-I1oV_STSDYn1IFDPWt_1FKiwhDph83XaGc0o0/edit?usp=sharing"",""งบพรบ!CB65"")"),0)</f>
        <v>0</v>
      </c>
      <c r="O154" s="93">
        <f t="shared" ca="1" si="78"/>
        <v>0</v>
      </c>
      <c r="P154" s="93">
        <f t="shared" ca="1" si="79"/>
        <v>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>
      <c r="A155" s="159"/>
      <c r="B155" s="33"/>
      <c r="C155" s="281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6">
        <f t="shared" ref="L155:N155" ca="1" si="82">L156+L157</f>
        <v>0</v>
      </c>
      <c r="M155" s="496">
        <f t="shared" ca="1" si="82"/>
        <v>0</v>
      </c>
      <c r="N155" s="496">
        <f t="shared" ca="1" si="82"/>
        <v>0</v>
      </c>
      <c r="O155" s="496">
        <f t="shared" ca="1" si="78"/>
        <v>0</v>
      </c>
      <c r="P155" s="496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2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2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IFERROR(__xludf.DUMMYFUNCTION("IMPORTRANGE(""https://docs.google.com/spreadsheets/d/1MeEWN-I1oV_STSDYn1IFDPWt_1FKiwhDph83XaGc0o0/edit?usp=sharing"",""งบพรบ!BX65"")"),0)</f>
        <v>0</v>
      </c>
      <c r="M157" s="93">
        <f ca="1">IFERROR(__xludf.DUMMYFUNCTION("IMPORTRANGE(""https://docs.google.com/spreadsheets/d/1MeEWN-I1oV_STSDYn1IFDPWt_1FKiwhDph83XaGc0o0/edit?usp=sharing"",""งบพรบ!CA65"")"),0)</f>
        <v>0</v>
      </c>
      <c r="N157" s="93">
        <f ca="1">IFERROR(__xludf.DUMMYFUNCTION("IMPORTRANGE(""https://docs.google.com/spreadsheets/d/1MeEWN-I1oV_STSDYn1IFDPWt_1FKiwhDph83XaGc0o0/edit?usp=sharing"",""งบพรบ!CC65"")"),0)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>
      <c r="A158" s="170"/>
      <c r="B158" s="171"/>
      <c r="C158" s="164" t="s">
        <v>16</v>
      </c>
      <c r="D158" s="823" t="s">
        <v>38</v>
      </c>
      <c r="E158" s="173"/>
      <c r="F158" s="173"/>
      <c r="G158" s="174"/>
      <c r="H158" s="168"/>
      <c r="I158" s="269"/>
      <c r="J158" s="269"/>
      <c r="K158" s="496"/>
      <c r="L158" s="496"/>
      <c r="M158" s="496"/>
      <c r="N158" s="496"/>
      <c r="O158" s="496"/>
      <c r="P158" s="496"/>
    </row>
    <row r="159" spans="1:26" ht="19.5">
      <c r="A159" s="159"/>
      <c r="B159" s="33"/>
      <c r="C159" s="210"/>
      <c r="D159" s="281" t="s">
        <v>78</v>
      </c>
      <c r="E159" s="34"/>
      <c r="F159" s="33"/>
      <c r="G159" s="213"/>
      <c r="H159" s="168" t="s">
        <v>35</v>
      </c>
      <c r="I159" s="269">
        <f ca="1">IFERROR(__xludf.DUMMYFUNCTION("IMPORTRANGE(""https://docs.google.com/spreadsheets/d/1QqKyyYR6Q21VydFLVH3TRQUabQu_ym0Zz7PgGX0-kHA/edit?usp=sharing"",""แผน!X65"")"),15)</f>
        <v>15</v>
      </c>
      <c r="J159" s="214">
        <v>0</v>
      </c>
      <c r="K159" s="496">
        <f ca="1">IF(I159&gt;0,J159*100/I159,0)</f>
        <v>0</v>
      </c>
      <c r="L159" s="496"/>
      <c r="M159" s="496"/>
      <c r="N159" s="496"/>
      <c r="O159" s="496"/>
      <c r="P159" s="496"/>
    </row>
    <row r="160" spans="1:26" ht="19.5" hidden="1">
      <c r="A160" s="156"/>
      <c r="B160" s="40"/>
      <c r="C160" s="164"/>
      <c r="D160" s="222" t="s">
        <v>79</v>
      </c>
      <c r="E160" s="223"/>
      <c r="F160" s="40"/>
      <c r="G160" s="157"/>
      <c r="H160" s="169" t="s">
        <v>35</v>
      </c>
      <c r="I160" s="610"/>
      <c r="J160" s="610"/>
      <c r="K160" s="93"/>
      <c r="L160" s="93"/>
      <c r="M160" s="93"/>
      <c r="N160" s="93"/>
      <c r="O160" s="93"/>
      <c r="P160" s="93"/>
      <c r="Q160" s="224"/>
      <c r="R160" s="224"/>
      <c r="S160" s="224"/>
      <c r="T160" s="224"/>
      <c r="U160" s="224"/>
      <c r="V160" s="224"/>
      <c r="W160" s="224"/>
      <c r="X160" s="224"/>
      <c r="Y160" s="224"/>
      <c r="Z160" s="224"/>
    </row>
    <row r="161" spans="1:26" ht="19.5" hidden="1">
      <c r="A161" s="225"/>
      <c r="B161" s="226"/>
      <c r="C161" s="227"/>
      <c r="D161" s="228" t="s">
        <v>80</v>
      </c>
      <c r="E161" s="825"/>
      <c r="F161" s="226"/>
      <c r="G161" s="230"/>
      <c r="H161" s="231" t="s">
        <v>35</v>
      </c>
      <c r="I161" s="232"/>
      <c r="J161" s="232"/>
      <c r="K161" s="233"/>
      <c r="L161" s="233"/>
      <c r="M161" s="233"/>
      <c r="N161" s="233"/>
      <c r="O161" s="233"/>
      <c r="P161" s="233"/>
      <c r="Q161" s="224"/>
      <c r="R161" s="224"/>
      <c r="S161" s="224"/>
      <c r="T161" s="224"/>
      <c r="U161" s="224"/>
      <c r="V161" s="224"/>
      <c r="W161" s="224"/>
      <c r="X161" s="224"/>
      <c r="Y161" s="224"/>
      <c r="Z161" s="224"/>
    </row>
    <row r="162" spans="1:26" ht="19.5">
      <c r="A162" s="234" t="s">
        <v>81</v>
      </c>
      <c r="B162" s="235"/>
      <c r="C162" s="235"/>
      <c r="D162" s="235"/>
      <c r="E162" s="236"/>
      <c r="F162" s="236"/>
      <c r="G162" s="237"/>
      <c r="H162" s="238"/>
      <c r="I162" s="239"/>
      <c r="J162" s="239"/>
      <c r="K162" s="240"/>
      <c r="L162" s="240"/>
      <c r="M162" s="240"/>
      <c r="N162" s="240"/>
      <c r="O162" s="240"/>
      <c r="P162" s="240"/>
    </row>
    <row r="163" spans="1:26" ht="19.5">
      <c r="A163" s="241" t="s">
        <v>82</v>
      </c>
      <c r="B163" s="242"/>
      <c r="C163" s="242"/>
      <c r="D163" s="243"/>
      <c r="E163" s="243"/>
      <c r="F163" s="243"/>
      <c r="G163" s="244"/>
      <c r="H163" s="245"/>
      <c r="I163" s="246"/>
      <c r="J163" s="246"/>
      <c r="K163" s="247"/>
      <c r="L163" s="247"/>
      <c r="M163" s="247"/>
      <c r="N163" s="247"/>
      <c r="O163" s="247"/>
      <c r="P163" s="247"/>
    </row>
    <row r="164" spans="1:26" ht="19.5">
      <c r="A164" s="248"/>
      <c r="B164" s="249" t="s">
        <v>83</v>
      </c>
      <c r="C164" s="250"/>
      <c r="D164" s="173"/>
      <c r="E164" s="173"/>
      <c r="F164" s="173"/>
      <c r="G164" s="174"/>
      <c r="H164" s="251" t="s">
        <v>35</v>
      </c>
      <c r="I164" s="252">
        <f t="shared" ref="I164:J164" ca="1" si="83">I174+I177</f>
        <v>10</v>
      </c>
      <c r="J164" s="252">
        <f t="shared" si="83"/>
        <v>0</v>
      </c>
      <c r="K164" s="253">
        <f ca="1">IF(I164&gt;0,J164*100/I164,0)</f>
        <v>0</v>
      </c>
      <c r="L164" s="254"/>
      <c r="M164" s="254"/>
      <c r="N164" s="254"/>
      <c r="O164" s="254"/>
      <c r="P164" s="254"/>
    </row>
    <row r="165" spans="1:26" ht="19.5">
      <c r="A165" s="147"/>
      <c r="B165" s="148"/>
      <c r="C165" s="149" t="s">
        <v>16</v>
      </c>
      <c r="D165" s="822" t="s">
        <v>17</v>
      </c>
      <c r="E165" s="148"/>
      <c r="F165" s="148"/>
      <c r="G165" s="151"/>
      <c r="H165" s="152" t="s">
        <v>12</v>
      </c>
      <c r="I165" s="419"/>
      <c r="J165" s="419"/>
      <c r="K165" s="154"/>
      <c r="L165" s="155">
        <f t="shared" ref="L165:N165" ca="1" si="84">L166+L167</f>
        <v>21050</v>
      </c>
      <c r="M165" s="155">
        <f t="shared" ca="1" si="84"/>
        <v>21050</v>
      </c>
      <c r="N165" s="155">
        <f t="shared" ca="1" si="84"/>
        <v>20430</v>
      </c>
      <c r="O165" s="155">
        <f t="shared" ref="O165:O173" ca="1" si="85">IF(L165&gt;0,N165*100/L165,0)</f>
        <v>97.054631828978629</v>
      </c>
      <c r="P165" s="155">
        <f t="shared" ref="P165:P173" ca="1" si="86">IF(M165&gt;0,N165*100/M165,0)</f>
        <v>97.054631828978629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2" t="s">
        <v>18</v>
      </c>
      <c r="F166" s="40"/>
      <c r="G166" s="157"/>
      <c r="H166" s="158" t="s">
        <v>12</v>
      </c>
      <c r="I166" s="610"/>
      <c r="J166" s="610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2" t="s">
        <v>19</v>
      </c>
      <c r="F167" s="40"/>
      <c r="G167" s="157"/>
      <c r="H167" s="158" t="s">
        <v>12</v>
      </c>
      <c r="I167" s="610"/>
      <c r="J167" s="610"/>
      <c r="K167" s="93"/>
      <c r="L167" s="93">
        <f t="shared" ca="1" si="87"/>
        <v>21050</v>
      </c>
      <c r="M167" s="93">
        <f t="shared" ca="1" si="87"/>
        <v>21050</v>
      </c>
      <c r="N167" s="93">
        <f t="shared" ca="1" si="87"/>
        <v>20430</v>
      </c>
      <c r="O167" s="93">
        <f t="shared" ca="1" si="85"/>
        <v>97.054631828978629</v>
      </c>
      <c r="P167" s="93">
        <f t="shared" ca="1" si="86"/>
        <v>97.054631828978629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1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6">
        <f t="shared" ref="L168:N168" ca="1" si="88">L169+L170</f>
        <v>21050</v>
      </c>
      <c r="M168" s="496">
        <f t="shared" ca="1" si="88"/>
        <v>21050</v>
      </c>
      <c r="N168" s="496">
        <f t="shared" ca="1" si="88"/>
        <v>20430</v>
      </c>
      <c r="O168" s="496">
        <f t="shared" ca="1" si="85"/>
        <v>97.054631828978629</v>
      </c>
      <c r="P168" s="496">
        <f t="shared" ca="1" si="86"/>
        <v>97.054631828978629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2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2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IFERROR(__xludf.DUMMYFUNCTION("IMPORTRANGE(""https://docs.google.com/spreadsheets/d/1MeEWN-I1oV_STSDYn1IFDPWt_1FKiwhDph83XaGc0o0/edit?usp=sharing"",""งบพรบ!CE65"")"),21050)</f>
        <v>21050</v>
      </c>
      <c r="M170" s="93">
        <f ca="1">IFERROR(__xludf.DUMMYFUNCTION("IMPORTRANGE(""https://docs.google.com/spreadsheets/d/1MeEWN-I1oV_STSDYn1IFDPWt_1FKiwhDph83XaGc0o0/edit?usp=sharing"",""งบพรบ!CJ65"")"),21050)</f>
        <v>21050</v>
      </c>
      <c r="N170" s="93">
        <f ca="1">IFERROR(__xludf.DUMMYFUNCTION("IMPORTRANGE(""https://docs.google.com/spreadsheets/d/1MeEWN-I1oV_STSDYn1IFDPWt_1FKiwhDph83XaGc0o0/edit?usp=sharing"",""งบพรบ!CL65"")"),20430)</f>
        <v>20430</v>
      </c>
      <c r="O170" s="93">
        <f t="shared" ca="1" si="85"/>
        <v>97.054631828978629</v>
      </c>
      <c r="P170" s="93">
        <f t="shared" ca="1" si="86"/>
        <v>97.054631828978629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1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6">
        <f t="shared" ref="L171:N171" ca="1" si="89">L172+L173</f>
        <v>0</v>
      </c>
      <c r="M171" s="496">
        <f t="shared" ca="1" si="89"/>
        <v>0</v>
      </c>
      <c r="N171" s="496">
        <f t="shared" ca="1" si="89"/>
        <v>0</v>
      </c>
      <c r="O171" s="496">
        <f t="shared" ca="1" si="85"/>
        <v>0</v>
      </c>
      <c r="P171" s="496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2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2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IFERROR(__xludf.DUMMYFUNCTION("IMPORTRANGE(""https://docs.google.com/spreadsheets/d/1MeEWN-I1oV_STSDYn1IFDPWt_1FKiwhDph83XaGc0o0/edit?usp=sharing"",""งบพรบ!CH65"")"),0)</f>
        <v>0</v>
      </c>
      <c r="M173" s="93">
        <f ca="1">IFERROR(__xludf.DUMMYFUNCTION("IMPORTRANGE(""https://docs.google.com/spreadsheets/d/1MeEWN-I1oV_STSDYn1IFDPWt_1FKiwhDph83XaGc0o0/edit?usp=sharing"",""งบพรบ!CK65"")"),0)</f>
        <v>0</v>
      </c>
      <c r="N173" s="93">
        <f ca="1">IFERROR(__xludf.DUMMYFUNCTION("IMPORTRANGE(""https://docs.google.com/spreadsheets/d/1MeEWN-I1oV_STSDYn1IFDPWt_1FKiwhDph83XaGc0o0/edit?usp=sharing"",""งบพรบ!CM65"")"),0)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5"/>
      <c r="B174" s="256"/>
      <c r="C174" s="257" t="s">
        <v>84</v>
      </c>
      <c r="D174" s="256"/>
      <c r="E174" s="256"/>
      <c r="F174" s="256"/>
      <c r="G174" s="258"/>
      <c r="H174" s="259" t="s">
        <v>35</v>
      </c>
      <c r="I174" s="260">
        <f t="shared" ref="I174:J174" ca="1" si="90">I176</f>
        <v>10</v>
      </c>
      <c r="J174" s="260">
        <f t="shared" si="90"/>
        <v>0</v>
      </c>
      <c r="K174" s="261">
        <f ca="1">IF(I174&gt;0,J174*100/I174,0)</f>
        <v>0</v>
      </c>
      <c r="L174" s="261"/>
      <c r="M174" s="261"/>
      <c r="N174" s="261"/>
      <c r="O174" s="261"/>
      <c r="P174" s="261"/>
    </row>
    <row r="175" spans="1:26" ht="19.5">
      <c r="A175" s="170"/>
      <c r="B175" s="171"/>
      <c r="C175" s="164" t="s">
        <v>16</v>
      </c>
      <c r="D175" s="823" t="s">
        <v>38</v>
      </c>
      <c r="E175" s="173"/>
      <c r="F175" s="173"/>
      <c r="G175" s="174"/>
      <c r="H175" s="753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37" t="s">
        <v>85</v>
      </c>
      <c r="E176" s="178"/>
      <c r="F176" s="178"/>
      <c r="G176" s="179"/>
      <c r="H176" s="616" t="s">
        <v>35</v>
      </c>
      <c r="I176" s="269">
        <f ca="1">IFERROR(__xludf.DUMMYFUNCTION("IMPORTRANGE(""https://docs.google.com/spreadsheets/d/1QqKyyYR6Q21VydFLVH3TRQUabQu_ym0Zz7PgGX0-kHA/edit?usp=sharing"",""แผน!Y65"")"),10)</f>
        <v>10</v>
      </c>
      <c r="J176" s="214">
        <v>0</v>
      </c>
      <c r="K176" s="163">
        <f ca="1">IF(I176&gt;0,J176*100/I176,0)</f>
        <v>0</v>
      </c>
      <c r="L176" s="163"/>
      <c r="M176" s="163"/>
      <c r="N176" s="163"/>
      <c r="O176" s="163"/>
      <c r="P176" s="163"/>
    </row>
    <row r="177" spans="1:26" ht="19.5" hidden="1">
      <c r="A177" s="255"/>
      <c r="B177" s="263"/>
      <c r="C177" s="264" t="s">
        <v>86</v>
      </c>
      <c r="D177" s="263"/>
      <c r="E177" s="256"/>
      <c r="F177" s="256"/>
      <c r="G177" s="258"/>
      <c r="H177" s="265" t="s">
        <v>35</v>
      </c>
      <c r="I177" s="260"/>
      <c r="J177" s="260">
        <f>J179</f>
        <v>0</v>
      </c>
      <c r="K177" s="261"/>
      <c r="L177" s="261"/>
      <c r="M177" s="261"/>
      <c r="N177" s="261"/>
      <c r="O177" s="261"/>
      <c r="P177" s="261"/>
    </row>
    <row r="178" spans="1:26" ht="19.5" hidden="1">
      <c r="A178" s="170"/>
      <c r="B178" s="171"/>
      <c r="C178" s="164" t="s">
        <v>16</v>
      </c>
      <c r="D178" s="266" t="s">
        <v>38</v>
      </c>
      <c r="E178" s="173"/>
      <c r="F178" s="173"/>
      <c r="G178" s="174"/>
      <c r="H178" s="753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3" t="s">
        <v>87</v>
      </c>
      <c r="E179" s="178"/>
      <c r="F179" s="366"/>
      <c r="G179" s="179"/>
      <c r="H179" s="43" t="s">
        <v>35</v>
      </c>
      <c r="I179" s="269"/>
      <c r="J179" s="269"/>
      <c r="K179" s="163"/>
      <c r="L179" s="163"/>
      <c r="M179" s="163"/>
      <c r="N179" s="163"/>
      <c r="O179" s="163"/>
      <c r="P179" s="163"/>
    </row>
    <row r="180" spans="1:26" ht="19.5">
      <c r="A180" s="248"/>
      <c r="B180" s="249" t="s">
        <v>88</v>
      </c>
      <c r="C180" s="250"/>
      <c r="D180" s="173"/>
      <c r="E180" s="173"/>
      <c r="F180" s="173"/>
      <c r="G180" s="174"/>
      <c r="H180" s="251" t="s">
        <v>35</v>
      </c>
      <c r="I180" s="252">
        <f t="shared" ref="I180:J180" ca="1" si="91">I225+I226</f>
        <v>0</v>
      </c>
      <c r="J180" s="252">
        <f t="shared" si="91"/>
        <v>0</v>
      </c>
      <c r="K180" s="253">
        <f ca="1">IF(I180&gt;0,J180*100/I180,0)</f>
        <v>0</v>
      </c>
      <c r="L180" s="254"/>
      <c r="M180" s="254"/>
      <c r="N180" s="254"/>
      <c r="O180" s="254"/>
      <c r="P180" s="254"/>
    </row>
    <row r="181" spans="1:26" ht="19.5">
      <c r="A181" s="147"/>
      <c r="B181" s="148"/>
      <c r="C181" s="149" t="s">
        <v>16</v>
      </c>
      <c r="D181" s="822" t="s">
        <v>17</v>
      </c>
      <c r="E181" s="148"/>
      <c r="F181" s="148"/>
      <c r="G181" s="151"/>
      <c r="H181" s="152" t="s">
        <v>12</v>
      </c>
      <c r="I181" s="419"/>
      <c r="J181" s="419"/>
      <c r="K181" s="154"/>
      <c r="L181" s="155">
        <f t="shared" ref="L181:N181" ca="1" si="92">L182+L183</f>
        <v>45500</v>
      </c>
      <c r="M181" s="155">
        <f t="shared" ca="1" si="92"/>
        <v>21000</v>
      </c>
      <c r="N181" s="155">
        <f t="shared" ca="1" si="92"/>
        <v>0</v>
      </c>
      <c r="O181" s="155">
        <f t="shared" ref="O181:O189" ca="1" si="93">IF(L181&gt;0,N181*100/L181,0)</f>
        <v>0</v>
      </c>
      <c r="P181" s="155">
        <f t="shared" ref="P181:P189" ca="1" si="94">IF(M181&gt;0,N181*100/M181,0)</f>
        <v>0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2" t="s">
        <v>18</v>
      </c>
      <c r="F182" s="40"/>
      <c r="G182" s="157"/>
      <c r="H182" s="158" t="s">
        <v>12</v>
      </c>
      <c r="I182" s="610"/>
      <c r="J182" s="610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2" t="s">
        <v>19</v>
      </c>
      <c r="F183" s="40"/>
      <c r="G183" s="157"/>
      <c r="H183" s="158" t="s">
        <v>12</v>
      </c>
      <c r="I183" s="610"/>
      <c r="J183" s="610"/>
      <c r="K183" s="93"/>
      <c r="L183" s="93">
        <f t="shared" ca="1" si="95"/>
        <v>45500</v>
      </c>
      <c r="M183" s="93">
        <f t="shared" ca="1" si="95"/>
        <v>21000</v>
      </c>
      <c r="N183" s="93">
        <f t="shared" ca="1" si="95"/>
        <v>0</v>
      </c>
      <c r="O183" s="93">
        <f t="shared" ca="1" si="93"/>
        <v>0</v>
      </c>
      <c r="P183" s="93">
        <f t="shared" ca="1" si="94"/>
        <v>0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1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6">
        <f t="shared" ref="L184:N184" ca="1" si="96">L185+L186</f>
        <v>45500</v>
      </c>
      <c r="M184" s="496">
        <f t="shared" ca="1" si="96"/>
        <v>21000</v>
      </c>
      <c r="N184" s="496">
        <f t="shared" ca="1" si="96"/>
        <v>0</v>
      </c>
      <c r="O184" s="496">
        <f t="shared" ca="1" si="93"/>
        <v>0</v>
      </c>
      <c r="P184" s="496">
        <f t="shared" ca="1" si="94"/>
        <v>0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2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2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IFERROR(__xludf.DUMMYFUNCTION("IMPORTRANGE(""https://docs.google.com/spreadsheets/d/1MeEWN-I1oV_STSDYn1IFDPWt_1FKiwhDph83XaGc0o0/edit?usp=sharing"",""งบพรบ!CO65"")"),45500)</f>
        <v>45500</v>
      </c>
      <c r="M186" s="93">
        <f ca="1">IFERROR(__xludf.DUMMYFUNCTION("IMPORTRANGE(""https://docs.google.com/spreadsheets/d/1MeEWN-I1oV_STSDYn1IFDPWt_1FKiwhDph83XaGc0o0/edit?usp=sharing"",""งบพรบ!CT65"")"),21000)</f>
        <v>21000</v>
      </c>
      <c r="N186" s="93">
        <f ca="1">IFERROR(__xludf.DUMMYFUNCTION("IMPORTRANGE(""https://docs.google.com/spreadsheets/d/1MeEWN-I1oV_STSDYn1IFDPWt_1FKiwhDph83XaGc0o0/edit?usp=sharing"",""งบพรบ!CV65"")"),0)</f>
        <v>0</v>
      </c>
      <c r="O186" s="93">
        <f t="shared" ca="1" si="93"/>
        <v>0</v>
      </c>
      <c r="P186" s="93">
        <f t="shared" ca="1" si="94"/>
        <v>0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1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6">
        <f t="shared" ref="L187:N187" ca="1" si="97">L188+L189</f>
        <v>0</v>
      </c>
      <c r="M187" s="496">
        <f t="shared" ca="1" si="97"/>
        <v>0</v>
      </c>
      <c r="N187" s="496">
        <f t="shared" ca="1" si="97"/>
        <v>0</v>
      </c>
      <c r="O187" s="496">
        <f t="shared" ca="1" si="93"/>
        <v>0</v>
      </c>
      <c r="P187" s="496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2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2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IFERROR(__xludf.DUMMYFUNCTION("IMPORTRANGE(""https://docs.google.com/spreadsheets/d/1MeEWN-I1oV_STSDYn1IFDPWt_1FKiwhDph83XaGc0o0/edit?usp=sharing"",""งบพรบ!CR65"")"),0)</f>
        <v>0</v>
      </c>
      <c r="M189" s="93">
        <f ca="1">IFERROR(__xludf.DUMMYFUNCTION("IMPORTRANGE(""https://docs.google.com/spreadsheets/d/1MeEWN-I1oV_STSDYn1IFDPWt_1FKiwhDph83XaGc0o0/edit?usp=sharing"",""งบพรบ!CU65"")"),0)</f>
        <v>0</v>
      </c>
      <c r="N189" s="93">
        <f ca="1">IFERROR(__xludf.DUMMYFUNCTION("IMPORTRANGE(""https://docs.google.com/spreadsheets/d/1MeEWN-I1oV_STSDYn1IFDPWt_1FKiwhDph83XaGc0o0/edit?usp=sharing"",""งบพรบ!CW65"")"),0)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5"/>
      <c r="B190" s="263"/>
      <c r="C190" s="270" t="s">
        <v>89</v>
      </c>
      <c r="D190" s="256"/>
      <c r="E190" s="256"/>
      <c r="F190" s="256"/>
      <c r="G190" s="258"/>
      <c r="H190" s="259" t="s">
        <v>90</v>
      </c>
      <c r="I190" s="271">
        <f t="shared" ref="I190:J190" ca="1" si="98">I193</f>
        <v>4</v>
      </c>
      <c r="J190" s="271">
        <f t="shared" si="98"/>
        <v>0</v>
      </c>
      <c r="K190" s="272">
        <f ca="1">IF(I190&gt;0,J190*100/I190,0)</f>
        <v>0</v>
      </c>
      <c r="L190" s="261"/>
      <c r="M190" s="261"/>
      <c r="N190" s="261"/>
      <c r="O190" s="261"/>
      <c r="P190" s="261"/>
    </row>
    <row r="191" spans="1:26" ht="19.5">
      <c r="A191" s="147"/>
      <c r="B191" s="148"/>
      <c r="C191" s="149" t="s">
        <v>16</v>
      </c>
      <c r="D191" s="826" t="s">
        <v>17</v>
      </c>
      <c r="E191" s="148"/>
      <c r="F191" s="148"/>
      <c r="G191" s="151"/>
      <c r="H191" s="274" t="s">
        <v>12</v>
      </c>
      <c r="I191" s="419"/>
      <c r="J191" s="419"/>
      <c r="K191" s="154"/>
      <c r="L191" s="155">
        <f ca="1">IFERROR(__xludf.DUMMYFUNCTION("IMPORTRANGE(""https://docs.google.com/spreadsheets/d/1QqKyyYR6Q21VydFLVH3TRQUabQu_ym0Zz7PgGX0-kHA/edit?usp=sharing"",""แผน!Z65"")"),6000)</f>
        <v>6000</v>
      </c>
      <c r="M191" s="155"/>
      <c r="N191" s="275">
        <v>0</v>
      </c>
      <c r="O191" s="155">
        <f ca="1">IF(L191&gt;0,N191*100/L191,0)</f>
        <v>0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0" t="s">
        <v>16</v>
      </c>
      <c r="D192" s="823" t="s">
        <v>38</v>
      </c>
      <c r="E192" s="173"/>
      <c r="F192" s="173"/>
      <c r="G192" s="174"/>
      <c r="H192" s="753"/>
      <c r="I192" s="269"/>
      <c r="J192" s="269"/>
      <c r="K192" s="496"/>
      <c r="L192" s="496"/>
      <c r="M192" s="496"/>
      <c r="N192" s="496"/>
      <c r="O192" s="496"/>
      <c r="P192" s="496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6" t="s">
        <v>91</v>
      </c>
      <c r="E193" s="178"/>
      <c r="F193" s="178"/>
      <c r="G193" s="179"/>
      <c r="H193" s="755" t="s">
        <v>90</v>
      </c>
      <c r="I193" s="269">
        <f ca="1">IFERROR(__xludf.DUMMYFUNCTION("IMPORTRANGE(""https://docs.google.com/spreadsheets/d/1QqKyyYR6Q21VydFLVH3TRQUabQu_ym0Zz7PgGX0-kHA/edit?usp=sharing"",""แผน!AC65"")"),4)</f>
        <v>4</v>
      </c>
      <c r="J193" s="214">
        <v>0</v>
      </c>
      <c r="K193" s="496">
        <f ca="1">IF(I193&gt;0,J193*100/I193,0)</f>
        <v>0</v>
      </c>
      <c r="L193" s="496"/>
      <c r="M193" s="496"/>
      <c r="N193" s="496"/>
      <c r="O193" s="496"/>
      <c r="P193" s="496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6" t="s">
        <v>92</v>
      </c>
      <c r="E194" s="178"/>
      <c r="F194" s="178"/>
      <c r="G194" s="179"/>
      <c r="H194" s="276" t="s">
        <v>35</v>
      </c>
      <c r="I194" s="269"/>
      <c r="J194" s="269">
        <f>J195+J196</f>
        <v>0</v>
      </c>
      <c r="K194" s="496"/>
      <c r="L194" s="496"/>
      <c r="M194" s="496"/>
      <c r="N194" s="496"/>
      <c r="O194" s="496"/>
      <c r="P194" s="496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6" t="s">
        <v>93</v>
      </c>
      <c r="F195" s="178"/>
      <c r="G195" s="179"/>
      <c r="H195" s="276" t="s">
        <v>35</v>
      </c>
      <c r="I195" s="269"/>
      <c r="J195" s="214">
        <v>0</v>
      </c>
      <c r="K195" s="496"/>
      <c r="L195" s="496"/>
      <c r="M195" s="496"/>
      <c r="N195" s="496"/>
      <c r="O195" s="496"/>
      <c r="P195" s="496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6" t="s">
        <v>94</v>
      </c>
      <c r="F196" s="178"/>
      <c r="G196" s="179"/>
      <c r="H196" s="276" t="s">
        <v>35</v>
      </c>
      <c r="I196" s="269"/>
      <c r="J196" s="214">
        <v>0</v>
      </c>
      <c r="K196" s="496"/>
      <c r="L196" s="496"/>
      <c r="M196" s="496"/>
      <c r="N196" s="496"/>
      <c r="O196" s="496"/>
      <c r="P196" s="496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5"/>
      <c r="B197" s="263"/>
      <c r="C197" s="270" t="s">
        <v>95</v>
      </c>
      <c r="D197" s="256"/>
      <c r="E197" s="256"/>
      <c r="F197" s="256"/>
      <c r="G197" s="258"/>
      <c r="H197" s="277" t="s">
        <v>96</v>
      </c>
      <c r="I197" s="271">
        <f t="shared" ref="I197:J197" ca="1" si="99">I204</f>
        <v>2</v>
      </c>
      <c r="J197" s="271">
        <f t="shared" si="99"/>
        <v>0</v>
      </c>
      <c r="K197" s="272">
        <f ca="1">IF(I197&gt;0,J197*100/I197,0)</f>
        <v>0</v>
      </c>
      <c r="L197" s="261"/>
      <c r="M197" s="261"/>
      <c r="N197" s="261"/>
      <c r="O197" s="261"/>
      <c r="P197" s="261"/>
    </row>
    <row r="198" spans="1:26" ht="19.5">
      <c r="A198" s="147"/>
      <c r="B198" s="148"/>
      <c r="C198" s="149" t="s">
        <v>16</v>
      </c>
      <c r="D198" s="826" t="s">
        <v>17</v>
      </c>
      <c r="E198" s="148"/>
      <c r="F198" s="148"/>
      <c r="G198" s="151"/>
      <c r="H198" s="274" t="s">
        <v>12</v>
      </c>
      <c r="I198" s="418"/>
      <c r="J198" s="418"/>
      <c r="K198" s="279"/>
      <c r="L198" s="155">
        <f ca="1">L199+L200+L201+L202</f>
        <v>26000</v>
      </c>
      <c r="M198" s="155"/>
      <c r="N198" s="155">
        <f>N199+N200+N201+N202</f>
        <v>0</v>
      </c>
      <c r="O198" s="155">
        <f ca="1">IF(L198&gt;0,N198*100/L198,0)</f>
        <v>0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0"/>
      <c r="C199" s="33"/>
      <c r="D199" s="281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6">
        <f ca="1">IFERROR(__xludf.DUMMYFUNCTION("IMPORTRANGE(""https://docs.google.com/spreadsheets/d/1QqKyyYR6Q21VydFLVH3TRQUabQu_ym0Zz7PgGX0-kHA/edit?usp=sharing"",""แผน!AE65"")"),2000)</f>
        <v>2000</v>
      </c>
      <c r="M199" s="496"/>
      <c r="N199" s="817">
        <v>0</v>
      </c>
      <c r="O199" s="496"/>
      <c r="P199" s="496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4"/>
      <c r="B200" s="280"/>
      <c r="C200" s="210"/>
      <c r="D200" s="281" t="s">
        <v>98</v>
      </c>
      <c r="E200" s="33"/>
      <c r="F200" s="33"/>
      <c r="G200" s="35"/>
      <c r="H200" s="616" t="s">
        <v>12</v>
      </c>
      <c r="I200" s="269"/>
      <c r="J200" s="269"/>
      <c r="K200" s="496"/>
      <c r="L200" s="496">
        <f ca="1">IFERROR(__xludf.DUMMYFUNCTION("IMPORTRANGE(""https://docs.google.com/spreadsheets/d/1QqKyyYR6Q21VydFLVH3TRQUabQu_ym0Zz7PgGX0-kHA/edit?usp=sharing"",""แผน!AF65"")"),16000)</f>
        <v>16000</v>
      </c>
      <c r="M200" s="496"/>
      <c r="N200" s="817">
        <v>0</v>
      </c>
      <c r="O200" s="496"/>
      <c r="P200" s="496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>
      <c r="A201" s="284"/>
      <c r="B201" s="280"/>
      <c r="C201" s="210"/>
      <c r="D201" s="281" t="s">
        <v>99</v>
      </c>
      <c r="E201" s="33"/>
      <c r="F201" s="33"/>
      <c r="G201" s="35"/>
      <c r="H201" s="616" t="s">
        <v>12</v>
      </c>
      <c r="I201" s="269"/>
      <c r="J201" s="269"/>
      <c r="K201" s="496"/>
      <c r="L201" s="496">
        <f ca="1">IFERROR(__xludf.DUMMYFUNCTION("IMPORTRANGE(""https://docs.google.com/spreadsheets/d/1QqKyyYR6Q21VydFLVH3TRQUabQu_ym0Zz7PgGX0-kHA/edit?usp=sharing"",""แผน!AG65"")"),8000)</f>
        <v>8000</v>
      </c>
      <c r="M201" s="496"/>
      <c r="N201" s="817">
        <v>0</v>
      </c>
      <c r="O201" s="496"/>
      <c r="P201" s="496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>
      <c r="A202" s="284"/>
      <c r="B202" s="280"/>
      <c r="C202" s="210"/>
      <c r="D202" s="281" t="s">
        <v>100</v>
      </c>
      <c r="E202" s="33"/>
      <c r="F202" s="33"/>
      <c r="G202" s="35"/>
      <c r="H202" s="616" t="s">
        <v>12</v>
      </c>
      <c r="I202" s="269"/>
      <c r="J202" s="269"/>
      <c r="K202" s="496"/>
      <c r="L202" s="496">
        <f ca="1">IFERROR(__xludf.DUMMYFUNCTION("IMPORTRANGE(""https://docs.google.com/spreadsheets/d/1QqKyyYR6Q21VydFLVH3TRQUabQu_ym0Zz7PgGX0-kHA/edit?usp=sharing"",""แผน!AH65"")"),0)</f>
        <v>0</v>
      </c>
      <c r="M202" s="496"/>
      <c r="N202" s="817">
        <v>0</v>
      </c>
      <c r="O202" s="496"/>
      <c r="P202" s="496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>
      <c r="A203" s="170"/>
      <c r="B203" s="171"/>
      <c r="C203" s="210" t="s">
        <v>16</v>
      </c>
      <c r="D203" s="823" t="s">
        <v>38</v>
      </c>
      <c r="E203" s="173"/>
      <c r="F203" s="173"/>
      <c r="G203" s="174"/>
      <c r="H203" s="753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53" t="s">
        <v>96</v>
      </c>
      <c r="I204" s="269">
        <f ca="1">IFERROR(__xludf.DUMMYFUNCTION("IMPORTRANGE(""https://docs.google.com/spreadsheets/d/1QqKyyYR6Q21VydFLVH3TRQUabQu_ym0Zz7PgGX0-kHA/edit?usp=sharing"",""แผน!AI65"")"),2)</f>
        <v>2</v>
      </c>
      <c r="J204" s="214">
        <v>0</v>
      </c>
      <c r="K204" s="163">
        <f ca="1">IF(I204&gt;0,J204*100/I204,0)</f>
        <v>0</v>
      </c>
      <c r="L204" s="496"/>
      <c r="M204" s="496"/>
      <c r="N204" s="496"/>
      <c r="O204" s="496"/>
      <c r="P204" s="496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6" t="s">
        <v>59</v>
      </c>
      <c r="E205" s="178"/>
      <c r="F205" s="178"/>
      <c r="G205" s="179"/>
      <c r="H205" s="753"/>
      <c r="I205" s="269"/>
      <c r="J205" s="269"/>
      <c r="K205" s="163"/>
      <c r="L205" s="496"/>
      <c r="M205" s="496"/>
      <c r="N205" s="496"/>
      <c r="O205" s="496"/>
      <c r="P205" s="496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25" t="s">
        <v>102</v>
      </c>
      <c r="F206" s="287"/>
      <c r="G206" s="288"/>
      <c r="H206" s="289" t="s">
        <v>96</v>
      </c>
      <c r="I206" s="269">
        <v>2</v>
      </c>
      <c r="J206" s="214">
        <v>0</v>
      </c>
      <c r="K206" s="163">
        <f t="shared" ref="K206:K208" si="100">IF(I206&gt;0,J206*100/I206,0)</f>
        <v>0</v>
      </c>
      <c r="L206" s="496"/>
      <c r="M206" s="496"/>
      <c r="N206" s="496"/>
      <c r="O206" s="496"/>
      <c r="P206" s="496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6"/>
      <c r="E207" s="446" t="s">
        <v>103</v>
      </c>
      <c r="F207" s="178"/>
      <c r="G207" s="178"/>
      <c r="H207" s="290" t="s">
        <v>104</v>
      </c>
      <c r="I207" s="269">
        <v>0</v>
      </c>
      <c r="J207" s="214">
        <v>0</v>
      </c>
      <c r="K207" s="163">
        <f t="shared" si="100"/>
        <v>0</v>
      </c>
      <c r="L207" s="496"/>
      <c r="M207" s="496"/>
      <c r="N207" s="496"/>
      <c r="O207" s="496"/>
      <c r="P207" s="496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 hidden="1">
      <c r="A208" s="255"/>
      <c r="B208" s="263"/>
      <c r="C208" s="270" t="s">
        <v>105</v>
      </c>
      <c r="D208" s="256"/>
      <c r="E208" s="256"/>
      <c r="F208" s="291"/>
      <c r="G208" s="258"/>
      <c r="H208" s="277" t="s">
        <v>96</v>
      </c>
      <c r="I208" s="271">
        <f t="shared" ref="I208:J208" ca="1" si="101">I215</f>
        <v>0</v>
      </c>
      <c r="J208" s="271">
        <f t="shared" si="101"/>
        <v>0</v>
      </c>
      <c r="K208" s="272">
        <f t="shared" ca="1" si="100"/>
        <v>0</v>
      </c>
      <c r="L208" s="261"/>
      <c r="M208" s="261"/>
      <c r="N208" s="261"/>
      <c r="O208" s="261"/>
      <c r="P208" s="261"/>
    </row>
    <row r="209" spans="1:26" ht="19.5" hidden="1">
      <c r="A209" s="147"/>
      <c r="B209" s="148"/>
      <c r="C209" s="149" t="s">
        <v>16</v>
      </c>
      <c r="D209" s="826" t="s">
        <v>17</v>
      </c>
      <c r="E209" s="148"/>
      <c r="F209" s="148"/>
      <c r="G209" s="151"/>
      <c r="H209" s="274" t="s">
        <v>12</v>
      </c>
      <c r="I209" s="418"/>
      <c r="J209" s="418"/>
      <c r="K209" s="279"/>
      <c r="L209" s="155">
        <f ca="1">L210+L211+L212</f>
        <v>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 hidden="1">
      <c r="A210" s="159"/>
      <c r="B210" s="280"/>
      <c r="C210" s="33"/>
      <c r="D210" s="281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6">
        <f ca="1">IFERROR(__xludf.DUMMYFUNCTION("IMPORTRANGE(""https://docs.google.com/spreadsheets/d/1QqKyyYR6Q21VydFLVH3TRQUabQu_ym0Zz7PgGX0-kHA/edit?usp=sharing"",""แผน!AK65"")"),0)</f>
        <v>0</v>
      </c>
      <c r="M210" s="496"/>
      <c r="N210" s="817">
        <v>0</v>
      </c>
      <c r="O210" s="496"/>
      <c r="P210" s="496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 hidden="1">
      <c r="A211" s="284"/>
      <c r="B211" s="280"/>
      <c r="C211" s="292"/>
      <c r="D211" s="281" t="s">
        <v>99</v>
      </c>
      <c r="E211" s="33"/>
      <c r="F211" s="33"/>
      <c r="G211" s="35"/>
      <c r="H211" s="161" t="s">
        <v>12</v>
      </c>
      <c r="I211" s="269"/>
      <c r="J211" s="269"/>
      <c r="K211" s="496"/>
      <c r="L211" s="496">
        <f ca="1">IFERROR(__xludf.DUMMYFUNCTION("IMPORTRANGE(""https://docs.google.com/spreadsheets/d/1QqKyyYR6Q21VydFLVH3TRQUabQu_ym0Zz7PgGX0-kHA/edit?usp=sharing"",""แผน!AL65"")"),0)</f>
        <v>0</v>
      </c>
      <c r="M211" s="496"/>
      <c r="N211" s="817">
        <v>0</v>
      </c>
      <c r="O211" s="496"/>
      <c r="P211" s="496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 hidden="1">
      <c r="A212" s="284"/>
      <c r="B212" s="280"/>
      <c r="C212" s="292"/>
      <c r="D212" s="281" t="s">
        <v>98</v>
      </c>
      <c r="E212" s="33"/>
      <c r="F212" s="33"/>
      <c r="G212" s="35"/>
      <c r="H212" s="161" t="s">
        <v>12</v>
      </c>
      <c r="I212" s="269"/>
      <c r="J212" s="269"/>
      <c r="K212" s="496"/>
      <c r="L212" s="496">
        <f ca="1">IFERROR(__xludf.DUMMYFUNCTION("IMPORTRANGE(""https://docs.google.com/spreadsheets/d/1QqKyyYR6Q21VydFLVH3TRQUabQu_ym0Zz7PgGX0-kHA/edit?usp=sharing"",""แผน!AM65"")"),0)</f>
        <v>0</v>
      </c>
      <c r="M212" s="496"/>
      <c r="N212" s="817">
        <v>0</v>
      </c>
      <c r="O212" s="496"/>
      <c r="P212" s="496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 hidden="1">
      <c r="A213" s="170"/>
      <c r="B213" s="171"/>
      <c r="C213" s="292" t="s">
        <v>16</v>
      </c>
      <c r="D213" s="823" t="s">
        <v>38</v>
      </c>
      <c r="E213" s="173"/>
      <c r="F213" s="173"/>
      <c r="G213" s="174"/>
      <c r="H213" s="753"/>
      <c r="I213" s="184"/>
      <c r="J213" s="269"/>
      <c r="K213" s="496"/>
      <c r="L213" s="496"/>
      <c r="M213" s="496"/>
      <c r="N213" s="496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 hidden="1">
      <c r="A214" s="170"/>
      <c r="B214" s="171"/>
      <c r="C214" s="171"/>
      <c r="D214" s="176" t="s">
        <v>106</v>
      </c>
      <c r="E214" s="178"/>
      <c r="F214" s="178"/>
      <c r="G214" s="179"/>
      <c r="H214" s="753" t="s">
        <v>96</v>
      </c>
      <c r="I214" s="269">
        <f ca="1">IFERROR(__xludf.DUMMYFUNCTION("IMPORTRANGE(""https://docs.google.com/spreadsheets/d/1QqKyyYR6Q21VydFLVH3TRQUabQu_ym0Zz7PgGX0-kHA/edit?usp=sharing"",""แผน!AN65"")"),0)</f>
        <v>0</v>
      </c>
      <c r="J214" s="214">
        <v>0</v>
      </c>
      <c r="K214" s="496">
        <f t="shared" ref="K214:K216" ca="1" si="102">IF(I214&gt;0,J214*100/I214,0)</f>
        <v>0</v>
      </c>
      <c r="L214" s="496"/>
      <c r="M214" s="496"/>
      <c r="N214" s="496"/>
      <c r="O214" s="496"/>
      <c r="P214" s="496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 hidden="1">
      <c r="A215" s="170"/>
      <c r="B215" s="171"/>
      <c r="C215" s="171"/>
      <c r="D215" s="176" t="s">
        <v>107</v>
      </c>
      <c r="E215" s="178"/>
      <c r="F215" s="178"/>
      <c r="G215" s="179"/>
      <c r="H215" s="753" t="s">
        <v>96</v>
      </c>
      <c r="I215" s="269">
        <f ca="1">IFERROR(__xludf.DUMMYFUNCTION("IMPORTRANGE(""https://docs.google.com/spreadsheets/d/1QqKyyYR6Q21VydFLVH3TRQUabQu_ym0Zz7PgGX0-kHA/edit?usp=sharing"",""แผน!AN65"")"),0)</f>
        <v>0</v>
      </c>
      <c r="J215" s="214">
        <v>0</v>
      </c>
      <c r="K215" s="496">
        <f t="shared" ca="1" si="102"/>
        <v>0</v>
      </c>
      <c r="L215" s="496"/>
      <c r="M215" s="496"/>
      <c r="N215" s="496"/>
      <c r="O215" s="496"/>
      <c r="P215" s="496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5"/>
      <c r="B216" s="263"/>
      <c r="C216" s="270" t="s">
        <v>108</v>
      </c>
      <c r="D216" s="256"/>
      <c r="E216" s="256"/>
      <c r="F216" s="291"/>
      <c r="G216" s="258"/>
      <c r="H216" s="259" t="s">
        <v>109</v>
      </c>
      <c r="I216" s="271">
        <f t="shared" ref="I216:J216" ca="1" si="103">I224</f>
        <v>30000</v>
      </c>
      <c r="J216" s="271">
        <f t="shared" si="103"/>
        <v>0</v>
      </c>
      <c r="K216" s="272">
        <f t="shared" ca="1" si="102"/>
        <v>0</v>
      </c>
      <c r="L216" s="261"/>
      <c r="M216" s="261"/>
      <c r="N216" s="261"/>
      <c r="O216" s="261"/>
      <c r="P216" s="261"/>
    </row>
    <row r="217" spans="1:26" ht="19.5">
      <c r="A217" s="147"/>
      <c r="B217" s="148"/>
      <c r="C217" s="149" t="s">
        <v>16</v>
      </c>
      <c r="D217" s="826" t="s">
        <v>17</v>
      </c>
      <c r="E217" s="148"/>
      <c r="F217" s="148"/>
      <c r="G217" s="151"/>
      <c r="H217" s="274" t="s">
        <v>12</v>
      </c>
      <c r="I217" s="418"/>
      <c r="J217" s="418"/>
      <c r="K217" s="279"/>
      <c r="L217" s="155">
        <f ca="1">L218+L219+L220</f>
        <v>13500</v>
      </c>
      <c r="M217" s="155"/>
      <c r="N217" s="155">
        <f>N218+N219+N220</f>
        <v>0</v>
      </c>
      <c r="O217" s="155">
        <f ca="1">IF(L217&gt;0,N217*100/L217,0)</f>
        <v>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0"/>
      <c r="C218" s="33"/>
      <c r="D218" s="281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6">
        <f ca="1">IFERROR(__xludf.DUMMYFUNCTION("IMPORTRANGE(""https://docs.google.com/spreadsheets/d/1QqKyyYR6Q21VydFLVH3TRQUabQu_ym0Zz7PgGX0-kHA/edit?usp=sharing"",""แผน!AP65"")"),5000)</f>
        <v>5000</v>
      </c>
      <c r="M218" s="496"/>
      <c r="N218" s="817">
        <v>0</v>
      </c>
      <c r="O218" s="496"/>
      <c r="P218" s="496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4"/>
      <c r="B219" s="280"/>
      <c r="C219" s="292"/>
      <c r="D219" s="281" t="s">
        <v>110</v>
      </c>
      <c r="E219" s="33"/>
      <c r="F219" s="33"/>
      <c r="G219" s="35"/>
      <c r="H219" s="161" t="s">
        <v>12</v>
      </c>
      <c r="I219" s="269"/>
      <c r="J219" s="269"/>
      <c r="K219" s="496"/>
      <c r="L219" s="496">
        <f ca="1">IFERROR(__xludf.DUMMYFUNCTION("IMPORTRANGE(""https://docs.google.com/spreadsheets/d/1QqKyyYR6Q21VydFLVH3TRQUabQu_ym0Zz7PgGX0-kHA/edit?usp=sharing"",""แผน!AQ65"")"),8500)</f>
        <v>8500</v>
      </c>
      <c r="M219" s="496"/>
      <c r="N219" s="817">
        <v>0</v>
      </c>
      <c r="O219" s="496"/>
      <c r="P219" s="496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0"/>
      <c r="C220" s="292"/>
      <c r="D220" s="281" t="s">
        <v>98</v>
      </c>
      <c r="E220" s="33"/>
      <c r="F220" s="33"/>
      <c r="G220" s="35"/>
      <c r="H220" s="161" t="s">
        <v>12</v>
      </c>
      <c r="I220" s="269"/>
      <c r="J220" s="269"/>
      <c r="K220" s="496"/>
      <c r="L220" s="496">
        <f ca="1">IFERROR(__xludf.DUMMYFUNCTION("IMPORTRANGE(""https://docs.google.com/spreadsheets/d/1QqKyyYR6Q21VydFLVH3TRQUabQu_ym0Zz7PgGX0-kHA/edit?usp=sharing"",""แผน!AR65"")"),0)</f>
        <v>0</v>
      </c>
      <c r="M220" s="496"/>
      <c r="N220" s="817">
        <v>0</v>
      </c>
      <c r="O220" s="496"/>
      <c r="P220" s="496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70"/>
      <c r="B221" s="171"/>
      <c r="C221" s="292" t="s">
        <v>16</v>
      </c>
      <c r="D221" s="823" t="s">
        <v>38</v>
      </c>
      <c r="E221" s="173"/>
      <c r="F221" s="173"/>
      <c r="G221" s="174"/>
      <c r="H221" s="753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1" t="s">
        <v>111</v>
      </c>
      <c r="E222" s="178"/>
      <c r="F222" s="178"/>
      <c r="G222" s="179"/>
      <c r="H222" s="753"/>
      <c r="I222" s="269"/>
      <c r="J222" s="269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55" t="s">
        <v>109</v>
      </c>
      <c r="I223" s="269">
        <f ca="1">IFERROR(__xludf.DUMMYFUNCTION("IMPORTRANGE(""https://docs.google.com/spreadsheets/d/1QqKyyYR6Q21VydFLVH3TRQUabQu_ym0Zz7PgGX0-kHA/edit?usp=sharing"",""แผน!AT65"")"),30000)</f>
        <v>30000</v>
      </c>
      <c r="J223" s="214">
        <v>0</v>
      </c>
      <c r="K223" s="163">
        <f t="shared" ref="K223:K226" ca="1" si="104">IF(I223&gt;0,J223*100/I223,0)</f>
        <v>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55" t="s">
        <v>109</v>
      </c>
      <c r="I224" s="269">
        <f ca="1">IFERROR(__xludf.DUMMYFUNCTION("IMPORTRANGE(""https://docs.google.com/spreadsheets/d/1QqKyyYR6Q21VydFLVH3TRQUabQu_ym0Zz7PgGX0-kHA/edit?usp=sharing"",""แผน!AT65"")"),30000)</f>
        <v>30000</v>
      </c>
      <c r="J224" s="214">
        <v>0</v>
      </c>
      <c r="K224" s="163">
        <f t="shared" ca="1" si="104"/>
        <v>0</v>
      </c>
      <c r="L224" s="496"/>
      <c r="M224" s="496"/>
      <c r="N224" s="496"/>
      <c r="O224" s="496"/>
      <c r="P224" s="496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1" t="s">
        <v>114</v>
      </c>
      <c r="E225" s="178"/>
      <c r="F225" s="178"/>
      <c r="G225" s="179"/>
      <c r="H225" s="755" t="s">
        <v>35</v>
      </c>
      <c r="I225" s="269">
        <f ca="1">IFERROR(__xludf.DUMMYFUNCTION("IMPORTRANGE(""https://docs.google.com/spreadsheets/d/1QqKyyYR6Q21VydFLVH3TRQUabQu_ym0Zz7PgGX0-kHA/edit?usp=sharing"",""แผน!AS65"")"),0)</f>
        <v>0</v>
      </c>
      <c r="J225" s="214">
        <v>0</v>
      </c>
      <c r="K225" s="163">
        <f t="shared" ca="1" si="104"/>
        <v>0</v>
      </c>
      <c r="L225" s="496"/>
      <c r="M225" s="496"/>
      <c r="N225" s="496"/>
      <c r="O225" s="496"/>
      <c r="P225" s="496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5"/>
      <c r="B226" s="263"/>
      <c r="C226" s="341" t="s">
        <v>115</v>
      </c>
      <c r="D226" s="256"/>
      <c r="E226" s="256"/>
      <c r="F226" s="256"/>
      <c r="G226" s="258"/>
      <c r="H226" s="265" t="s">
        <v>35</v>
      </c>
      <c r="I226" s="344">
        <f t="shared" ref="I226:J226" ca="1" si="105">I237+I248</f>
        <v>0</v>
      </c>
      <c r="J226" s="344">
        <f t="shared" si="105"/>
        <v>0</v>
      </c>
      <c r="K226" s="345">
        <f t="shared" ca="1" si="104"/>
        <v>0</v>
      </c>
      <c r="L226" s="261"/>
      <c r="M226" s="261"/>
      <c r="N226" s="261"/>
      <c r="O226" s="261"/>
      <c r="P226" s="261"/>
    </row>
    <row r="227" spans="1:26" ht="19.5" hidden="1">
      <c r="A227" s="347"/>
      <c r="B227" s="348"/>
      <c r="C227" s="349" t="s">
        <v>16</v>
      </c>
      <c r="D227" s="827" t="s">
        <v>17</v>
      </c>
      <c r="E227" s="348"/>
      <c r="F227" s="348"/>
      <c r="G227" s="351"/>
      <c r="H227" s="352" t="s">
        <v>12</v>
      </c>
      <c r="I227" s="353"/>
      <c r="J227" s="353"/>
      <c r="K227" s="354"/>
      <c r="L227" s="355">
        <f t="shared" ref="L227:L231" ca="1" si="106">L238+L249</f>
        <v>0</v>
      </c>
      <c r="M227" s="355"/>
      <c r="N227" s="355">
        <f t="shared" ref="N227:N231" si="107">N238+N249</f>
        <v>0</v>
      </c>
      <c r="O227" s="828"/>
      <c r="P227" s="828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6"/>
      <c r="C228" s="40"/>
      <c r="D228" s="222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0</v>
      </c>
      <c r="M228" s="93"/>
      <c r="N228" s="93">
        <f t="shared" si="107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8"/>
      <c r="B229" s="356"/>
      <c r="C229" s="359"/>
      <c r="D229" s="222" t="s">
        <v>98</v>
      </c>
      <c r="E229" s="40"/>
      <c r="F229" s="40"/>
      <c r="G229" s="42"/>
      <c r="H229" s="165" t="s">
        <v>12</v>
      </c>
      <c r="I229" s="610"/>
      <c r="J229" s="610"/>
      <c r="K229" s="93"/>
      <c r="L229" s="93">
        <f t="shared" ca="1" si="106"/>
        <v>0</v>
      </c>
      <c r="M229" s="93"/>
      <c r="N229" s="93">
        <f t="shared" si="107"/>
        <v>0</v>
      </c>
      <c r="O229" s="93"/>
      <c r="P229" s="93"/>
      <c r="Q229" s="360"/>
      <c r="R229" s="360"/>
      <c r="S229" s="360"/>
      <c r="T229" s="360"/>
      <c r="U229" s="360"/>
      <c r="V229" s="360"/>
      <c r="W229" s="360"/>
      <c r="X229" s="360"/>
      <c r="Y229" s="360"/>
      <c r="Z229" s="360"/>
    </row>
    <row r="230" spans="1:26" ht="19.5" hidden="1">
      <c r="A230" s="358"/>
      <c r="B230" s="356"/>
      <c r="C230" s="359"/>
      <c r="D230" s="222" t="s">
        <v>116</v>
      </c>
      <c r="E230" s="40"/>
      <c r="F230" s="40"/>
      <c r="G230" s="42"/>
      <c r="H230" s="165" t="s">
        <v>12</v>
      </c>
      <c r="I230" s="610"/>
      <c r="J230" s="610"/>
      <c r="K230" s="93"/>
      <c r="L230" s="93">
        <f t="shared" ca="1" si="106"/>
        <v>0</v>
      </c>
      <c r="M230" s="93"/>
      <c r="N230" s="93">
        <f t="shared" si="107"/>
        <v>0</v>
      </c>
      <c r="O230" s="93"/>
      <c r="P230" s="93"/>
      <c r="Q230" s="360"/>
      <c r="R230" s="360"/>
      <c r="S230" s="360"/>
      <c r="T230" s="360"/>
      <c r="U230" s="360"/>
      <c r="V230" s="360"/>
      <c r="W230" s="360"/>
      <c r="X230" s="360"/>
      <c r="Y230" s="360"/>
      <c r="Z230" s="360"/>
    </row>
    <row r="231" spans="1:26" ht="19.5" hidden="1">
      <c r="A231" s="358"/>
      <c r="B231" s="356"/>
      <c r="C231" s="359"/>
      <c r="D231" s="222" t="s">
        <v>100</v>
      </c>
      <c r="E231" s="40"/>
      <c r="F231" s="40"/>
      <c r="G231" s="42"/>
      <c r="H231" s="165" t="s">
        <v>12</v>
      </c>
      <c r="I231" s="610"/>
      <c r="J231" s="610"/>
      <c r="K231" s="93"/>
      <c r="L231" s="93">
        <f t="shared" ca="1" si="106"/>
        <v>0</v>
      </c>
      <c r="M231" s="93"/>
      <c r="N231" s="93">
        <f t="shared" si="107"/>
        <v>0</v>
      </c>
      <c r="O231" s="93"/>
      <c r="P231" s="93"/>
      <c r="Q231" s="360"/>
      <c r="R231" s="360"/>
      <c r="S231" s="360"/>
      <c r="T231" s="360"/>
      <c r="U231" s="360"/>
      <c r="V231" s="360"/>
      <c r="W231" s="360"/>
      <c r="X231" s="360"/>
      <c r="Y231" s="360"/>
      <c r="Z231" s="360"/>
    </row>
    <row r="232" spans="1:26" ht="19.5" hidden="1">
      <c r="A232" s="361"/>
      <c r="B232" s="362"/>
      <c r="C232" s="359" t="s">
        <v>16</v>
      </c>
      <c r="D232" s="266" t="s">
        <v>38</v>
      </c>
      <c r="E232" s="363"/>
      <c r="F232" s="363"/>
      <c r="G232" s="364"/>
      <c r="H232" s="365"/>
      <c r="I232" s="166"/>
      <c r="J232" s="610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1"/>
      <c r="B233" s="362"/>
      <c r="C233" s="362"/>
      <c r="D233" s="366" t="s">
        <v>117</v>
      </c>
      <c r="E233" s="372"/>
      <c r="F233" s="372"/>
      <c r="G233" s="368"/>
      <c r="H233" s="369" t="s">
        <v>35</v>
      </c>
      <c r="I233" s="610">
        <f t="shared" ref="I233:J233" ca="1" si="108">I244+I255</f>
        <v>0</v>
      </c>
      <c r="J233" s="610">
        <f t="shared" si="108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1"/>
      <c r="B234" s="362"/>
      <c r="C234" s="362"/>
      <c r="D234" s="371" t="s">
        <v>43</v>
      </c>
      <c r="E234" s="372"/>
      <c r="F234" s="372"/>
      <c r="G234" s="368"/>
      <c r="H234" s="369"/>
      <c r="I234" s="610"/>
      <c r="J234" s="610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1"/>
      <c r="B235" s="362"/>
      <c r="C235" s="362"/>
      <c r="D235" s="362"/>
      <c r="E235" s="373" t="s">
        <v>118</v>
      </c>
      <c r="F235" s="372"/>
      <c r="G235" s="368"/>
      <c r="H235" s="369" t="s">
        <v>35</v>
      </c>
      <c r="I235" s="610">
        <f t="shared" ref="I235:J236" si="109">I246+I257</f>
        <v>0</v>
      </c>
      <c r="J235" s="610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1"/>
      <c r="B236" s="362"/>
      <c r="C236" s="362"/>
      <c r="D236" s="362"/>
      <c r="E236" s="373" t="s">
        <v>119</v>
      </c>
      <c r="F236" s="372"/>
      <c r="G236" s="368"/>
      <c r="H236" s="369" t="s">
        <v>69</v>
      </c>
      <c r="I236" s="610">
        <f t="shared" si="109"/>
        <v>0</v>
      </c>
      <c r="J236" s="610">
        <f t="shared" si="109"/>
        <v>0</v>
      </c>
      <c r="K236" s="93">
        <f t="shared" si="110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5"/>
      <c r="B237" s="263"/>
      <c r="C237" s="270" t="s">
        <v>120</v>
      </c>
      <c r="D237" s="256"/>
      <c r="E237" s="256"/>
      <c r="F237" s="256"/>
      <c r="G237" s="258"/>
      <c r="H237" s="259" t="s">
        <v>35</v>
      </c>
      <c r="I237" s="271">
        <f t="shared" ref="I237:J237" ca="1" si="111">I244</f>
        <v>0</v>
      </c>
      <c r="J237" s="271">
        <f t="shared" si="111"/>
        <v>0</v>
      </c>
      <c r="K237" s="272">
        <f t="shared" ca="1" si="110"/>
        <v>0</v>
      </c>
      <c r="L237" s="261"/>
      <c r="M237" s="261"/>
      <c r="N237" s="261"/>
      <c r="O237" s="261"/>
      <c r="P237" s="261"/>
    </row>
    <row r="238" spans="1:26" ht="19.5" hidden="1">
      <c r="A238" s="147"/>
      <c r="B238" s="148"/>
      <c r="C238" s="149" t="s">
        <v>16</v>
      </c>
      <c r="D238" s="822" t="s">
        <v>17</v>
      </c>
      <c r="E238" s="148"/>
      <c r="F238" s="148"/>
      <c r="G238" s="151"/>
      <c r="H238" s="274" t="s">
        <v>12</v>
      </c>
      <c r="I238" s="418"/>
      <c r="J238" s="418"/>
      <c r="K238" s="279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4"/>
      <c r="B239" s="315"/>
      <c r="C239" s="316"/>
      <c r="D239" s="324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282">
        <f ca="1">IFERROR(__xludf.DUMMYFUNCTION("IMPORTRANGE(""https://docs.google.com/spreadsheets/d/1QqKyyYR6Q21VydFLVH3TRQUabQu_ym0Zz7PgGX0-kHA/edit?usp=sharing"",""แผน!AV65"")"),0)</f>
        <v>0</v>
      </c>
      <c r="M239" s="282"/>
      <c r="N239" s="829">
        <v>0</v>
      </c>
      <c r="O239" s="282"/>
      <c r="P239" s="28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 hidden="1">
      <c r="A240" s="322"/>
      <c r="B240" s="315"/>
      <c r="C240" s="323"/>
      <c r="D240" s="324" t="s">
        <v>98</v>
      </c>
      <c r="E240" s="316"/>
      <c r="F240" s="316"/>
      <c r="G240" s="318"/>
      <c r="H240" s="319" t="s">
        <v>12</v>
      </c>
      <c r="I240" s="325"/>
      <c r="J240" s="325"/>
      <c r="K240" s="282"/>
      <c r="L240" s="282">
        <f ca="1">IFERROR(__xludf.DUMMYFUNCTION("IMPORTRANGE(""https://docs.google.com/spreadsheets/d/1QqKyyYR6Q21VydFLVH3TRQUabQu_ym0Zz7PgGX0-kHA/edit?usp=sharing"",""แผน!AW65"")"),0)</f>
        <v>0</v>
      </c>
      <c r="M240" s="282"/>
      <c r="N240" s="829">
        <v>0</v>
      </c>
      <c r="O240" s="282"/>
      <c r="P240" s="282"/>
      <c r="Q240" s="326"/>
      <c r="R240" s="326"/>
      <c r="S240" s="326"/>
      <c r="T240" s="326"/>
      <c r="U240" s="326"/>
      <c r="V240" s="326"/>
      <c r="W240" s="326"/>
      <c r="X240" s="326"/>
      <c r="Y240" s="326"/>
      <c r="Z240" s="326"/>
    </row>
    <row r="241" spans="1:26" ht="19.5" hidden="1">
      <c r="A241" s="322"/>
      <c r="B241" s="315"/>
      <c r="C241" s="323"/>
      <c r="D241" s="324" t="s">
        <v>116</v>
      </c>
      <c r="E241" s="316"/>
      <c r="F241" s="316"/>
      <c r="G241" s="318"/>
      <c r="H241" s="319" t="s">
        <v>12</v>
      </c>
      <c r="I241" s="325"/>
      <c r="J241" s="325"/>
      <c r="K241" s="282"/>
      <c r="L241" s="282">
        <f ca="1">IFERROR(__xludf.DUMMYFUNCTION("IMPORTRANGE(""https://docs.google.com/spreadsheets/d/1QqKyyYR6Q21VydFLVH3TRQUabQu_ym0Zz7PgGX0-kHA/edit?usp=sharing"",""แผน!AX65"")"),0)</f>
        <v>0</v>
      </c>
      <c r="M241" s="282"/>
      <c r="N241" s="829">
        <v>0</v>
      </c>
      <c r="O241" s="282"/>
      <c r="P241" s="282"/>
      <c r="Q241" s="326"/>
      <c r="R241" s="326"/>
      <c r="S241" s="326"/>
      <c r="T241" s="326"/>
      <c r="U241" s="326"/>
      <c r="V241" s="326"/>
      <c r="W241" s="326"/>
      <c r="X241" s="326"/>
      <c r="Y241" s="326"/>
      <c r="Z241" s="326"/>
    </row>
    <row r="242" spans="1:26" ht="19.5" hidden="1">
      <c r="A242" s="322"/>
      <c r="B242" s="315"/>
      <c r="C242" s="323"/>
      <c r="D242" s="324" t="s">
        <v>100</v>
      </c>
      <c r="E242" s="316"/>
      <c r="F242" s="316"/>
      <c r="G242" s="318"/>
      <c r="H242" s="319" t="s">
        <v>12</v>
      </c>
      <c r="I242" s="325"/>
      <c r="J242" s="325"/>
      <c r="K242" s="282"/>
      <c r="L242" s="282">
        <f ca="1">IFERROR(__xludf.DUMMYFUNCTION("IMPORTRANGE(""https://docs.google.com/spreadsheets/d/1QqKyyYR6Q21VydFLVH3TRQUabQu_ym0Zz7PgGX0-kHA/edit?usp=sharing"",""แผน!AY65"")"),0)</f>
        <v>0</v>
      </c>
      <c r="M242" s="282"/>
      <c r="N242" s="829">
        <v>0</v>
      </c>
      <c r="O242" s="282"/>
      <c r="P242" s="282"/>
      <c r="Q242" s="326"/>
      <c r="R242" s="326"/>
      <c r="S242" s="326"/>
      <c r="T242" s="326"/>
      <c r="U242" s="326"/>
      <c r="V242" s="326"/>
      <c r="W242" s="326"/>
      <c r="X242" s="326"/>
      <c r="Y242" s="326"/>
      <c r="Z242" s="326"/>
    </row>
    <row r="243" spans="1:26" ht="19.5" hidden="1">
      <c r="A243" s="170"/>
      <c r="B243" s="171"/>
      <c r="C243" s="292" t="s">
        <v>16</v>
      </c>
      <c r="D243" s="823" t="s">
        <v>38</v>
      </c>
      <c r="E243" s="173"/>
      <c r="F243" s="173"/>
      <c r="G243" s="174"/>
      <c r="H243" s="753"/>
      <c r="I243" s="184"/>
      <c r="J243" s="269"/>
      <c r="K243" s="496"/>
      <c r="L243" s="496"/>
      <c r="M243" s="496"/>
      <c r="N243" s="496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46" t="s">
        <v>117</v>
      </c>
      <c r="E244" s="178"/>
      <c r="F244" s="178"/>
      <c r="G244" s="179"/>
      <c r="H244" s="755" t="s">
        <v>35</v>
      </c>
      <c r="I244" s="269">
        <f ca="1">IFERROR(__xludf.DUMMYFUNCTION("IMPORTRANGE(""https://docs.google.com/spreadsheets/d/1QqKyyYR6Q21VydFLVH3TRQUabQu_ym0Zz7PgGX0-kHA/edit?usp=sharing"",""แผน!BE65"")"),0)</f>
        <v>0</v>
      </c>
      <c r="J244" s="214">
        <v>0</v>
      </c>
      <c r="K244" s="496">
        <f ca="1">IF(I244&gt;0,J244*100/I244,0)</f>
        <v>0</v>
      </c>
      <c r="L244" s="496"/>
      <c r="M244" s="496"/>
      <c r="N244" s="496"/>
      <c r="O244" s="496"/>
      <c r="P244" s="496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830" t="s">
        <v>43</v>
      </c>
      <c r="E245" s="178"/>
      <c r="F245" s="178"/>
      <c r="G245" s="179"/>
      <c r="H245" s="755"/>
      <c r="I245" s="269"/>
      <c r="J245" s="269"/>
      <c r="K245" s="496"/>
      <c r="L245" s="496"/>
      <c r="M245" s="496"/>
      <c r="N245" s="496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176" t="s">
        <v>118</v>
      </c>
      <c r="F246" s="178"/>
      <c r="G246" s="179"/>
      <c r="H246" s="755" t="s">
        <v>35</v>
      </c>
      <c r="I246" s="269"/>
      <c r="J246" s="214">
        <v>0</v>
      </c>
      <c r="K246" s="496">
        <f t="shared" ref="K246:K248" si="112">IF(I246&gt;0,J246*100/I246,0)</f>
        <v>0</v>
      </c>
      <c r="L246" s="496"/>
      <c r="M246" s="496"/>
      <c r="N246" s="496"/>
      <c r="O246" s="496"/>
      <c r="P246" s="496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176" t="s">
        <v>119</v>
      </c>
      <c r="F247" s="178"/>
      <c r="G247" s="179"/>
      <c r="H247" s="755" t="s">
        <v>69</v>
      </c>
      <c r="I247" s="269"/>
      <c r="J247" s="214">
        <v>0</v>
      </c>
      <c r="K247" s="496">
        <f t="shared" si="112"/>
        <v>0</v>
      </c>
      <c r="L247" s="496"/>
      <c r="M247" s="496"/>
      <c r="N247" s="496"/>
      <c r="O247" s="496"/>
      <c r="P247" s="496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5"/>
      <c r="B248" s="263"/>
      <c r="C248" s="270" t="s">
        <v>121</v>
      </c>
      <c r="D248" s="256"/>
      <c r="E248" s="256"/>
      <c r="F248" s="256"/>
      <c r="G248" s="258"/>
      <c r="H248" s="259" t="s">
        <v>35</v>
      </c>
      <c r="I248" s="271">
        <f t="shared" ref="I248:J248" ca="1" si="113">I255</f>
        <v>0</v>
      </c>
      <c r="J248" s="271">
        <f t="shared" si="113"/>
        <v>0</v>
      </c>
      <c r="K248" s="272">
        <f t="shared" ca="1" si="112"/>
        <v>0</v>
      </c>
      <c r="L248" s="261"/>
      <c r="M248" s="261"/>
      <c r="N248" s="261"/>
      <c r="O248" s="261"/>
      <c r="P248" s="261"/>
    </row>
    <row r="249" spans="1:26" ht="19.5" hidden="1">
      <c r="A249" s="147"/>
      <c r="B249" s="148"/>
      <c r="C249" s="149" t="s">
        <v>16</v>
      </c>
      <c r="D249" s="826" t="s">
        <v>17</v>
      </c>
      <c r="E249" s="148"/>
      <c r="F249" s="148"/>
      <c r="G249" s="151"/>
      <c r="H249" s="274" t="s">
        <v>12</v>
      </c>
      <c r="I249" s="418"/>
      <c r="J249" s="418"/>
      <c r="K249" s="279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4"/>
      <c r="B250" s="315"/>
      <c r="C250" s="316"/>
      <c r="D250" s="324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282">
        <f ca="1">IFERROR(__xludf.DUMMYFUNCTION("IMPORTRANGE(""https://docs.google.com/spreadsheets/d/1QqKyyYR6Q21VydFLVH3TRQUabQu_ym0Zz7PgGX0-kHA/edit?usp=sharing"",""แผน!AZ65"")"),0)</f>
        <v>0</v>
      </c>
      <c r="M250" s="282"/>
      <c r="N250" s="829">
        <v>0</v>
      </c>
      <c r="O250" s="282"/>
      <c r="P250" s="282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9.5" hidden="1">
      <c r="A251" s="322"/>
      <c r="B251" s="315"/>
      <c r="C251" s="323"/>
      <c r="D251" s="324" t="s">
        <v>98</v>
      </c>
      <c r="E251" s="316"/>
      <c r="F251" s="316"/>
      <c r="G251" s="318"/>
      <c r="H251" s="319" t="s">
        <v>12</v>
      </c>
      <c r="I251" s="325"/>
      <c r="J251" s="325"/>
      <c r="K251" s="282"/>
      <c r="L251" s="282">
        <f ca="1">IFERROR(__xludf.DUMMYFUNCTION("IMPORTRANGE(""https://docs.google.com/spreadsheets/d/1QqKyyYR6Q21VydFLVH3TRQUabQu_ym0Zz7PgGX0-kHA/edit?usp=sharing"",""แผน!BA65"")"),0)</f>
        <v>0</v>
      </c>
      <c r="M251" s="282"/>
      <c r="N251" s="829">
        <v>0</v>
      </c>
      <c r="O251" s="282"/>
      <c r="P251" s="282"/>
      <c r="Q251" s="326"/>
      <c r="R251" s="326"/>
      <c r="S251" s="326"/>
      <c r="T251" s="326"/>
      <c r="U251" s="326"/>
      <c r="V251" s="326"/>
      <c r="W251" s="326"/>
      <c r="X251" s="326"/>
      <c r="Y251" s="326"/>
      <c r="Z251" s="326"/>
    </row>
    <row r="252" spans="1:26" ht="19.5" hidden="1">
      <c r="A252" s="322"/>
      <c r="B252" s="315"/>
      <c r="C252" s="323"/>
      <c r="D252" s="324" t="s">
        <v>116</v>
      </c>
      <c r="E252" s="316"/>
      <c r="F252" s="316"/>
      <c r="G252" s="318"/>
      <c r="H252" s="319" t="s">
        <v>12</v>
      </c>
      <c r="I252" s="325"/>
      <c r="J252" s="325"/>
      <c r="K252" s="282"/>
      <c r="L252" s="282">
        <f ca="1">IFERROR(__xludf.DUMMYFUNCTION("IMPORTRANGE(""https://docs.google.com/spreadsheets/d/1QqKyyYR6Q21VydFLVH3TRQUabQu_ym0Zz7PgGX0-kHA/edit?usp=sharing"",""แผน!BB65"")"),0)</f>
        <v>0</v>
      </c>
      <c r="M252" s="282"/>
      <c r="N252" s="829">
        <v>0</v>
      </c>
      <c r="O252" s="282"/>
      <c r="P252" s="282"/>
      <c r="Q252" s="326"/>
      <c r="R252" s="326"/>
      <c r="S252" s="326"/>
      <c r="T252" s="326"/>
      <c r="U252" s="326"/>
      <c r="V252" s="326"/>
      <c r="W252" s="326"/>
      <c r="X252" s="326"/>
      <c r="Y252" s="326"/>
      <c r="Z252" s="326"/>
    </row>
    <row r="253" spans="1:26" ht="19.5" hidden="1">
      <c r="A253" s="322"/>
      <c r="B253" s="315"/>
      <c r="C253" s="323"/>
      <c r="D253" s="324" t="s">
        <v>100</v>
      </c>
      <c r="E253" s="316"/>
      <c r="F253" s="316"/>
      <c r="G253" s="318"/>
      <c r="H253" s="319" t="s">
        <v>12</v>
      </c>
      <c r="I253" s="325"/>
      <c r="J253" s="325"/>
      <c r="K253" s="282"/>
      <c r="L253" s="282">
        <f ca="1">IFERROR(__xludf.DUMMYFUNCTION("IMPORTRANGE(""https://docs.google.com/spreadsheets/d/1QqKyyYR6Q21VydFLVH3TRQUabQu_ym0Zz7PgGX0-kHA/edit?usp=sharing"",""แผน!BC65"")"),0)</f>
        <v>0</v>
      </c>
      <c r="M253" s="282"/>
      <c r="N253" s="829">
        <v>0</v>
      </c>
      <c r="O253" s="282"/>
      <c r="P253" s="282"/>
      <c r="Q253" s="326"/>
      <c r="R253" s="326"/>
      <c r="S253" s="326"/>
      <c r="T253" s="326"/>
      <c r="U253" s="326"/>
      <c r="V253" s="326"/>
      <c r="W253" s="326"/>
      <c r="X253" s="326"/>
      <c r="Y253" s="326"/>
      <c r="Z253" s="326"/>
    </row>
    <row r="254" spans="1:26" ht="19.5" hidden="1">
      <c r="A254" s="170"/>
      <c r="B254" s="171"/>
      <c r="C254" s="292" t="s">
        <v>16</v>
      </c>
      <c r="D254" s="823" t="s">
        <v>38</v>
      </c>
      <c r="E254" s="173"/>
      <c r="F254" s="173"/>
      <c r="G254" s="174"/>
      <c r="H254" s="753"/>
      <c r="I254" s="184"/>
      <c r="J254" s="269"/>
      <c r="K254" s="496"/>
      <c r="L254" s="496"/>
      <c r="M254" s="496"/>
      <c r="N254" s="496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6" t="s">
        <v>117</v>
      </c>
      <c r="E255" s="178"/>
      <c r="F255" s="178"/>
      <c r="G255" s="179"/>
      <c r="H255" s="755" t="s">
        <v>35</v>
      </c>
      <c r="I255" s="269">
        <f ca="1">IFERROR(__xludf.DUMMYFUNCTION("IMPORTRANGE(""https://docs.google.com/spreadsheets/d/1QqKyyYR6Q21VydFLVH3TRQUabQu_ym0Zz7PgGX0-kHA/edit?usp=sharing"",""แผน!BF65"")"),0)</f>
        <v>0</v>
      </c>
      <c r="J255" s="214">
        <v>0</v>
      </c>
      <c r="K255" s="496">
        <f ca="1">IF(I255&gt;0,J255*100/I255,0)</f>
        <v>0</v>
      </c>
      <c r="L255" s="496"/>
      <c r="M255" s="496"/>
      <c r="N255" s="496"/>
      <c r="O255" s="496"/>
      <c r="P255" s="496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30" t="s">
        <v>43</v>
      </c>
      <c r="E256" s="178"/>
      <c r="F256" s="178"/>
      <c r="G256" s="179"/>
      <c r="H256" s="755"/>
      <c r="I256" s="269"/>
      <c r="J256" s="269"/>
      <c r="K256" s="496"/>
      <c r="L256" s="496"/>
      <c r="M256" s="496"/>
      <c r="N256" s="496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55" t="s">
        <v>35</v>
      </c>
      <c r="I257" s="269"/>
      <c r="J257" s="214">
        <v>0</v>
      </c>
      <c r="K257" s="496">
        <f t="shared" ref="K257:K258" si="114">IF(I257&gt;0,J257*100/I257,0)</f>
        <v>0</v>
      </c>
      <c r="L257" s="496"/>
      <c r="M257" s="496"/>
      <c r="N257" s="496"/>
      <c r="O257" s="496"/>
      <c r="P257" s="496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55" t="s">
        <v>69</v>
      </c>
      <c r="I258" s="269"/>
      <c r="J258" s="214">
        <v>0</v>
      </c>
      <c r="K258" s="496">
        <f t="shared" si="114"/>
        <v>0</v>
      </c>
      <c r="L258" s="496"/>
      <c r="M258" s="496"/>
      <c r="N258" s="496"/>
      <c r="O258" s="496"/>
      <c r="P258" s="496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1" t="s">
        <v>122</v>
      </c>
      <c r="B259" s="242"/>
      <c r="C259" s="242"/>
      <c r="D259" s="243"/>
      <c r="E259" s="243"/>
      <c r="F259" s="243"/>
      <c r="G259" s="244"/>
      <c r="H259" s="245"/>
      <c r="I259" s="246"/>
      <c r="J259" s="246"/>
      <c r="K259" s="247"/>
      <c r="L259" s="247"/>
      <c r="M259" s="247"/>
      <c r="N259" s="247"/>
      <c r="O259" s="247"/>
      <c r="P259" s="247"/>
    </row>
    <row r="260" spans="1:26" ht="19.5">
      <c r="A260" s="248"/>
      <c r="B260" s="249" t="s">
        <v>123</v>
      </c>
      <c r="C260" s="250"/>
      <c r="D260" s="173"/>
      <c r="E260" s="173"/>
      <c r="F260" s="173"/>
      <c r="G260" s="174"/>
      <c r="H260" s="251" t="s">
        <v>35</v>
      </c>
      <c r="I260" s="252">
        <f t="shared" ref="I260:J260" ca="1" si="115">I271</f>
        <v>22</v>
      </c>
      <c r="J260" s="252">
        <f t="shared" si="115"/>
        <v>0</v>
      </c>
      <c r="K260" s="253">
        <f ca="1">IF(I260&gt;0,J260*100/I260,0)</f>
        <v>0</v>
      </c>
      <c r="L260" s="254"/>
      <c r="M260" s="254"/>
      <c r="N260" s="254"/>
      <c r="O260" s="254"/>
      <c r="P260" s="254"/>
    </row>
    <row r="261" spans="1:26" ht="19.5">
      <c r="A261" s="147"/>
      <c r="B261" s="148"/>
      <c r="C261" s="149" t="s">
        <v>16</v>
      </c>
      <c r="D261" s="822" t="s">
        <v>17</v>
      </c>
      <c r="E261" s="148"/>
      <c r="F261" s="148"/>
      <c r="G261" s="151"/>
      <c r="H261" s="152" t="s">
        <v>12</v>
      </c>
      <c r="I261" s="419"/>
      <c r="J261" s="419"/>
      <c r="K261" s="154"/>
      <c r="L261" s="155">
        <f t="shared" ref="L261:N261" ca="1" si="116">L262+L263</f>
        <v>26900</v>
      </c>
      <c r="M261" s="155">
        <f t="shared" ca="1" si="116"/>
        <v>0</v>
      </c>
      <c r="N261" s="155">
        <f t="shared" ca="1" si="116"/>
        <v>0</v>
      </c>
      <c r="O261" s="155">
        <f t="shared" ref="O261:O269" ca="1" si="117">IF(L261&gt;0,N261*100/L261,0)</f>
        <v>0</v>
      </c>
      <c r="P261" s="155">
        <f t="shared" ref="P261:P269" ca="1" si="118">IF(M261&gt;0,N261*100/M261,0)</f>
        <v>0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2" t="s">
        <v>18</v>
      </c>
      <c r="F262" s="40"/>
      <c r="G262" s="157"/>
      <c r="H262" s="158" t="s">
        <v>12</v>
      </c>
      <c r="I262" s="610"/>
      <c r="J262" s="610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2" t="s">
        <v>19</v>
      </c>
      <c r="F263" s="40"/>
      <c r="G263" s="157"/>
      <c r="H263" s="158" t="s">
        <v>12</v>
      </c>
      <c r="I263" s="610"/>
      <c r="J263" s="610"/>
      <c r="K263" s="93"/>
      <c r="L263" s="93">
        <f t="shared" ca="1" si="119"/>
        <v>26900</v>
      </c>
      <c r="M263" s="93">
        <f t="shared" ca="1" si="119"/>
        <v>0</v>
      </c>
      <c r="N263" s="93">
        <f t="shared" ca="1" si="119"/>
        <v>0</v>
      </c>
      <c r="O263" s="93">
        <f t="shared" ca="1" si="117"/>
        <v>0</v>
      </c>
      <c r="P263" s="93">
        <f t="shared" ca="1" si="118"/>
        <v>0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1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6">
        <f t="shared" ref="L264:N264" ca="1" si="120">L265+L266</f>
        <v>26900</v>
      </c>
      <c r="M264" s="496">
        <f t="shared" ca="1" si="120"/>
        <v>0</v>
      </c>
      <c r="N264" s="496">
        <f t="shared" ca="1" si="120"/>
        <v>0</v>
      </c>
      <c r="O264" s="496">
        <f t="shared" ca="1" si="117"/>
        <v>0</v>
      </c>
      <c r="P264" s="496">
        <f t="shared" ca="1" si="118"/>
        <v>0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2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2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IFERROR(__xludf.DUMMYFUNCTION("IMPORTRANGE(""https://docs.google.com/spreadsheets/d/1MeEWN-I1oV_STSDYn1IFDPWt_1FKiwhDph83XaGc0o0/edit?usp=sharing"",""งบพรบ!CY65"")"),26900)</f>
        <v>26900</v>
      </c>
      <c r="M266" s="93">
        <f ca="1">IFERROR(__xludf.DUMMYFUNCTION("IMPORTRANGE(""https://docs.google.com/spreadsheets/d/1MeEWN-I1oV_STSDYn1IFDPWt_1FKiwhDph83XaGc0o0/edit?usp=sharing"",""งบพรบ!DD65"")"),0)</f>
        <v>0</v>
      </c>
      <c r="N266" s="93">
        <f ca="1">IFERROR(__xludf.DUMMYFUNCTION("IMPORTRANGE(""https://docs.google.com/spreadsheets/d/1MeEWN-I1oV_STSDYn1IFDPWt_1FKiwhDph83XaGc0o0/edit?usp=sharing"",""งบพรบ!DF65"")"),0)</f>
        <v>0</v>
      </c>
      <c r="O266" s="93">
        <f t="shared" ca="1" si="117"/>
        <v>0</v>
      </c>
      <c r="P266" s="93">
        <f t="shared" ca="1" si="118"/>
        <v>0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1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6">
        <f t="shared" ref="L267:N267" ca="1" si="121">L268+L269</f>
        <v>0</v>
      </c>
      <c r="M267" s="496">
        <f t="shared" ca="1" si="121"/>
        <v>0</v>
      </c>
      <c r="N267" s="496">
        <f t="shared" ca="1" si="121"/>
        <v>0</v>
      </c>
      <c r="O267" s="496">
        <f t="shared" ca="1" si="117"/>
        <v>0</v>
      </c>
      <c r="P267" s="496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2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2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IFERROR(__xludf.DUMMYFUNCTION("IMPORTRANGE(""https://docs.google.com/spreadsheets/d/1MeEWN-I1oV_STSDYn1IFDPWt_1FKiwhDph83XaGc0o0/edit?usp=sharing"",""งบพรบ!DB65"")"),0)</f>
        <v>0</v>
      </c>
      <c r="M269" s="93">
        <f ca="1">IFERROR(__xludf.DUMMYFUNCTION("IMPORTRANGE(""https://docs.google.com/spreadsheets/d/1MeEWN-I1oV_STSDYn1IFDPWt_1FKiwhDph83XaGc0o0/edit?usp=sharing"",""งบพรบ!DE65"")"),0)</f>
        <v>0</v>
      </c>
      <c r="N269" s="93">
        <f ca="1">IFERROR(__xludf.DUMMYFUNCTION("IMPORTRANGE(""https://docs.google.com/spreadsheets/d/1MeEWN-I1oV_STSDYn1IFDPWt_1FKiwhDph83XaGc0o0/edit?usp=sharing"",""งบพรบ!DG65"")"),0)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1" t="s">
        <v>16</v>
      </c>
      <c r="D270" s="823" t="s">
        <v>38</v>
      </c>
      <c r="E270" s="173"/>
      <c r="F270" s="173"/>
      <c r="G270" s="174"/>
      <c r="H270" s="753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5" t="s">
        <v>124</v>
      </c>
      <c r="E271" s="178"/>
      <c r="F271" s="366"/>
      <c r="G271" s="179"/>
      <c r="H271" s="376" t="s">
        <v>35</v>
      </c>
      <c r="I271" s="269">
        <f ca="1">IFERROR(__xludf.DUMMYFUNCTION("IMPORTRANGE(""https://docs.google.com/spreadsheets/d/1QqKyyYR6Q21VydFLVH3TRQUabQu_ym0Zz7PgGX0-kHA/edit?usp=sharing"",""แผน!EA65"")"),22)</f>
        <v>22</v>
      </c>
      <c r="J271" s="214">
        <v>0</v>
      </c>
      <c r="K271" s="163">
        <f ca="1">IF(I271&gt;0,J271*100/I271,0)</f>
        <v>0</v>
      </c>
      <c r="L271" s="163"/>
      <c r="M271" s="163"/>
      <c r="N271" s="163"/>
      <c r="O271" s="163"/>
      <c r="P271" s="163"/>
    </row>
    <row r="272" spans="1:26" ht="18.75" hidden="1">
      <c r="A272" s="377"/>
      <c r="B272" s="378"/>
      <c r="C272" s="378"/>
      <c r="D272" s="379" t="s">
        <v>125</v>
      </c>
      <c r="E272" s="380"/>
      <c r="F272" s="380"/>
      <c r="G272" s="381"/>
      <c r="H272" s="50" t="s">
        <v>35</v>
      </c>
      <c r="I272" s="499">
        <v>0</v>
      </c>
      <c r="J272" s="499">
        <v>0</v>
      </c>
      <c r="K272" s="384">
        <v>0</v>
      </c>
      <c r="L272" s="384"/>
      <c r="M272" s="384"/>
      <c r="N272" s="384"/>
      <c r="O272" s="384"/>
      <c r="P272" s="384"/>
    </row>
    <row r="273" spans="1:26" ht="19.5">
      <c r="A273" s="385" t="s">
        <v>126</v>
      </c>
      <c r="B273" s="386"/>
      <c r="C273" s="386"/>
      <c r="D273" s="386"/>
      <c r="E273" s="387"/>
      <c r="F273" s="387"/>
      <c r="G273" s="388"/>
      <c r="H273" s="389"/>
      <c r="I273" s="390"/>
      <c r="J273" s="390"/>
      <c r="K273" s="391"/>
      <c r="L273" s="391"/>
      <c r="M273" s="391"/>
      <c r="N273" s="391"/>
      <c r="O273" s="391"/>
      <c r="P273" s="391"/>
    </row>
    <row r="274" spans="1:26" ht="19.5" hidden="1">
      <c r="A274" s="392" t="s">
        <v>127</v>
      </c>
      <c r="B274" s="393"/>
      <c r="C274" s="394"/>
      <c r="D274" s="393"/>
      <c r="E274" s="393"/>
      <c r="F274" s="393"/>
      <c r="G274" s="393"/>
      <c r="H274" s="395"/>
      <c r="I274" s="396"/>
      <c r="J274" s="397"/>
      <c r="K274" s="398"/>
      <c r="L274" s="398"/>
      <c r="M274" s="398"/>
      <c r="N274" s="398"/>
      <c r="O274" s="398"/>
      <c r="P274" s="398"/>
    </row>
    <row r="275" spans="1:26" ht="19.5" hidden="1">
      <c r="A275" s="399"/>
      <c r="B275" s="408" t="s">
        <v>128</v>
      </c>
      <c r="C275" s="401"/>
      <c r="D275" s="402"/>
      <c r="E275" s="401"/>
      <c r="F275" s="401"/>
      <c r="G275" s="403"/>
      <c r="H275" s="404" t="s">
        <v>35</v>
      </c>
      <c r="I275" s="405">
        <f t="shared" ref="I275:J275" ca="1" si="122">I288</f>
        <v>0</v>
      </c>
      <c r="J275" s="405">
        <f t="shared" ca="1" si="122"/>
        <v>0</v>
      </c>
      <c r="K275" s="406">
        <f t="shared" ref="K275:K276" ca="1" si="123">IF(I275&gt;0,J275*100/I275,0)</f>
        <v>0</v>
      </c>
      <c r="L275" s="407"/>
      <c r="M275" s="407"/>
      <c r="N275" s="407"/>
      <c r="O275" s="407"/>
      <c r="P275" s="407"/>
    </row>
    <row r="276" spans="1:26" ht="19.5" hidden="1">
      <c r="A276" s="399"/>
      <c r="B276" s="408"/>
      <c r="C276" s="401"/>
      <c r="D276" s="402"/>
      <c r="E276" s="401"/>
      <c r="F276" s="401"/>
      <c r="G276" s="403"/>
      <c r="H276" s="404" t="s">
        <v>46</v>
      </c>
      <c r="I276" s="831">
        <f t="shared" ref="I276:J276" ca="1" si="124">I287</f>
        <v>0</v>
      </c>
      <c r="J276" s="831">
        <f t="shared" si="124"/>
        <v>0</v>
      </c>
      <c r="K276" s="407">
        <f t="shared" ca="1" si="123"/>
        <v>0</v>
      </c>
      <c r="L276" s="407"/>
      <c r="M276" s="407"/>
      <c r="N276" s="407"/>
      <c r="O276" s="407"/>
      <c r="P276" s="407"/>
    </row>
    <row r="277" spans="1:26" ht="19.5" hidden="1">
      <c r="A277" s="147"/>
      <c r="B277" s="148"/>
      <c r="C277" s="149" t="s">
        <v>16</v>
      </c>
      <c r="D277" s="822" t="s">
        <v>17</v>
      </c>
      <c r="E277" s="148"/>
      <c r="F277" s="148"/>
      <c r="G277" s="151"/>
      <c r="H277" s="152" t="s">
        <v>12</v>
      </c>
      <c r="I277" s="419"/>
      <c r="J277" s="419"/>
      <c r="K277" s="154"/>
      <c r="L277" s="155">
        <f t="shared" ref="L277:N277" ca="1" si="125">L278+L279</f>
        <v>0</v>
      </c>
      <c r="M277" s="155">
        <f t="shared" ca="1" si="125"/>
        <v>0</v>
      </c>
      <c r="N277" s="155">
        <f t="shared" ca="1" si="125"/>
        <v>0</v>
      </c>
      <c r="O277" s="155">
        <f t="shared" ref="O277:O285" ca="1" si="126">IF(L277&gt;0,N277*100/L277,0)</f>
        <v>0</v>
      </c>
      <c r="P277" s="155">
        <f t="shared" ref="P277:P285" ca="1" si="127">IF(M277&gt;0,N277*100/M277,0)</f>
        <v>0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2" t="s">
        <v>18</v>
      </c>
      <c r="F278" s="40"/>
      <c r="G278" s="157"/>
      <c r="H278" s="158" t="s">
        <v>12</v>
      </c>
      <c r="I278" s="610"/>
      <c r="J278" s="610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2" t="s">
        <v>19</v>
      </c>
      <c r="F279" s="40"/>
      <c r="G279" s="157"/>
      <c r="H279" s="158" t="s">
        <v>12</v>
      </c>
      <c r="I279" s="610"/>
      <c r="J279" s="610"/>
      <c r="K279" s="93"/>
      <c r="L279" s="93">
        <f t="shared" ca="1" si="128"/>
        <v>0</v>
      </c>
      <c r="M279" s="93">
        <f t="shared" ca="1" si="128"/>
        <v>0</v>
      </c>
      <c r="N279" s="93">
        <f t="shared" ca="1" si="128"/>
        <v>0</v>
      </c>
      <c r="O279" s="93">
        <f t="shared" ca="1" si="126"/>
        <v>0</v>
      </c>
      <c r="P279" s="93">
        <f t="shared" ca="1" si="127"/>
        <v>0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 hidden="1">
      <c r="A280" s="159"/>
      <c r="B280" s="33"/>
      <c r="C280" s="281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6">
        <f t="shared" ref="L280:N280" ca="1" si="129">L281+L282</f>
        <v>0</v>
      </c>
      <c r="M280" s="496">
        <f t="shared" ca="1" si="129"/>
        <v>0</v>
      </c>
      <c r="N280" s="496">
        <f t="shared" ca="1" si="129"/>
        <v>0</v>
      </c>
      <c r="O280" s="496">
        <f t="shared" ca="1" si="126"/>
        <v>0</v>
      </c>
      <c r="P280" s="496">
        <f t="shared" ca="1" si="127"/>
        <v>0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2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2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IFERROR(__xludf.DUMMYFUNCTION("IMPORTRANGE(""https://docs.google.com/spreadsheets/d/1MeEWN-I1oV_STSDYn1IFDPWt_1FKiwhDph83XaGc0o0/edit?usp=sharing"",""งบพรบ!DI65"")"),0)</f>
        <v>0</v>
      </c>
      <c r="M282" s="93">
        <f ca="1">IFERROR(__xludf.DUMMYFUNCTION("IMPORTRANGE(""https://docs.google.com/spreadsheets/d/1MeEWN-I1oV_STSDYn1IFDPWt_1FKiwhDph83XaGc0o0/edit?usp=sharing"",""งบพรบ!DN65"")"),0)</f>
        <v>0</v>
      </c>
      <c r="N282" s="93">
        <f ca="1">IFERROR(__xludf.DUMMYFUNCTION("IMPORTRANGE(""https://docs.google.com/spreadsheets/d/1MeEWN-I1oV_STSDYn1IFDPWt_1FKiwhDph83XaGc0o0/edit?usp=sharing"",""งบพรบ!DP65"")"),0)</f>
        <v>0</v>
      </c>
      <c r="O282" s="93">
        <f t="shared" ca="1" si="126"/>
        <v>0</v>
      </c>
      <c r="P282" s="93">
        <f t="shared" ca="1" si="127"/>
        <v>0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 hidden="1">
      <c r="A283" s="159"/>
      <c r="B283" s="33"/>
      <c r="C283" s="281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6">
        <f t="shared" ref="L283:N283" ca="1" si="130">L284+L285</f>
        <v>0</v>
      </c>
      <c r="M283" s="496">
        <f t="shared" ca="1" si="130"/>
        <v>0</v>
      </c>
      <c r="N283" s="496">
        <f t="shared" ca="1" si="130"/>
        <v>0</v>
      </c>
      <c r="O283" s="496">
        <f t="shared" ca="1" si="126"/>
        <v>0</v>
      </c>
      <c r="P283" s="496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2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2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IFERROR(__xludf.DUMMYFUNCTION("IMPORTRANGE(""https://docs.google.com/spreadsheets/d/1MeEWN-I1oV_STSDYn1IFDPWt_1FKiwhDph83XaGc0o0/edit?usp=sharing"",""งบพรบ!DL65"")"),0)</f>
        <v>0</v>
      </c>
      <c r="M285" s="93">
        <f ca="1">IFERROR(__xludf.DUMMYFUNCTION("IMPORTRANGE(""https://docs.google.com/spreadsheets/d/1MeEWN-I1oV_STSDYn1IFDPWt_1FKiwhDph83XaGc0o0/edit?usp=sharing"",""งบพรบ!DO65"")"),0)</f>
        <v>0</v>
      </c>
      <c r="N285" s="93">
        <f ca="1">IFERROR(__xludf.DUMMYFUNCTION("IMPORTRANGE(""https://docs.google.com/spreadsheets/d/1MeEWN-I1oV_STSDYn1IFDPWt_1FKiwhDph83XaGc0o0/edit?usp=sharing"",""งบพรบ!DQ65"")"),0)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 hidden="1">
      <c r="A286" s="170"/>
      <c r="B286" s="171"/>
      <c r="C286" s="164" t="s">
        <v>16</v>
      </c>
      <c r="D286" s="823" t="s">
        <v>38</v>
      </c>
      <c r="E286" s="173"/>
      <c r="F286" s="173"/>
      <c r="G286" s="174"/>
      <c r="H286" s="753"/>
      <c r="I286" s="184"/>
      <c r="J286" s="184"/>
      <c r="K286" s="163"/>
      <c r="L286" s="163"/>
      <c r="M286" s="163"/>
      <c r="N286" s="163"/>
      <c r="O286" s="163"/>
      <c r="P286" s="163"/>
    </row>
    <row r="287" spans="1:26" ht="18.75" hidden="1">
      <c r="A287" s="170"/>
      <c r="B287" s="171"/>
      <c r="C287" s="171"/>
      <c r="D287" s="619" t="s">
        <v>129</v>
      </c>
      <c r="E287" s="171"/>
      <c r="F287" s="178"/>
      <c r="G287" s="179"/>
      <c r="H287" s="185" t="s">
        <v>46</v>
      </c>
      <c r="I287" s="269">
        <f ca="1">IFERROR(__xludf.DUMMYFUNCTION("IMPORTRANGE(""https://docs.google.com/spreadsheets/d/1QqKyyYR6Q21VydFLVH3TRQUabQu_ym0Zz7PgGX0-kHA/edit?usp=sharing"",""แผน!EC65"")"),0)</f>
        <v>0</v>
      </c>
      <c r="J287" s="269">
        <v>0</v>
      </c>
      <c r="K287" s="163">
        <f t="shared" ref="K287:K288" ca="1" si="131">IF(I287&gt;0,J287*100/I287,0)</f>
        <v>0</v>
      </c>
      <c r="L287" s="163"/>
      <c r="M287" s="163"/>
      <c r="N287" s="163"/>
      <c r="O287" s="163"/>
      <c r="P287" s="163"/>
    </row>
    <row r="288" spans="1:26" ht="19.5" hidden="1">
      <c r="A288" s="170"/>
      <c r="B288" s="171"/>
      <c r="C288" s="171"/>
      <c r="D288" s="619" t="s">
        <v>130</v>
      </c>
      <c r="E288" s="171"/>
      <c r="F288" s="178"/>
      <c r="G288" s="179"/>
      <c r="H288" s="180" t="s">
        <v>35</v>
      </c>
      <c r="I288" s="674">
        <f ca="1">IFERROR(__xludf.DUMMYFUNCTION("IMPORTRANGE(""https://docs.google.com/spreadsheets/d/1QqKyyYR6Q21VydFLVH3TRQUabQu_ym0Zz7PgGX0-kHA/edit?usp=sharing"",""แผน!EB65"")"),0)</f>
        <v>0</v>
      </c>
      <c r="J288" s="674">
        <f ca="1">IF(AND(J291&gt;=I288,J294&gt;=I288),J294,0)</f>
        <v>0</v>
      </c>
      <c r="K288" s="410">
        <f t="shared" ca="1" si="131"/>
        <v>0</v>
      </c>
      <c r="L288" s="163"/>
      <c r="M288" s="163"/>
      <c r="N288" s="163"/>
      <c r="O288" s="163"/>
      <c r="P288" s="163"/>
    </row>
    <row r="289" spans="1:26" ht="19.5" hidden="1">
      <c r="A289" s="170"/>
      <c r="B289" s="171"/>
      <c r="C289" s="171"/>
      <c r="D289" s="411"/>
      <c r="E289" s="412" t="s">
        <v>131</v>
      </c>
      <c r="F289" s="178"/>
      <c r="G289" s="179"/>
      <c r="H289" s="755"/>
      <c r="I289" s="184"/>
      <c r="J289" s="269"/>
      <c r="K289" s="163"/>
      <c r="L289" s="163"/>
      <c r="M289" s="163"/>
      <c r="N289" s="163"/>
      <c r="O289" s="163"/>
      <c r="P289" s="163"/>
    </row>
    <row r="290" spans="1:26" ht="19.5" hidden="1">
      <c r="A290" s="170"/>
      <c r="B290" s="171"/>
      <c r="C290" s="171"/>
      <c r="D290" s="411"/>
      <c r="E290" s="619" t="s">
        <v>132</v>
      </c>
      <c r="F290" s="178"/>
      <c r="G290" s="179"/>
      <c r="H290" s="755" t="s">
        <v>35</v>
      </c>
      <c r="I290" s="184">
        <f ca="1">IFERROR(__xludf.DUMMYFUNCTION("IMPORTRANGE(""https://docs.google.com/spreadsheets/d/1QqKyyYR6Q21VydFLVH3TRQUabQu_ym0Zz7PgGX0-kHA/edit?usp=sharing"",""แผน!EB65"")"),0)</f>
        <v>0</v>
      </c>
      <c r="J290" s="214">
        <v>0</v>
      </c>
      <c r="K290" s="163">
        <f t="shared" ref="K290:K291" ca="1" si="132">IF(I290&gt;0,J290*100/I290,0)</f>
        <v>0</v>
      </c>
      <c r="L290" s="163"/>
      <c r="M290" s="163"/>
      <c r="N290" s="163"/>
      <c r="O290" s="163"/>
      <c r="P290" s="163"/>
    </row>
    <row r="291" spans="1:26" ht="19.5" hidden="1">
      <c r="A291" s="170"/>
      <c r="B291" s="171"/>
      <c r="C291" s="171"/>
      <c r="D291" s="178"/>
      <c r="E291" s="619" t="s">
        <v>333</v>
      </c>
      <c r="F291" s="178"/>
      <c r="G291" s="179"/>
      <c r="H291" s="755" t="s">
        <v>35</v>
      </c>
      <c r="I291" s="184">
        <f ca="1">IFERROR(__xludf.DUMMYFUNCTION("IMPORTRANGE(""https://docs.google.com/spreadsheets/d/1QqKyyYR6Q21VydFLVH3TRQUabQu_ym0Zz7PgGX0-kHA/edit?usp=sharing"",""แผน!EB65"")"),0)</f>
        <v>0</v>
      </c>
      <c r="J291" s="214">
        <v>0</v>
      </c>
      <c r="K291" s="163">
        <f t="shared" ca="1" si="132"/>
        <v>0</v>
      </c>
      <c r="L291" s="163"/>
      <c r="M291" s="163"/>
      <c r="N291" s="163"/>
      <c r="O291" s="163"/>
      <c r="P291" s="163"/>
    </row>
    <row r="292" spans="1:26" ht="19.5" hidden="1">
      <c r="A292" s="413"/>
      <c r="B292" s="414"/>
      <c r="C292" s="414"/>
      <c r="D292" s="415"/>
      <c r="E292" s="416" t="s">
        <v>134</v>
      </c>
      <c r="F292" s="287"/>
      <c r="G292" s="288"/>
      <c r="H292" s="417"/>
      <c r="I292" s="418"/>
      <c r="J292" s="419"/>
      <c r="K292" s="279"/>
      <c r="L292" s="279"/>
      <c r="M292" s="279"/>
      <c r="N292" s="279"/>
      <c r="O292" s="279"/>
      <c r="P292" s="279"/>
    </row>
    <row r="293" spans="1:26" ht="19.5" hidden="1">
      <c r="A293" s="170"/>
      <c r="B293" s="171"/>
      <c r="C293" s="171"/>
      <c r="D293" s="411"/>
      <c r="E293" s="619" t="s">
        <v>132</v>
      </c>
      <c r="F293" s="178"/>
      <c r="G293" s="179"/>
      <c r="H293" s="755" t="s">
        <v>35</v>
      </c>
      <c r="I293" s="184">
        <f ca="1">IFERROR(__xludf.DUMMYFUNCTION("IMPORTRANGE(""https://docs.google.com/spreadsheets/d/1QqKyyYR6Q21VydFLVH3TRQUabQu_ym0Zz7PgGX0-kHA/edit?usp=sharing"",""แผน!EB65"")"),0)</f>
        <v>0</v>
      </c>
      <c r="J293" s="214">
        <v>0</v>
      </c>
      <c r="K293" s="163">
        <f t="shared" ref="K293:K294" ca="1" si="133">IF(I293&gt;0,J293*100/I293,0)</f>
        <v>0</v>
      </c>
      <c r="L293" s="163"/>
      <c r="M293" s="163"/>
      <c r="N293" s="163"/>
      <c r="O293" s="163"/>
      <c r="P293" s="163"/>
    </row>
    <row r="294" spans="1:26" ht="19.5" hidden="1">
      <c r="A294" s="377"/>
      <c r="B294" s="378"/>
      <c r="C294" s="378"/>
      <c r="D294" s="380"/>
      <c r="E294" s="725" t="s">
        <v>333</v>
      </c>
      <c r="F294" s="380"/>
      <c r="G294" s="381"/>
      <c r="H294" s="421" t="s">
        <v>35</v>
      </c>
      <c r="I294" s="422">
        <f ca="1">IFERROR(__xludf.DUMMYFUNCTION("IMPORTRANGE(""https://docs.google.com/spreadsheets/d/1QqKyyYR6Q21VydFLVH3TRQUabQu_ym0Zz7PgGX0-kHA/edit?usp=sharing"",""แผน!EB65"")"),0)</f>
        <v>0</v>
      </c>
      <c r="J294" s="423">
        <v>0</v>
      </c>
      <c r="K294" s="384">
        <f t="shared" ca="1" si="133"/>
        <v>0</v>
      </c>
      <c r="L294" s="384"/>
      <c r="M294" s="384"/>
      <c r="N294" s="384"/>
      <c r="O294" s="384"/>
      <c r="P294" s="384"/>
    </row>
    <row r="295" spans="1:26" ht="19.5">
      <c r="A295" s="424" t="s">
        <v>137</v>
      </c>
      <c r="B295" s="425"/>
      <c r="C295" s="425"/>
      <c r="D295" s="425"/>
      <c r="E295" s="426"/>
      <c r="F295" s="426"/>
      <c r="G295" s="427"/>
      <c r="H295" s="428"/>
      <c r="I295" s="429"/>
      <c r="J295" s="429"/>
      <c r="K295" s="430"/>
      <c r="L295" s="430"/>
      <c r="M295" s="430"/>
      <c r="N295" s="430"/>
      <c r="O295" s="430"/>
      <c r="P295" s="430"/>
    </row>
    <row r="296" spans="1:26" ht="19.5" hidden="1">
      <c r="A296" s="431" t="s">
        <v>138</v>
      </c>
      <c r="B296" s="432"/>
      <c r="C296" s="432"/>
      <c r="D296" s="433"/>
      <c r="E296" s="433"/>
      <c r="F296" s="433"/>
      <c r="G296" s="434"/>
      <c r="H296" s="435"/>
      <c r="I296" s="436"/>
      <c r="J296" s="436"/>
      <c r="K296" s="437"/>
      <c r="L296" s="437"/>
      <c r="M296" s="437"/>
      <c r="N296" s="437"/>
      <c r="O296" s="437"/>
      <c r="P296" s="437"/>
    </row>
    <row r="297" spans="1:26" ht="19.5" hidden="1">
      <c r="A297" s="438"/>
      <c r="B297" s="439" t="s">
        <v>139</v>
      </c>
      <c r="C297" s="440"/>
      <c r="D297" s="440"/>
      <c r="E297" s="440"/>
      <c r="F297" s="440"/>
      <c r="G297" s="441"/>
      <c r="H297" s="442" t="s">
        <v>35</v>
      </c>
      <c r="I297" s="443">
        <f t="shared" ref="I297:J297" ca="1" si="134">I309</f>
        <v>0</v>
      </c>
      <c r="J297" s="443">
        <f t="shared" si="134"/>
        <v>0</v>
      </c>
      <c r="K297" s="444">
        <f ca="1">IF(I297&gt;0,J297*100/I297,0)</f>
        <v>0</v>
      </c>
      <c r="L297" s="445"/>
      <c r="M297" s="445"/>
      <c r="N297" s="445"/>
      <c r="O297" s="445"/>
      <c r="P297" s="445"/>
    </row>
    <row r="298" spans="1:26" ht="19.5" hidden="1">
      <c r="A298" s="147"/>
      <c r="B298" s="148"/>
      <c r="C298" s="149" t="s">
        <v>16</v>
      </c>
      <c r="D298" s="822" t="s">
        <v>17</v>
      </c>
      <c r="E298" s="148"/>
      <c r="F298" s="148"/>
      <c r="G298" s="151"/>
      <c r="H298" s="152" t="s">
        <v>12</v>
      </c>
      <c r="I298" s="419"/>
      <c r="J298" s="419"/>
      <c r="K298" s="154"/>
      <c r="L298" s="155">
        <f t="shared" ref="L298:N298" ca="1" si="135">L299+L300</f>
        <v>0</v>
      </c>
      <c r="M298" s="155">
        <f t="shared" ca="1" si="135"/>
        <v>0</v>
      </c>
      <c r="N298" s="155">
        <f t="shared" ca="1" si="135"/>
        <v>0</v>
      </c>
      <c r="O298" s="155">
        <f t="shared" ref="O298:O306" ca="1" si="136">IF(L298&gt;0,N298*100/L298,0)</f>
        <v>0</v>
      </c>
      <c r="P298" s="155">
        <f t="shared" ref="P298:P306" ca="1" si="137">IF(M298&gt;0,N298*100/M298,0)</f>
        <v>0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2" t="s">
        <v>18</v>
      </c>
      <c r="F299" s="40"/>
      <c r="G299" s="157"/>
      <c r="H299" s="158" t="s">
        <v>12</v>
      </c>
      <c r="I299" s="610"/>
      <c r="J299" s="610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2" t="s">
        <v>19</v>
      </c>
      <c r="F300" s="40"/>
      <c r="G300" s="157"/>
      <c r="H300" s="158" t="s">
        <v>12</v>
      </c>
      <c r="I300" s="610"/>
      <c r="J300" s="610"/>
      <c r="K300" s="93"/>
      <c r="L300" s="93">
        <f t="shared" ca="1" si="138"/>
        <v>0</v>
      </c>
      <c r="M300" s="93">
        <f t="shared" ca="1" si="138"/>
        <v>0</v>
      </c>
      <c r="N300" s="93">
        <f t="shared" ca="1" si="138"/>
        <v>0</v>
      </c>
      <c r="O300" s="93">
        <f t="shared" ca="1" si="136"/>
        <v>0</v>
      </c>
      <c r="P300" s="93">
        <f t="shared" ca="1" si="137"/>
        <v>0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 hidden="1">
      <c r="A301" s="159"/>
      <c r="B301" s="33"/>
      <c r="C301" s="281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6">
        <f t="shared" ref="L301:N301" ca="1" si="139">L302+L303</f>
        <v>0</v>
      </c>
      <c r="M301" s="496">
        <f t="shared" ca="1" si="139"/>
        <v>0</v>
      </c>
      <c r="N301" s="496">
        <f t="shared" ca="1" si="139"/>
        <v>0</v>
      </c>
      <c r="O301" s="496">
        <f t="shared" ca="1" si="136"/>
        <v>0</v>
      </c>
      <c r="P301" s="496">
        <f t="shared" ca="1" si="137"/>
        <v>0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2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2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IFERROR(__xludf.DUMMYFUNCTION("IMPORTRANGE(""https://docs.google.com/spreadsheets/d/1MeEWN-I1oV_STSDYn1IFDPWt_1FKiwhDph83XaGc0o0/edit?usp=sharing"",""งบพรบ!DS65"")"),0)</f>
        <v>0</v>
      </c>
      <c r="M303" s="93">
        <f ca="1">IFERROR(__xludf.DUMMYFUNCTION("IMPORTRANGE(""https://docs.google.com/spreadsheets/d/1MeEWN-I1oV_STSDYn1IFDPWt_1FKiwhDph83XaGc0o0/edit?usp=sharing"",""งบพรบ!DX65"")"),0)</f>
        <v>0</v>
      </c>
      <c r="N303" s="93">
        <f ca="1">IFERROR(__xludf.DUMMYFUNCTION("IMPORTRANGE(""https://docs.google.com/spreadsheets/d/1MeEWN-I1oV_STSDYn1IFDPWt_1FKiwhDph83XaGc0o0/edit?usp=sharing"",""งบพรบ!DZ65"")"),0)</f>
        <v>0</v>
      </c>
      <c r="O303" s="93">
        <f t="shared" ca="1" si="136"/>
        <v>0</v>
      </c>
      <c r="P303" s="93">
        <f t="shared" ca="1" si="137"/>
        <v>0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 hidden="1">
      <c r="A304" s="159"/>
      <c r="B304" s="33"/>
      <c r="C304" s="281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6">
        <f t="shared" ref="L304:N304" ca="1" si="140">L305+L306</f>
        <v>0</v>
      </c>
      <c r="M304" s="496">
        <f t="shared" ca="1" si="140"/>
        <v>0</v>
      </c>
      <c r="N304" s="496">
        <f t="shared" ca="1" si="140"/>
        <v>0</v>
      </c>
      <c r="O304" s="496">
        <f t="shared" ca="1" si="136"/>
        <v>0</v>
      </c>
      <c r="P304" s="496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2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2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IFERROR(__xludf.DUMMYFUNCTION("IMPORTRANGE(""https://docs.google.com/spreadsheets/d/1MeEWN-I1oV_STSDYn1IFDPWt_1FKiwhDph83XaGc0o0/edit?usp=sharing"",""งบพรบ!DV65"")"),0)</f>
        <v>0</v>
      </c>
      <c r="M306" s="93">
        <f ca="1">IFERROR(__xludf.DUMMYFUNCTION("IMPORTRANGE(""https://docs.google.com/spreadsheets/d/1MeEWN-I1oV_STSDYn1IFDPWt_1FKiwhDph83XaGc0o0/edit?usp=sharing"",""งบพรบ!DY65"")"),0)</f>
        <v>0</v>
      </c>
      <c r="N306" s="93">
        <f ca="1">IFERROR(__xludf.DUMMYFUNCTION("IMPORTRANGE(""https://docs.google.com/spreadsheets/d/1MeEWN-I1oV_STSDYn1IFDPWt_1FKiwhDph83XaGc0o0/edit?usp=sharing"",""งบพรบ!EA65"")"),0)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 hidden="1">
      <c r="A307" s="170"/>
      <c r="B307" s="171"/>
      <c r="C307" s="164" t="s">
        <v>16</v>
      </c>
      <c r="D307" s="823" t="s">
        <v>38</v>
      </c>
      <c r="E307" s="173"/>
      <c r="F307" s="173"/>
      <c r="G307" s="174"/>
      <c r="H307" s="753"/>
      <c r="I307" s="269"/>
      <c r="J307" s="269"/>
      <c r="K307" s="496"/>
      <c r="L307" s="496"/>
      <c r="M307" s="496"/>
      <c r="N307" s="496"/>
      <c r="O307" s="496"/>
      <c r="P307" s="496"/>
    </row>
    <row r="308" spans="1:26" ht="18.75" hidden="1">
      <c r="A308" s="170"/>
      <c r="B308" s="171"/>
      <c r="C308" s="171"/>
      <c r="D308" s="446" t="s">
        <v>140</v>
      </c>
      <c r="E308" s="446"/>
      <c r="F308" s="446"/>
      <c r="G308" s="179"/>
      <c r="H308" s="755"/>
      <c r="I308" s="269"/>
      <c r="J308" s="214">
        <v>0</v>
      </c>
      <c r="K308" s="496"/>
      <c r="L308" s="496"/>
      <c r="M308" s="496"/>
      <c r="N308" s="496"/>
      <c r="O308" s="496"/>
      <c r="P308" s="496"/>
    </row>
    <row r="309" spans="1:26" ht="18.75" hidden="1">
      <c r="A309" s="170"/>
      <c r="B309" s="171"/>
      <c r="C309" s="171"/>
      <c r="D309" s="446" t="s">
        <v>141</v>
      </c>
      <c r="E309" s="446"/>
      <c r="F309" s="446"/>
      <c r="G309" s="179"/>
      <c r="H309" s="755" t="s">
        <v>35</v>
      </c>
      <c r="I309" s="269">
        <f ca="1">IFERROR(__xludf.DUMMYFUNCTION("IMPORTRANGE(""https://docs.google.com/spreadsheets/d/1QqKyyYR6Q21VydFLVH3TRQUabQu_ym0Zz7PgGX0-kHA/edit?usp=sharing"",""แผน!ED65"")"),0)</f>
        <v>0</v>
      </c>
      <c r="J309" s="214">
        <v>0</v>
      </c>
      <c r="K309" s="496">
        <f t="shared" ref="K309:K312" ca="1" si="141">IF(I309&gt;0,J309*100/I309,0)</f>
        <v>0</v>
      </c>
      <c r="L309" s="496"/>
      <c r="M309" s="496"/>
      <c r="N309" s="496"/>
      <c r="O309" s="496"/>
      <c r="P309" s="496"/>
    </row>
    <row r="310" spans="1:26" ht="18.75" hidden="1">
      <c r="A310" s="170"/>
      <c r="B310" s="171"/>
      <c r="C310" s="171"/>
      <c r="D310" s="446" t="s">
        <v>142</v>
      </c>
      <c r="E310" s="446"/>
      <c r="F310" s="446"/>
      <c r="G310" s="179"/>
      <c r="H310" s="755" t="s">
        <v>35</v>
      </c>
      <c r="I310" s="269">
        <f ca="1">IFERROR(__xludf.DUMMYFUNCTION("IMPORTRANGE(""https://docs.google.com/spreadsheets/d/1QqKyyYR6Q21VydFLVH3TRQUabQu_ym0Zz7PgGX0-kHA/edit?usp=sharing"",""แผน!ED65"")"),0)</f>
        <v>0</v>
      </c>
      <c r="J310" s="214">
        <v>0</v>
      </c>
      <c r="K310" s="496">
        <f t="shared" ca="1" si="141"/>
        <v>0</v>
      </c>
      <c r="L310" s="496"/>
      <c r="M310" s="496"/>
      <c r="N310" s="496"/>
      <c r="O310" s="496"/>
      <c r="P310" s="496"/>
    </row>
    <row r="311" spans="1:26" ht="18.75" hidden="1">
      <c r="A311" s="170"/>
      <c r="B311" s="171"/>
      <c r="C311" s="171"/>
      <c r="D311" s="446" t="s">
        <v>59</v>
      </c>
      <c r="E311" s="446"/>
      <c r="F311" s="446"/>
      <c r="G311" s="179"/>
      <c r="H311" s="755" t="s">
        <v>35</v>
      </c>
      <c r="I311" s="269">
        <f ca="1">IFERROR(__xludf.DUMMYFUNCTION("IMPORTRANGE(""https://docs.google.com/spreadsheets/d/1QqKyyYR6Q21VydFLVH3TRQUabQu_ym0Zz7PgGX0-kHA/edit?usp=sharing"",""แผน!ED65"")"),0)</f>
        <v>0</v>
      </c>
      <c r="J311" s="214">
        <v>0</v>
      </c>
      <c r="K311" s="496">
        <f t="shared" ca="1" si="141"/>
        <v>0</v>
      </c>
      <c r="L311" s="496"/>
      <c r="M311" s="496"/>
      <c r="N311" s="496"/>
      <c r="O311" s="496"/>
      <c r="P311" s="496"/>
    </row>
    <row r="312" spans="1:26" ht="18.75" hidden="1">
      <c r="A312" s="170"/>
      <c r="B312" s="171"/>
      <c r="C312" s="171"/>
      <c r="D312" s="446" t="s">
        <v>143</v>
      </c>
      <c r="E312" s="446"/>
      <c r="F312" s="446"/>
      <c r="G312" s="179"/>
      <c r="H312" s="755" t="s">
        <v>35</v>
      </c>
      <c r="I312" s="269">
        <f ca="1">IFERROR(__xludf.DUMMYFUNCTION("IMPORTRANGE(""https://docs.google.com/spreadsheets/d/1QqKyyYR6Q21VydFLVH3TRQUabQu_ym0Zz7PgGX0-kHA/edit?usp=sharing"",""แผน!EE65"")"),0)</f>
        <v>0</v>
      </c>
      <c r="J312" s="214">
        <v>0</v>
      </c>
      <c r="K312" s="496">
        <f t="shared" ca="1" si="141"/>
        <v>0</v>
      </c>
      <c r="L312" s="496"/>
      <c r="M312" s="496"/>
      <c r="N312" s="496"/>
      <c r="O312" s="496"/>
      <c r="P312" s="496"/>
    </row>
    <row r="313" spans="1:26" ht="19.5" hidden="1">
      <c r="A313" s="431" t="s">
        <v>144</v>
      </c>
      <c r="B313" s="432"/>
      <c r="C313" s="432"/>
      <c r="D313" s="433"/>
      <c r="E313" s="432"/>
      <c r="F313" s="432"/>
      <c r="G313" s="432"/>
      <c r="H313" s="448"/>
      <c r="I313" s="436"/>
      <c r="J313" s="436"/>
      <c r="K313" s="437"/>
      <c r="L313" s="437"/>
      <c r="M313" s="437"/>
      <c r="N313" s="437"/>
      <c r="O313" s="437"/>
      <c r="P313" s="437"/>
    </row>
    <row r="314" spans="1:26" ht="19.5" hidden="1">
      <c r="A314" s="449"/>
      <c r="B314" s="439" t="s">
        <v>145</v>
      </c>
      <c r="C314" s="450"/>
      <c r="D314" s="451"/>
      <c r="E314" s="440"/>
      <c r="F314" s="440"/>
      <c r="G314" s="441"/>
      <c r="H314" s="442" t="s">
        <v>146</v>
      </c>
      <c r="I314" s="443">
        <f t="shared" ref="I314:J314" ca="1" si="142">I325</f>
        <v>0</v>
      </c>
      <c r="J314" s="443">
        <f t="shared" si="142"/>
        <v>0</v>
      </c>
      <c r="K314" s="444">
        <f ca="1">IF(I314&gt;0,J314*100/I314,0)</f>
        <v>0</v>
      </c>
      <c r="L314" s="445"/>
      <c r="M314" s="445"/>
      <c r="N314" s="445"/>
      <c r="O314" s="445"/>
      <c r="P314" s="445"/>
    </row>
    <row r="315" spans="1:26" ht="19.5" hidden="1">
      <c r="A315" s="147"/>
      <c r="B315" s="148"/>
      <c r="C315" s="149" t="s">
        <v>16</v>
      </c>
      <c r="D315" s="822" t="s">
        <v>17</v>
      </c>
      <c r="E315" s="148"/>
      <c r="F315" s="148"/>
      <c r="G315" s="151"/>
      <c r="H315" s="152" t="s">
        <v>12</v>
      </c>
      <c r="I315" s="419"/>
      <c r="J315" s="419"/>
      <c r="K315" s="154"/>
      <c r="L315" s="155">
        <f t="shared" ref="L315:N315" ca="1" si="143">L316+L317</f>
        <v>0</v>
      </c>
      <c r="M315" s="155">
        <f t="shared" ca="1" si="143"/>
        <v>0</v>
      </c>
      <c r="N315" s="155">
        <f t="shared" ca="1" si="143"/>
        <v>0</v>
      </c>
      <c r="O315" s="155">
        <f t="shared" ref="O315:O323" ca="1" si="144">IF(L315&gt;0,N315*100/L315,0)</f>
        <v>0</v>
      </c>
      <c r="P315" s="155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2" t="s">
        <v>18</v>
      </c>
      <c r="F316" s="40"/>
      <c r="G316" s="157"/>
      <c r="H316" s="158" t="s">
        <v>12</v>
      </c>
      <c r="I316" s="610"/>
      <c r="J316" s="610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2" t="s">
        <v>19</v>
      </c>
      <c r="F317" s="40"/>
      <c r="G317" s="157"/>
      <c r="H317" s="158" t="s">
        <v>12</v>
      </c>
      <c r="I317" s="610"/>
      <c r="J317" s="610"/>
      <c r="K317" s="93"/>
      <c r="L317" s="93">
        <f t="shared" ca="1" si="146"/>
        <v>0</v>
      </c>
      <c r="M317" s="93">
        <f t="shared" ca="1" si="146"/>
        <v>0</v>
      </c>
      <c r="N317" s="93">
        <f t="shared" ca="1" si="146"/>
        <v>0</v>
      </c>
      <c r="O317" s="93">
        <f t="shared" ca="1" si="144"/>
        <v>0</v>
      </c>
      <c r="P317" s="93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1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6">
        <f t="shared" ref="L318:N318" ca="1" si="147">L319+L320</f>
        <v>0</v>
      </c>
      <c r="M318" s="496">
        <f t="shared" ca="1" si="147"/>
        <v>0</v>
      </c>
      <c r="N318" s="496">
        <f t="shared" ca="1" si="147"/>
        <v>0</v>
      </c>
      <c r="O318" s="496">
        <f t="shared" ca="1" si="144"/>
        <v>0</v>
      </c>
      <c r="P318" s="496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2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2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IFERROR(__xludf.DUMMYFUNCTION("IMPORTRANGE(""https://docs.google.com/spreadsheets/d/1MeEWN-I1oV_STSDYn1IFDPWt_1FKiwhDph83XaGc0o0/edit?usp=sharing"",""งบพรบ!EC65"")"),0)</f>
        <v>0</v>
      </c>
      <c r="M320" s="93">
        <f ca="1">IFERROR(__xludf.DUMMYFUNCTION("IMPORTRANGE(""https://docs.google.com/spreadsheets/d/1MeEWN-I1oV_STSDYn1IFDPWt_1FKiwhDph83XaGc0o0/edit?usp=sharing"",""งบพรบ!EH65"")"),0)</f>
        <v>0</v>
      </c>
      <c r="N320" s="93">
        <f ca="1">IFERROR(__xludf.DUMMYFUNCTION("IMPORTRANGE(""https://docs.google.com/spreadsheets/d/1MeEWN-I1oV_STSDYn1IFDPWt_1FKiwhDph83XaGc0o0/edit?usp=sharing"",""งบพรบ!EJ65"")"),0)</f>
        <v>0</v>
      </c>
      <c r="O320" s="93">
        <f t="shared" ca="1" si="144"/>
        <v>0</v>
      </c>
      <c r="P320" s="93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1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6">
        <f t="shared" ref="L321:N321" ca="1" si="148">L322+L323</f>
        <v>0</v>
      </c>
      <c r="M321" s="496">
        <f t="shared" ca="1" si="148"/>
        <v>0</v>
      </c>
      <c r="N321" s="496">
        <f t="shared" ca="1" si="148"/>
        <v>0</v>
      </c>
      <c r="O321" s="496">
        <f t="shared" ca="1" si="144"/>
        <v>0</v>
      </c>
      <c r="P321" s="496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2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2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IFERROR(__xludf.DUMMYFUNCTION("IMPORTRANGE(""https://docs.google.com/spreadsheets/d/1MeEWN-I1oV_STSDYn1IFDPWt_1FKiwhDph83XaGc0o0/edit?usp=sharing"",""งบพรบ!EF65"")"),0)</f>
        <v>0</v>
      </c>
      <c r="M323" s="93">
        <f ca="1">IFERROR(__xludf.DUMMYFUNCTION("IMPORTRANGE(""https://docs.google.com/spreadsheets/d/1MeEWN-I1oV_STSDYn1IFDPWt_1FKiwhDph83XaGc0o0/edit?usp=sharing"",""งบพรบ!EI65"")"),0)</f>
        <v>0</v>
      </c>
      <c r="N323" s="93">
        <f ca="1">IFERROR(__xludf.DUMMYFUNCTION("IMPORTRANGE(""https://docs.google.com/spreadsheets/d/1MeEWN-I1oV_STSDYn1IFDPWt_1FKiwhDph83XaGc0o0/edit?usp=sharing"",""งบพรบ!EK65"")"),0)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23" t="s">
        <v>38</v>
      </c>
      <c r="E324" s="173"/>
      <c r="F324" s="173"/>
      <c r="G324" s="174"/>
      <c r="H324" s="753"/>
      <c r="I324" s="184"/>
      <c r="J324" s="269"/>
      <c r="K324" s="496"/>
      <c r="L324" s="496"/>
      <c r="M324" s="496"/>
      <c r="N324" s="496"/>
      <c r="O324" s="163"/>
      <c r="P324" s="163"/>
    </row>
    <row r="325" spans="1:26" ht="18.75" hidden="1">
      <c r="A325" s="170"/>
      <c r="B325" s="171"/>
      <c r="C325" s="171"/>
      <c r="D325" s="176" t="s">
        <v>147</v>
      </c>
      <c r="E325" s="178"/>
      <c r="F325" s="446"/>
      <c r="G325" s="179"/>
      <c r="H325" s="616" t="s">
        <v>146</v>
      </c>
      <c r="I325" s="269">
        <f ca="1">IFERROR(__xludf.DUMMYFUNCTION("IMPORTRANGE(""https://docs.google.com/spreadsheets/d/1QqKyyYR6Q21VydFLVH3TRQUabQu_ym0Zz7PgGX0-kHA/edit?usp=sharing"",""แผน!EF65"")"),0)</f>
        <v>0</v>
      </c>
      <c r="J325" s="214">
        <v>0</v>
      </c>
      <c r="K325" s="496">
        <f ca="1">IF(I325&gt;0,J325*100/I325,0)</f>
        <v>0</v>
      </c>
      <c r="L325" s="496"/>
      <c r="M325" s="496"/>
      <c r="N325" s="496"/>
      <c r="O325" s="163"/>
      <c r="P325" s="163"/>
    </row>
    <row r="326" spans="1:26" ht="19.5">
      <c r="A326" s="431" t="s">
        <v>148</v>
      </c>
      <c r="B326" s="432"/>
      <c r="C326" s="432"/>
      <c r="D326" s="433"/>
      <c r="E326" s="432"/>
      <c r="F326" s="432"/>
      <c r="G326" s="432"/>
      <c r="H326" s="448"/>
      <c r="I326" s="436"/>
      <c r="J326" s="436"/>
      <c r="K326" s="437"/>
      <c r="L326" s="437"/>
      <c r="M326" s="437"/>
      <c r="N326" s="437"/>
      <c r="O326" s="437"/>
      <c r="P326" s="437"/>
    </row>
    <row r="327" spans="1:26" ht="19.5">
      <c r="A327" s="438"/>
      <c r="B327" s="439" t="s">
        <v>149</v>
      </c>
      <c r="C327" s="451"/>
      <c r="D327" s="440"/>
      <c r="E327" s="440"/>
      <c r="F327" s="440"/>
      <c r="G327" s="441"/>
      <c r="H327" s="442" t="s">
        <v>35</v>
      </c>
      <c r="I327" s="443">
        <f ca="1">IFERROR(__xludf.DUMMYFUNCTION("IMPORTRANGE(""https://docs.google.com/spreadsheets/d/1QqKyyYR6Q21VydFLVH3TRQUabQu_ym0Zz7PgGX0-kHA/edit?usp=sharing"",""แผน!EG65"")"),700)</f>
        <v>700</v>
      </c>
      <c r="J327" s="443">
        <f ca="1">J338+J341+J342+J343</f>
        <v>153</v>
      </c>
      <c r="K327" s="444">
        <f ca="1">IF(I327&gt;0,J327*100/I327,0)</f>
        <v>21.857142857142858</v>
      </c>
      <c r="L327" s="445"/>
      <c r="M327" s="445"/>
      <c r="N327" s="445"/>
      <c r="O327" s="445"/>
      <c r="P327" s="445"/>
    </row>
    <row r="328" spans="1:26" ht="19.5">
      <c r="A328" s="147"/>
      <c r="B328" s="148"/>
      <c r="C328" s="149" t="s">
        <v>16</v>
      </c>
      <c r="D328" s="822" t="s">
        <v>17</v>
      </c>
      <c r="E328" s="148"/>
      <c r="F328" s="148"/>
      <c r="G328" s="151"/>
      <c r="H328" s="152" t="s">
        <v>12</v>
      </c>
      <c r="I328" s="419"/>
      <c r="J328" s="419"/>
      <c r="K328" s="154"/>
      <c r="L328" s="155">
        <f t="shared" ref="L328:N328" ca="1" si="149">L329+L330</f>
        <v>161000</v>
      </c>
      <c r="M328" s="155">
        <f t="shared" ca="1" si="149"/>
        <v>80500</v>
      </c>
      <c r="N328" s="155">
        <f t="shared" ca="1" si="149"/>
        <v>31700</v>
      </c>
      <c r="O328" s="155">
        <f t="shared" ref="O328:O336" ca="1" si="150">IF(L328&gt;0,N328*100/L328,0)</f>
        <v>19.689440993788821</v>
      </c>
      <c r="P328" s="155">
        <f t="shared" ref="P328:P336" ca="1" si="151">IF(M328&gt;0,N328*100/M328,0)</f>
        <v>39.378881987577643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2" t="s">
        <v>18</v>
      </c>
      <c r="F329" s="40"/>
      <c r="G329" s="157"/>
      <c r="H329" s="158" t="s">
        <v>12</v>
      </c>
      <c r="I329" s="610"/>
      <c r="J329" s="610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2" t="s">
        <v>19</v>
      </c>
      <c r="F330" s="40"/>
      <c r="G330" s="157"/>
      <c r="H330" s="158" t="s">
        <v>12</v>
      </c>
      <c r="I330" s="610"/>
      <c r="J330" s="610"/>
      <c r="K330" s="93"/>
      <c r="L330" s="93">
        <f t="shared" ca="1" si="152"/>
        <v>161000</v>
      </c>
      <c r="M330" s="93">
        <f t="shared" ca="1" si="152"/>
        <v>80500</v>
      </c>
      <c r="N330" s="93">
        <f t="shared" ca="1" si="152"/>
        <v>31700</v>
      </c>
      <c r="O330" s="93">
        <f t="shared" ca="1" si="150"/>
        <v>19.689440993788821</v>
      </c>
      <c r="P330" s="93">
        <f t="shared" ca="1" si="151"/>
        <v>39.378881987577643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1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6">
        <f t="shared" ref="L331:N331" ca="1" si="153">L332+L333</f>
        <v>161000</v>
      </c>
      <c r="M331" s="496">
        <f t="shared" ca="1" si="153"/>
        <v>80500</v>
      </c>
      <c r="N331" s="496">
        <f t="shared" ca="1" si="153"/>
        <v>31700</v>
      </c>
      <c r="O331" s="496">
        <f t="shared" ca="1" si="150"/>
        <v>19.689440993788821</v>
      </c>
      <c r="P331" s="496">
        <f t="shared" ca="1" si="151"/>
        <v>39.378881987577643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2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2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IFERROR(__xludf.DUMMYFUNCTION("IMPORTRANGE(""https://docs.google.com/spreadsheets/d/1MeEWN-I1oV_STSDYn1IFDPWt_1FKiwhDph83XaGc0o0/edit?usp=sharing"",""งบพรบ!EM65"")"),161000)</f>
        <v>161000</v>
      </c>
      <c r="M333" s="93">
        <f ca="1">IFERROR(__xludf.DUMMYFUNCTION("IMPORTRANGE(""https://docs.google.com/spreadsheets/d/1MeEWN-I1oV_STSDYn1IFDPWt_1FKiwhDph83XaGc0o0/edit?usp=sharing"",""งบพรบ!ER65"")"),80500)</f>
        <v>80500</v>
      </c>
      <c r="N333" s="93">
        <f ca="1">IFERROR(__xludf.DUMMYFUNCTION("IMPORTRANGE(""https://docs.google.com/spreadsheets/d/1MeEWN-I1oV_STSDYn1IFDPWt_1FKiwhDph83XaGc0o0/edit?usp=sharing"",""งบพรบ!ET65"")"),31700)</f>
        <v>31700</v>
      </c>
      <c r="O333" s="93">
        <f t="shared" ca="1" si="150"/>
        <v>19.689440993788821</v>
      </c>
      <c r="P333" s="93">
        <f t="shared" ca="1" si="151"/>
        <v>39.378881987577643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1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6">
        <f t="shared" ref="L334:N334" ca="1" si="154">L335+L336</f>
        <v>0</v>
      </c>
      <c r="M334" s="496">
        <f t="shared" ca="1" si="154"/>
        <v>0</v>
      </c>
      <c r="N334" s="496">
        <f t="shared" ca="1" si="154"/>
        <v>0</v>
      </c>
      <c r="O334" s="496">
        <f t="shared" ca="1" si="150"/>
        <v>0</v>
      </c>
      <c r="P334" s="496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2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2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IFERROR(__xludf.DUMMYFUNCTION("IMPORTRANGE(""https://docs.google.com/spreadsheets/d/1MeEWN-I1oV_STSDYn1IFDPWt_1FKiwhDph83XaGc0o0/edit?usp=sharing"",""งบพรบ!EP65"")"),0)</f>
        <v>0</v>
      </c>
      <c r="M336" s="93">
        <f ca="1">IFERROR(__xludf.DUMMYFUNCTION("IMPORTRANGE(""https://docs.google.com/spreadsheets/d/1MeEWN-I1oV_STSDYn1IFDPWt_1FKiwhDph83XaGc0o0/edit?usp=sharing"",""งบพรบ!ES65"")"),0)</f>
        <v>0</v>
      </c>
      <c r="N336" s="93">
        <f ca="1">IFERROR(__xludf.DUMMYFUNCTION("IMPORTRANGE(""https://docs.google.com/spreadsheets/d/1MeEWN-I1oV_STSDYn1IFDPWt_1FKiwhDph83XaGc0o0/edit?usp=sharing"",""งบพรบ!EU65"")"),0)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23" t="s">
        <v>38</v>
      </c>
      <c r="E337" s="173"/>
      <c r="F337" s="173"/>
      <c r="G337" s="174"/>
      <c r="H337" s="753"/>
      <c r="I337" s="184"/>
      <c r="J337" s="269"/>
      <c r="K337" s="496"/>
      <c r="L337" s="496"/>
      <c r="M337" s="496"/>
      <c r="N337" s="496"/>
      <c r="O337" s="163"/>
      <c r="P337" s="163"/>
    </row>
    <row r="338" spans="1:26" ht="18.75">
      <c r="A338" s="284"/>
      <c r="B338" s="33"/>
      <c r="C338" s="280"/>
      <c r="D338" s="446" t="s">
        <v>150</v>
      </c>
      <c r="E338" s="171"/>
      <c r="F338" s="33"/>
      <c r="G338" s="35"/>
      <c r="H338" s="276" t="s">
        <v>35</v>
      </c>
      <c r="I338" s="269">
        <f ca="1">IFERROR(__xludf.DUMMYFUNCTION("IMPORTRANGE(""https://docs.google.com/spreadsheets/d/1QqKyyYR6Q21VydFLVH3TRQUabQu_ym0Zz7PgGX0-kHA/edit?usp=sharing"",""แผน!EG65"")"),700)</f>
        <v>700</v>
      </c>
      <c r="J338" s="269">
        <f ca="1">IFERROR(__xludf.DUMMYFUNCTION("IMPORTRANGE(""https://docs.google.com/spreadsheets/d/1kVcqe37tkHyjCSG3S0O1AXqVkqjo8mSIZil3BcpIysc/edit?usp=sharing"",""ศูนย์!D65"")"),132)</f>
        <v>132</v>
      </c>
      <c r="K338" s="496">
        <f ca="1">IF(I338&gt;0,J338*100/I338,0)</f>
        <v>18.857142857142858</v>
      </c>
      <c r="L338" s="496"/>
      <c r="M338" s="496"/>
      <c r="N338" s="496"/>
      <c r="O338" s="496"/>
      <c r="P338" s="496"/>
    </row>
    <row r="339" spans="1:26" ht="18.75">
      <c r="A339" s="284"/>
      <c r="B339" s="33"/>
      <c r="C339" s="280"/>
      <c r="D339" s="446" t="s">
        <v>151</v>
      </c>
      <c r="E339" s="171"/>
      <c r="F339" s="33"/>
      <c r="G339" s="35"/>
      <c r="H339" s="276"/>
      <c r="I339" s="269"/>
      <c r="J339" s="269"/>
      <c r="K339" s="496"/>
      <c r="L339" s="496"/>
      <c r="M339" s="496"/>
      <c r="N339" s="496"/>
      <c r="O339" s="496"/>
      <c r="P339" s="496"/>
    </row>
    <row r="340" spans="1:26" ht="18.75">
      <c r="A340" s="284"/>
      <c r="B340" s="33"/>
      <c r="C340" s="280"/>
      <c r="D340" s="178"/>
      <c r="E340" s="446" t="s">
        <v>152</v>
      </c>
      <c r="F340" s="33"/>
      <c r="G340" s="35"/>
      <c r="H340" s="276" t="s">
        <v>153</v>
      </c>
      <c r="I340" s="269">
        <f ca="1">IFERROR(__xludf.DUMMYFUNCTION("IMPORTRANGE(""https://docs.google.com/spreadsheets/d/1QqKyyYR6Q21VydFLVH3TRQUabQu_ym0Zz7PgGX0-kHA/edit?usp=sharing"",""แผน!EH65"")"),4)</f>
        <v>4</v>
      </c>
      <c r="J340" s="269">
        <f ca="1">IFERROR(__xludf.DUMMYFUNCTION("IMPORTRANGE(""https://docs.google.com/spreadsheets/d/1kVcqe37tkHyjCSG3S0O1AXqVkqjo8mSIZil3BcpIysc/edit?usp=sharing"",""ศูนย์!E65"")"),1)</f>
        <v>1</v>
      </c>
      <c r="K340" s="496">
        <f ca="1">IF(I340&gt;0,J340*100/I340,0)</f>
        <v>25</v>
      </c>
      <c r="L340" s="496"/>
      <c r="M340" s="496"/>
      <c r="N340" s="496"/>
      <c r="O340" s="496"/>
      <c r="P340" s="496"/>
    </row>
    <row r="341" spans="1:26" ht="18.75">
      <c r="A341" s="284"/>
      <c r="B341" s="33"/>
      <c r="C341" s="280"/>
      <c r="D341" s="178"/>
      <c r="E341" s="446" t="s">
        <v>154</v>
      </c>
      <c r="F341" s="33"/>
      <c r="G341" s="35"/>
      <c r="H341" s="276" t="s">
        <v>35</v>
      </c>
      <c r="I341" s="269"/>
      <c r="J341" s="269">
        <f ca="1">IFERROR(__xludf.DUMMYFUNCTION("IMPORTRANGE(""https://docs.google.com/spreadsheets/d/1kVcqe37tkHyjCSG3S0O1AXqVkqjo8mSIZil3BcpIysc/edit?usp=sharing"",""ศูนย์!F65"")"),21)</f>
        <v>21</v>
      </c>
      <c r="K341" s="496"/>
      <c r="L341" s="496"/>
      <c r="M341" s="496"/>
      <c r="N341" s="496"/>
      <c r="O341" s="496"/>
      <c r="P341" s="496"/>
    </row>
    <row r="342" spans="1:26" ht="18.75">
      <c r="A342" s="284"/>
      <c r="B342" s="33"/>
      <c r="C342" s="280"/>
      <c r="D342" s="446" t="s">
        <v>155</v>
      </c>
      <c r="E342" s="178"/>
      <c r="F342" s="178"/>
      <c r="G342" s="35"/>
      <c r="H342" s="276" t="s">
        <v>35</v>
      </c>
      <c r="I342" s="269"/>
      <c r="J342" s="269">
        <f ca="1">IFERROR(__xludf.DUMMYFUNCTION("IMPORTRANGE(""https://docs.google.com/spreadsheets/d/1kVcqe37tkHyjCSG3S0O1AXqVkqjo8mSIZil3BcpIysc/edit?usp=sharing"",""ศูนย์!G65"")"),0)</f>
        <v>0</v>
      </c>
      <c r="K342" s="496"/>
      <c r="L342" s="496"/>
      <c r="M342" s="496"/>
      <c r="N342" s="496"/>
      <c r="O342" s="496"/>
      <c r="P342" s="496"/>
    </row>
    <row r="343" spans="1:26" ht="18.75">
      <c r="A343" s="284"/>
      <c r="B343" s="33"/>
      <c r="C343" s="280"/>
      <c r="D343" s="446" t="s">
        <v>156</v>
      </c>
      <c r="E343" s="178"/>
      <c r="F343" s="178"/>
      <c r="G343" s="35"/>
      <c r="H343" s="276" t="s">
        <v>35</v>
      </c>
      <c r="I343" s="269"/>
      <c r="J343" s="269">
        <f ca="1">IFERROR(__xludf.DUMMYFUNCTION("IMPORTRANGE(""https://docs.google.com/spreadsheets/d/1kVcqe37tkHyjCSG3S0O1AXqVkqjo8mSIZil3BcpIysc/edit?usp=sharing"",""ศูนย์!H65"")"),0)</f>
        <v>0</v>
      </c>
      <c r="K343" s="496"/>
      <c r="L343" s="496"/>
      <c r="M343" s="496"/>
      <c r="N343" s="496"/>
      <c r="O343" s="496"/>
      <c r="P343" s="496"/>
    </row>
    <row r="344" spans="1:26" ht="19.5">
      <c r="A344" s="438"/>
      <c r="B344" s="439" t="s">
        <v>157</v>
      </c>
      <c r="C344" s="451"/>
      <c r="D344" s="440"/>
      <c r="E344" s="440"/>
      <c r="F344" s="440"/>
      <c r="G344" s="441"/>
      <c r="H344" s="442"/>
      <c r="I344" s="452"/>
      <c r="J344" s="452"/>
      <c r="K344" s="445"/>
      <c r="L344" s="445"/>
      <c r="M344" s="445"/>
      <c r="N344" s="445"/>
      <c r="O344" s="445"/>
      <c r="P344" s="445"/>
    </row>
    <row r="345" spans="1:26" ht="19.5">
      <c r="A345" s="147"/>
      <c r="B345" s="148"/>
      <c r="C345" s="149" t="s">
        <v>16</v>
      </c>
      <c r="D345" s="822" t="s">
        <v>17</v>
      </c>
      <c r="E345" s="148"/>
      <c r="F345" s="148"/>
      <c r="G345" s="151"/>
      <c r="H345" s="152" t="s">
        <v>12</v>
      </c>
      <c r="I345" s="419"/>
      <c r="J345" s="419"/>
      <c r="K345" s="154"/>
      <c r="L345" s="155">
        <f t="shared" ref="L345:N345" ca="1" si="155">L346+L347</f>
        <v>466680</v>
      </c>
      <c r="M345" s="155">
        <f t="shared" ca="1" si="155"/>
        <v>256340</v>
      </c>
      <c r="N345" s="155">
        <f t="shared" ca="1" si="155"/>
        <v>132943</v>
      </c>
      <c r="O345" s="155">
        <f t="shared" ref="O345:O353" ca="1" si="156">IF(L345&gt;0,N345*100/L345,0)</f>
        <v>28.486971800805691</v>
      </c>
      <c r="P345" s="155">
        <f t="shared" ref="P345:P353" ca="1" si="157">IF(M345&gt;0,N345*100/M345,0)</f>
        <v>51.861980182570022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2" t="s">
        <v>18</v>
      </c>
      <c r="F346" s="40"/>
      <c r="G346" s="157"/>
      <c r="H346" s="158" t="s">
        <v>12</v>
      </c>
      <c r="I346" s="610"/>
      <c r="J346" s="610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2" t="s">
        <v>19</v>
      </c>
      <c r="F347" s="40"/>
      <c r="G347" s="157"/>
      <c r="H347" s="158" t="s">
        <v>12</v>
      </c>
      <c r="I347" s="610"/>
      <c r="J347" s="610"/>
      <c r="K347" s="93"/>
      <c r="L347" s="93">
        <f t="shared" ca="1" si="158"/>
        <v>466680</v>
      </c>
      <c r="M347" s="93">
        <f t="shared" ca="1" si="158"/>
        <v>256340</v>
      </c>
      <c r="N347" s="93">
        <f t="shared" ca="1" si="158"/>
        <v>132943</v>
      </c>
      <c r="O347" s="93">
        <f t="shared" ca="1" si="156"/>
        <v>28.486971800805691</v>
      </c>
      <c r="P347" s="93">
        <f t="shared" ca="1" si="157"/>
        <v>51.861980182570022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1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6">
        <f t="shared" ref="L348:N348" ca="1" si="159">L349+L350</f>
        <v>420680</v>
      </c>
      <c r="M348" s="496">
        <f t="shared" ca="1" si="159"/>
        <v>210340</v>
      </c>
      <c r="N348" s="496">
        <f t="shared" ca="1" si="159"/>
        <v>86943</v>
      </c>
      <c r="O348" s="496">
        <f t="shared" ca="1" si="156"/>
        <v>20.667253018921745</v>
      </c>
      <c r="P348" s="496">
        <f t="shared" ca="1" si="157"/>
        <v>41.334506037843489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2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2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IFERROR(__xludf.DUMMYFUNCTION("IMPORTRANGE(""https://docs.google.com/spreadsheets/d/1MeEWN-I1oV_STSDYn1IFDPWt_1FKiwhDph83XaGc0o0/edit?usp=sharing"",""งบพรบ!EW65"")"),420680)</f>
        <v>420680</v>
      </c>
      <c r="M350" s="93">
        <f ca="1">IFERROR(__xludf.DUMMYFUNCTION("IMPORTRANGE(""https://docs.google.com/spreadsheets/d/1MeEWN-I1oV_STSDYn1IFDPWt_1FKiwhDph83XaGc0o0/edit?usp=sharing"",""งบพรบ!FB65"")"),210340)</f>
        <v>210340</v>
      </c>
      <c r="N350" s="93">
        <f ca="1">IFERROR(__xludf.DUMMYFUNCTION("IMPORTRANGE(""https://docs.google.com/spreadsheets/d/1MeEWN-I1oV_STSDYn1IFDPWt_1FKiwhDph83XaGc0o0/edit?usp=sharing"",""งบพรบ!FD65"")"),86943)</f>
        <v>86943</v>
      </c>
      <c r="O350" s="93">
        <f t="shared" ca="1" si="156"/>
        <v>20.667253018921745</v>
      </c>
      <c r="P350" s="93">
        <f t="shared" ca="1" si="157"/>
        <v>41.334506037843489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1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6">
        <f t="shared" ref="L351:N351" ca="1" si="160">L352+L353</f>
        <v>46000</v>
      </c>
      <c r="M351" s="496">
        <f t="shared" ca="1" si="160"/>
        <v>46000</v>
      </c>
      <c r="N351" s="496">
        <f t="shared" ca="1" si="160"/>
        <v>46000</v>
      </c>
      <c r="O351" s="496">
        <f t="shared" ca="1" si="156"/>
        <v>100</v>
      </c>
      <c r="P351" s="496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2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2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IFERROR(__xludf.DUMMYFUNCTION("IMPORTRANGE(""https://docs.google.com/spreadsheets/d/1MeEWN-I1oV_STSDYn1IFDPWt_1FKiwhDph83XaGc0o0/edit?usp=sharing"",""งบพรบ!EZ65"")"),46000)</f>
        <v>46000</v>
      </c>
      <c r="M353" s="93">
        <f ca="1">IFERROR(__xludf.DUMMYFUNCTION("IMPORTRANGE(""https://docs.google.com/spreadsheets/d/1MeEWN-I1oV_STSDYn1IFDPWt_1FKiwhDph83XaGc0o0/edit?usp=sharing"",""งบพรบ!FC65"")"),46000)</f>
        <v>46000</v>
      </c>
      <c r="N353" s="93">
        <f ca="1">IFERROR(__xludf.DUMMYFUNCTION("IMPORTRANGE(""https://docs.google.com/spreadsheets/d/1MeEWN-I1oV_STSDYn1IFDPWt_1FKiwhDph83XaGc0o0/edit?usp=sharing"",""งบพรบ!FE65"")"),46000)</f>
        <v>46000</v>
      </c>
      <c r="O353" s="93">
        <f t="shared" ca="1" si="156"/>
        <v>100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5"/>
      <c r="B354" s="263"/>
      <c r="C354" s="256"/>
      <c r="D354" s="832" t="s">
        <v>158</v>
      </c>
      <c r="E354" s="256"/>
      <c r="F354" s="256"/>
      <c r="G354" s="258"/>
      <c r="H354" s="454"/>
      <c r="I354" s="260"/>
      <c r="J354" s="260"/>
      <c r="K354" s="261"/>
      <c r="L354" s="261"/>
      <c r="M354" s="261"/>
      <c r="N354" s="261"/>
      <c r="O354" s="261"/>
      <c r="P354" s="261"/>
    </row>
    <row r="355" spans="1:26" ht="19.5">
      <c r="A355" s="455"/>
      <c r="B355" s="456"/>
      <c r="C355" s="457"/>
      <c r="D355" s="833" t="s">
        <v>159</v>
      </c>
      <c r="E355" s="459"/>
      <c r="F355" s="459"/>
      <c r="G355" s="460"/>
      <c r="H355" s="461" t="s">
        <v>35</v>
      </c>
      <c r="I355" s="463">
        <f ca="1">IFERROR(__xludf.DUMMYFUNCTION("IMPORTRANGE(""https://docs.google.com/spreadsheets/d/1QqKyyYR6Q21VydFLVH3TRQUabQu_ym0Zz7PgGX0-kHA/edit?usp=sharing"",""แผน!EP65"")"),14)</f>
        <v>14</v>
      </c>
      <c r="J355" s="463">
        <f ca="1">J362</f>
        <v>0</v>
      </c>
      <c r="K355" s="464">
        <f ca="1">IF(I355&gt;0,J355*100/I355,0)</f>
        <v>0</v>
      </c>
      <c r="L355" s="465"/>
      <c r="M355" s="465"/>
      <c r="N355" s="465"/>
      <c r="O355" s="465"/>
      <c r="P355" s="465"/>
    </row>
    <row r="356" spans="1:26" ht="19.5">
      <c r="A356" s="455"/>
      <c r="B356" s="456"/>
      <c r="C356" s="457"/>
      <c r="D356" s="466" t="s">
        <v>160</v>
      </c>
      <c r="E356" s="459"/>
      <c r="F356" s="459"/>
      <c r="G356" s="460"/>
      <c r="H356" s="467"/>
      <c r="I356" s="468"/>
      <c r="J356" s="468"/>
      <c r="K356" s="465"/>
      <c r="L356" s="465"/>
      <c r="M356" s="465"/>
      <c r="N356" s="465"/>
      <c r="O356" s="465"/>
      <c r="P356" s="465"/>
    </row>
    <row r="357" spans="1:26" ht="19.5">
      <c r="A357" s="170"/>
      <c r="B357" s="171"/>
      <c r="C357" s="164" t="s">
        <v>16</v>
      </c>
      <c r="D357" s="823" t="s">
        <v>38</v>
      </c>
      <c r="E357" s="173"/>
      <c r="F357" s="173"/>
      <c r="G357" s="174"/>
      <c r="H357" s="753"/>
      <c r="I357" s="269"/>
      <c r="J357" s="269"/>
      <c r="K357" s="496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69">
        <v>0</v>
      </c>
      <c r="J358" s="269">
        <f ca="1">IFERROR(__xludf.DUMMYFUNCTION("IMPORTRANGE(""https://docs.google.com/spreadsheets/d/1XWAQStnk-4SwqDmLtmXYiTMKHgktTP8We1SCoS47DrQ/edit?usp=sharing"",""จัดที่ดิน!W65"")"),0)</f>
        <v>0</v>
      </c>
      <c r="K358" s="496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69">
        <f ca="1">IFERROR(__xludf.DUMMYFUNCTION("IMPORTRANGE(""https://docs.google.com/spreadsheets/d/1QqKyyYR6Q21VydFLVH3TRQUabQu_ym0Zz7PgGX0-kHA/edit?usp=sharing"",""แผน!EO65"")"),150)</f>
        <v>150</v>
      </c>
      <c r="J359" s="269">
        <f ca="1">IFERROR(__xludf.DUMMYFUNCTION("IMPORTRANGE(""https://docs.google.com/spreadsheets/d/1XWAQStnk-4SwqDmLtmXYiTMKHgktTP8We1SCoS47DrQ/edit?usp=sharing"",""จัดที่ดิน!X65"")"),0)</f>
        <v>0</v>
      </c>
      <c r="K359" s="496">
        <f t="shared" ca="1" si="161"/>
        <v>0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755" t="s">
        <v>35</v>
      </c>
      <c r="I360" s="269">
        <f ca="1">IFERROR(__xludf.DUMMYFUNCTION("IMPORTRANGE(""https://docs.google.com/spreadsheets/d/1QqKyyYR6Q21VydFLVH3TRQUabQu_ym0Zz7PgGX0-kHA/edit?usp=sharing"",""แผน!EP65"")"),14)</f>
        <v>14</v>
      </c>
      <c r="J360" s="269">
        <f ca="1">IFERROR(__xludf.DUMMYFUNCTION("IMPORTRANGE(""https://docs.google.com/spreadsheets/d/1XWAQStnk-4SwqDmLtmXYiTMKHgktTP8We1SCoS47DrQ/edit?usp=sharing"",""จัดที่ดิน!Y65"")"),0)</f>
        <v>0</v>
      </c>
      <c r="K360" s="496">
        <f t="shared" ca="1" si="161"/>
        <v>0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755" t="s">
        <v>46</v>
      </c>
      <c r="I361" s="269">
        <v>0</v>
      </c>
      <c r="J361" s="269">
        <f ca="1">IFERROR(__xludf.DUMMYFUNCTION("IMPORTRANGE(""https://docs.google.com/spreadsheets/d/1XWAQStnk-4SwqDmLtmXYiTMKHgktTP8We1SCoS47DrQ/edit?usp=sharing"",""จัดที่ดิน!Z65"")"),0)</f>
        <v>0</v>
      </c>
      <c r="K361" s="496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755" t="s">
        <v>35</v>
      </c>
      <c r="I362" s="269">
        <f ca="1">IFERROR(__xludf.DUMMYFUNCTION("IMPORTRANGE(""https://docs.google.com/spreadsheets/d/1QqKyyYR6Q21VydFLVH3TRQUabQu_ym0Zz7PgGX0-kHA/edit?usp=sharing"",""แผน!EP65"")"),14)</f>
        <v>14</v>
      </c>
      <c r="J362" s="269">
        <f ca="1">IFERROR(__xludf.DUMMYFUNCTION("IMPORTRANGE(""https://docs.google.com/spreadsheets/d/1XWAQStnk-4SwqDmLtmXYiTMKHgktTP8We1SCoS47DrQ/edit?usp=sharing"",""จัดที่ดิน!AA65"")"),0)</f>
        <v>0</v>
      </c>
      <c r="K362" s="496">
        <f t="shared" ca="1" si="161"/>
        <v>0</v>
      </c>
      <c r="L362" s="163"/>
      <c r="M362" s="163"/>
      <c r="N362" s="163"/>
      <c r="O362" s="163"/>
      <c r="P362" s="163"/>
    </row>
    <row r="363" spans="1:26" ht="18.75">
      <c r="A363" s="469" t="s">
        <v>164</v>
      </c>
      <c r="B363" s="178"/>
      <c r="C363" s="171"/>
      <c r="D363" s="178"/>
      <c r="E363" s="446"/>
      <c r="F363" s="178"/>
      <c r="G363" s="179"/>
      <c r="H363" s="755" t="s">
        <v>46</v>
      </c>
      <c r="I363" s="269">
        <v>0</v>
      </c>
      <c r="J363" s="269">
        <f ca="1">IFERROR(__xludf.DUMMYFUNCTION("IMPORTRANGE(""https://docs.google.com/spreadsheets/d/1XWAQStnk-4SwqDmLtmXYiTMKHgktTP8We1SCoS47DrQ/edit?usp=sharing"",""จัดที่ดิน!AB65"")"),0)</f>
        <v>0</v>
      </c>
      <c r="K363" s="496">
        <f t="shared" si="161"/>
        <v>0</v>
      </c>
      <c r="L363" s="163"/>
      <c r="M363" s="163"/>
      <c r="N363" s="163"/>
      <c r="O363" s="163"/>
      <c r="P363" s="163"/>
    </row>
    <row r="364" spans="1:26" ht="19.5">
      <c r="A364" s="470"/>
      <c r="B364" s="471"/>
      <c r="C364" s="472"/>
      <c r="D364" s="473" t="s">
        <v>165</v>
      </c>
      <c r="E364" s="474"/>
      <c r="F364" s="474"/>
      <c r="G364" s="475"/>
      <c r="H364" s="476" t="s">
        <v>35</v>
      </c>
      <c r="I364" s="477">
        <f t="shared" ref="I364:J364" ca="1" si="162">I365+I374</f>
        <v>54</v>
      </c>
      <c r="J364" s="477">
        <f t="shared" ca="1" si="162"/>
        <v>0</v>
      </c>
      <c r="K364" s="478">
        <f t="shared" ca="1" si="161"/>
        <v>0</v>
      </c>
      <c r="L364" s="479"/>
      <c r="M364" s="479"/>
      <c r="N364" s="479"/>
      <c r="O364" s="479"/>
      <c r="P364" s="479"/>
      <c r="Q364" s="480"/>
      <c r="R364" s="480"/>
      <c r="S364" s="480"/>
      <c r="T364" s="480"/>
      <c r="U364" s="480"/>
      <c r="V364" s="480"/>
      <c r="W364" s="480"/>
      <c r="X364" s="480"/>
      <c r="Y364" s="480"/>
      <c r="Z364" s="480"/>
    </row>
    <row r="365" spans="1:26" ht="19.5">
      <c r="A365" s="481"/>
      <c r="B365" s="482"/>
      <c r="C365" s="484"/>
      <c r="D365" s="484" t="s">
        <v>166</v>
      </c>
      <c r="E365" s="485"/>
      <c r="F365" s="485"/>
      <c r="G365" s="486"/>
      <c r="H365" s="487" t="s">
        <v>35</v>
      </c>
      <c r="I365" s="489">
        <f ca="1">IFERROR(__xludf.DUMMYFUNCTION("IMPORTRANGE(""https://docs.google.com/spreadsheets/d/1QqKyyYR6Q21VydFLVH3TRQUabQu_ym0Zz7PgGX0-kHA/edit?usp=sharing"",""แผน!EJ65"")"),4)</f>
        <v>4</v>
      </c>
      <c r="J365" s="489">
        <f ca="1">J372</f>
        <v>0</v>
      </c>
      <c r="K365" s="490">
        <f t="shared" ca="1" si="161"/>
        <v>0</v>
      </c>
      <c r="L365" s="491"/>
      <c r="M365" s="491"/>
      <c r="N365" s="491"/>
      <c r="O365" s="491"/>
      <c r="P365" s="491"/>
      <c r="Q365" s="480"/>
      <c r="R365" s="480"/>
      <c r="S365" s="480"/>
      <c r="T365" s="480"/>
      <c r="U365" s="480"/>
      <c r="V365" s="480"/>
      <c r="W365" s="480"/>
      <c r="X365" s="480"/>
      <c r="Y365" s="480"/>
      <c r="Z365" s="480"/>
    </row>
    <row r="366" spans="1:26" ht="19.5">
      <c r="A366" s="481"/>
      <c r="B366" s="482"/>
      <c r="C366" s="484"/>
      <c r="D366" s="492" t="s">
        <v>167</v>
      </c>
      <c r="E366" s="485"/>
      <c r="F366" s="485"/>
      <c r="G366" s="486"/>
      <c r="H366" s="493"/>
      <c r="I366" s="494"/>
      <c r="J366" s="494"/>
      <c r="K366" s="491"/>
      <c r="L366" s="491"/>
      <c r="M366" s="491"/>
      <c r="N366" s="491"/>
      <c r="O366" s="491"/>
      <c r="P366" s="491"/>
      <c r="Q366" s="480"/>
      <c r="R366" s="480"/>
      <c r="S366" s="480"/>
      <c r="T366" s="480"/>
      <c r="U366" s="480"/>
      <c r="V366" s="480"/>
      <c r="W366" s="480"/>
      <c r="X366" s="480"/>
      <c r="Y366" s="480"/>
      <c r="Z366" s="480"/>
    </row>
    <row r="367" spans="1:26" ht="19.5">
      <c r="A367" s="170"/>
      <c r="B367" s="171"/>
      <c r="C367" s="164" t="s">
        <v>16</v>
      </c>
      <c r="D367" s="823" t="s">
        <v>38</v>
      </c>
      <c r="E367" s="173"/>
      <c r="F367" s="173"/>
      <c r="G367" s="174"/>
      <c r="H367" s="753"/>
      <c r="I367" s="269"/>
      <c r="J367" s="269"/>
      <c r="K367" s="496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69">
        <v>0</v>
      </c>
      <c r="J368" s="269">
        <f ca="1">IFERROR(__xludf.DUMMYFUNCTION("IMPORTRANGE(""https://docs.google.com/spreadsheets/d/1XWAQStnk-4SwqDmLtmXYiTMKHgktTP8We1SCoS47DrQ/edit?usp=sharing"",""จัดที่ดิน!E65"")"),0)</f>
        <v>0</v>
      </c>
      <c r="K368" s="496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69">
        <f ca="1">IFERROR(__xludf.DUMMYFUNCTION("IMPORTRANGE(""https://docs.google.com/spreadsheets/d/1QqKyyYR6Q21VydFLVH3TRQUabQu_ym0Zz7PgGX0-kHA/edit?usp=sharing"",""แผน!EI65"")"),50)</f>
        <v>50</v>
      </c>
      <c r="J369" s="269">
        <f ca="1">IFERROR(__xludf.DUMMYFUNCTION("IMPORTRANGE(""https://docs.google.com/spreadsheets/d/1XWAQStnk-4SwqDmLtmXYiTMKHgktTP8We1SCoS47DrQ/edit?usp=sharing"",""จัดที่ดิน!F65"")"),0)</f>
        <v>0</v>
      </c>
      <c r="K369" s="496">
        <f t="shared" ca="1" si="163"/>
        <v>0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55" t="s">
        <v>35</v>
      </c>
      <c r="I370" s="269">
        <f ca="1">IFERROR(__xludf.DUMMYFUNCTION("IMPORTRANGE(""https://docs.google.com/spreadsheets/d/1QqKyyYR6Q21VydFLVH3TRQUabQu_ym0Zz7PgGX0-kHA/edit?usp=sharing"",""แผน!EJ65"")"),4)</f>
        <v>4</v>
      </c>
      <c r="J370" s="269">
        <f ca="1">IFERROR(__xludf.DUMMYFUNCTION("IMPORTRANGE(""https://docs.google.com/spreadsheets/d/1XWAQStnk-4SwqDmLtmXYiTMKHgktTP8We1SCoS47DrQ/edit?usp=sharing"",""จัดที่ดิน!G65"")"),0)</f>
        <v>0</v>
      </c>
      <c r="K370" s="496">
        <f t="shared" ca="1" si="163"/>
        <v>0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55" t="s">
        <v>46</v>
      </c>
      <c r="I371" s="269">
        <v>0</v>
      </c>
      <c r="J371" s="269">
        <f ca="1">IFERROR(__xludf.DUMMYFUNCTION("IMPORTRANGE(""https://docs.google.com/spreadsheets/d/1XWAQStnk-4SwqDmLtmXYiTMKHgktTP8We1SCoS47DrQ/edit?usp=sharing"",""จัดที่ดิน!H65"")"),0)</f>
        <v>0</v>
      </c>
      <c r="K371" s="496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55" t="s">
        <v>35</v>
      </c>
      <c r="I372" s="269">
        <f ca="1">IFERROR(__xludf.DUMMYFUNCTION("IMPORTRANGE(""https://docs.google.com/spreadsheets/d/1QqKyyYR6Q21VydFLVH3TRQUabQu_ym0Zz7PgGX0-kHA/edit?usp=sharing"",""แผน!EJ65"")"),4)</f>
        <v>4</v>
      </c>
      <c r="J372" s="269">
        <f ca="1">IFERROR(__xludf.DUMMYFUNCTION("IMPORTRANGE(""https://docs.google.com/spreadsheets/d/1XWAQStnk-4SwqDmLtmXYiTMKHgktTP8We1SCoS47DrQ/edit?usp=sharing"",""จัดที่ดิน!I65"")"),0)</f>
        <v>0</v>
      </c>
      <c r="K372" s="496">
        <f t="shared" ca="1" si="163"/>
        <v>0</v>
      </c>
      <c r="L372" s="163"/>
      <c r="M372" s="163"/>
      <c r="N372" s="163"/>
      <c r="O372" s="163"/>
      <c r="P372" s="163"/>
    </row>
    <row r="373" spans="1:26" ht="18.75">
      <c r="A373" s="469" t="s">
        <v>164</v>
      </c>
      <c r="B373" s="178"/>
      <c r="C373" s="171"/>
      <c r="D373" s="178"/>
      <c r="E373" s="446"/>
      <c r="F373" s="178"/>
      <c r="G373" s="179"/>
      <c r="H373" s="755" t="s">
        <v>46</v>
      </c>
      <c r="I373" s="269">
        <v>0</v>
      </c>
      <c r="J373" s="269">
        <f ca="1">IFERROR(__xludf.DUMMYFUNCTION("IMPORTRANGE(""https://docs.google.com/spreadsheets/d/1XWAQStnk-4SwqDmLtmXYiTMKHgktTP8We1SCoS47DrQ/edit?usp=sharing"",""จัดที่ดิน!J65"")"),0)</f>
        <v>0</v>
      </c>
      <c r="K373" s="496">
        <f t="shared" si="163"/>
        <v>0</v>
      </c>
      <c r="L373" s="163"/>
      <c r="M373" s="163"/>
      <c r="N373" s="163"/>
      <c r="O373" s="163"/>
      <c r="P373" s="163"/>
    </row>
    <row r="374" spans="1:26" ht="19.5">
      <c r="A374" s="481"/>
      <c r="B374" s="482"/>
      <c r="C374" s="484"/>
      <c r="D374" s="484" t="s">
        <v>168</v>
      </c>
      <c r="E374" s="485"/>
      <c r="F374" s="485"/>
      <c r="G374" s="486"/>
      <c r="H374" s="487" t="s">
        <v>35</v>
      </c>
      <c r="I374" s="495">
        <f ca="1">IFERROR(__xludf.DUMMYFUNCTION("IMPORTRANGE(""https://docs.google.com/spreadsheets/d/1QqKyyYR6Q21VydFLVH3TRQUabQu_ym0Zz7PgGX0-kHA/edit?usp=sharing"",""แผน!EU65"")"),50)</f>
        <v>50</v>
      </c>
      <c r="J374" s="489">
        <f ca="1">J381</f>
        <v>0</v>
      </c>
      <c r="K374" s="490">
        <f t="shared" ca="1" si="163"/>
        <v>0</v>
      </c>
      <c r="L374" s="491"/>
      <c r="M374" s="491"/>
      <c r="N374" s="491"/>
      <c r="O374" s="491"/>
      <c r="P374" s="491"/>
      <c r="Q374" s="480"/>
      <c r="R374" s="480"/>
      <c r="S374" s="480"/>
      <c r="T374" s="480"/>
      <c r="U374" s="480"/>
      <c r="V374" s="480"/>
      <c r="W374" s="480"/>
      <c r="X374" s="480"/>
      <c r="Y374" s="480"/>
      <c r="Z374" s="480"/>
    </row>
    <row r="375" spans="1:26" ht="19.5">
      <c r="A375" s="481"/>
      <c r="B375" s="482"/>
      <c r="C375" s="484"/>
      <c r="D375" s="492" t="s">
        <v>169</v>
      </c>
      <c r="E375" s="485"/>
      <c r="F375" s="485"/>
      <c r="G375" s="486"/>
      <c r="H375" s="493"/>
      <c r="I375" s="494"/>
      <c r="J375" s="494"/>
      <c r="K375" s="491"/>
      <c r="L375" s="491"/>
      <c r="M375" s="491"/>
      <c r="N375" s="491"/>
      <c r="O375" s="491"/>
      <c r="P375" s="491"/>
      <c r="Q375" s="480"/>
      <c r="R375" s="480"/>
      <c r="S375" s="480"/>
      <c r="T375" s="480"/>
      <c r="U375" s="480"/>
      <c r="V375" s="480"/>
      <c r="W375" s="480"/>
      <c r="X375" s="480"/>
      <c r="Y375" s="480"/>
      <c r="Z375" s="480"/>
    </row>
    <row r="376" spans="1:26" ht="19.5">
      <c r="A376" s="170"/>
      <c r="B376" s="171"/>
      <c r="C376" s="164" t="s">
        <v>16</v>
      </c>
      <c r="D376" s="823" t="s">
        <v>38</v>
      </c>
      <c r="E376" s="173"/>
      <c r="F376" s="173"/>
      <c r="G376" s="174"/>
      <c r="H376" s="753"/>
      <c r="I376" s="269"/>
      <c r="J376" s="269"/>
      <c r="K376" s="496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69">
        <v>0</v>
      </c>
      <c r="J377" s="269">
        <f ca="1">IFERROR(__xludf.DUMMYFUNCTION("IMPORTRANGE(""https://docs.google.com/spreadsheets/d/1XWAQStnk-4SwqDmLtmXYiTMKHgktTP8We1SCoS47DrQ/edit?usp=sharing"",""จัดที่ดิน!AH65"")"),0)</f>
        <v>0</v>
      </c>
      <c r="K377" s="496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69">
        <f ca="1">IFERROR(__xludf.DUMMYFUNCTION("IMPORTRANGE(""https://docs.google.com/spreadsheets/d/1QqKyyYR6Q21VydFLVH3TRQUabQu_ym0Zz7PgGX0-kHA/edit?usp=sharing"",""แผน!ET65"")"),100)</f>
        <v>100</v>
      </c>
      <c r="J378" s="269">
        <f ca="1">IFERROR(__xludf.DUMMYFUNCTION("IMPORTRANGE(""https://docs.google.com/spreadsheets/d/1XWAQStnk-4SwqDmLtmXYiTMKHgktTP8We1SCoS47DrQ/edit?usp=sharing"",""จัดที่ดิน!AI65"")"),0)</f>
        <v>0</v>
      </c>
      <c r="K378" s="496">
        <f t="shared" ca="1" si="164"/>
        <v>0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55" t="s">
        <v>35</v>
      </c>
      <c r="I379" s="269">
        <f ca="1">IFERROR(__xludf.DUMMYFUNCTION("IMPORTRANGE(""https://docs.google.com/spreadsheets/d/1QqKyyYR6Q21VydFLVH3TRQUabQu_ym0Zz7PgGX0-kHA/edit?usp=sharing"",""แผน!EU65"")"),50)</f>
        <v>50</v>
      </c>
      <c r="J379" s="269">
        <f ca="1">IFERROR(__xludf.DUMMYFUNCTION("IMPORTRANGE(""https://docs.google.com/spreadsheets/d/1XWAQStnk-4SwqDmLtmXYiTMKHgktTP8We1SCoS47DrQ/edit?usp=sharing"",""จัดที่ดิน!AJ65"")"),6)</f>
        <v>6</v>
      </c>
      <c r="K379" s="496">
        <f t="shared" ca="1" si="164"/>
        <v>12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55" t="s">
        <v>46</v>
      </c>
      <c r="I380" s="269">
        <v>0</v>
      </c>
      <c r="J380" s="269">
        <f ca="1">IFERROR(__xludf.DUMMYFUNCTION("IMPORTRANGE(""https://docs.google.com/spreadsheets/d/1XWAQStnk-4SwqDmLtmXYiTMKHgktTP8We1SCoS47DrQ/edit?usp=sharing"",""จัดที่ดิน!AK65"")"),127.88)</f>
        <v>127.88</v>
      </c>
      <c r="K380" s="496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55" t="s">
        <v>35</v>
      </c>
      <c r="I381" s="269">
        <f ca="1">IFERROR(__xludf.DUMMYFUNCTION("IMPORTRANGE(""https://docs.google.com/spreadsheets/d/1QqKyyYR6Q21VydFLVH3TRQUabQu_ym0Zz7PgGX0-kHA/edit?usp=sharing"",""แผน!EU65"")"),50)</f>
        <v>50</v>
      </c>
      <c r="J381" s="269">
        <f ca="1">IFERROR(__xludf.DUMMYFUNCTION("IMPORTRANGE(""https://docs.google.com/spreadsheets/d/1XWAQStnk-4SwqDmLtmXYiTMKHgktTP8We1SCoS47DrQ/edit?usp=sharing"",""จัดที่ดิน!AL65"")"),0)</f>
        <v>0</v>
      </c>
      <c r="K381" s="496">
        <f t="shared" ca="1" si="164"/>
        <v>0</v>
      </c>
      <c r="L381" s="163"/>
      <c r="M381" s="163"/>
      <c r="N381" s="163"/>
      <c r="O381" s="163"/>
      <c r="P381" s="163"/>
    </row>
    <row r="382" spans="1:26" ht="18.75">
      <c r="A382" s="469" t="s">
        <v>164</v>
      </c>
      <c r="B382" s="178"/>
      <c r="C382" s="171"/>
      <c r="D382" s="178"/>
      <c r="E382" s="446"/>
      <c r="F382" s="178"/>
      <c r="G382" s="179"/>
      <c r="H382" s="755" t="s">
        <v>46</v>
      </c>
      <c r="I382" s="269">
        <v>0</v>
      </c>
      <c r="J382" s="269">
        <f ca="1">IFERROR(__xludf.DUMMYFUNCTION("IMPORTRANGE(""https://docs.google.com/spreadsheets/d/1XWAQStnk-4SwqDmLtmXYiTMKHgktTP8We1SCoS47DrQ/edit?usp=sharing"",""จัดที่ดิน!AM65"")"),0)</f>
        <v>0</v>
      </c>
      <c r="K382" s="496">
        <f t="shared" si="164"/>
        <v>0</v>
      </c>
      <c r="L382" s="163"/>
      <c r="M382" s="163"/>
      <c r="N382" s="163"/>
      <c r="O382" s="163"/>
      <c r="P382" s="163"/>
    </row>
    <row r="383" spans="1:26" ht="19.5">
      <c r="A383" s="255"/>
      <c r="B383" s="263"/>
      <c r="C383" s="256"/>
      <c r="D383" s="832" t="s">
        <v>170</v>
      </c>
      <c r="E383" s="256"/>
      <c r="F383" s="256"/>
      <c r="G383" s="258"/>
      <c r="H383" s="454"/>
      <c r="I383" s="260"/>
      <c r="J383" s="260"/>
      <c r="K383" s="261"/>
      <c r="L383" s="261"/>
      <c r="M383" s="261"/>
      <c r="N383" s="261"/>
      <c r="O383" s="261"/>
      <c r="P383" s="261"/>
    </row>
    <row r="384" spans="1:26" ht="19.5">
      <c r="A384" s="170"/>
      <c r="B384" s="171"/>
      <c r="C384" s="33" t="s">
        <v>16</v>
      </c>
      <c r="D384" s="823" t="s">
        <v>38</v>
      </c>
      <c r="E384" s="173"/>
      <c r="F384" s="173"/>
      <c r="G384" s="174"/>
      <c r="H384" s="753"/>
      <c r="I384" s="269"/>
      <c r="J384" s="269"/>
      <c r="K384" s="496"/>
      <c r="L384" s="163"/>
      <c r="M384" s="163"/>
      <c r="N384" s="163"/>
      <c r="O384" s="163"/>
      <c r="P384" s="163"/>
    </row>
    <row r="385" spans="1:26" ht="18.75">
      <c r="A385" s="377"/>
      <c r="B385" s="380"/>
      <c r="C385" s="378"/>
      <c r="D385" s="380"/>
      <c r="E385" s="497" t="s">
        <v>163</v>
      </c>
      <c r="F385" s="380"/>
      <c r="G385" s="381"/>
      <c r="H385" s="498" t="s">
        <v>35</v>
      </c>
      <c r="I385" s="499">
        <f ca="1">IFERROR(__xludf.DUMMYFUNCTION("IMPORTRANGE(""https://docs.google.com/spreadsheets/d/1QqKyyYR6Q21VydFLVH3TRQUabQu_ym0Zz7PgGX0-kHA/edit?usp=sharing"",""แผน!EW65"")"),10)</f>
        <v>10</v>
      </c>
      <c r="J385" s="499">
        <f ca="1">IFERROR(__xludf.DUMMYFUNCTION("IMPORTRANGE(""https://docs.google.com/spreadsheets/d/1XWAQStnk-4SwqDmLtmXYiTMKHgktTP8We1SCoS47DrQ/edit?usp=sharing"",""จัดที่ดิน!AP65"")"),0)</f>
        <v>0</v>
      </c>
      <c r="K385" s="500">
        <f ca="1">IF(I385&gt;0,J385*100/I385,0)</f>
        <v>0</v>
      </c>
      <c r="L385" s="384"/>
      <c r="M385" s="384"/>
      <c r="N385" s="384"/>
      <c r="O385" s="384"/>
      <c r="P385" s="384"/>
    </row>
    <row r="386" spans="1:26" ht="19.5">
      <c r="A386" s="501" t="s">
        <v>171</v>
      </c>
      <c r="B386" s="502"/>
      <c r="C386" s="502"/>
      <c r="D386" s="502"/>
      <c r="E386" s="503"/>
      <c r="F386" s="503"/>
      <c r="G386" s="504"/>
      <c r="H386" s="505"/>
      <c r="I386" s="506"/>
      <c r="J386" s="506"/>
      <c r="K386" s="507"/>
      <c r="L386" s="507"/>
      <c r="M386" s="507"/>
      <c r="N386" s="507"/>
      <c r="O386" s="507"/>
      <c r="P386" s="507"/>
    </row>
    <row r="387" spans="1:26" ht="19.5" hidden="1">
      <c r="A387" s="508" t="s">
        <v>172</v>
      </c>
      <c r="B387" s="509"/>
      <c r="C387" s="509"/>
      <c r="D387" s="510"/>
      <c r="E387" s="509"/>
      <c r="F387" s="509"/>
      <c r="G387" s="509"/>
      <c r="H387" s="511"/>
      <c r="I387" s="512"/>
      <c r="J387" s="512"/>
      <c r="K387" s="513"/>
      <c r="L387" s="513"/>
      <c r="M387" s="513"/>
      <c r="N387" s="513"/>
      <c r="O387" s="513"/>
      <c r="P387" s="513"/>
    </row>
    <row r="388" spans="1:26" ht="19.5" hidden="1">
      <c r="A388" s="514"/>
      <c r="B388" s="515" t="s">
        <v>173</v>
      </c>
      <c r="C388" s="516"/>
      <c r="D388" s="517"/>
      <c r="E388" s="517"/>
      <c r="F388" s="517"/>
      <c r="G388" s="518"/>
      <c r="H388" s="519" t="s">
        <v>69</v>
      </c>
      <c r="I388" s="520">
        <f t="shared" ref="I388:J388" si="165">I400</f>
        <v>0</v>
      </c>
      <c r="J388" s="520">
        <f t="shared" si="165"/>
        <v>0</v>
      </c>
      <c r="K388" s="521">
        <f>IF(I388&gt;0,J388*100/I388,0)</f>
        <v>0</v>
      </c>
      <c r="L388" s="522"/>
      <c r="M388" s="522"/>
      <c r="N388" s="522"/>
      <c r="O388" s="522"/>
      <c r="P388" s="522"/>
    </row>
    <row r="389" spans="1:26" ht="19.5" hidden="1">
      <c r="A389" s="147"/>
      <c r="B389" s="148"/>
      <c r="C389" s="149" t="s">
        <v>16</v>
      </c>
      <c r="D389" s="822" t="s">
        <v>17</v>
      </c>
      <c r="E389" s="148"/>
      <c r="F389" s="148"/>
      <c r="G389" s="151"/>
      <c r="H389" s="152" t="s">
        <v>12</v>
      </c>
      <c r="I389" s="419"/>
      <c r="J389" s="419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2" t="s">
        <v>18</v>
      </c>
      <c r="F390" s="40"/>
      <c r="G390" s="157"/>
      <c r="H390" s="158" t="s">
        <v>12</v>
      </c>
      <c r="I390" s="610"/>
      <c r="J390" s="610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2" t="s">
        <v>19</v>
      </c>
      <c r="F391" s="40"/>
      <c r="G391" s="157"/>
      <c r="H391" s="158" t="s">
        <v>12</v>
      </c>
      <c r="I391" s="610"/>
      <c r="J391" s="610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1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6">
        <f t="shared" ref="L392:N392" ca="1" si="170">L393+L394</f>
        <v>0</v>
      </c>
      <c r="M392" s="496">
        <f t="shared" ca="1" si="170"/>
        <v>0</v>
      </c>
      <c r="N392" s="496">
        <f t="shared" ca="1" si="170"/>
        <v>0</v>
      </c>
      <c r="O392" s="496">
        <f t="shared" ca="1" si="167"/>
        <v>0</v>
      </c>
      <c r="P392" s="496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2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2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IFERROR(__xludf.DUMMYFUNCTION("IMPORTRANGE(""https://docs.google.com/spreadsheets/d/1MeEWN-I1oV_STSDYn1IFDPWt_1FKiwhDph83XaGc0o0/edit?usp=sharing"",""งบพรบ!FG65"")"),0)</f>
        <v>0</v>
      </c>
      <c r="M394" s="93">
        <f ca="1">IFERROR(__xludf.DUMMYFUNCTION("IMPORTRANGE(""https://docs.google.com/spreadsheets/d/1MeEWN-I1oV_STSDYn1IFDPWt_1FKiwhDph83XaGc0o0/edit?usp=sharing"",""งบพรบ!FL65"")"),0)</f>
        <v>0</v>
      </c>
      <c r="N394" s="93">
        <f ca="1">IFERROR(__xludf.DUMMYFUNCTION("IMPORTRANGE(""https://docs.google.com/spreadsheets/d/1MeEWN-I1oV_STSDYn1IFDPWt_1FKiwhDph83XaGc0o0/edit?usp=sharing"",""งบพรบ!FN65"")"),0)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1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6">
        <f t="shared" ref="L395:N395" ca="1" si="171">L396+L397</f>
        <v>0</v>
      </c>
      <c r="M395" s="496">
        <f t="shared" ca="1" si="171"/>
        <v>0</v>
      </c>
      <c r="N395" s="496">
        <f t="shared" ca="1" si="171"/>
        <v>0</v>
      </c>
      <c r="O395" s="496">
        <f t="shared" ca="1" si="167"/>
        <v>0</v>
      </c>
      <c r="P395" s="496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2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2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IFERROR(__xludf.DUMMYFUNCTION("IMPORTRANGE(""https://docs.google.com/spreadsheets/d/1MeEWN-I1oV_STSDYn1IFDPWt_1FKiwhDph83XaGc0o0/edit?usp=sharing"",""งบพรบ!FJ65"")"),0)</f>
        <v>0</v>
      </c>
      <c r="M397" s="93">
        <f ca="1">IFERROR(__xludf.DUMMYFUNCTION("IMPORTRANGE(""https://docs.google.com/spreadsheets/d/1MeEWN-I1oV_STSDYn1IFDPWt_1FKiwhDph83XaGc0o0/edit?usp=sharing"",""งบพรบ!FM65"")"),0)</f>
        <v>0</v>
      </c>
      <c r="N397" s="93">
        <f ca="1">IFERROR(__xludf.DUMMYFUNCTION("IMPORTRANGE(""https://docs.google.com/spreadsheets/d/1MeEWN-I1oV_STSDYn1IFDPWt_1FKiwhDph83XaGc0o0/edit?usp=sharing"",""งบพรบ!FO65"")"),0)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23" t="s">
        <v>38</v>
      </c>
      <c r="E398" s="173"/>
      <c r="F398" s="173"/>
      <c r="G398" s="174"/>
      <c r="H398" s="753"/>
      <c r="I398" s="184"/>
      <c r="J398" s="269"/>
      <c r="K398" s="496"/>
      <c r="L398" s="496"/>
      <c r="M398" s="496"/>
      <c r="N398" s="496"/>
      <c r="O398" s="163"/>
      <c r="P398" s="163"/>
    </row>
    <row r="399" spans="1:26" ht="18.75" hidden="1">
      <c r="A399" s="523"/>
      <c r="B399" s="148"/>
      <c r="C399" s="524"/>
      <c r="D399" s="525" t="s">
        <v>174</v>
      </c>
      <c r="E399" s="414"/>
      <c r="F399" s="148"/>
      <c r="G399" s="151"/>
      <c r="H399" s="526" t="s">
        <v>9</v>
      </c>
      <c r="I399" s="269">
        <v>0</v>
      </c>
      <c r="J399" s="214">
        <v>0</v>
      </c>
      <c r="K399" s="496">
        <f t="shared" ref="K399:K401" si="172">IF(I399&gt;0,J399*100/I399,0)</f>
        <v>0</v>
      </c>
      <c r="L399" s="527"/>
      <c r="M399" s="527"/>
      <c r="N399" s="527"/>
      <c r="O399" s="527"/>
      <c r="P399" s="527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4"/>
      <c r="B400" s="33"/>
      <c r="C400" s="280"/>
      <c r="D400" s="446" t="s">
        <v>175</v>
      </c>
      <c r="E400" s="171"/>
      <c r="F400" s="33"/>
      <c r="G400" s="35"/>
      <c r="H400" s="276" t="s">
        <v>69</v>
      </c>
      <c r="I400" s="269">
        <v>0</v>
      </c>
      <c r="J400" s="214">
        <v>0</v>
      </c>
      <c r="K400" s="496">
        <f t="shared" si="172"/>
        <v>0</v>
      </c>
      <c r="L400" s="496"/>
      <c r="M400" s="496"/>
      <c r="N400" s="496"/>
      <c r="O400" s="496"/>
      <c r="P400" s="496"/>
    </row>
    <row r="401" spans="1:26" ht="19.5" hidden="1">
      <c r="A401" s="514"/>
      <c r="B401" s="515" t="s">
        <v>176</v>
      </c>
      <c r="C401" s="516"/>
      <c r="D401" s="517"/>
      <c r="E401" s="517"/>
      <c r="F401" s="517"/>
      <c r="G401" s="518"/>
      <c r="H401" s="519" t="s">
        <v>69</v>
      </c>
      <c r="I401" s="520">
        <f t="shared" ref="I401:J401" si="173">I412</f>
        <v>0</v>
      </c>
      <c r="J401" s="520">
        <f t="shared" si="173"/>
        <v>0</v>
      </c>
      <c r="K401" s="521">
        <f t="shared" si="172"/>
        <v>0</v>
      </c>
      <c r="L401" s="522"/>
      <c r="M401" s="522"/>
      <c r="N401" s="522"/>
      <c r="O401" s="522"/>
      <c r="P401" s="522"/>
    </row>
    <row r="402" spans="1:26" ht="19.5" hidden="1">
      <c r="A402" s="147"/>
      <c r="B402" s="148"/>
      <c r="C402" s="149" t="s">
        <v>16</v>
      </c>
      <c r="D402" s="822" t="s">
        <v>17</v>
      </c>
      <c r="E402" s="148"/>
      <c r="F402" s="148"/>
      <c r="G402" s="151"/>
      <c r="H402" s="152" t="s">
        <v>12</v>
      </c>
      <c r="I402" s="419"/>
      <c r="J402" s="419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2" t="s">
        <v>18</v>
      </c>
      <c r="F403" s="40"/>
      <c r="G403" s="157"/>
      <c r="H403" s="158" t="s">
        <v>12</v>
      </c>
      <c r="I403" s="610"/>
      <c r="J403" s="610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2" t="s">
        <v>19</v>
      </c>
      <c r="F404" s="40"/>
      <c r="G404" s="157"/>
      <c r="H404" s="158" t="s">
        <v>12</v>
      </c>
      <c r="I404" s="610"/>
      <c r="J404" s="610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1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6">
        <f t="shared" ref="L405:N405" ca="1" si="178">L406+L407</f>
        <v>0</v>
      </c>
      <c r="M405" s="496">
        <f t="shared" ca="1" si="178"/>
        <v>0</v>
      </c>
      <c r="N405" s="496">
        <f t="shared" ca="1" si="178"/>
        <v>0</v>
      </c>
      <c r="O405" s="496">
        <f t="shared" ca="1" si="175"/>
        <v>0</v>
      </c>
      <c r="P405" s="496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2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2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IFERROR(__xludf.DUMMYFUNCTION("IMPORTRANGE(""https://docs.google.com/spreadsheets/d/1MeEWN-I1oV_STSDYn1IFDPWt_1FKiwhDph83XaGc0o0/edit?usp=sharing"",""งบพรบ!FQ65"")"),0)</f>
        <v>0</v>
      </c>
      <c r="M407" s="93">
        <f ca="1">IFERROR(__xludf.DUMMYFUNCTION("IMPORTRANGE(""https://docs.google.com/spreadsheets/d/1MeEWN-I1oV_STSDYn1IFDPWt_1FKiwhDph83XaGc0o0/edit?usp=sharing"",""งบพรบ!FV65"")"),0)</f>
        <v>0</v>
      </c>
      <c r="N407" s="93">
        <f ca="1">IFERROR(__xludf.DUMMYFUNCTION("IMPORTRANGE(""https://docs.google.com/spreadsheets/d/1MeEWN-I1oV_STSDYn1IFDPWt_1FKiwhDph83XaGc0o0/edit?usp=sharing"",""งบพรบ!FX65"")"),0)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1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6">
        <f t="shared" ref="L408:N408" ca="1" si="179">L409+L410</f>
        <v>0</v>
      </c>
      <c r="M408" s="496">
        <f t="shared" ca="1" si="179"/>
        <v>0</v>
      </c>
      <c r="N408" s="496">
        <f t="shared" ca="1" si="179"/>
        <v>0</v>
      </c>
      <c r="O408" s="496">
        <f t="shared" ca="1" si="175"/>
        <v>0</v>
      </c>
      <c r="P408" s="496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2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2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IFERROR(__xludf.DUMMYFUNCTION("IMPORTRANGE(""https://docs.google.com/spreadsheets/d/1MeEWN-I1oV_STSDYn1IFDPWt_1FKiwhDph83XaGc0o0/edit?usp=sharing"",""งบพรบ!FT65"")"),0)</f>
        <v>0</v>
      </c>
      <c r="M410" s="93">
        <f ca="1">IFERROR(__xludf.DUMMYFUNCTION("IMPORTRANGE(""https://docs.google.com/spreadsheets/d/1MeEWN-I1oV_STSDYn1IFDPWt_1FKiwhDph83XaGc0o0/edit?usp=sharing"",""งบพรบ!FW65"")"),0)</f>
        <v>0</v>
      </c>
      <c r="N410" s="93">
        <f ca="1">IFERROR(__xludf.DUMMYFUNCTION("IMPORTRANGE(""https://docs.google.com/spreadsheets/d/1MeEWN-I1oV_STSDYn1IFDPWt_1FKiwhDph83XaGc0o0/edit?usp=sharing"",""งบพรบ!FY65"")"),0)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34" t="s">
        <v>38</v>
      </c>
      <c r="E411" s="529"/>
      <c r="F411" s="529"/>
      <c r="G411" s="530"/>
      <c r="H411" s="753"/>
      <c r="I411" s="269"/>
      <c r="J411" s="269"/>
      <c r="K411" s="496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6" t="s">
        <v>177</v>
      </c>
      <c r="E412" s="178"/>
      <c r="F412" s="178"/>
      <c r="G412" s="179"/>
      <c r="H412" s="531" t="s">
        <v>69</v>
      </c>
      <c r="I412" s="269">
        <v>0</v>
      </c>
      <c r="J412" s="214">
        <v>0</v>
      </c>
      <c r="K412" s="496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2"/>
      <c r="B413" s="533"/>
      <c r="C413" s="533"/>
      <c r="D413" s="534" t="s">
        <v>178</v>
      </c>
      <c r="E413" s="533"/>
      <c r="F413" s="533"/>
      <c r="G413" s="535"/>
      <c r="H413" s="536" t="s">
        <v>179</v>
      </c>
      <c r="I413" s="537">
        <v>0</v>
      </c>
      <c r="J413" s="538">
        <v>0</v>
      </c>
      <c r="K413" s="539">
        <f t="shared" si="180"/>
        <v>0</v>
      </c>
      <c r="L413" s="540"/>
      <c r="M413" s="540"/>
      <c r="N413" s="540"/>
      <c r="O413" s="540"/>
      <c r="P413" s="540"/>
    </row>
    <row r="414" spans="1:26" ht="19.5">
      <c r="A414" s="541" t="s">
        <v>180</v>
      </c>
      <c r="B414" s="542"/>
      <c r="C414" s="542"/>
      <c r="D414" s="542"/>
      <c r="E414" s="542"/>
      <c r="F414" s="542"/>
      <c r="G414" s="543"/>
      <c r="H414" s="544"/>
      <c r="I414" s="545"/>
      <c r="J414" s="545"/>
      <c r="K414" s="546"/>
      <c r="L414" s="547">
        <f t="shared" ref="L414:N414" ca="1" si="181">L419+L444+L467+L502+L523+L544+L629+L655+L685+L737+L754+L770+L786+L805</f>
        <v>493483</v>
      </c>
      <c r="M414" s="547">
        <f t="shared" si="181"/>
        <v>0</v>
      </c>
      <c r="N414" s="547">
        <f t="shared" si="181"/>
        <v>27803</v>
      </c>
      <c r="O414" s="547">
        <f ca="1">IF(L414&gt;0,N414*100/L414,0)</f>
        <v>5.6340339991448536</v>
      </c>
      <c r="P414" s="547">
        <f>IF(M414&gt;0,N414*100/M414,0)</f>
        <v>0</v>
      </c>
    </row>
    <row r="415" spans="1:26" ht="19.5">
      <c r="A415" s="548" t="s">
        <v>181</v>
      </c>
      <c r="B415" s="549"/>
      <c r="C415" s="549"/>
      <c r="D415" s="549"/>
      <c r="E415" s="549"/>
      <c r="F415" s="549"/>
      <c r="G415" s="549"/>
      <c r="H415" s="550"/>
      <c r="I415" s="551"/>
      <c r="J415" s="551"/>
      <c r="K415" s="552"/>
      <c r="L415" s="553"/>
      <c r="M415" s="553"/>
      <c r="N415" s="553"/>
      <c r="O415" s="553"/>
      <c r="P415" s="553"/>
    </row>
    <row r="416" spans="1:26" ht="19.5">
      <c r="A416" s="548" t="s">
        <v>182</v>
      </c>
      <c r="B416" s="549"/>
      <c r="C416" s="549"/>
      <c r="D416" s="549"/>
      <c r="E416" s="549"/>
      <c r="F416" s="549"/>
      <c r="G416" s="554"/>
      <c r="H416" s="555"/>
      <c r="I416" s="556"/>
      <c r="J416" s="556"/>
      <c r="K416" s="553"/>
      <c r="L416" s="553"/>
      <c r="M416" s="553"/>
      <c r="N416" s="553"/>
      <c r="O416" s="553"/>
      <c r="P416" s="553"/>
    </row>
    <row r="417" spans="1:26" ht="39">
      <c r="A417" s="557">
        <v>1</v>
      </c>
      <c r="B417" s="559" t="s">
        <v>183</v>
      </c>
      <c r="C417" s="559"/>
      <c r="D417" s="560"/>
      <c r="E417" s="560"/>
      <c r="F417" s="560"/>
      <c r="G417" s="561"/>
      <c r="H417" s="562" t="s">
        <v>35</v>
      </c>
      <c r="I417" s="563">
        <f t="shared" ref="I417:J418" ca="1" si="182">I433</f>
        <v>20</v>
      </c>
      <c r="J417" s="563">
        <f t="shared" ca="1" si="182"/>
        <v>0</v>
      </c>
      <c r="K417" s="564">
        <f t="shared" ref="K417:K418" ca="1" si="183">IF(I417&gt;0,J417*100/I417,0)</f>
        <v>0</v>
      </c>
      <c r="L417" s="565"/>
      <c r="M417" s="565"/>
      <c r="N417" s="565"/>
      <c r="O417" s="565"/>
      <c r="P417" s="565"/>
    </row>
    <row r="418" spans="1:26" ht="19.5">
      <c r="A418" s="566"/>
      <c r="B418" s="557"/>
      <c r="C418" s="559"/>
      <c r="D418" s="560"/>
      <c r="E418" s="560"/>
      <c r="F418" s="560"/>
      <c r="G418" s="561"/>
      <c r="H418" s="562" t="s">
        <v>49</v>
      </c>
      <c r="I418" s="563">
        <f t="shared" ca="1" si="182"/>
        <v>2</v>
      </c>
      <c r="J418" s="563">
        <f t="shared" si="182"/>
        <v>0</v>
      </c>
      <c r="K418" s="564">
        <f t="shared" ca="1" si="183"/>
        <v>0</v>
      </c>
      <c r="L418" s="565"/>
      <c r="M418" s="565"/>
      <c r="N418" s="565"/>
      <c r="O418" s="565"/>
      <c r="P418" s="565"/>
    </row>
    <row r="419" spans="1:26" ht="19.5">
      <c r="A419" s="147"/>
      <c r="B419" s="148"/>
      <c r="C419" s="148" t="s">
        <v>16</v>
      </c>
      <c r="D419" s="868" t="s">
        <v>17</v>
      </c>
      <c r="E419" s="862"/>
      <c r="F419" s="862"/>
      <c r="G419" s="151"/>
      <c r="H419" s="274" t="s">
        <v>12</v>
      </c>
      <c r="I419" s="419"/>
      <c r="J419" s="419"/>
      <c r="K419" s="154"/>
      <c r="L419" s="155">
        <f t="shared" ref="L419:N419" ca="1" si="184">L420+L421</f>
        <v>78660</v>
      </c>
      <c r="M419" s="155">
        <f t="shared" si="184"/>
        <v>0</v>
      </c>
      <c r="N419" s="155">
        <f t="shared" si="184"/>
        <v>0</v>
      </c>
      <c r="O419" s="155">
        <f t="shared" ref="O419:O424" ca="1" si="185">IF(L419&gt;0,N419*100/L419,0)</f>
        <v>0</v>
      </c>
      <c r="P419" s="155">
        <f t="shared" ref="P419:P424" si="186">IF(M419&gt;0,N419*100/M419,0)</f>
        <v>0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2"/>
      <c r="E420" s="222" t="s">
        <v>184</v>
      </c>
      <c r="F420" s="40"/>
      <c r="G420" s="157"/>
      <c r="H420" s="165" t="s">
        <v>12</v>
      </c>
      <c r="I420" s="610"/>
      <c r="J420" s="610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2"/>
      <c r="E421" s="222" t="s">
        <v>185</v>
      </c>
      <c r="F421" s="40"/>
      <c r="G421" s="157"/>
      <c r="H421" s="165" t="s">
        <v>12</v>
      </c>
      <c r="I421" s="610"/>
      <c r="J421" s="610"/>
      <c r="K421" s="93"/>
      <c r="L421" s="93">
        <f t="shared" ca="1" si="187"/>
        <v>78660</v>
      </c>
      <c r="M421" s="93">
        <f t="shared" si="187"/>
        <v>0</v>
      </c>
      <c r="N421" s="93">
        <f t="shared" si="187"/>
        <v>0</v>
      </c>
      <c r="O421" s="93">
        <f t="shared" ca="1" si="185"/>
        <v>0</v>
      </c>
      <c r="P421" s="93">
        <f t="shared" si="186"/>
        <v>0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0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6">
        <f t="shared" ref="L422:N422" ca="1" si="188">L423+L424</f>
        <v>78660</v>
      </c>
      <c r="M422" s="496">
        <f t="shared" si="188"/>
        <v>0</v>
      </c>
      <c r="N422" s="496">
        <f t="shared" si="188"/>
        <v>0</v>
      </c>
      <c r="O422" s="496">
        <f t="shared" ca="1" si="185"/>
        <v>0</v>
      </c>
      <c r="P422" s="496">
        <f t="shared" si="186"/>
        <v>0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2"/>
      <c r="E423" s="222" t="s">
        <v>184</v>
      </c>
      <c r="F423" s="40"/>
      <c r="G423" s="157"/>
      <c r="H423" s="165" t="s">
        <v>12</v>
      </c>
      <c r="I423" s="610"/>
      <c r="J423" s="610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2"/>
      <c r="E424" s="222" t="s">
        <v>185</v>
      </c>
      <c r="F424" s="40"/>
      <c r="G424" s="157"/>
      <c r="H424" s="165" t="s">
        <v>12</v>
      </c>
      <c r="I424" s="610"/>
      <c r="J424" s="610"/>
      <c r="K424" s="93"/>
      <c r="L424" s="93">
        <f ca="1">IFERROR(__xludf.DUMMYFUNCTION("IMPORTRANGE(""https://docs.google.com/spreadsheets/d/1QqKyyYR6Q21VydFLVH3TRQUabQu_ym0Zz7PgGX0-kHA/edit?usp=sharing"",""แผน!EY65"")"),78660)</f>
        <v>78660</v>
      </c>
      <c r="M424" s="93">
        <v>0</v>
      </c>
      <c r="N424" s="93">
        <f>N425+N426+N427+N428</f>
        <v>0</v>
      </c>
      <c r="O424" s="93">
        <f t="shared" ca="1" si="185"/>
        <v>0</v>
      </c>
      <c r="P424" s="93">
        <f t="shared" si="186"/>
        <v>0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67"/>
      <c r="B425" s="568"/>
      <c r="C425" s="754"/>
      <c r="D425" s="754"/>
      <c r="E425" s="754"/>
      <c r="F425" s="754" t="s">
        <v>186</v>
      </c>
      <c r="G425" s="189"/>
      <c r="H425" s="161" t="s">
        <v>12</v>
      </c>
      <c r="I425" s="269"/>
      <c r="J425" s="269"/>
      <c r="K425" s="496"/>
      <c r="L425" s="496"/>
      <c r="M425" s="496"/>
      <c r="N425" s="817">
        <v>0</v>
      </c>
      <c r="O425" s="496"/>
      <c r="P425" s="496"/>
      <c r="Q425" s="571"/>
      <c r="R425" s="571"/>
      <c r="S425" s="571"/>
      <c r="T425" s="571"/>
      <c r="U425" s="571"/>
      <c r="V425" s="571"/>
      <c r="W425" s="571"/>
      <c r="X425" s="571"/>
      <c r="Y425" s="571"/>
      <c r="Z425" s="571"/>
    </row>
    <row r="426" spans="1:26" ht="18.75">
      <c r="A426" s="567"/>
      <c r="B426" s="568"/>
      <c r="C426" s="754"/>
      <c r="D426" s="754"/>
      <c r="E426" s="754"/>
      <c r="F426" s="754" t="s">
        <v>187</v>
      </c>
      <c r="G426" s="189"/>
      <c r="H426" s="161" t="s">
        <v>12</v>
      </c>
      <c r="I426" s="269"/>
      <c r="J426" s="269"/>
      <c r="K426" s="496"/>
      <c r="L426" s="496"/>
      <c r="M426" s="496"/>
      <c r="N426" s="817">
        <v>0</v>
      </c>
      <c r="O426" s="496"/>
      <c r="P426" s="496"/>
      <c r="Q426" s="571"/>
      <c r="R426" s="571"/>
      <c r="S426" s="571"/>
      <c r="T426" s="571"/>
      <c r="U426" s="571"/>
      <c r="V426" s="571"/>
      <c r="W426" s="571"/>
      <c r="X426" s="571"/>
      <c r="Y426" s="571"/>
      <c r="Z426" s="571"/>
    </row>
    <row r="427" spans="1:26" ht="18.75">
      <c r="A427" s="567"/>
      <c r="B427" s="568"/>
      <c r="C427" s="754"/>
      <c r="D427" s="754"/>
      <c r="E427" s="754"/>
      <c r="F427" s="754" t="s">
        <v>188</v>
      </c>
      <c r="G427" s="189"/>
      <c r="H427" s="161" t="s">
        <v>12</v>
      </c>
      <c r="I427" s="269"/>
      <c r="J427" s="269"/>
      <c r="K427" s="496"/>
      <c r="L427" s="496"/>
      <c r="M427" s="496"/>
      <c r="N427" s="817">
        <v>0</v>
      </c>
      <c r="O427" s="496"/>
      <c r="P427" s="496"/>
      <c r="Q427" s="571"/>
      <c r="R427" s="571"/>
      <c r="S427" s="571"/>
      <c r="T427" s="571"/>
      <c r="U427" s="571"/>
      <c r="V427" s="571"/>
      <c r="W427" s="571"/>
      <c r="X427" s="571"/>
      <c r="Y427" s="571"/>
      <c r="Z427" s="571"/>
    </row>
    <row r="428" spans="1:26" ht="18.75">
      <c r="A428" s="284"/>
      <c r="B428" s="280"/>
      <c r="C428" s="33"/>
      <c r="D428" s="33"/>
      <c r="E428" s="33"/>
      <c r="F428" s="281" t="s">
        <v>189</v>
      </c>
      <c r="G428" s="213"/>
      <c r="H428" s="161" t="s">
        <v>12</v>
      </c>
      <c r="I428" s="269"/>
      <c r="J428" s="269"/>
      <c r="K428" s="496"/>
      <c r="L428" s="496"/>
      <c r="M428" s="496"/>
      <c r="N428" s="817">
        <v>0</v>
      </c>
      <c r="O428" s="496"/>
      <c r="P428" s="496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0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6">
        <f t="shared" ref="L429:N429" ca="1" si="189">L430+L431</f>
        <v>0</v>
      </c>
      <c r="M429" s="496">
        <f t="shared" si="189"/>
        <v>0</v>
      </c>
      <c r="N429" s="496">
        <f t="shared" si="189"/>
        <v>0</v>
      </c>
      <c r="O429" s="496">
        <f t="shared" ref="O429:O431" ca="1" si="190">IF(L429&gt;0,N429*100/L429,0)</f>
        <v>0</v>
      </c>
      <c r="P429" s="496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6"/>
      <c r="C430" s="40"/>
      <c r="D430" s="40"/>
      <c r="E430" s="222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6"/>
      <c r="C431" s="40"/>
      <c r="D431" s="40"/>
      <c r="E431" s="222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IFERROR(__xludf.DUMMYFUNCTION("IMPORTRANGE(""https://docs.google.com/spreadsheets/d/1QqKyyYR6Q21VydFLVH3TRQUabQu_ym0Zz7PgGX0-kHA/edit?usp=sharing"",""แผน!FB65"")"),0)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3"/>
      <c r="B432" s="414"/>
      <c r="C432" s="148" t="s">
        <v>16</v>
      </c>
      <c r="D432" s="835" t="s">
        <v>38</v>
      </c>
      <c r="E432" s="573"/>
      <c r="F432" s="573"/>
      <c r="G432" s="574"/>
      <c r="H432" s="575"/>
      <c r="I432" s="419"/>
      <c r="J432" s="419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190</v>
      </c>
      <c r="E433" s="178"/>
      <c r="F433" s="178"/>
      <c r="G433" s="179"/>
      <c r="H433" s="196" t="s">
        <v>35</v>
      </c>
      <c r="I433" s="674">
        <f ca="1">I435</f>
        <v>20</v>
      </c>
      <c r="J433" s="674">
        <f ca="1">IF(AND(J435=I435,J437=I437,J439=I439),I437+I439,IF(AND(J435=I437,J437=I437),I437,IF(AND(J435=I439,J439=I439),I439,0)))</f>
        <v>0</v>
      </c>
      <c r="K433" s="195">
        <f t="shared" ref="K433:K435" ca="1" si="192">IF(I433&gt;0,J433*100/I433,0)</f>
        <v>0</v>
      </c>
      <c r="L433" s="496"/>
      <c r="M433" s="496"/>
      <c r="N433" s="496"/>
      <c r="O433" s="496"/>
      <c r="P433" s="496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191</v>
      </c>
      <c r="E434" s="178"/>
      <c r="F434" s="178"/>
      <c r="G434" s="179"/>
      <c r="H434" s="196" t="s">
        <v>49</v>
      </c>
      <c r="I434" s="674">
        <f t="shared" ref="I434:J434" ca="1" si="193">I438+I440</f>
        <v>2</v>
      </c>
      <c r="J434" s="674">
        <f t="shared" si="193"/>
        <v>0</v>
      </c>
      <c r="K434" s="195">
        <f t="shared" ca="1" si="192"/>
        <v>0</v>
      </c>
      <c r="L434" s="496"/>
      <c r="M434" s="496"/>
      <c r="N434" s="496"/>
      <c r="O434" s="496"/>
      <c r="P434" s="496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6" t="s">
        <v>192</v>
      </c>
      <c r="E435" s="178"/>
      <c r="F435" s="178"/>
      <c r="G435" s="179"/>
      <c r="H435" s="616" t="s">
        <v>35</v>
      </c>
      <c r="I435" s="576">
        <f ca="1">IFERROR(__xludf.DUMMYFUNCTION("IMPORTRANGE(""https://docs.google.com/spreadsheets/d/1QqKyyYR6Q21VydFLVH3TRQUabQu_ym0Zz7PgGX0-kHA/edit?usp=sharing"",""แผน!FC65"")"),20)</f>
        <v>20</v>
      </c>
      <c r="J435" s="577">
        <v>0</v>
      </c>
      <c r="K435" s="496">
        <f t="shared" ca="1" si="192"/>
        <v>0</v>
      </c>
      <c r="L435" s="496"/>
      <c r="M435" s="496"/>
      <c r="N435" s="496"/>
      <c r="O435" s="496"/>
      <c r="P435" s="496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6" t="s">
        <v>193</v>
      </c>
      <c r="E436" s="178"/>
      <c r="F436" s="178"/>
      <c r="G436" s="179"/>
      <c r="H436" s="616"/>
      <c r="I436" s="269"/>
      <c r="J436" s="269"/>
      <c r="K436" s="496"/>
      <c r="L436" s="496"/>
      <c r="M436" s="496"/>
      <c r="N436" s="496"/>
      <c r="O436" s="496"/>
      <c r="P436" s="496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6" t="s">
        <v>194</v>
      </c>
      <c r="E437" s="178"/>
      <c r="F437" s="178"/>
      <c r="G437" s="179"/>
      <c r="H437" s="616" t="s">
        <v>35</v>
      </c>
      <c r="I437" s="576">
        <f ca="1">IFERROR(__xludf.DUMMYFUNCTION("IMPORTRANGE(""https://docs.google.com/spreadsheets/d/1QqKyyYR6Q21VydFLVH3TRQUabQu_ym0Zz7PgGX0-kHA/edit?usp=sharing"",""แผน!FD65"")"),0)</f>
        <v>0</v>
      </c>
      <c r="J437" s="577">
        <v>0</v>
      </c>
      <c r="K437" s="496">
        <f t="shared" ref="K437:K443" ca="1" si="194">IF(I437&gt;0,J437*100/I437,0)</f>
        <v>0</v>
      </c>
      <c r="L437" s="496"/>
      <c r="M437" s="496"/>
      <c r="N437" s="496"/>
      <c r="O437" s="496"/>
      <c r="P437" s="496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6" t="s">
        <v>195</v>
      </c>
      <c r="E438" s="178"/>
      <c r="F438" s="178"/>
      <c r="G438" s="179"/>
      <c r="H438" s="616" t="s">
        <v>49</v>
      </c>
      <c r="I438" s="269">
        <f ca="1">IFERROR(__xludf.DUMMYFUNCTION("IMPORTRANGE(""https://docs.google.com/spreadsheets/d/1QqKyyYR6Q21VydFLVH3TRQUabQu_ym0Zz7PgGX0-kHA/edit?usp=sharing"",""แผน!FE65"")"),0)</f>
        <v>0</v>
      </c>
      <c r="J438" s="214">
        <v>0</v>
      </c>
      <c r="K438" s="496">
        <f t="shared" ca="1" si="194"/>
        <v>0</v>
      </c>
      <c r="L438" s="496"/>
      <c r="M438" s="496"/>
      <c r="N438" s="496"/>
      <c r="O438" s="496"/>
      <c r="P438" s="496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6" t="s">
        <v>196</v>
      </c>
      <c r="E439" s="178"/>
      <c r="F439" s="178"/>
      <c r="G439" s="179"/>
      <c r="H439" s="616" t="s">
        <v>35</v>
      </c>
      <c r="I439" s="576">
        <f ca="1">IFERROR(__xludf.DUMMYFUNCTION("IMPORTRANGE(""https://docs.google.com/spreadsheets/d/1QqKyyYR6Q21VydFLVH3TRQUabQu_ym0Zz7PgGX0-kHA/edit?usp=sharing"",""แผน!FF65"")"),20)</f>
        <v>20</v>
      </c>
      <c r="J439" s="577">
        <v>0</v>
      </c>
      <c r="K439" s="496">
        <f t="shared" ca="1" si="194"/>
        <v>0</v>
      </c>
      <c r="L439" s="496"/>
      <c r="M439" s="496"/>
      <c r="N439" s="496"/>
      <c r="O439" s="496"/>
      <c r="P439" s="496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6" t="s">
        <v>197</v>
      </c>
      <c r="E440" s="178"/>
      <c r="F440" s="178"/>
      <c r="G440" s="179"/>
      <c r="H440" s="616" t="s">
        <v>49</v>
      </c>
      <c r="I440" s="269">
        <f ca="1">IFERROR(__xludf.DUMMYFUNCTION("IMPORTRANGE(""https://docs.google.com/spreadsheets/d/1QqKyyYR6Q21VydFLVH3TRQUabQu_ym0Zz7PgGX0-kHA/edit?usp=sharing"",""แผน!FG65"")"),2)</f>
        <v>2</v>
      </c>
      <c r="J440" s="214">
        <v>0</v>
      </c>
      <c r="K440" s="496">
        <f t="shared" ca="1" si="194"/>
        <v>0</v>
      </c>
      <c r="L440" s="496"/>
      <c r="M440" s="496"/>
      <c r="N440" s="496"/>
      <c r="O440" s="496"/>
      <c r="P440" s="496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 hidden="1">
      <c r="A441" s="170"/>
      <c r="B441" s="171"/>
      <c r="C441" s="171"/>
      <c r="D441" s="446" t="s">
        <v>198</v>
      </c>
      <c r="E441" s="178"/>
      <c r="F441" s="178"/>
      <c r="G441" s="179"/>
      <c r="H441" s="616" t="s">
        <v>35</v>
      </c>
      <c r="I441" s="269">
        <f ca="1">IFERROR(__xludf.DUMMYFUNCTION("IMPORTRANGE(""https://docs.google.com/spreadsheets/d/1QqKyyYR6Q21VydFLVH3TRQUabQu_ym0Zz7PgGX0-kHA/edit?usp=sharing"",""แผน!FH65"")"),0)</f>
        <v>0</v>
      </c>
      <c r="J441" s="269">
        <v>0</v>
      </c>
      <c r="K441" s="496">
        <f t="shared" ca="1" si="194"/>
        <v>0</v>
      </c>
      <c r="L441" s="496"/>
      <c r="M441" s="496"/>
      <c r="N441" s="496"/>
      <c r="O441" s="496"/>
      <c r="P441" s="496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 hidden="1">
      <c r="A442" s="578">
        <v>2</v>
      </c>
      <c r="B442" s="579" t="s">
        <v>199</v>
      </c>
      <c r="C442" s="580"/>
      <c r="D442" s="580"/>
      <c r="E442" s="580"/>
      <c r="F442" s="580"/>
      <c r="G442" s="581"/>
      <c r="H442" s="582" t="s">
        <v>35</v>
      </c>
      <c r="I442" s="583">
        <f t="shared" ref="I442:J442" ca="1" si="195">I460</f>
        <v>0</v>
      </c>
      <c r="J442" s="583">
        <f t="shared" si="195"/>
        <v>0</v>
      </c>
      <c r="K442" s="584">
        <f t="shared" ca="1" si="194"/>
        <v>0</v>
      </c>
      <c r="L442" s="585"/>
      <c r="M442" s="585"/>
      <c r="N442" s="585"/>
      <c r="O442" s="585"/>
      <c r="P442" s="585"/>
      <c r="Q442" s="571"/>
      <c r="R442" s="571"/>
      <c r="S442" s="571"/>
      <c r="T442" s="571"/>
      <c r="U442" s="571"/>
      <c r="V442" s="571"/>
      <c r="W442" s="571"/>
      <c r="X442" s="571"/>
      <c r="Y442" s="571"/>
      <c r="Z442" s="571"/>
    </row>
    <row r="443" spans="1:26" ht="19.5" hidden="1">
      <c r="A443" s="586"/>
      <c r="B443" s="587"/>
      <c r="C443" s="588"/>
      <c r="D443" s="588"/>
      <c r="E443" s="588"/>
      <c r="F443" s="588"/>
      <c r="G443" s="589"/>
      <c r="H443" s="562" t="s">
        <v>46</v>
      </c>
      <c r="I443" s="563">
        <f t="shared" ref="I443:J443" ca="1" si="196">I462</f>
        <v>0</v>
      </c>
      <c r="J443" s="563">
        <f t="shared" si="196"/>
        <v>0</v>
      </c>
      <c r="K443" s="564">
        <f t="shared" ca="1" si="194"/>
        <v>0</v>
      </c>
      <c r="L443" s="565"/>
      <c r="M443" s="565"/>
      <c r="N443" s="565"/>
      <c r="O443" s="565"/>
      <c r="P443" s="565"/>
      <c r="Q443" s="571"/>
      <c r="R443" s="571"/>
      <c r="S443" s="571"/>
      <c r="T443" s="571"/>
      <c r="U443" s="571"/>
      <c r="V443" s="571"/>
      <c r="W443" s="571"/>
      <c r="X443" s="571"/>
      <c r="Y443" s="571"/>
      <c r="Z443" s="571"/>
    </row>
    <row r="444" spans="1:26" ht="19.5" hidden="1">
      <c r="A444" s="590"/>
      <c r="B444" s="754"/>
      <c r="C444" s="754" t="s">
        <v>16</v>
      </c>
      <c r="D444" s="863" t="s">
        <v>17</v>
      </c>
      <c r="E444" s="857"/>
      <c r="F444" s="857"/>
      <c r="G444" s="189"/>
      <c r="H444" s="591" t="s">
        <v>12</v>
      </c>
      <c r="I444" s="269"/>
      <c r="J444" s="269"/>
      <c r="K444" s="496"/>
      <c r="L444" s="195">
        <f t="shared" ref="L444:N444" ca="1" si="197">L445+L446</f>
        <v>0</v>
      </c>
      <c r="M444" s="195">
        <f t="shared" si="197"/>
        <v>0</v>
      </c>
      <c r="N444" s="195">
        <f t="shared" si="197"/>
        <v>0</v>
      </c>
      <c r="O444" s="195">
        <f t="shared" ref="O444:O449" ca="1" si="198">IF(L444&gt;0,N444*100/L444,0)</f>
        <v>0</v>
      </c>
      <c r="P444" s="195">
        <f t="shared" ref="P444:P449" si="199">IF(M444&gt;0,N444*100/M444,0)</f>
        <v>0</v>
      </c>
      <c r="Q444" s="571"/>
      <c r="R444" s="571"/>
      <c r="S444" s="571"/>
      <c r="T444" s="571"/>
      <c r="U444" s="571"/>
      <c r="V444" s="571"/>
      <c r="W444" s="571"/>
      <c r="X444" s="571"/>
      <c r="Y444" s="571"/>
      <c r="Z444" s="571"/>
    </row>
    <row r="445" spans="1:26" ht="18.75" hidden="1">
      <c r="A445" s="592"/>
      <c r="B445" s="750"/>
      <c r="C445" s="750"/>
      <c r="D445" s="711"/>
      <c r="E445" s="750" t="s">
        <v>184</v>
      </c>
      <c r="F445" s="750"/>
      <c r="G445" s="596"/>
      <c r="H445" s="165" t="s">
        <v>12</v>
      </c>
      <c r="I445" s="610"/>
      <c r="J445" s="610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597"/>
      <c r="R445" s="597"/>
      <c r="S445" s="597"/>
      <c r="T445" s="597"/>
      <c r="U445" s="597"/>
      <c r="V445" s="597"/>
      <c r="W445" s="597"/>
      <c r="X445" s="597"/>
      <c r="Y445" s="597"/>
      <c r="Z445" s="597"/>
    </row>
    <row r="446" spans="1:26" ht="18.75" hidden="1">
      <c r="A446" s="592"/>
      <c r="B446" s="600"/>
      <c r="C446" s="750"/>
      <c r="D446" s="711"/>
      <c r="E446" s="750" t="s">
        <v>185</v>
      </c>
      <c r="F446" s="750"/>
      <c r="G446" s="596"/>
      <c r="H446" s="165" t="s">
        <v>12</v>
      </c>
      <c r="I446" s="610"/>
      <c r="J446" s="610"/>
      <c r="K446" s="93"/>
      <c r="L446" s="93">
        <f t="shared" ca="1" si="200"/>
        <v>0</v>
      </c>
      <c r="M446" s="93">
        <f t="shared" si="200"/>
        <v>0</v>
      </c>
      <c r="N446" s="93">
        <f t="shared" si="200"/>
        <v>0</v>
      </c>
      <c r="O446" s="93">
        <f t="shared" ca="1" si="198"/>
        <v>0</v>
      </c>
      <c r="P446" s="93">
        <f t="shared" si="199"/>
        <v>0</v>
      </c>
      <c r="Q446" s="597"/>
      <c r="R446" s="597"/>
      <c r="S446" s="597"/>
      <c r="T446" s="597"/>
      <c r="U446" s="597"/>
      <c r="V446" s="597"/>
      <c r="W446" s="597"/>
      <c r="X446" s="597"/>
      <c r="Y446" s="597"/>
      <c r="Z446" s="597"/>
    </row>
    <row r="447" spans="1:26" ht="18.75" hidden="1">
      <c r="A447" s="590"/>
      <c r="B447" s="568"/>
      <c r="C447" s="754"/>
      <c r="D447" s="599" t="s">
        <v>20</v>
      </c>
      <c r="E447" s="754"/>
      <c r="F447" s="754"/>
      <c r="G447" s="189"/>
      <c r="H447" s="161" t="s">
        <v>12</v>
      </c>
      <c r="I447" s="184"/>
      <c r="J447" s="184"/>
      <c r="K447" s="163"/>
      <c r="L447" s="496">
        <f t="shared" ref="L447:N447" ca="1" si="201">L448+L449</f>
        <v>0</v>
      </c>
      <c r="M447" s="496">
        <f t="shared" si="201"/>
        <v>0</v>
      </c>
      <c r="N447" s="496">
        <f t="shared" si="201"/>
        <v>0</v>
      </c>
      <c r="O447" s="496">
        <f t="shared" ca="1" si="198"/>
        <v>0</v>
      </c>
      <c r="P447" s="496">
        <f t="shared" si="199"/>
        <v>0</v>
      </c>
      <c r="Q447" s="571"/>
      <c r="R447" s="571"/>
      <c r="S447" s="571"/>
      <c r="T447" s="571"/>
      <c r="U447" s="571"/>
      <c r="V447" s="571"/>
      <c r="W447" s="571"/>
      <c r="X447" s="571"/>
      <c r="Y447" s="571"/>
      <c r="Z447" s="571"/>
    </row>
    <row r="448" spans="1:26" ht="18.75" hidden="1">
      <c r="A448" s="592"/>
      <c r="B448" s="600"/>
      <c r="C448" s="750"/>
      <c r="D448" s="711"/>
      <c r="E448" s="750" t="s">
        <v>184</v>
      </c>
      <c r="F448" s="750"/>
      <c r="G448" s="596"/>
      <c r="H448" s="165" t="s">
        <v>12</v>
      </c>
      <c r="I448" s="610"/>
      <c r="J448" s="610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597"/>
      <c r="R448" s="597"/>
      <c r="S448" s="597"/>
      <c r="T448" s="597"/>
      <c r="U448" s="597"/>
      <c r="V448" s="597"/>
      <c r="W448" s="597"/>
      <c r="X448" s="597"/>
      <c r="Y448" s="597"/>
      <c r="Z448" s="597"/>
    </row>
    <row r="449" spans="1:26" ht="18.75" hidden="1">
      <c r="A449" s="592"/>
      <c r="B449" s="600"/>
      <c r="C449" s="750"/>
      <c r="D449" s="711"/>
      <c r="E449" s="750" t="s">
        <v>185</v>
      </c>
      <c r="F449" s="750"/>
      <c r="G449" s="596"/>
      <c r="H449" s="165" t="s">
        <v>12</v>
      </c>
      <c r="I449" s="610"/>
      <c r="J449" s="610"/>
      <c r="K449" s="93"/>
      <c r="L449" s="93">
        <f ca="1">IFERROR(__xludf.DUMMYFUNCTION("IMPORTRANGE(""https://docs.google.com/spreadsheets/d/1QqKyyYR6Q21VydFLVH3TRQUabQu_ym0Zz7PgGX0-kHA/edit?usp=sharing"",""แผน!FJ65"")"),0)</f>
        <v>0</v>
      </c>
      <c r="M449" s="93">
        <v>0</v>
      </c>
      <c r="N449" s="93">
        <f>N450+N451+N452+N453</f>
        <v>0</v>
      </c>
      <c r="O449" s="93">
        <f t="shared" ca="1" si="198"/>
        <v>0</v>
      </c>
      <c r="P449" s="93">
        <f t="shared" si="199"/>
        <v>0</v>
      </c>
      <c r="Q449" s="597"/>
      <c r="R449" s="597"/>
      <c r="S449" s="597"/>
      <c r="T449" s="597"/>
      <c r="U449" s="597"/>
      <c r="V449" s="597"/>
      <c r="W449" s="597"/>
      <c r="X449" s="597"/>
      <c r="Y449" s="597"/>
      <c r="Z449" s="597"/>
    </row>
    <row r="450" spans="1:26" ht="18.75" hidden="1">
      <c r="A450" s="567"/>
      <c r="B450" s="568"/>
      <c r="C450" s="754"/>
      <c r="D450" s="754"/>
      <c r="E450" s="754"/>
      <c r="F450" s="754" t="s">
        <v>186</v>
      </c>
      <c r="G450" s="189"/>
      <c r="H450" s="161" t="s">
        <v>12</v>
      </c>
      <c r="I450" s="269"/>
      <c r="J450" s="269"/>
      <c r="K450" s="496"/>
      <c r="L450" s="496"/>
      <c r="M450" s="496"/>
      <c r="N450" s="817">
        <v>0</v>
      </c>
      <c r="O450" s="496"/>
      <c r="P450" s="496"/>
      <c r="Q450" s="571"/>
      <c r="R450" s="571"/>
      <c r="S450" s="571"/>
      <c r="T450" s="571"/>
      <c r="U450" s="571"/>
      <c r="V450" s="571"/>
      <c r="W450" s="571"/>
      <c r="X450" s="571"/>
      <c r="Y450" s="571"/>
      <c r="Z450" s="571"/>
    </row>
    <row r="451" spans="1:26" ht="18.75" hidden="1">
      <c r="A451" s="567"/>
      <c r="B451" s="568"/>
      <c r="C451" s="754"/>
      <c r="D451" s="754"/>
      <c r="E451" s="754"/>
      <c r="F451" s="754" t="s">
        <v>187</v>
      </c>
      <c r="G451" s="189"/>
      <c r="H451" s="161" t="s">
        <v>12</v>
      </c>
      <c r="I451" s="269"/>
      <c r="J451" s="269"/>
      <c r="K451" s="496"/>
      <c r="L451" s="496"/>
      <c r="M451" s="496"/>
      <c r="N451" s="817">
        <v>0</v>
      </c>
      <c r="O451" s="496"/>
      <c r="P451" s="496"/>
      <c r="Q451" s="571"/>
      <c r="R451" s="571"/>
      <c r="S451" s="571"/>
      <c r="T451" s="571"/>
      <c r="U451" s="571"/>
      <c r="V451" s="571"/>
      <c r="W451" s="571"/>
      <c r="X451" s="571"/>
      <c r="Y451" s="571"/>
      <c r="Z451" s="571"/>
    </row>
    <row r="452" spans="1:26" ht="18.75" hidden="1">
      <c r="A452" s="567"/>
      <c r="B452" s="568"/>
      <c r="C452" s="568"/>
      <c r="D452" s="568"/>
      <c r="E452" s="568"/>
      <c r="F452" s="754" t="s">
        <v>188</v>
      </c>
      <c r="G452" s="189"/>
      <c r="H452" s="161" t="s">
        <v>12</v>
      </c>
      <c r="I452" s="269"/>
      <c r="J452" s="269"/>
      <c r="K452" s="496"/>
      <c r="L452" s="496"/>
      <c r="M452" s="496"/>
      <c r="N452" s="817">
        <v>0</v>
      </c>
      <c r="O452" s="496"/>
      <c r="P452" s="496"/>
      <c r="Q452" s="571"/>
      <c r="R452" s="571"/>
      <c r="S452" s="571"/>
      <c r="T452" s="571"/>
      <c r="U452" s="571"/>
      <c r="V452" s="571"/>
      <c r="W452" s="571"/>
      <c r="X452" s="571"/>
      <c r="Y452" s="571"/>
      <c r="Z452" s="571"/>
    </row>
    <row r="453" spans="1:26" ht="18.75" hidden="1">
      <c r="A453" s="567"/>
      <c r="B453" s="568"/>
      <c r="C453" s="568"/>
      <c r="D453" s="568"/>
      <c r="E453" s="568"/>
      <c r="F453" s="754" t="s">
        <v>189</v>
      </c>
      <c r="G453" s="189"/>
      <c r="H453" s="161" t="s">
        <v>12</v>
      </c>
      <c r="I453" s="269"/>
      <c r="J453" s="269"/>
      <c r="K453" s="496"/>
      <c r="L453" s="496"/>
      <c r="M453" s="496"/>
      <c r="N453" s="817">
        <v>0</v>
      </c>
      <c r="O453" s="496"/>
      <c r="P453" s="496"/>
      <c r="Q453" s="571"/>
      <c r="R453" s="571"/>
      <c r="S453" s="571"/>
      <c r="T453" s="571"/>
      <c r="U453" s="571"/>
      <c r="V453" s="571"/>
      <c r="W453" s="571"/>
      <c r="X453" s="571"/>
      <c r="Y453" s="571"/>
      <c r="Z453" s="571"/>
    </row>
    <row r="454" spans="1:26" ht="18.75" hidden="1">
      <c r="A454" s="590"/>
      <c r="B454" s="568"/>
      <c r="C454" s="568"/>
      <c r="D454" s="599" t="s">
        <v>21</v>
      </c>
      <c r="E454" s="568"/>
      <c r="F454" s="754"/>
      <c r="G454" s="189"/>
      <c r="H454" s="168" t="s">
        <v>12</v>
      </c>
      <c r="I454" s="184"/>
      <c r="J454" s="184"/>
      <c r="K454" s="163"/>
      <c r="L454" s="496">
        <f t="shared" ref="L454:N454" ca="1" si="202">L455+L456</f>
        <v>0</v>
      </c>
      <c r="M454" s="496">
        <f t="shared" si="202"/>
        <v>0</v>
      </c>
      <c r="N454" s="496">
        <f t="shared" si="202"/>
        <v>0</v>
      </c>
      <c r="O454" s="496">
        <f t="shared" ref="O454:O456" ca="1" si="203">IF(L454&gt;0,N454*100/L454,0)</f>
        <v>0</v>
      </c>
      <c r="P454" s="496">
        <f t="shared" ref="P454:P456" si="204">IF(M454&gt;0,N454*100/M454,0)</f>
        <v>0</v>
      </c>
      <c r="Q454" s="571"/>
      <c r="R454" s="571"/>
      <c r="S454" s="571"/>
      <c r="T454" s="571"/>
      <c r="U454" s="571"/>
      <c r="V454" s="571"/>
      <c r="W454" s="571"/>
      <c r="X454" s="571"/>
      <c r="Y454" s="571"/>
      <c r="Z454" s="571"/>
    </row>
    <row r="455" spans="1:26" ht="18.75" hidden="1">
      <c r="A455" s="592"/>
      <c r="B455" s="600"/>
      <c r="C455" s="600"/>
      <c r="D455" s="600"/>
      <c r="E455" s="600" t="s">
        <v>18</v>
      </c>
      <c r="F455" s="750"/>
      <c r="G455" s="596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597"/>
      <c r="R455" s="597"/>
      <c r="S455" s="597"/>
      <c r="T455" s="597"/>
      <c r="U455" s="597"/>
      <c r="V455" s="597"/>
      <c r="W455" s="597"/>
      <c r="X455" s="597"/>
      <c r="Y455" s="597"/>
      <c r="Z455" s="597"/>
    </row>
    <row r="456" spans="1:26" ht="18.75" hidden="1">
      <c r="A456" s="592"/>
      <c r="B456" s="600"/>
      <c r="C456" s="600"/>
      <c r="D456" s="600"/>
      <c r="E456" s="600" t="s">
        <v>19</v>
      </c>
      <c r="F456" s="750"/>
      <c r="G456" s="596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IFERROR(__xludf.DUMMYFUNCTION("IMPORTRANGE(""https://docs.google.com/spreadsheets/d/1QqKyyYR6Q21VydFLVH3TRQUabQu_ym0Zz7PgGX0-kHA/edit?usp=sharing"",""แผน!FM65"")"),0)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597"/>
      <c r="R456" s="597"/>
      <c r="S456" s="597"/>
      <c r="T456" s="597"/>
      <c r="U456" s="597"/>
      <c r="V456" s="597"/>
      <c r="W456" s="597"/>
      <c r="X456" s="597"/>
      <c r="Y456" s="597"/>
      <c r="Z456" s="597"/>
    </row>
    <row r="457" spans="1:26" ht="19.5" hidden="1">
      <c r="A457" s="601"/>
      <c r="B457" s="611"/>
      <c r="C457" s="568" t="s">
        <v>16</v>
      </c>
      <c r="D457" s="836" t="s">
        <v>38</v>
      </c>
      <c r="E457" s="604"/>
      <c r="F457" s="752"/>
      <c r="G457" s="606"/>
      <c r="H457" s="753"/>
      <c r="I457" s="269"/>
      <c r="J457" s="269"/>
      <c r="K457" s="496"/>
      <c r="L457" s="496"/>
      <c r="M457" s="496"/>
      <c r="N457" s="496"/>
      <c r="O457" s="496"/>
      <c r="P457" s="496"/>
      <c r="Q457" s="571"/>
      <c r="R457" s="571"/>
      <c r="S457" s="571"/>
      <c r="T457" s="571"/>
      <c r="U457" s="571"/>
      <c r="V457" s="571"/>
      <c r="W457" s="571"/>
      <c r="X457" s="571"/>
      <c r="Y457" s="571"/>
      <c r="Z457" s="571"/>
    </row>
    <row r="458" spans="1:26" ht="18.75" hidden="1">
      <c r="A458" s="607"/>
      <c r="B458" s="609"/>
      <c r="C458" s="609"/>
      <c r="D458" s="609" t="s">
        <v>200</v>
      </c>
      <c r="E458" s="609"/>
      <c r="F458" s="711"/>
      <c r="G458" s="365"/>
      <c r="H458" s="369" t="s">
        <v>35</v>
      </c>
      <c r="I458" s="610">
        <v>0</v>
      </c>
      <c r="J458" s="610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597"/>
      <c r="R458" s="597"/>
      <c r="S458" s="597"/>
      <c r="T458" s="597"/>
      <c r="U458" s="597"/>
      <c r="V458" s="597"/>
      <c r="W458" s="597"/>
      <c r="X458" s="597"/>
      <c r="Y458" s="597"/>
      <c r="Z458" s="597"/>
    </row>
    <row r="459" spans="1:26" ht="18.75" hidden="1">
      <c r="A459" s="607"/>
      <c r="B459" s="609"/>
      <c r="C459" s="609"/>
      <c r="D459" s="609" t="s">
        <v>201</v>
      </c>
      <c r="E459" s="609"/>
      <c r="F459" s="711"/>
      <c r="G459" s="365"/>
      <c r="H459" s="369"/>
      <c r="I459" s="610"/>
      <c r="J459" s="610"/>
      <c r="K459" s="93"/>
      <c r="L459" s="93"/>
      <c r="M459" s="93"/>
      <c r="N459" s="93"/>
      <c r="O459" s="93"/>
      <c r="P459" s="93"/>
      <c r="Q459" s="597"/>
      <c r="R459" s="597"/>
      <c r="S459" s="597"/>
      <c r="T459" s="597"/>
      <c r="U459" s="597"/>
      <c r="V459" s="597"/>
      <c r="W459" s="597"/>
      <c r="X459" s="597"/>
      <c r="Y459" s="597"/>
      <c r="Z459" s="597"/>
    </row>
    <row r="460" spans="1:26" ht="18.75" hidden="1">
      <c r="A460" s="601"/>
      <c r="B460" s="611"/>
      <c r="C460" s="611"/>
      <c r="D460" s="611" t="s">
        <v>202</v>
      </c>
      <c r="E460" s="611"/>
      <c r="F460" s="619"/>
      <c r="G460" s="753"/>
      <c r="H460" s="755" t="s">
        <v>35</v>
      </c>
      <c r="I460" s="269">
        <f ca="1">IFERROR(__xludf.DUMMYFUNCTION("IMPORTRANGE(""https://docs.google.com/spreadsheets/d/1QqKyyYR6Q21VydFLVH3TRQUabQu_ym0Zz7PgGX0-kHA/edit?usp=sharing"",""แผน!FN65"")"),0)</f>
        <v>0</v>
      </c>
      <c r="J460" s="214">
        <v>0</v>
      </c>
      <c r="K460" s="496">
        <f ca="1">IF(I460&gt;0,J460*100/I460,0)</f>
        <v>0</v>
      </c>
      <c r="L460" s="496"/>
      <c r="M460" s="496"/>
      <c r="N460" s="496"/>
      <c r="O460" s="496"/>
      <c r="P460" s="496"/>
      <c r="Q460" s="571"/>
      <c r="R460" s="571"/>
      <c r="S460" s="571"/>
      <c r="T460" s="571"/>
      <c r="U460" s="571"/>
      <c r="V460" s="571"/>
      <c r="W460" s="571"/>
      <c r="X460" s="571"/>
      <c r="Y460" s="571"/>
      <c r="Z460" s="571"/>
    </row>
    <row r="461" spans="1:26" ht="18.75" hidden="1">
      <c r="A461" s="601"/>
      <c r="B461" s="611"/>
      <c r="C461" s="611"/>
      <c r="D461" s="611" t="s">
        <v>203</v>
      </c>
      <c r="E461" s="619"/>
      <c r="F461" s="619"/>
      <c r="G461" s="753"/>
      <c r="H461" s="755"/>
      <c r="I461" s="269"/>
      <c r="J461" s="269"/>
      <c r="K461" s="496"/>
      <c r="L461" s="496"/>
      <c r="M461" s="496"/>
      <c r="N461" s="496"/>
      <c r="O461" s="496"/>
      <c r="P461" s="496"/>
      <c r="Q461" s="571"/>
      <c r="R461" s="571"/>
      <c r="S461" s="571"/>
      <c r="T461" s="571"/>
      <c r="U461" s="571"/>
      <c r="V461" s="571"/>
      <c r="W461" s="571"/>
      <c r="X461" s="571"/>
      <c r="Y461" s="571"/>
      <c r="Z461" s="571"/>
    </row>
    <row r="462" spans="1:26" ht="18.75" hidden="1">
      <c r="A462" s="601"/>
      <c r="B462" s="611"/>
      <c r="C462" s="611"/>
      <c r="D462" s="611" t="s">
        <v>204</v>
      </c>
      <c r="E462" s="619"/>
      <c r="F462" s="619"/>
      <c r="G462" s="753"/>
      <c r="H462" s="755" t="s">
        <v>46</v>
      </c>
      <c r="I462" s="269">
        <f ca="1">IFERROR(__xludf.DUMMYFUNCTION("IMPORTRANGE(""https://docs.google.com/spreadsheets/d/1QqKyyYR6Q21VydFLVH3TRQUabQu_ym0Zz7PgGX0-kHA/edit?usp=sharing"",""แผน!FO65"")"),0)</f>
        <v>0</v>
      </c>
      <c r="J462" s="214">
        <v>0</v>
      </c>
      <c r="K462" s="496">
        <f ca="1">IF(I462&gt;0,J462*100/I462,0)</f>
        <v>0</v>
      </c>
      <c r="L462" s="496"/>
      <c r="M462" s="496"/>
      <c r="N462" s="496"/>
      <c r="O462" s="496"/>
      <c r="P462" s="496"/>
      <c r="Q462" s="571"/>
      <c r="R462" s="571"/>
      <c r="S462" s="571"/>
      <c r="T462" s="571"/>
      <c r="U462" s="571"/>
      <c r="V462" s="571"/>
      <c r="W462" s="571"/>
      <c r="X462" s="571"/>
      <c r="Y462" s="571"/>
      <c r="Z462" s="571"/>
    </row>
    <row r="463" spans="1:26" ht="18.75" hidden="1">
      <c r="A463" s="601"/>
      <c r="B463" s="611"/>
      <c r="C463" s="611"/>
      <c r="D463" s="611" t="s">
        <v>59</v>
      </c>
      <c r="E463" s="619"/>
      <c r="F463" s="754"/>
      <c r="G463" s="189"/>
      <c r="H463" s="755" t="s">
        <v>46</v>
      </c>
      <c r="I463" s="269">
        <f ca="1">IFERROR(__xludf.DUMMYFUNCTION("IMPORTRANGE(""https://docs.google.com/spreadsheets/d/1QqKyyYR6Q21VydFLVH3TRQUabQu_ym0Zz7PgGX0-kHA/edit?usp=sharing"",""แผน!FO65"")"),0)</f>
        <v>0</v>
      </c>
      <c r="J463" s="214">
        <v>0</v>
      </c>
      <c r="K463" s="496"/>
      <c r="L463" s="496"/>
      <c r="M463" s="496"/>
      <c r="N463" s="496"/>
      <c r="O463" s="496"/>
      <c r="P463" s="496"/>
      <c r="Q463" s="571"/>
      <c r="R463" s="571"/>
      <c r="S463" s="571"/>
      <c r="T463" s="571"/>
      <c r="U463" s="571"/>
      <c r="V463" s="571"/>
      <c r="W463" s="571"/>
      <c r="X463" s="571"/>
      <c r="Y463" s="571"/>
      <c r="Z463" s="571"/>
    </row>
    <row r="464" spans="1:26" ht="19.5" hidden="1">
      <c r="A464" s="601"/>
      <c r="B464" s="611"/>
      <c r="C464" s="611"/>
      <c r="D464" s="611"/>
      <c r="E464" s="619"/>
      <c r="F464" s="619"/>
      <c r="G464" s="613"/>
      <c r="H464" s="755" t="s">
        <v>35</v>
      </c>
      <c r="I464" s="269">
        <f ca="1">IFERROR(__xludf.DUMMYFUNCTION("IMPORTRANGE(""https://docs.google.com/spreadsheets/d/1QqKyyYR6Q21VydFLVH3TRQUabQu_ym0Zz7PgGX0-kHA/edit?usp=sharing"",""แผน!FN65"")"),0)</f>
        <v>0</v>
      </c>
      <c r="J464" s="214">
        <v>0</v>
      </c>
      <c r="K464" s="496"/>
      <c r="L464" s="496"/>
      <c r="M464" s="496"/>
      <c r="N464" s="496"/>
      <c r="O464" s="496"/>
      <c r="P464" s="496"/>
      <c r="Q464" s="571"/>
      <c r="R464" s="571"/>
      <c r="S464" s="571"/>
      <c r="T464" s="571"/>
      <c r="U464" s="571"/>
      <c r="V464" s="571"/>
      <c r="W464" s="571"/>
      <c r="X464" s="571"/>
      <c r="Y464" s="571"/>
      <c r="Z464" s="571"/>
    </row>
    <row r="465" spans="1:26" ht="19.5">
      <c r="A465" s="578">
        <v>3</v>
      </c>
      <c r="B465" s="579" t="s">
        <v>205</v>
      </c>
      <c r="C465" s="580"/>
      <c r="D465" s="580"/>
      <c r="E465" s="580"/>
      <c r="F465" s="580"/>
      <c r="G465" s="581"/>
      <c r="H465" s="582" t="s">
        <v>35</v>
      </c>
      <c r="I465" s="583">
        <f ca="1">IFERROR(__xludf.DUMMYFUNCTION("IMPORTRANGE(""https://docs.google.com/spreadsheets/d/1QqKyyYR6Q21VydFLVH3TRQUabQu_ym0Zz7PgGX0-kHA/edit?usp=sharing"",""แผน!FX65"")"),21)</f>
        <v>21</v>
      </c>
      <c r="J465" s="583">
        <f>J485+J489+J492</f>
        <v>21</v>
      </c>
      <c r="K465" s="584">
        <f t="shared" ref="K465:K466" ca="1" si="205">IF(I465&gt;0,J465*100/I465,0)</f>
        <v>100</v>
      </c>
      <c r="L465" s="585"/>
      <c r="M465" s="585"/>
      <c r="N465" s="585"/>
      <c r="O465" s="585"/>
      <c r="P465" s="585"/>
      <c r="Q465" s="571"/>
      <c r="R465" s="571"/>
      <c r="S465" s="571"/>
      <c r="T465" s="571"/>
      <c r="U465" s="571"/>
      <c r="V465" s="571"/>
      <c r="W465" s="571"/>
      <c r="X465" s="571"/>
      <c r="Y465" s="571"/>
      <c r="Z465" s="571"/>
    </row>
    <row r="466" spans="1:26" ht="19.5">
      <c r="A466" s="586"/>
      <c r="B466" s="587"/>
      <c r="C466" s="588"/>
      <c r="D466" s="588"/>
      <c r="E466" s="588"/>
      <c r="F466" s="588"/>
      <c r="G466" s="589"/>
      <c r="H466" s="562" t="s">
        <v>46</v>
      </c>
      <c r="I466" s="563">
        <f ca="1">IFERROR(__xludf.DUMMYFUNCTION("IMPORTRANGE(""https://docs.google.com/spreadsheets/d/1QqKyyYR6Q21VydFLVH3TRQUabQu_ym0Zz7PgGX0-kHA/edit?usp=sharing"",""แผน!FW65"")"),200)</f>
        <v>200</v>
      </c>
      <c r="J466" s="563">
        <f>J483+J487</f>
        <v>0</v>
      </c>
      <c r="K466" s="564">
        <f t="shared" ca="1" si="205"/>
        <v>0</v>
      </c>
      <c r="L466" s="565"/>
      <c r="M466" s="565"/>
      <c r="N466" s="565"/>
      <c r="O466" s="565"/>
      <c r="P466" s="565"/>
      <c r="Q466" s="571"/>
      <c r="R466" s="571"/>
      <c r="S466" s="571"/>
      <c r="T466" s="571"/>
      <c r="U466" s="571"/>
      <c r="V466" s="571"/>
      <c r="W466" s="571"/>
      <c r="X466" s="571"/>
      <c r="Y466" s="571"/>
      <c r="Z466" s="571"/>
    </row>
    <row r="467" spans="1:26" ht="19.5">
      <c r="A467" s="590"/>
      <c r="B467" s="754"/>
      <c r="C467" s="754" t="s">
        <v>16</v>
      </c>
      <c r="D467" s="863" t="s">
        <v>17</v>
      </c>
      <c r="E467" s="857"/>
      <c r="F467" s="857"/>
      <c r="G467" s="189"/>
      <c r="H467" s="591" t="s">
        <v>12</v>
      </c>
      <c r="I467" s="269"/>
      <c r="J467" s="269"/>
      <c r="K467" s="496"/>
      <c r="L467" s="195">
        <f t="shared" ref="L467:N467" ca="1" si="206">L468+L469</f>
        <v>174403</v>
      </c>
      <c r="M467" s="195">
        <f t="shared" si="206"/>
        <v>0</v>
      </c>
      <c r="N467" s="195">
        <f t="shared" si="206"/>
        <v>27803</v>
      </c>
      <c r="O467" s="195">
        <f t="shared" ref="O467:O472" ca="1" si="207">IF(L467&gt;0,N467*100/L467,0)</f>
        <v>15.941812927529917</v>
      </c>
      <c r="P467" s="195">
        <f t="shared" ref="P467:P472" si="208">IF(M467&gt;0,N467*100/M467,0)</f>
        <v>0</v>
      </c>
      <c r="Q467" s="571"/>
      <c r="R467" s="571"/>
      <c r="S467" s="571"/>
      <c r="T467" s="571"/>
      <c r="U467" s="571"/>
      <c r="V467" s="571"/>
      <c r="W467" s="571"/>
      <c r="X467" s="571"/>
      <c r="Y467" s="571"/>
      <c r="Z467" s="571"/>
    </row>
    <row r="468" spans="1:26" ht="18.75" hidden="1">
      <c r="A468" s="592"/>
      <c r="B468" s="750"/>
      <c r="C468" s="750"/>
      <c r="D468" s="711"/>
      <c r="E468" s="750" t="s">
        <v>184</v>
      </c>
      <c r="F468" s="750"/>
      <c r="G468" s="596"/>
      <c r="H468" s="165" t="s">
        <v>12</v>
      </c>
      <c r="I468" s="610"/>
      <c r="J468" s="610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597"/>
      <c r="R468" s="597"/>
      <c r="S468" s="597"/>
      <c r="T468" s="597"/>
      <c r="U468" s="597"/>
      <c r="V468" s="597"/>
      <c r="W468" s="597"/>
      <c r="X468" s="597"/>
      <c r="Y468" s="597"/>
      <c r="Z468" s="597"/>
    </row>
    <row r="469" spans="1:26" ht="18.75" hidden="1">
      <c r="A469" s="592"/>
      <c r="B469" s="600"/>
      <c r="C469" s="750"/>
      <c r="D469" s="711"/>
      <c r="E469" s="750" t="s">
        <v>185</v>
      </c>
      <c r="F469" s="750"/>
      <c r="G469" s="596"/>
      <c r="H469" s="165" t="s">
        <v>12</v>
      </c>
      <c r="I469" s="610"/>
      <c r="J469" s="610"/>
      <c r="K469" s="93"/>
      <c r="L469" s="93">
        <f t="shared" ca="1" si="209"/>
        <v>174403</v>
      </c>
      <c r="M469" s="93">
        <f t="shared" si="209"/>
        <v>0</v>
      </c>
      <c r="N469" s="93">
        <f t="shared" si="209"/>
        <v>27803</v>
      </c>
      <c r="O469" s="93">
        <f t="shared" ca="1" si="207"/>
        <v>15.941812927529917</v>
      </c>
      <c r="P469" s="93">
        <f t="shared" si="208"/>
        <v>0</v>
      </c>
      <c r="Q469" s="597"/>
      <c r="R469" s="597"/>
      <c r="S469" s="597"/>
      <c r="T469" s="597"/>
      <c r="U469" s="597"/>
      <c r="V469" s="597"/>
      <c r="W469" s="597"/>
      <c r="X469" s="597"/>
      <c r="Y469" s="597"/>
      <c r="Z469" s="597"/>
    </row>
    <row r="470" spans="1:26" ht="18.75">
      <c r="A470" s="590"/>
      <c r="B470" s="568"/>
      <c r="C470" s="754"/>
      <c r="D470" s="599" t="s">
        <v>20</v>
      </c>
      <c r="E470" s="754"/>
      <c r="F470" s="754"/>
      <c r="G470" s="189"/>
      <c r="H470" s="161" t="s">
        <v>12</v>
      </c>
      <c r="I470" s="184"/>
      <c r="J470" s="184"/>
      <c r="K470" s="163"/>
      <c r="L470" s="496">
        <f t="shared" ref="L470:N470" ca="1" si="210">L471+L472</f>
        <v>174403</v>
      </c>
      <c r="M470" s="496">
        <f t="shared" si="210"/>
        <v>0</v>
      </c>
      <c r="N470" s="496">
        <f t="shared" si="210"/>
        <v>27803</v>
      </c>
      <c r="O470" s="496">
        <f t="shared" ca="1" si="207"/>
        <v>15.941812927529917</v>
      </c>
      <c r="P470" s="496">
        <f t="shared" si="208"/>
        <v>0</v>
      </c>
      <c r="Q470" s="571"/>
      <c r="R470" s="571"/>
      <c r="S470" s="571"/>
      <c r="T470" s="571"/>
      <c r="U470" s="571"/>
      <c r="V470" s="571"/>
      <c r="W470" s="571"/>
      <c r="X470" s="571"/>
      <c r="Y470" s="571"/>
      <c r="Z470" s="571"/>
    </row>
    <row r="471" spans="1:26" ht="18.75" hidden="1">
      <c r="A471" s="592"/>
      <c r="B471" s="600"/>
      <c r="C471" s="750"/>
      <c r="D471" s="711"/>
      <c r="E471" s="750" t="s">
        <v>184</v>
      </c>
      <c r="F471" s="750"/>
      <c r="G471" s="596"/>
      <c r="H471" s="165" t="s">
        <v>12</v>
      </c>
      <c r="I471" s="610"/>
      <c r="J471" s="610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597"/>
      <c r="R471" s="597"/>
      <c r="S471" s="597"/>
      <c r="T471" s="597"/>
      <c r="U471" s="597"/>
      <c r="V471" s="597"/>
      <c r="W471" s="597"/>
      <c r="X471" s="597"/>
      <c r="Y471" s="597"/>
      <c r="Z471" s="597"/>
    </row>
    <row r="472" spans="1:26" ht="18.75" hidden="1">
      <c r="A472" s="592"/>
      <c r="B472" s="600"/>
      <c r="C472" s="750"/>
      <c r="D472" s="711"/>
      <c r="E472" s="750" t="s">
        <v>185</v>
      </c>
      <c r="F472" s="750"/>
      <c r="G472" s="596"/>
      <c r="H472" s="165" t="s">
        <v>12</v>
      </c>
      <c r="I472" s="610"/>
      <c r="J472" s="610"/>
      <c r="K472" s="93"/>
      <c r="L472" s="93">
        <f ca="1">IFERROR(__xludf.DUMMYFUNCTION("IMPORTRANGE(""https://docs.google.com/spreadsheets/d/1QqKyyYR6Q21VydFLVH3TRQUabQu_ym0Zz7PgGX0-kHA/edit?usp=sharing"",""แผน!FS65"")"),174403)</f>
        <v>174403</v>
      </c>
      <c r="M472" s="93">
        <v>0</v>
      </c>
      <c r="N472" s="93">
        <f>N473+N474+N475+N476</f>
        <v>27803</v>
      </c>
      <c r="O472" s="93">
        <f t="shared" ca="1" si="207"/>
        <v>15.941812927529917</v>
      </c>
      <c r="P472" s="93">
        <f t="shared" si="208"/>
        <v>0</v>
      </c>
      <c r="Q472" s="597"/>
      <c r="R472" s="597"/>
      <c r="S472" s="597"/>
      <c r="T472" s="597"/>
      <c r="U472" s="597"/>
      <c r="V472" s="597"/>
      <c r="W472" s="597"/>
      <c r="X472" s="597"/>
      <c r="Y472" s="597"/>
      <c r="Z472" s="597"/>
    </row>
    <row r="473" spans="1:26" ht="18.75">
      <c r="A473" s="567"/>
      <c r="B473" s="568"/>
      <c r="C473" s="754"/>
      <c r="D473" s="754"/>
      <c r="E473" s="754"/>
      <c r="F473" s="754" t="s">
        <v>186</v>
      </c>
      <c r="G473" s="189"/>
      <c r="H473" s="161" t="s">
        <v>12</v>
      </c>
      <c r="I473" s="269"/>
      <c r="J473" s="269"/>
      <c r="K473" s="496"/>
      <c r="L473" s="496"/>
      <c r="M473" s="496"/>
      <c r="N473" s="817">
        <v>24903</v>
      </c>
      <c r="O473" s="496"/>
      <c r="P473" s="496"/>
      <c r="Q473" s="571"/>
      <c r="R473" s="571"/>
      <c r="S473" s="571"/>
      <c r="T473" s="571"/>
      <c r="U473" s="571"/>
      <c r="V473" s="571"/>
      <c r="W473" s="571"/>
      <c r="X473" s="571"/>
      <c r="Y473" s="571"/>
      <c r="Z473" s="571"/>
    </row>
    <row r="474" spans="1:26" ht="18.75">
      <c r="A474" s="567"/>
      <c r="B474" s="568"/>
      <c r="C474" s="754"/>
      <c r="D474" s="754"/>
      <c r="E474" s="754"/>
      <c r="F474" s="754" t="s">
        <v>187</v>
      </c>
      <c r="G474" s="189"/>
      <c r="H474" s="161" t="s">
        <v>12</v>
      </c>
      <c r="I474" s="269"/>
      <c r="J474" s="269"/>
      <c r="K474" s="496"/>
      <c r="L474" s="496"/>
      <c r="M474" s="496"/>
      <c r="N474" s="817">
        <v>0</v>
      </c>
      <c r="O474" s="496"/>
      <c r="P474" s="496"/>
      <c r="Q474" s="571"/>
      <c r="R474" s="571"/>
      <c r="S474" s="571"/>
      <c r="T474" s="571"/>
      <c r="U474" s="571"/>
      <c r="V474" s="571"/>
      <c r="W474" s="571"/>
      <c r="X474" s="571"/>
      <c r="Y474" s="571"/>
      <c r="Z474" s="571"/>
    </row>
    <row r="475" spans="1:26" ht="18.75">
      <c r="A475" s="567"/>
      <c r="B475" s="568"/>
      <c r="C475" s="568"/>
      <c r="D475" s="568"/>
      <c r="E475" s="568"/>
      <c r="F475" s="754" t="s">
        <v>188</v>
      </c>
      <c r="G475" s="189"/>
      <c r="H475" s="161" t="s">
        <v>12</v>
      </c>
      <c r="I475" s="269"/>
      <c r="J475" s="269"/>
      <c r="K475" s="496"/>
      <c r="L475" s="496"/>
      <c r="M475" s="496"/>
      <c r="N475" s="817">
        <v>0</v>
      </c>
      <c r="O475" s="496"/>
      <c r="P475" s="496"/>
      <c r="Q475" s="571"/>
      <c r="R475" s="571"/>
      <c r="S475" s="571"/>
      <c r="T475" s="571"/>
      <c r="U475" s="571"/>
      <c r="V475" s="571"/>
      <c r="W475" s="571"/>
      <c r="X475" s="571"/>
      <c r="Y475" s="571"/>
      <c r="Z475" s="571"/>
    </row>
    <row r="476" spans="1:26" ht="18.75">
      <c r="A476" s="567"/>
      <c r="B476" s="568"/>
      <c r="C476" s="568"/>
      <c r="D476" s="568"/>
      <c r="E476" s="568"/>
      <c r="F476" s="754" t="s">
        <v>189</v>
      </c>
      <c r="G476" s="189"/>
      <c r="H476" s="161" t="s">
        <v>12</v>
      </c>
      <c r="I476" s="269"/>
      <c r="J476" s="269"/>
      <c r="K476" s="496"/>
      <c r="L476" s="496"/>
      <c r="M476" s="496"/>
      <c r="N476" s="817">
        <v>2900</v>
      </c>
      <c r="O476" s="496"/>
      <c r="P476" s="496"/>
      <c r="Q476" s="571"/>
      <c r="R476" s="571"/>
      <c r="S476" s="571"/>
      <c r="T476" s="571"/>
      <c r="U476" s="571"/>
      <c r="V476" s="571"/>
      <c r="W476" s="571"/>
      <c r="X476" s="571"/>
      <c r="Y476" s="571"/>
      <c r="Z476" s="571"/>
    </row>
    <row r="477" spans="1:26" ht="18.75">
      <c r="A477" s="590"/>
      <c r="B477" s="568"/>
      <c r="C477" s="568"/>
      <c r="D477" s="599" t="s">
        <v>21</v>
      </c>
      <c r="E477" s="568"/>
      <c r="F477" s="568"/>
      <c r="G477" s="189"/>
      <c r="H477" s="168" t="s">
        <v>12</v>
      </c>
      <c r="I477" s="184"/>
      <c r="J477" s="184"/>
      <c r="K477" s="163"/>
      <c r="L477" s="496">
        <f t="shared" ref="L477:N477" ca="1" si="211">L478+L479</f>
        <v>0</v>
      </c>
      <c r="M477" s="496">
        <f t="shared" si="211"/>
        <v>0</v>
      </c>
      <c r="N477" s="496">
        <f t="shared" si="211"/>
        <v>0</v>
      </c>
      <c r="O477" s="496">
        <f t="shared" ref="O477:O479" ca="1" si="212">IF(L477&gt;0,N477*100/L477,0)</f>
        <v>0</v>
      </c>
      <c r="P477" s="496">
        <f t="shared" ref="P477:P479" si="213">IF(M477&gt;0,N477*100/M477,0)</f>
        <v>0</v>
      </c>
      <c r="Q477" s="571"/>
      <c r="R477" s="571"/>
      <c r="S477" s="571"/>
      <c r="T477" s="571"/>
      <c r="U477" s="571"/>
      <c r="V477" s="571"/>
      <c r="W477" s="571"/>
      <c r="X477" s="571"/>
      <c r="Y477" s="571"/>
      <c r="Z477" s="571"/>
    </row>
    <row r="478" spans="1:26" ht="18.75" hidden="1">
      <c r="A478" s="592"/>
      <c r="B478" s="600"/>
      <c r="C478" s="600"/>
      <c r="D478" s="600"/>
      <c r="E478" s="600" t="s">
        <v>18</v>
      </c>
      <c r="F478" s="600"/>
      <c r="G478" s="596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597"/>
      <c r="R478" s="597"/>
      <c r="S478" s="597"/>
      <c r="T478" s="597"/>
      <c r="U478" s="597"/>
      <c r="V478" s="597"/>
      <c r="W478" s="597"/>
      <c r="X478" s="597"/>
      <c r="Y478" s="597"/>
      <c r="Z478" s="597"/>
    </row>
    <row r="479" spans="1:26" ht="18.75" hidden="1">
      <c r="A479" s="592"/>
      <c r="B479" s="600"/>
      <c r="C479" s="600"/>
      <c r="D479" s="600"/>
      <c r="E479" s="600" t="s">
        <v>19</v>
      </c>
      <c r="F479" s="600"/>
      <c r="G479" s="596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IFERROR(__xludf.DUMMYFUNCTION("IMPORTRANGE(""https://docs.google.com/spreadsheets/d/1QqKyyYR6Q21VydFLVH3TRQUabQu_ym0Zz7PgGX0-kHA/edit?usp=sharing"",""แผน!FV65"")"),0)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597"/>
      <c r="R479" s="597"/>
      <c r="S479" s="597"/>
      <c r="T479" s="597"/>
      <c r="U479" s="597"/>
      <c r="V479" s="597"/>
      <c r="W479" s="597"/>
      <c r="X479" s="597"/>
      <c r="Y479" s="597"/>
      <c r="Z479" s="597"/>
    </row>
    <row r="480" spans="1:26" ht="19.5">
      <c r="A480" s="601"/>
      <c r="B480" s="611"/>
      <c r="C480" s="568" t="s">
        <v>16</v>
      </c>
      <c r="D480" s="837" t="s">
        <v>38</v>
      </c>
      <c r="E480" s="604"/>
      <c r="F480" s="752"/>
      <c r="G480" s="606"/>
      <c r="H480" s="753"/>
      <c r="I480" s="269"/>
      <c r="J480" s="269"/>
      <c r="K480" s="496"/>
      <c r="L480" s="496"/>
      <c r="M480" s="496"/>
      <c r="N480" s="496"/>
      <c r="O480" s="496"/>
      <c r="P480" s="496"/>
      <c r="Q480" s="571"/>
      <c r="R480" s="571"/>
      <c r="S480" s="571"/>
      <c r="T480" s="571"/>
      <c r="U480" s="571"/>
      <c r="V480" s="571"/>
      <c r="W480" s="571"/>
      <c r="X480" s="571"/>
      <c r="Y480" s="571"/>
      <c r="Z480" s="571"/>
    </row>
    <row r="481" spans="1:26" ht="19.5">
      <c r="A481" s="601"/>
      <c r="B481" s="611"/>
      <c r="C481" s="611"/>
      <c r="D481" s="618" t="s">
        <v>206</v>
      </c>
      <c r="E481" s="611"/>
      <c r="F481" s="611"/>
      <c r="G481" s="753"/>
      <c r="H481" s="189"/>
      <c r="I481" s="269"/>
      <c r="J481" s="269"/>
      <c r="K481" s="496"/>
      <c r="L481" s="496"/>
      <c r="M481" s="496"/>
      <c r="N481" s="496"/>
      <c r="O481" s="496"/>
      <c r="P481" s="496"/>
      <c r="Q481" s="571"/>
      <c r="R481" s="571"/>
      <c r="S481" s="571"/>
      <c r="T481" s="571"/>
      <c r="U481" s="571"/>
      <c r="V481" s="571"/>
      <c r="W481" s="571"/>
      <c r="X481" s="571"/>
      <c r="Y481" s="571"/>
      <c r="Z481" s="571"/>
    </row>
    <row r="482" spans="1:26" ht="18.75">
      <c r="A482" s="601"/>
      <c r="B482" s="611"/>
      <c r="C482" s="611"/>
      <c r="D482" s="611"/>
      <c r="E482" s="611" t="s">
        <v>207</v>
      </c>
      <c r="F482" s="611"/>
      <c r="G482" s="753"/>
      <c r="H482" s="189"/>
      <c r="I482" s="269"/>
      <c r="J482" s="269"/>
      <c r="K482" s="496"/>
      <c r="L482" s="496"/>
      <c r="M482" s="496"/>
      <c r="N482" s="496"/>
      <c r="O482" s="496"/>
      <c r="P482" s="496"/>
      <c r="Q482" s="571"/>
      <c r="R482" s="571"/>
      <c r="S482" s="571"/>
      <c r="T482" s="571"/>
      <c r="U482" s="571"/>
      <c r="V482" s="571"/>
      <c r="W482" s="571"/>
      <c r="X482" s="571"/>
      <c r="Y482" s="571"/>
      <c r="Z482" s="571"/>
    </row>
    <row r="483" spans="1:26" ht="18.75">
      <c r="A483" s="601"/>
      <c r="B483" s="611"/>
      <c r="C483" s="611"/>
      <c r="D483" s="611"/>
      <c r="E483" s="611"/>
      <c r="F483" s="611" t="s">
        <v>208</v>
      </c>
      <c r="G483" s="753"/>
      <c r="H483" s="616" t="s">
        <v>46</v>
      </c>
      <c r="I483" s="269">
        <f ca="1">IFERROR(__xludf.DUMMYFUNCTION("IMPORTRANGE(""https://docs.google.com/spreadsheets/d/1QqKyyYR6Q21VydFLVH3TRQUabQu_ym0Zz7PgGX0-kHA/edit?usp=sharing"",""แผน!FY65"")"),180)</f>
        <v>180</v>
      </c>
      <c r="J483" s="214">
        <v>0</v>
      </c>
      <c r="K483" s="496">
        <f ca="1">IF(I483&gt;0,J483*100/I483,0)</f>
        <v>0</v>
      </c>
      <c r="L483" s="496"/>
      <c r="M483" s="496"/>
      <c r="N483" s="496"/>
      <c r="O483" s="496"/>
      <c r="P483" s="496"/>
      <c r="Q483" s="571"/>
      <c r="R483" s="571"/>
      <c r="S483" s="571"/>
      <c r="T483" s="571"/>
      <c r="U483" s="571"/>
      <c r="V483" s="571"/>
      <c r="W483" s="571"/>
      <c r="X483" s="571"/>
      <c r="Y483" s="571"/>
      <c r="Z483" s="571"/>
    </row>
    <row r="484" spans="1:26" ht="18.75">
      <c r="A484" s="601"/>
      <c r="B484" s="611"/>
      <c r="C484" s="611"/>
      <c r="D484" s="611"/>
      <c r="E484" s="611"/>
      <c r="F484" s="611" t="s">
        <v>209</v>
      </c>
      <c r="G484" s="753"/>
      <c r="H484" s="616" t="s">
        <v>35</v>
      </c>
      <c r="I484" s="269"/>
      <c r="J484" s="214">
        <v>0</v>
      </c>
      <c r="K484" s="496"/>
      <c r="L484" s="496"/>
      <c r="M484" s="496"/>
      <c r="N484" s="496"/>
      <c r="O484" s="496"/>
      <c r="P484" s="496"/>
      <c r="Q484" s="571"/>
      <c r="R484" s="571"/>
      <c r="S484" s="571"/>
      <c r="T484" s="571"/>
      <c r="U484" s="571"/>
      <c r="V484" s="571"/>
      <c r="W484" s="571"/>
      <c r="X484" s="571"/>
      <c r="Y484" s="571"/>
      <c r="Z484" s="571"/>
    </row>
    <row r="485" spans="1:26" ht="18.75">
      <c r="A485" s="601"/>
      <c r="B485" s="611"/>
      <c r="C485" s="611"/>
      <c r="D485" s="611"/>
      <c r="E485" s="611"/>
      <c r="F485" s="611" t="s">
        <v>210</v>
      </c>
      <c r="G485" s="753"/>
      <c r="H485" s="616" t="s">
        <v>35</v>
      </c>
      <c r="I485" s="269">
        <f ca="1">IFERROR(__xludf.DUMMYFUNCTION("IMPORTRANGE(""https://docs.google.com/spreadsheets/d/1QqKyyYR6Q21VydFLVH3TRQUabQu_ym0Zz7PgGX0-kHA/edit?usp=sharing"",""แผน!FZ65"")"),18)</f>
        <v>18</v>
      </c>
      <c r="J485" s="214">
        <v>18</v>
      </c>
      <c r="K485" s="496">
        <f ca="1">IF(I485&gt;0,J485*100/I485,0)</f>
        <v>100</v>
      </c>
      <c r="L485" s="496"/>
      <c r="M485" s="496"/>
      <c r="N485" s="496"/>
      <c r="O485" s="496"/>
      <c r="P485" s="496"/>
      <c r="Q485" s="571"/>
      <c r="R485" s="571"/>
      <c r="S485" s="571"/>
      <c r="T485" s="571"/>
      <c r="U485" s="571"/>
      <c r="V485" s="571"/>
      <c r="W485" s="571"/>
      <c r="X485" s="571"/>
      <c r="Y485" s="571"/>
      <c r="Z485" s="571"/>
    </row>
    <row r="486" spans="1:26" ht="18.75">
      <c r="A486" s="601"/>
      <c r="B486" s="611"/>
      <c r="C486" s="611"/>
      <c r="D486" s="611"/>
      <c r="E486" s="611" t="s">
        <v>62</v>
      </c>
      <c r="F486" s="611"/>
      <c r="G486" s="753"/>
      <c r="H486" s="616"/>
      <c r="I486" s="269"/>
      <c r="J486" s="269"/>
      <c r="K486" s="496"/>
      <c r="L486" s="496"/>
      <c r="M486" s="496"/>
      <c r="N486" s="496"/>
      <c r="O486" s="496"/>
      <c r="P486" s="496"/>
      <c r="Q486" s="571"/>
      <c r="R486" s="571"/>
      <c r="S486" s="571"/>
      <c r="T486" s="571"/>
      <c r="U486" s="571"/>
      <c r="V486" s="571"/>
      <c r="W486" s="571"/>
      <c r="X486" s="571"/>
      <c r="Y486" s="571"/>
      <c r="Z486" s="571"/>
    </row>
    <row r="487" spans="1:26" ht="18.75">
      <c r="A487" s="601"/>
      <c r="B487" s="611"/>
      <c r="C487" s="611"/>
      <c r="D487" s="611"/>
      <c r="E487" s="611"/>
      <c r="F487" s="611" t="s">
        <v>208</v>
      </c>
      <c r="G487" s="753"/>
      <c r="H487" s="616" t="s">
        <v>46</v>
      </c>
      <c r="I487" s="269">
        <f ca="1">IFERROR(__xludf.DUMMYFUNCTION("IMPORTRANGE(""https://docs.google.com/spreadsheets/d/1QqKyyYR6Q21VydFLVH3TRQUabQu_ym0Zz7PgGX0-kHA/edit?usp=sharing"",""แผน!GA65"")"),20)</f>
        <v>20</v>
      </c>
      <c r="J487" s="214">
        <v>0</v>
      </c>
      <c r="K487" s="496">
        <f ca="1">IF(I487&gt;0,J487*100/I487,0)</f>
        <v>0</v>
      </c>
      <c r="L487" s="496"/>
      <c r="M487" s="496"/>
      <c r="N487" s="496"/>
      <c r="O487" s="496"/>
      <c r="P487" s="496"/>
      <c r="Q487" s="571"/>
      <c r="R487" s="571"/>
      <c r="S487" s="571"/>
      <c r="T487" s="571"/>
      <c r="U487" s="571"/>
      <c r="V487" s="571"/>
      <c r="W487" s="571"/>
      <c r="X487" s="571"/>
      <c r="Y487" s="571"/>
      <c r="Z487" s="571"/>
    </row>
    <row r="488" spans="1:26" ht="18.75">
      <c r="A488" s="601"/>
      <c r="B488" s="611"/>
      <c r="C488" s="611"/>
      <c r="D488" s="611"/>
      <c r="E488" s="611"/>
      <c r="F488" s="611" t="s">
        <v>211</v>
      </c>
      <c r="G488" s="753"/>
      <c r="H488" s="616" t="s">
        <v>35</v>
      </c>
      <c r="I488" s="269"/>
      <c r="J488" s="214">
        <v>0</v>
      </c>
      <c r="K488" s="496"/>
      <c r="L488" s="496"/>
      <c r="M488" s="496"/>
      <c r="N488" s="496"/>
      <c r="O488" s="496"/>
      <c r="P488" s="496"/>
      <c r="Q488" s="571"/>
      <c r="R488" s="571"/>
      <c r="S488" s="571"/>
      <c r="T488" s="571"/>
      <c r="U488" s="571"/>
      <c r="V488" s="571"/>
      <c r="W488" s="571"/>
      <c r="X488" s="571"/>
      <c r="Y488" s="571"/>
      <c r="Z488" s="571"/>
    </row>
    <row r="489" spans="1:26" ht="18.75">
      <c r="A489" s="601"/>
      <c r="B489" s="611"/>
      <c r="C489" s="611"/>
      <c r="D489" s="611"/>
      <c r="E489" s="611"/>
      <c r="F489" s="611" t="s">
        <v>212</v>
      </c>
      <c r="G489" s="753"/>
      <c r="H489" s="616" t="s">
        <v>35</v>
      </c>
      <c r="I489" s="269">
        <f ca="1">IFERROR(__xludf.DUMMYFUNCTION("IMPORTRANGE(""https://docs.google.com/spreadsheets/d/1QqKyyYR6Q21VydFLVH3TRQUabQu_ym0Zz7PgGX0-kHA/edit?usp=sharing"",""แผน!GB65"")"),2)</f>
        <v>2</v>
      </c>
      <c r="J489" s="214">
        <v>2</v>
      </c>
      <c r="K489" s="496">
        <f ca="1">IF(I489&gt;0,J489*100/I489,0)</f>
        <v>100</v>
      </c>
      <c r="L489" s="496"/>
      <c r="M489" s="496"/>
      <c r="N489" s="496"/>
      <c r="O489" s="496"/>
      <c r="P489" s="496"/>
      <c r="Q489" s="571"/>
      <c r="R489" s="571"/>
      <c r="S489" s="571"/>
      <c r="T489" s="571"/>
      <c r="U489" s="571"/>
      <c r="V489" s="571"/>
      <c r="W489" s="571"/>
      <c r="X489" s="571"/>
      <c r="Y489" s="571"/>
      <c r="Z489" s="571"/>
    </row>
    <row r="490" spans="1:26" ht="18.75">
      <c r="A490" s="601"/>
      <c r="B490" s="611"/>
      <c r="C490" s="611"/>
      <c r="D490" s="611"/>
      <c r="E490" s="611" t="s">
        <v>63</v>
      </c>
      <c r="F490" s="619"/>
      <c r="G490" s="753"/>
      <c r="H490" s="616"/>
      <c r="I490" s="269"/>
      <c r="J490" s="269"/>
      <c r="K490" s="496"/>
      <c r="L490" s="496"/>
      <c r="M490" s="496"/>
      <c r="N490" s="496"/>
      <c r="O490" s="496"/>
      <c r="P490" s="496"/>
      <c r="Q490" s="571"/>
      <c r="R490" s="571"/>
      <c r="S490" s="571"/>
      <c r="T490" s="571"/>
      <c r="U490" s="571"/>
      <c r="V490" s="571"/>
      <c r="W490" s="571"/>
      <c r="X490" s="571"/>
      <c r="Y490" s="571"/>
      <c r="Z490" s="571"/>
    </row>
    <row r="491" spans="1:26" ht="18.75">
      <c r="A491" s="601"/>
      <c r="B491" s="611"/>
      <c r="C491" s="611"/>
      <c r="D491" s="611"/>
      <c r="E491" s="611"/>
      <c r="F491" s="611" t="s">
        <v>213</v>
      </c>
      <c r="G491" s="753"/>
      <c r="H491" s="616" t="s">
        <v>35</v>
      </c>
      <c r="I491" s="269"/>
      <c r="J491" s="214">
        <v>0</v>
      </c>
      <c r="K491" s="496"/>
      <c r="L491" s="496"/>
      <c r="M491" s="496"/>
      <c r="N491" s="496"/>
      <c r="O491" s="496"/>
      <c r="P491" s="496"/>
      <c r="Q491" s="571"/>
      <c r="R491" s="571"/>
      <c r="S491" s="571"/>
      <c r="T491" s="571"/>
      <c r="U491" s="571"/>
      <c r="V491" s="571"/>
      <c r="W491" s="571"/>
      <c r="X491" s="571"/>
      <c r="Y491" s="571"/>
      <c r="Z491" s="571"/>
    </row>
    <row r="492" spans="1:26" ht="18.75">
      <c r="A492" s="601"/>
      <c r="B492" s="611"/>
      <c r="C492" s="611"/>
      <c r="D492" s="611"/>
      <c r="E492" s="611"/>
      <c r="F492" s="611" t="s">
        <v>214</v>
      </c>
      <c r="G492" s="753"/>
      <c r="H492" s="616" t="s">
        <v>35</v>
      </c>
      <c r="I492" s="269">
        <f ca="1">IFERROR(__xludf.DUMMYFUNCTION("IMPORTRANGE(""https://docs.google.com/spreadsheets/d/1QqKyyYR6Q21VydFLVH3TRQUabQu_ym0Zz7PgGX0-kHA/edit?usp=sharing"",""แผน!GC65"")"),1)</f>
        <v>1</v>
      </c>
      <c r="J492" s="214">
        <v>1</v>
      </c>
      <c r="K492" s="496">
        <f ca="1">IF(I492&gt;0,J492*100/I492,0)</f>
        <v>100</v>
      </c>
      <c r="L492" s="496"/>
      <c r="M492" s="496"/>
      <c r="N492" s="496"/>
      <c r="O492" s="496"/>
      <c r="P492" s="496"/>
      <c r="Q492" s="571"/>
      <c r="R492" s="571"/>
      <c r="S492" s="571"/>
      <c r="T492" s="571"/>
      <c r="U492" s="571"/>
      <c r="V492" s="571"/>
      <c r="W492" s="571"/>
      <c r="X492" s="571"/>
      <c r="Y492" s="571"/>
      <c r="Z492" s="571"/>
    </row>
    <row r="493" spans="1:26" ht="19.5">
      <c r="A493" s="601"/>
      <c r="B493" s="611"/>
      <c r="C493" s="611"/>
      <c r="D493" s="618" t="s">
        <v>59</v>
      </c>
      <c r="E493" s="611"/>
      <c r="F493" s="619"/>
      <c r="G493" s="753"/>
      <c r="H493" s="189"/>
      <c r="I493" s="269"/>
      <c r="J493" s="269"/>
      <c r="K493" s="496"/>
      <c r="L493" s="496"/>
      <c r="M493" s="496"/>
      <c r="N493" s="496"/>
      <c r="O493" s="496"/>
      <c r="P493" s="496"/>
      <c r="Q493" s="571"/>
      <c r="R493" s="571"/>
      <c r="S493" s="571"/>
      <c r="T493" s="571"/>
      <c r="U493" s="571"/>
      <c r="V493" s="571"/>
      <c r="W493" s="571"/>
      <c r="X493" s="571"/>
      <c r="Y493" s="571"/>
      <c r="Z493" s="571"/>
    </row>
    <row r="494" spans="1:26" ht="18.75">
      <c r="A494" s="601"/>
      <c r="B494" s="611"/>
      <c r="C494" s="611"/>
      <c r="D494" s="611"/>
      <c r="E494" s="611" t="s">
        <v>207</v>
      </c>
      <c r="F494" s="619"/>
      <c r="G494" s="753"/>
      <c r="H494" s="189"/>
      <c r="I494" s="269"/>
      <c r="J494" s="269"/>
      <c r="K494" s="496"/>
      <c r="L494" s="496"/>
      <c r="M494" s="496"/>
      <c r="N494" s="496"/>
      <c r="O494" s="496"/>
      <c r="P494" s="496"/>
      <c r="Q494" s="571"/>
      <c r="R494" s="571"/>
      <c r="S494" s="571"/>
      <c r="T494" s="571"/>
      <c r="U494" s="571"/>
      <c r="V494" s="571"/>
      <c r="W494" s="571"/>
      <c r="X494" s="571"/>
      <c r="Y494" s="571"/>
      <c r="Z494" s="571"/>
    </row>
    <row r="495" spans="1:26" ht="18.75">
      <c r="A495" s="601"/>
      <c r="B495" s="611"/>
      <c r="C495" s="611"/>
      <c r="D495" s="611"/>
      <c r="E495" s="611"/>
      <c r="F495" s="619" t="s">
        <v>215</v>
      </c>
      <c r="G495" s="753"/>
      <c r="H495" s="616" t="s">
        <v>46</v>
      </c>
      <c r="I495" s="269">
        <f ca="1">IFERROR(__xludf.DUMMYFUNCTION("IMPORTRANGE(""https://docs.google.com/spreadsheets/d/1QqKyyYR6Q21VydFLVH3TRQUabQu_ym0Zz7PgGX0-kHA/edit?usp=sharing"",""แผน!FY65"")"),180)</f>
        <v>180</v>
      </c>
      <c r="J495" s="214">
        <v>0</v>
      </c>
      <c r="K495" s="496">
        <f ca="1">IF(I495&gt;0,J495*100/I495,0)</f>
        <v>0</v>
      </c>
      <c r="L495" s="496"/>
      <c r="M495" s="496"/>
      <c r="N495" s="496"/>
      <c r="O495" s="496"/>
      <c r="P495" s="496"/>
      <c r="Q495" s="571"/>
      <c r="R495" s="571"/>
      <c r="S495" s="571"/>
      <c r="T495" s="571"/>
      <c r="U495" s="571"/>
      <c r="V495" s="571"/>
      <c r="W495" s="571"/>
      <c r="X495" s="571"/>
      <c r="Y495" s="571"/>
      <c r="Z495" s="571"/>
    </row>
    <row r="496" spans="1:26" ht="18.75">
      <c r="A496" s="601"/>
      <c r="B496" s="611"/>
      <c r="C496" s="611"/>
      <c r="D496" s="611"/>
      <c r="E496" s="611"/>
      <c r="F496" s="619" t="s">
        <v>216</v>
      </c>
      <c r="G496" s="753"/>
      <c r="H496" s="616" t="s">
        <v>46</v>
      </c>
      <c r="I496" s="269"/>
      <c r="J496" s="214">
        <v>0</v>
      </c>
      <c r="K496" s="496"/>
      <c r="L496" s="496"/>
      <c r="M496" s="496"/>
      <c r="N496" s="496"/>
      <c r="O496" s="496"/>
      <c r="P496" s="496"/>
      <c r="Q496" s="571"/>
      <c r="R496" s="571"/>
      <c r="S496" s="571"/>
      <c r="T496" s="571"/>
      <c r="U496" s="571"/>
      <c r="V496" s="571"/>
      <c r="W496" s="571"/>
      <c r="X496" s="571"/>
      <c r="Y496" s="571"/>
      <c r="Z496" s="571"/>
    </row>
    <row r="497" spans="1:26" ht="18.75">
      <c r="A497" s="601"/>
      <c r="B497" s="611"/>
      <c r="C497" s="611"/>
      <c r="D497" s="611"/>
      <c r="E497" s="611" t="s">
        <v>62</v>
      </c>
      <c r="F497" s="619"/>
      <c r="G497" s="753"/>
      <c r="H497" s="189"/>
      <c r="I497" s="269"/>
      <c r="J497" s="269"/>
      <c r="K497" s="496"/>
      <c r="L497" s="496"/>
      <c r="M497" s="496"/>
      <c r="N497" s="496"/>
      <c r="O497" s="496"/>
      <c r="P497" s="496"/>
      <c r="Q497" s="571"/>
      <c r="R497" s="571"/>
      <c r="S497" s="571"/>
      <c r="T497" s="571"/>
      <c r="U497" s="571"/>
      <c r="V497" s="571"/>
      <c r="W497" s="571"/>
      <c r="X497" s="571"/>
      <c r="Y497" s="571"/>
      <c r="Z497" s="571"/>
    </row>
    <row r="498" spans="1:26" ht="18.75">
      <c r="A498" s="601"/>
      <c r="B498" s="611"/>
      <c r="C498" s="611"/>
      <c r="D498" s="611"/>
      <c r="E498" s="619"/>
      <c r="F498" s="619" t="s">
        <v>217</v>
      </c>
      <c r="G498" s="753"/>
      <c r="H498" s="616" t="s">
        <v>46</v>
      </c>
      <c r="I498" s="269">
        <f ca="1">IFERROR(__xludf.DUMMYFUNCTION("IMPORTRANGE(""https://docs.google.com/spreadsheets/d/1QqKyyYR6Q21VydFLVH3TRQUabQu_ym0Zz7PgGX0-kHA/edit?usp=sharing"",""แผน!GA65"")"),20)</f>
        <v>20</v>
      </c>
      <c r="J498" s="214">
        <v>0</v>
      </c>
      <c r="K498" s="496">
        <f ca="1">IF(I498&gt;0,J498*100/I498,0)</f>
        <v>0</v>
      </c>
      <c r="L498" s="496"/>
      <c r="M498" s="496"/>
      <c r="N498" s="496"/>
      <c r="O498" s="496"/>
      <c r="P498" s="496"/>
      <c r="Q498" s="571"/>
      <c r="R498" s="571"/>
      <c r="S498" s="571"/>
      <c r="T498" s="571"/>
      <c r="U498" s="571"/>
      <c r="V498" s="571"/>
      <c r="W498" s="571"/>
      <c r="X498" s="571"/>
      <c r="Y498" s="571"/>
      <c r="Z498" s="571"/>
    </row>
    <row r="499" spans="1:26" ht="18.75">
      <c r="A499" s="601"/>
      <c r="B499" s="611"/>
      <c r="C499" s="611"/>
      <c r="D499" s="611"/>
      <c r="E499" s="619"/>
      <c r="F499" s="619" t="s">
        <v>218</v>
      </c>
      <c r="G499" s="753"/>
      <c r="H499" s="616" t="s">
        <v>46</v>
      </c>
      <c r="I499" s="269"/>
      <c r="J499" s="214">
        <v>0</v>
      </c>
      <c r="K499" s="496"/>
      <c r="L499" s="496"/>
      <c r="M499" s="496"/>
      <c r="N499" s="496"/>
      <c r="O499" s="496"/>
      <c r="P499" s="496"/>
      <c r="Q499" s="571"/>
      <c r="R499" s="571"/>
      <c r="S499" s="571"/>
      <c r="T499" s="571"/>
      <c r="U499" s="571"/>
      <c r="V499" s="571"/>
      <c r="W499" s="571"/>
      <c r="X499" s="571"/>
      <c r="Y499" s="571"/>
      <c r="Z499" s="571"/>
    </row>
    <row r="500" spans="1:26" ht="19.5" hidden="1">
      <c r="A500" s="620">
        <v>4</v>
      </c>
      <c r="B500" s="621" t="s">
        <v>219</v>
      </c>
      <c r="C500" s="622"/>
      <c r="D500" s="623"/>
      <c r="E500" s="623"/>
      <c r="F500" s="623"/>
      <c r="G500" s="624"/>
      <c r="H500" s="625" t="s">
        <v>109</v>
      </c>
      <c r="I500" s="626"/>
      <c r="J500" s="626">
        <f t="shared" ref="J500:J501" si="214">J516</f>
        <v>0</v>
      </c>
      <c r="K500" s="627">
        <f t="shared" ref="K500:K501" si="215">IF(I500&gt;0,J500*100/I500,0)</f>
        <v>0</v>
      </c>
      <c r="L500" s="628"/>
      <c r="M500" s="628"/>
      <c r="N500" s="628"/>
      <c r="O500" s="628"/>
      <c r="P500" s="628"/>
      <c r="Q500" s="597"/>
      <c r="R500" s="597"/>
      <c r="S500" s="597"/>
      <c r="T500" s="597"/>
      <c r="U500" s="597"/>
      <c r="V500" s="597"/>
      <c r="W500" s="597"/>
      <c r="X500" s="597"/>
      <c r="Y500" s="597"/>
      <c r="Z500" s="597"/>
    </row>
    <row r="501" spans="1:26" ht="19.5" hidden="1">
      <c r="A501" s="629"/>
      <c r="B501" s="631" t="s">
        <v>220</v>
      </c>
      <c r="C501" s="631"/>
      <c r="D501" s="632"/>
      <c r="E501" s="632"/>
      <c r="F501" s="632"/>
      <c r="G501" s="633"/>
      <c r="H501" s="634" t="s">
        <v>35</v>
      </c>
      <c r="I501" s="635"/>
      <c r="J501" s="635">
        <f t="shared" si="214"/>
        <v>0</v>
      </c>
      <c r="K501" s="636">
        <f t="shared" si="215"/>
        <v>0</v>
      </c>
      <c r="L501" s="637"/>
      <c r="M501" s="637"/>
      <c r="N501" s="637"/>
      <c r="O501" s="637"/>
      <c r="P501" s="637"/>
      <c r="Q501" s="597"/>
      <c r="R501" s="597"/>
      <c r="S501" s="597"/>
      <c r="T501" s="597"/>
      <c r="U501" s="597"/>
      <c r="V501" s="597"/>
      <c r="W501" s="597"/>
      <c r="X501" s="597"/>
      <c r="Y501" s="597"/>
      <c r="Z501" s="597"/>
    </row>
    <row r="502" spans="1:26" ht="19.5" hidden="1">
      <c r="A502" s="592"/>
      <c r="B502" s="750"/>
      <c r="C502" s="750" t="s">
        <v>16</v>
      </c>
      <c r="D502" s="864" t="s">
        <v>17</v>
      </c>
      <c r="E502" s="857"/>
      <c r="F502" s="857"/>
      <c r="G502" s="596"/>
      <c r="H502" s="639" t="s">
        <v>12</v>
      </c>
      <c r="I502" s="610"/>
      <c r="J502" s="610"/>
      <c r="K502" s="93"/>
      <c r="L502" s="640">
        <f t="shared" ref="L502:N502" si="216">L503+L504</f>
        <v>0</v>
      </c>
      <c r="M502" s="640">
        <f t="shared" si="216"/>
        <v>0</v>
      </c>
      <c r="N502" s="640">
        <f t="shared" si="216"/>
        <v>0</v>
      </c>
      <c r="O502" s="640">
        <f t="shared" ref="O502:O507" si="217">IF(L502&gt;0,N502*100/L502,0)</f>
        <v>0</v>
      </c>
      <c r="P502" s="640">
        <f t="shared" ref="P502:P507" si="218">IF(M502&gt;0,N502*100/M502,0)</f>
        <v>0</v>
      </c>
      <c r="Q502" s="597"/>
      <c r="R502" s="597"/>
      <c r="S502" s="597"/>
      <c r="T502" s="597"/>
      <c r="U502" s="597"/>
      <c r="V502" s="597"/>
      <c r="W502" s="597"/>
      <c r="X502" s="597"/>
      <c r="Y502" s="597"/>
      <c r="Z502" s="597"/>
    </row>
    <row r="503" spans="1:26" ht="18.75" hidden="1">
      <c r="A503" s="592"/>
      <c r="B503" s="750"/>
      <c r="C503" s="750"/>
      <c r="D503" s="711"/>
      <c r="E503" s="750" t="s">
        <v>184</v>
      </c>
      <c r="F503" s="750"/>
      <c r="G503" s="596"/>
      <c r="H503" s="165" t="s">
        <v>12</v>
      </c>
      <c r="I503" s="610"/>
      <c r="J503" s="610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597"/>
      <c r="R503" s="597"/>
      <c r="S503" s="597"/>
      <c r="T503" s="597"/>
      <c r="U503" s="597"/>
      <c r="V503" s="597"/>
      <c r="W503" s="597"/>
      <c r="X503" s="597"/>
      <c r="Y503" s="597"/>
      <c r="Z503" s="597"/>
    </row>
    <row r="504" spans="1:26" ht="18.75" hidden="1">
      <c r="A504" s="592"/>
      <c r="B504" s="600"/>
      <c r="C504" s="750"/>
      <c r="D504" s="711"/>
      <c r="E504" s="750" t="s">
        <v>185</v>
      </c>
      <c r="F504" s="750"/>
      <c r="G504" s="596"/>
      <c r="H504" s="165" t="s">
        <v>12</v>
      </c>
      <c r="I504" s="610"/>
      <c r="J504" s="610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597"/>
      <c r="R504" s="597"/>
      <c r="S504" s="597"/>
      <c r="T504" s="597"/>
      <c r="U504" s="597"/>
      <c r="V504" s="597"/>
      <c r="W504" s="597"/>
      <c r="X504" s="597"/>
      <c r="Y504" s="597"/>
      <c r="Z504" s="597"/>
    </row>
    <row r="505" spans="1:26" ht="18.75" hidden="1">
      <c r="A505" s="592"/>
      <c r="B505" s="600"/>
      <c r="C505" s="750"/>
      <c r="D505" s="641" t="s">
        <v>20</v>
      </c>
      <c r="E505" s="750"/>
      <c r="F505" s="750"/>
      <c r="G505" s="596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597"/>
      <c r="R505" s="597"/>
      <c r="S505" s="597"/>
      <c r="T505" s="597"/>
      <c r="U505" s="597"/>
      <c r="V505" s="597"/>
      <c r="W505" s="597"/>
      <c r="X505" s="597"/>
      <c r="Y505" s="597"/>
      <c r="Z505" s="597"/>
    </row>
    <row r="506" spans="1:26" ht="18.75" hidden="1">
      <c r="A506" s="592"/>
      <c r="B506" s="600"/>
      <c r="C506" s="750"/>
      <c r="D506" s="711"/>
      <c r="E506" s="750" t="s">
        <v>184</v>
      </c>
      <c r="F506" s="750"/>
      <c r="G506" s="596"/>
      <c r="H506" s="165" t="s">
        <v>12</v>
      </c>
      <c r="I506" s="610"/>
      <c r="J506" s="610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597"/>
      <c r="R506" s="597"/>
      <c r="S506" s="597"/>
      <c r="T506" s="597"/>
      <c r="U506" s="597"/>
      <c r="V506" s="597"/>
      <c r="W506" s="597"/>
      <c r="X506" s="597"/>
      <c r="Y506" s="597"/>
      <c r="Z506" s="597"/>
    </row>
    <row r="507" spans="1:26" ht="18.75" hidden="1">
      <c r="A507" s="592"/>
      <c r="B507" s="600"/>
      <c r="C507" s="750"/>
      <c r="D507" s="711"/>
      <c r="E507" s="750" t="s">
        <v>185</v>
      </c>
      <c r="F507" s="750"/>
      <c r="G507" s="596"/>
      <c r="H507" s="165" t="s">
        <v>12</v>
      </c>
      <c r="I507" s="610"/>
      <c r="J507" s="610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597"/>
      <c r="R507" s="597"/>
      <c r="S507" s="597"/>
      <c r="T507" s="597"/>
      <c r="U507" s="597"/>
      <c r="V507" s="597"/>
      <c r="W507" s="597"/>
      <c r="X507" s="597"/>
      <c r="Y507" s="597"/>
      <c r="Z507" s="597"/>
    </row>
    <row r="508" spans="1:26" ht="18.75" hidden="1">
      <c r="A508" s="642"/>
      <c r="B508" s="600"/>
      <c r="C508" s="750"/>
      <c r="D508" s="750"/>
      <c r="E508" s="750"/>
      <c r="F508" s="750" t="s">
        <v>186</v>
      </c>
      <c r="G508" s="596"/>
      <c r="H508" s="165" t="s">
        <v>12</v>
      </c>
      <c r="I508" s="610"/>
      <c r="J508" s="610"/>
      <c r="K508" s="93"/>
      <c r="L508" s="93"/>
      <c r="M508" s="93"/>
      <c r="N508" s="93">
        <v>0</v>
      </c>
      <c r="O508" s="93"/>
      <c r="P508" s="93"/>
      <c r="Q508" s="597"/>
      <c r="R508" s="597"/>
      <c r="S508" s="597"/>
      <c r="T508" s="597"/>
      <c r="U508" s="597"/>
      <c r="V508" s="597"/>
      <c r="W508" s="597"/>
      <c r="X508" s="597"/>
      <c r="Y508" s="597"/>
      <c r="Z508" s="597"/>
    </row>
    <row r="509" spans="1:26" ht="18.75" hidden="1">
      <c r="A509" s="642"/>
      <c r="B509" s="600"/>
      <c r="C509" s="750"/>
      <c r="D509" s="750"/>
      <c r="E509" s="750"/>
      <c r="F509" s="750" t="s">
        <v>187</v>
      </c>
      <c r="G509" s="596"/>
      <c r="H509" s="165" t="s">
        <v>12</v>
      </c>
      <c r="I509" s="610"/>
      <c r="J509" s="610"/>
      <c r="K509" s="93"/>
      <c r="L509" s="93"/>
      <c r="M509" s="93"/>
      <c r="N509" s="93">
        <v>0</v>
      </c>
      <c r="O509" s="93"/>
      <c r="P509" s="93"/>
      <c r="Q509" s="597"/>
      <c r="R509" s="597"/>
      <c r="S509" s="597"/>
      <c r="T509" s="597"/>
      <c r="U509" s="597"/>
      <c r="V509" s="597"/>
      <c r="W509" s="597"/>
      <c r="X509" s="597"/>
      <c r="Y509" s="597"/>
      <c r="Z509" s="597"/>
    </row>
    <row r="510" spans="1:26" ht="18.75" hidden="1">
      <c r="A510" s="642"/>
      <c r="B510" s="600"/>
      <c r="C510" s="600"/>
      <c r="D510" s="600"/>
      <c r="E510" s="750"/>
      <c r="F510" s="750" t="s">
        <v>188</v>
      </c>
      <c r="G510" s="596"/>
      <c r="H510" s="165" t="s">
        <v>12</v>
      </c>
      <c r="I510" s="610"/>
      <c r="J510" s="610"/>
      <c r="K510" s="93"/>
      <c r="L510" s="93"/>
      <c r="M510" s="93"/>
      <c r="N510" s="93">
        <v>0</v>
      </c>
      <c r="O510" s="93"/>
      <c r="P510" s="93"/>
      <c r="Q510" s="597"/>
      <c r="R510" s="597"/>
      <c r="S510" s="597"/>
      <c r="T510" s="597"/>
      <c r="U510" s="597"/>
      <c r="V510" s="597"/>
      <c r="W510" s="597"/>
      <c r="X510" s="597"/>
      <c r="Y510" s="597"/>
      <c r="Z510" s="597"/>
    </row>
    <row r="511" spans="1:26" ht="18.75" hidden="1">
      <c r="A511" s="642"/>
      <c r="B511" s="600"/>
      <c r="C511" s="600"/>
      <c r="D511" s="600"/>
      <c r="E511" s="750"/>
      <c r="F511" s="750" t="s">
        <v>189</v>
      </c>
      <c r="G511" s="596"/>
      <c r="H511" s="165" t="s">
        <v>12</v>
      </c>
      <c r="I511" s="610"/>
      <c r="J511" s="610"/>
      <c r="K511" s="93"/>
      <c r="L511" s="93"/>
      <c r="M511" s="93"/>
      <c r="N511" s="93">
        <v>0</v>
      </c>
      <c r="O511" s="93"/>
      <c r="P511" s="93"/>
      <c r="Q511" s="597"/>
      <c r="R511" s="597"/>
      <c r="S511" s="597"/>
      <c r="T511" s="597"/>
      <c r="U511" s="597"/>
      <c r="V511" s="597"/>
      <c r="W511" s="597"/>
      <c r="X511" s="597"/>
      <c r="Y511" s="597"/>
      <c r="Z511" s="597"/>
    </row>
    <row r="512" spans="1:26" ht="18.75" hidden="1">
      <c r="A512" s="592"/>
      <c r="B512" s="600"/>
      <c r="C512" s="600"/>
      <c r="D512" s="641" t="s">
        <v>21</v>
      </c>
      <c r="E512" s="600"/>
      <c r="F512" s="750"/>
      <c r="G512" s="596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597"/>
      <c r="R512" s="597"/>
      <c r="S512" s="597"/>
      <c r="T512" s="597"/>
      <c r="U512" s="597"/>
      <c r="V512" s="597"/>
      <c r="W512" s="597"/>
      <c r="X512" s="597"/>
      <c r="Y512" s="597"/>
      <c r="Z512" s="597"/>
    </row>
    <row r="513" spans="1:26" ht="18.75" hidden="1">
      <c r="A513" s="592"/>
      <c r="B513" s="600"/>
      <c r="C513" s="600"/>
      <c r="D513" s="600"/>
      <c r="E513" s="600" t="s">
        <v>18</v>
      </c>
      <c r="F513" s="750"/>
      <c r="G513" s="596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597"/>
      <c r="R513" s="597"/>
      <c r="S513" s="597"/>
      <c r="T513" s="597"/>
      <c r="U513" s="597"/>
      <c r="V513" s="597"/>
      <c r="W513" s="597"/>
      <c r="X513" s="597"/>
      <c r="Y513" s="597"/>
      <c r="Z513" s="597"/>
    </row>
    <row r="514" spans="1:26" ht="18.75" hidden="1">
      <c r="A514" s="592"/>
      <c r="B514" s="600"/>
      <c r="C514" s="600"/>
      <c r="D514" s="750"/>
      <c r="E514" s="600" t="s">
        <v>19</v>
      </c>
      <c r="F514" s="750"/>
      <c r="G514" s="596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597"/>
      <c r="R514" s="597"/>
      <c r="S514" s="597"/>
      <c r="T514" s="597"/>
      <c r="U514" s="597"/>
      <c r="V514" s="597"/>
      <c r="W514" s="597"/>
      <c r="X514" s="597"/>
      <c r="Y514" s="597"/>
      <c r="Z514" s="597"/>
    </row>
    <row r="515" spans="1:26" ht="19.5" hidden="1">
      <c r="A515" s="607"/>
      <c r="B515" s="609"/>
      <c r="C515" s="600" t="s">
        <v>16</v>
      </c>
      <c r="D515" s="838" t="s">
        <v>38</v>
      </c>
      <c r="E515" s="644"/>
      <c r="F515" s="644"/>
      <c r="G515" s="645"/>
      <c r="H515" s="365"/>
      <c r="I515" s="166"/>
      <c r="J515" s="166"/>
      <c r="K515" s="167"/>
      <c r="L515" s="167"/>
      <c r="M515" s="167"/>
      <c r="N515" s="167"/>
      <c r="O515" s="167"/>
      <c r="P515" s="167"/>
      <c r="Q515" s="597"/>
      <c r="R515" s="597"/>
      <c r="S515" s="597"/>
      <c r="T515" s="597"/>
      <c r="U515" s="597"/>
      <c r="V515" s="597"/>
      <c r="W515" s="597"/>
      <c r="X515" s="597"/>
      <c r="Y515" s="597"/>
      <c r="Z515" s="597"/>
    </row>
    <row r="516" spans="1:26" ht="18.75" hidden="1">
      <c r="A516" s="607"/>
      <c r="B516" s="609"/>
      <c r="C516" s="609"/>
      <c r="D516" s="609" t="s">
        <v>221</v>
      </c>
      <c r="E516" s="711"/>
      <c r="F516" s="711"/>
      <c r="G516" s="365"/>
      <c r="H516" s="646" t="s">
        <v>109</v>
      </c>
      <c r="I516" s="610"/>
      <c r="J516" s="610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597"/>
      <c r="R516" s="597"/>
      <c r="S516" s="597"/>
      <c r="T516" s="597"/>
      <c r="U516" s="597"/>
      <c r="V516" s="597"/>
      <c r="W516" s="597"/>
      <c r="X516" s="597"/>
      <c r="Y516" s="597"/>
      <c r="Z516" s="597"/>
    </row>
    <row r="517" spans="1:26" ht="19.5" hidden="1">
      <c r="A517" s="607"/>
      <c r="B517" s="609"/>
      <c r="C517" s="609"/>
      <c r="D517" s="609" t="s">
        <v>222</v>
      </c>
      <c r="E517" s="711"/>
      <c r="F517" s="711"/>
      <c r="G517" s="365"/>
      <c r="H517" s="647" t="s">
        <v>35</v>
      </c>
      <c r="I517" s="648"/>
      <c r="J517" s="648">
        <f>J518+J519</f>
        <v>0</v>
      </c>
      <c r="K517" s="649">
        <f t="shared" si="224"/>
        <v>0</v>
      </c>
      <c r="L517" s="167"/>
      <c r="M517" s="167"/>
      <c r="N517" s="167"/>
      <c r="O517" s="167"/>
      <c r="P517" s="167"/>
      <c r="Q517" s="597"/>
      <c r="R517" s="597"/>
      <c r="S517" s="597"/>
      <c r="T517" s="597"/>
      <c r="U517" s="597"/>
      <c r="V517" s="597"/>
      <c r="W517" s="597"/>
      <c r="X517" s="597"/>
      <c r="Y517" s="597"/>
      <c r="Z517" s="597"/>
    </row>
    <row r="518" spans="1:26" ht="18.75" hidden="1">
      <c r="A518" s="607"/>
      <c r="B518" s="609"/>
      <c r="C518" s="609"/>
      <c r="D518" s="609"/>
      <c r="E518" s="609" t="s">
        <v>223</v>
      </c>
      <c r="F518" s="711"/>
      <c r="G518" s="365"/>
      <c r="H518" s="369" t="s">
        <v>35</v>
      </c>
      <c r="I518" s="610"/>
      <c r="J518" s="610"/>
      <c r="K518" s="167"/>
      <c r="L518" s="167"/>
      <c r="M518" s="167"/>
      <c r="N518" s="167"/>
      <c r="O518" s="167"/>
      <c r="P518" s="167"/>
      <c r="Q518" s="597"/>
      <c r="R518" s="597"/>
      <c r="S518" s="597"/>
      <c r="T518" s="597"/>
      <c r="U518" s="597"/>
      <c r="V518" s="597"/>
      <c r="W518" s="597"/>
      <c r="X518" s="597"/>
      <c r="Y518" s="597"/>
      <c r="Z518" s="597"/>
    </row>
    <row r="519" spans="1:26" ht="18.75" hidden="1">
      <c r="A519" s="607"/>
      <c r="B519" s="609"/>
      <c r="C519" s="609"/>
      <c r="D519" s="609"/>
      <c r="E519" s="609" t="s">
        <v>224</v>
      </c>
      <c r="F519" s="711"/>
      <c r="G519" s="365"/>
      <c r="H519" s="646" t="s">
        <v>35</v>
      </c>
      <c r="I519" s="610"/>
      <c r="J519" s="610"/>
      <c r="K519" s="167"/>
      <c r="L519" s="167"/>
      <c r="M519" s="167"/>
      <c r="N519" s="167"/>
      <c r="O519" s="167"/>
      <c r="P519" s="167"/>
      <c r="Q519" s="597"/>
      <c r="R519" s="597"/>
      <c r="S519" s="597"/>
      <c r="T519" s="597"/>
      <c r="U519" s="597"/>
      <c r="V519" s="597"/>
      <c r="W519" s="597"/>
      <c r="X519" s="597"/>
      <c r="Y519" s="597"/>
      <c r="Z519" s="597"/>
    </row>
    <row r="520" spans="1:26" ht="19.5">
      <c r="A520" s="650" t="s">
        <v>137</v>
      </c>
      <c r="B520" s="651"/>
      <c r="C520" s="651"/>
      <c r="D520" s="652"/>
      <c r="E520" s="652"/>
      <c r="F520" s="652"/>
      <c r="G520" s="653"/>
      <c r="H520" s="654"/>
      <c r="I520" s="655"/>
      <c r="J520" s="655"/>
      <c r="K520" s="656"/>
      <c r="L520" s="656"/>
      <c r="M520" s="656"/>
      <c r="N520" s="656"/>
      <c r="O520" s="656"/>
      <c r="P520" s="656"/>
    </row>
    <row r="521" spans="1:26" ht="19.5" hidden="1">
      <c r="A521" s="657">
        <v>5</v>
      </c>
      <c r="B521" s="658" t="s">
        <v>225</v>
      </c>
      <c r="C521" s="659"/>
      <c r="D521" s="660"/>
      <c r="E521" s="660"/>
      <c r="F521" s="660"/>
      <c r="G521" s="660"/>
      <c r="H521" s="661"/>
      <c r="I521" s="662"/>
      <c r="J521" s="662"/>
      <c r="K521" s="663"/>
      <c r="L521" s="663"/>
      <c r="M521" s="663"/>
      <c r="N521" s="663"/>
      <c r="O521" s="663"/>
      <c r="P521" s="663"/>
      <c r="Q521" s="571"/>
      <c r="R521" s="571"/>
      <c r="S521" s="571"/>
      <c r="T521" s="571"/>
      <c r="U521" s="571"/>
      <c r="V521" s="571"/>
      <c r="W521" s="571"/>
      <c r="X521" s="571"/>
      <c r="Y521" s="571"/>
      <c r="Z521" s="571"/>
    </row>
    <row r="522" spans="1:26" ht="19.5" hidden="1">
      <c r="A522" s="664"/>
      <c r="B522" s="665" t="s">
        <v>226</v>
      </c>
      <c r="C522" s="666"/>
      <c r="D522" s="666"/>
      <c r="E522" s="666"/>
      <c r="F522" s="666"/>
      <c r="G522" s="667"/>
      <c r="H522" s="668" t="s">
        <v>35</v>
      </c>
      <c r="I522" s="699">
        <f t="shared" ref="I522:J522" ca="1" si="225">I537</f>
        <v>0</v>
      </c>
      <c r="J522" s="699">
        <f t="shared" ca="1" si="225"/>
        <v>0</v>
      </c>
      <c r="K522" s="670">
        <f ca="1">IF(I522&gt;0,J522*100/I522,0)</f>
        <v>0</v>
      </c>
      <c r="L522" s="671"/>
      <c r="M522" s="671"/>
      <c r="N522" s="671"/>
      <c r="O522" s="671"/>
      <c r="P522" s="671"/>
      <c r="Q522" s="571"/>
      <c r="R522" s="571"/>
      <c r="S522" s="571"/>
      <c r="T522" s="571"/>
      <c r="U522" s="571"/>
      <c r="V522" s="571"/>
      <c r="W522" s="571"/>
      <c r="X522" s="571"/>
      <c r="Y522" s="571"/>
      <c r="Z522" s="571"/>
    </row>
    <row r="523" spans="1:26" ht="19.5" hidden="1">
      <c r="A523" s="590"/>
      <c r="B523" s="754"/>
      <c r="C523" s="754" t="s">
        <v>16</v>
      </c>
      <c r="D523" s="863" t="s">
        <v>17</v>
      </c>
      <c r="E523" s="857"/>
      <c r="F523" s="857"/>
      <c r="G523" s="189"/>
      <c r="H523" s="591" t="s">
        <v>12</v>
      </c>
      <c r="I523" s="269"/>
      <c r="J523" s="269"/>
      <c r="K523" s="496"/>
      <c r="L523" s="195">
        <f t="shared" ref="L523:N523" ca="1" si="226">L524+L525</f>
        <v>0</v>
      </c>
      <c r="M523" s="195">
        <f t="shared" si="226"/>
        <v>0</v>
      </c>
      <c r="N523" s="195">
        <f t="shared" si="226"/>
        <v>0</v>
      </c>
      <c r="O523" s="195">
        <f t="shared" ref="O523:O528" ca="1" si="227">IF(L523&gt;0,N523*100/L523,0)</f>
        <v>0</v>
      </c>
      <c r="P523" s="195">
        <f t="shared" ref="P523:P528" si="228">IF(M523&gt;0,N523*100/M523,0)</f>
        <v>0</v>
      </c>
      <c r="Q523" s="571"/>
      <c r="R523" s="571"/>
      <c r="S523" s="571"/>
      <c r="T523" s="571"/>
      <c r="U523" s="571"/>
      <c r="V523" s="571"/>
      <c r="W523" s="571"/>
      <c r="X523" s="571"/>
      <c r="Y523" s="571"/>
      <c r="Z523" s="571"/>
    </row>
    <row r="524" spans="1:26" ht="18.75" hidden="1">
      <c r="A524" s="592"/>
      <c r="B524" s="750"/>
      <c r="C524" s="750"/>
      <c r="D524" s="711"/>
      <c r="E524" s="750" t="s">
        <v>184</v>
      </c>
      <c r="F524" s="750"/>
      <c r="G524" s="596"/>
      <c r="H524" s="165" t="s">
        <v>12</v>
      </c>
      <c r="I524" s="610"/>
      <c r="J524" s="610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597"/>
      <c r="R524" s="597"/>
      <c r="S524" s="597"/>
      <c r="T524" s="597"/>
      <c r="U524" s="597"/>
      <c r="V524" s="597"/>
      <c r="W524" s="597"/>
      <c r="X524" s="597"/>
      <c r="Y524" s="597"/>
      <c r="Z524" s="597"/>
    </row>
    <row r="525" spans="1:26" ht="18.75" hidden="1">
      <c r="A525" s="592"/>
      <c r="B525" s="600"/>
      <c r="C525" s="750"/>
      <c r="D525" s="711"/>
      <c r="E525" s="750" t="s">
        <v>185</v>
      </c>
      <c r="F525" s="750"/>
      <c r="G525" s="596"/>
      <c r="H525" s="165" t="s">
        <v>12</v>
      </c>
      <c r="I525" s="610"/>
      <c r="J525" s="610"/>
      <c r="K525" s="93"/>
      <c r="L525" s="93">
        <f t="shared" ca="1" si="229"/>
        <v>0</v>
      </c>
      <c r="M525" s="93">
        <f t="shared" si="229"/>
        <v>0</v>
      </c>
      <c r="N525" s="93">
        <f t="shared" si="229"/>
        <v>0</v>
      </c>
      <c r="O525" s="93">
        <f t="shared" ca="1" si="227"/>
        <v>0</v>
      </c>
      <c r="P525" s="93">
        <f t="shared" si="228"/>
        <v>0</v>
      </c>
      <c r="Q525" s="597"/>
      <c r="R525" s="597"/>
      <c r="S525" s="597"/>
      <c r="T525" s="597"/>
      <c r="U525" s="597"/>
      <c r="V525" s="597"/>
      <c r="W525" s="597"/>
      <c r="X525" s="597"/>
      <c r="Y525" s="597"/>
      <c r="Z525" s="597"/>
    </row>
    <row r="526" spans="1:26" ht="18.75" hidden="1">
      <c r="A526" s="590"/>
      <c r="B526" s="568"/>
      <c r="C526" s="754"/>
      <c r="D526" s="599" t="s">
        <v>20</v>
      </c>
      <c r="E526" s="754"/>
      <c r="F526" s="754"/>
      <c r="G526" s="189"/>
      <c r="H526" s="161" t="s">
        <v>12</v>
      </c>
      <c r="I526" s="184"/>
      <c r="J526" s="184"/>
      <c r="K526" s="163"/>
      <c r="L526" s="496">
        <f t="shared" ref="L526:N526" ca="1" si="230">L527+L528</f>
        <v>0</v>
      </c>
      <c r="M526" s="496">
        <f t="shared" si="230"/>
        <v>0</v>
      </c>
      <c r="N526" s="496">
        <f t="shared" si="230"/>
        <v>0</v>
      </c>
      <c r="O526" s="496">
        <f t="shared" ca="1" si="227"/>
        <v>0</v>
      </c>
      <c r="P526" s="496">
        <f t="shared" si="228"/>
        <v>0</v>
      </c>
      <c r="Q526" s="571"/>
      <c r="R526" s="571"/>
      <c r="S526" s="571"/>
      <c r="T526" s="571"/>
      <c r="U526" s="571"/>
      <c r="V526" s="571"/>
      <c r="W526" s="571"/>
      <c r="X526" s="571"/>
      <c r="Y526" s="571"/>
      <c r="Z526" s="571"/>
    </row>
    <row r="527" spans="1:26" ht="18.75" hidden="1">
      <c r="A527" s="592"/>
      <c r="B527" s="600"/>
      <c r="C527" s="750"/>
      <c r="D527" s="711"/>
      <c r="E527" s="750" t="s">
        <v>184</v>
      </c>
      <c r="F527" s="750"/>
      <c r="G527" s="596"/>
      <c r="H527" s="165" t="s">
        <v>12</v>
      </c>
      <c r="I527" s="610"/>
      <c r="J527" s="610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597"/>
      <c r="R527" s="597"/>
      <c r="S527" s="597"/>
      <c r="T527" s="597"/>
      <c r="U527" s="597"/>
      <c r="V527" s="597"/>
      <c r="W527" s="597"/>
      <c r="X527" s="597"/>
      <c r="Y527" s="597"/>
      <c r="Z527" s="597"/>
    </row>
    <row r="528" spans="1:26" ht="18.75" hidden="1">
      <c r="A528" s="592"/>
      <c r="B528" s="600"/>
      <c r="C528" s="750"/>
      <c r="D528" s="711"/>
      <c r="E528" s="750" t="s">
        <v>185</v>
      </c>
      <c r="F528" s="750"/>
      <c r="G528" s="596"/>
      <c r="H528" s="165" t="s">
        <v>12</v>
      </c>
      <c r="I528" s="610"/>
      <c r="J528" s="610"/>
      <c r="K528" s="93"/>
      <c r="L528" s="93">
        <f ca="1">IFERROR(__xludf.DUMMYFUNCTION("IMPORTRANGE(""https://docs.google.com/spreadsheets/d/1QqKyyYR6Q21VydFLVH3TRQUabQu_ym0Zz7PgGX0-kHA/edit?usp=sharing"",""แผน!GQ65"")"),0)</f>
        <v>0</v>
      </c>
      <c r="M528" s="93">
        <v>0</v>
      </c>
      <c r="N528" s="93">
        <f>N529+N530+N531+N532</f>
        <v>0</v>
      </c>
      <c r="O528" s="93">
        <f t="shared" ca="1" si="227"/>
        <v>0</v>
      </c>
      <c r="P528" s="93">
        <f t="shared" si="228"/>
        <v>0</v>
      </c>
      <c r="Q528" s="597"/>
      <c r="R528" s="597"/>
      <c r="S528" s="597"/>
      <c r="T528" s="597"/>
      <c r="U528" s="597"/>
      <c r="V528" s="597"/>
      <c r="W528" s="597"/>
      <c r="X528" s="597"/>
      <c r="Y528" s="597"/>
      <c r="Z528" s="597"/>
    </row>
    <row r="529" spans="1:26" ht="18.75" hidden="1">
      <c r="A529" s="567"/>
      <c r="B529" s="568"/>
      <c r="C529" s="754"/>
      <c r="D529" s="754"/>
      <c r="E529" s="754"/>
      <c r="F529" s="754" t="s">
        <v>186</v>
      </c>
      <c r="G529" s="189"/>
      <c r="H529" s="161" t="s">
        <v>12</v>
      </c>
      <c r="I529" s="269"/>
      <c r="J529" s="269"/>
      <c r="K529" s="496"/>
      <c r="L529" s="496"/>
      <c r="M529" s="496"/>
      <c r="N529" s="817">
        <v>0</v>
      </c>
      <c r="O529" s="496"/>
      <c r="P529" s="496"/>
      <c r="Q529" s="571"/>
      <c r="R529" s="571"/>
      <c r="S529" s="571"/>
      <c r="T529" s="571"/>
      <c r="U529" s="571"/>
      <c r="V529" s="571"/>
      <c r="W529" s="571"/>
      <c r="X529" s="571"/>
      <c r="Y529" s="571"/>
      <c r="Z529" s="571"/>
    </row>
    <row r="530" spans="1:26" ht="18.75" hidden="1">
      <c r="A530" s="567"/>
      <c r="B530" s="568"/>
      <c r="C530" s="754"/>
      <c r="D530" s="754"/>
      <c r="E530" s="754"/>
      <c r="F530" s="754" t="s">
        <v>187</v>
      </c>
      <c r="G530" s="189"/>
      <c r="H530" s="161" t="s">
        <v>12</v>
      </c>
      <c r="I530" s="269"/>
      <c r="J530" s="269"/>
      <c r="K530" s="496"/>
      <c r="L530" s="496"/>
      <c r="M530" s="496"/>
      <c r="N530" s="817">
        <v>0</v>
      </c>
      <c r="O530" s="496"/>
      <c r="P530" s="496"/>
      <c r="Q530" s="571"/>
      <c r="R530" s="571"/>
      <c r="S530" s="571"/>
      <c r="T530" s="571"/>
      <c r="U530" s="571"/>
      <c r="V530" s="571"/>
      <c r="W530" s="571"/>
      <c r="X530" s="571"/>
      <c r="Y530" s="571"/>
      <c r="Z530" s="571"/>
    </row>
    <row r="531" spans="1:26" ht="18.75" hidden="1">
      <c r="A531" s="567"/>
      <c r="B531" s="568"/>
      <c r="C531" s="754"/>
      <c r="D531" s="754"/>
      <c r="E531" s="754"/>
      <c r="F531" s="754" t="s">
        <v>188</v>
      </c>
      <c r="G531" s="189"/>
      <c r="H531" s="161" t="s">
        <v>12</v>
      </c>
      <c r="I531" s="269"/>
      <c r="J531" s="269"/>
      <c r="K531" s="496"/>
      <c r="L531" s="496"/>
      <c r="M531" s="496"/>
      <c r="N531" s="817">
        <v>0</v>
      </c>
      <c r="O531" s="496"/>
      <c r="P531" s="496"/>
      <c r="Q531" s="571"/>
      <c r="R531" s="571"/>
      <c r="S531" s="571"/>
      <c r="T531" s="571"/>
      <c r="U531" s="571"/>
      <c r="V531" s="571"/>
      <c r="W531" s="571"/>
      <c r="X531" s="571"/>
      <c r="Y531" s="571"/>
      <c r="Z531" s="571"/>
    </row>
    <row r="532" spans="1:26" ht="18.75" hidden="1">
      <c r="A532" s="567"/>
      <c r="B532" s="568"/>
      <c r="C532" s="754"/>
      <c r="D532" s="754"/>
      <c r="E532" s="754"/>
      <c r="F532" s="754" t="s">
        <v>189</v>
      </c>
      <c r="G532" s="189"/>
      <c r="H532" s="161" t="s">
        <v>12</v>
      </c>
      <c r="I532" s="269"/>
      <c r="J532" s="269"/>
      <c r="K532" s="496"/>
      <c r="L532" s="496"/>
      <c r="M532" s="496"/>
      <c r="N532" s="817">
        <v>0</v>
      </c>
      <c r="O532" s="496"/>
      <c r="P532" s="496"/>
      <c r="Q532" s="571"/>
      <c r="R532" s="571"/>
      <c r="S532" s="571"/>
      <c r="T532" s="571"/>
      <c r="U532" s="571"/>
      <c r="V532" s="571"/>
      <c r="W532" s="571"/>
      <c r="X532" s="571"/>
      <c r="Y532" s="571"/>
      <c r="Z532" s="571"/>
    </row>
    <row r="533" spans="1:26" ht="18.75" hidden="1">
      <c r="A533" s="590"/>
      <c r="B533" s="568"/>
      <c r="C533" s="754"/>
      <c r="D533" s="599" t="s">
        <v>21</v>
      </c>
      <c r="E533" s="754"/>
      <c r="F533" s="754"/>
      <c r="G533" s="189"/>
      <c r="H533" s="168" t="s">
        <v>12</v>
      </c>
      <c r="I533" s="184"/>
      <c r="J533" s="184"/>
      <c r="K533" s="163"/>
      <c r="L533" s="496">
        <f t="shared" ref="L533:N533" ca="1" si="231">L534+L535</f>
        <v>0</v>
      </c>
      <c r="M533" s="496">
        <f t="shared" si="231"/>
        <v>0</v>
      </c>
      <c r="N533" s="496">
        <f t="shared" si="231"/>
        <v>0</v>
      </c>
      <c r="O533" s="496">
        <f t="shared" ref="O533:O535" ca="1" si="232">IF(L533&gt;0,N533*100/L533,0)</f>
        <v>0</v>
      </c>
      <c r="P533" s="496">
        <f t="shared" ref="P533:P535" si="233">IF(M533&gt;0,N533*100/M533,0)</f>
        <v>0</v>
      </c>
      <c r="Q533" s="571"/>
      <c r="R533" s="571"/>
      <c r="S533" s="571"/>
      <c r="T533" s="571"/>
      <c r="U533" s="571"/>
      <c r="V533" s="571"/>
      <c r="W533" s="571"/>
      <c r="X533" s="571"/>
      <c r="Y533" s="571"/>
      <c r="Z533" s="571"/>
    </row>
    <row r="534" spans="1:26" ht="18.75" hidden="1">
      <c r="A534" s="592"/>
      <c r="B534" s="600"/>
      <c r="C534" s="750"/>
      <c r="D534" s="750"/>
      <c r="E534" s="750" t="s">
        <v>18</v>
      </c>
      <c r="F534" s="750"/>
      <c r="G534" s="596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597"/>
      <c r="R534" s="597"/>
      <c r="S534" s="597"/>
      <c r="T534" s="597"/>
      <c r="U534" s="597"/>
      <c r="V534" s="597"/>
      <c r="W534" s="597"/>
      <c r="X534" s="597"/>
      <c r="Y534" s="597"/>
      <c r="Z534" s="597"/>
    </row>
    <row r="535" spans="1:26" ht="18.75" hidden="1">
      <c r="A535" s="592"/>
      <c r="B535" s="600"/>
      <c r="C535" s="750"/>
      <c r="D535" s="750"/>
      <c r="E535" s="750" t="s">
        <v>19</v>
      </c>
      <c r="F535" s="750"/>
      <c r="G535" s="596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IFERROR(__xludf.DUMMYFUNCTION("IMPORTRANGE(""https://docs.google.com/spreadsheets/d/1QqKyyYR6Q21VydFLVH3TRQUabQu_ym0Zz7PgGX0-kHA/edit?usp=sharing"",""แผน!GT65"")"),0)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597"/>
      <c r="R535" s="597"/>
      <c r="S535" s="597"/>
      <c r="T535" s="597"/>
      <c r="U535" s="597"/>
      <c r="V535" s="597"/>
      <c r="W535" s="597"/>
      <c r="X535" s="597"/>
      <c r="Y535" s="597"/>
      <c r="Z535" s="597"/>
    </row>
    <row r="536" spans="1:26" ht="19.5" hidden="1">
      <c r="A536" s="601"/>
      <c r="B536" s="611"/>
      <c r="C536" s="754" t="s">
        <v>16</v>
      </c>
      <c r="D536" s="839" t="s">
        <v>38</v>
      </c>
      <c r="E536" s="752"/>
      <c r="F536" s="752"/>
      <c r="G536" s="606"/>
      <c r="H536" s="753"/>
      <c r="I536" s="184"/>
      <c r="J536" s="184"/>
      <c r="K536" s="163"/>
      <c r="L536" s="163"/>
      <c r="M536" s="163"/>
      <c r="N536" s="163"/>
      <c r="O536" s="163"/>
      <c r="P536" s="163"/>
      <c r="Q536" s="571"/>
      <c r="R536" s="571"/>
      <c r="S536" s="571"/>
      <c r="T536" s="571"/>
      <c r="U536" s="571"/>
      <c r="V536" s="571"/>
      <c r="W536" s="571"/>
      <c r="X536" s="571"/>
      <c r="Y536" s="571"/>
      <c r="Z536" s="571"/>
    </row>
    <row r="537" spans="1:26" ht="19.5" hidden="1">
      <c r="A537" s="567"/>
      <c r="B537" s="568"/>
      <c r="C537" s="754"/>
      <c r="D537" s="754" t="s">
        <v>227</v>
      </c>
      <c r="E537" s="754"/>
      <c r="F537" s="754"/>
      <c r="G537" s="189"/>
      <c r="H537" s="616" t="s">
        <v>35</v>
      </c>
      <c r="I537" s="674">
        <f ca="1">IFERROR(__xludf.DUMMYFUNCTION("IMPORTRANGE(""https://docs.google.com/spreadsheets/d/1QqKyyYR6Q21VydFLVH3TRQUabQu_ym0Zz7PgGX0-kHA/edit?usp=sharing"",""แผน!GU65"")"),0)</f>
        <v>0</v>
      </c>
      <c r="J537" s="674">
        <f ca="1">IF(AND(J538=I538,J539=I539,J540=I540,J541=I541),I537,0)</f>
        <v>0</v>
      </c>
      <c r="K537" s="496">
        <f t="shared" ref="K537:K543" ca="1" si="234">IF(I537&gt;0,J537*100/I537,0)</f>
        <v>0</v>
      </c>
      <c r="L537" s="496"/>
      <c r="M537" s="496"/>
      <c r="N537" s="496"/>
      <c r="O537" s="496"/>
      <c r="P537" s="496"/>
      <c r="Q537" s="675"/>
      <c r="R537" s="675"/>
      <c r="S537" s="675"/>
      <c r="T537" s="675"/>
      <c r="U537" s="675"/>
      <c r="V537" s="675"/>
      <c r="W537" s="675"/>
      <c r="X537" s="675"/>
      <c r="Y537" s="675"/>
      <c r="Z537" s="675"/>
    </row>
    <row r="538" spans="1:26" ht="18.75" hidden="1">
      <c r="A538" s="567"/>
      <c r="B538" s="568"/>
      <c r="C538" s="754"/>
      <c r="D538" s="754"/>
      <c r="E538" s="754" t="s">
        <v>228</v>
      </c>
      <c r="F538" s="754"/>
      <c r="G538" s="189"/>
      <c r="H538" s="616" t="s">
        <v>35</v>
      </c>
      <c r="I538" s="269">
        <f ca="1">IFERROR(__xludf.DUMMYFUNCTION("IMPORTRANGE(""https://docs.google.com/spreadsheets/d/1QqKyyYR6Q21VydFLVH3TRQUabQu_ym0Zz7PgGX0-kHA/edit?usp=sharing"",""แผน!GV65"")"),0)</f>
        <v>0</v>
      </c>
      <c r="J538" s="214">
        <v>0</v>
      </c>
      <c r="K538" s="496">
        <f t="shared" ca="1" si="234"/>
        <v>0</v>
      </c>
      <c r="L538" s="496"/>
      <c r="M538" s="496"/>
      <c r="N538" s="496"/>
      <c r="O538" s="496"/>
      <c r="P538" s="496"/>
      <c r="Q538" s="675"/>
      <c r="R538" s="675"/>
      <c r="S538" s="675"/>
      <c r="T538" s="675"/>
      <c r="U538" s="675"/>
      <c r="V538" s="675"/>
      <c r="W538" s="675"/>
      <c r="X538" s="675"/>
      <c r="Y538" s="675"/>
      <c r="Z538" s="675"/>
    </row>
    <row r="539" spans="1:26" ht="18.75" hidden="1">
      <c r="A539" s="567"/>
      <c r="B539" s="568"/>
      <c r="C539" s="754"/>
      <c r="D539" s="754"/>
      <c r="E539" s="754" t="s">
        <v>229</v>
      </c>
      <c r="F539" s="754"/>
      <c r="G539" s="189"/>
      <c r="H539" s="616" t="s">
        <v>35</v>
      </c>
      <c r="I539" s="269">
        <f ca="1">IFERROR(__xludf.DUMMYFUNCTION("IMPORTRANGE(""https://docs.google.com/spreadsheets/d/1QqKyyYR6Q21VydFLVH3TRQUabQu_ym0Zz7PgGX0-kHA/edit?usp=sharing"",""แผน!GW65"")"),0)</f>
        <v>0</v>
      </c>
      <c r="J539" s="214">
        <v>0</v>
      </c>
      <c r="K539" s="496">
        <f t="shared" ca="1" si="234"/>
        <v>0</v>
      </c>
      <c r="L539" s="496"/>
      <c r="M539" s="496"/>
      <c r="N539" s="496"/>
      <c r="O539" s="496"/>
      <c r="P539" s="496"/>
      <c r="Q539" s="675"/>
      <c r="R539" s="675"/>
      <c r="S539" s="675"/>
      <c r="T539" s="675"/>
      <c r="U539" s="675"/>
      <c r="V539" s="675"/>
      <c r="W539" s="675"/>
      <c r="X539" s="675"/>
      <c r="Y539" s="675"/>
      <c r="Z539" s="675"/>
    </row>
    <row r="540" spans="1:26" ht="18.75" hidden="1">
      <c r="A540" s="567"/>
      <c r="B540" s="568"/>
      <c r="C540" s="754"/>
      <c r="D540" s="754"/>
      <c r="E540" s="754" t="s">
        <v>230</v>
      </c>
      <c r="F540" s="754"/>
      <c r="G540" s="189"/>
      <c r="H540" s="616" t="s">
        <v>35</v>
      </c>
      <c r="I540" s="269">
        <f ca="1">IFERROR(__xludf.DUMMYFUNCTION("IMPORTRANGE(""https://docs.google.com/spreadsheets/d/1QqKyyYR6Q21VydFLVH3TRQUabQu_ym0Zz7PgGX0-kHA/edit?usp=sharing"",""แผน!GX65"")"),0)</f>
        <v>0</v>
      </c>
      <c r="J540" s="214">
        <v>0</v>
      </c>
      <c r="K540" s="496">
        <f t="shared" ca="1" si="234"/>
        <v>0</v>
      </c>
      <c r="L540" s="496"/>
      <c r="M540" s="496"/>
      <c r="N540" s="496"/>
      <c r="O540" s="496"/>
      <c r="P540" s="496"/>
      <c r="Q540" s="675"/>
      <c r="R540" s="675"/>
      <c r="S540" s="675"/>
      <c r="T540" s="675"/>
      <c r="U540" s="675"/>
      <c r="V540" s="675"/>
      <c r="W540" s="675"/>
      <c r="X540" s="675"/>
      <c r="Y540" s="675"/>
      <c r="Z540" s="675"/>
    </row>
    <row r="541" spans="1:26" ht="18.75" hidden="1">
      <c r="A541" s="567"/>
      <c r="B541" s="568"/>
      <c r="C541" s="754"/>
      <c r="D541" s="754"/>
      <c r="E541" s="760" t="s">
        <v>231</v>
      </c>
      <c r="F541" s="754"/>
      <c r="G541" s="189"/>
      <c r="H541" s="616" t="s">
        <v>35</v>
      </c>
      <c r="I541" s="269">
        <f ca="1">IFERROR(__xludf.DUMMYFUNCTION("IMPORTRANGE(""https://docs.google.com/spreadsheets/d/1QqKyyYR6Q21VydFLVH3TRQUabQu_ym0Zz7PgGX0-kHA/edit?usp=sharing"",""แผน!GY65"")"),0)</f>
        <v>0</v>
      </c>
      <c r="J541" s="214">
        <v>0</v>
      </c>
      <c r="K541" s="496">
        <f t="shared" ca="1" si="234"/>
        <v>0</v>
      </c>
      <c r="L541" s="496"/>
      <c r="M541" s="496"/>
      <c r="N541" s="496"/>
      <c r="O541" s="496"/>
      <c r="P541" s="496"/>
      <c r="Q541" s="675"/>
      <c r="R541" s="675"/>
      <c r="S541" s="675"/>
      <c r="T541" s="675"/>
      <c r="U541" s="675"/>
      <c r="V541" s="675"/>
      <c r="W541" s="675"/>
      <c r="X541" s="675"/>
      <c r="Y541" s="675"/>
      <c r="Z541" s="675"/>
    </row>
    <row r="542" spans="1:26" ht="18.75" hidden="1">
      <c r="A542" s="567"/>
      <c r="B542" s="568"/>
      <c r="C542" s="754"/>
      <c r="D542" s="754" t="s">
        <v>59</v>
      </c>
      <c r="E542" s="754"/>
      <c r="F542" s="754"/>
      <c r="G542" s="189"/>
      <c r="H542" s="616" t="s">
        <v>35</v>
      </c>
      <c r="I542" s="269">
        <f ca="1">IFERROR(__xludf.DUMMYFUNCTION("IMPORTRANGE(""https://docs.google.com/spreadsheets/d/1QqKyyYR6Q21VydFLVH3TRQUabQu_ym0Zz7PgGX0-kHA/edit?usp=sharing"",""แผน!GZ65"")"),0)</f>
        <v>0</v>
      </c>
      <c r="J542" s="214">
        <v>0</v>
      </c>
      <c r="K542" s="496">
        <f t="shared" ca="1" si="234"/>
        <v>0</v>
      </c>
      <c r="L542" s="496"/>
      <c r="M542" s="496"/>
      <c r="N542" s="496"/>
      <c r="O542" s="496"/>
      <c r="P542" s="496"/>
      <c r="Q542" s="675"/>
      <c r="R542" s="675"/>
      <c r="S542" s="675"/>
      <c r="T542" s="675"/>
      <c r="U542" s="675"/>
      <c r="V542" s="675"/>
      <c r="W542" s="675"/>
      <c r="X542" s="675"/>
      <c r="Y542" s="675"/>
      <c r="Z542" s="675"/>
    </row>
    <row r="543" spans="1:26" ht="19.5">
      <c r="A543" s="657">
        <v>6</v>
      </c>
      <c r="B543" s="678" t="s">
        <v>232</v>
      </c>
      <c r="C543" s="660"/>
      <c r="D543" s="660"/>
      <c r="E543" s="660"/>
      <c r="F543" s="660"/>
      <c r="G543" s="661"/>
      <c r="H543" s="679" t="s">
        <v>46</v>
      </c>
      <c r="I543" s="680">
        <f t="shared" ref="I543:J543" ca="1" si="235">I559</f>
        <v>0</v>
      </c>
      <c r="J543" s="680">
        <f t="shared" si="235"/>
        <v>0</v>
      </c>
      <c r="K543" s="681">
        <f t="shared" ca="1" si="234"/>
        <v>0</v>
      </c>
      <c r="L543" s="663"/>
      <c r="M543" s="663"/>
      <c r="N543" s="663"/>
      <c r="O543" s="663"/>
      <c r="P543" s="663"/>
      <c r="Q543" s="571"/>
      <c r="R543" s="571"/>
      <c r="S543" s="571"/>
      <c r="T543" s="571"/>
      <c r="U543" s="571"/>
      <c r="V543" s="571"/>
      <c r="W543" s="571"/>
      <c r="X543" s="571"/>
      <c r="Y543" s="571"/>
      <c r="Z543" s="571"/>
    </row>
    <row r="544" spans="1:26" ht="19.5">
      <c r="A544" s="682"/>
      <c r="B544" s="683"/>
      <c r="C544" s="683" t="s">
        <v>16</v>
      </c>
      <c r="D544" s="867" t="s">
        <v>17</v>
      </c>
      <c r="E544" s="862"/>
      <c r="F544" s="862"/>
      <c r="G544" s="684"/>
      <c r="H544" s="274" t="s">
        <v>12</v>
      </c>
      <c r="I544" s="419"/>
      <c r="J544" s="419"/>
      <c r="K544" s="154"/>
      <c r="L544" s="155">
        <f t="shared" ref="L544:N544" ca="1" si="236">L545+L546</f>
        <v>218300</v>
      </c>
      <c r="M544" s="155">
        <f t="shared" si="236"/>
        <v>0</v>
      </c>
      <c r="N544" s="155">
        <f t="shared" si="236"/>
        <v>0</v>
      </c>
      <c r="O544" s="155">
        <f t="shared" ref="O544:O549" ca="1" si="237">IF(L544&gt;0,N544*100/L544,0)</f>
        <v>0</v>
      </c>
      <c r="P544" s="155">
        <f t="shared" ref="P544:P549" si="238">IF(M544&gt;0,N544*100/M544,0)</f>
        <v>0</v>
      </c>
      <c r="Q544" s="571"/>
      <c r="R544" s="571"/>
      <c r="S544" s="571"/>
      <c r="T544" s="571"/>
      <c r="U544" s="571"/>
      <c r="V544" s="571"/>
      <c r="W544" s="571"/>
      <c r="X544" s="571"/>
      <c r="Y544" s="571"/>
      <c r="Z544" s="571"/>
    </row>
    <row r="545" spans="1:26" ht="18.75" hidden="1">
      <c r="A545" s="592"/>
      <c r="B545" s="750"/>
      <c r="C545" s="750"/>
      <c r="D545" s="750"/>
      <c r="E545" s="750" t="s">
        <v>184</v>
      </c>
      <c r="F545" s="750"/>
      <c r="G545" s="596"/>
      <c r="H545" s="165" t="s">
        <v>12</v>
      </c>
      <c r="I545" s="610"/>
      <c r="J545" s="610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597"/>
      <c r="R545" s="597"/>
      <c r="S545" s="597"/>
      <c r="T545" s="597"/>
      <c r="U545" s="597"/>
      <c r="V545" s="597"/>
      <c r="W545" s="597"/>
      <c r="X545" s="597"/>
      <c r="Y545" s="597"/>
      <c r="Z545" s="597"/>
    </row>
    <row r="546" spans="1:26" ht="18.75" hidden="1">
      <c r="A546" s="592"/>
      <c r="B546" s="600"/>
      <c r="C546" s="750"/>
      <c r="D546" s="750"/>
      <c r="E546" s="750" t="s">
        <v>185</v>
      </c>
      <c r="F546" s="750"/>
      <c r="G546" s="596"/>
      <c r="H546" s="165" t="s">
        <v>12</v>
      </c>
      <c r="I546" s="610"/>
      <c r="J546" s="610"/>
      <c r="K546" s="93"/>
      <c r="L546" s="93">
        <f t="shared" ca="1" si="239"/>
        <v>218300</v>
      </c>
      <c r="M546" s="93">
        <f t="shared" si="240"/>
        <v>0</v>
      </c>
      <c r="N546" s="93">
        <f t="shared" si="240"/>
        <v>0</v>
      </c>
      <c r="O546" s="93">
        <f t="shared" ca="1" si="237"/>
        <v>0</v>
      </c>
      <c r="P546" s="93">
        <f t="shared" si="238"/>
        <v>0</v>
      </c>
      <c r="Q546" s="597"/>
      <c r="R546" s="597"/>
      <c r="S546" s="597"/>
      <c r="T546" s="597"/>
      <c r="U546" s="597"/>
      <c r="V546" s="597"/>
      <c r="W546" s="597"/>
      <c r="X546" s="597"/>
      <c r="Y546" s="597"/>
      <c r="Z546" s="597"/>
    </row>
    <row r="547" spans="1:26" ht="18.75">
      <c r="A547" s="590"/>
      <c r="B547" s="568"/>
      <c r="C547" s="754"/>
      <c r="D547" s="599" t="s">
        <v>20</v>
      </c>
      <c r="E547" s="754"/>
      <c r="F547" s="754"/>
      <c r="G547" s="189"/>
      <c r="H547" s="161" t="s">
        <v>12</v>
      </c>
      <c r="I547" s="184"/>
      <c r="J547" s="184"/>
      <c r="K547" s="163"/>
      <c r="L547" s="496">
        <f t="shared" ref="L547:N547" ca="1" si="241">L548+L549</f>
        <v>218300</v>
      </c>
      <c r="M547" s="496">
        <f t="shared" si="241"/>
        <v>0</v>
      </c>
      <c r="N547" s="496">
        <f t="shared" si="241"/>
        <v>0</v>
      </c>
      <c r="O547" s="496">
        <f t="shared" ca="1" si="237"/>
        <v>0</v>
      </c>
      <c r="P547" s="496">
        <f t="shared" si="238"/>
        <v>0</v>
      </c>
      <c r="Q547" s="571"/>
      <c r="R547" s="571"/>
      <c r="S547" s="571"/>
      <c r="T547" s="571"/>
      <c r="U547" s="571"/>
      <c r="V547" s="571"/>
      <c r="W547" s="571"/>
      <c r="X547" s="571"/>
      <c r="Y547" s="571"/>
      <c r="Z547" s="571"/>
    </row>
    <row r="548" spans="1:26" ht="18.75" hidden="1">
      <c r="A548" s="592"/>
      <c r="B548" s="600"/>
      <c r="C548" s="750"/>
      <c r="D548" s="711"/>
      <c r="E548" s="750" t="s">
        <v>184</v>
      </c>
      <c r="F548" s="750"/>
      <c r="G548" s="596"/>
      <c r="H548" s="165" t="s">
        <v>12</v>
      </c>
      <c r="I548" s="610"/>
      <c r="J548" s="610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597"/>
      <c r="R548" s="597"/>
      <c r="S548" s="597"/>
      <c r="T548" s="597"/>
      <c r="U548" s="597"/>
      <c r="V548" s="597"/>
      <c r="W548" s="597"/>
      <c r="X548" s="597"/>
      <c r="Y548" s="597"/>
      <c r="Z548" s="597"/>
    </row>
    <row r="549" spans="1:26" ht="18.75" hidden="1">
      <c r="A549" s="592"/>
      <c r="B549" s="600"/>
      <c r="C549" s="750"/>
      <c r="D549" s="711"/>
      <c r="E549" s="750" t="s">
        <v>185</v>
      </c>
      <c r="F549" s="750"/>
      <c r="G549" s="596"/>
      <c r="H549" s="165" t="s">
        <v>12</v>
      </c>
      <c r="I549" s="610"/>
      <c r="J549" s="610"/>
      <c r="K549" s="93"/>
      <c r="L549" s="93">
        <f ca="1">IFERROR(__xludf.DUMMYFUNCTION("IMPORTRANGE(""https://docs.google.com/spreadsheets/d/1QqKyyYR6Q21VydFLVH3TRQUabQu_ym0Zz7PgGX0-kHA/edit?usp=sharing"",""แผน!HB65"")"),218300)</f>
        <v>218300</v>
      </c>
      <c r="M549" s="93">
        <v>0</v>
      </c>
      <c r="N549" s="93">
        <f>N550+N551+N552+N553+N554</f>
        <v>0</v>
      </c>
      <c r="O549" s="93">
        <f t="shared" ca="1" si="237"/>
        <v>0</v>
      </c>
      <c r="P549" s="93">
        <f t="shared" si="238"/>
        <v>0</v>
      </c>
      <c r="Q549" s="597"/>
      <c r="R549" s="597"/>
      <c r="S549" s="597"/>
      <c r="T549" s="597"/>
      <c r="U549" s="597"/>
      <c r="V549" s="597"/>
      <c r="W549" s="597"/>
      <c r="X549" s="597"/>
      <c r="Y549" s="597"/>
      <c r="Z549" s="597"/>
    </row>
    <row r="550" spans="1:26" ht="18.75">
      <c r="A550" s="567"/>
      <c r="B550" s="568"/>
      <c r="C550" s="754"/>
      <c r="D550" s="754"/>
      <c r="E550" s="754"/>
      <c r="F550" s="754" t="s">
        <v>186</v>
      </c>
      <c r="G550" s="189"/>
      <c r="H550" s="161" t="s">
        <v>12</v>
      </c>
      <c r="I550" s="269"/>
      <c r="J550" s="269"/>
      <c r="K550" s="496"/>
      <c r="L550" s="496"/>
      <c r="M550" s="496"/>
      <c r="N550" s="817">
        <v>0</v>
      </c>
      <c r="O550" s="496"/>
      <c r="P550" s="496"/>
      <c r="Q550" s="571"/>
      <c r="R550" s="571"/>
      <c r="S550" s="571"/>
      <c r="T550" s="571"/>
      <c r="U550" s="571"/>
      <c r="V550" s="571"/>
      <c r="W550" s="571"/>
      <c r="X550" s="571"/>
      <c r="Y550" s="571"/>
      <c r="Z550" s="571"/>
    </row>
    <row r="551" spans="1:26" ht="18.75">
      <c r="A551" s="567"/>
      <c r="B551" s="568"/>
      <c r="C551" s="568"/>
      <c r="D551" s="568"/>
      <c r="E551" s="754"/>
      <c r="F551" s="754" t="s">
        <v>187</v>
      </c>
      <c r="G551" s="189"/>
      <c r="H551" s="161" t="s">
        <v>12</v>
      </c>
      <c r="I551" s="269"/>
      <c r="J551" s="269"/>
      <c r="K551" s="496"/>
      <c r="L551" s="496"/>
      <c r="M551" s="496"/>
      <c r="N551" s="817">
        <v>0</v>
      </c>
      <c r="O551" s="496"/>
      <c r="P551" s="496"/>
      <c r="Q551" s="571"/>
      <c r="R551" s="571"/>
      <c r="S551" s="571"/>
      <c r="T551" s="571"/>
      <c r="U551" s="571"/>
      <c r="V551" s="571"/>
      <c r="W551" s="571"/>
      <c r="X551" s="571"/>
      <c r="Y551" s="571"/>
      <c r="Z551" s="571"/>
    </row>
    <row r="552" spans="1:26" ht="18.75">
      <c r="A552" s="567"/>
      <c r="B552" s="568"/>
      <c r="C552" s="754"/>
      <c r="D552" s="754"/>
      <c r="E552" s="754"/>
      <c r="F552" s="754" t="s">
        <v>188</v>
      </c>
      <c r="G552" s="189"/>
      <c r="H552" s="161" t="s">
        <v>12</v>
      </c>
      <c r="I552" s="269"/>
      <c r="J552" s="269"/>
      <c r="K552" s="496"/>
      <c r="L552" s="496"/>
      <c r="M552" s="496"/>
      <c r="N552" s="817">
        <v>0</v>
      </c>
      <c r="O552" s="496"/>
      <c r="P552" s="496"/>
      <c r="Q552" s="571"/>
      <c r="R552" s="571"/>
      <c r="S552" s="571"/>
      <c r="T552" s="571"/>
      <c r="U552" s="571"/>
      <c r="V552" s="571"/>
      <c r="W552" s="571"/>
      <c r="X552" s="571"/>
      <c r="Y552" s="571"/>
      <c r="Z552" s="571"/>
    </row>
    <row r="553" spans="1:26" ht="18.75">
      <c r="A553" s="567"/>
      <c r="B553" s="568"/>
      <c r="C553" s="568"/>
      <c r="D553" s="568"/>
      <c r="E553" s="754"/>
      <c r="F553" s="754" t="s">
        <v>189</v>
      </c>
      <c r="G553" s="189"/>
      <c r="H553" s="161" t="s">
        <v>12</v>
      </c>
      <c r="I553" s="269"/>
      <c r="J553" s="269"/>
      <c r="K553" s="496"/>
      <c r="L553" s="496"/>
      <c r="M553" s="496"/>
      <c r="N553" s="817">
        <v>0</v>
      </c>
      <c r="O553" s="496"/>
      <c r="P553" s="496"/>
      <c r="Q553" s="571"/>
      <c r="R553" s="571"/>
      <c r="S553" s="571"/>
      <c r="T553" s="571"/>
      <c r="U553" s="571"/>
      <c r="V553" s="571"/>
      <c r="W553" s="571"/>
      <c r="X553" s="571"/>
      <c r="Y553" s="571"/>
      <c r="Z553" s="571"/>
    </row>
    <row r="554" spans="1:26" ht="18.75">
      <c r="A554" s="567"/>
      <c r="B554" s="568"/>
      <c r="C554" s="568"/>
      <c r="D554" s="568"/>
      <c r="E554" s="754"/>
      <c r="F554" s="754" t="s">
        <v>233</v>
      </c>
      <c r="G554" s="189"/>
      <c r="H554" s="161" t="s">
        <v>12</v>
      </c>
      <c r="I554" s="269"/>
      <c r="J554" s="269"/>
      <c r="K554" s="496"/>
      <c r="L554" s="496"/>
      <c r="M554" s="496"/>
      <c r="N554" s="817">
        <v>0</v>
      </c>
      <c r="O554" s="496"/>
      <c r="P554" s="496"/>
      <c r="Q554" s="571"/>
      <c r="R554" s="571"/>
      <c r="S554" s="571"/>
      <c r="T554" s="571"/>
      <c r="U554" s="571"/>
      <c r="V554" s="571"/>
      <c r="W554" s="571"/>
      <c r="X554" s="571"/>
      <c r="Y554" s="571"/>
      <c r="Z554" s="571"/>
    </row>
    <row r="555" spans="1:26" ht="18.75">
      <c r="A555" s="590"/>
      <c r="B555" s="568"/>
      <c r="C555" s="568"/>
      <c r="D555" s="599" t="s">
        <v>21</v>
      </c>
      <c r="E555" s="754"/>
      <c r="F555" s="754"/>
      <c r="G555" s="189"/>
      <c r="H555" s="168" t="s">
        <v>12</v>
      </c>
      <c r="I555" s="184"/>
      <c r="J555" s="184"/>
      <c r="K555" s="163"/>
      <c r="L555" s="496">
        <f t="shared" ref="L555:N555" ca="1" si="242">L556+L557</f>
        <v>0</v>
      </c>
      <c r="M555" s="496">
        <f t="shared" si="242"/>
        <v>0</v>
      </c>
      <c r="N555" s="496">
        <f t="shared" si="242"/>
        <v>0</v>
      </c>
      <c r="O555" s="496">
        <f t="shared" ref="O555:O557" ca="1" si="243">IF(L555&gt;0,N555*100/L555,0)</f>
        <v>0</v>
      </c>
      <c r="P555" s="496">
        <f t="shared" ref="P555:P557" si="244">IF(M555&gt;0,N555*100/M555,0)</f>
        <v>0</v>
      </c>
      <c r="Q555" s="571"/>
      <c r="R555" s="571"/>
      <c r="S555" s="571"/>
      <c r="T555" s="571"/>
      <c r="U555" s="571"/>
      <c r="V555" s="571"/>
      <c r="W555" s="571"/>
      <c r="X555" s="571"/>
      <c r="Y555" s="571"/>
      <c r="Z555" s="571"/>
    </row>
    <row r="556" spans="1:26" ht="18.75" hidden="1">
      <c r="A556" s="592"/>
      <c r="B556" s="600"/>
      <c r="C556" s="600"/>
      <c r="D556" s="750"/>
      <c r="E556" s="750" t="s">
        <v>18</v>
      </c>
      <c r="F556" s="750"/>
      <c r="G556" s="596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597"/>
      <c r="R556" s="597"/>
      <c r="S556" s="597"/>
      <c r="T556" s="597"/>
      <c r="U556" s="597"/>
      <c r="V556" s="597"/>
      <c r="W556" s="597"/>
      <c r="X556" s="597"/>
      <c r="Y556" s="597"/>
      <c r="Z556" s="597"/>
    </row>
    <row r="557" spans="1:26" ht="18.75" hidden="1">
      <c r="A557" s="592"/>
      <c r="B557" s="600"/>
      <c r="C557" s="600"/>
      <c r="D557" s="750"/>
      <c r="E557" s="750" t="s">
        <v>19</v>
      </c>
      <c r="F557" s="750"/>
      <c r="G557" s="596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IFERROR(__xludf.DUMMYFUNCTION("IMPORTRANGE(""https://docs.google.com/spreadsheets/d/1QqKyyYR6Q21VydFLVH3TRQUabQu_ym0Zz7PgGX0-kHA/edit?usp=sharing"",""แผน!HF65"")"),0)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597"/>
      <c r="R557" s="597"/>
      <c r="S557" s="597"/>
      <c r="T557" s="597"/>
      <c r="U557" s="597"/>
      <c r="V557" s="597"/>
      <c r="W557" s="597"/>
      <c r="X557" s="597"/>
      <c r="Y557" s="597"/>
      <c r="Z557" s="597"/>
    </row>
    <row r="558" spans="1:26" ht="19.5">
      <c r="A558" s="601"/>
      <c r="B558" s="611"/>
      <c r="C558" s="568" t="s">
        <v>16</v>
      </c>
      <c r="D558" s="839" t="s">
        <v>38</v>
      </c>
      <c r="E558" s="752"/>
      <c r="F558" s="752"/>
      <c r="G558" s="606"/>
      <c r="H558" s="753"/>
      <c r="I558" s="184"/>
      <c r="J558" s="184"/>
      <c r="K558" s="163"/>
      <c r="L558" s="163"/>
      <c r="M558" s="163"/>
      <c r="N558" s="163"/>
      <c r="O558" s="163"/>
      <c r="P558" s="163"/>
      <c r="Q558" s="571"/>
      <c r="R558" s="571"/>
      <c r="S558" s="571"/>
      <c r="T558" s="571"/>
      <c r="U558" s="571"/>
      <c r="V558" s="571"/>
      <c r="W558" s="571"/>
      <c r="X558" s="571"/>
      <c r="Y558" s="571"/>
      <c r="Z558" s="571"/>
    </row>
    <row r="559" spans="1:26" ht="19.5" hidden="1">
      <c r="A559" s="685"/>
      <c r="B559" s="686" t="s">
        <v>234</v>
      </c>
      <c r="C559" s="687"/>
      <c r="D559" s="687"/>
      <c r="E559" s="666"/>
      <c r="F559" s="666"/>
      <c r="G559" s="667"/>
      <c r="H559" s="688" t="s">
        <v>46</v>
      </c>
      <c r="I559" s="699">
        <f t="shared" ref="I559:J559" ca="1" si="245">I576</f>
        <v>0</v>
      </c>
      <c r="J559" s="699">
        <f t="shared" si="245"/>
        <v>0</v>
      </c>
      <c r="K559" s="670">
        <f t="shared" ref="K559:K561" ca="1" si="246">IF(I559&gt;0,J559*100/I559,0)</f>
        <v>0</v>
      </c>
      <c r="L559" s="671"/>
      <c r="M559" s="671"/>
      <c r="N559" s="671"/>
      <c r="O559" s="671"/>
      <c r="P559" s="671"/>
      <c r="Q559" s="571"/>
      <c r="R559" s="571"/>
      <c r="S559" s="571"/>
      <c r="T559" s="571"/>
      <c r="U559" s="571"/>
      <c r="V559" s="571"/>
      <c r="W559" s="571"/>
      <c r="X559" s="571"/>
      <c r="Y559" s="571"/>
      <c r="Z559" s="571"/>
    </row>
    <row r="560" spans="1:26" ht="19.5" hidden="1">
      <c r="A560" s="601"/>
      <c r="B560" s="611"/>
      <c r="C560" s="618" t="s">
        <v>235</v>
      </c>
      <c r="D560" s="611"/>
      <c r="E560" s="619"/>
      <c r="F560" s="619"/>
      <c r="G560" s="753"/>
      <c r="H560" s="758" t="s">
        <v>46</v>
      </c>
      <c r="I560" s="193">
        <f ca="1">IFERROR(__xludf.DUMMYFUNCTION("IMPORTRANGE(""https://docs.google.com/spreadsheets/d/1QqKyyYR6Q21VydFLVH3TRQUabQu_ym0Zz7PgGX0-kHA/edit?usp=sharing"",""แผน!HH65"")"),0)</f>
        <v>0</v>
      </c>
      <c r="J560" s="193">
        <f t="shared" ref="J560:J561" si="247">J562+J564+J566</f>
        <v>0</v>
      </c>
      <c r="K560" s="410">
        <f t="shared" ca="1" si="246"/>
        <v>0</v>
      </c>
      <c r="L560" s="163"/>
      <c r="M560" s="163"/>
      <c r="N560" s="163"/>
      <c r="O560" s="163"/>
      <c r="P560" s="163"/>
      <c r="Q560" s="571"/>
      <c r="R560" s="571"/>
      <c r="S560" s="571"/>
      <c r="T560" s="571"/>
      <c r="U560" s="571"/>
      <c r="V560" s="571"/>
      <c r="W560" s="571"/>
      <c r="X560" s="571"/>
      <c r="Y560" s="571"/>
      <c r="Z560" s="571"/>
    </row>
    <row r="561" spans="1:26" ht="19.5" hidden="1">
      <c r="A561" s="601"/>
      <c r="B561" s="611"/>
      <c r="C561" s="611"/>
      <c r="D561" s="619"/>
      <c r="E561" s="619"/>
      <c r="F561" s="619"/>
      <c r="G561" s="753"/>
      <c r="H561" s="758" t="s">
        <v>34</v>
      </c>
      <c r="I561" s="193">
        <f ca="1">IFERROR(__xludf.DUMMYFUNCTION("IMPORTRANGE(""https://docs.google.com/spreadsheets/d/1QqKyyYR6Q21VydFLVH3TRQUabQu_ym0Zz7PgGX0-kHA/edit?usp=sharing"",""แผน!HG65"")"),0)</f>
        <v>0</v>
      </c>
      <c r="J561" s="193">
        <f t="shared" si="247"/>
        <v>0</v>
      </c>
      <c r="K561" s="410">
        <f t="shared" ca="1" si="246"/>
        <v>0</v>
      </c>
      <c r="L561" s="163"/>
      <c r="M561" s="163"/>
      <c r="N561" s="163"/>
      <c r="O561" s="163"/>
      <c r="P561" s="163"/>
      <c r="Q561" s="571"/>
      <c r="R561" s="571"/>
      <c r="S561" s="571"/>
      <c r="T561" s="571"/>
      <c r="U561" s="571"/>
      <c r="V561" s="571"/>
      <c r="W561" s="571"/>
      <c r="X561" s="571"/>
      <c r="Y561" s="571"/>
      <c r="Z561" s="571"/>
    </row>
    <row r="562" spans="1:26" ht="18.75" hidden="1">
      <c r="A562" s="601"/>
      <c r="B562" s="611"/>
      <c r="C562" s="611"/>
      <c r="D562" s="619" t="s">
        <v>236</v>
      </c>
      <c r="E562" s="619"/>
      <c r="F562" s="619"/>
      <c r="G562" s="753"/>
      <c r="H562" s="755" t="s">
        <v>46</v>
      </c>
      <c r="I562" s="184"/>
      <c r="J562" s="214">
        <v>0</v>
      </c>
      <c r="K562" s="163"/>
      <c r="L562" s="163"/>
      <c r="M562" s="163"/>
      <c r="N562" s="163"/>
      <c r="O562" s="163"/>
      <c r="P562" s="163"/>
      <c r="Q562" s="571"/>
      <c r="R562" s="571"/>
      <c r="S562" s="571"/>
      <c r="T562" s="571"/>
      <c r="U562" s="571"/>
      <c r="V562" s="571"/>
      <c r="W562" s="571"/>
      <c r="X562" s="571"/>
      <c r="Y562" s="571"/>
      <c r="Z562" s="571"/>
    </row>
    <row r="563" spans="1:26" ht="18.75" hidden="1">
      <c r="A563" s="601"/>
      <c r="B563" s="611"/>
      <c r="C563" s="611"/>
      <c r="D563" s="611"/>
      <c r="E563" s="619"/>
      <c r="F563" s="619"/>
      <c r="G563" s="753"/>
      <c r="H563" s="755" t="s">
        <v>34</v>
      </c>
      <c r="I563" s="184"/>
      <c r="J563" s="214">
        <v>0</v>
      </c>
      <c r="K563" s="163"/>
      <c r="L563" s="163"/>
      <c r="M563" s="163"/>
      <c r="N563" s="163"/>
      <c r="O563" s="163"/>
      <c r="P563" s="163"/>
      <c r="Q563" s="571"/>
      <c r="R563" s="571"/>
      <c r="S563" s="571"/>
      <c r="T563" s="571"/>
      <c r="U563" s="571"/>
      <c r="V563" s="571"/>
      <c r="W563" s="571"/>
      <c r="X563" s="571"/>
      <c r="Y563" s="571"/>
      <c r="Z563" s="571"/>
    </row>
    <row r="564" spans="1:26" ht="18.75" hidden="1">
      <c r="A564" s="601"/>
      <c r="B564" s="611"/>
      <c r="C564" s="611"/>
      <c r="D564" s="619" t="s">
        <v>237</v>
      </c>
      <c r="E564" s="619"/>
      <c r="F564" s="619"/>
      <c r="G564" s="753"/>
      <c r="H564" s="755" t="s">
        <v>46</v>
      </c>
      <c r="I564" s="184"/>
      <c r="J564" s="214">
        <v>0</v>
      </c>
      <c r="K564" s="163"/>
      <c r="L564" s="163"/>
      <c r="M564" s="163"/>
      <c r="N564" s="163"/>
      <c r="O564" s="163"/>
      <c r="P564" s="163"/>
      <c r="Q564" s="571"/>
      <c r="R564" s="571"/>
      <c r="S564" s="571"/>
      <c r="T564" s="571"/>
      <c r="U564" s="571"/>
      <c r="V564" s="571"/>
      <c r="W564" s="571"/>
      <c r="X564" s="571"/>
      <c r="Y564" s="571"/>
      <c r="Z564" s="571"/>
    </row>
    <row r="565" spans="1:26" ht="18.75" hidden="1">
      <c r="A565" s="601"/>
      <c r="B565" s="611"/>
      <c r="C565" s="611"/>
      <c r="D565" s="619"/>
      <c r="E565" s="619"/>
      <c r="F565" s="619"/>
      <c r="G565" s="753"/>
      <c r="H565" s="755" t="s">
        <v>34</v>
      </c>
      <c r="I565" s="184"/>
      <c r="J565" s="214">
        <v>0</v>
      </c>
      <c r="K565" s="163"/>
      <c r="L565" s="163"/>
      <c r="M565" s="163"/>
      <c r="N565" s="163"/>
      <c r="O565" s="163"/>
      <c r="P565" s="163"/>
      <c r="Q565" s="571"/>
      <c r="R565" s="571"/>
      <c r="S565" s="571"/>
      <c r="T565" s="571"/>
      <c r="U565" s="571"/>
      <c r="V565" s="571"/>
      <c r="W565" s="571"/>
      <c r="X565" s="571"/>
      <c r="Y565" s="571"/>
      <c r="Z565" s="571"/>
    </row>
    <row r="566" spans="1:26" ht="18.75" hidden="1">
      <c r="A566" s="601"/>
      <c r="B566" s="611"/>
      <c r="C566" s="611"/>
      <c r="D566" s="619" t="s">
        <v>238</v>
      </c>
      <c r="E566" s="619"/>
      <c r="F566" s="619"/>
      <c r="G566" s="753"/>
      <c r="H566" s="755" t="s">
        <v>46</v>
      </c>
      <c r="I566" s="184"/>
      <c r="J566" s="214">
        <v>0</v>
      </c>
      <c r="K566" s="163"/>
      <c r="L566" s="163"/>
      <c r="M566" s="163"/>
      <c r="N566" s="163"/>
      <c r="O566" s="163"/>
      <c r="P566" s="163"/>
      <c r="Q566" s="571"/>
      <c r="R566" s="571"/>
      <c r="S566" s="571"/>
      <c r="T566" s="571"/>
      <c r="U566" s="571"/>
      <c r="V566" s="571"/>
      <c r="W566" s="571"/>
      <c r="X566" s="571"/>
      <c r="Y566" s="571"/>
      <c r="Z566" s="571"/>
    </row>
    <row r="567" spans="1:26" ht="18.75" hidden="1">
      <c r="A567" s="601"/>
      <c r="B567" s="611"/>
      <c r="C567" s="611"/>
      <c r="D567" s="619"/>
      <c r="E567" s="619"/>
      <c r="F567" s="619"/>
      <c r="G567" s="753"/>
      <c r="H567" s="755" t="s">
        <v>34</v>
      </c>
      <c r="I567" s="184"/>
      <c r="J567" s="214">
        <v>0</v>
      </c>
      <c r="K567" s="163"/>
      <c r="L567" s="163"/>
      <c r="M567" s="163"/>
      <c r="N567" s="163"/>
      <c r="O567" s="163"/>
      <c r="P567" s="163"/>
      <c r="Q567" s="571"/>
      <c r="R567" s="571"/>
      <c r="S567" s="571"/>
      <c r="T567" s="571"/>
      <c r="U567" s="571"/>
      <c r="V567" s="571"/>
      <c r="W567" s="571"/>
      <c r="X567" s="571"/>
      <c r="Y567" s="571"/>
      <c r="Z567" s="571"/>
    </row>
    <row r="568" spans="1:26" ht="19.5" hidden="1">
      <c r="A568" s="601"/>
      <c r="B568" s="611"/>
      <c r="C568" s="618" t="s">
        <v>239</v>
      </c>
      <c r="D568" s="619"/>
      <c r="E568" s="619"/>
      <c r="F568" s="619"/>
      <c r="G568" s="753"/>
      <c r="H568" s="758" t="s">
        <v>46</v>
      </c>
      <c r="I568" s="193">
        <f ca="1">IFERROR(__xludf.DUMMYFUNCTION("IMPORTRANGE(""https://docs.google.com/spreadsheets/d/1QqKyyYR6Q21VydFLVH3TRQUabQu_ym0Zz7PgGX0-kHA/edit?usp=sharing"",""แผน!HH65"")"),0)</f>
        <v>0</v>
      </c>
      <c r="J568" s="674">
        <f t="shared" ref="J568:J569" si="248">J570+J572+J574</f>
        <v>0</v>
      </c>
      <c r="K568" s="410">
        <f t="shared" ref="K568:K569" ca="1" si="249">IF(I568&gt;0,J568*100/I568,0)</f>
        <v>0</v>
      </c>
      <c r="L568" s="163"/>
      <c r="M568" s="163"/>
      <c r="N568" s="163"/>
      <c r="O568" s="163"/>
      <c r="P568" s="163"/>
      <c r="Q568" s="571"/>
      <c r="R568" s="571"/>
      <c r="S568" s="571"/>
      <c r="T568" s="571"/>
      <c r="U568" s="571"/>
      <c r="V568" s="571"/>
      <c r="W568" s="571"/>
      <c r="X568" s="571"/>
      <c r="Y568" s="571"/>
      <c r="Z568" s="571"/>
    </row>
    <row r="569" spans="1:26" ht="19.5" hidden="1">
      <c r="A569" s="601"/>
      <c r="B569" s="611"/>
      <c r="C569" s="611"/>
      <c r="D569" s="611"/>
      <c r="E569" s="619"/>
      <c r="F569" s="619"/>
      <c r="G569" s="753"/>
      <c r="H569" s="758" t="s">
        <v>34</v>
      </c>
      <c r="I569" s="193">
        <f ca="1">IFERROR(__xludf.DUMMYFUNCTION("IMPORTRANGE(""https://docs.google.com/spreadsheets/d/1QqKyyYR6Q21VydFLVH3TRQUabQu_ym0Zz7PgGX0-kHA/edit?usp=sharing"",""แผน!HG65"")"),0)</f>
        <v>0</v>
      </c>
      <c r="J569" s="674">
        <f t="shared" si="248"/>
        <v>0</v>
      </c>
      <c r="K569" s="410">
        <f t="shared" ca="1" si="249"/>
        <v>0</v>
      </c>
      <c r="L569" s="163"/>
      <c r="M569" s="163"/>
      <c r="N569" s="163"/>
      <c r="O569" s="163"/>
      <c r="P569" s="163"/>
      <c r="Q569" s="571"/>
      <c r="R569" s="571"/>
      <c r="S569" s="571"/>
      <c r="T569" s="571"/>
      <c r="U569" s="571"/>
      <c r="V569" s="571"/>
      <c r="W569" s="571"/>
      <c r="X569" s="571"/>
      <c r="Y569" s="571"/>
      <c r="Z569" s="571"/>
    </row>
    <row r="570" spans="1:26" ht="18.75" hidden="1">
      <c r="A570" s="601"/>
      <c r="B570" s="611"/>
      <c r="C570" s="611"/>
      <c r="D570" s="619" t="s">
        <v>240</v>
      </c>
      <c r="E570" s="611"/>
      <c r="F570" s="619"/>
      <c r="G570" s="753"/>
      <c r="H570" s="755" t="s">
        <v>46</v>
      </c>
      <c r="I570" s="184"/>
      <c r="J570" s="214">
        <v>0</v>
      </c>
      <c r="K570" s="163"/>
      <c r="L570" s="163"/>
      <c r="M570" s="163"/>
      <c r="N570" s="163"/>
      <c r="O570" s="163"/>
      <c r="P570" s="163"/>
      <c r="Q570" s="571"/>
      <c r="R570" s="571"/>
      <c r="S570" s="571"/>
      <c r="T570" s="571"/>
      <c r="U570" s="571"/>
      <c r="V570" s="571"/>
      <c r="W570" s="571"/>
      <c r="X570" s="571"/>
      <c r="Y570" s="571"/>
      <c r="Z570" s="571"/>
    </row>
    <row r="571" spans="1:26" ht="18.75" hidden="1">
      <c r="A571" s="601"/>
      <c r="B571" s="611"/>
      <c r="C571" s="611"/>
      <c r="D571" s="611"/>
      <c r="E571" s="619"/>
      <c r="F571" s="619"/>
      <c r="G571" s="753"/>
      <c r="H571" s="755" t="s">
        <v>34</v>
      </c>
      <c r="I571" s="184"/>
      <c r="J571" s="214">
        <v>0</v>
      </c>
      <c r="K571" s="163"/>
      <c r="L571" s="163"/>
      <c r="M571" s="163"/>
      <c r="N571" s="163"/>
      <c r="O571" s="163"/>
      <c r="P571" s="163"/>
      <c r="Q571" s="571"/>
      <c r="R571" s="571"/>
      <c r="S571" s="571"/>
      <c r="T571" s="571"/>
      <c r="U571" s="571"/>
      <c r="V571" s="571"/>
      <c r="W571" s="571"/>
      <c r="X571" s="571"/>
      <c r="Y571" s="571"/>
      <c r="Z571" s="571"/>
    </row>
    <row r="572" spans="1:26" ht="18.75" hidden="1">
      <c r="A572" s="601"/>
      <c r="B572" s="611"/>
      <c r="C572" s="611"/>
      <c r="D572" s="619" t="s">
        <v>241</v>
      </c>
      <c r="E572" s="619"/>
      <c r="F572" s="619"/>
      <c r="G572" s="753"/>
      <c r="H572" s="755" t="s">
        <v>46</v>
      </c>
      <c r="I572" s="184"/>
      <c r="J572" s="214">
        <v>0</v>
      </c>
      <c r="K572" s="163"/>
      <c r="L572" s="163"/>
      <c r="M572" s="163"/>
      <c r="N572" s="163"/>
      <c r="O572" s="163"/>
      <c r="P572" s="163"/>
      <c r="Q572" s="571"/>
      <c r="R572" s="571"/>
      <c r="S572" s="571"/>
      <c r="T572" s="571"/>
      <c r="U572" s="571"/>
      <c r="V572" s="571"/>
      <c r="W572" s="571"/>
      <c r="X572" s="571"/>
      <c r="Y572" s="571"/>
      <c r="Z572" s="571"/>
    </row>
    <row r="573" spans="1:26" ht="18.75" hidden="1">
      <c r="A573" s="601"/>
      <c r="B573" s="611"/>
      <c r="C573" s="611"/>
      <c r="D573" s="619"/>
      <c r="E573" s="619"/>
      <c r="F573" s="619"/>
      <c r="G573" s="753"/>
      <c r="H573" s="755" t="s">
        <v>34</v>
      </c>
      <c r="I573" s="184"/>
      <c r="J573" s="214">
        <v>0</v>
      </c>
      <c r="K573" s="163"/>
      <c r="L573" s="163"/>
      <c r="M573" s="163"/>
      <c r="N573" s="163"/>
      <c r="O573" s="163"/>
      <c r="P573" s="163"/>
      <c r="Q573" s="571"/>
      <c r="R573" s="571"/>
      <c r="S573" s="571"/>
      <c r="T573" s="571"/>
      <c r="U573" s="571"/>
      <c r="V573" s="571"/>
      <c r="W573" s="571"/>
      <c r="X573" s="571"/>
      <c r="Y573" s="571"/>
      <c r="Z573" s="571"/>
    </row>
    <row r="574" spans="1:26" ht="18.75" hidden="1">
      <c r="A574" s="601"/>
      <c r="B574" s="611"/>
      <c r="C574" s="611"/>
      <c r="D574" s="619" t="s">
        <v>242</v>
      </c>
      <c r="E574" s="619"/>
      <c r="F574" s="619"/>
      <c r="G574" s="753"/>
      <c r="H574" s="755" t="s">
        <v>46</v>
      </c>
      <c r="I574" s="184"/>
      <c r="J574" s="214">
        <v>0</v>
      </c>
      <c r="K574" s="163"/>
      <c r="L574" s="163"/>
      <c r="M574" s="163"/>
      <c r="N574" s="163"/>
      <c r="O574" s="163"/>
      <c r="P574" s="163"/>
      <c r="Q574" s="571"/>
      <c r="R574" s="571"/>
      <c r="S574" s="571"/>
      <c r="T574" s="571"/>
      <c r="U574" s="571"/>
      <c r="V574" s="571"/>
      <c r="W574" s="571"/>
      <c r="X574" s="571"/>
      <c r="Y574" s="571"/>
      <c r="Z574" s="571"/>
    </row>
    <row r="575" spans="1:26" ht="18.75" hidden="1">
      <c r="A575" s="601"/>
      <c r="B575" s="611"/>
      <c r="C575" s="611"/>
      <c r="D575" s="611"/>
      <c r="E575" s="619"/>
      <c r="F575" s="619"/>
      <c r="G575" s="753"/>
      <c r="H575" s="755" t="s">
        <v>34</v>
      </c>
      <c r="I575" s="184"/>
      <c r="J575" s="214">
        <v>0</v>
      </c>
      <c r="K575" s="163"/>
      <c r="L575" s="163"/>
      <c r="M575" s="163"/>
      <c r="N575" s="163"/>
      <c r="O575" s="163"/>
      <c r="P575" s="163"/>
      <c r="Q575" s="571"/>
      <c r="R575" s="571"/>
      <c r="S575" s="571"/>
      <c r="T575" s="571"/>
      <c r="U575" s="571"/>
      <c r="V575" s="571"/>
      <c r="W575" s="571"/>
      <c r="X575" s="571"/>
      <c r="Y575" s="571"/>
      <c r="Z575" s="571"/>
    </row>
    <row r="576" spans="1:26" ht="19.5" hidden="1">
      <c r="A576" s="601"/>
      <c r="B576" s="611"/>
      <c r="C576" s="618" t="s">
        <v>243</v>
      </c>
      <c r="D576" s="611"/>
      <c r="E576" s="611"/>
      <c r="F576" s="619"/>
      <c r="G576" s="753"/>
      <c r="H576" s="758" t="s">
        <v>46</v>
      </c>
      <c r="I576" s="193">
        <f ca="1">IFERROR(__xludf.DUMMYFUNCTION("IMPORTRANGE(""https://docs.google.com/spreadsheets/d/1QqKyyYR6Q21VydFLVH3TRQUabQu_ym0Zz7PgGX0-kHA/edit?usp=sharing"",""แผน!HH65"")"),0)</f>
        <v>0</v>
      </c>
      <c r="J576" s="674">
        <f t="shared" ref="J576:J577" si="250">J578+J580+J582+J588+J590</f>
        <v>0</v>
      </c>
      <c r="K576" s="410">
        <f t="shared" ref="K576:K577" ca="1" si="251">IF(I576&gt;0,J576*100/I576,0)</f>
        <v>0</v>
      </c>
      <c r="L576" s="163"/>
      <c r="M576" s="163"/>
      <c r="N576" s="163"/>
      <c r="O576" s="163"/>
      <c r="P576" s="163"/>
      <c r="Q576" s="571"/>
      <c r="R576" s="571"/>
      <c r="S576" s="571"/>
      <c r="T576" s="571"/>
      <c r="U576" s="571"/>
      <c r="V576" s="571"/>
      <c r="W576" s="571"/>
      <c r="X576" s="571"/>
      <c r="Y576" s="571"/>
      <c r="Z576" s="571"/>
    </row>
    <row r="577" spans="1:26" ht="19.5" hidden="1">
      <c r="A577" s="601"/>
      <c r="B577" s="611"/>
      <c r="C577" s="611"/>
      <c r="D577" s="611"/>
      <c r="E577" s="619"/>
      <c r="F577" s="619"/>
      <c r="G577" s="753"/>
      <c r="H577" s="758" t="s">
        <v>34</v>
      </c>
      <c r="I577" s="193">
        <f ca="1">IFERROR(__xludf.DUMMYFUNCTION("IMPORTRANGE(""https://docs.google.com/spreadsheets/d/1QqKyyYR6Q21VydFLVH3TRQUabQu_ym0Zz7PgGX0-kHA/edit?usp=sharing"",""แผน!HG65"")"),0)</f>
        <v>0</v>
      </c>
      <c r="J577" s="674">
        <f t="shared" si="250"/>
        <v>0</v>
      </c>
      <c r="K577" s="410">
        <f t="shared" ca="1" si="251"/>
        <v>0</v>
      </c>
      <c r="L577" s="163"/>
      <c r="M577" s="163"/>
      <c r="N577" s="163"/>
      <c r="O577" s="163"/>
      <c r="P577" s="163"/>
      <c r="Q577" s="571"/>
      <c r="R577" s="571"/>
      <c r="S577" s="571"/>
      <c r="T577" s="571"/>
      <c r="U577" s="571"/>
      <c r="V577" s="571"/>
      <c r="W577" s="571"/>
      <c r="X577" s="571"/>
      <c r="Y577" s="571"/>
      <c r="Z577" s="571"/>
    </row>
    <row r="578" spans="1:26" ht="18.75" hidden="1">
      <c r="A578" s="601"/>
      <c r="B578" s="611"/>
      <c r="C578" s="611"/>
      <c r="D578" s="619" t="s">
        <v>244</v>
      </c>
      <c r="E578" s="619"/>
      <c r="F578" s="619"/>
      <c r="G578" s="753"/>
      <c r="H578" s="755" t="s">
        <v>46</v>
      </c>
      <c r="I578" s="184"/>
      <c r="J578" s="214">
        <v>0</v>
      </c>
      <c r="K578" s="163"/>
      <c r="L578" s="163"/>
      <c r="M578" s="163"/>
      <c r="N578" s="163"/>
      <c r="O578" s="163"/>
      <c r="P578" s="163"/>
      <c r="Q578" s="571"/>
      <c r="R578" s="571"/>
      <c r="S578" s="571"/>
      <c r="T578" s="571"/>
      <c r="U578" s="571"/>
      <c r="V578" s="571"/>
      <c r="W578" s="571"/>
      <c r="X578" s="571"/>
      <c r="Y578" s="571"/>
      <c r="Z578" s="571"/>
    </row>
    <row r="579" spans="1:26" ht="18.75" hidden="1">
      <c r="A579" s="601"/>
      <c r="B579" s="611"/>
      <c r="C579" s="611"/>
      <c r="D579" s="611"/>
      <c r="E579" s="619"/>
      <c r="F579" s="619"/>
      <c r="G579" s="753"/>
      <c r="H579" s="755" t="s">
        <v>34</v>
      </c>
      <c r="I579" s="184"/>
      <c r="J579" s="214">
        <v>0</v>
      </c>
      <c r="K579" s="163"/>
      <c r="L579" s="163"/>
      <c r="M579" s="163"/>
      <c r="N579" s="163"/>
      <c r="O579" s="163"/>
      <c r="P579" s="163"/>
      <c r="Q579" s="571"/>
      <c r="R579" s="571"/>
      <c r="S579" s="571"/>
      <c r="T579" s="571"/>
      <c r="U579" s="571"/>
      <c r="V579" s="571"/>
      <c r="W579" s="571"/>
      <c r="X579" s="571"/>
      <c r="Y579" s="571"/>
      <c r="Z579" s="571"/>
    </row>
    <row r="580" spans="1:26" ht="18.75" hidden="1">
      <c r="A580" s="601"/>
      <c r="B580" s="611"/>
      <c r="C580" s="611"/>
      <c r="D580" s="619" t="s">
        <v>245</v>
      </c>
      <c r="E580" s="619"/>
      <c r="F580" s="619"/>
      <c r="G580" s="753"/>
      <c r="H580" s="755" t="s">
        <v>46</v>
      </c>
      <c r="I580" s="184"/>
      <c r="J580" s="214">
        <v>0</v>
      </c>
      <c r="K580" s="163"/>
      <c r="L580" s="163"/>
      <c r="M580" s="163"/>
      <c r="N580" s="163"/>
      <c r="O580" s="163"/>
      <c r="P580" s="163"/>
      <c r="Q580" s="571"/>
      <c r="R580" s="571"/>
      <c r="S580" s="571"/>
      <c r="T580" s="571"/>
      <c r="U580" s="571"/>
      <c r="V580" s="571"/>
      <c r="W580" s="571"/>
      <c r="X580" s="571"/>
      <c r="Y580" s="571"/>
      <c r="Z580" s="571"/>
    </row>
    <row r="581" spans="1:26" ht="18.75" hidden="1">
      <c r="A581" s="601"/>
      <c r="B581" s="611"/>
      <c r="C581" s="611"/>
      <c r="D581" s="611"/>
      <c r="E581" s="619"/>
      <c r="F581" s="619"/>
      <c r="G581" s="753"/>
      <c r="H581" s="755" t="s">
        <v>34</v>
      </c>
      <c r="I581" s="184"/>
      <c r="J581" s="214">
        <v>0</v>
      </c>
      <c r="K581" s="163"/>
      <c r="L581" s="163"/>
      <c r="M581" s="163"/>
      <c r="N581" s="163"/>
      <c r="O581" s="163"/>
      <c r="P581" s="163"/>
      <c r="Q581" s="571"/>
      <c r="R581" s="571"/>
      <c r="S581" s="571"/>
      <c r="T581" s="571"/>
      <c r="U581" s="571"/>
      <c r="V581" s="571"/>
      <c r="W581" s="571"/>
      <c r="X581" s="571"/>
      <c r="Y581" s="571"/>
      <c r="Z581" s="571"/>
    </row>
    <row r="582" spans="1:26" ht="19.5" hidden="1">
      <c r="A582" s="601"/>
      <c r="B582" s="611"/>
      <c r="C582" s="611"/>
      <c r="D582" s="619" t="s">
        <v>246</v>
      </c>
      <c r="E582" s="619"/>
      <c r="F582" s="619"/>
      <c r="G582" s="753"/>
      <c r="H582" s="755" t="s">
        <v>46</v>
      </c>
      <c r="I582" s="184"/>
      <c r="J582" s="674">
        <f t="shared" ref="J582:J583" si="252">J584+J586</f>
        <v>0</v>
      </c>
      <c r="K582" s="410"/>
      <c r="L582" s="163"/>
      <c r="M582" s="163"/>
      <c r="N582" s="163"/>
      <c r="O582" s="163"/>
      <c r="P582" s="163"/>
      <c r="Q582" s="571"/>
      <c r="R582" s="571"/>
      <c r="S582" s="571"/>
      <c r="T582" s="571"/>
      <c r="U582" s="571"/>
      <c r="V582" s="571"/>
      <c r="W582" s="571"/>
      <c r="X582" s="571"/>
      <c r="Y582" s="571"/>
      <c r="Z582" s="571"/>
    </row>
    <row r="583" spans="1:26" ht="19.5" hidden="1">
      <c r="A583" s="601"/>
      <c r="B583" s="611"/>
      <c r="C583" s="611"/>
      <c r="D583" s="611"/>
      <c r="E583" s="619"/>
      <c r="F583" s="619"/>
      <c r="G583" s="753"/>
      <c r="H583" s="755" t="s">
        <v>34</v>
      </c>
      <c r="I583" s="184"/>
      <c r="J583" s="674">
        <f t="shared" si="252"/>
        <v>0</v>
      </c>
      <c r="K583" s="410"/>
      <c r="L583" s="163"/>
      <c r="M583" s="163"/>
      <c r="N583" s="163"/>
      <c r="O583" s="163"/>
      <c r="P583" s="163"/>
      <c r="Q583" s="571"/>
      <c r="R583" s="571"/>
      <c r="S583" s="571"/>
      <c r="T583" s="571"/>
      <c r="U583" s="571"/>
      <c r="V583" s="571"/>
      <c r="W583" s="571"/>
      <c r="X583" s="571"/>
      <c r="Y583" s="571"/>
      <c r="Z583" s="571"/>
    </row>
    <row r="584" spans="1:26" ht="18.75" hidden="1">
      <c r="A584" s="601"/>
      <c r="B584" s="611"/>
      <c r="C584" s="611"/>
      <c r="D584" s="611"/>
      <c r="E584" s="619" t="s">
        <v>247</v>
      </c>
      <c r="F584" s="619"/>
      <c r="G584" s="753"/>
      <c r="H584" s="755" t="s">
        <v>46</v>
      </c>
      <c r="I584" s="184"/>
      <c r="J584" s="214">
        <v>0</v>
      </c>
      <c r="K584" s="163"/>
      <c r="L584" s="163"/>
      <c r="M584" s="163"/>
      <c r="N584" s="163"/>
      <c r="O584" s="163"/>
      <c r="P584" s="163"/>
      <c r="Q584" s="571"/>
      <c r="R584" s="571"/>
      <c r="S584" s="571"/>
      <c r="T584" s="571"/>
      <c r="U584" s="571"/>
      <c r="V584" s="571"/>
      <c r="W584" s="571"/>
      <c r="X584" s="571"/>
      <c r="Y584" s="571"/>
      <c r="Z584" s="571"/>
    </row>
    <row r="585" spans="1:26" ht="18.75" hidden="1">
      <c r="A585" s="601"/>
      <c r="B585" s="611"/>
      <c r="C585" s="611"/>
      <c r="D585" s="611"/>
      <c r="E585" s="619"/>
      <c r="F585" s="619"/>
      <c r="G585" s="753"/>
      <c r="H585" s="755" t="s">
        <v>34</v>
      </c>
      <c r="I585" s="184"/>
      <c r="J585" s="214">
        <v>0</v>
      </c>
      <c r="K585" s="163"/>
      <c r="L585" s="163"/>
      <c r="M585" s="163"/>
      <c r="N585" s="163"/>
      <c r="O585" s="163"/>
      <c r="P585" s="163"/>
      <c r="Q585" s="571"/>
      <c r="R585" s="571"/>
      <c r="S585" s="571"/>
      <c r="T585" s="571"/>
      <c r="U585" s="571"/>
      <c r="V585" s="571"/>
      <c r="W585" s="571"/>
      <c r="X585" s="571"/>
      <c r="Y585" s="571"/>
      <c r="Z585" s="571"/>
    </row>
    <row r="586" spans="1:26" ht="18.75" hidden="1">
      <c r="A586" s="601"/>
      <c r="B586" s="611"/>
      <c r="C586" s="611"/>
      <c r="D586" s="611"/>
      <c r="E586" s="619" t="s">
        <v>248</v>
      </c>
      <c r="F586" s="619"/>
      <c r="G586" s="753"/>
      <c r="H586" s="755" t="s">
        <v>46</v>
      </c>
      <c r="I586" s="184"/>
      <c r="J586" s="214">
        <v>0</v>
      </c>
      <c r="K586" s="163"/>
      <c r="L586" s="163"/>
      <c r="M586" s="163"/>
      <c r="N586" s="163"/>
      <c r="O586" s="163"/>
      <c r="P586" s="163"/>
      <c r="Q586" s="571"/>
      <c r="R586" s="571"/>
      <c r="S586" s="571"/>
      <c r="T586" s="571"/>
      <c r="U586" s="571"/>
      <c r="V586" s="571"/>
      <c r="W586" s="571"/>
      <c r="X586" s="571"/>
      <c r="Y586" s="571"/>
      <c r="Z586" s="571"/>
    </row>
    <row r="587" spans="1:26" ht="18.75" hidden="1">
      <c r="A587" s="601"/>
      <c r="B587" s="611"/>
      <c r="C587" s="611"/>
      <c r="D587" s="611"/>
      <c r="E587" s="611"/>
      <c r="F587" s="619"/>
      <c r="G587" s="753"/>
      <c r="H587" s="755" t="s">
        <v>34</v>
      </c>
      <c r="I587" s="184"/>
      <c r="J587" s="214">
        <v>0</v>
      </c>
      <c r="K587" s="163"/>
      <c r="L587" s="163"/>
      <c r="M587" s="163"/>
      <c r="N587" s="163"/>
      <c r="O587" s="163"/>
      <c r="P587" s="163"/>
      <c r="Q587" s="571"/>
      <c r="R587" s="571"/>
      <c r="S587" s="571"/>
      <c r="T587" s="571"/>
      <c r="U587" s="571"/>
      <c r="V587" s="571"/>
      <c r="W587" s="571"/>
      <c r="X587" s="571"/>
      <c r="Y587" s="571"/>
      <c r="Z587" s="571"/>
    </row>
    <row r="588" spans="1:26" ht="18.75" hidden="1">
      <c r="A588" s="601"/>
      <c r="B588" s="611"/>
      <c r="C588" s="611"/>
      <c r="D588" s="619" t="s">
        <v>249</v>
      </c>
      <c r="E588" s="619"/>
      <c r="F588" s="619"/>
      <c r="G588" s="753"/>
      <c r="H588" s="755" t="s">
        <v>46</v>
      </c>
      <c r="I588" s="184"/>
      <c r="J588" s="214">
        <v>0</v>
      </c>
      <c r="K588" s="163"/>
      <c r="L588" s="163"/>
      <c r="M588" s="163"/>
      <c r="N588" s="163"/>
      <c r="O588" s="163"/>
      <c r="P588" s="163"/>
      <c r="Q588" s="571"/>
      <c r="R588" s="571"/>
      <c r="S588" s="571"/>
      <c r="T588" s="571"/>
      <c r="U588" s="571"/>
      <c r="V588" s="571"/>
      <c r="W588" s="571"/>
      <c r="X588" s="571"/>
      <c r="Y588" s="571"/>
      <c r="Z588" s="571"/>
    </row>
    <row r="589" spans="1:26" ht="18.75" hidden="1">
      <c r="A589" s="601"/>
      <c r="B589" s="611"/>
      <c r="C589" s="611"/>
      <c r="D589" s="611"/>
      <c r="E589" s="611"/>
      <c r="F589" s="619"/>
      <c r="G589" s="753"/>
      <c r="H589" s="755" t="s">
        <v>34</v>
      </c>
      <c r="I589" s="184"/>
      <c r="J589" s="214">
        <v>0</v>
      </c>
      <c r="K589" s="163"/>
      <c r="L589" s="163"/>
      <c r="M589" s="163"/>
      <c r="N589" s="163"/>
      <c r="O589" s="163"/>
      <c r="P589" s="163"/>
      <c r="Q589" s="571"/>
      <c r="R589" s="571"/>
      <c r="S589" s="571"/>
      <c r="T589" s="571"/>
      <c r="U589" s="571"/>
      <c r="V589" s="571"/>
      <c r="W589" s="571"/>
      <c r="X589" s="571"/>
      <c r="Y589" s="571"/>
      <c r="Z589" s="571"/>
    </row>
    <row r="590" spans="1:26" ht="18.75" hidden="1">
      <c r="A590" s="601"/>
      <c r="B590" s="611"/>
      <c r="C590" s="611"/>
      <c r="D590" s="619" t="s">
        <v>250</v>
      </c>
      <c r="E590" s="619"/>
      <c r="F590" s="619"/>
      <c r="G590" s="753"/>
      <c r="H590" s="755" t="s">
        <v>46</v>
      </c>
      <c r="I590" s="184"/>
      <c r="J590" s="214">
        <v>0</v>
      </c>
      <c r="K590" s="163"/>
      <c r="L590" s="163"/>
      <c r="M590" s="163"/>
      <c r="N590" s="163"/>
      <c r="O590" s="163"/>
      <c r="P590" s="163"/>
      <c r="Q590" s="571"/>
      <c r="R590" s="571"/>
      <c r="S590" s="571"/>
      <c r="T590" s="571"/>
      <c r="U590" s="571"/>
      <c r="V590" s="571"/>
      <c r="W590" s="571"/>
      <c r="X590" s="571"/>
      <c r="Y590" s="571"/>
      <c r="Z590" s="571"/>
    </row>
    <row r="591" spans="1:26" ht="18.75" hidden="1">
      <c r="A591" s="689"/>
      <c r="B591" s="690"/>
      <c r="C591" s="690"/>
      <c r="D591" s="690"/>
      <c r="E591" s="571"/>
      <c r="F591" s="571"/>
      <c r="G591" s="691"/>
      <c r="H591" s="692" t="s">
        <v>34</v>
      </c>
      <c r="I591" s="693"/>
      <c r="J591" s="694">
        <v>0</v>
      </c>
      <c r="K591" s="695"/>
      <c r="L591" s="695"/>
      <c r="M591" s="695"/>
      <c r="N591" s="695"/>
      <c r="O591" s="695"/>
      <c r="P591" s="695"/>
      <c r="Q591" s="571"/>
      <c r="R591" s="571"/>
      <c r="S591" s="571"/>
      <c r="T591" s="571"/>
      <c r="U591" s="571"/>
      <c r="V591" s="571"/>
      <c r="W591" s="571"/>
      <c r="X591" s="571"/>
      <c r="Y591" s="571"/>
      <c r="Z591" s="571"/>
    </row>
    <row r="592" spans="1:26" ht="19.5">
      <c r="A592" s="685"/>
      <c r="B592" s="686" t="s">
        <v>251</v>
      </c>
      <c r="C592" s="687"/>
      <c r="D592" s="687"/>
      <c r="E592" s="666"/>
      <c r="F592" s="666"/>
      <c r="G592" s="667"/>
      <c r="H592" s="688" t="s">
        <v>46</v>
      </c>
      <c r="I592" s="699">
        <f t="shared" ref="I592:J592" ca="1" si="253">I593</f>
        <v>189</v>
      </c>
      <c r="J592" s="699">
        <f t="shared" si="253"/>
        <v>0</v>
      </c>
      <c r="K592" s="670">
        <f t="shared" ref="K592:K594" ca="1" si="254">IF(I592&gt;0,J592*100/I592,0)</f>
        <v>0</v>
      </c>
      <c r="L592" s="671"/>
      <c r="M592" s="671"/>
      <c r="N592" s="671"/>
      <c r="O592" s="671"/>
      <c r="P592" s="671"/>
      <c r="Q592" s="571"/>
      <c r="R592" s="571"/>
      <c r="S592" s="571"/>
      <c r="T592" s="571"/>
      <c r="U592" s="571"/>
      <c r="V592" s="571"/>
      <c r="W592" s="571"/>
      <c r="X592" s="571"/>
      <c r="Y592" s="571"/>
      <c r="Z592" s="571"/>
    </row>
    <row r="593" spans="1:26" ht="19.5">
      <c r="A593" s="601"/>
      <c r="B593" s="611"/>
      <c r="C593" s="618" t="s">
        <v>252</v>
      </c>
      <c r="D593" s="611"/>
      <c r="E593" s="611"/>
      <c r="F593" s="619"/>
      <c r="G593" s="753"/>
      <c r="H593" s="758" t="s">
        <v>46</v>
      </c>
      <c r="I593" s="193">
        <f ca="1">IFERROR(__xludf.DUMMYFUNCTION("IMPORTRANGE(""https://docs.google.com/spreadsheets/d/1QqKyyYR6Q21VydFLVH3TRQUabQu_ym0Zz7PgGX0-kHA/edit?usp=sharing"",""แผน!HJ65"")"),189)</f>
        <v>189</v>
      </c>
      <c r="J593" s="193">
        <f t="shared" ref="J593:J594" si="255">J595+J603+J609</f>
        <v>0</v>
      </c>
      <c r="K593" s="410">
        <f t="shared" ca="1" si="254"/>
        <v>0</v>
      </c>
      <c r="L593" s="163"/>
      <c r="M593" s="163"/>
      <c r="N593" s="163"/>
      <c r="O593" s="163"/>
      <c r="P593" s="163"/>
      <c r="Q593" s="571"/>
      <c r="R593" s="571"/>
      <c r="S593" s="571"/>
      <c r="T593" s="571"/>
      <c r="U593" s="571"/>
      <c r="V593" s="571"/>
      <c r="W593" s="571"/>
      <c r="X593" s="571"/>
      <c r="Y593" s="571"/>
      <c r="Z593" s="571"/>
    </row>
    <row r="594" spans="1:26" ht="19.5">
      <c r="A594" s="601"/>
      <c r="B594" s="611"/>
      <c r="C594" s="611"/>
      <c r="D594" s="611"/>
      <c r="E594" s="619"/>
      <c r="F594" s="619"/>
      <c r="G594" s="753"/>
      <c r="H594" s="758" t="s">
        <v>34</v>
      </c>
      <c r="I594" s="193">
        <f ca="1">IFERROR(__xludf.DUMMYFUNCTION("IMPORTRANGE(""https://docs.google.com/spreadsheets/d/1QqKyyYR6Q21VydFLVH3TRQUabQu_ym0Zz7PgGX0-kHA/edit?usp=sharing"",""แผน!HI65"")"),21)</f>
        <v>21</v>
      </c>
      <c r="J594" s="193">
        <f t="shared" si="255"/>
        <v>0</v>
      </c>
      <c r="K594" s="410">
        <f t="shared" ca="1" si="254"/>
        <v>0</v>
      </c>
      <c r="L594" s="163"/>
      <c r="M594" s="163"/>
      <c r="N594" s="163"/>
      <c r="O594" s="163"/>
      <c r="P594" s="163"/>
      <c r="Q594" s="571"/>
      <c r="R594" s="571"/>
      <c r="S594" s="571"/>
      <c r="T594" s="571"/>
      <c r="U594" s="571"/>
      <c r="V594" s="571"/>
      <c r="W594" s="571"/>
      <c r="X594" s="571"/>
      <c r="Y594" s="571"/>
      <c r="Z594" s="571"/>
    </row>
    <row r="595" spans="1:26" ht="18.75">
      <c r="A595" s="601"/>
      <c r="B595" s="611"/>
      <c r="C595" s="611" t="s">
        <v>253</v>
      </c>
      <c r="D595" s="611"/>
      <c r="E595" s="611"/>
      <c r="F595" s="619"/>
      <c r="G595" s="753"/>
      <c r="H595" s="755" t="s">
        <v>46</v>
      </c>
      <c r="I595" s="184"/>
      <c r="J595" s="184">
        <f t="shared" ref="J595:J596" si="256">J597+J599</f>
        <v>0</v>
      </c>
      <c r="K595" s="163"/>
      <c r="L595" s="163"/>
      <c r="M595" s="163"/>
      <c r="N595" s="163"/>
      <c r="O595" s="163"/>
      <c r="P595" s="163"/>
      <c r="Q595" s="571"/>
      <c r="R595" s="571"/>
      <c r="S595" s="571"/>
      <c r="T595" s="571"/>
      <c r="U595" s="571"/>
      <c r="V595" s="571"/>
      <c r="W595" s="571"/>
      <c r="X595" s="571"/>
      <c r="Y595" s="571"/>
      <c r="Z595" s="571"/>
    </row>
    <row r="596" spans="1:26" ht="18.75">
      <c r="A596" s="601"/>
      <c r="B596" s="611"/>
      <c r="C596" s="611"/>
      <c r="D596" s="611"/>
      <c r="E596" s="619"/>
      <c r="F596" s="619"/>
      <c r="G596" s="753"/>
      <c r="H596" s="755" t="s">
        <v>34</v>
      </c>
      <c r="I596" s="184"/>
      <c r="J596" s="184">
        <f t="shared" si="256"/>
        <v>0</v>
      </c>
      <c r="K596" s="163"/>
      <c r="L596" s="163"/>
      <c r="M596" s="163"/>
      <c r="N596" s="163"/>
      <c r="O596" s="163"/>
      <c r="P596" s="163"/>
      <c r="Q596" s="571"/>
      <c r="R596" s="571"/>
      <c r="S596" s="571"/>
      <c r="T596" s="571"/>
      <c r="U596" s="571"/>
      <c r="V596" s="571"/>
      <c r="W596" s="571"/>
      <c r="X596" s="571"/>
      <c r="Y596" s="571"/>
      <c r="Z596" s="571"/>
    </row>
    <row r="597" spans="1:26" ht="18.75">
      <c r="A597" s="601"/>
      <c r="B597" s="611"/>
      <c r="C597" s="611"/>
      <c r="D597" s="737" t="s">
        <v>254</v>
      </c>
      <c r="E597" s="619"/>
      <c r="F597" s="619"/>
      <c r="G597" s="753"/>
      <c r="H597" s="755" t="s">
        <v>46</v>
      </c>
      <c r="I597" s="184"/>
      <c r="J597" s="214">
        <v>0</v>
      </c>
      <c r="K597" s="163"/>
      <c r="L597" s="163"/>
      <c r="M597" s="163"/>
      <c r="N597" s="163"/>
      <c r="O597" s="163"/>
      <c r="P597" s="163"/>
      <c r="Q597" s="571"/>
      <c r="R597" s="571"/>
      <c r="S597" s="571"/>
      <c r="T597" s="571"/>
      <c r="U597" s="571"/>
      <c r="V597" s="571"/>
      <c r="W597" s="571"/>
      <c r="X597" s="571"/>
      <c r="Y597" s="571"/>
      <c r="Z597" s="571"/>
    </row>
    <row r="598" spans="1:26" ht="18.75">
      <c r="A598" s="601"/>
      <c r="B598" s="611"/>
      <c r="C598" s="611"/>
      <c r="D598" s="611"/>
      <c r="E598" s="619"/>
      <c r="F598" s="619"/>
      <c r="G598" s="753"/>
      <c r="H598" s="755" t="s">
        <v>34</v>
      </c>
      <c r="I598" s="269"/>
      <c r="J598" s="214">
        <v>0</v>
      </c>
      <c r="K598" s="163"/>
      <c r="L598" s="163"/>
      <c r="M598" s="163"/>
      <c r="N598" s="163"/>
      <c r="O598" s="163"/>
      <c r="P598" s="163"/>
      <c r="Q598" s="571"/>
      <c r="R598" s="571"/>
      <c r="S598" s="571"/>
      <c r="T598" s="571"/>
      <c r="U598" s="571"/>
      <c r="V598" s="571"/>
      <c r="W598" s="571"/>
      <c r="X598" s="571"/>
      <c r="Y598" s="571"/>
      <c r="Z598" s="571"/>
    </row>
    <row r="599" spans="1:26" ht="18.75">
      <c r="A599" s="601"/>
      <c r="B599" s="611"/>
      <c r="C599" s="611"/>
      <c r="D599" s="737" t="s">
        <v>255</v>
      </c>
      <c r="E599" s="619"/>
      <c r="F599" s="619"/>
      <c r="G599" s="753"/>
      <c r="H599" s="755" t="s">
        <v>46</v>
      </c>
      <c r="I599" s="269"/>
      <c r="J599" s="214">
        <v>0</v>
      </c>
      <c r="K599" s="163"/>
      <c r="L599" s="163"/>
      <c r="M599" s="163"/>
      <c r="N599" s="163"/>
      <c r="O599" s="163"/>
      <c r="P599" s="163"/>
      <c r="Q599" s="571"/>
      <c r="R599" s="571"/>
      <c r="S599" s="571"/>
      <c r="T599" s="571"/>
      <c r="U599" s="571"/>
      <c r="V599" s="571"/>
      <c r="W599" s="571"/>
      <c r="X599" s="571"/>
      <c r="Y599" s="571"/>
      <c r="Z599" s="571"/>
    </row>
    <row r="600" spans="1:26" ht="18.75">
      <c r="A600" s="601"/>
      <c r="B600" s="611"/>
      <c r="C600" s="611"/>
      <c r="D600" s="611"/>
      <c r="E600" s="619"/>
      <c r="F600" s="619"/>
      <c r="G600" s="753"/>
      <c r="H600" s="755" t="s">
        <v>34</v>
      </c>
      <c r="I600" s="269"/>
      <c r="J600" s="214">
        <v>0</v>
      </c>
      <c r="K600" s="163"/>
      <c r="L600" s="163"/>
      <c r="M600" s="163"/>
      <c r="N600" s="163"/>
      <c r="O600" s="163"/>
      <c r="P600" s="163"/>
      <c r="Q600" s="571"/>
      <c r="R600" s="571"/>
      <c r="S600" s="571"/>
      <c r="T600" s="571"/>
      <c r="U600" s="571"/>
      <c r="V600" s="571"/>
      <c r="W600" s="571"/>
      <c r="X600" s="571"/>
      <c r="Y600" s="571"/>
      <c r="Z600" s="571"/>
    </row>
    <row r="601" spans="1:26" ht="18.75">
      <c r="A601" s="601"/>
      <c r="B601" s="611"/>
      <c r="C601" s="611"/>
      <c r="D601" s="737" t="s">
        <v>256</v>
      </c>
      <c r="E601" s="619"/>
      <c r="F601" s="619"/>
      <c r="G601" s="753"/>
      <c r="H601" s="755" t="s">
        <v>46</v>
      </c>
      <c r="I601" s="269"/>
      <c r="J601" s="214">
        <v>0</v>
      </c>
      <c r="K601" s="163"/>
      <c r="L601" s="163"/>
      <c r="M601" s="163"/>
      <c r="N601" s="163"/>
      <c r="O601" s="163"/>
      <c r="P601" s="163"/>
      <c r="Q601" s="571"/>
      <c r="R601" s="571"/>
      <c r="S601" s="571"/>
      <c r="T601" s="571"/>
      <c r="U601" s="571"/>
      <c r="V601" s="571"/>
      <c r="W601" s="571"/>
      <c r="X601" s="571"/>
      <c r="Y601" s="571"/>
      <c r="Z601" s="571"/>
    </row>
    <row r="602" spans="1:26" ht="18.75">
      <c r="A602" s="601"/>
      <c r="B602" s="611"/>
      <c r="C602" s="611"/>
      <c r="D602" s="611"/>
      <c r="E602" s="619"/>
      <c r="F602" s="619"/>
      <c r="G602" s="753"/>
      <c r="H602" s="755" t="s">
        <v>34</v>
      </c>
      <c r="I602" s="269"/>
      <c r="J602" s="214">
        <v>0</v>
      </c>
      <c r="K602" s="163"/>
      <c r="L602" s="163"/>
      <c r="M602" s="163"/>
      <c r="N602" s="163"/>
      <c r="O602" s="163"/>
      <c r="P602" s="163"/>
      <c r="Q602" s="571"/>
      <c r="R602" s="571"/>
      <c r="S602" s="571"/>
      <c r="T602" s="571"/>
      <c r="U602" s="571"/>
      <c r="V602" s="571"/>
      <c r="W602" s="571"/>
      <c r="X602" s="571"/>
      <c r="Y602" s="571"/>
      <c r="Z602" s="571"/>
    </row>
    <row r="603" spans="1:26" ht="18.75">
      <c r="A603" s="601"/>
      <c r="B603" s="611"/>
      <c r="C603" s="696" t="s">
        <v>257</v>
      </c>
      <c r="D603" s="611"/>
      <c r="E603" s="611"/>
      <c r="F603" s="619"/>
      <c r="G603" s="753"/>
      <c r="H603" s="755" t="s">
        <v>46</v>
      </c>
      <c r="I603" s="269"/>
      <c r="J603" s="269">
        <f t="shared" ref="J603:J604" si="257">J605+J607</f>
        <v>0</v>
      </c>
      <c r="K603" s="163"/>
      <c r="L603" s="163"/>
      <c r="M603" s="163"/>
      <c r="N603" s="163"/>
      <c r="O603" s="163"/>
      <c r="P603" s="163"/>
      <c r="Q603" s="571"/>
      <c r="R603" s="571"/>
      <c r="S603" s="571"/>
      <c r="T603" s="571"/>
      <c r="U603" s="571"/>
      <c r="V603" s="571"/>
      <c r="W603" s="571"/>
      <c r="X603" s="571"/>
      <c r="Y603" s="571"/>
      <c r="Z603" s="571"/>
    </row>
    <row r="604" spans="1:26" ht="18.75">
      <c r="A604" s="601"/>
      <c r="B604" s="611"/>
      <c r="C604" s="611"/>
      <c r="D604" s="611"/>
      <c r="E604" s="619"/>
      <c r="F604" s="619"/>
      <c r="G604" s="753"/>
      <c r="H604" s="755" t="s">
        <v>34</v>
      </c>
      <c r="I604" s="269"/>
      <c r="J604" s="269">
        <f t="shared" si="257"/>
        <v>0</v>
      </c>
      <c r="K604" s="163"/>
      <c r="L604" s="163"/>
      <c r="M604" s="163"/>
      <c r="N604" s="163"/>
      <c r="O604" s="163"/>
      <c r="P604" s="163"/>
      <c r="Q604" s="571"/>
      <c r="R604" s="571"/>
      <c r="S604" s="571"/>
      <c r="T604" s="571"/>
      <c r="U604" s="571"/>
      <c r="V604" s="571"/>
      <c r="W604" s="571"/>
      <c r="X604" s="571"/>
      <c r="Y604" s="571"/>
      <c r="Z604" s="571"/>
    </row>
    <row r="605" spans="1:26" ht="18.75">
      <c r="A605" s="601"/>
      <c r="B605" s="611"/>
      <c r="C605" s="611"/>
      <c r="D605" s="696" t="s">
        <v>258</v>
      </c>
      <c r="E605" s="619"/>
      <c r="F605" s="619"/>
      <c r="G605" s="753"/>
      <c r="H605" s="755" t="s">
        <v>46</v>
      </c>
      <c r="I605" s="269"/>
      <c r="J605" s="214">
        <v>0</v>
      </c>
      <c r="K605" s="163"/>
      <c r="L605" s="163"/>
      <c r="M605" s="163"/>
      <c r="N605" s="163"/>
      <c r="O605" s="163"/>
      <c r="P605" s="163"/>
      <c r="Q605" s="571"/>
      <c r="R605" s="571"/>
      <c r="S605" s="571"/>
      <c r="T605" s="571"/>
      <c r="U605" s="571"/>
      <c r="V605" s="571"/>
      <c r="W605" s="571"/>
      <c r="X605" s="571"/>
      <c r="Y605" s="571"/>
      <c r="Z605" s="571"/>
    </row>
    <row r="606" spans="1:26" ht="18.75">
      <c r="A606" s="601"/>
      <c r="B606" s="611"/>
      <c r="C606" s="611"/>
      <c r="D606" s="611"/>
      <c r="E606" s="611"/>
      <c r="F606" s="619"/>
      <c r="G606" s="753"/>
      <c r="H606" s="755" t="s">
        <v>34</v>
      </c>
      <c r="I606" s="269"/>
      <c r="J606" s="214">
        <v>0</v>
      </c>
      <c r="K606" s="163"/>
      <c r="L606" s="163"/>
      <c r="M606" s="163"/>
      <c r="N606" s="163"/>
      <c r="O606" s="163"/>
      <c r="P606" s="163"/>
      <c r="Q606" s="571"/>
      <c r="R606" s="571"/>
      <c r="S606" s="571"/>
      <c r="T606" s="571"/>
      <c r="U606" s="571"/>
      <c r="V606" s="571"/>
      <c r="W606" s="571"/>
      <c r="X606" s="571"/>
      <c r="Y606" s="571"/>
      <c r="Z606" s="571"/>
    </row>
    <row r="607" spans="1:26" ht="18.75">
      <c r="A607" s="601"/>
      <c r="B607" s="611"/>
      <c r="C607" s="611"/>
      <c r="D607" s="696" t="s">
        <v>259</v>
      </c>
      <c r="E607" s="611"/>
      <c r="F607" s="619"/>
      <c r="G607" s="753"/>
      <c r="H607" s="755" t="s">
        <v>46</v>
      </c>
      <c r="I607" s="269"/>
      <c r="J607" s="214">
        <v>0</v>
      </c>
      <c r="K607" s="163"/>
      <c r="L607" s="163"/>
      <c r="M607" s="163"/>
      <c r="N607" s="163"/>
      <c r="O607" s="163"/>
      <c r="P607" s="163"/>
      <c r="Q607" s="571"/>
      <c r="R607" s="571"/>
      <c r="S607" s="571"/>
      <c r="T607" s="571"/>
      <c r="U607" s="571"/>
      <c r="V607" s="571"/>
      <c r="W607" s="571"/>
      <c r="X607" s="571"/>
      <c r="Y607" s="571"/>
      <c r="Z607" s="571"/>
    </row>
    <row r="608" spans="1:26" ht="18.75">
      <c r="A608" s="601"/>
      <c r="B608" s="611"/>
      <c r="C608" s="611"/>
      <c r="D608" s="611"/>
      <c r="E608" s="619"/>
      <c r="F608" s="619"/>
      <c r="G608" s="753"/>
      <c r="H608" s="755" t="s">
        <v>34</v>
      </c>
      <c r="I608" s="269"/>
      <c r="J608" s="214">
        <v>0</v>
      </c>
      <c r="K608" s="163"/>
      <c r="L608" s="163"/>
      <c r="M608" s="163"/>
      <c r="N608" s="163"/>
      <c r="O608" s="163"/>
      <c r="P608" s="163"/>
      <c r="Q608" s="571"/>
      <c r="R608" s="571"/>
      <c r="S608" s="571"/>
      <c r="T608" s="571"/>
      <c r="U608" s="571"/>
      <c r="V608" s="571"/>
      <c r="W608" s="571"/>
      <c r="X608" s="571"/>
      <c r="Y608" s="571"/>
      <c r="Z608" s="571"/>
    </row>
    <row r="609" spans="1:26" ht="18.75">
      <c r="A609" s="601"/>
      <c r="B609" s="611"/>
      <c r="C609" s="611" t="s">
        <v>260</v>
      </c>
      <c r="D609" s="611"/>
      <c r="E609" s="611"/>
      <c r="F609" s="619"/>
      <c r="G609" s="753"/>
      <c r="H609" s="755" t="s">
        <v>46</v>
      </c>
      <c r="I609" s="269"/>
      <c r="J609" s="214">
        <v>0</v>
      </c>
      <c r="K609" s="163"/>
      <c r="L609" s="163"/>
      <c r="M609" s="163"/>
      <c r="N609" s="163"/>
      <c r="O609" s="163"/>
      <c r="P609" s="163"/>
      <c r="Q609" s="571"/>
      <c r="R609" s="571"/>
      <c r="S609" s="571"/>
      <c r="T609" s="571"/>
      <c r="U609" s="571"/>
      <c r="V609" s="571"/>
      <c r="W609" s="571"/>
      <c r="X609" s="571"/>
      <c r="Y609" s="571"/>
      <c r="Z609" s="571"/>
    </row>
    <row r="610" spans="1:26" ht="18.75">
      <c r="A610" s="601"/>
      <c r="B610" s="611"/>
      <c r="C610" s="611"/>
      <c r="D610" s="611"/>
      <c r="E610" s="619"/>
      <c r="F610" s="619"/>
      <c r="G610" s="753"/>
      <c r="H610" s="755" t="s">
        <v>34</v>
      </c>
      <c r="I610" s="269"/>
      <c r="J610" s="214">
        <v>0</v>
      </c>
      <c r="K610" s="163"/>
      <c r="L610" s="163"/>
      <c r="M610" s="163"/>
      <c r="N610" s="163"/>
      <c r="O610" s="163"/>
      <c r="P610" s="163"/>
      <c r="Q610" s="571"/>
      <c r="R610" s="571"/>
      <c r="S610" s="571"/>
      <c r="T610" s="571"/>
      <c r="U610" s="571"/>
      <c r="V610" s="571"/>
      <c r="W610" s="571"/>
      <c r="X610" s="571"/>
      <c r="Y610" s="571"/>
      <c r="Z610" s="571"/>
    </row>
    <row r="611" spans="1:26" ht="19.5" hidden="1">
      <c r="A611" s="685"/>
      <c r="B611" s="697" t="s">
        <v>261</v>
      </c>
      <c r="C611" s="687"/>
      <c r="D611" s="687"/>
      <c r="E611" s="666"/>
      <c r="F611" s="666"/>
      <c r="G611" s="667"/>
      <c r="H611" s="698" t="s">
        <v>46</v>
      </c>
      <c r="I611" s="699">
        <v>0</v>
      </c>
      <c r="J611" s="699">
        <f>J614+J616</f>
        <v>0</v>
      </c>
      <c r="K611" s="670">
        <f t="shared" ref="K611:K613" si="258">IF(I611&gt;0,J611*100/I611,0)</f>
        <v>0</v>
      </c>
      <c r="L611" s="671"/>
      <c r="M611" s="671"/>
      <c r="N611" s="671"/>
      <c r="O611" s="671"/>
      <c r="P611" s="671"/>
      <c r="Q611" s="571"/>
      <c r="R611" s="571"/>
      <c r="S611" s="571"/>
      <c r="T611" s="571"/>
      <c r="U611" s="571"/>
      <c r="V611" s="571"/>
      <c r="W611" s="571"/>
      <c r="X611" s="571"/>
      <c r="Y611" s="571"/>
      <c r="Z611" s="571"/>
    </row>
    <row r="612" spans="1:26" ht="19.5" hidden="1">
      <c r="A612" s="700"/>
      <c r="B612" s="710"/>
      <c r="C612" s="702" t="s">
        <v>262</v>
      </c>
      <c r="D612" s="710"/>
      <c r="E612" s="710"/>
      <c r="F612" s="703"/>
      <c r="G612" s="704"/>
      <c r="H612" s="705" t="s">
        <v>46</v>
      </c>
      <c r="I612" s="707">
        <v>0</v>
      </c>
      <c r="J612" s="707">
        <f t="shared" ref="J612:J613" si="259">J614+J616</f>
        <v>0</v>
      </c>
      <c r="K612" s="708">
        <f t="shared" si="258"/>
        <v>0</v>
      </c>
      <c r="L612" s="709"/>
      <c r="M612" s="709"/>
      <c r="N612" s="709"/>
      <c r="O612" s="709"/>
      <c r="P612" s="709"/>
      <c r="Q612" s="597"/>
      <c r="R612" s="597"/>
      <c r="S612" s="597"/>
      <c r="T612" s="597"/>
      <c r="U612" s="597"/>
      <c r="V612" s="597"/>
      <c r="W612" s="597"/>
      <c r="X612" s="597"/>
      <c r="Y612" s="597"/>
      <c r="Z612" s="597"/>
    </row>
    <row r="613" spans="1:26" ht="19.5" hidden="1">
      <c r="A613" s="700"/>
      <c r="B613" s="710"/>
      <c r="C613" s="710" t="s">
        <v>263</v>
      </c>
      <c r="D613" s="710"/>
      <c r="E613" s="710"/>
      <c r="F613" s="703"/>
      <c r="G613" s="704"/>
      <c r="H613" s="705" t="s">
        <v>34</v>
      </c>
      <c r="I613" s="707">
        <v>0</v>
      </c>
      <c r="J613" s="707">
        <f t="shared" si="259"/>
        <v>0</v>
      </c>
      <c r="K613" s="708">
        <f t="shared" si="258"/>
        <v>0</v>
      </c>
      <c r="L613" s="709"/>
      <c r="M613" s="709"/>
      <c r="N613" s="709"/>
      <c r="O613" s="709"/>
      <c r="P613" s="709"/>
      <c r="Q613" s="597"/>
      <c r="R613" s="597"/>
      <c r="S613" s="597"/>
      <c r="T613" s="597"/>
      <c r="U613" s="597"/>
      <c r="V613" s="597"/>
      <c r="W613" s="597"/>
      <c r="X613" s="597"/>
      <c r="Y613" s="597"/>
      <c r="Z613" s="597"/>
    </row>
    <row r="614" spans="1:26" ht="18.75" hidden="1">
      <c r="A614" s="607"/>
      <c r="B614" s="609"/>
      <c r="C614" s="609"/>
      <c r="D614" s="711" t="s">
        <v>264</v>
      </c>
      <c r="E614" s="609"/>
      <c r="F614" s="711"/>
      <c r="G614" s="365"/>
      <c r="H614" s="369" t="s">
        <v>46</v>
      </c>
      <c r="I614" s="610"/>
      <c r="J614" s="610">
        <v>0</v>
      </c>
      <c r="K614" s="167"/>
      <c r="L614" s="167"/>
      <c r="M614" s="167"/>
      <c r="N614" s="167"/>
      <c r="O614" s="167"/>
      <c r="P614" s="167"/>
      <c r="Q614" s="597"/>
      <c r="R614" s="597"/>
      <c r="S614" s="597"/>
      <c r="T614" s="597"/>
      <c r="U614" s="597"/>
      <c r="V614" s="597"/>
      <c r="W614" s="597"/>
      <c r="X614" s="597"/>
      <c r="Y614" s="597"/>
      <c r="Z614" s="597"/>
    </row>
    <row r="615" spans="1:26" ht="18.75" hidden="1">
      <c r="A615" s="607"/>
      <c r="B615" s="609"/>
      <c r="C615" s="609"/>
      <c r="D615" s="609"/>
      <c r="E615" s="609"/>
      <c r="F615" s="711"/>
      <c r="G615" s="365"/>
      <c r="H615" s="369" t="s">
        <v>34</v>
      </c>
      <c r="I615" s="610"/>
      <c r="J615" s="610">
        <v>0</v>
      </c>
      <c r="K615" s="167"/>
      <c r="L615" s="167"/>
      <c r="M615" s="167"/>
      <c r="N615" s="167"/>
      <c r="O615" s="167"/>
      <c r="P615" s="167"/>
      <c r="Q615" s="597"/>
      <c r="R615" s="597"/>
      <c r="S615" s="597"/>
      <c r="T615" s="597"/>
      <c r="U615" s="597"/>
      <c r="V615" s="597"/>
      <c r="W615" s="597"/>
      <c r="X615" s="597"/>
      <c r="Y615" s="597"/>
      <c r="Z615" s="597"/>
    </row>
    <row r="616" spans="1:26" ht="18.75" hidden="1">
      <c r="A616" s="607"/>
      <c r="B616" s="609"/>
      <c r="C616" s="609"/>
      <c r="D616" s="712" t="s">
        <v>264</v>
      </c>
      <c r="E616" s="711"/>
      <c r="F616" s="711"/>
      <c r="G616" s="365"/>
      <c r="H616" s="369" t="s">
        <v>46</v>
      </c>
      <c r="I616" s="610"/>
      <c r="J616" s="610">
        <v>0</v>
      </c>
      <c r="K616" s="167"/>
      <c r="L616" s="167"/>
      <c r="M616" s="167"/>
      <c r="N616" s="167"/>
      <c r="O616" s="167"/>
      <c r="P616" s="167"/>
      <c r="Q616" s="597"/>
      <c r="R616" s="597"/>
      <c r="S616" s="597"/>
      <c r="T616" s="597"/>
      <c r="U616" s="597"/>
      <c r="V616" s="597"/>
      <c r="W616" s="597"/>
      <c r="X616" s="597"/>
      <c r="Y616" s="597"/>
      <c r="Z616" s="597"/>
    </row>
    <row r="617" spans="1:26" ht="18.75" hidden="1">
      <c r="A617" s="607"/>
      <c r="B617" s="609"/>
      <c r="C617" s="609"/>
      <c r="D617" s="609"/>
      <c r="E617" s="711"/>
      <c r="F617" s="711"/>
      <c r="G617" s="365"/>
      <c r="H617" s="369" t="s">
        <v>34</v>
      </c>
      <c r="I617" s="610"/>
      <c r="J617" s="610">
        <v>0</v>
      </c>
      <c r="K617" s="167"/>
      <c r="L617" s="167"/>
      <c r="M617" s="167"/>
      <c r="N617" s="167"/>
      <c r="O617" s="167"/>
      <c r="P617" s="167"/>
      <c r="Q617" s="597"/>
      <c r="R617" s="597"/>
      <c r="S617" s="597"/>
      <c r="T617" s="597"/>
      <c r="U617" s="597"/>
      <c r="V617" s="597"/>
      <c r="W617" s="597"/>
      <c r="X617" s="597"/>
      <c r="Y617" s="597"/>
      <c r="Z617" s="597"/>
    </row>
    <row r="618" spans="1:26" ht="18.75" hidden="1">
      <c r="A618" s="607"/>
      <c r="B618" s="609"/>
      <c r="C618" s="609"/>
      <c r="D618" s="712" t="s">
        <v>265</v>
      </c>
      <c r="E618" s="711"/>
      <c r="F618" s="711"/>
      <c r="G618" s="365"/>
      <c r="H618" s="369" t="s">
        <v>46</v>
      </c>
      <c r="I618" s="610"/>
      <c r="J618" s="610">
        <v>0</v>
      </c>
      <c r="K618" s="167"/>
      <c r="L618" s="167"/>
      <c r="M618" s="167"/>
      <c r="N618" s="167"/>
      <c r="O618" s="167"/>
      <c r="P618" s="167"/>
      <c r="Q618" s="597"/>
      <c r="R618" s="597"/>
      <c r="S618" s="597"/>
      <c r="T618" s="597"/>
      <c r="U618" s="597"/>
      <c r="V618" s="597"/>
      <c r="W618" s="597"/>
      <c r="X618" s="597"/>
      <c r="Y618" s="597"/>
      <c r="Z618" s="597"/>
    </row>
    <row r="619" spans="1:26" ht="18.75" hidden="1">
      <c r="A619" s="607"/>
      <c r="B619" s="609"/>
      <c r="C619" s="609"/>
      <c r="D619" s="609"/>
      <c r="E619" s="711"/>
      <c r="F619" s="711"/>
      <c r="G619" s="365"/>
      <c r="H619" s="369" t="s">
        <v>34</v>
      </c>
      <c r="I619" s="610"/>
      <c r="J619" s="610">
        <v>0</v>
      </c>
      <c r="K619" s="167"/>
      <c r="L619" s="167"/>
      <c r="M619" s="167"/>
      <c r="N619" s="167"/>
      <c r="O619" s="167"/>
      <c r="P619" s="167"/>
      <c r="Q619" s="597"/>
      <c r="R619" s="597"/>
      <c r="S619" s="597"/>
      <c r="T619" s="597"/>
      <c r="U619" s="597"/>
      <c r="V619" s="597"/>
      <c r="W619" s="597"/>
      <c r="X619" s="597"/>
      <c r="Y619" s="597"/>
      <c r="Z619" s="597"/>
    </row>
    <row r="620" spans="1:26" ht="19.5" hidden="1">
      <c r="A620" s="713"/>
      <c r="B620" s="722"/>
      <c r="C620" s="715" t="s">
        <v>266</v>
      </c>
      <c r="D620" s="722"/>
      <c r="E620" s="722"/>
      <c r="F620" s="716"/>
      <c r="G620" s="717"/>
      <c r="H620" s="718" t="s">
        <v>46</v>
      </c>
      <c r="I620" s="719">
        <f ca="1">IFERROR(__xludf.DUMMYFUNCTION("IMPORTRANGE(""https://docs.google.com/spreadsheets/d/1QqKyyYR6Q21VydFLVH3TRQUabQu_ym0Zz7PgGX0-kHA/edit?usp=sharing"",""แผน!HL65"")"),0)</f>
        <v>0</v>
      </c>
      <c r="J620" s="719">
        <f t="shared" ref="J620:J621" si="260">J622+J624+J626</f>
        <v>0</v>
      </c>
      <c r="K620" s="720">
        <f t="shared" ref="K620:K621" ca="1" si="261">IF(I620&gt;0,J620*100/I620,0)</f>
        <v>0</v>
      </c>
      <c r="L620" s="721"/>
      <c r="M620" s="721"/>
      <c r="N620" s="721"/>
      <c r="O620" s="721"/>
      <c r="P620" s="721"/>
      <c r="Q620" s="571"/>
      <c r="R620" s="571"/>
      <c r="S620" s="571"/>
      <c r="T620" s="571"/>
      <c r="U620" s="571"/>
      <c r="V620" s="571"/>
      <c r="W620" s="571"/>
      <c r="X620" s="571"/>
      <c r="Y620" s="571"/>
      <c r="Z620" s="571"/>
    </row>
    <row r="621" spans="1:26" ht="19.5" hidden="1">
      <c r="A621" s="713"/>
      <c r="B621" s="722"/>
      <c r="C621" s="722" t="s">
        <v>267</v>
      </c>
      <c r="D621" s="722"/>
      <c r="E621" s="722"/>
      <c r="F621" s="716"/>
      <c r="G621" s="717"/>
      <c r="H621" s="718" t="s">
        <v>34</v>
      </c>
      <c r="I621" s="719">
        <f ca="1">IFERROR(__xludf.DUMMYFUNCTION("IMPORTRANGE(""https://docs.google.com/spreadsheets/d/1QqKyyYR6Q21VydFLVH3TRQUabQu_ym0Zz7PgGX0-kHA/edit?usp=sharing"",""แผน!HK65"")"),0)</f>
        <v>0</v>
      </c>
      <c r="J621" s="719">
        <f t="shared" si="260"/>
        <v>0</v>
      </c>
      <c r="K621" s="720">
        <f t="shared" ca="1" si="261"/>
        <v>0</v>
      </c>
      <c r="L621" s="721"/>
      <c r="M621" s="721"/>
      <c r="N621" s="721"/>
      <c r="O621" s="721"/>
      <c r="P621" s="721"/>
      <c r="Q621" s="571"/>
      <c r="R621" s="571"/>
      <c r="S621" s="571"/>
      <c r="T621" s="571"/>
      <c r="U621" s="571"/>
      <c r="V621" s="571"/>
      <c r="W621" s="571"/>
      <c r="X621" s="571"/>
      <c r="Y621" s="571"/>
      <c r="Z621" s="571"/>
    </row>
    <row r="622" spans="1:26" ht="18.75" hidden="1">
      <c r="A622" s="601"/>
      <c r="B622" s="611"/>
      <c r="C622" s="611"/>
      <c r="D622" s="737" t="s">
        <v>268</v>
      </c>
      <c r="E622" s="619"/>
      <c r="F622" s="619"/>
      <c r="G622" s="753"/>
      <c r="H622" s="755" t="s">
        <v>46</v>
      </c>
      <c r="I622" s="269"/>
      <c r="J622" s="214">
        <v>0</v>
      </c>
      <c r="K622" s="163"/>
      <c r="L622" s="163"/>
      <c r="M622" s="163"/>
      <c r="N622" s="163"/>
      <c r="O622" s="163"/>
      <c r="P622" s="163"/>
      <c r="Q622" s="571"/>
      <c r="R622" s="571"/>
      <c r="S622" s="571"/>
      <c r="T622" s="571"/>
      <c r="U622" s="571"/>
      <c r="V622" s="571"/>
      <c r="W622" s="571"/>
      <c r="X622" s="571"/>
      <c r="Y622" s="571"/>
      <c r="Z622" s="571"/>
    </row>
    <row r="623" spans="1:26" ht="18.75" hidden="1">
      <c r="A623" s="601"/>
      <c r="B623" s="611"/>
      <c r="C623" s="611"/>
      <c r="D623" s="611"/>
      <c r="E623" s="619"/>
      <c r="F623" s="619"/>
      <c r="G623" s="753"/>
      <c r="H623" s="755" t="s">
        <v>34</v>
      </c>
      <c r="I623" s="269"/>
      <c r="J623" s="214">
        <v>0</v>
      </c>
      <c r="K623" s="163"/>
      <c r="L623" s="163"/>
      <c r="M623" s="163"/>
      <c r="N623" s="163"/>
      <c r="O623" s="163"/>
      <c r="P623" s="163"/>
      <c r="Q623" s="571"/>
      <c r="R623" s="571"/>
      <c r="S623" s="571"/>
      <c r="T623" s="571"/>
      <c r="U623" s="571"/>
      <c r="V623" s="571"/>
      <c r="W623" s="571"/>
      <c r="X623" s="571"/>
      <c r="Y623" s="571"/>
      <c r="Z623" s="571"/>
    </row>
    <row r="624" spans="1:26" ht="18.75" hidden="1">
      <c r="A624" s="601"/>
      <c r="B624" s="611"/>
      <c r="C624" s="611"/>
      <c r="D624" s="737" t="s">
        <v>264</v>
      </c>
      <c r="E624" s="619"/>
      <c r="F624" s="619"/>
      <c r="G624" s="753"/>
      <c r="H624" s="755" t="s">
        <v>46</v>
      </c>
      <c r="I624" s="269"/>
      <c r="J624" s="214">
        <v>0</v>
      </c>
      <c r="K624" s="163"/>
      <c r="L624" s="163"/>
      <c r="M624" s="163"/>
      <c r="N624" s="163"/>
      <c r="O624" s="163"/>
      <c r="P624" s="163"/>
      <c r="Q624" s="571"/>
      <c r="R624" s="571"/>
      <c r="S624" s="571"/>
      <c r="T624" s="571"/>
      <c r="U624" s="571"/>
      <c r="V624" s="571"/>
      <c r="W624" s="571"/>
      <c r="X624" s="571"/>
      <c r="Y624" s="571"/>
      <c r="Z624" s="571"/>
    </row>
    <row r="625" spans="1:26" ht="18.75" hidden="1">
      <c r="A625" s="601"/>
      <c r="B625" s="611"/>
      <c r="C625" s="611"/>
      <c r="D625" s="611"/>
      <c r="E625" s="619"/>
      <c r="F625" s="619"/>
      <c r="G625" s="753"/>
      <c r="H625" s="755" t="s">
        <v>34</v>
      </c>
      <c r="I625" s="269"/>
      <c r="J625" s="214">
        <v>0</v>
      </c>
      <c r="K625" s="163"/>
      <c r="L625" s="163"/>
      <c r="M625" s="163"/>
      <c r="N625" s="163"/>
      <c r="O625" s="163"/>
      <c r="P625" s="163"/>
      <c r="Q625" s="571"/>
      <c r="R625" s="571"/>
      <c r="S625" s="571"/>
      <c r="T625" s="571"/>
      <c r="U625" s="571"/>
      <c r="V625" s="571"/>
      <c r="W625" s="571"/>
      <c r="X625" s="571"/>
      <c r="Y625" s="571"/>
      <c r="Z625" s="571"/>
    </row>
    <row r="626" spans="1:26" ht="18.75" hidden="1">
      <c r="A626" s="601"/>
      <c r="B626" s="611"/>
      <c r="C626" s="611"/>
      <c r="D626" s="737" t="s">
        <v>269</v>
      </c>
      <c r="E626" s="619"/>
      <c r="F626" s="619"/>
      <c r="G626" s="753"/>
      <c r="H626" s="755" t="s">
        <v>46</v>
      </c>
      <c r="I626" s="269"/>
      <c r="J626" s="214">
        <v>0</v>
      </c>
      <c r="K626" s="163"/>
      <c r="L626" s="163"/>
      <c r="M626" s="163"/>
      <c r="N626" s="163"/>
      <c r="O626" s="163"/>
      <c r="P626" s="163"/>
      <c r="Q626" s="571"/>
      <c r="R626" s="571"/>
      <c r="S626" s="571"/>
      <c r="T626" s="571"/>
      <c r="U626" s="571"/>
      <c r="V626" s="571"/>
      <c r="W626" s="571"/>
      <c r="X626" s="571"/>
      <c r="Y626" s="571"/>
      <c r="Z626" s="571"/>
    </row>
    <row r="627" spans="1:26" ht="18.75" hidden="1">
      <c r="A627" s="723"/>
      <c r="B627" s="724"/>
      <c r="C627" s="724"/>
      <c r="D627" s="724"/>
      <c r="E627" s="725"/>
      <c r="F627" s="725"/>
      <c r="G627" s="726"/>
      <c r="H627" s="421" t="s">
        <v>34</v>
      </c>
      <c r="I627" s="499"/>
      <c r="J627" s="423">
        <v>0</v>
      </c>
      <c r="K627" s="384"/>
      <c r="L627" s="384"/>
      <c r="M627" s="384"/>
      <c r="N627" s="384"/>
      <c r="O627" s="384"/>
      <c r="P627" s="384"/>
      <c r="Q627" s="571"/>
      <c r="R627" s="571"/>
      <c r="S627" s="571"/>
      <c r="T627" s="571"/>
      <c r="U627" s="571"/>
      <c r="V627" s="571"/>
      <c r="W627" s="571"/>
      <c r="X627" s="571"/>
      <c r="Y627" s="571"/>
      <c r="Z627" s="571"/>
    </row>
    <row r="628" spans="1:26" ht="19.5" hidden="1">
      <c r="A628" s="727">
        <v>7</v>
      </c>
      <c r="B628" s="728" t="s">
        <v>270</v>
      </c>
      <c r="C628" s="729"/>
      <c r="D628" s="729"/>
      <c r="E628" s="729"/>
      <c r="F628" s="729"/>
      <c r="G628" s="730"/>
      <c r="H628" s="731" t="s">
        <v>35</v>
      </c>
      <c r="I628" s="732">
        <f t="shared" ref="I628:J628" ca="1" si="262">I651</f>
        <v>0</v>
      </c>
      <c r="J628" s="732">
        <f t="shared" ca="1" si="262"/>
        <v>0</v>
      </c>
      <c r="K628" s="733">
        <f ca="1">IF(I628&gt;0,J628*100/I628,0)</f>
        <v>0</v>
      </c>
      <c r="L628" s="734"/>
      <c r="M628" s="734"/>
      <c r="N628" s="734"/>
      <c r="O628" s="734"/>
      <c r="P628" s="734"/>
      <c r="Q628" s="571"/>
      <c r="R628" s="571"/>
      <c r="S628" s="571"/>
      <c r="T628" s="571"/>
      <c r="U628" s="571"/>
      <c r="V628" s="571"/>
      <c r="W628" s="571"/>
      <c r="X628" s="571"/>
      <c r="Y628" s="571"/>
      <c r="Z628" s="571"/>
    </row>
    <row r="629" spans="1:26" ht="19.5" hidden="1">
      <c r="A629" s="590"/>
      <c r="B629" s="754"/>
      <c r="C629" s="754" t="s">
        <v>16</v>
      </c>
      <c r="D629" s="863" t="s">
        <v>17</v>
      </c>
      <c r="E629" s="857"/>
      <c r="F629" s="857"/>
      <c r="G629" s="189"/>
      <c r="H629" s="591" t="s">
        <v>12</v>
      </c>
      <c r="I629" s="269"/>
      <c r="J629" s="269"/>
      <c r="K629" s="496"/>
      <c r="L629" s="195">
        <f t="shared" ref="L629:N629" ca="1" si="263">L630+L631</f>
        <v>0</v>
      </c>
      <c r="M629" s="195">
        <f t="shared" si="263"/>
        <v>0</v>
      </c>
      <c r="N629" s="195">
        <f t="shared" si="263"/>
        <v>0</v>
      </c>
      <c r="O629" s="195">
        <f t="shared" ref="O629:O634" ca="1" si="264">IF(L629&gt;0,N629*100/L629,0)</f>
        <v>0</v>
      </c>
      <c r="P629" s="195">
        <f t="shared" ref="P629:P634" si="265">IF(M629&gt;0,N629*100/M629,0)</f>
        <v>0</v>
      </c>
      <c r="Q629" s="571"/>
      <c r="R629" s="571"/>
      <c r="S629" s="571"/>
      <c r="T629" s="571"/>
      <c r="U629" s="571"/>
      <c r="V629" s="571"/>
      <c r="W629" s="571"/>
      <c r="X629" s="571"/>
      <c r="Y629" s="571"/>
      <c r="Z629" s="571"/>
    </row>
    <row r="630" spans="1:26" ht="18.75" hidden="1">
      <c r="A630" s="592"/>
      <c r="B630" s="750"/>
      <c r="C630" s="750"/>
      <c r="D630" s="711"/>
      <c r="E630" s="750" t="s">
        <v>184</v>
      </c>
      <c r="F630" s="750"/>
      <c r="G630" s="596"/>
      <c r="H630" s="165" t="s">
        <v>12</v>
      </c>
      <c r="I630" s="610"/>
      <c r="J630" s="610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597"/>
      <c r="R630" s="597"/>
      <c r="S630" s="597"/>
      <c r="T630" s="597"/>
      <c r="U630" s="597"/>
      <c r="V630" s="597"/>
      <c r="W630" s="597"/>
      <c r="X630" s="597"/>
      <c r="Y630" s="597"/>
      <c r="Z630" s="597"/>
    </row>
    <row r="631" spans="1:26" ht="18.75" hidden="1">
      <c r="A631" s="592"/>
      <c r="B631" s="600"/>
      <c r="C631" s="750"/>
      <c r="D631" s="711"/>
      <c r="E631" s="750" t="s">
        <v>185</v>
      </c>
      <c r="F631" s="750"/>
      <c r="G631" s="596"/>
      <c r="H631" s="165" t="s">
        <v>12</v>
      </c>
      <c r="I631" s="610"/>
      <c r="J631" s="610"/>
      <c r="K631" s="93"/>
      <c r="L631" s="93">
        <f t="shared" ca="1" si="266"/>
        <v>0</v>
      </c>
      <c r="M631" s="93">
        <f t="shared" si="266"/>
        <v>0</v>
      </c>
      <c r="N631" s="93">
        <f t="shared" si="266"/>
        <v>0</v>
      </c>
      <c r="O631" s="93">
        <f t="shared" ca="1" si="264"/>
        <v>0</v>
      </c>
      <c r="P631" s="93">
        <f t="shared" si="265"/>
        <v>0</v>
      </c>
      <c r="Q631" s="597"/>
      <c r="R631" s="597"/>
      <c r="S631" s="597"/>
      <c r="T631" s="597"/>
      <c r="U631" s="597"/>
      <c r="V631" s="597"/>
      <c r="W631" s="597"/>
      <c r="X631" s="597"/>
      <c r="Y631" s="597"/>
      <c r="Z631" s="597"/>
    </row>
    <row r="632" spans="1:26" ht="18.75" hidden="1">
      <c r="A632" s="590"/>
      <c r="B632" s="568"/>
      <c r="C632" s="754"/>
      <c r="D632" s="599" t="s">
        <v>20</v>
      </c>
      <c r="E632" s="754"/>
      <c r="F632" s="754"/>
      <c r="G632" s="189"/>
      <c r="H632" s="161" t="s">
        <v>12</v>
      </c>
      <c r="I632" s="184"/>
      <c r="J632" s="184"/>
      <c r="K632" s="163"/>
      <c r="L632" s="496">
        <f t="shared" ref="L632:N632" ca="1" si="267">L633+L634</f>
        <v>0</v>
      </c>
      <c r="M632" s="496">
        <f t="shared" si="267"/>
        <v>0</v>
      </c>
      <c r="N632" s="496">
        <f t="shared" si="267"/>
        <v>0</v>
      </c>
      <c r="O632" s="496">
        <f t="shared" ca="1" si="264"/>
        <v>0</v>
      </c>
      <c r="P632" s="496">
        <f t="shared" si="265"/>
        <v>0</v>
      </c>
      <c r="Q632" s="571"/>
      <c r="R632" s="571"/>
      <c r="S632" s="571"/>
      <c r="T632" s="571"/>
      <c r="U632" s="571"/>
      <c r="V632" s="571"/>
      <c r="W632" s="571"/>
      <c r="X632" s="571"/>
      <c r="Y632" s="571"/>
      <c r="Z632" s="571"/>
    </row>
    <row r="633" spans="1:26" ht="18.75" hidden="1">
      <c r="A633" s="592"/>
      <c r="B633" s="600"/>
      <c r="C633" s="750"/>
      <c r="D633" s="711"/>
      <c r="E633" s="750" t="s">
        <v>184</v>
      </c>
      <c r="F633" s="750"/>
      <c r="G633" s="596"/>
      <c r="H633" s="165" t="s">
        <v>12</v>
      </c>
      <c r="I633" s="610"/>
      <c r="J633" s="610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597"/>
      <c r="R633" s="597"/>
      <c r="S633" s="597"/>
      <c r="T633" s="597"/>
      <c r="U633" s="597"/>
      <c r="V633" s="597"/>
      <c r="W633" s="597"/>
      <c r="X633" s="597"/>
      <c r="Y633" s="597"/>
      <c r="Z633" s="597"/>
    </row>
    <row r="634" spans="1:26" ht="18.75" hidden="1">
      <c r="A634" s="592"/>
      <c r="B634" s="600"/>
      <c r="C634" s="750"/>
      <c r="D634" s="711"/>
      <c r="E634" s="750" t="s">
        <v>185</v>
      </c>
      <c r="F634" s="750"/>
      <c r="G634" s="596"/>
      <c r="H634" s="165" t="s">
        <v>12</v>
      </c>
      <c r="I634" s="610"/>
      <c r="J634" s="610"/>
      <c r="K634" s="93"/>
      <c r="L634" s="93">
        <f ca="1">IFERROR(__xludf.DUMMYFUNCTION("IMPORTRANGE(""https://docs.google.com/spreadsheets/d/1QqKyyYR6Q21VydFLVH3TRQUabQu_ym0Zz7PgGX0-kHA/edit?usp=sharing"",""แผน!HN65"")"),0)</f>
        <v>0</v>
      </c>
      <c r="M634" s="93">
        <v>0</v>
      </c>
      <c r="N634" s="93">
        <f>N635+N636+N637+N638</f>
        <v>0</v>
      </c>
      <c r="O634" s="93">
        <f t="shared" ca="1" si="264"/>
        <v>0</v>
      </c>
      <c r="P634" s="93">
        <f t="shared" si="265"/>
        <v>0</v>
      </c>
      <c r="Q634" s="597"/>
      <c r="R634" s="597"/>
      <c r="S634" s="597"/>
      <c r="T634" s="597"/>
      <c r="U634" s="597"/>
      <c r="V634" s="597"/>
      <c r="W634" s="597"/>
      <c r="X634" s="597"/>
      <c r="Y634" s="597"/>
      <c r="Z634" s="597"/>
    </row>
    <row r="635" spans="1:26" ht="18.75" hidden="1">
      <c r="A635" s="567"/>
      <c r="B635" s="568"/>
      <c r="C635" s="754"/>
      <c r="D635" s="754"/>
      <c r="E635" s="754"/>
      <c r="F635" s="754" t="s">
        <v>186</v>
      </c>
      <c r="G635" s="189"/>
      <c r="H635" s="161" t="s">
        <v>12</v>
      </c>
      <c r="I635" s="269"/>
      <c r="J635" s="269"/>
      <c r="K635" s="496"/>
      <c r="L635" s="496"/>
      <c r="M635" s="496"/>
      <c r="N635" s="817">
        <v>0</v>
      </c>
      <c r="O635" s="496"/>
      <c r="P635" s="496"/>
      <c r="Q635" s="571"/>
      <c r="R635" s="571"/>
      <c r="S635" s="571"/>
      <c r="T635" s="571"/>
      <c r="U635" s="571"/>
      <c r="V635" s="571"/>
      <c r="W635" s="571"/>
      <c r="X635" s="571"/>
      <c r="Y635" s="571"/>
      <c r="Z635" s="571"/>
    </row>
    <row r="636" spans="1:26" ht="18.75" hidden="1">
      <c r="A636" s="567"/>
      <c r="B636" s="568"/>
      <c r="C636" s="754"/>
      <c r="D636" s="754"/>
      <c r="E636" s="754"/>
      <c r="F636" s="754" t="s">
        <v>187</v>
      </c>
      <c r="G636" s="189"/>
      <c r="H636" s="161" t="s">
        <v>12</v>
      </c>
      <c r="I636" s="269"/>
      <c r="J636" s="269"/>
      <c r="K636" s="496"/>
      <c r="L636" s="496"/>
      <c r="M636" s="496"/>
      <c r="N636" s="817">
        <v>0</v>
      </c>
      <c r="O636" s="496"/>
      <c r="P636" s="496"/>
      <c r="Q636" s="571"/>
      <c r="R636" s="571"/>
      <c r="S636" s="571"/>
      <c r="T636" s="571"/>
      <c r="U636" s="571"/>
      <c r="V636" s="571"/>
      <c r="W636" s="571"/>
      <c r="X636" s="571"/>
      <c r="Y636" s="571"/>
      <c r="Z636" s="571"/>
    </row>
    <row r="637" spans="1:26" ht="18.75" hidden="1">
      <c r="A637" s="567"/>
      <c r="B637" s="568"/>
      <c r="C637" s="754"/>
      <c r="D637" s="754"/>
      <c r="E637" s="754"/>
      <c r="F637" s="754" t="s">
        <v>188</v>
      </c>
      <c r="G637" s="189"/>
      <c r="H637" s="161" t="s">
        <v>12</v>
      </c>
      <c r="I637" s="269"/>
      <c r="J637" s="269"/>
      <c r="K637" s="496"/>
      <c r="L637" s="496"/>
      <c r="M637" s="496"/>
      <c r="N637" s="817">
        <v>0</v>
      </c>
      <c r="O637" s="496"/>
      <c r="P637" s="496"/>
      <c r="Q637" s="571"/>
      <c r="R637" s="571"/>
      <c r="S637" s="571"/>
      <c r="T637" s="571"/>
      <c r="U637" s="571"/>
      <c r="V637" s="571"/>
      <c r="W637" s="571"/>
      <c r="X637" s="571"/>
      <c r="Y637" s="571"/>
      <c r="Z637" s="571"/>
    </row>
    <row r="638" spans="1:26" ht="18.75" hidden="1">
      <c r="A638" s="567"/>
      <c r="B638" s="568"/>
      <c r="C638" s="754"/>
      <c r="D638" s="754"/>
      <c r="E638" s="754"/>
      <c r="F638" s="754" t="s">
        <v>189</v>
      </c>
      <c r="G638" s="189"/>
      <c r="H638" s="161" t="s">
        <v>12</v>
      </c>
      <c r="I638" s="269"/>
      <c r="J638" s="269"/>
      <c r="K638" s="496"/>
      <c r="L638" s="496"/>
      <c r="M638" s="496"/>
      <c r="N638" s="817">
        <v>0</v>
      </c>
      <c r="O638" s="496"/>
      <c r="P638" s="496"/>
      <c r="Q638" s="571"/>
      <c r="R638" s="571"/>
      <c r="S638" s="571"/>
      <c r="T638" s="571"/>
      <c r="U638" s="571"/>
      <c r="V638" s="571"/>
      <c r="W638" s="571"/>
      <c r="X638" s="571"/>
      <c r="Y638" s="571"/>
      <c r="Z638" s="571"/>
    </row>
    <row r="639" spans="1:26" ht="18.75" hidden="1">
      <c r="A639" s="590"/>
      <c r="B639" s="568"/>
      <c r="C639" s="754"/>
      <c r="D639" s="599" t="s">
        <v>21</v>
      </c>
      <c r="E639" s="754"/>
      <c r="F639" s="754"/>
      <c r="G639" s="189"/>
      <c r="H639" s="168" t="s">
        <v>12</v>
      </c>
      <c r="I639" s="184"/>
      <c r="J639" s="184"/>
      <c r="K639" s="163"/>
      <c r="L639" s="496">
        <f t="shared" ref="L639:N639" ca="1" si="268">L640+L641</f>
        <v>0</v>
      </c>
      <c r="M639" s="496">
        <f t="shared" si="268"/>
        <v>0</v>
      </c>
      <c r="N639" s="496">
        <f t="shared" si="268"/>
        <v>0</v>
      </c>
      <c r="O639" s="496">
        <f t="shared" ref="O639:O641" ca="1" si="269">IF(L639&gt;0,N639*100/L639,0)</f>
        <v>0</v>
      </c>
      <c r="P639" s="496">
        <f t="shared" ref="P639:P641" si="270">IF(M639&gt;0,N639*100/M639,0)</f>
        <v>0</v>
      </c>
      <c r="Q639" s="571"/>
      <c r="R639" s="571"/>
      <c r="S639" s="571"/>
      <c r="T639" s="571"/>
      <c r="U639" s="571"/>
      <c r="V639" s="571"/>
      <c r="W639" s="571"/>
      <c r="X639" s="571"/>
      <c r="Y639" s="571"/>
      <c r="Z639" s="571"/>
    </row>
    <row r="640" spans="1:26" ht="18.75" hidden="1">
      <c r="A640" s="592"/>
      <c r="B640" s="600"/>
      <c r="C640" s="750"/>
      <c r="D640" s="750"/>
      <c r="E640" s="750" t="s">
        <v>18</v>
      </c>
      <c r="F640" s="750"/>
      <c r="G640" s="596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597"/>
      <c r="R640" s="597"/>
      <c r="S640" s="597"/>
      <c r="T640" s="597"/>
      <c r="U640" s="597"/>
      <c r="V640" s="597"/>
      <c r="W640" s="597"/>
      <c r="X640" s="597"/>
      <c r="Y640" s="597"/>
      <c r="Z640" s="597"/>
    </row>
    <row r="641" spans="1:26" ht="18.75" hidden="1">
      <c r="A641" s="592"/>
      <c r="B641" s="600"/>
      <c r="C641" s="750"/>
      <c r="D641" s="750"/>
      <c r="E641" s="750" t="s">
        <v>19</v>
      </c>
      <c r="F641" s="750"/>
      <c r="G641" s="596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IFERROR(__xludf.DUMMYFUNCTION("IMPORTRANGE(""https://docs.google.com/spreadsheets/d/1QqKyyYR6Q21VydFLVH3TRQUabQu_ym0Zz7PgGX0-kHA/edit?usp=sharing"",""แผน!HQ65"")"),0)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597"/>
      <c r="R641" s="597"/>
      <c r="S641" s="597"/>
      <c r="T641" s="597"/>
      <c r="U641" s="597"/>
      <c r="V641" s="597"/>
      <c r="W641" s="597"/>
      <c r="X641" s="597"/>
      <c r="Y641" s="597"/>
      <c r="Z641" s="597"/>
    </row>
    <row r="642" spans="1:26" ht="19.5" hidden="1">
      <c r="A642" s="601"/>
      <c r="B642" s="611"/>
      <c r="C642" s="754" t="s">
        <v>16</v>
      </c>
      <c r="D642" s="839" t="s">
        <v>38</v>
      </c>
      <c r="E642" s="752"/>
      <c r="F642" s="752"/>
      <c r="G642" s="606"/>
      <c r="H642" s="753"/>
      <c r="I642" s="184"/>
      <c r="J642" s="184"/>
      <c r="K642" s="163"/>
      <c r="L642" s="163"/>
      <c r="M642" s="163"/>
      <c r="N642" s="163"/>
      <c r="O642" s="163"/>
      <c r="P642" s="163"/>
      <c r="Q642" s="571"/>
      <c r="R642" s="571"/>
      <c r="S642" s="571"/>
      <c r="T642" s="571"/>
      <c r="U642" s="571"/>
      <c r="V642" s="571"/>
      <c r="W642" s="571"/>
      <c r="X642" s="571"/>
      <c r="Y642" s="571"/>
      <c r="Z642" s="571"/>
    </row>
    <row r="643" spans="1:26" ht="18.75" hidden="1">
      <c r="A643" s="735"/>
      <c r="B643" s="568"/>
      <c r="C643" s="754"/>
      <c r="D643" s="619"/>
      <c r="E643" s="737" t="s">
        <v>271</v>
      </c>
      <c r="F643" s="619"/>
      <c r="G643" s="753"/>
      <c r="H643" s="755" t="s">
        <v>272</v>
      </c>
      <c r="I643" s="269">
        <f ca="1">IFERROR(__xludf.DUMMYFUNCTION("IMPORTRANGE(""https://docs.google.com/spreadsheets/d/1QqKyyYR6Q21VydFLVH3TRQUabQu_ym0Zz7PgGX0-kHA/edit?usp=sharing"",""แผน!HR65"")"),0)</f>
        <v>0</v>
      </c>
      <c r="J643" s="214">
        <v>0</v>
      </c>
      <c r="K643" s="163">
        <f t="shared" ref="K643:K652" ca="1" si="271">IF(I643&gt;0,J643*100/I643,0)</f>
        <v>0</v>
      </c>
      <c r="L643" s="163"/>
      <c r="M643" s="163"/>
      <c r="N643" s="496"/>
      <c r="O643" s="163"/>
      <c r="P643" s="163"/>
      <c r="Q643" s="571"/>
      <c r="R643" s="571"/>
      <c r="S643" s="571"/>
      <c r="T643" s="571"/>
      <c r="U643" s="571"/>
      <c r="V643" s="571"/>
      <c r="W643" s="571"/>
      <c r="X643" s="571"/>
      <c r="Y643" s="571"/>
      <c r="Z643" s="571"/>
    </row>
    <row r="644" spans="1:26" ht="18.75" hidden="1">
      <c r="A644" s="735"/>
      <c r="B644" s="568"/>
      <c r="C644" s="754"/>
      <c r="D644" s="619"/>
      <c r="E644" s="737" t="s">
        <v>273</v>
      </c>
      <c r="F644" s="619"/>
      <c r="G644" s="753"/>
      <c r="H644" s="755" t="s">
        <v>274</v>
      </c>
      <c r="I644" s="269">
        <f ca="1">IFERROR(__xludf.DUMMYFUNCTION("IMPORTRANGE(""https://docs.google.com/spreadsheets/d/1QqKyyYR6Q21VydFLVH3TRQUabQu_ym0Zz7PgGX0-kHA/edit?usp=sharing"",""แผน!HR65"")"),0)</f>
        <v>0</v>
      </c>
      <c r="J644" s="214">
        <v>0</v>
      </c>
      <c r="K644" s="163">
        <f t="shared" ca="1" si="271"/>
        <v>0</v>
      </c>
      <c r="L644" s="163"/>
      <c r="M644" s="163"/>
      <c r="N644" s="496"/>
      <c r="O644" s="163"/>
      <c r="P644" s="163"/>
      <c r="Q644" s="571"/>
      <c r="R644" s="571"/>
      <c r="S644" s="571"/>
      <c r="T644" s="571"/>
      <c r="U644" s="571"/>
      <c r="V644" s="571"/>
      <c r="W644" s="571"/>
      <c r="X644" s="571"/>
      <c r="Y644" s="571"/>
      <c r="Z644" s="571"/>
    </row>
    <row r="645" spans="1:26" ht="18.75" hidden="1">
      <c r="A645" s="735"/>
      <c r="B645" s="568"/>
      <c r="C645" s="754"/>
      <c r="D645" s="619"/>
      <c r="E645" s="737" t="s">
        <v>275</v>
      </c>
      <c r="F645" s="619"/>
      <c r="G645" s="753"/>
      <c r="H645" s="755" t="s">
        <v>34</v>
      </c>
      <c r="I645" s="269">
        <v>0</v>
      </c>
      <c r="J645" s="269">
        <f ca="1">IFERROR(__xludf.DUMMYFUNCTION("IMPORTRANGE(""https://docs.google.com/spreadsheets/d/1XWAQStnk-4SwqDmLtmXYiTMKHgktTP8We1SCoS47DrQ/edit?usp=sharing"",""จัดที่ดิน!AS65"")"),0)</f>
        <v>0</v>
      </c>
      <c r="K645" s="163">
        <f t="shared" si="271"/>
        <v>0</v>
      </c>
      <c r="L645" s="163"/>
      <c r="M645" s="163"/>
      <c r="N645" s="496"/>
      <c r="O645" s="163"/>
      <c r="P645" s="163"/>
      <c r="Q645" s="571"/>
      <c r="R645" s="571"/>
      <c r="S645" s="571"/>
      <c r="T645" s="571"/>
      <c r="U645" s="571"/>
      <c r="V645" s="571"/>
      <c r="W645" s="571"/>
      <c r="X645" s="571"/>
      <c r="Y645" s="571"/>
      <c r="Z645" s="571"/>
    </row>
    <row r="646" spans="1:26" ht="18.75" hidden="1">
      <c r="A646" s="735"/>
      <c r="B646" s="568"/>
      <c r="C646" s="754"/>
      <c r="D646" s="619"/>
      <c r="E646" s="619"/>
      <c r="F646" s="619"/>
      <c r="G646" s="753"/>
      <c r="H646" s="755" t="s">
        <v>46</v>
      </c>
      <c r="I646" s="269">
        <v>0</v>
      </c>
      <c r="J646" s="269">
        <f ca="1">IFERROR(__xludf.DUMMYFUNCTION("IMPORTRANGE(""https://docs.google.com/spreadsheets/d/1XWAQStnk-4SwqDmLtmXYiTMKHgktTP8We1SCoS47DrQ/edit?usp=sharing"",""จัดที่ดิน!AT65"")"),0)</f>
        <v>0</v>
      </c>
      <c r="K646" s="496">
        <f t="shared" si="271"/>
        <v>0</v>
      </c>
      <c r="L646" s="163"/>
      <c r="M646" s="163"/>
      <c r="N646" s="496"/>
      <c r="O646" s="163"/>
      <c r="P646" s="163"/>
      <c r="Q646" s="571"/>
      <c r="R646" s="571"/>
      <c r="S646" s="571"/>
      <c r="T646" s="571"/>
      <c r="U646" s="571"/>
      <c r="V646" s="571"/>
      <c r="W646" s="571"/>
      <c r="X646" s="571"/>
      <c r="Y646" s="571"/>
      <c r="Z646" s="571"/>
    </row>
    <row r="647" spans="1:26" ht="18.75" hidden="1">
      <c r="A647" s="735"/>
      <c r="B647" s="568"/>
      <c r="C647" s="754"/>
      <c r="D647" s="619"/>
      <c r="E647" s="737" t="s">
        <v>162</v>
      </c>
      <c r="F647" s="619"/>
      <c r="G647" s="753"/>
      <c r="H647" s="755" t="s">
        <v>35</v>
      </c>
      <c r="I647" s="269">
        <f ca="1">IFERROR(__xludf.DUMMYFUNCTION("IMPORTRANGE(""https://docs.google.com/spreadsheets/d/1QqKyyYR6Q21VydFLVH3TRQUabQu_ym0Zz7PgGX0-kHA/edit?usp=sharing"",""แผน!HS65"")"),0)</f>
        <v>0</v>
      </c>
      <c r="J647" s="269">
        <f ca="1">IFERROR(__xludf.DUMMYFUNCTION("IMPORTRANGE(""https://docs.google.com/spreadsheets/d/1XWAQStnk-4SwqDmLtmXYiTMKHgktTP8We1SCoS47DrQ/edit?usp=sharing"",""จัดที่ดิน!AU65"")"),0)</f>
        <v>0</v>
      </c>
      <c r="K647" s="163">
        <f t="shared" ca="1" si="271"/>
        <v>0</v>
      </c>
      <c r="L647" s="163"/>
      <c r="M647" s="163"/>
      <c r="N647" s="163"/>
      <c r="O647" s="163"/>
      <c r="P647" s="163"/>
      <c r="Q647" s="571"/>
      <c r="R647" s="571"/>
      <c r="S647" s="571"/>
      <c r="T647" s="571"/>
      <c r="U647" s="571"/>
      <c r="V647" s="571"/>
      <c r="W647" s="571"/>
      <c r="X647" s="571"/>
      <c r="Y647" s="571"/>
      <c r="Z647" s="571"/>
    </row>
    <row r="648" spans="1:26" ht="18.75" hidden="1">
      <c r="A648" s="735"/>
      <c r="B648" s="568"/>
      <c r="C648" s="754"/>
      <c r="D648" s="619"/>
      <c r="E648" s="619"/>
      <c r="F648" s="619"/>
      <c r="G648" s="753"/>
      <c r="H648" s="755" t="s">
        <v>46</v>
      </c>
      <c r="I648" s="269">
        <v>0</v>
      </c>
      <c r="J648" s="269">
        <f ca="1">IFERROR(__xludf.DUMMYFUNCTION("IMPORTRANGE(""https://docs.google.com/spreadsheets/d/1XWAQStnk-4SwqDmLtmXYiTMKHgktTP8We1SCoS47DrQ/edit?usp=sharing"",""จัดที่ดิน!AV65"")"),0)</f>
        <v>0</v>
      </c>
      <c r="K648" s="496">
        <f t="shared" si="271"/>
        <v>0</v>
      </c>
      <c r="L648" s="163"/>
      <c r="M648" s="163"/>
      <c r="N648" s="163"/>
      <c r="O648" s="163"/>
      <c r="P648" s="163"/>
      <c r="Q648" s="571"/>
      <c r="R648" s="571"/>
      <c r="S648" s="571"/>
      <c r="T648" s="571"/>
      <c r="U648" s="571"/>
      <c r="V648" s="571"/>
      <c r="W648" s="571"/>
      <c r="X648" s="571"/>
      <c r="Y648" s="571"/>
      <c r="Z648" s="571"/>
    </row>
    <row r="649" spans="1:26" ht="18.75" hidden="1">
      <c r="A649" s="735"/>
      <c r="B649" s="568"/>
      <c r="C649" s="754"/>
      <c r="D649" s="619"/>
      <c r="E649" s="737" t="s">
        <v>276</v>
      </c>
      <c r="F649" s="619"/>
      <c r="G649" s="753"/>
      <c r="H649" s="755" t="s">
        <v>35</v>
      </c>
      <c r="I649" s="269">
        <f ca="1">IFERROR(__xludf.DUMMYFUNCTION("IMPORTRANGE(""https://docs.google.com/spreadsheets/d/1QqKyyYR6Q21VydFLVH3TRQUabQu_ym0Zz7PgGX0-kHA/edit?usp=sharing"",""แผน!HS65"")"),0)</f>
        <v>0</v>
      </c>
      <c r="J649" s="269">
        <f ca="1">IFERROR(__xludf.DUMMYFUNCTION("IMPORTRANGE(""https://docs.google.com/spreadsheets/d/1XWAQStnk-4SwqDmLtmXYiTMKHgktTP8We1SCoS47DrQ/edit?usp=sharing"",""จัดที่ดิน!AW65"")"),0)</f>
        <v>0</v>
      </c>
      <c r="K649" s="163">
        <f t="shared" ca="1" si="271"/>
        <v>0</v>
      </c>
      <c r="L649" s="163"/>
      <c r="M649" s="163"/>
      <c r="N649" s="163"/>
      <c r="O649" s="163"/>
      <c r="P649" s="163"/>
      <c r="Q649" s="571"/>
      <c r="R649" s="571"/>
      <c r="S649" s="571"/>
      <c r="T649" s="571"/>
      <c r="U649" s="571"/>
      <c r="V649" s="571"/>
      <c r="W649" s="571"/>
      <c r="X649" s="571"/>
      <c r="Y649" s="571"/>
      <c r="Z649" s="571"/>
    </row>
    <row r="650" spans="1:26" ht="18.75" hidden="1">
      <c r="A650" s="735"/>
      <c r="B650" s="568"/>
      <c r="C650" s="754"/>
      <c r="D650" s="619"/>
      <c r="E650" s="619"/>
      <c r="F650" s="619"/>
      <c r="G650" s="753"/>
      <c r="H650" s="755" t="s">
        <v>46</v>
      </c>
      <c r="I650" s="269">
        <v>0</v>
      </c>
      <c r="J650" s="269">
        <f ca="1">IFERROR(__xludf.DUMMYFUNCTION("IMPORTRANGE(""https://docs.google.com/spreadsheets/d/1XWAQStnk-4SwqDmLtmXYiTMKHgktTP8We1SCoS47DrQ/edit?usp=sharing"",""จัดที่ดิน!AX65"")"),0)</f>
        <v>0</v>
      </c>
      <c r="K650" s="496">
        <f t="shared" si="271"/>
        <v>0</v>
      </c>
      <c r="L650" s="163"/>
      <c r="M650" s="163"/>
      <c r="N650" s="163"/>
      <c r="O650" s="163"/>
      <c r="P650" s="163"/>
      <c r="Q650" s="571"/>
      <c r="R650" s="571"/>
      <c r="S650" s="571"/>
      <c r="T650" s="571"/>
      <c r="U650" s="571"/>
      <c r="V650" s="571"/>
      <c r="W650" s="571"/>
      <c r="X650" s="571"/>
      <c r="Y650" s="571"/>
      <c r="Z650" s="571"/>
    </row>
    <row r="651" spans="1:26" ht="18.75" hidden="1">
      <c r="A651" s="735"/>
      <c r="B651" s="568"/>
      <c r="C651" s="754"/>
      <c r="D651" s="619"/>
      <c r="E651" s="737" t="s">
        <v>277</v>
      </c>
      <c r="F651" s="619"/>
      <c r="G651" s="753"/>
      <c r="H651" s="755" t="s">
        <v>35</v>
      </c>
      <c r="I651" s="269">
        <f ca="1">IFERROR(__xludf.DUMMYFUNCTION("IMPORTRANGE(""https://docs.google.com/spreadsheets/d/1QqKyyYR6Q21VydFLVH3TRQUabQu_ym0Zz7PgGX0-kHA/edit?usp=sharing"",""แผน!HS65"")"),0)</f>
        <v>0</v>
      </c>
      <c r="J651" s="269">
        <f ca="1">IFERROR(__xludf.DUMMYFUNCTION("IMPORTRANGE(""https://docs.google.com/spreadsheets/d/1XWAQStnk-4SwqDmLtmXYiTMKHgktTP8We1SCoS47DrQ/edit?usp=sharing"",""จัดที่ดิน!AY65"")"),0)</f>
        <v>0</v>
      </c>
      <c r="K651" s="163">
        <f t="shared" ca="1" si="271"/>
        <v>0</v>
      </c>
      <c r="L651" s="163"/>
      <c r="M651" s="163"/>
      <c r="N651" s="163"/>
      <c r="O651" s="163"/>
      <c r="P651" s="163"/>
      <c r="Q651" s="571"/>
      <c r="R651" s="571"/>
      <c r="S651" s="571"/>
      <c r="T651" s="571"/>
      <c r="U651" s="571"/>
      <c r="V651" s="571"/>
      <c r="W651" s="571"/>
      <c r="X651" s="571"/>
      <c r="Y651" s="571"/>
      <c r="Z651" s="571"/>
    </row>
    <row r="652" spans="1:26" ht="18.75" hidden="1">
      <c r="A652" s="738"/>
      <c r="B652" s="739"/>
      <c r="C652" s="740"/>
      <c r="D652" s="725"/>
      <c r="E652" s="725"/>
      <c r="F652" s="725"/>
      <c r="G652" s="726"/>
      <c r="H652" s="498" t="s">
        <v>46</v>
      </c>
      <c r="I652" s="499">
        <v>0</v>
      </c>
      <c r="J652" s="499">
        <f ca="1">IFERROR(__xludf.DUMMYFUNCTION("IMPORTRANGE(""https://docs.google.com/spreadsheets/d/1XWAQStnk-4SwqDmLtmXYiTMKHgktTP8We1SCoS47DrQ/edit?usp=sharing"",""จัดที่ดิน!AZ65"")"),0)</f>
        <v>0</v>
      </c>
      <c r="K652" s="500">
        <f t="shared" si="271"/>
        <v>0</v>
      </c>
      <c r="L652" s="384"/>
      <c r="M652" s="384"/>
      <c r="N652" s="384"/>
      <c r="O652" s="384"/>
      <c r="P652" s="384"/>
      <c r="Q652" s="571"/>
      <c r="R652" s="571"/>
      <c r="S652" s="571"/>
      <c r="T652" s="571"/>
      <c r="U652" s="571"/>
      <c r="V652" s="571"/>
      <c r="W652" s="571"/>
      <c r="X652" s="571"/>
      <c r="Y652" s="571"/>
      <c r="Z652" s="571"/>
    </row>
    <row r="653" spans="1:26" ht="19.5">
      <c r="A653" s="741">
        <v>8</v>
      </c>
      <c r="B653" s="728" t="s">
        <v>278</v>
      </c>
      <c r="C653" s="729"/>
      <c r="D653" s="729"/>
      <c r="E653" s="729"/>
      <c r="F653" s="729"/>
      <c r="G653" s="730"/>
      <c r="H653" s="730"/>
      <c r="I653" s="742"/>
      <c r="J653" s="742"/>
      <c r="K653" s="734"/>
      <c r="L653" s="734"/>
      <c r="M653" s="734"/>
      <c r="N653" s="734"/>
      <c r="O653" s="734"/>
      <c r="P653" s="734"/>
      <c r="Q653" s="571"/>
      <c r="R653" s="571"/>
      <c r="S653" s="571"/>
      <c r="T653" s="571"/>
      <c r="U653" s="571"/>
      <c r="V653" s="571"/>
      <c r="W653" s="571"/>
      <c r="X653" s="571"/>
      <c r="Y653" s="571"/>
      <c r="Z653" s="571"/>
    </row>
    <row r="654" spans="1:26" ht="19.5">
      <c r="A654" s="666"/>
      <c r="B654" s="665" t="s">
        <v>279</v>
      </c>
      <c r="C654" s="666"/>
      <c r="D654" s="666"/>
      <c r="E654" s="666"/>
      <c r="F654" s="666"/>
      <c r="G654" s="667"/>
      <c r="H654" s="698" t="s">
        <v>46</v>
      </c>
      <c r="I654" s="699">
        <f t="shared" ref="I654:J654" ca="1" si="272">I669</f>
        <v>50</v>
      </c>
      <c r="J654" s="699">
        <f t="shared" si="272"/>
        <v>0</v>
      </c>
      <c r="K654" s="670">
        <f ca="1">IF(I654&gt;0,J654*100/I654,0)</f>
        <v>0</v>
      </c>
      <c r="L654" s="671"/>
      <c r="M654" s="671"/>
      <c r="N654" s="671"/>
      <c r="O654" s="671"/>
      <c r="P654" s="671"/>
      <c r="Q654" s="571"/>
      <c r="R654" s="571"/>
      <c r="S654" s="571"/>
      <c r="T654" s="571"/>
      <c r="U654" s="571"/>
      <c r="V654" s="571"/>
      <c r="W654" s="571"/>
      <c r="X654" s="571"/>
      <c r="Y654" s="571"/>
      <c r="Z654" s="571"/>
    </row>
    <row r="655" spans="1:26" ht="19.5">
      <c r="A655" s="590"/>
      <c r="B655" s="754"/>
      <c r="C655" s="754" t="s">
        <v>16</v>
      </c>
      <c r="D655" s="863" t="s">
        <v>17</v>
      </c>
      <c r="E655" s="857"/>
      <c r="F655" s="857"/>
      <c r="G655" s="189"/>
      <c r="H655" s="591" t="s">
        <v>12</v>
      </c>
      <c r="I655" s="269"/>
      <c r="J655" s="269"/>
      <c r="K655" s="496"/>
      <c r="L655" s="195">
        <f t="shared" ref="L655:N655" ca="1" si="273">L656+L657</f>
        <v>9400</v>
      </c>
      <c r="M655" s="195">
        <f t="shared" si="273"/>
        <v>0</v>
      </c>
      <c r="N655" s="195">
        <f t="shared" si="273"/>
        <v>0</v>
      </c>
      <c r="O655" s="195">
        <f t="shared" ref="O655:O660" ca="1" si="274">IF(L655&gt;0,N655*100/L655,0)</f>
        <v>0</v>
      </c>
      <c r="P655" s="195">
        <f t="shared" ref="P655:P660" si="275">IF(M655&gt;0,N655*100/M655,0)</f>
        <v>0</v>
      </c>
      <c r="Q655" s="571"/>
      <c r="R655" s="571"/>
      <c r="S655" s="571"/>
      <c r="T655" s="571"/>
      <c r="U655" s="571"/>
      <c r="V655" s="571"/>
      <c r="W655" s="571"/>
      <c r="X655" s="571"/>
      <c r="Y655" s="571"/>
      <c r="Z655" s="571"/>
    </row>
    <row r="656" spans="1:26" ht="18.75" hidden="1">
      <c r="A656" s="592"/>
      <c r="B656" s="750"/>
      <c r="C656" s="750"/>
      <c r="D656" s="711"/>
      <c r="E656" s="750" t="s">
        <v>184</v>
      </c>
      <c r="F656" s="750"/>
      <c r="G656" s="596"/>
      <c r="H656" s="165" t="s">
        <v>12</v>
      </c>
      <c r="I656" s="610"/>
      <c r="J656" s="610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597"/>
      <c r="R656" s="597"/>
      <c r="S656" s="597"/>
      <c r="T656" s="597"/>
      <c r="U656" s="597"/>
      <c r="V656" s="597"/>
      <c r="W656" s="597"/>
      <c r="X656" s="597"/>
      <c r="Y656" s="597"/>
      <c r="Z656" s="597"/>
    </row>
    <row r="657" spans="1:26" ht="18.75" hidden="1">
      <c r="A657" s="592"/>
      <c r="B657" s="600"/>
      <c r="C657" s="750"/>
      <c r="D657" s="711"/>
      <c r="E657" s="750" t="s">
        <v>185</v>
      </c>
      <c r="F657" s="750"/>
      <c r="G657" s="596"/>
      <c r="H657" s="165" t="s">
        <v>12</v>
      </c>
      <c r="I657" s="610"/>
      <c r="J657" s="610"/>
      <c r="K657" s="93"/>
      <c r="L657" s="93">
        <f t="shared" ca="1" si="276"/>
        <v>9400</v>
      </c>
      <c r="M657" s="93">
        <f t="shared" si="276"/>
        <v>0</v>
      </c>
      <c r="N657" s="93">
        <f t="shared" si="276"/>
        <v>0</v>
      </c>
      <c r="O657" s="93">
        <f t="shared" ca="1" si="274"/>
        <v>0</v>
      </c>
      <c r="P657" s="93">
        <f t="shared" si="275"/>
        <v>0</v>
      </c>
      <c r="Q657" s="597"/>
      <c r="R657" s="597"/>
      <c r="S657" s="597"/>
      <c r="T657" s="597"/>
      <c r="U657" s="597"/>
      <c r="V657" s="597"/>
      <c r="W657" s="597"/>
      <c r="X657" s="597"/>
      <c r="Y657" s="597"/>
      <c r="Z657" s="597"/>
    </row>
    <row r="658" spans="1:26" ht="18.75">
      <c r="A658" s="590"/>
      <c r="B658" s="568"/>
      <c r="C658" s="754"/>
      <c r="D658" s="599" t="s">
        <v>20</v>
      </c>
      <c r="E658" s="754"/>
      <c r="F658" s="754"/>
      <c r="G658" s="189"/>
      <c r="H658" s="161" t="s">
        <v>12</v>
      </c>
      <c r="I658" s="184"/>
      <c r="J658" s="184"/>
      <c r="K658" s="163"/>
      <c r="L658" s="496">
        <f t="shared" ref="L658:N658" ca="1" si="277">L659+L660</f>
        <v>9400</v>
      </c>
      <c r="M658" s="496">
        <f t="shared" si="277"/>
        <v>0</v>
      </c>
      <c r="N658" s="496">
        <f t="shared" si="277"/>
        <v>0</v>
      </c>
      <c r="O658" s="496">
        <f t="shared" ca="1" si="274"/>
        <v>0</v>
      </c>
      <c r="P658" s="496">
        <f t="shared" si="275"/>
        <v>0</v>
      </c>
      <c r="Q658" s="571"/>
      <c r="R658" s="571"/>
      <c r="S658" s="571"/>
      <c r="T658" s="571"/>
      <c r="U658" s="571"/>
      <c r="V658" s="571"/>
      <c r="W658" s="571"/>
      <c r="X658" s="571"/>
      <c r="Y658" s="571"/>
      <c r="Z658" s="571"/>
    </row>
    <row r="659" spans="1:26" ht="18.75" hidden="1">
      <c r="A659" s="592"/>
      <c r="B659" s="600"/>
      <c r="C659" s="750"/>
      <c r="D659" s="711"/>
      <c r="E659" s="750" t="s">
        <v>184</v>
      </c>
      <c r="F659" s="750"/>
      <c r="G659" s="596"/>
      <c r="H659" s="165" t="s">
        <v>12</v>
      </c>
      <c r="I659" s="610"/>
      <c r="J659" s="610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597"/>
      <c r="R659" s="597"/>
      <c r="S659" s="597"/>
      <c r="T659" s="597"/>
      <c r="U659" s="597"/>
      <c r="V659" s="597"/>
      <c r="W659" s="597"/>
      <c r="X659" s="597"/>
      <c r="Y659" s="597"/>
      <c r="Z659" s="597"/>
    </row>
    <row r="660" spans="1:26" ht="18.75" hidden="1">
      <c r="A660" s="592"/>
      <c r="B660" s="600"/>
      <c r="C660" s="750"/>
      <c r="D660" s="711"/>
      <c r="E660" s="750" t="s">
        <v>185</v>
      </c>
      <c r="F660" s="750"/>
      <c r="G660" s="596"/>
      <c r="H660" s="165" t="s">
        <v>12</v>
      </c>
      <c r="I660" s="610"/>
      <c r="J660" s="610"/>
      <c r="K660" s="93"/>
      <c r="L660" s="93">
        <f ca="1">IFERROR(__xludf.DUMMYFUNCTION("IMPORTRANGE(""https://docs.google.com/spreadsheets/d/1QqKyyYR6Q21VydFLVH3TRQUabQu_ym0Zz7PgGX0-kHA/edit?usp=sharing"",""แผน!HV65"")"),9400)</f>
        <v>9400</v>
      </c>
      <c r="M660" s="93">
        <v>0</v>
      </c>
      <c r="N660" s="93">
        <f>N661+N662+N663+N664</f>
        <v>0</v>
      </c>
      <c r="O660" s="93">
        <f t="shared" ca="1" si="274"/>
        <v>0</v>
      </c>
      <c r="P660" s="93">
        <f t="shared" si="275"/>
        <v>0</v>
      </c>
      <c r="Q660" s="597"/>
      <c r="R660" s="597"/>
      <c r="S660" s="597"/>
      <c r="T660" s="597"/>
      <c r="U660" s="597"/>
      <c r="V660" s="597"/>
      <c r="W660" s="597"/>
      <c r="X660" s="597"/>
      <c r="Y660" s="597"/>
      <c r="Z660" s="597"/>
    </row>
    <row r="661" spans="1:26" ht="18.75">
      <c r="A661" s="567"/>
      <c r="B661" s="568"/>
      <c r="C661" s="754"/>
      <c r="D661" s="754"/>
      <c r="E661" s="754"/>
      <c r="F661" s="754" t="s">
        <v>186</v>
      </c>
      <c r="G661" s="189"/>
      <c r="H661" s="161" t="s">
        <v>12</v>
      </c>
      <c r="I661" s="269"/>
      <c r="J661" s="269"/>
      <c r="K661" s="496"/>
      <c r="L661" s="496"/>
      <c r="M661" s="496"/>
      <c r="N661" s="817">
        <v>0</v>
      </c>
      <c r="O661" s="496"/>
      <c r="P661" s="496"/>
      <c r="Q661" s="571"/>
      <c r="R661" s="571"/>
      <c r="S661" s="571"/>
      <c r="T661" s="571"/>
      <c r="U661" s="571"/>
      <c r="V661" s="571"/>
      <c r="W661" s="571"/>
      <c r="X661" s="571"/>
      <c r="Y661" s="571"/>
      <c r="Z661" s="571"/>
    </row>
    <row r="662" spans="1:26" ht="18.75">
      <c r="A662" s="567"/>
      <c r="B662" s="568"/>
      <c r="C662" s="754"/>
      <c r="D662" s="754"/>
      <c r="E662" s="754"/>
      <c r="F662" s="754" t="s">
        <v>187</v>
      </c>
      <c r="G662" s="189"/>
      <c r="H662" s="161" t="s">
        <v>12</v>
      </c>
      <c r="I662" s="269"/>
      <c r="J662" s="269"/>
      <c r="K662" s="496"/>
      <c r="L662" s="496"/>
      <c r="M662" s="496"/>
      <c r="N662" s="817">
        <v>0</v>
      </c>
      <c r="O662" s="496"/>
      <c r="P662" s="496"/>
      <c r="Q662" s="571"/>
      <c r="R662" s="571"/>
      <c r="S662" s="571"/>
      <c r="T662" s="571"/>
      <c r="U662" s="571"/>
      <c r="V662" s="571"/>
      <c r="W662" s="571"/>
      <c r="X662" s="571"/>
      <c r="Y662" s="571"/>
      <c r="Z662" s="571"/>
    </row>
    <row r="663" spans="1:26" ht="18.75">
      <c r="A663" s="567"/>
      <c r="B663" s="568"/>
      <c r="C663" s="568"/>
      <c r="D663" s="754"/>
      <c r="E663" s="754"/>
      <c r="F663" s="754" t="s">
        <v>188</v>
      </c>
      <c r="G663" s="189"/>
      <c r="H663" s="161" t="s">
        <v>12</v>
      </c>
      <c r="I663" s="269"/>
      <c r="J663" s="269"/>
      <c r="K663" s="496"/>
      <c r="L663" s="496"/>
      <c r="M663" s="496"/>
      <c r="N663" s="817">
        <v>0</v>
      </c>
      <c r="O663" s="496"/>
      <c r="P663" s="496"/>
      <c r="Q663" s="571"/>
      <c r="R663" s="571"/>
      <c r="S663" s="571"/>
      <c r="T663" s="571"/>
      <c r="U663" s="571"/>
      <c r="V663" s="571"/>
      <c r="W663" s="571"/>
      <c r="X663" s="571"/>
      <c r="Y663" s="571"/>
      <c r="Z663" s="571"/>
    </row>
    <row r="664" spans="1:26" ht="18.75">
      <c r="A664" s="567"/>
      <c r="B664" s="568"/>
      <c r="C664" s="568"/>
      <c r="D664" s="568"/>
      <c r="E664" s="754"/>
      <c r="F664" s="754" t="s">
        <v>189</v>
      </c>
      <c r="G664" s="189"/>
      <c r="H664" s="161" t="s">
        <v>12</v>
      </c>
      <c r="I664" s="269"/>
      <c r="J664" s="269"/>
      <c r="K664" s="496"/>
      <c r="L664" s="496"/>
      <c r="M664" s="496"/>
      <c r="N664" s="817">
        <v>0</v>
      </c>
      <c r="O664" s="496"/>
      <c r="P664" s="496"/>
      <c r="Q664" s="571"/>
      <c r="R664" s="571"/>
      <c r="S664" s="571"/>
      <c r="T664" s="571"/>
      <c r="U664" s="571"/>
      <c r="V664" s="571"/>
      <c r="W664" s="571"/>
      <c r="X664" s="571"/>
      <c r="Y664" s="571"/>
      <c r="Z664" s="571"/>
    </row>
    <row r="665" spans="1:26" ht="18.75">
      <c r="A665" s="590"/>
      <c r="B665" s="568"/>
      <c r="C665" s="568"/>
      <c r="D665" s="599" t="s">
        <v>21</v>
      </c>
      <c r="E665" s="754"/>
      <c r="F665" s="754"/>
      <c r="G665" s="189"/>
      <c r="H665" s="168" t="s">
        <v>12</v>
      </c>
      <c r="I665" s="184"/>
      <c r="J665" s="184"/>
      <c r="K665" s="163"/>
      <c r="L665" s="496">
        <f t="shared" ref="L665:N665" si="278">L666+L667</f>
        <v>0</v>
      </c>
      <c r="M665" s="496">
        <f t="shared" si="278"/>
        <v>0</v>
      </c>
      <c r="N665" s="496">
        <f t="shared" si="278"/>
        <v>0</v>
      </c>
      <c r="O665" s="496">
        <f t="shared" ref="O665:O667" si="279">IF(L665&gt;0,N665*100/L665,0)</f>
        <v>0</v>
      </c>
      <c r="P665" s="496">
        <f t="shared" ref="P665:P667" si="280">IF(M665&gt;0,N665*100/M665,0)</f>
        <v>0</v>
      </c>
      <c r="Q665" s="571"/>
      <c r="R665" s="571"/>
      <c r="S665" s="571"/>
      <c r="T665" s="571"/>
      <c r="U665" s="571"/>
      <c r="V665" s="571"/>
      <c r="W665" s="571"/>
      <c r="X665" s="571"/>
      <c r="Y665" s="571"/>
      <c r="Z665" s="571"/>
    </row>
    <row r="666" spans="1:26" ht="18.75" hidden="1">
      <c r="A666" s="592"/>
      <c r="B666" s="600"/>
      <c r="C666" s="600"/>
      <c r="D666" s="600"/>
      <c r="E666" s="750" t="s">
        <v>18</v>
      </c>
      <c r="F666" s="750"/>
      <c r="G666" s="596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597"/>
      <c r="R666" s="597"/>
      <c r="S666" s="597"/>
      <c r="T666" s="597"/>
      <c r="U666" s="597"/>
      <c r="V666" s="597"/>
      <c r="W666" s="597"/>
      <c r="X666" s="597"/>
      <c r="Y666" s="597"/>
      <c r="Z666" s="597"/>
    </row>
    <row r="667" spans="1:26" ht="18.75" hidden="1">
      <c r="A667" s="592"/>
      <c r="B667" s="600"/>
      <c r="C667" s="600"/>
      <c r="D667" s="600"/>
      <c r="E667" s="750" t="s">
        <v>19</v>
      </c>
      <c r="F667" s="750"/>
      <c r="G667" s="596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597"/>
      <c r="R667" s="597"/>
      <c r="S667" s="597"/>
      <c r="T667" s="597"/>
      <c r="U667" s="597"/>
      <c r="V667" s="597"/>
      <c r="W667" s="597"/>
      <c r="X667" s="597"/>
      <c r="Y667" s="597"/>
      <c r="Z667" s="597"/>
    </row>
    <row r="668" spans="1:26" ht="19.5">
      <c r="A668" s="601"/>
      <c r="B668" s="611"/>
      <c r="C668" s="568" t="s">
        <v>16</v>
      </c>
      <c r="D668" s="836" t="s">
        <v>38</v>
      </c>
      <c r="E668" s="752"/>
      <c r="F668" s="752"/>
      <c r="G668" s="606"/>
      <c r="H668" s="753"/>
      <c r="I668" s="184"/>
      <c r="J668" s="184"/>
      <c r="K668" s="163"/>
      <c r="L668" s="163"/>
      <c r="M668" s="163"/>
      <c r="N668" s="163"/>
      <c r="O668" s="163"/>
      <c r="P668" s="163"/>
      <c r="Q668" s="571"/>
      <c r="R668" s="571"/>
      <c r="S668" s="571"/>
      <c r="T668" s="571"/>
      <c r="U668" s="571"/>
      <c r="V668" s="571"/>
      <c r="W668" s="571"/>
      <c r="X668" s="571"/>
      <c r="Y668" s="571"/>
      <c r="Z668" s="571"/>
    </row>
    <row r="669" spans="1:26" ht="19.5">
      <c r="A669" s="601"/>
      <c r="B669" s="611"/>
      <c r="C669" s="611"/>
      <c r="D669" s="611" t="s">
        <v>280</v>
      </c>
      <c r="E669" s="619"/>
      <c r="F669" s="619"/>
      <c r="G669" s="753"/>
      <c r="H669" s="758" t="s">
        <v>46</v>
      </c>
      <c r="I669" s="674">
        <f ca="1">IFERROR(__xludf.DUMMYFUNCTION("IMPORTRANGE(""https://docs.google.com/spreadsheets/d/1QqKyyYR6Q21VydFLVH3TRQUabQu_ym0Zz7PgGX0-kHA/edit?usp=sharing"",""แผน!IA65"")"),50)</f>
        <v>50</v>
      </c>
      <c r="J669" s="674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1"/>
      <c r="R669" s="571"/>
      <c r="S669" s="571"/>
      <c r="T669" s="571"/>
      <c r="U669" s="571"/>
      <c r="V669" s="571"/>
      <c r="W669" s="571"/>
      <c r="X669" s="571"/>
      <c r="Y669" s="571"/>
      <c r="Z669" s="571"/>
    </row>
    <row r="670" spans="1:26" ht="18.75">
      <c r="A670" s="601"/>
      <c r="B670" s="611"/>
      <c r="C670" s="611"/>
      <c r="D670" s="611"/>
      <c r="E670" s="619" t="s">
        <v>281</v>
      </c>
      <c r="F670" s="619"/>
      <c r="G670" s="753"/>
      <c r="H670" s="755" t="s">
        <v>69</v>
      </c>
      <c r="I670" s="269">
        <f ca="1">IFERROR(__xludf.DUMMYFUNCTION("IMPORTRANGE(""https://docs.google.com/spreadsheets/d/1QqKyyYR6Q21VydFLVH3TRQUabQu_ym0Zz7PgGX0-kHA/edit?usp=sharing"",""แผน!HZ65"")"),4)</f>
        <v>4</v>
      </c>
      <c r="J670" s="214">
        <v>0</v>
      </c>
      <c r="K670" s="496">
        <f ca="1">IF(I670&gt;0,(J670*100)/I670,0)</f>
        <v>0</v>
      </c>
      <c r="L670" s="163"/>
      <c r="M670" s="163"/>
      <c r="N670" s="163"/>
      <c r="O670" s="163"/>
      <c r="P670" s="163"/>
      <c r="Q670" s="571"/>
      <c r="R670" s="571"/>
      <c r="S670" s="571"/>
      <c r="T670" s="571"/>
      <c r="U670" s="571"/>
      <c r="V670" s="571"/>
      <c r="W670" s="571"/>
      <c r="X670" s="571"/>
      <c r="Y670" s="571"/>
      <c r="Z670" s="571"/>
    </row>
    <row r="671" spans="1:26" ht="18.75">
      <c r="A671" s="601"/>
      <c r="B671" s="611"/>
      <c r="C671" s="611"/>
      <c r="D671" s="611"/>
      <c r="E671" s="619" t="s">
        <v>282</v>
      </c>
      <c r="F671" s="619"/>
      <c r="G671" s="753"/>
      <c r="H671" s="755" t="s">
        <v>69</v>
      </c>
      <c r="I671" s="269">
        <f ca="1">IFERROR(__xludf.DUMMYFUNCTION("IMPORTRANGE(""https://docs.google.com/spreadsheets/d/1QqKyyYR6Q21VydFLVH3TRQUabQu_ym0Zz7PgGX0-kHA/edit?usp=sharing"",""แผน!HZ65"")"),4)</f>
        <v>4</v>
      </c>
      <c r="J671" s="214">
        <v>0</v>
      </c>
      <c r="K671" s="496">
        <f ca="1">IF(I$671&gt;0,J671*100/I$671,0)</f>
        <v>0</v>
      </c>
      <c r="L671" s="163"/>
      <c r="M671" s="163"/>
      <c r="N671" s="163"/>
      <c r="O671" s="163"/>
      <c r="P671" s="163"/>
      <c r="Q671" s="571"/>
      <c r="R671" s="571"/>
      <c r="S671" s="571"/>
      <c r="T671" s="571"/>
      <c r="U671" s="571"/>
      <c r="V671" s="571"/>
      <c r="W671" s="571"/>
      <c r="X671" s="571"/>
      <c r="Y671" s="571"/>
      <c r="Z671" s="571"/>
    </row>
    <row r="672" spans="1:26" ht="18.75">
      <c r="A672" s="601"/>
      <c r="B672" s="611"/>
      <c r="C672" s="611"/>
      <c r="D672" s="611"/>
      <c r="E672" s="619" t="s">
        <v>283</v>
      </c>
      <c r="F672" s="619"/>
      <c r="G672" s="753"/>
      <c r="H672" s="755" t="s">
        <v>46</v>
      </c>
      <c r="I672" s="269"/>
      <c r="J672" s="214">
        <v>0</v>
      </c>
      <c r="K672" s="496">
        <f t="shared" ref="K672:K675" ca="1" si="281">IF(I$669&gt;0,J672*100/I$669,0)</f>
        <v>0</v>
      </c>
      <c r="L672" s="163"/>
      <c r="M672" s="163"/>
      <c r="N672" s="163"/>
      <c r="O672" s="163"/>
      <c r="P672" s="163"/>
      <c r="Q672" s="571"/>
      <c r="R672" s="571"/>
      <c r="S672" s="571"/>
      <c r="T672" s="571"/>
      <c r="U672" s="571"/>
      <c r="V672" s="571"/>
      <c r="W672" s="571"/>
      <c r="X672" s="571"/>
      <c r="Y672" s="571"/>
      <c r="Z672" s="571"/>
    </row>
    <row r="673" spans="1:26" ht="18.75">
      <c r="A673" s="601"/>
      <c r="B673" s="611"/>
      <c r="C673" s="611"/>
      <c r="D673" s="611"/>
      <c r="E673" s="619" t="s">
        <v>284</v>
      </c>
      <c r="F673" s="619"/>
      <c r="G673" s="753"/>
      <c r="H673" s="755" t="s">
        <v>46</v>
      </c>
      <c r="I673" s="269"/>
      <c r="J673" s="214">
        <v>0</v>
      </c>
      <c r="K673" s="496">
        <f t="shared" ca="1" si="281"/>
        <v>0</v>
      </c>
      <c r="L673" s="163"/>
      <c r="M673" s="163"/>
      <c r="N673" s="163"/>
      <c r="O673" s="163"/>
      <c r="P673" s="163"/>
      <c r="Q673" s="571"/>
      <c r="R673" s="571"/>
      <c r="S673" s="571"/>
      <c r="T673" s="571"/>
      <c r="U673" s="571"/>
      <c r="V673" s="571"/>
      <c r="W673" s="571"/>
      <c r="X673" s="571"/>
      <c r="Y673" s="571"/>
      <c r="Z673" s="571"/>
    </row>
    <row r="674" spans="1:26" ht="18.75">
      <c r="A674" s="601"/>
      <c r="B674" s="611"/>
      <c r="C674" s="611"/>
      <c r="D674" s="611"/>
      <c r="E674" s="619" t="s">
        <v>285</v>
      </c>
      <c r="F674" s="619"/>
      <c r="G674" s="753"/>
      <c r="H674" s="755" t="s">
        <v>46</v>
      </c>
      <c r="I674" s="269"/>
      <c r="J674" s="214">
        <v>0</v>
      </c>
      <c r="K674" s="496">
        <f t="shared" ca="1" si="281"/>
        <v>0</v>
      </c>
      <c r="L674" s="163"/>
      <c r="M674" s="163"/>
      <c r="N674" s="163"/>
      <c r="O674" s="163"/>
      <c r="P674" s="163"/>
      <c r="Q674" s="571"/>
      <c r="R674" s="571"/>
      <c r="S674" s="571"/>
      <c r="T674" s="571"/>
      <c r="U674" s="571"/>
      <c r="V674" s="571"/>
      <c r="W674" s="571"/>
      <c r="X674" s="571"/>
      <c r="Y674" s="571"/>
      <c r="Z674" s="571"/>
    </row>
    <row r="675" spans="1:26" ht="19.5">
      <c r="A675" s="601"/>
      <c r="B675" s="611"/>
      <c r="C675" s="611"/>
      <c r="D675" s="611"/>
      <c r="E675" s="619" t="s">
        <v>286</v>
      </c>
      <c r="F675" s="619"/>
      <c r="G675" s="753"/>
      <c r="H675" s="755" t="s">
        <v>46</v>
      </c>
      <c r="I675" s="269"/>
      <c r="J675" s="674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71"/>
      <c r="R675" s="571"/>
      <c r="S675" s="571"/>
      <c r="T675" s="571"/>
      <c r="U675" s="571"/>
      <c r="V675" s="571"/>
      <c r="W675" s="571"/>
      <c r="X675" s="571"/>
      <c r="Y675" s="571"/>
      <c r="Z675" s="571"/>
    </row>
    <row r="676" spans="1:26" ht="18.75">
      <c r="A676" s="601"/>
      <c r="B676" s="611"/>
      <c r="C676" s="611"/>
      <c r="D676" s="611"/>
      <c r="E676" s="619"/>
      <c r="F676" s="619" t="s">
        <v>287</v>
      </c>
      <c r="G676" s="753"/>
      <c r="H676" s="755" t="s">
        <v>46</v>
      </c>
      <c r="I676" s="269"/>
      <c r="J676" s="214">
        <v>0</v>
      </c>
      <c r="K676" s="496"/>
      <c r="L676" s="163"/>
      <c r="M676" s="163"/>
      <c r="N676" s="163"/>
      <c r="O676" s="163"/>
      <c r="P676" s="163"/>
      <c r="Q676" s="571"/>
      <c r="R676" s="571"/>
      <c r="S676" s="571"/>
      <c r="T676" s="571"/>
      <c r="U676" s="571"/>
      <c r="V676" s="571"/>
      <c r="W676" s="571"/>
      <c r="X676" s="571"/>
      <c r="Y676" s="571"/>
      <c r="Z676" s="571"/>
    </row>
    <row r="677" spans="1:26" ht="18.75">
      <c r="A677" s="601"/>
      <c r="B677" s="611"/>
      <c r="C677" s="611"/>
      <c r="D677" s="611"/>
      <c r="E677" s="619"/>
      <c r="F677" s="619" t="s">
        <v>288</v>
      </c>
      <c r="G677" s="753"/>
      <c r="H677" s="755" t="s">
        <v>46</v>
      </c>
      <c r="I677" s="269"/>
      <c r="J677" s="214">
        <v>0</v>
      </c>
      <c r="K677" s="496"/>
      <c r="L677" s="163"/>
      <c r="M677" s="163"/>
      <c r="N677" s="163"/>
      <c r="O677" s="163"/>
      <c r="P677" s="163"/>
      <c r="Q677" s="571"/>
      <c r="R677" s="571"/>
      <c r="S677" s="571"/>
      <c r="T677" s="571"/>
      <c r="U677" s="571"/>
      <c r="V677" s="571"/>
      <c r="W677" s="571"/>
      <c r="X677" s="571"/>
      <c r="Y677" s="571"/>
      <c r="Z677" s="571"/>
    </row>
    <row r="678" spans="1:26" ht="19.5">
      <c r="A678" s="601"/>
      <c r="B678" s="611"/>
      <c r="C678" s="611"/>
      <c r="D678" s="611" t="s">
        <v>289</v>
      </c>
      <c r="E678" s="619"/>
      <c r="F678" s="619"/>
      <c r="G678" s="753"/>
      <c r="H678" s="755" t="s">
        <v>46</v>
      </c>
      <c r="I678" s="674">
        <f ca="1">IFERROR(__xludf.DUMMYFUNCTION("IMPORTRANGE(""https://docs.google.com/spreadsheets/d/1QqKyyYR6Q21VydFLVH3TRQUabQu_ym0Zz7PgGX0-kHA/edit?usp=sharing"",""แผน!IB65"")"),0)</f>
        <v>0</v>
      </c>
      <c r="J678" s="674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1"/>
      <c r="R678" s="571"/>
      <c r="S678" s="571"/>
      <c r="T678" s="571"/>
      <c r="U678" s="571"/>
      <c r="V678" s="571"/>
      <c r="W678" s="571"/>
      <c r="X678" s="571"/>
      <c r="Y678" s="571"/>
      <c r="Z678" s="571"/>
    </row>
    <row r="679" spans="1:26" ht="18.75">
      <c r="A679" s="601"/>
      <c r="B679" s="611"/>
      <c r="C679" s="611"/>
      <c r="D679" s="611"/>
      <c r="E679" s="619" t="s">
        <v>290</v>
      </c>
      <c r="F679" s="619"/>
      <c r="G679" s="753"/>
      <c r="H679" s="755" t="s">
        <v>46</v>
      </c>
      <c r="I679" s="269"/>
      <c r="J679" s="269">
        <f>J680+J681</f>
        <v>0</v>
      </c>
      <c r="K679" s="496"/>
      <c r="L679" s="163"/>
      <c r="M679" s="163"/>
      <c r="N679" s="163"/>
      <c r="O679" s="163"/>
      <c r="P679" s="163"/>
      <c r="Q679" s="571"/>
      <c r="R679" s="571"/>
      <c r="S679" s="571"/>
      <c r="T679" s="571"/>
      <c r="U679" s="571"/>
      <c r="V679" s="571"/>
      <c r="W679" s="571"/>
      <c r="X679" s="571"/>
      <c r="Y679" s="571"/>
      <c r="Z679" s="571"/>
    </row>
    <row r="680" spans="1:26" ht="18.75">
      <c r="A680" s="601"/>
      <c r="B680" s="611"/>
      <c r="C680" s="611"/>
      <c r="D680" s="611"/>
      <c r="E680" s="619"/>
      <c r="F680" s="619" t="s">
        <v>287</v>
      </c>
      <c r="G680" s="753"/>
      <c r="H680" s="755" t="s">
        <v>46</v>
      </c>
      <c r="I680" s="269"/>
      <c r="J680" s="214">
        <v>0</v>
      </c>
      <c r="K680" s="496"/>
      <c r="L680" s="163"/>
      <c r="M680" s="163"/>
      <c r="N680" s="163"/>
      <c r="O680" s="163"/>
      <c r="P680" s="163"/>
      <c r="Q680" s="571"/>
      <c r="R680" s="571"/>
      <c r="S680" s="571"/>
      <c r="T680" s="571"/>
      <c r="U680" s="571"/>
      <c r="V680" s="571"/>
      <c r="W680" s="571"/>
      <c r="X680" s="571"/>
      <c r="Y680" s="571"/>
      <c r="Z680" s="571"/>
    </row>
    <row r="681" spans="1:26" ht="18.75">
      <c r="A681" s="601"/>
      <c r="B681" s="611"/>
      <c r="C681" s="611"/>
      <c r="D681" s="611"/>
      <c r="E681" s="619"/>
      <c r="F681" s="619" t="s">
        <v>288</v>
      </c>
      <c r="G681" s="753"/>
      <c r="H681" s="755" t="s">
        <v>46</v>
      </c>
      <c r="I681" s="269"/>
      <c r="J681" s="214">
        <v>0</v>
      </c>
      <c r="K681" s="496"/>
      <c r="L681" s="163"/>
      <c r="M681" s="163"/>
      <c r="N681" s="163"/>
      <c r="O681" s="163"/>
      <c r="P681" s="163"/>
      <c r="Q681" s="571"/>
      <c r="R681" s="571"/>
      <c r="S681" s="571"/>
      <c r="T681" s="571"/>
      <c r="U681" s="571"/>
      <c r="V681" s="571"/>
      <c r="W681" s="571"/>
      <c r="X681" s="571"/>
      <c r="Y681" s="571"/>
      <c r="Z681" s="571"/>
    </row>
    <row r="682" spans="1:26" ht="18.75">
      <c r="A682" s="601"/>
      <c r="B682" s="611"/>
      <c r="C682" s="611"/>
      <c r="D682" s="611"/>
      <c r="E682" s="619" t="s">
        <v>291</v>
      </c>
      <c r="F682" s="619"/>
      <c r="G682" s="753"/>
      <c r="H682" s="755" t="s">
        <v>46</v>
      </c>
      <c r="I682" s="269"/>
      <c r="J682" s="214">
        <v>0</v>
      </c>
      <c r="K682" s="496"/>
      <c r="L682" s="163"/>
      <c r="M682" s="163"/>
      <c r="N682" s="163"/>
      <c r="O682" s="163"/>
      <c r="P682" s="163"/>
      <c r="Q682" s="571"/>
      <c r="R682" s="571"/>
      <c r="S682" s="571"/>
      <c r="T682" s="571"/>
      <c r="U682" s="571"/>
      <c r="V682" s="571"/>
      <c r="W682" s="571"/>
      <c r="X682" s="571"/>
      <c r="Y682" s="571"/>
      <c r="Z682" s="571"/>
    </row>
    <row r="683" spans="1:26" ht="18.75">
      <c r="A683" s="601"/>
      <c r="B683" s="611"/>
      <c r="C683" s="611"/>
      <c r="D683" s="611"/>
      <c r="E683" s="619"/>
      <c r="F683" s="619" t="s">
        <v>292</v>
      </c>
      <c r="G683" s="753"/>
      <c r="H683" s="755" t="s">
        <v>46</v>
      </c>
      <c r="I683" s="269"/>
      <c r="J683" s="214">
        <v>0</v>
      </c>
      <c r="K683" s="496"/>
      <c r="L683" s="163"/>
      <c r="M683" s="163"/>
      <c r="N683" s="163"/>
      <c r="O683" s="163"/>
      <c r="P683" s="163"/>
      <c r="Q683" s="571"/>
      <c r="R683" s="571"/>
      <c r="S683" s="571"/>
      <c r="T683" s="571"/>
      <c r="U683" s="571"/>
      <c r="V683" s="571"/>
      <c r="W683" s="571"/>
      <c r="X683" s="571"/>
      <c r="Y683" s="571"/>
      <c r="Z683" s="571"/>
    </row>
    <row r="684" spans="1:26" ht="19.5">
      <c r="A684" s="744"/>
      <c r="B684" s="745" t="s">
        <v>293</v>
      </c>
      <c r="C684" s="744"/>
      <c r="D684" s="744"/>
      <c r="E684" s="744"/>
      <c r="F684" s="744"/>
      <c r="G684" s="746"/>
      <c r="H684" s="746"/>
      <c r="I684" s="747"/>
      <c r="J684" s="747"/>
      <c r="K684" s="748"/>
      <c r="L684" s="748"/>
      <c r="M684" s="748"/>
      <c r="N684" s="748"/>
      <c r="O684" s="748"/>
      <c r="P684" s="748"/>
      <c r="Q684" s="571"/>
      <c r="R684" s="571"/>
      <c r="S684" s="571"/>
      <c r="T684" s="571"/>
      <c r="U684" s="571"/>
      <c r="V684" s="571"/>
      <c r="W684" s="571"/>
      <c r="X684" s="571"/>
      <c r="Y684" s="571"/>
      <c r="Z684" s="571"/>
    </row>
    <row r="685" spans="1:26" ht="19.5">
      <c r="A685" s="590"/>
      <c r="B685" s="754"/>
      <c r="C685" s="754" t="s">
        <v>16</v>
      </c>
      <c r="D685" s="863" t="s">
        <v>17</v>
      </c>
      <c r="E685" s="857"/>
      <c r="F685" s="857"/>
      <c r="G685" s="189"/>
      <c r="H685" s="591" t="s">
        <v>12</v>
      </c>
      <c r="I685" s="269"/>
      <c r="J685" s="269"/>
      <c r="K685" s="496"/>
      <c r="L685" s="195">
        <f t="shared" ref="L685:N685" ca="1" si="282">L686+L687</f>
        <v>12720</v>
      </c>
      <c r="M685" s="195">
        <f t="shared" si="282"/>
        <v>0</v>
      </c>
      <c r="N685" s="195">
        <f t="shared" si="282"/>
        <v>0</v>
      </c>
      <c r="O685" s="195">
        <f t="shared" ref="O685:O688" ca="1" si="283">IF(L685&gt;0,N685*100/L685,0)</f>
        <v>0</v>
      </c>
      <c r="P685" s="195">
        <f t="shared" ref="P685:P688" si="284">IF(M685&gt;0,N685*100/M685,0)</f>
        <v>0</v>
      </c>
      <c r="Q685" s="571"/>
      <c r="R685" s="571"/>
      <c r="S685" s="571"/>
      <c r="T685" s="571"/>
      <c r="U685" s="571"/>
      <c r="V685" s="571"/>
      <c r="W685" s="571"/>
      <c r="X685" s="571"/>
      <c r="Y685" s="571"/>
      <c r="Z685" s="571"/>
    </row>
    <row r="686" spans="1:26" ht="18.75" hidden="1">
      <c r="A686" s="592"/>
      <c r="B686" s="750"/>
      <c r="C686" s="750"/>
      <c r="D686" s="711"/>
      <c r="E686" s="750" t="s">
        <v>184</v>
      </c>
      <c r="F686" s="750"/>
      <c r="G686" s="596"/>
      <c r="H686" s="165" t="s">
        <v>12</v>
      </c>
      <c r="I686" s="610"/>
      <c r="J686" s="610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597"/>
      <c r="R686" s="597"/>
      <c r="S686" s="597"/>
      <c r="T686" s="597"/>
      <c r="U686" s="597"/>
      <c r="V686" s="597"/>
      <c r="W686" s="597"/>
      <c r="X686" s="597"/>
      <c r="Y686" s="597"/>
      <c r="Z686" s="597"/>
    </row>
    <row r="687" spans="1:26" ht="18.75" hidden="1">
      <c r="A687" s="592"/>
      <c r="B687" s="600"/>
      <c r="C687" s="750"/>
      <c r="D687" s="711"/>
      <c r="E687" s="750" t="s">
        <v>185</v>
      </c>
      <c r="F687" s="750"/>
      <c r="G687" s="596"/>
      <c r="H687" s="165" t="s">
        <v>12</v>
      </c>
      <c r="I687" s="610"/>
      <c r="J687" s="610"/>
      <c r="K687" s="93"/>
      <c r="L687" s="93">
        <f t="shared" ca="1" si="285"/>
        <v>12720</v>
      </c>
      <c r="M687" s="93">
        <f t="shared" si="285"/>
        <v>0</v>
      </c>
      <c r="N687" s="93">
        <f t="shared" si="285"/>
        <v>0</v>
      </c>
      <c r="O687" s="93">
        <f t="shared" ca="1" si="283"/>
        <v>0</v>
      </c>
      <c r="P687" s="93">
        <f t="shared" si="284"/>
        <v>0</v>
      </c>
      <c r="Q687" s="597"/>
      <c r="R687" s="597"/>
      <c r="S687" s="597"/>
      <c r="T687" s="597"/>
      <c r="U687" s="597"/>
      <c r="V687" s="597"/>
      <c r="W687" s="597"/>
      <c r="X687" s="597"/>
      <c r="Y687" s="597"/>
      <c r="Z687" s="597"/>
    </row>
    <row r="688" spans="1:26" ht="18.75">
      <c r="A688" s="590"/>
      <c r="B688" s="568"/>
      <c r="C688" s="754"/>
      <c r="D688" s="599" t="s">
        <v>20</v>
      </c>
      <c r="E688" s="754"/>
      <c r="F688" s="754"/>
      <c r="G688" s="189"/>
      <c r="H688" s="161" t="s">
        <v>12</v>
      </c>
      <c r="I688" s="184"/>
      <c r="J688" s="184"/>
      <c r="K688" s="163"/>
      <c r="L688" s="496">
        <f t="shared" ref="L688:N688" ca="1" si="286">L689+L690</f>
        <v>12720</v>
      </c>
      <c r="M688" s="496">
        <f t="shared" si="286"/>
        <v>0</v>
      </c>
      <c r="N688" s="496">
        <f t="shared" si="286"/>
        <v>0</v>
      </c>
      <c r="O688" s="496">
        <f t="shared" ca="1" si="283"/>
        <v>0</v>
      </c>
      <c r="P688" s="496">
        <f t="shared" si="284"/>
        <v>0</v>
      </c>
      <c r="Q688" s="571"/>
      <c r="R688" s="571"/>
      <c r="S688" s="571"/>
      <c r="T688" s="571"/>
      <c r="U688" s="571"/>
      <c r="V688" s="571"/>
      <c r="W688" s="571"/>
      <c r="X688" s="571"/>
      <c r="Y688" s="571"/>
      <c r="Z688" s="571"/>
    </row>
    <row r="689" spans="1:26" ht="18.75" hidden="1">
      <c r="A689" s="592"/>
      <c r="B689" s="600"/>
      <c r="C689" s="750"/>
      <c r="D689" s="711"/>
      <c r="E689" s="750" t="s">
        <v>184</v>
      </c>
      <c r="F689" s="750"/>
      <c r="G689" s="596"/>
      <c r="H689" s="165" t="s">
        <v>12</v>
      </c>
      <c r="I689" s="610"/>
      <c r="J689" s="610"/>
      <c r="K689" s="93"/>
      <c r="L689" s="93">
        <v>0</v>
      </c>
      <c r="M689" s="93">
        <v>0</v>
      </c>
      <c r="N689" s="93">
        <v>0</v>
      </c>
      <c r="O689" s="93"/>
      <c r="P689" s="93"/>
      <c r="Q689" s="597"/>
      <c r="R689" s="597"/>
      <c r="S689" s="597"/>
      <c r="T689" s="597"/>
      <c r="U689" s="597"/>
      <c r="V689" s="597"/>
      <c r="W689" s="597"/>
      <c r="X689" s="597"/>
      <c r="Y689" s="597"/>
      <c r="Z689" s="597"/>
    </row>
    <row r="690" spans="1:26" ht="18.75" hidden="1">
      <c r="A690" s="592"/>
      <c r="B690" s="600"/>
      <c r="C690" s="750"/>
      <c r="D690" s="711"/>
      <c r="E690" s="750" t="s">
        <v>185</v>
      </c>
      <c r="F690" s="750"/>
      <c r="G690" s="596"/>
      <c r="H690" s="165" t="s">
        <v>12</v>
      </c>
      <c r="I690" s="610"/>
      <c r="J690" s="610"/>
      <c r="K690" s="93"/>
      <c r="L690" s="93">
        <f ca="1">IFERROR(__xludf.DUMMYFUNCTION("IMPORTRANGE(""https://docs.google.com/spreadsheets/d/1QqKyyYR6Q21VydFLVH3TRQUabQu_ym0Zz7PgGX0-kHA/edit?usp=sharing"",""แผน!HW65"")"),12720)</f>
        <v>12720</v>
      </c>
      <c r="M690" s="93">
        <v>0</v>
      </c>
      <c r="N690" s="93">
        <f>N691+N692+N693+N694</f>
        <v>0</v>
      </c>
      <c r="O690" s="93">
        <f ca="1">IF(L690&gt;0,N690*100/L690,0)</f>
        <v>0</v>
      </c>
      <c r="P690" s="93">
        <f>IF(M690&gt;0,N690*100/M690,0)</f>
        <v>0</v>
      </c>
      <c r="Q690" s="597"/>
      <c r="R690" s="597"/>
      <c r="S690" s="597"/>
      <c r="T690" s="597"/>
      <c r="U690" s="597"/>
      <c r="V690" s="597"/>
      <c r="W690" s="597"/>
      <c r="X690" s="597"/>
      <c r="Y690" s="597"/>
      <c r="Z690" s="597"/>
    </row>
    <row r="691" spans="1:26" ht="18.75">
      <c r="A691" s="567"/>
      <c r="B691" s="568"/>
      <c r="C691" s="754"/>
      <c r="D691" s="754"/>
      <c r="E691" s="754"/>
      <c r="F691" s="754" t="s">
        <v>186</v>
      </c>
      <c r="G691" s="189"/>
      <c r="H691" s="161" t="s">
        <v>12</v>
      </c>
      <c r="I691" s="269"/>
      <c r="J691" s="269"/>
      <c r="K691" s="496"/>
      <c r="L691" s="496"/>
      <c r="M691" s="496"/>
      <c r="N691" s="817"/>
      <c r="O691" s="496"/>
      <c r="P691" s="496"/>
      <c r="Q691" s="571"/>
      <c r="R691" s="571"/>
      <c r="S691" s="571"/>
      <c r="T691" s="571"/>
      <c r="U691" s="571"/>
      <c r="V691" s="571"/>
      <c r="W691" s="571"/>
      <c r="X691" s="571"/>
      <c r="Y691" s="571"/>
      <c r="Z691" s="571"/>
    </row>
    <row r="692" spans="1:26" ht="18.75">
      <c r="A692" s="567"/>
      <c r="B692" s="568"/>
      <c r="C692" s="754"/>
      <c r="D692" s="754"/>
      <c r="E692" s="754"/>
      <c r="F692" s="754" t="s">
        <v>187</v>
      </c>
      <c r="G692" s="189"/>
      <c r="H692" s="161" t="s">
        <v>12</v>
      </c>
      <c r="I692" s="269"/>
      <c r="J692" s="269"/>
      <c r="K692" s="496"/>
      <c r="L692" s="496"/>
      <c r="M692" s="496"/>
      <c r="N692" s="817">
        <v>0</v>
      </c>
      <c r="O692" s="496"/>
      <c r="P692" s="496"/>
      <c r="Q692" s="571"/>
      <c r="R692" s="571"/>
      <c r="S692" s="571"/>
      <c r="T692" s="571"/>
      <c r="U692" s="571"/>
      <c r="V692" s="571"/>
      <c r="W692" s="571"/>
      <c r="X692" s="571"/>
      <c r="Y692" s="571"/>
      <c r="Z692" s="571"/>
    </row>
    <row r="693" spans="1:26" ht="18.75">
      <c r="A693" s="567"/>
      <c r="B693" s="568"/>
      <c r="C693" s="754"/>
      <c r="D693" s="754"/>
      <c r="E693" s="754"/>
      <c r="F693" s="754" t="s">
        <v>188</v>
      </c>
      <c r="G693" s="189"/>
      <c r="H693" s="161" t="s">
        <v>12</v>
      </c>
      <c r="I693" s="269"/>
      <c r="J693" s="269"/>
      <c r="K693" s="496"/>
      <c r="L693" s="496"/>
      <c r="M693" s="496"/>
      <c r="N693" s="817">
        <v>0</v>
      </c>
      <c r="O693" s="496"/>
      <c r="P693" s="496"/>
      <c r="Q693" s="571"/>
      <c r="R693" s="571"/>
      <c r="S693" s="571"/>
      <c r="T693" s="571"/>
      <c r="U693" s="571"/>
      <c r="V693" s="571"/>
      <c r="W693" s="571"/>
      <c r="X693" s="571"/>
      <c r="Y693" s="571"/>
      <c r="Z693" s="571"/>
    </row>
    <row r="694" spans="1:26" ht="18.75">
      <c r="A694" s="567"/>
      <c r="B694" s="568"/>
      <c r="C694" s="754"/>
      <c r="D694" s="754"/>
      <c r="E694" s="754"/>
      <c r="F694" s="754" t="s">
        <v>189</v>
      </c>
      <c r="G694" s="189"/>
      <c r="H694" s="161" t="s">
        <v>12</v>
      </c>
      <c r="I694" s="269"/>
      <c r="J694" s="269"/>
      <c r="K694" s="496"/>
      <c r="L694" s="496"/>
      <c r="M694" s="496"/>
      <c r="N694" s="817">
        <v>0</v>
      </c>
      <c r="O694" s="496"/>
      <c r="P694" s="496"/>
      <c r="Q694" s="571"/>
      <c r="R694" s="571"/>
      <c r="S694" s="571"/>
      <c r="T694" s="571"/>
      <c r="U694" s="571"/>
      <c r="V694" s="571"/>
      <c r="W694" s="571"/>
      <c r="X694" s="571"/>
      <c r="Y694" s="571"/>
      <c r="Z694" s="571"/>
    </row>
    <row r="695" spans="1:26" ht="18.75">
      <c r="A695" s="590"/>
      <c r="B695" s="568"/>
      <c r="C695" s="754"/>
      <c r="D695" s="599" t="s">
        <v>21</v>
      </c>
      <c r="E695" s="754"/>
      <c r="F695" s="754"/>
      <c r="G695" s="189"/>
      <c r="H695" s="168" t="s">
        <v>12</v>
      </c>
      <c r="I695" s="184"/>
      <c r="J695" s="184"/>
      <c r="K695" s="163"/>
      <c r="L695" s="496">
        <f t="shared" ref="L695:N695" si="287">L696+L697</f>
        <v>0</v>
      </c>
      <c r="M695" s="496">
        <f t="shared" si="287"/>
        <v>0</v>
      </c>
      <c r="N695" s="496">
        <f t="shared" si="287"/>
        <v>0</v>
      </c>
      <c r="O695" s="496">
        <f t="shared" ref="O695:O697" si="288">IF(L695&gt;0,N695*100/L695,0)</f>
        <v>0</v>
      </c>
      <c r="P695" s="496">
        <f t="shared" ref="P695:P697" si="289">IF(M695&gt;0,N695*100/M695,0)</f>
        <v>0</v>
      </c>
      <c r="Q695" s="571"/>
      <c r="R695" s="571"/>
      <c r="S695" s="571"/>
      <c r="T695" s="571"/>
      <c r="U695" s="571"/>
      <c r="V695" s="571"/>
      <c r="W695" s="571"/>
      <c r="X695" s="571"/>
      <c r="Y695" s="571"/>
      <c r="Z695" s="571"/>
    </row>
    <row r="696" spans="1:26" ht="18.75" hidden="1">
      <c r="A696" s="592"/>
      <c r="B696" s="600"/>
      <c r="C696" s="750"/>
      <c r="D696" s="750"/>
      <c r="E696" s="750" t="s">
        <v>18</v>
      </c>
      <c r="F696" s="750"/>
      <c r="G696" s="596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597"/>
      <c r="R696" s="597"/>
      <c r="S696" s="597"/>
      <c r="T696" s="597"/>
      <c r="U696" s="597"/>
      <c r="V696" s="597"/>
      <c r="W696" s="597"/>
      <c r="X696" s="597"/>
      <c r="Y696" s="597"/>
      <c r="Z696" s="597"/>
    </row>
    <row r="697" spans="1:26" ht="18.75" hidden="1">
      <c r="A697" s="592"/>
      <c r="B697" s="600"/>
      <c r="C697" s="750"/>
      <c r="D697" s="750"/>
      <c r="E697" s="750" t="s">
        <v>19</v>
      </c>
      <c r="F697" s="750"/>
      <c r="G697" s="596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597"/>
      <c r="R697" s="597"/>
      <c r="S697" s="597"/>
      <c r="T697" s="597"/>
      <c r="U697" s="597"/>
      <c r="V697" s="597"/>
      <c r="W697" s="597"/>
      <c r="X697" s="597"/>
      <c r="Y697" s="597"/>
      <c r="Z697" s="597"/>
    </row>
    <row r="698" spans="1:26" ht="19.5">
      <c r="A698" s="601"/>
      <c r="B698" s="611"/>
      <c r="C698" s="754" t="s">
        <v>16</v>
      </c>
      <c r="D698" s="840" t="s">
        <v>38</v>
      </c>
      <c r="E698" s="752"/>
      <c r="F698" s="752"/>
      <c r="G698" s="606"/>
      <c r="H698" s="753"/>
      <c r="I698" s="184"/>
      <c r="J698" s="184"/>
      <c r="K698" s="163"/>
      <c r="L698" s="163"/>
      <c r="M698" s="163"/>
      <c r="N698" s="163"/>
      <c r="O698" s="163"/>
      <c r="P698" s="163"/>
      <c r="Q698" s="571"/>
      <c r="R698" s="571"/>
      <c r="S698" s="571"/>
      <c r="T698" s="571"/>
      <c r="U698" s="571"/>
      <c r="V698" s="571"/>
      <c r="W698" s="571"/>
      <c r="X698" s="571"/>
      <c r="Y698" s="571"/>
      <c r="Z698" s="571"/>
    </row>
    <row r="699" spans="1:26" ht="18.75">
      <c r="A699" s="735"/>
      <c r="B699" s="754"/>
      <c r="C699" s="754"/>
      <c r="D699" s="754" t="s">
        <v>294</v>
      </c>
      <c r="E699" s="754"/>
      <c r="F699" s="754"/>
      <c r="G699" s="189"/>
      <c r="H699" s="755" t="s">
        <v>46</v>
      </c>
      <c r="I699" s="756">
        <f ca="1">IFERROR(__xludf.DUMMYFUNCTION("IMPORTRANGE(""https://docs.google.com/spreadsheets/d/1QqKyyYR6Q21VydFLVH3TRQUabQu_ym0Zz7PgGX0-kHA/edit?usp=sharing"",""แผน!IC65"")"),0)</f>
        <v>0</v>
      </c>
      <c r="J699" s="269">
        <f ca="1">IFERROR(__xludf.DUMMYFUNCTION("IMPORTRANGE(""https://docs.google.com/spreadsheets/d/1XWAQStnk-4SwqDmLtmXYiTMKHgktTP8We1SCoS47DrQ/edit?usp=sharing"",""จัดที่ดิน!BB65"")"),0)</f>
        <v>0</v>
      </c>
      <c r="K699" s="496">
        <f t="shared" ref="K699:K701" ca="1" si="290">IF(I699&gt;0,J699*100/I699,0)</f>
        <v>0</v>
      </c>
      <c r="L699" s="496"/>
      <c r="M699" s="189"/>
      <c r="N699" s="757"/>
      <c r="O699" s="496"/>
      <c r="P699" s="496"/>
      <c r="Q699" s="571"/>
      <c r="R699" s="571"/>
      <c r="S699" s="571"/>
      <c r="T699" s="571"/>
      <c r="U699" s="571"/>
      <c r="V699" s="571"/>
      <c r="W699" s="571"/>
      <c r="X699" s="571"/>
      <c r="Y699" s="571"/>
      <c r="Z699" s="571"/>
    </row>
    <row r="700" spans="1:26" ht="18.75">
      <c r="A700" s="735"/>
      <c r="B700" s="754"/>
      <c r="C700" s="754"/>
      <c r="D700" s="754" t="s">
        <v>295</v>
      </c>
      <c r="E700" s="754"/>
      <c r="F700" s="754"/>
      <c r="G700" s="189"/>
      <c r="H700" s="755" t="s">
        <v>35</v>
      </c>
      <c r="I700" s="756">
        <f ca="1">IFERROR(__xludf.DUMMYFUNCTION("IMPORTRANGE(""https://docs.google.com/spreadsheets/d/1QqKyyYR6Q21VydFLVH3TRQUabQu_ym0Zz7PgGX0-kHA/edit?usp=sharing"",""แผน!ID65"")"),35)</f>
        <v>35</v>
      </c>
      <c r="J700" s="269">
        <f ca="1">IFERROR(__xludf.DUMMYFUNCTION("IMPORTRANGE(""https://docs.google.com/spreadsheets/d/1XWAQStnk-4SwqDmLtmXYiTMKHgktTP8We1SCoS47DrQ/edit?usp=sharing"",""จัดที่ดิน!BD65"")"),2)</f>
        <v>2</v>
      </c>
      <c r="K700" s="496">
        <f t="shared" ca="1" si="290"/>
        <v>5.7142857142857144</v>
      </c>
      <c r="L700" s="496"/>
      <c r="M700" s="189"/>
      <c r="N700" s="757"/>
      <c r="O700" s="496"/>
      <c r="P700" s="496"/>
      <c r="Q700" s="571"/>
      <c r="R700" s="571"/>
      <c r="S700" s="571"/>
      <c r="T700" s="571"/>
      <c r="U700" s="571"/>
      <c r="V700" s="571"/>
      <c r="W700" s="571"/>
      <c r="X700" s="571"/>
      <c r="Y700" s="571"/>
      <c r="Z700" s="571"/>
    </row>
    <row r="701" spans="1:26" ht="19.5">
      <c r="A701" s="735"/>
      <c r="B701" s="754"/>
      <c r="C701" s="754"/>
      <c r="D701" s="754" t="s">
        <v>296</v>
      </c>
      <c r="E701" s="754"/>
      <c r="F701" s="754"/>
      <c r="G701" s="189"/>
      <c r="H701" s="758" t="s">
        <v>46</v>
      </c>
      <c r="I701" s="759">
        <f ca="1">IFERROR(__xludf.DUMMYFUNCTION("IMPORTRANGE(""https://docs.google.com/spreadsheets/d/1QqKyyYR6Q21VydFLVH3TRQUabQu_ym0Zz7PgGX0-kHA/edit?usp=sharing"",""แผน!IE65"")"),0)</f>
        <v>0</v>
      </c>
      <c r="J701" s="674">
        <f>J704+J707</f>
        <v>0</v>
      </c>
      <c r="K701" s="195">
        <f t="shared" ca="1" si="290"/>
        <v>0</v>
      </c>
      <c r="L701" s="496"/>
      <c r="M701" s="189"/>
      <c r="N701" s="757"/>
      <c r="O701" s="496"/>
      <c r="P701" s="496"/>
      <c r="Q701" s="571"/>
      <c r="R701" s="571"/>
      <c r="S701" s="571"/>
      <c r="T701" s="571"/>
      <c r="U701" s="571"/>
      <c r="V701" s="571"/>
      <c r="W701" s="571"/>
      <c r="X701" s="571"/>
      <c r="Y701" s="571"/>
      <c r="Z701" s="571"/>
    </row>
    <row r="702" spans="1:26" ht="18.75">
      <c r="A702" s="735"/>
      <c r="B702" s="754"/>
      <c r="C702" s="754"/>
      <c r="D702" s="754"/>
      <c r="E702" s="754" t="s">
        <v>297</v>
      </c>
      <c r="F702" s="754"/>
      <c r="G702" s="189"/>
      <c r="H702" s="755" t="s">
        <v>35</v>
      </c>
      <c r="I702" s="756"/>
      <c r="J702" s="214">
        <v>0</v>
      </c>
      <c r="K702" s="496"/>
      <c r="L702" s="496"/>
      <c r="M702" s="189"/>
      <c r="N702" s="757"/>
      <c r="O702" s="496"/>
      <c r="P702" s="496"/>
      <c r="Q702" s="571"/>
      <c r="R702" s="571"/>
      <c r="S702" s="571"/>
      <c r="T702" s="571"/>
      <c r="U702" s="571"/>
      <c r="V702" s="571"/>
      <c r="W702" s="571"/>
      <c r="X702" s="571"/>
      <c r="Y702" s="571"/>
      <c r="Z702" s="571"/>
    </row>
    <row r="703" spans="1:26" ht="18.75">
      <c r="A703" s="735"/>
      <c r="B703" s="754"/>
      <c r="C703" s="754"/>
      <c r="D703" s="754"/>
      <c r="E703" s="754"/>
      <c r="F703" s="754"/>
      <c r="G703" s="189"/>
      <c r="H703" s="755" t="s">
        <v>34</v>
      </c>
      <c r="I703" s="756"/>
      <c r="J703" s="214">
        <v>0</v>
      </c>
      <c r="K703" s="496"/>
      <c r="L703" s="496"/>
      <c r="M703" s="189"/>
      <c r="N703" s="757"/>
      <c r="O703" s="496"/>
      <c r="P703" s="496"/>
      <c r="Q703" s="571"/>
      <c r="R703" s="571"/>
      <c r="S703" s="571"/>
      <c r="T703" s="571"/>
      <c r="U703" s="571"/>
      <c r="V703" s="571"/>
      <c r="W703" s="571"/>
      <c r="X703" s="571"/>
      <c r="Y703" s="571"/>
      <c r="Z703" s="571"/>
    </row>
    <row r="704" spans="1:26" ht="18.75">
      <c r="A704" s="735"/>
      <c r="B704" s="754"/>
      <c r="C704" s="754"/>
      <c r="D704" s="754"/>
      <c r="E704" s="754"/>
      <c r="F704" s="754"/>
      <c r="G704" s="189"/>
      <c r="H704" s="755" t="s">
        <v>46</v>
      </c>
      <c r="I704" s="756">
        <f ca="1">IFERROR(__xludf.DUMMYFUNCTION("IMPORTRANGE(""https://docs.google.com/spreadsheets/d/1QqKyyYR6Q21VydFLVH3TRQUabQu_ym0Zz7PgGX0-kHA/edit?usp=sharing"",""แผน!IF65"")"),0)</f>
        <v>0</v>
      </c>
      <c r="J704" s="214">
        <v>0</v>
      </c>
      <c r="K704" s="496"/>
      <c r="L704" s="496"/>
      <c r="M704" s="189"/>
      <c r="N704" s="757"/>
      <c r="O704" s="496"/>
      <c r="P704" s="496"/>
      <c r="Q704" s="571"/>
      <c r="R704" s="571"/>
      <c r="S704" s="571"/>
      <c r="T704" s="571"/>
      <c r="U704" s="571"/>
      <c r="V704" s="571"/>
      <c r="W704" s="571"/>
      <c r="X704" s="571"/>
      <c r="Y704" s="571"/>
      <c r="Z704" s="571"/>
    </row>
    <row r="705" spans="1:26" ht="18.75">
      <c r="A705" s="735"/>
      <c r="B705" s="754"/>
      <c r="C705" s="754"/>
      <c r="D705" s="754"/>
      <c r="E705" s="754" t="s">
        <v>298</v>
      </c>
      <c r="F705" s="754"/>
      <c r="G705" s="189"/>
      <c r="H705" s="755" t="s">
        <v>35</v>
      </c>
      <c r="I705" s="756"/>
      <c r="J705" s="214">
        <v>0</v>
      </c>
      <c r="K705" s="496"/>
      <c r="L705" s="496"/>
      <c r="M705" s="189"/>
      <c r="N705" s="757"/>
      <c r="O705" s="496"/>
      <c r="P705" s="496"/>
      <c r="Q705" s="571"/>
      <c r="R705" s="571"/>
      <c r="S705" s="571"/>
      <c r="T705" s="571"/>
      <c r="U705" s="571"/>
      <c r="V705" s="571"/>
      <c r="W705" s="571"/>
      <c r="X705" s="571"/>
      <c r="Y705" s="571"/>
      <c r="Z705" s="571"/>
    </row>
    <row r="706" spans="1:26" ht="18.75">
      <c r="A706" s="735"/>
      <c r="B706" s="754"/>
      <c r="C706" s="754"/>
      <c r="D706" s="754"/>
      <c r="E706" s="754"/>
      <c r="F706" s="754"/>
      <c r="G706" s="189"/>
      <c r="H706" s="755" t="s">
        <v>34</v>
      </c>
      <c r="I706" s="756"/>
      <c r="J706" s="214">
        <v>0</v>
      </c>
      <c r="K706" s="496"/>
      <c r="L706" s="496"/>
      <c r="M706" s="189"/>
      <c r="N706" s="757"/>
      <c r="O706" s="496"/>
      <c r="P706" s="496"/>
      <c r="Q706" s="571"/>
      <c r="R706" s="571"/>
      <c r="S706" s="571"/>
      <c r="T706" s="571"/>
      <c r="U706" s="571"/>
      <c r="V706" s="571"/>
      <c r="W706" s="571"/>
      <c r="X706" s="571"/>
      <c r="Y706" s="571"/>
      <c r="Z706" s="571"/>
    </row>
    <row r="707" spans="1:26" ht="18.75">
      <c r="A707" s="735"/>
      <c r="B707" s="754"/>
      <c r="C707" s="754"/>
      <c r="D707" s="754"/>
      <c r="E707" s="754"/>
      <c r="F707" s="754"/>
      <c r="G707" s="189"/>
      <c r="H707" s="755" t="s">
        <v>46</v>
      </c>
      <c r="I707" s="756">
        <f ca="1">IFERROR(__xludf.DUMMYFUNCTION("IMPORTRANGE(""https://docs.google.com/spreadsheets/d/1QqKyyYR6Q21VydFLVH3TRQUabQu_ym0Zz7PgGX0-kHA/edit?usp=sharing"",""แผน!IG65"")"),0)</f>
        <v>0</v>
      </c>
      <c r="J707" s="214">
        <v>0</v>
      </c>
      <c r="K707" s="496"/>
      <c r="L707" s="496"/>
      <c r="M707" s="189"/>
      <c r="N707" s="757"/>
      <c r="O707" s="496"/>
      <c r="P707" s="496"/>
      <c r="Q707" s="571"/>
      <c r="R707" s="571"/>
      <c r="S707" s="571"/>
      <c r="T707" s="571"/>
      <c r="U707" s="571"/>
      <c r="V707" s="571"/>
      <c r="W707" s="571"/>
      <c r="X707" s="571"/>
      <c r="Y707" s="571"/>
      <c r="Z707" s="571"/>
    </row>
    <row r="708" spans="1:26" ht="19.5">
      <c r="A708" s="735"/>
      <c r="B708" s="754"/>
      <c r="C708" s="754"/>
      <c r="D708" s="760" t="s">
        <v>299</v>
      </c>
      <c r="E708" s="754"/>
      <c r="F708" s="754"/>
      <c r="G708" s="189"/>
      <c r="H708" s="758" t="s">
        <v>46</v>
      </c>
      <c r="I708" s="759">
        <f ca="1">IFERROR(__xludf.DUMMYFUNCTION("IMPORTRANGE(""https://docs.google.com/spreadsheets/d/1QqKyyYR6Q21VydFLVH3TRQUabQu_ym0Zz7PgGX0-kHA/edit?usp=sharing"",""แผน!IH65"")"),0)</f>
        <v>0</v>
      </c>
      <c r="J708" s="674">
        <f>J714+J717</f>
        <v>0</v>
      </c>
      <c r="K708" s="195">
        <f ca="1">IF(I708&gt;0,J708*100/I708,0)</f>
        <v>0</v>
      </c>
      <c r="L708" s="496"/>
      <c r="M708" s="189"/>
      <c r="N708" s="757"/>
      <c r="O708" s="496"/>
      <c r="P708" s="496"/>
      <c r="Q708" s="571"/>
      <c r="R708" s="571"/>
      <c r="S708" s="571"/>
      <c r="T708" s="571"/>
      <c r="U708" s="571"/>
      <c r="V708" s="571"/>
      <c r="W708" s="571"/>
      <c r="X708" s="571"/>
      <c r="Y708" s="571"/>
      <c r="Z708" s="571"/>
    </row>
    <row r="709" spans="1:26" ht="18.75">
      <c r="A709" s="735"/>
      <c r="B709" s="754"/>
      <c r="C709" s="754"/>
      <c r="D709" s="754"/>
      <c r="E709" s="754" t="s">
        <v>300</v>
      </c>
      <c r="F709" s="754"/>
      <c r="G709" s="189"/>
      <c r="H709" s="755" t="s">
        <v>34</v>
      </c>
      <c r="I709" s="756"/>
      <c r="J709" s="214">
        <v>0</v>
      </c>
      <c r="K709" s="496"/>
      <c r="L709" s="757"/>
      <c r="M709" s="189"/>
      <c r="N709" s="757"/>
      <c r="O709" s="496"/>
      <c r="P709" s="496"/>
      <c r="Q709" s="571"/>
      <c r="R709" s="571"/>
      <c r="S709" s="571"/>
      <c r="T709" s="571"/>
      <c r="U709" s="571"/>
      <c r="V709" s="571"/>
      <c r="W709" s="571"/>
      <c r="X709" s="571"/>
      <c r="Y709" s="571"/>
      <c r="Z709" s="571"/>
    </row>
    <row r="710" spans="1:26" ht="18.75">
      <c r="A710" s="735"/>
      <c r="B710" s="754"/>
      <c r="C710" s="754"/>
      <c r="D710" s="754"/>
      <c r="E710" s="754"/>
      <c r="F710" s="754"/>
      <c r="G710" s="189"/>
      <c r="H710" s="755" t="s">
        <v>46</v>
      </c>
      <c r="I710" s="756"/>
      <c r="J710" s="214">
        <v>0</v>
      </c>
      <c r="K710" s="496"/>
      <c r="L710" s="757"/>
      <c r="M710" s="189"/>
      <c r="N710" s="757"/>
      <c r="O710" s="496"/>
      <c r="P710" s="496"/>
      <c r="Q710" s="571"/>
      <c r="R710" s="571"/>
      <c r="S710" s="571"/>
      <c r="T710" s="571"/>
      <c r="U710" s="571"/>
      <c r="V710" s="571"/>
      <c r="W710" s="571"/>
      <c r="X710" s="571"/>
      <c r="Y710" s="571"/>
      <c r="Z710" s="571"/>
    </row>
    <row r="711" spans="1:26" ht="18.75">
      <c r="A711" s="735"/>
      <c r="B711" s="754"/>
      <c r="C711" s="754"/>
      <c r="D711" s="754"/>
      <c r="E711" s="754" t="s">
        <v>301</v>
      </c>
      <c r="F711" s="754"/>
      <c r="G711" s="189"/>
      <c r="H711" s="753"/>
      <c r="I711" s="756"/>
      <c r="J711" s="269"/>
      <c r="K711" s="496"/>
      <c r="L711" s="757"/>
      <c r="M711" s="189"/>
      <c r="N711" s="757"/>
      <c r="O711" s="496"/>
      <c r="P711" s="496"/>
      <c r="Q711" s="571"/>
      <c r="R711" s="571"/>
      <c r="S711" s="571"/>
      <c r="T711" s="571"/>
      <c r="U711" s="571"/>
      <c r="V711" s="571"/>
      <c r="W711" s="571"/>
      <c r="X711" s="571"/>
      <c r="Y711" s="571"/>
      <c r="Z711" s="571"/>
    </row>
    <row r="712" spans="1:26" ht="18.75">
      <c r="A712" s="735"/>
      <c r="B712" s="754"/>
      <c r="C712" s="754"/>
      <c r="D712" s="754"/>
      <c r="E712" s="754"/>
      <c r="F712" s="754" t="s">
        <v>302</v>
      </c>
      <c r="G712" s="189"/>
      <c r="H712" s="755" t="s">
        <v>35</v>
      </c>
      <c r="I712" s="756"/>
      <c r="J712" s="214">
        <v>0</v>
      </c>
      <c r="K712" s="496"/>
      <c r="L712" s="757"/>
      <c r="M712" s="189"/>
      <c r="N712" s="757"/>
      <c r="O712" s="496"/>
      <c r="P712" s="496"/>
      <c r="Q712" s="571"/>
      <c r="R712" s="571"/>
      <c r="S712" s="571"/>
      <c r="T712" s="571"/>
      <c r="U712" s="571"/>
      <c r="V712" s="571"/>
      <c r="W712" s="571"/>
      <c r="X712" s="571"/>
      <c r="Y712" s="571"/>
      <c r="Z712" s="571"/>
    </row>
    <row r="713" spans="1:26" ht="18.75">
      <c r="A713" s="735"/>
      <c r="B713" s="754"/>
      <c r="C713" s="754"/>
      <c r="D713" s="754"/>
      <c r="E713" s="754"/>
      <c r="F713" s="754"/>
      <c r="G713" s="189"/>
      <c r="H713" s="755" t="s">
        <v>34</v>
      </c>
      <c r="I713" s="756"/>
      <c r="J713" s="214">
        <v>0</v>
      </c>
      <c r="K713" s="496"/>
      <c r="L713" s="757"/>
      <c r="M713" s="189"/>
      <c r="N713" s="757"/>
      <c r="O713" s="496"/>
      <c r="P713" s="496"/>
      <c r="Q713" s="571"/>
      <c r="R713" s="571"/>
      <c r="S713" s="571"/>
      <c r="T713" s="571"/>
      <c r="U713" s="571"/>
      <c r="V713" s="571"/>
      <c r="W713" s="571"/>
      <c r="X713" s="571"/>
      <c r="Y713" s="571"/>
      <c r="Z713" s="571"/>
    </row>
    <row r="714" spans="1:26" ht="18.75">
      <c r="A714" s="735"/>
      <c r="B714" s="754"/>
      <c r="C714" s="754"/>
      <c r="D714" s="754"/>
      <c r="E714" s="754"/>
      <c r="F714" s="754"/>
      <c r="G714" s="189"/>
      <c r="H714" s="755" t="s">
        <v>46</v>
      </c>
      <c r="I714" s="756"/>
      <c r="J714" s="214">
        <v>0</v>
      </c>
      <c r="K714" s="496"/>
      <c r="L714" s="757"/>
      <c r="M714" s="189"/>
      <c r="N714" s="757"/>
      <c r="O714" s="496"/>
      <c r="P714" s="496"/>
      <c r="Q714" s="571"/>
      <c r="R714" s="571"/>
      <c r="S714" s="571"/>
      <c r="T714" s="571"/>
      <c r="U714" s="571"/>
      <c r="V714" s="571"/>
      <c r="W714" s="571"/>
      <c r="X714" s="571"/>
      <c r="Y714" s="571"/>
      <c r="Z714" s="571"/>
    </row>
    <row r="715" spans="1:26" ht="18.75">
      <c r="A715" s="735"/>
      <c r="B715" s="754"/>
      <c r="C715" s="754"/>
      <c r="D715" s="754"/>
      <c r="E715" s="754"/>
      <c r="F715" s="754" t="s">
        <v>303</v>
      </c>
      <c r="G715" s="189"/>
      <c r="H715" s="755" t="s">
        <v>35</v>
      </c>
      <c r="I715" s="756"/>
      <c r="J715" s="214">
        <v>0</v>
      </c>
      <c r="K715" s="496"/>
      <c r="L715" s="757"/>
      <c r="M715" s="189"/>
      <c r="N715" s="757"/>
      <c r="O715" s="496"/>
      <c r="P715" s="496"/>
      <c r="Q715" s="571"/>
      <c r="R715" s="571"/>
      <c r="S715" s="571"/>
      <c r="T715" s="571"/>
      <c r="U715" s="571"/>
      <c r="V715" s="571"/>
      <c r="W715" s="571"/>
      <c r="X715" s="571"/>
      <c r="Y715" s="571"/>
      <c r="Z715" s="571"/>
    </row>
    <row r="716" spans="1:26" ht="18.75">
      <c r="A716" s="735"/>
      <c r="B716" s="754"/>
      <c r="C716" s="754"/>
      <c r="D716" s="754"/>
      <c r="E716" s="754"/>
      <c r="F716" s="754"/>
      <c r="G716" s="189"/>
      <c r="H716" s="755" t="s">
        <v>34</v>
      </c>
      <c r="I716" s="756"/>
      <c r="J716" s="214">
        <v>0</v>
      </c>
      <c r="K716" s="496"/>
      <c r="L716" s="757"/>
      <c r="M716" s="189"/>
      <c r="N716" s="757"/>
      <c r="O716" s="496"/>
      <c r="P716" s="496"/>
      <c r="Q716" s="571"/>
      <c r="R716" s="571"/>
      <c r="S716" s="571"/>
      <c r="T716" s="571"/>
      <c r="U716" s="571"/>
      <c r="V716" s="571"/>
      <c r="W716" s="571"/>
      <c r="X716" s="571"/>
      <c r="Y716" s="571"/>
      <c r="Z716" s="571"/>
    </row>
    <row r="717" spans="1:26" ht="18.75">
      <c r="A717" s="735"/>
      <c r="B717" s="754"/>
      <c r="C717" s="754"/>
      <c r="D717" s="754"/>
      <c r="E717" s="754"/>
      <c r="F717" s="754"/>
      <c r="G717" s="189"/>
      <c r="H717" s="755" t="s">
        <v>46</v>
      </c>
      <c r="I717" s="756"/>
      <c r="J717" s="214">
        <v>0</v>
      </c>
      <c r="K717" s="496"/>
      <c r="L717" s="757"/>
      <c r="M717" s="189"/>
      <c r="N717" s="757"/>
      <c r="O717" s="496"/>
      <c r="P717" s="496"/>
      <c r="Q717" s="571"/>
      <c r="R717" s="571"/>
      <c r="S717" s="571"/>
      <c r="T717" s="571"/>
      <c r="U717" s="571"/>
      <c r="V717" s="571"/>
      <c r="W717" s="571"/>
      <c r="X717" s="571"/>
      <c r="Y717" s="571"/>
      <c r="Z717" s="571"/>
    </row>
    <row r="718" spans="1:26" ht="18.75">
      <c r="A718" s="735"/>
      <c r="B718" s="754"/>
      <c r="C718" s="754"/>
      <c r="D718" s="754" t="s">
        <v>304</v>
      </c>
      <c r="E718" s="754"/>
      <c r="F718" s="754"/>
      <c r="G718" s="189"/>
      <c r="H718" s="755" t="s">
        <v>35</v>
      </c>
      <c r="I718" s="756"/>
      <c r="J718" s="269">
        <f ca="1">IFERROR(__xludf.DUMMYFUNCTION("IMPORTRANGE(""https://docs.google.com/spreadsheets/d/1XWAQStnk-4SwqDmLtmXYiTMKHgktTP8We1SCoS47DrQ/edit?usp=sharing"",""จัดที่ดิน!BF65"")"),0)</f>
        <v>0</v>
      </c>
      <c r="K718" s="496"/>
      <c r="L718" s="496"/>
      <c r="M718" s="189"/>
      <c r="N718" s="757"/>
      <c r="O718" s="496"/>
      <c r="P718" s="496"/>
      <c r="Q718" s="571"/>
      <c r="R718" s="571"/>
      <c r="S718" s="571"/>
      <c r="T718" s="571"/>
      <c r="U718" s="571"/>
      <c r="V718" s="571"/>
      <c r="W718" s="571"/>
      <c r="X718" s="571"/>
      <c r="Y718" s="571"/>
      <c r="Z718" s="571"/>
    </row>
    <row r="719" spans="1:26" ht="18.75">
      <c r="A719" s="735"/>
      <c r="B719" s="754"/>
      <c r="C719" s="754"/>
      <c r="D719" s="754"/>
      <c r="E719" s="754"/>
      <c r="F719" s="754"/>
      <c r="G719" s="189"/>
      <c r="H719" s="755" t="s">
        <v>34</v>
      </c>
      <c r="I719" s="756"/>
      <c r="J719" s="269">
        <f ca="1">IFERROR(__xludf.DUMMYFUNCTION("IMPORTRANGE(""https://docs.google.com/spreadsheets/d/1XWAQStnk-4SwqDmLtmXYiTMKHgktTP8We1SCoS47DrQ/edit?usp=sharing"",""จัดที่ดิน!BG65"")"),0)</f>
        <v>0</v>
      </c>
      <c r="K719" s="496"/>
      <c r="L719" s="757"/>
      <c r="M719" s="189"/>
      <c r="N719" s="757"/>
      <c r="O719" s="496"/>
      <c r="P719" s="496"/>
      <c r="Q719" s="571"/>
      <c r="R719" s="571"/>
      <c r="S719" s="571"/>
      <c r="T719" s="571"/>
      <c r="U719" s="571"/>
      <c r="V719" s="571"/>
      <c r="W719" s="571"/>
      <c r="X719" s="571"/>
      <c r="Y719" s="571"/>
      <c r="Z719" s="571"/>
    </row>
    <row r="720" spans="1:26" ht="18.75">
      <c r="A720" s="735"/>
      <c r="B720" s="754"/>
      <c r="C720" s="754"/>
      <c r="D720" s="754"/>
      <c r="E720" s="754"/>
      <c r="F720" s="754"/>
      <c r="G720" s="189"/>
      <c r="H720" s="755" t="s">
        <v>46</v>
      </c>
      <c r="I720" s="756">
        <f ca="1">IFERROR(__xludf.DUMMYFUNCTION("IMPORTRANGE(""https://docs.google.com/spreadsheets/d/1QqKyyYR6Q21VydFLVH3TRQUabQu_ym0Zz7PgGX0-kHA/edit?usp=sharing"",""แผน!II65"")"),0)</f>
        <v>0</v>
      </c>
      <c r="J720" s="269">
        <f ca="1">IFERROR(__xludf.DUMMYFUNCTION("IMPORTRANGE(""https://docs.google.com/spreadsheets/d/1XWAQStnk-4SwqDmLtmXYiTMKHgktTP8We1SCoS47DrQ/edit?usp=sharing"",""จัดที่ดิน!BH65"")"),0)</f>
        <v>0</v>
      </c>
      <c r="K720" s="496">
        <f t="shared" ref="K720:K723" ca="1" si="291">IF(I720&gt;0,J720*100/I720,0)</f>
        <v>0</v>
      </c>
      <c r="L720" s="757"/>
      <c r="M720" s="189"/>
      <c r="N720" s="757"/>
      <c r="O720" s="496"/>
      <c r="P720" s="496"/>
      <c r="Q720" s="571"/>
      <c r="R720" s="571"/>
      <c r="S720" s="571"/>
      <c r="T720" s="571"/>
      <c r="U720" s="571"/>
      <c r="V720" s="571"/>
      <c r="W720" s="571"/>
      <c r="X720" s="571"/>
      <c r="Y720" s="571"/>
      <c r="Z720" s="571"/>
    </row>
    <row r="721" spans="1:26" ht="19.5">
      <c r="A721" s="735"/>
      <c r="B721" s="754"/>
      <c r="C721" s="754"/>
      <c r="D721" s="754" t="s">
        <v>305</v>
      </c>
      <c r="E721" s="754"/>
      <c r="F721" s="754"/>
      <c r="G721" s="189"/>
      <c r="H721" s="758" t="s">
        <v>35</v>
      </c>
      <c r="I721" s="759">
        <f ca="1">IFERROR(__xludf.DUMMYFUNCTION("IMPORTRANGE(""https://docs.google.com/spreadsheets/d/1QqKyyYR6Q21VydFLVH3TRQUabQu_ym0Zz7PgGX0-kHA/edit?usp=sharing"",""แผน!IJ65"")"),16)</f>
        <v>16</v>
      </c>
      <c r="J721" s="674">
        <f ca="1">J723+J726</f>
        <v>0</v>
      </c>
      <c r="K721" s="195">
        <f t="shared" ca="1" si="291"/>
        <v>0</v>
      </c>
      <c r="L721" s="757"/>
      <c r="M721" s="189"/>
      <c r="N721" s="757"/>
      <c r="O721" s="496"/>
      <c r="P721" s="496"/>
      <c r="Q721" s="571"/>
      <c r="R721" s="571"/>
      <c r="S721" s="571"/>
      <c r="T721" s="571"/>
      <c r="U721" s="571"/>
      <c r="V721" s="571"/>
      <c r="W721" s="571"/>
      <c r="X721" s="571"/>
      <c r="Y721" s="571"/>
      <c r="Z721" s="571"/>
    </row>
    <row r="722" spans="1:26" ht="19.5">
      <c r="A722" s="735"/>
      <c r="B722" s="754"/>
      <c r="C722" s="754"/>
      <c r="D722" s="754"/>
      <c r="E722" s="754"/>
      <c r="F722" s="754"/>
      <c r="G722" s="189"/>
      <c r="H722" s="758" t="s">
        <v>46</v>
      </c>
      <c r="I722" s="759">
        <f ca="1">IFERROR(__xludf.DUMMYFUNCTION("IMPORTRANGE(""https://docs.google.com/spreadsheets/d/1QqKyyYR6Q21VydFLVH3TRQUabQu_ym0Zz7PgGX0-kHA/edit?usp=sharing"",""แผน!IK65"")"),224)</f>
        <v>224</v>
      </c>
      <c r="J722" s="674">
        <f ca="1">J725+J728</f>
        <v>0</v>
      </c>
      <c r="K722" s="195">
        <f t="shared" ca="1" si="291"/>
        <v>0</v>
      </c>
      <c r="L722" s="496"/>
      <c r="M722" s="189"/>
      <c r="N722" s="757"/>
      <c r="O722" s="496"/>
      <c r="P722" s="496"/>
      <c r="Q722" s="571"/>
      <c r="R722" s="571"/>
      <c r="S722" s="571"/>
      <c r="T722" s="571"/>
      <c r="U722" s="571"/>
      <c r="V722" s="571"/>
      <c r="W722" s="571"/>
      <c r="X722" s="571"/>
      <c r="Y722" s="571"/>
      <c r="Z722" s="571"/>
    </row>
    <row r="723" spans="1:26" ht="18.75">
      <c r="A723" s="735"/>
      <c r="B723" s="754"/>
      <c r="C723" s="754"/>
      <c r="D723" s="754"/>
      <c r="E723" s="754" t="s">
        <v>306</v>
      </c>
      <c r="F723" s="754"/>
      <c r="G723" s="189"/>
      <c r="H723" s="755" t="s">
        <v>35</v>
      </c>
      <c r="I723" s="756">
        <f ca="1">IFERROR(__xludf.DUMMYFUNCTION("IMPORTRANGE(""https://docs.google.com/spreadsheets/d/1QqKyyYR6Q21VydFLVH3TRQUabQu_ym0Zz7PgGX0-kHA/edit?usp=sharing"",""แผน!IL65"")"),12)</f>
        <v>12</v>
      </c>
      <c r="J723" s="269">
        <f ca="1">IFERROR(__xludf.DUMMYFUNCTION("IMPORTRANGE(""https://docs.google.com/spreadsheets/d/1XWAQStnk-4SwqDmLtmXYiTMKHgktTP8We1SCoS47DrQ/edit?usp=sharing"",""จัดที่ดิน!BM65"")"),0)</f>
        <v>0</v>
      </c>
      <c r="K723" s="496">
        <f t="shared" ca="1" si="291"/>
        <v>0</v>
      </c>
      <c r="L723" s="496"/>
      <c r="M723" s="189"/>
      <c r="N723" s="757"/>
      <c r="O723" s="496"/>
      <c r="P723" s="496"/>
      <c r="Q723" s="571"/>
      <c r="R723" s="571"/>
      <c r="S723" s="571"/>
      <c r="T723" s="571"/>
      <c r="U723" s="571"/>
      <c r="V723" s="571"/>
      <c r="W723" s="571"/>
      <c r="X723" s="571"/>
      <c r="Y723" s="571"/>
      <c r="Z723" s="571"/>
    </row>
    <row r="724" spans="1:26" ht="18.75">
      <c r="A724" s="735"/>
      <c r="B724" s="754"/>
      <c r="C724" s="754"/>
      <c r="D724" s="754"/>
      <c r="E724" s="754"/>
      <c r="F724" s="754"/>
      <c r="G724" s="189"/>
      <c r="H724" s="755" t="s">
        <v>34</v>
      </c>
      <c r="I724" s="756"/>
      <c r="J724" s="269">
        <f ca="1">IFERROR(__xludf.DUMMYFUNCTION("IMPORTRANGE(""https://docs.google.com/spreadsheets/d/1XWAQStnk-4SwqDmLtmXYiTMKHgktTP8We1SCoS47DrQ/edit?usp=sharing"",""จัดที่ดิน!BN65"")"),0)</f>
        <v>0</v>
      </c>
      <c r="K724" s="496"/>
      <c r="L724" s="757"/>
      <c r="M724" s="189"/>
      <c r="N724" s="757"/>
      <c r="O724" s="496"/>
      <c r="P724" s="496"/>
      <c r="Q724" s="571"/>
      <c r="R724" s="571"/>
      <c r="S724" s="571"/>
      <c r="T724" s="571"/>
      <c r="U724" s="571"/>
      <c r="V724" s="571"/>
      <c r="W724" s="571"/>
      <c r="X724" s="571"/>
      <c r="Y724" s="571"/>
      <c r="Z724" s="571"/>
    </row>
    <row r="725" spans="1:26" ht="18.75">
      <c r="A725" s="735"/>
      <c r="B725" s="754"/>
      <c r="C725" s="754"/>
      <c r="D725" s="754"/>
      <c r="E725" s="754"/>
      <c r="F725" s="754"/>
      <c r="G725" s="189"/>
      <c r="H725" s="755" t="s">
        <v>46</v>
      </c>
      <c r="I725" s="756">
        <f ca="1">IFERROR(__xludf.DUMMYFUNCTION("IMPORTRANGE(""https://docs.google.com/spreadsheets/d/1QqKyyYR6Q21VydFLVH3TRQUabQu_ym0Zz7PgGX0-kHA/edit?usp=sharing"",""แผน!IM65"")"),168)</f>
        <v>168</v>
      </c>
      <c r="J725" s="269">
        <f ca="1">IFERROR(__xludf.DUMMYFUNCTION("IMPORTRANGE(""https://docs.google.com/spreadsheets/d/1XWAQStnk-4SwqDmLtmXYiTMKHgktTP8We1SCoS47DrQ/edit?usp=sharing"",""จัดที่ดิน!BO65"")"),0)</f>
        <v>0</v>
      </c>
      <c r="K725" s="496">
        <f t="shared" ref="K725:K726" ca="1" si="292">IF(I725&gt;0,J725*100/I725,0)</f>
        <v>0</v>
      </c>
      <c r="L725" s="757"/>
      <c r="M725" s="189"/>
      <c r="N725" s="757"/>
      <c r="O725" s="496"/>
      <c r="P725" s="496"/>
      <c r="Q725" s="571"/>
      <c r="R725" s="571"/>
      <c r="S725" s="571"/>
      <c r="T725" s="571"/>
      <c r="U725" s="571"/>
      <c r="V725" s="571"/>
      <c r="W725" s="571"/>
      <c r="X725" s="571"/>
      <c r="Y725" s="571"/>
      <c r="Z725" s="571"/>
    </row>
    <row r="726" spans="1:26" ht="18.75">
      <c r="A726" s="735"/>
      <c r="B726" s="754"/>
      <c r="C726" s="754"/>
      <c r="D726" s="754"/>
      <c r="E726" s="754" t="s">
        <v>307</v>
      </c>
      <c r="F726" s="754"/>
      <c r="G726" s="189"/>
      <c r="H726" s="755" t="s">
        <v>35</v>
      </c>
      <c r="I726" s="756">
        <f ca="1">IFERROR(__xludf.DUMMYFUNCTION("IMPORTRANGE(""https://docs.google.com/spreadsheets/d/1QqKyyYR6Q21VydFLVH3TRQUabQu_ym0Zz7PgGX0-kHA/edit?usp=sharing"",""แผน!IN65"")"),4)</f>
        <v>4</v>
      </c>
      <c r="J726" s="269">
        <f ca="1">IFERROR(__xludf.DUMMYFUNCTION("IMPORTRANGE(""https://docs.google.com/spreadsheets/d/1XWAQStnk-4SwqDmLtmXYiTMKHgktTP8We1SCoS47DrQ/edit?usp=sharing"",""จัดที่ดิน!BR65"")"),0)</f>
        <v>0</v>
      </c>
      <c r="K726" s="496">
        <f t="shared" ca="1" si="292"/>
        <v>0</v>
      </c>
      <c r="L726" s="496"/>
      <c r="M726" s="189"/>
      <c r="N726" s="757"/>
      <c r="O726" s="496"/>
      <c r="P726" s="496"/>
      <c r="Q726" s="571"/>
      <c r="R726" s="571"/>
      <c r="S726" s="571"/>
      <c r="T726" s="571"/>
      <c r="U726" s="571"/>
      <c r="V726" s="571"/>
      <c r="W726" s="571"/>
      <c r="X726" s="571"/>
      <c r="Y726" s="571"/>
      <c r="Z726" s="571"/>
    </row>
    <row r="727" spans="1:26" ht="18.75">
      <c r="A727" s="735"/>
      <c r="B727" s="754"/>
      <c r="C727" s="754"/>
      <c r="D727" s="754"/>
      <c r="E727" s="754"/>
      <c r="F727" s="754"/>
      <c r="G727" s="189"/>
      <c r="H727" s="755" t="s">
        <v>34</v>
      </c>
      <c r="I727" s="756"/>
      <c r="J727" s="269">
        <f ca="1">IFERROR(__xludf.DUMMYFUNCTION("IMPORTRANGE(""https://docs.google.com/spreadsheets/d/1XWAQStnk-4SwqDmLtmXYiTMKHgktTP8We1SCoS47DrQ/edit?usp=sharing"",""จัดที่ดิน!BS65"")"),0)</f>
        <v>0</v>
      </c>
      <c r="K727" s="496"/>
      <c r="L727" s="757"/>
      <c r="M727" s="189"/>
      <c r="N727" s="757"/>
      <c r="O727" s="496"/>
      <c r="P727" s="496"/>
      <c r="Q727" s="571"/>
      <c r="R727" s="571"/>
      <c r="S727" s="571"/>
      <c r="T727" s="571"/>
      <c r="U727" s="571"/>
      <c r="V727" s="571"/>
      <c r="W727" s="571"/>
      <c r="X727" s="571"/>
      <c r="Y727" s="571"/>
      <c r="Z727" s="571"/>
    </row>
    <row r="728" spans="1:26" ht="18.75">
      <c r="A728" s="735"/>
      <c r="B728" s="754"/>
      <c r="C728" s="754"/>
      <c r="D728" s="754"/>
      <c r="E728" s="754"/>
      <c r="F728" s="754"/>
      <c r="G728" s="189"/>
      <c r="H728" s="755" t="s">
        <v>46</v>
      </c>
      <c r="I728" s="756">
        <f ca="1">IFERROR(__xludf.DUMMYFUNCTION("IMPORTRANGE(""https://docs.google.com/spreadsheets/d/1QqKyyYR6Q21VydFLVH3TRQUabQu_ym0Zz7PgGX0-kHA/edit?usp=sharing"",""แผน!IO65"")"),56)</f>
        <v>56</v>
      </c>
      <c r="J728" s="269">
        <f ca="1">IFERROR(__xludf.DUMMYFUNCTION("IMPORTRANGE(""https://docs.google.com/spreadsheets/d/1XWAQStnk-4SwqDmLtmXYiTMKHgktTP8We1SCoS47DrQ/edit?usp=sharing"",""จัดที่ดิน!BT65"")"),0)</f>
        <v>0</v>
      </c>
      <c r="K728" s="496">
        <f t="shared" ref="K728:K729" ca="1" si="293">IF(I728&gt;0,J728*100/I728,0)</f>
        <v>0</v>
      </c>
      <c r="L728" s="757"/>
      <c r="M728" s="189"/>
      <c r="N728" s="757"/>
      <c r="O728" s="496"/>
      <c r="P728" s="496"/>
      <c r="Q728" s="571"/>
      <c r="R728" s="571"/>
      <c r="S728" s="571"/>
      <c r="T728" s="571"/>
      <c r="U728" s="571"/>
      <c r="V728" s="571"/>
      <c r="W728" s="571"/>
      <c r="X728" s="571"/>
      <c r="Y728" s="571"/>
      <c r="Z728" s="571"/>
    </row>
    <row r="729" spans="1:26" ht="19.5">
      <c r="A729" s="735"/>
      <c r="B729" s="754"/>
      <c r="C729" s="754"/>
      <c r="D729" s="754" t="s">
        <v>308</v>
      </c>
      <c r="E729" s="754"/>
      <c r="F729" s="754"/>
      <c r="G729" s="189"/>
      <c r="H729" s="758" t="s">
        <v>46</v>
      </c>
      <c r="I729" s="759">
        <f ca="1">IFERROR(__xludf.DUMMYFUNCTION("IMPORTRANGE(""https://docs.google.com/spreadsheets/d/1QqKyyYR6Q21VydFLVH3TRQUabQu_ym0Zz7PgGX0-kHA/edit?usp=sharing"",""แผน!IP65"")"),0)</f>
        <v>0</v>
      </c>
      <c r="J729" s="674">
        <f>J732+J735</f>
        <v>0</v>
      </c>
      <c r="K729" s="195">
        <f t="shared" ca="1" si="293"/>
        <v>0</v>
      </c>
      <c r="L729" s="496"/>
      <c r="M729" s="189"/>
      <c r="N729" s="757"/>
      <c r="O729" s="496"/>
      <c r="P729" s="496"/>
      <c r="Q729" s="571"/>
      <c r="R729" s="571"/>
      <c r="S729" s="571"/>
      <c r="T729" s="571"/>
      <c r="U729" s="571"/>
      <c r="V729" s="571"/>
      <c r="W729" s="571"/>
      <c r="X729" s="571"/>
      <c r="Y729" s="571"/>
      <c r="Z729" s="571"/>
    </row>
    <row r="730" spans="1:26" ht="18.75">
      <c r="A730" s="735"/>
      <c r="B730" s="754"/>
      <c r="C730" s="754"/>
      <c r="D730" s="754"/>
      <c r="E730" s="754" t="s">
        <v>309</v>
      </c>
      <c r="F730" s="754"/>
      <c r="G730" s="189"/>
      <c r="H730" s="755" t="s">
        <v>35</v>
      </c>
      <c r="I730" s="756"/>
      <c r="J730" s="214">
        <v>0</v>
      </c>
      <c r="K730" s="496"/>
      <c r="L730" s="757"/>
      <c r="M730" s="496"/>
      <c r="N730" s="757"/>
      <c r="O730" s="496"/>
      <c r="P730" s="496"/>
      <c r="Q730" s="571"/>
      <c r="R730" s="571"/>
      <c r="S730" s="571"/>
      <c r="T730" s="571"/>
      <c r="U730" s="571"/>
      <c r="V730" s="571"/>
      <c r="W730" s="571"/>
      <c r="X730" s="571"/>
      <c r="Y730" s="571"/>
      <c r="Z730" s="571"/>
    </row>
    <row r="731" spans="1:26" ht="18.75">
      <c r="A731" s="735"/>
      <c r="B731" s="754"/>
      <c r="C731" s="754"/>
      <c r="D731" s="754"/>
      <c r="E731" s="754"/>
      <c r="F731" s="754"/>
      <c r="G731" s="189"/>
      <c r="H731" s="755" t="s">
        <v>34</v>
      </c>
      <c r="I731" s="756"/>
      <c r="J731" s="214">
        <v>0</v>
      </c>
      <c r="K731" s="496"/>
      <c r="L731" s="757"/>
      <c r="M731" s="496"/>
      <c r="N731" s="757"/>
      <c r="O731" s="496"/>
      <c r="P731" s="496"/>
      <c r="Q731" s="571"/>
      <c r="R731" s="571"/>
      <c r="S731" s="571"/>
      <c r="T731" s="571"/>
      <c r="U731" s="571"/>
      <c r="V731" s="571"/>
      <c r="W731" s="571"/>
      <c r="X731" s="571"/>
      <c r="Y731" s="571"/>
      <c r="Z731" s="571"/>
    </row>
    <row r="732" spans="1:26" ht="18.75">
      <c r="A732" s="735"/>
      <c r="B732" s="754"/>
      <c r="C732" s="754"/>
      <c r="D732" s="754"/>
      <c r="E732" s="754"/>
      <c r="F732" s="754"/>
      <c r="G732" s="189"/>
      <c r="H732" s="755" t="s">
        <v>46</v>
      </c>
      <c r="I732" s="756"/>
      <c r="J732" s="214">
        <v>0</v>
      </c>
      <c r="K732" s="496"/>
      <c r="L732" s="757"/>
      <c r="M732" s="496"/>
      <c r="N732" s="757"/>
      <c r="O732" s="496"/>
      <c r="P732" s="496"/>
      <c r="Q732" s="571"/>
      <c r="R732" s="571"/>
      <c r="S732" s="571"/>
      <c r="T732" s="571"/>
      <c r="U732" s="571"/>
      <c r="V732" s="571"/>
      <c r="W732" s="571"/>
      <c r="X732" s="571"/>
      <c r="Y732" s="571"/>
      <c r="Z732" s="571"/>
    </row>
    <row r="733" spans="1:26" ht="18.75">
      <c r="A733" s="735"/>
      <c r="B733" s="754"/>
      <c r="C733" s="754"/>
      <c r="D733" s="754"/>
      <c r="E733" s="754" t="s">
        <v>310</v>
      </c>
      <c r="F733" s="754"/>
      <c r="G733" s="189"/>
      <c r="H733" s="755" t="s">
        <v>35</v>
      </c>
      <c r="I733" s="756"/>
      <c r="J733" s="214">
        <v>0</v>
      </c>
      <c r="K733" s="496"/>
      <c r="L733" s="757"/>
      <c r="M733" s="496"/>
      <c r="N733" s="757"/>
      <c r="O733" s="496"/>
      <c r="P733" s="496"/>
      <c r="Q733" s="571"/>
      <c r="R733" s="571"/>
      <c r="S733" s="571"/>
      <c r="T733" s="571"/>
      <c r="U733" s="571"/>
      <c r="V733" s="571"/>
      <c r="W733" s="571"/>
      <c r="X733" s="571"/>
      <c r="Y733" s="571"/>
      <c r="Z733" s="571"/>
    </row>
    <row r="734" spans="1:26" ht="18.75">
      <c r="A734" s="735"/>
      <c r="B734" s="754"/>
      <c r="C734" s="754"/>
      <c r="D734" s="754"/>
      <c r="E734" s="754"/>
      <c r="F734" s="754"/>
      <c r="G734" s="189"/>
      <c r="H734" s="755" t="s">
        <v>34</v>
      </c>
      <c r="I734" s="756"/>
      <c r="J734" s="214">
        <v>0</v>
      </c>
      <c r="K734" s="496"/>
      <c r="L734" s="757"/>
      <c r="M734" s="496"/>
      <c r="N734" s="757"/>
      <c r="O734" s="496"/>
      <c r="P734" s="496"/>
      <c r="Q734" s="571"/>
      <c r="R734" s="571"/>
      <c r="S734" s="571"/>
      <c r="T734" s="571"/>
      <c r="U734" s="571"/>
      <c r="V734" s="571"/>
      <c r="W734" s="571"/>
      <c r="X734" s="571"/>
      <c r="Y734" s="571"/>
      <c r="Z734" s="571"/>
    </row>
    <row r="735" spans="1:26" ht="19.5">
      <c r="A735" s="761"/>
      <c r="B735" s="762" t="s">
        <v>311</v>
      </c>
      <c r="C735" s="725"/>
      <c r="D735" s="725"/>
      <c r="E735" s="725"/>
      <c r="F735" s="725"/>
      <c r="G735" s="726"/>
      <c r="H735" s="421" t="s">
        <v>46</v>
      </c>
      <c r="I735" s="763"/>
      <c r="J735" s="423">
        <v>0</v>
      </c>
      <c r="K735" s="500"/>
      <c r="L735" s="764"/>
      <c r="M735" s="500"/>
      <c r="N735" s="764"/>
      <c r="O735" s="500"/>
      <c r="P735" s="500"/>
      <c r="Q735" s="571"/>
      <c r="R735" s="571"/>
      <c r="S735" s="571"/>
      <c r="T735" s="571"/>
      <c r="U735" s="571"/>
      <c r="V735" s="571"/>
      <c r="W735" s="571"/>
      <c r="X735" s="571"/>
      <c r="Y735" s="571"/>
      <c r="Z735" s="571"/>
    </row>
    <row r="736" spans="1:26" ht="19.5" hidden="1">
      <c r="A736" s="765">
        <v>9</v>
      </c>
      <c r="B736" s="766" t="s">
        <v>312</v>
      </c>
      <c r="C736" s="767"/>
      <c r="D736" s="767"/>
      <c r="E736" s="767"/>
      <c r="F736" s="767"/>
      <c r="G736" s="768"/>
      <c r="H736" s="769" t="s">
        <v>46</v>
      </c>
      <c r="I736" s="770"/>
      <c r="J736" s="770">
        <f>J751</f>
        <v>0</v>
      </c>
      <c r="K736" s="771">
        <f>IF(I736&gt;0,J736*100/I736,0)</f>
        <v>0</v>
      </c>
      <c r="L736" s="772"/>
      <c r="M736" s="772"/>
      <c r="N736" s="772"/>
      <c r="O736" s="772"/>
      <c r="P736" s="772"/>
      <c r="Q736" s="597"/>
      <c r="R736" s="597"/>
      <c r="S736" s="597"/>
      <c r="T736" s="597"/>
      <c r="U736" s="597"/>
      <c r="V736" s="597"/>
      <c r="W736" s="597"/>
      <c r="X736" s="597"/>
      <c r="Y736" s="597"/>
      <c r="Z736" s="597"/>
    </row>
    <row r="737" spans="1:26" ht="19.5" hidden="1">
      <c r="A737" s="592"/>
      <c r="B737" s="750"/>
      <c r="C737" s="750" t="s">
        <v>16</v>
      </c>
      <c r="D737" s="864" t="s">
        <v>17</v>
      </c>
      <c r="E737" s="857"/>
      <c r="F737" s="857"/>
      <c r="G737" s="596"/>
      <c r="H737" s="639" t="s">
        <v>12</v>
      </c>
      <c r="I737" s="610"/>
      <c r="J737" s="610"/>
      <c r="K737" s="93"/>
      <c r="L737" s="640">
        <f t="shared" ref="L737:N737" si="294">L738+L739</f>
        <v>0</v>
      </c>
      <c r="M737" s="640">
        <f t="shared" si="294"/>
        <v>0</v>
      </c>
      <c r="N737" s="640">
        <f t="shared" si="294"/>
        <v>0</v>
      </c>
      <c r="O737" s="640">
        <f t="shared" ref="O737:O742" si="295">IF(L737&gt;0,N737*100/L737,0)</f>
        <v>0</v>
      </c>
      <c r="P737" s="640">
        <f t="shared" ref="P737:P742" si="296">IF(M737&gt;0,N737*100/M737,0)</f>
        <v>0</v>
      </c>
      <c r="Q737" s="597"/>
      <c r="R737" s="597"/>
      <c r="S737" s="597"/>
      <c r="T737" s="597"/>
      <c r="U737" s="597"/>
      <c r="V737" s="597"/>
      <c r="W737" s="597"/>
      <c r="X737" s="597"/>
      <c r="Y737" s="597"/>
      <c r="Z737" s="597"/>
    </row>
    <row r="738" spans="1:26" ht="18.75" hidden="1">
      <c r="A738" s="592"/>
      <c r="B738" s="750"/>
      <c r="C738" s="750"/>
      <c r="D738" s="711"/>
      <c r="E738" s="750" t="s">
        <v>184</v>
      </c>
      <c r="F738" s="750"/>
      <c r="G738" s="596"/>
      <c r="H738" s="165" t="s">
        <v>12</v>
      </c>
      <c r="I738" s="610"/>
      <c r="J738" s="610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597"/>
      <c r="R738" s="597"/>
      <c r="S738" s="597"/>
      <c r="T738" s="597"/>
      <c r="U738" s="597"/>
      <c r="V738" s="597"/>
      <c r="W738" s="597"/>
      <c r="X738" s="597"/>
      <c r="Y738" s="597"/>
      <c r="Z738" s="597"/>
    </row>
    <row r="739" spans="1:26" ht="18.75" hidden="1">
      <c r="A739" s="592"/>
      <c r="B739" s="600"/>
      <c r="C739" s="750"/>
      <c r="D739" s="711"/>
      <c r="E739" s="750" t="s">
        <v>185</v>
      </c>
      <c r="F739" s="750"/>
      <c r="G739" s="596"/>
      <c r="H739" s="165" t="s">
        <v>12</v>
      </c>
      <c r="I739" s="610"/>
      <c r="J739" s="610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597"/>
      <c r="R739" s="597"/>
      <c r="S739" s="597"/>
      <c r="T739" s="597"/>
      <c r="U739" s="597"/>
      <c r="V739" s="597"/>
      <c r="W739" s="597"/>
      <c r="X739" s="597"/>
      <c r="Y739" s="597"/>
      <c r="Z739" s="597"/>
    </row>
    <row r="740" spans="1:26" ht="19.5" hidden="1">
      <c r="A740" s="592"/>
      <c r="B740" s="600"/>
      <c r="C740" s="750"/>
      <c r="D740" s="638" t="s">
        <v>20</v>
      </c>
      <c r="E740" s="750"/>
      <c r="F740" s="750"/>
      <c r="G740" s="596"/>
      <c r="H740" s="639" t="s">
        <v>12</v>
      </c>
      <c r="I740" s="166"/>
      <c r="J740" s="166"/>
      <c r="K740" s="167"/>
      <c r="L740" s="640">
        <f t="shared" ref="L740:N740" si="298">L741+L742</f>
        <v>0</v>
      </c>
      <c r="M740" s="640">
        <f t="shared" si="298"/>
        <v>0</v>
      </c>
      <c r="N740" s="640">
        <f t="shared" si="298"/>
        <v>0</v>
      </c>
      <c r="O740" s="640">
        <f t="shared" si="295"/>
        <v>0</v>
      </c>
      <c r="P740" s="640">
        <f t="shared" si="296"/>
        <v>0</v>
      </c>
      <c r="Q740" s="597"/>
      <c r="R740" s="597"/>
      <c r="S740" s="597"/>
      <c r="T740" s="597"/>
      <c r="U740" s="597"/>
      <c r="V740" s="597"/>
      <c r="W740" s="597"/>
      <c r="X740" s="597"/>
      <c r="Y740" s="597"/>
      <c r="Z740" s="597"/>
    </row>
    <row r="741" spans="1:26" ht="18.75" hidden="1">
      <c r="A741" s="592"/>
      <c r="B741" s="600"/>
      <c r="C741" s="750"/>
      <c r="D741" s="711"/>
      <c r="E741" s="750" t="s">
        <v>184</v>
      </c>
      <c r="F741" s="750"/>
      <c r="G741" s="596"/>
      <c r="H741" s="165" t="s">
        <v>12</v>
      </c>
      <c r="I741" s="610"/>
      <c r="J741" s="610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597"/>
      <c r="R741" s="597"/>
      <c r="S741" s="597"/>
      <c r="T741" s="597"/>
      <c r="U741" s="597"/>
      <c r="V741" s="597"/>
      <c r="W741" s="597"/>
      <c r="X741" s="597"/>
      <c r="Y741" s="597"/>
      <c r="Z741" s="597"/>
    </row>
    <row r="742" spans="1:26" ht="18.75" hidden="1">
      <c r="A742" s="592"/>
      <c r="B742" s="600"/>
      <c r="C742" s="750"/>
      <c r="D742" s="711"/>
      <c r="E742" s="750" t="s">
        <v>185</v>
      </c>
      <c r="F742" s="750"/>
      <c r="G742" s="596"/>
      <c r="H742" s="165" t="s">
        <v>12</v>
      </c>
      <c r="I742" s="610"/>
      <c r="J742" s="610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597"/>
      <c r="R742" s="597"/>
      <c r="S742" s="597"/>
      <c r="T742" s="597"/>
      <c r="U742" s="597"/>
      <c r="V742" s="597"/>
      <c r="W742" s="597"/>
      <c r="X742" s="597"/>
      <c r="Y742" s="597"/>
      <c r="Z742" s="597"/>
    </row>
    <row r="743" spans="1:26" ht="18.75" hidden="1">
      <c r="A743" s="642"/>
      <c r="B743" s="600"/>
      <c r="C743" s="750"/>
      <c r="D743" s="750"/>
      <c r="E743" s="750"/>
      <c r="F743" s="750" t="s">
        <v>186</v>
      </c>
      <c r="G743" s="596"/>
      <c r="H743" s="165" t="s">
        <v>12</v>
      </c>
      <c r="I743" s="610"/>
      <c r="J743" s="610"/>
      <c r="K743" s="93"/>
      <c r="L743" s="93"/>
      <c r="M743" s="93"/>
      <c r="N743" s="93"/>
      <c r="O743" s="93"/>
      <c r="P743" s="93"/>
      <c r="Q743" s="597"/>
      <c r="R743" s="597"/>
      <c r="S743" s="597"/>
      <c r="T743" s="597"/>
      <c r="U743" s="597"/>
      <c r="V743" s="597"/>
      <c r="W743" s="597"/>
      <c r="X743" s="597"/>
      <c r="Y743" s="597"/>
      <c r="Z743" s="597"/>
    </row>
    <row r="744" spans="1:26" ht="18.75" hidden="1">
      <c r="A744" s="642"/>
      <c r="B744" s="600"/>
      <c r="C744" s="750"/>
      <c r="D744" s="750"/>
      <c r="E744" s="750"/>
      <c r="F744" s="750" t="s">
        <v>187</v>
      </c>
      <c r="G744" s="596"/>
      <c r="H744" s="165" t="s">
        <v>12</v>
      </c>
      <c r="I744" s="610"/>
      <c r="J744" s="610"/>
      <c r="K744" s="93"/>
      <c r="L744" s="93"/>
      <c r="M744" s="93"/>
      <c r="N744" s="93"/>
      <c r="O744" s="93"/>
      <c r="P744" s="93"/>
      <c r="Q744" s="597"/>
      <c r="R744" s="597"/>
      <c r="S744" s="597"/>
      <c r="T744" s="597"/>
      <c r="U744" s="597"/>
      <c r="V744" s="597"/>
      <c r="W744" s="597"/>
      <c r="X744" s="597"/>
      <c r="Y744" s="597"/>
      <c r="Z744" s="597"/>
    </row>
    <row r="745" spans="1:26" ht="18.75" hidden="1">
      <c r="A745" s="642"/>
      <c r="B745" s="600"/>
      <c r="C745" s="750"/>
      <c r="D745" s="750"/>
      <c r="E745" s="750"/>
      <c r="F745" s="750" t="s">
        <v>188</v>
      </c>
      <c r="G745" s="596"/>
      <c r="H745" s="165" t="s">
        <v>12</v>
      </c>
      <c r="I745" s="610"/>
      <c r="J745" s="610"/>
      <c r="K745" s="93"/>
      <c r="L745" s="93"/>
      <c r="M745" s="93"/>
      <c r="N745" s="93"/>
      <c r="O745" s="93"/>
      <c r="P745" s="93"/>
      <c r="Q745" s="597"/>
      <c r="R745" s="597"/>
      <c r="S745" s="597"/>
      <c r="T745" s="597"/>
      <c r="U745" s="597"/>
      <c r="V745" s="597"/>
      <c r="W745" s="597"/>
      <c r="X745" s="597"/>
      <c r="Y745" s="597"/>
      <c r="Z745" s="597"/>
    </row>
    <row r="746" spans="1:26" ht="18.75" hidden="1">
      <c r="A746" s="642"/>
      <c r="B746" s="600"/>
      <c r="C746" s="750"/>
      <c r="D746" s="750"/>
      <c r="E746" s="750"/>
      <c r="F746" s="750" t="s">
        <v>189</v>
      </c>
      <c r="G746" s="596"/>
      <c r="H746" s="165" t="s">
        <v>12</v>
      </c>
      <c r="I746" s="610"/>
      <c r="J746" s="610"/>
      <c r="K746" s="93"/>
      <c r="L746" s="93"/>
      <c r="M746" s="93"/>
      <c r="N746" s="93"/>
      <c r="O746" s="93"/>
      <c r="P746" s="93"/>
      <c r="Q746" s="597"/>
      <c r="R746" s="597"/>
      <c r="S746" s="597"/>
      <c r="T746" s="597"/>
      <c r="U746" s="597"/>
      <c r="V746" s="597"/>
      <c r="W746" s="597"/>
      <c r="X746" s="597"/>
      <c r="Y746" s="597"/>
      <c r="Z746" s="597"/>
    </row>
    <row r="747" spans="1:26" ht="19.5" hidden="1">
      <c r="A747" s="592"/>
      <c r="B747" s="600"/>
      <c r="C747" s="750"/>
      <c r="D747" s="638" t="s">
        <v>21</v>
      </c>
      <c r="E747" s="750"/>
      <c r="F747" s="750"/>
      <c r="G747" s="596"/>
      <c r="H747" s="774" t="s">
        <v>12</v>
      </c>
      <c r="I747" s="166"/>
      <c r="J747" s="166"/>
      <c r="K747" s="167"/>
      <c r="L747" s="640">
        <f t="shared" ref="L747:N747" si="299">L748+L749</f>
        <v>0</v>
      </c>
      <c r="M747" s="640">
        <f t="shared" si="299"/>
        <v>0</v>
      </c>
      <c r="N747" s="640">
        <f t="shared" si="299"/>
        <v>0</v>
      </c>
      <c r="O747" s="640">
        <f t="shared" ref="O747:O749" si="300">IF(L747&gt;0,N747*100/L747,0)</f>
        <v>0</v>
      </c>
      <c r="P747" s="640">
        <f t="shared" ref="P747:P749" si="301">IF(M747&gt;0,N747*100/M747,0)</f>
        <v>0</v>
      </c>
      <c r="Q747" s="597"/>
      <c r="R747" s="597"/>
      <c r="S747" s="597"/>
      <c r="T747" s="597"/>
      <c r="U747" s="597"/>
      <c r="V747" s="597"/>
      <c r="W747" s="597"/>
      <c r="X747" s="597"/>
      <c r="Y747" s="597"/>
      <c r="Z747" s="597"/>
    </row>
    <row r="748" spans="1:26" ht="18.75" hidden="1">
      <c r="A748" s="592"/>
      <c r="B748" s="600"/>
      <c r="C748" s="750"/>
      <c r="D748" s="750"/>
      <c r="E748" s="750" t="s">
        <v>18</v>
      </c>
      <c r="F748" s="750"/>
      <c r="G748" s="596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597"/>
      <c r="R748" s="597"/>
      <c r="S748" s="597"/>
      <c r="T748" s="597"/>
      <c r="U748" s="597"/>
      <c r="V748" s="597"/>
      <c r="W748" s="597"/>
      <c r="X748" s="597"/>
      <c r="Y748" s="597"/>
      <c r="Z748" s="597"/>
    </row>
    <row r="749" spans="1:26" ht="18.75" hidden="1">
      <c r="A749" s="592"/>
      <c r="B749" s="600"/>
      <c r="C749" s="750"/>
      <c r="D749" s="750"/>
      <c r="E749" s="750" t="s">
        <v>19</v>
      </c>
      <c r="F749" s="750"/>
      <c r="G749" s="596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597"/>
      <c r="R749" s="597"/>
      <c r="S749" s="597"/>
      <c r="T749" s="597"/>
      <c r="U749" s="597"/>
      <c r="V749" s="597"/>
      <c r="W749" s="597"/>
      <c r="X749" s="597"/>
      <c r="Y749" s="597"/>
      <c r="Z749" s="597"/>
    </row>
    <row r="750" spans="1:26" ht="19.5" hidden="1">
      <c r="A750" s="607"/>
      <c r="B750" s="609"/>
      <c r="C750" s="750" t="s">
        <v>16</v>
      </c>
      <c r="D750" s="841" t="s">
        <v>38</v>
      </c>
      <c r="E750" s="644"/>
      <c r="F750" s="644"/>
      <c r="G750" s="645"/>
      <c r="H750" s="365"/>
      <c r="I750" s="166"/>
      <c r="J750" s="166"/>
      <c r="K750" s="167"/>
      <c r="L750" s="167"/>
      <c r="M750" s="167"/>
      <c r="N750" s="167"/>
      <c r="O750" s="167"/>
      <c r="P750" s="167"/>
      <c r="Q750" s="597"/>
      <c r="R750" s="597"/>
      <c r="S750" s="597"/>
      <c r="T750" s="597"/>
      <c r="U750" s="597"/>
      <c r="V750" s="597"/>
      <c r="W750" s="597"/>
      <c r="X750" s="597"/>
      <c r="Y750" s="597"/>
      <c r="Z750" s="597"/>
    </row>
    <row r="751" spans="1:26" ht="18.75" hidden="1">
      <c r="A751" s="642"/>
      <c r="B751" s="600"/>
      <c r="C751" s="750"/>
      <c r="D751" s="750"/>
      <c r="E751" s="750" t="s">
        <v>313</v>
      </c>
      <c r="F751" s="750"/>
      <c r="G751" s="596"/>
      <c r="H751" s="165" t="s">
        <v>46</v>
      </c>
      <c r="I751" s="610"/>
      <c r="J751" s="610"/>
      <c r="K751" s="93"/>
      <c r="L751" s="93"/>
      <c r="M751" s="93"/>
      <c r="N751" s="93"/>
      <c r="O751" s="93"/>
      <c r="P751" s="93"/>
      <c r="Q751" s="597"/>
      <c r="R751" s="597"/>
      <c r="S751" s="597"/>
      <c r="T751" s="597"/>
      <c r="U751" s="597"/>
      <c r="V751" s="597"/>
      <c r="W751" s="597"/>
      <c r="X751" s="597"/>
      <c r="Y751" s="597"/>
      <c r="Z751" s="597"/>
    </row>
    <row r="752" spans="1:26" ht="18.75" hidden="1">
      <c r="A752" s="642"/>
      <c r="B752" s="600"/>
      <c r="C752" s="750"/>
      <c r="D752" s="750"/>
      <c r="E752" s="750"/>
      <c r="F752" s="750"/>
      <c r="G752" s="596"/>
      <c r="H752" s="165" t="s">
        <v>314</v>
      </c>
      <c r="I752" s="610"/>
      <c r="J752" s="610"/>
      <c r="K752" s="93"/>
      <c r="L752" s="93"/>
      <c r="M752" s="93"/>
      <c r="N752" s="93"/>
      <c r="O752" s="93"/>
      <c r="P752" s="93"/>
      <c r="Q752" s="597"/>
      <c r="R752" s="597"/>
      <c r="S752" s="597"/>
      <c r="T752" s="597"/>
      <c r="U752" s="597"/>
      <c r="V752" s="597"/>
      <c r="W752" s="597"/>
      <c r="X752" s="597"/>
      <c r="Y752" s="597"/>
      <c r="Z752" s="597"/>
    </row>
    <row r="753" spans="1:26" ht="19.5" hidden="1">
      <c r="A753" s="776">
        <v>10</v>
      </c>
      <c r="B753" s="777" t="s">
        <v>315</v>
      </c>
      <c r="C753" s="778"/>
      <c r="D753" s="778"/>
      <c r="E753" s="778"/>
      <c r="F753" s="778"/>
      <c r="G753" s="779"/>
      <c r="H753" s="780" t="s">
        <v>46</v>
      </c>
      <c r="I753" s="781"/>
      <c r="J753" s="781">
        <f>J768</f>
        <v>0</v>
      </c>
      <c r="K753" s="782">
        <f>IF(I753&gt;0,J753*100/I753,0)</f>
        <v>0</v>
      </c>
      <c r="L753" s="783"/>
      <c r="M753" s="783"/>
      <c r="N753" s="783"/>
      <c r="O753" s="783"/>
      <c r="P753" s="783"/>
      <c r="Q753" s="597"/>
      <c r="R753" s="597"/>
      <c r="S753" s="597"/>
      <c r="T753" s="597"/>
      <c r="U753" s="597"/>
      <c r="V753" s="597"/>
      <c r="W753" s="597"/>
      <c r="X753" s="597"/>
      <c r="Y753" s="597"/>
      <c r="Z753" s="597"/>
    </row>
    <row r="754" spans="1:26" ht="19.5" hidden="1">
      <c r="A754" s="592"/>
      <c r="B754" s="750"/>
      <c r="C754" s="750" t="s">
        <v>16</v>
      </c>
      <c r="D754" s="864" t="s">
        <v>17</v>
      </c>
      <c r="E754" s="857"/>
      <c r="F754" s="857"/>
      <c r="G754" s="596"/>
      <c r="H754" s="639" t="s">
        <v>12</v>
      </c>
      <c r="I754" s="610"/>
      <c r="J754" s="610"/>
      <c r="K754" s="93"/>
      <c r="L754" s="640">
        <f t="shared" ref="L754:N754" si="302">L755+L756</f>
        <v>0</v>
      </c>
      <c r="M754" s="640">
        <f t="shared" si="302"/>
        <v>0</v>
      </c>
      <c r="N754" s="640">
        <f t="shared" si="302"/>
        <v>0</v>
      </c>
      <c r="O754" s="640">
        <f t="shared" ref="O754:O759" si="303">IF(L754&gt;0,N754*100/L754,0)</f>
        <v>0</v>
      </c>
      <c r="P754" s="640">
        <f t="shared" ref="P754:P759" si="304">IF(M754&gt;0,N754*100/M754,0)</f>
        <v>0</v>
      </c>
      <c r="Q754" s="597"/>
      <c r="R754" s="597"/>
      <c r="S754" s="597"/>
      <c r="T754" s="597"/>
      <c r="U754" s="597"/>
      <c r="V754" s="597"/>
      <c r="W754" s="597"/>
      <c r="X754" s="597"/>
      <c r="Y754" s="597"/>
      <c r="Z754" s="597"/>
    </row>
    <row r="755" spans="1:26" ht="18.75" hidden="1">
      <c r="A755" s="592"/>
      <c r="B755" s="750"/>
      <c r="C755" s="750"/>
      <c r="D755" s="711"/>
      <c r="E755" s="750" t="s">
        <v>184</v>
      </c>
      <c r="F755" s="750"/>
      <c r="G755" s="596"/>
      <c r="H755" s="165" t="s">
        <v>12</v>
      </c>
      <c r="I755" s="610"/>
      <c r="J755" s="610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597"/>
      <c r="R755" s="597"/>
      <c r="S755" s="597"/>
      <c r="T755" s="597"/>
      <c r="U755" s="597"/>
      <c r="V755" s="597"/>
      <c r="W755" s="597"/>
      <c r="X755" s="597"/>
      <c r="Y755" s="597"/>
      <c r="Z755" s="597"/>
    </row>
    <row r="756" spans="1:26" ht="18.75" hidden="1">
      <c r="A756" s="592"/>
      <c r="B756" s="600"/>
      <c r="C756" s="750"/>
      <c r="D756" s="711"/>
      <c r="E756" s="750" t="s">
        <v>185</v>
      </c>
      <c r="F756" s="750"/>
      <c r="G756" s="596"/>
      <c r="H756" s="165" t="s">
        <v>12</v>
      </c>
      <c r="I756" s="610"/>
      <c r="J756" s="610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597"/>
      <c r="R756" s="597"/>
      <c r="S756" s="597"/>
      <c r="T756" s="597"/>
      <c r="U756" s="597"/>
      <c r="V756" s="597"/>
      <c r="W756" s="597"/>
      <c r="X756" s="597"/>
      <c r="Y756" s="597"/>
      <c r="Z756" s="597"/>
    </row>
    <row r="757" spans="1:26" ht="19.5" hidden="1">
      <c r="A757" s="592"/>
      <c r="B757" s="600"/>
      <c r="C757" s="750"/>
      <c r="D757" s="638" t="s">
        <v>20</v>
      </c>
      <c r="E757" s="750"/>
      <c r="F757" s="750"/>
      <c r="G757" s="596"/>
      <c r="H757" s="639" t="s">
        <v>12</v>
      </c>
      <c r="I757" s="166"/>
      <c r="J757" s="166"/>
      <c r="K757" s="167"/>
      <c r="L757" s="640">
        <f t="shared" ref="L757:N757" si="306">L758+L759</f>
        <v>0</v>
      </c>
      <c r="M757" s="640">
        <f t="shared" si="306"/>
        <v>0</v>
      </c>
      <c r="N757" s="640">
        <f t="shared" si="306"/>
        <v>0</v>
      </c>
      <c r="O757" s="640">
        <f t="shared" si="303"/>
        <v>0</v>
      </c>
      <c r="P757" s="640">
        <f t="shared" si="304"/>
        <v>0</v>
      </c>
      <c r="Q757" s="597"/>
      <c r="R757" s="597"/>
      <c r="S757" s="597"/>
      <c r="T757" s="597"/>
      <c r="U757" s="597"/>
      <c r="V757" s="597"/>
      <c r="W757" s="597"/>
      <c r="X757" s="597"/>
      <c r="Y757" s="597"/>
      <c r="Z757" s="597"/>
    </row>
    <row r="758" spans="1:26" ht="18.75" hidden="1">
      <c r="A758" s="592"/>
      <c r="B758" s="600"/>
      <c r="C758" s="750"/>
      <c r="D758" s="711"/>
      <c r="E758" s="750" t="s">
        <v>184</v>
      </c>
      <c r="F758" s="750"/>
      <c r="G758" s="596"/>
      <c r="H758" s="165" t="s">
        <v>12</v>
      </c>
      <c r="I758" s="610"/>
      <c r="J758" s="610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597"/>
      <c r="R758" s="597"/>
      <c r="S758" s="597"/>
      <c r="T758" s="597"/>
      <c r="U758" s="597"/>
      <c r="V758" s="597"/>
      <c r="W758" s="597"/>
      <c r="X758" s="597"/>
      <c r="Y758" s="597"/>
      <c r="Z758" s="597"/>
    </row>
    <row r="759" spans="1:26" ht="18.75" hidden="1">
      <c r="A759" s="592"/>
      <c r="B759" s="600"/>
      <c r="C759" s="750"/>
      <c r="D759" s="711"/>
      <c r="E759" s="750" t="s">
        <v>185</v>
      </c>
      <c r="F759" s="750"/>
      <c r="G759" s="596"/>
      <c r="H759" s="165" t="s">
        <v>12</v>
      </c>
      <c r="I759" s="610"/>
      <c r="J759" s="610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597"/>
      <c r="R759" s="597"/>
      <c r="S759" s="597"/>
      <c r="T759" s="597"/>
      <c r="U759" s="597"/>
      <c r="V759" s="597"/>
      <c r="W759" s="597"/>
      <c r="X759" s="597"/>
      <c r="Y759" s="597"/>
      <c r="Z759" s="597"/>
    </row>
    <row r="760" spans="1:26" ht="18.75" hidden="1">
      <c r="A760" s="642"/>
      <c r="B760" s="600"/>
      <c r="C760" s="750"/>
      <c r="D760" s="750"/>
      <c r="E760" s="750"/>
      <c r="F760" s="750" t="s">
        <v>186</v>
      </c>
      <c r="G760" s="596"/>
      <c r="H760" s="165" t="s">
        <v>12</v>
      </c>
      <c r="I760" s="610"/>
      <c r="J760" s="610"/>
      <c r="K760" s="93"/>
      <c r="L760" s="93"/>
      <c r="M760" s="93"/>
      <c r="N760" s="93"/>
      <c r="O760" s="93"/>
      <c r="P760" s="93"/>
      <c r="Q760" s="597"/>
      <c r="R760" s="597"/>
      <c r="S760" s="597"/>
      <c r="T760" s="597"/>
      <c r="U760" s="597"/>
      <c r="V760" s="597"/>
      <c r="W760" s="597"/>
      <c r="X760" s="597"/>
      <c r="Y760" s="597"/>
      <c r="Z760" s="597"/>
    </row>
    <row r="761" spans="1:26" ht="18.75" hidden="1">
      <c r="A761" s="642"/>
      <c r="B761" s="600"/>
      <c r="C761" s="750"/>
      <c r="D761" s="750"/>
      <c r="E761" s="750"/>
      <c r="F761" s="750" t="s">
        <v>187</v>
      </c>
      <c r="G761" s="596"/>
      <c r="H761" s="165" t="s">
        <v>12</v>
      </c>
      <c r="I761" s="610"/>
      <c r="J761" s="610"/>
      <c r="K761" s="93"/>
      <c r="L761" s="93"/>
      <c r="M761" s="93"/>
      <c r="N761" s="93"/>
      <c r="O761" s="93"/>
      <c r="P761" s="93"/>
      <c r="Q761" s="597"/>
      <c r="R761" s="597"/>
      <c r="S761" s="597"/>
      <c r="T761" s="597"/>
      <c r="U761" s="597"/>
      <c r="V761" s="597"/>
      <c r="W761" s="597"/>
      <c r="X761" s="597"/>
      <c r="Y761" s="597"/>
      <c r="Z761" s="597"/>
    </row>
    <row r="762" spans="1:26" ht="18.75" hidden="1">
      <c r="A762" s="642"/>
      <c r="B762" s="600"/>
      <c r="C762" s="750"/>
      <c r="D762" s="750"/>
      <c r="E762" s="750"/>
      <c r="F762" s="750" t="s">
        <v>188</v>
      </c>
      <c r="G762" s="596"/>
      <c r="H762" s="165" t="s">
        <v>12</v>
      </c>
      <c r="I762" s="610"/>
      <c r="J762" s="610"/>
      <c r="K762" s="93"/>
      <c r="L762" s="93"/>
      <c r="M762" s="93"/>
      <c r="N762" s="93"/>
      <c r="O762" s="93"/>
      <c r="P762" s="93"/>
      <c r="Q762" s="597"/>
      <c r="R762" s="597"/>
      <c r="S762" s="597"/>
      <c r="T762" s="597"/>
      <c r="U762" s="597"/>
      <c r="V762" s="597"/>
      <c r="W762" s="597"/>
      <c r="X762" s="597"/>
      <c r="Y762" s="597"/>
      <c r="Z762" s="597"/>
    </row>
    <row r="763" spans="1:26" ht="18.75" hidden="1">
      <c r="A763" s="642"/>
      <c r="B763" s="600"/>
      <c r="C763" s="750"/>
      <c r="D763" s="750"/>
      <c r="E763" s="750"/>
      <c r="F763" s="750" t="s">
        <v>189</v>
      </c>
      <c r="G763" s="596"/>
      <c r="H763" s="165" t="s">
        <v>12</v>
      </c>
      <c r="I763" s="610"/>
      <c r="J763" s="610"/>
      <c r="K763" s="93"/>
      <c r="L763" s="93"/>
      <c r="M763" s="93"/>
      <c r="N763" s="93"/>
      <c r="O763" s="93"/>
      <c r="P763" s="93"/>
      <c r="Q763" s="597"/>
      <c r="R763" s="597"/>
      <c r="S763" s="597"/>
      <c r="T763" s="597"/>
      <c r="U763" s="597"/>
      <c r="V763" s="597"/>
      <c r="W763" s="597"/>
      <c r="X763" s="597"/>
      <c r="Y763" s="597"/>
      <c r="Z763" s="597"/>
    </row>
    <row r="764" spans="1:26" ht="19.5" hidden="1">
      <c r="A764" s="592"/>
      <c r="B764" s="600"/>
      <c r="C764" s="750"/>
      <c r="D764" s="638" t="s">
        <v>21</v>
      </c>
      <c r="E764" s="750"/>
      <c r="F764" s="750"/>
      <c r="G764" s="596"/>
      <c r="H764" s="774" t="s">
        <v>12</v>
      </c>
      <c r="I764" s="166"/>
      <c r="J764" s="166"/>
      <c r="K764" s="167"/>
      <c r="L764" s="640">
        <f t="shared" ref="L764:N764" si="307">L765+L766</f>
        <v>0</v>
      </c>
      <c r="M764" s="640">
        <f t="shared" si="307"/>
        <v>0</v>
      </c>
      <c r="N764" s="640">
        <f t="shared" si="307"/>
        <v>0</v>
      </c>
      <c r="O764" s="640">
        <f t="shared" ref="O764:O766" si="308">IF(L764&gt;0,N764*100/L764,0)</f>
        <v>0</v>
      </c>
      <c r="P764" s="640">
        <f t="shared" ref="P764:P766" si="309">IF(M764&gt;0,N764*100/M764,0)</f>
        <v>0</v>
      </c>
      <c r="Q764" s="597"/>
      <c r="R764" s="597"/>
      <c r="S764" s="597"/>
      <c r="T764" s="597"/>
      <c r="U764" s="597"/>
      <c r="V764" s="597"/>
      <c r="W764" s="597"/>
      <c r="X764" s="597"/>
      <c r="Y764" s="597"/>
      <c r="Z764" s="597"/>
    </row>
    <row r="765" spans="1:26" ht="18.75" hidden="1">
      <c r="A765" s="592"/>
      <c r="B765" s="600"/>
      <c r="C765" s="750"/>
      <c r="D765" s="750"/>
      <c r="E765" s="750" t="s">
        <v>18</v>
      </c>
      <c r="F765" s="750"/>
      <c r="G765" s="596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597"/>
      <c r="R765" s="597"/>
      <c r="S765" s="597"/>
      <c r="T765" s="597"/>
      <c r="U765" s="597"/>
      <c r="V765" s="597"/>
      <c r="W765" s="597"/>
      <c r="X765" s="597"/>
      <c r="Y765" s="597"/>
      <c r="Z765" s="597"/>
    </row>
    <row r="766" spans="1:26" ht="18.75" hidden="1">
      <c r="A766" s="592"/>
      <c r="B766" s="600"/>
      <c r="C766" s="750"/>
      <c r="D766" s="750"/>
      <c r="E766" s="750" t="s">
        <v>19</v>
      </c>
      <c r="F766" s="750"/>
      <c r="G766" s="596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597"/>
      <c r="R766" s="597"/>
      <c r="S766" s="597"/>
      <c r="T766" s="597"/>
      <c r="U766" s="597"/>
      <c r="V766" s="597"/>
      <c r="W766" s="597"/>
      <c r="X766" s="597"/>
      <c r="Y766" s="597"/>
      <c r="Z766" s="597"/>
    </row>
    <row r="767" spans="1:26" ht="19.5" hidden="1">
      <c r="A767" s="607"/>
      <c r="B767" s="609"/>
      <c r="C767" s="750" t="s">
        <v>16</v>
      </c>
      <c r="D767" s="841" t="s">
        <v>38</v>
      </c>
      <c r="E767" s="644"/>
      <c r="F767" s="644"/>
      <c r="G767" s="645"/>
      <c r="H767" s="365"/>
      <c r="I767" s="166"/>
      <c r="J767" s="166"/>
      <c r="K767" s="167"/>
      <c r="L767" s="167"/>
      <c r="M767" s="167"/>
      <c r="N767" s="167"/>
      <c r="O767" s="167"/>
      <c r="P767" s="167"/>
      <c r="Q767" s="597"/>
      <c r="R767" s="597"/>
      <c r="S767" s="597"/>
      <c r="T767" s="597"/>
      <c r="U767" s="597"/>
      <c r="V767" s="597"/>
      <c r="W767" s="597"/>
      <c r="X767" s="597"/>
      <c r="Y767" s="597"/>
      <c r="Z767" s="597"/>
    </row>
    <row r="768" spans="1:26" ht="18.75" hidden="1">
      <c r="A768" s="642"/>
      <c r="B768" s="600"/>
      <c r="C768" s="750"/>
      <c r="D768" s="750"/>
      <c r="E768" s="750" t="s">
        <v>316</v>
      </c>
      <c r="F768" s="750"/>
      <c r="G768" s="596"/>
      <c r="H768" s="165" t="s">
        <v>46</v>
      </c>
      <c r="I768" s="610"/>
      <c r="J768" s="610"/>
      <c r="K768" s="93"/>
      <c r="L768" s="93"/>
      <c r="M768" s="93"/>
      <c r="N768" s="93"/>
      <c r="O768" s="93"/>
      <c r="P768" s="93"/>
      <c r="Q768" s="597"/>
      <c r="R768" s="597"/>
      <c r="S768" s="597"/>
      <c r="T768" s="597"/>
      <c r="U768" s="597"/>
      <c r="V768" s="597"/>
      <c r="W768" s="597"/>
      <c r="X768" s="597"/>
      <c r="Y768" s="597"/>
      <c r="Z768" s="597"/>
    </row>
    <row r="769" spans="1:26" ht="19.5" hidden="1">
      <c r="A769" s="784">
        <v>11</v>
      </c>
      <c r="B769" s="785" t="s">
        <v>317</v>
      </c>
      <c r="C769" s="786"/>
      <c r="D769" s="786"/>
      <c r="E769" s="786"/>
      <c r="F769" s="786"/>
      <c r="G769" s="787"/>
      <c r="H769" s="788" t="s">
        <v>46</v>
      </c>
      <c r="I769" s="789"/>
      <c r="J769" s="789">
        <f>J784</f>
        <v>0</v>
      </c>
      <c r="K769" s="790">
        <f>IF(I769&gt;0,J769*100/I769,0)</f>
        <v>0</v>
      </c>
      <c r="L769" s="791"/>
      <c r="M769" s="791"/>
      <c r="N769" s="791"/>
      <c r="O769" s="791"/>
      <c r="P769" s="791"/>
      <c r="Q769" s="597"/>
      <c r="R769" s="597"/>
      <c r="S769" s="597"/>
      <c r="T769" s="597"/>
      <c r="U769" s="597"/>
      <c r="V769" s="597"/>
      <c r="W769" s="597"/>
      <c r="X769" s="597"/>
      <c r="Y769" s="597"/>
      <c r="Z769" s="597"/>
    </row>
    <row r="770" spans="1:26" ht="19.5" hidden="1">
      <c r="A770" s="592"/>
      <c r="B770" s="750"/>
      <c r="C770" s="750" t="s">
        <v>16</v>
      </c>
      <c r="D770" s="864" t="s">
        <v>17</v>
      </c>
      <c r="E770" s="857"/>
      <c r="F770" s="857"/>
      <c r="G770" s="596"/>
      <c r="H770" s="639" t="s">
        <v>12</v>
      </c>
      <c r="I770" s="610"/>
      <c r="J770" s="610"/>
      <c r="K770" s="93"/>
      <c r="L770" s="640">
        <f t="shared" ref="L770:N770" si="310">L771+L772</f>
        <v>0</v>
      </c>
      <c r="M770" s="640">
        <f t="shared" si="310"/>
        <v>0</v>
      </c>
      <c r="N770" s="640">
        <f t="shared" si="310"/>
        <v>0</v>
      </c>
      <c r="O770" s="640">
        <f t="shared" ref="O770:O775" si="311">IF(L770&gt;0,N770*100/L770,0)</f>
        <v>0</v>
      </c>
      <c r="P770" s="640">
        <f t="shared" ref="P770:P775" si="312">IF(M770&gt;0,N770*100/M770,0)</f>
        <v>0</v>
      </c>
      <c r="Q770" s="597"/>
      <c r="R770" s="597"/>
      <c r="S770" s="597"/>
      <c r="T770" s="597"/>
      <c r="U770" s="597"/>
      <c r="V770" s="597"/>
      <c r="W770" s="597"/>
      <c r="X770" s="597"/>
      <c r="Y770" s="597"/>
      <c r="Z770" s="597"/>
    </row>
    <row r="771" spans="1:26" ht="18.75" hidden="1">
      <c r="A771" s="592"/>
      <c r="B771" s="750"/>
      <c r="C771" s="750"/>
      <c r="D771" s="711"/>
      <c r="E771" s="750" t="s">
        <v>184</v>
      </c>
      <c r="F771" s="750"/>
      <c r="G771" s="596"/>
      <c r="H771" s="165" t="s">
        <v>12</v>
      </c>
      <c r="I771" s="610"/>
      <c r="J771" s="610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597"/>
      <c r="R771" s="597"/>
      <c r="S771" s="597"/>
      <c r="T771" s="597"/>
      <c r="U771" s="597"/>
      <c r="V771" s="597"/>
      <c r="W771" s="597"/>
      <c r="X771" s="597"/>
      <c r="Y771" s="597"/>
      <c r="Z771" s="597"/>
    </row>
    <row r="772" spans="1:26" ht="18.75" hidden="1">
      <c r="A772" s="592"/>
      <c r="B772" s="600"/>
      <c r="C772" s="750"/>
      <c r="D772" s="711"/>
      <c r="E772" s="750" t="s">
        <v>185</v>
      </c>
      <c r="F772" s="750"/>
      <c r="G772" s="596"/>
      <c r="H772" s="165" t="s">
        <v>12</v>
      </c>
      <c r="I772" s="610"/>
      <c r="J772" s="610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597"/>
      <c r="R772" s="597"/>
      <c r="S772" s="597"/>
      <c r="T772" s="597"/>
      <c r="U772" s="597"/>
      <c r="V772" s="597"/>
      <c r="W772" s="597"/>
      <c r="X772" s="597"/>
      <c r="Y772" s="597"/>
      <c r="Z772" s="597"/>
    </row>
    <row r="773" spans="1:26" ht="19.5" hidden="1">
      <c r="A773" s="592"/>
      <c r="B773" s="600"/>
      <c r="C773" s="750"/>
      <c r="D773" s="638" t="s">
        <v>20</v>
      </c>
      <c r="E773" s="750"/>
      <c r="F773" s="750"/>
      <c r="G773" s="596"/>
      <c r="H773" s="639" t="s">
        <v>12</v>
      </c>
      <c r="I773" s="166"/>
      <c r="J773" s="166"/>
      <c r="K773" s="167"/>
      <c r="L773" s="640">
        <f t="shared" ref="L773:N773" si="314">L774+L775</f>
        <v>0</v>
      </c>
      <c r="M773" s="640">
        <f t="shared" si="314"/>
        <v>0</v>
      </c>
      <c r="N773" s="640">
        <f t="shared" si="314"/>
        <v>0</v>
      </c>
      <c r="O773" s="640">
        <f t="shared" si="311"/>
        <v>0</v>
      </c>
      <c r="P773" s="640">
        <f t="shared" si="312"/>
        <v>0</v>
      </c>
      <c r="Q773" s="597"/>
      <c r="R773" s="597"/>
      <c r="S773" s="597"/>
      <c r="T773" s="597"/>
      <c r="U773" s="597"/>
      <c r="V773" s="597"/>
      <c r="W773" s="597"/>
      <c r="X773" s="597"/>
      <c r="Y773" s="597"/>
      <c r="Z773" s="597"/>
    </row>
    <row r="774" spans="1:26" ht="18.75" hidden="1">
      <c r="A774" s="592"/>
      <c r="B774" s="600"/>
      <c r="C774" s="750"/>
      <c r="D774" s="711"/>
      <c r="E774" s="750" t="s">
        <v>184</v>
      </c>
      <c r="F774" s="750"/>
      <c r="G774" s="596"/>
      <c r="H774" s="165" t="s">
        <v>12</v>
      </c>
      <c r="I774" s="610"/>
      <c r="J774" s="610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597"/>
      <c r="R774" s="597"/>
      <c r="S774" s="597"/>
      <c r="T774" s="597"/>
      <c r="U774" s="597"/>
      <c r="V774" s="597"/>
      <c r="W774" s="597"/>
      <c r="X774" s="597"/>
      <c r="Y774" s="597"/>
      <c r="Z774" s="597"/>
    </row>
    <row r="775" spans="1:26" ht="18.75" hidden="1">
      <c r="A775" s="592"/>
      <c r="B775" s="600"/>
      <c r="C775" s="750"/>
      <c r="D775" s="711"/>
      <c r="E775" s="750" t="s">
        <v>185</v>
      </c>
      <c r="F775" s="750"/>
      <c r="G775" s="596"/>
      <c r="H775" s="165" t="s">
        <v>12</v>
      </c>
      <c r="I775" s="610"/>
      <c r="J775" s="610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597"/>
      <c r="R775" s="597"/>
      <c r="S775" s="597"/>
      <c r="T775" s="597"/>
      <c r="U775" s="597"/>
      <c r="V775" s="597"/>
      <c r="W775" s="597"/>
      <c r="X775" s="597"/>
      <c r="Y775" s="597"/>
      <c r="Z775" s="597"/>
    </row>
    <row r="776" spans="1:26" ht="18.75" hidden="1">
      <c r="A776" s="642"/>
      <c r="B776" s="600"/>
      <c r="C776" s="750"/>
      <c r="D776" s="750"/>
      <c r="E776" s="750"/>
      <c r="F776" s="750" t="s">
        <v>186</v>
      </c>
      <c r="G776" s="596"/>
      <c r="H776" s="165" t="s">
        <v>12</v>
      </c>
      <c r="I776" s="610"/>
      <c r="J776" s="610"/>
      <c r="K776" s="93"/>
      <c r="L776" s="93"/>
      <c r="M776" s="93"/>
      <c r="N776" s="93"/>
      <c r="O776" s="93"/>
      <c r="P776" s="93"/>
      <c r="Q776" s="597"/>
      <c r="R776" s="597"/>
      <c r="S776" s="597"/>
      <c r="T776" s="597"/>
      <c r="U776" s="597"/>
      <c r="V776" s="597"/>
      <c r="W776" s="597"/>
      <c r="X776" s="597"/>
      <c r="Y776" s="597"/>
      <c r="Z776" s="597"/>
    </row>
    <row r="777" spans="1:26" ht="18.75" hidden="1">
      <c r="A777" s="642"/>
      <c r="B777" s="600"/>
      <c r="C777" s="750"/>
      <c r="D777" s="750"/>
      <c r="E777" s="750"/>
      <c r="F777" s="750" t="s">
        <v>187</v>
      </c>
      <c r="G777" s="596"/>
      <c r="H777" s="165" t="s">
        <v>12</v>
      </c>
      <c r="I777" s="610"/>
      <c r="J777" s="610"/>
      <c r="K777" s="93"/>
      <c r="L777" s="93"/>
      <c r="M777" s="93"/>
      <c r="N777" s="93"/>
      <c r="O777" s="93"/>
      <c r="P777" s="93"/>
      <c r="Q777" s="597"/>
      <c r="R777" s="597"/>
      <c r="S777" s="597"/>
      <c r="T777" s="597"/>
      <c r="U777" s="597"/>
      <c r="V777" s="597"/>
      <c r="W777" s="597"/>
      <c r="X777" s="597"/>
      <c r="Y777" s="597"/>
      <c r="Z777" s="597"/>
    </row>
    <row r="778" spans="1:26" ht="18.75" hidden="1">
      <c r="A778" s="642"/>
      <c r="B778" s="600"/>
      <c r="C778" s="750"/>
      <c r="D778" s="750"/>
      <c r="E778" s="750"/>
      <c r="F778" s="750" t="s">
        <v>188</v>
      </c>
      <c r="G778" s="596"/>
      <c r="H778" s="165" t="s">
        <v>12</v>
      </c>
      <c r="I778" s="610"/>
      <c r="J778" s="610"/>
      <c r="K778" s="93"/>
      <c r="L778" s="93"/>
      <c r="M778" s="93"/>
      <c r="N778" s="93"/>
      <c r="O778" s="93"/>
      <c r="P778" s="93"/>
      <c r="Q778" s="597"/>
      <c r="R778" s="597"/>
      <c r="S778" s="597"/>
      <c r="T778" s="597"/>
      <c r="U778" s="597"/>
      <c r="V778" s="597"/>
      <c r="W778" s="597"/>
      <c r="X778" s="597"/>
      <c r="Y778" s="597"/>
      <c r="Z778" s="597"/>
    </row>
    <row r="779" spans="1:26" ht="18.75" hidden="1">
      <c r="A779" s="642"/>
      <c r="B779" s="600"/>
      <c r="C779" s="750"/>
      <c r="D779" s="750"/>
      <c r="E779" s="750"/>
      <c r="F779" s="750" t="s">
        <v>189</v>
      </c>
      <c r="G779" s="596"/>
      <c r="H779" s="165" t="s">
        <v>12</v>
      </c>
      <c r="I779" s="610"/>
      <c r="J779" s="610"/>
      <c r="K779" s="93"/>
      <c r="L779" s="93"/>
      <c r="M779" s="93"/>
      <c r="N779" s="93"/>
      <c r="O779" s="93"/>
      <c r="P779" s="93"/>
      <c r="Q779" s="597"/>
      <c r="R779" s="597"/>
      <c r="S779" s="597"/>
      <c r="T779" s="597"/>
      <c r="U779" s="597"/>
      <c r="V779" s="597"/>
      <c r="W779" s="597"/>
      <c r="X779" s="597"/>
      <c r="Y779" s="597"/>
      <c r="Z779" s="597"/>
    </row>
    <row r="780" spans="1:26" ht="19.5" hidden="1">
      <c r="A780" s="592"/>
      <c r="B780" s="600"/>
      <c r="C780" s="750"/>
      <c r="D780" s="638" t="s">
        <v>21</v>
      </c>
      <c r="E780" s="750"/>
      <c r="F780" s="750"/>
      <c r="G780" s="596"/>
      <c r="H780" s="774" t="s">
        <v>12</v>
      </c>
      <c r="I780" s="166"/>
      <c r="J780" s="166"/>
      <c r="K780" s="167"/>
      <c r="L780" s="640">
        <f t="shared" ref="L780:N780" si="315">L781+L782</f>
        <v>0</v>
      </c>
      <c r="M780" s="640">
        <f t="shared" si="315"/>
        <v>0</v>
      </c>
      <c r="N780" s="640">
        <f t="shared" si="315"/>
        <v>0</v>
      </c>
      <c r="O780" s="640">
        <f t="shared" ref="O780:O782" si="316">IF(L780&gt;0,N780*100/L780,0)</f>
        <v>0</v>
      </c>
      <c r="P780" s="640">
        <f t="shared" ref="P780:P782" si="317">IF(M780&gt;0,N780*100/M780,0)</f>
        <v>0</v>
      </c>
      <c r="Q780" s="597"/>
      <c r="R780" s="597"/>
      <c r="S780" s="597"/>
      <c r="T780" s="597"/>
      <c r="U780" s="597"/>
      <c r="V780" s="597"/>
      <c r="W780" s="597"/>
      <c r="X780" s="597"/>
      <c r="Y780" s="597"/>
      <c r="Z780" s="597"/>
    </row>
    <row r="781" spans="1:26" ht="18.75" hidden="1">
      <c r="A781" s="592"/>
      <c r="B781" s="600"/>
      <c r="C781" s="750"/>
      <c r="D781" s="750"/>
      <c r="E781" s="750" t="s">
        <v>18</v>
      </c>
      <c r="F781" s="750"/>
      <c r="G781" s="596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597"/>
      <c r="R781" s="597"/>
      <c r="S781" s="597"/>
      <c r="T781" s="597"/>
      <c r="U781" s="597"/>
      <c r="V781" s="597"/>
      <c r="W781" s="597"/>
      <c r="X781" s="597"/>
      <c r="Y781" s="597"/>
      <c r="Z781" s="597"/>
    </row>
    <row r="782" spans="1:26" ht="18.75" hidden="1">
      <c r="A782" s="592"/>
      <c r="B782" s="600"/>
      <c r="C782" s="750"/>
      <c r="D782" s="750"/>
      <c r="E782" s="750" t="s">
        <v>19</v>
      </c>
      <c r="F782" s="750"/>
      <c r="G782" s="596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597"/>
      <c r="R782" s="597"/>
      <c r="S782" s="597"/>
      <c r="T782" s="597"/>
      <c r="U782" s="597"/>
      <c r="V782" s="597"/>
      <c r="W782" s="597"/>
      <c r="X782" s="597"/>
      <c r="Y782" s="597"/>
      <c r="Z782" s="597"/>
    </row>
    <row r="783" spans="1:26" ht="19.5" hidden="1">
      <c r="A783" s="607"/>
      <c r="B783" s="609"/>
      <c r="C783" s="750" t="s">
        <v>16</v>
      </c>
      <c r="D783" s="841" t="s">
        <v>38</v>
      </c>
      <c r="E783" s="644"/>
      <c r="F783" s="644"/>
      <c r="G783" s="645"/>
      <c r="H783" s="792"/>
      <c r="I783" s="166"/>
      <c r="J783" s="166"/>
      <c r="K783" s="167"/>
      <c r="L783" s="167"/>
      <c r="M783" s="167"/>
      <c r="N783" s="167"/>
      <c r="O783" s="167"/>
      <c r="P783" s="167"/>
      <c r="Q783" s="597"/>
      <c r="R783" s="597"/>
      <c r="S783" s="597"/>
      <c r="T783" s="597"/>
      <c r="U783" s="597"/>
      <c r="V783" s="597"/>
      <c r="W783" s="597"/>
      <c r="X783" s="597"/>
      <c r="Y783" s="597"/>
      <c r="Z783" s="597"/>
    </row>
    <row r="784" spans="1:26" ht="18.75" hidden="1">
      <c r="A784" s="642"/>
      <c r="B784" s="600"/>
      <c r="C784" s="750"/>
      <c r="D784" s="750"/>
      <c r="E784" s="750" t="s">
        <v>318</v>
      </c>
      <c r="F784" s="750"/>
      <c r="G784" s="596"/>
      <c r="H784" s="165" t="s">
        <v>46</v>
      </c>
      <c r="I784" s="610"/>
      <c r="J784" s="610"/>
      <c r="K784" s="93"/>
      <c r="L784" s="93"/>
      <c r="M784" s="93"/>
      <c r="N784" s="93"/>
      <c r="O784" s="93"/>
      <c r="P784" s="93"/>
      <c r="Q784" s="597"/>
      <c r="R784" s="597"/>
      <c r="S784" s="597"/>
      <c r="T784" s="597"/>
      <c r="U784" s="597"/>
      <c r="V784" s="597"/>
      <c r="W784" s="597"/>
      <c r="X784" s="597"/>
      <c r="Y784" s="597"/>
      <c r="Z784" s="597"/>
    </row>
    <row r="785" spans="1:26" ht="19.5" hidden="1">
      <c r="A785" s="793">
        <v>12</v>
      </c>
      <c r="B785" s="794" t="s">
        <v>319</v>
      </c>
      <c r="C785" s="795"/>
      <c r="D785" s="795"/>
      <c r="E785" s="795"/>
      <c r="F785" s="795"/>
      <c r="G785" s="796"/>
      <c r="H785" s="797" t="s">
        <v>46</v>
      </c>
      <c r="I785" s="798">
        <f t="shared" ref="I785:J785" ca="1" si="318">I800</f>
        <v>0</v>
      </c>
      <c r="J785" s="799">
        <f t="shared" ca="1" si="318"/>
        <v>0</v>
      </c>
      <c r="K785" s="800">
        <f ca="1">IF(I785&gt;0,J785*100/I785,0)</f>
        <v>0</v>
      </c>
      <c r="L785" s="801"/>
      <c r="M785" s="801"/>
      <c r="N785" s="801"/>
      <c r="O785" s="801"/>
      <c r="P785" s="801"/>
      <c r="Q785" s="571"/>
      <c r="R785" s="571"/>
      <c r="S785" s="571"/>
      <c r="T785" s="571"/>
      <c r="U785" s="571"/>
      <c r="V785" s="571"/>
      <c r="W785" s="571"/>
      <c r="X785" s="571"/>
      <c r="Y785" s="571"/>
      <c r="Z785" s="571"/>
    </row>
    <row r="786" spans="1:26" ht="19.5" hidden="1">
      <c r="A786" s="590"/>
      <c r="B786" s="568"/>
      <c r="C786" s="754" t="s">
        <v>16</v>
      </c>
      <c r="D786" s="863" t="s">
        <v>17</v>
      </c>
      <c r="E786" s="857"/>
      <c r="F786" s="857"/>
      <c r="G786" s="189"/>
      <c r="H786" s="591" t="s">
        <v>12</v>
      </c>
      <c r="I786" s="269"/>
      <c r="J786" s="269"/>
      <c r="K786" s="496"/>
      <c r="L786" s="195">
        <f t="shared" ref="L786:N786" ca="1" si="319">L787+L788</f>
        <v>0</v>
      </c>
      <c r="M786" s="195">
        <f t="shared" si="319"/>
        <v>0</v>
      </c>
      <c r="N786" s="195">
        <f t="shared" si="319"/>
        <v>0</v>
      </c>
      <c r="O786" s="195">
        <f t="shared" ref="O786:O791" ca="1" si="320">IF(L786&gt;0,N786*100/L786,0)</f>
        <v>0</v>
      </c>
      <c r="P786" s="195">
        <f t="shared" ref="P786:P791" si="321">IF(M786&gt;0,N786*100/M786,0)</f>
        <v>0</v>
      </c>
      <c r="Q786" s="571"/>
      <c r="R786" s="571"/>
      <c r="S786" s="571"/>
      <c r="T786" s="571"/>
      <c r="U786" s="571"/>
      <c r="V786" s="571"/>
      <c r="W786" s="571"/>
      <c r="X786" s="571"/>
      <c r="Y786" s="571"/>
      <c r="Z786" s="571"/>
    </row>
    <row r="787" spans="1:26" ht="18.75" hidden="1">
      <c r="A787" s="592"/>
      <c r="B787" s="600"/>
      <c r="C787" s="750"/>
      <c r="D787" s="711"/>
      <c r="E787" s="750" t="s">
        <v>184</v>
      </c>
      <c r="F787" s="750"/>
      <c r="G787" s="596"/>
      <c r="H787" s="165" t="s">
        <v>12</v>
      </c>
      <c r="I787" s="610"/>
      <c r="J787" s="610"/>
      <c r="K787" s="93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597"/>
      <c r="R787" s="597"/>
      <c r="S787" s="597"/>
      <c r="T787" s="597"/>
      <c r="U787" s="597"/>
      <c r="V787" s="597"/>
      <c r="W787" s="597"/>
      <c r="X787" s="597"/>
      <c r="Y787" s="597"/>
      <c r="Z787" s="597"/>
    </row>
    <row r="788" spans="1:26" ht="18.75" hidden="1">
      <c r="A788" s="592"/>
      <c r="B788" s="600"/>
      <c r="C788" s="600"/>
      <c r="D788" s="609"/>
      <c r="E788" s="750" t="s">
        <v>185</v>
      </c>
      <c r="F788" s="750"/>
      <c r="G788" s="596"/>
      <c r="H788" s="165" t="s">
        <v>12</v>
      </c>
      <c r="I788" s="610"/>
      <c r="J788" s="610"/>
      <c r="K788" s="93"/>
      <c r="L788" s="93">
        <f t="shared" ca="1" si="322"/>
        <v>0</v>
      </c>
      <c r="M788" s="93">
        <f t="shared" si="322"/>
        <v>0</v>
      </c>
      <c r="N788" s="93">
        <f t="shared" si="322"/>
        <v>0</v>
      </c>
      <c r="O788" s="93">
        <f t="shared" ca="1" si="320"/>
        <v>0</v>
      </c>
      <c r="P788" s="93">
        <f t="shared" si="321"/>
        <v>0</v>
      </c>
      <c r="Q788" s="597"/>
      <c r="R788" s="597"/>
      <c r="S788" s="597"/>
      <c r="T788" s="597"/>
      <c r="U788" s="597"/>
      <c r="V788" s="597"/>
      <c r="W788" s="597"/>
      <c r="X788" s="597"/>
      <c r="Y788" s="597"/>
      <c r="Z788" s="597"/>
    </row>
    <row r="789" spans="1:26" ht="18.75" hidden="1">
      <c r="A789" s="590"/>
      <c r="B789" s="568"/>
      <c r="C789" s="568"/>
      <c r="D789" s="599" t="s">
        <v>20</v>
      </c>
      <c r="E789" s="754"/>
      <c r="F789" s="754"/>
      <c r="G789" s="189"/>
      <c r="H789" s="161" t="s">
        <v>12</v>
      </c>
      <c r="I789" s="184"/>
      <c r="J789" s="184"/>
      <c r="K789" s="163"/>
      <c r="L789" s="496">
        <f t="shared" ref="L789:N789" ca="1" si="323">L790+L791</f>
        <v>0</v>
      </c>
      <c r="M789" s="496">
        <f t="shared" si="323"/>
        <v>0</v>
      </c>
      <c r="N789" s="496">
        <f t="shared" si="323"/>
        <v>0</v>
      </c>
      <c r="O789" s="496">
        <f t="shared" ca="1" si="320"/>
        <v>0</v>
      </c>
      <c r="P789" s="496">
        <f t="shared" si="321"/>
        <v>0</v>
      </c>
      <c r="Q789" s="571"/>
      <c r="R789" s="571"/>
      <c r="S789" s="571"/>
      <c r="T789" s="571"/>
      <c r="U789" s="571"/>
      <c r="V789" s="571"/>
      <c r="W789" s="571"/>
      <c r="X789" s="571"/>
      <c r="Y789" s="571"/>
      <c r="Z789" s="571"/>
    </row>
    <row r="790" spans="1:26" ht="18.75" hidden="1">
      <c r="A790" s="592"/>
      <c r="B790" s="600"/>
      <c r="C790" s="600"/>
      <c r="D790" s="609"/>
      <c r="E790" s="750" t="s">
        <v>184</v>
      </c>
      <c r="F790" s="750"/>
      <c r="G790" s="596"/>
      <c r="H790" s="165" t="s">
        <v>12</v>
      </c>
      <c r="I790" s="610"/>
      <c r="J790" s="610"/>
      <c r="K790" s="93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597"/>
      <c r="R790" s="597"/>
      <c r="S790" s="597"/>
      <c r="T790" s="597"/>
      <c r="U790" s="597"/>
      <c r="V790" s="597"/>
      <c r="W790" s="597"/>
      <c r="X790" s="597"/>
      <c r="Y790" s="597"/>
      <c r="Z790" s="597"/>
    </row>
    <row r="791" spans="1:26" ht="18.75" hidden="1">
      <c r="A791" s="592"/>
      <c r="B791" s="600"/>
      <c r="C791" s="600"/>
      <c r="D791" s="609"/>
      <c r="E791" s="750" t="s">
        <v>185</v>
      </c>
      <c r="F791" s="750"/>
      <c r="G791" s="596"/>
      <c r="H791" s="165" t="s">
        <v>12</v>
      </c>
      <c r="I791" s="610"/>
      <c r="J791" s="610"/>
      <c r="K791" s="93"/>
      <c r="L791" s="93">
        <f ca="1">IFERROR(__xludf.DUMMYFUNCTION("IMPORTRANGE(""https://docs.google.com/spreadsheets/d/1QqKyyYR6Q21VydFLVH3TRQUabQu_ym0Zz7PgGX0-kHA/edit?usp=sharing"",""แผน!JJ65"")"),0)</f>
        <v>0</v>
      </c>
      <c r="M791" s="93">
        <v>0</v>
      </c>
      <c r="N791" s="93">
        <f>N792+N793+N794+N795</f>
        <v>0</v>
      </c>
      <c r="O791" s="93">
        <f t="shared" ca="1" si="320"/>
        <v>0</v>
      </c>
      <c r="P791" s="93">
        <f t="shared" si="321"/>
        <v>0</v>
      </c>
      <c r="Q791" s="597"/>
      <c r="R791" s="597"/>
      <c r="S791" s="597"/>
      <c r="T791" s="597"/>
      <c r="U791" s="597"/>
      <c r="V791" s="597"/>
      <c r="W791" s="597"/>
      <c r="X791" s="597"/>
      <c r="Y791" s="597"/>
      <c r="Z791" s="597"/>
    </row>
    <row r="792" spans="1:26" ht="18.75" hidden="1">
      <c r="A792" s="567"/>
      <c r="B792" s="568"/>
      <c r="C792" s="754"/>
      <c r="D792" s="754"/>
      <c r="E792" s="754"/>
      <c r="F792" s="754" t="s">
        <v>186</v>
      </c>
      <c r="G792" s="189"/>
      <c r="H792" s="161" t="s">
        <v>12</v>
      </c>
      <c r="I792" s="269"/>
      <c r="J792" s="269"/>
      <c r="K792" s="496"/>
      <c r="L792" s="496"/>
      <c r="M792" s="496"/>
      <c r="N792" s="817">
        <v>0</v>
      </c>
      <c r="O792" s="496"/>
      <c r="P792" s="496"/>
      <c r="Q792" s="571"/>
      <c r="R792" s="571"/>
      <c r="S792" s="571"/>
      <c r="T792" s="571"/>
      <c r="U792" s="571"/>
      <c r="V792" s="571"/>
      <c r="W792" s="571"/>
      <c r="X792" s="571"/>
      <c r="Y792" s="571"/>
      <c r="Z792" s="571"/>
    </row>
    <row r="793" spans="1:26" ht="18.75" hidden="1">
      <c r="A793" s="567"/>
      <c r="B793" s="568"/>
      <c r="C793" s="754"/>
      <c r="D793" s="754"/>
      <c r="E793" s="754"/>
      <c r="F793" s="754" t="s">
        <v>187</v>
      </c>
      <c r="G793" s="189"/>
      <c r="H793" s="161" t="s">
        <v>12</v>
      </c>
      <c r="I793" s="269"/>
      <c r="J793" s="269"/>
      <c r="K793" s="496"/>
      <c r="L793" s="496"/>
      <c r="M793" s="496"/>
      <c r="N793" s="817">
        <v>0</v>
      </c>
      <c r="O793" s="496"/>
      <c r="P793" s="496"/>
      <c r="Q793" s="571"/>
      <c r="R793" s="571"/>
      <c r="S793" s="571"/>
      <c r="T793" s="571"/>
      <c r="U793" s="571"/>
      <c r="V793" s="571"/>
      <c r="W793" s="571"/>
      <c r="X793" s="571"/>
      <c r="Y793" s="571"/>
      <c r="Z793" s="571"/>
    </row>
    <row r="794" spans="1:26" ht="18.75" hidden="1">
      <c r="A794" s="567"/>
      <c r="B794" s="568"/>
      <c r="C794" s="754"/>
      <c r="D794" s="754"/>
      <c r="E794" s="754"/>
      <c r="F794" s="754" t="s">
        <v>188</v>
      </c>
      <c r="G794" s="189"/>
      <c r="H794" s="161" t="s">
        <v>12</v>
      </c>
      <c r="I794" s="269"/>
      <c r="J794" s="269"/>
      <c r="K794" s="496"/>
      <c r="L794" s="496"/>
      <c r="M794" s="496"/>
      <c r="N794" s="817">
        <v>0</v>
      </c>
      <c r="O794" s="496"/>
      <c r="P794" s="496"/>
      <c r="Q794" s="571"/>
      <c r="R794" s="571"/>
      <c r="S794" s="571"/>
      <c r="T794" s="571"/>
      <c r="U794" s="571"/>
      <c r="V794" s="571"/>
      <c r="W794" s="571"/>
      <c r="X794" s="571"/>
      <c r="Y794" s="571"/>
      <c r="Z794" s="571"/>
    </row>
    <row r="795" spans="1:26" ht="18.75" hidden="1">
      <c r="A795" s="567"/>
      <c r="B795" s="568"/>
      <c r="C795" s="754"/>
      <c r="D795" s="754"/>
      <c r="E795" s="754"/>
      <c r="F795" s="754" t="s">
        <v>189</v>
      </c>
      <c r="G795" s="189"/>
      <c r="H795" s="161" t="s">
        <v>12</v>
      </c>
      <c r="I795" s="269"/>
      <c r="J795" s="269"/>
      <c r="K795" s="496"/>
      <c r="L795" s="496"/>
      <c r="M795" s="496"/>
      <c r="N795" s="817">
        <v>0</v>
      </c>
      <c r="O795" s="496"/>
      <c r="P795" s="496"/>
      <c r="Q795" s="571"/>
      <c r="R795" s="571"/>
      <c r="S795" s="571"/>
      <c r="T795" s="571"/>
      <c r="U795" s="571"/>
      <c r="V795" s="571"/>
      <c r="W795" s="571"/>
      <c r="X795" s="571"/>
      <c r="Y795" s="571"/>
      <c r="Z795" s="571"/>
    </row>
    <row r="796" spans="1:26" ht="18.75" hidden="1">
      <c r="A796" s="590"/>
      <c r="B796" s="568"/>
      <c r="C796" s="754"/>
      <c r="D796" s="599" t="s">
        <v>21</v>
      </c>
      <c r="E796" s="754"/>
      <c r="F796" s="754"/>
      <c r="G796" s="189"/>
      <c r="H796" s="168" t="s">
        <v>12</v>
      </c>
      <c r="I796" s="184"/>
      <c r="J796" s="184"/>
      <c r="K796" s="163"/>
      <c r="L796" s="496">
        <f t="shared" ref="L796:N796" si="324">L797+L798</f>
        <v>0</v>
      </c>
      <c r="M796" s="496">
        <f t="shared" si="324"/>
        <v>0</v>
      </c>
      <c r="N796" s="496">
        <f t="shared" si="324"/>
        <v>0</v>
      </c>
      <c r="O796" s="496">
        <f t="shared" ref="O796:O798" si="325">IF(L796&gt;0,N796*100/L796,0)</f>
        <v>0</v>
      </c>
      <c r="P796" s="496">
        <f t="shared" ref="P796:P798" si="326">IF(M796&gt;0,N796*100/M796,0)</f>
        <v>0</v>
      </c>
      <c r="Q796" s="571"/>
      <c r="R796" s="571"/>
      <c r="S796" s="571"/>
      <c r="T796" s="571"/>
      <c r="U796" s="571"/>
      <c r="V796" s="571"/>
      <c r="W796" s="571"/>
      <c r="X796" s="571"/>
      <c r="Y796" s="571"/>
      <c r="Z796" s="571"/>
    </row>
    <row r="797" spans="1:26" ht="18.75" hidden="1">
      <c r="A797" s="592"/>
      <c r="B797" s="600"/>
      <c r="C797" s="750"/>
      <c r="D797" s="750"/>
      <c r="E797" s="750" t="s">
        <v>18</v>
      </c>
      <c r="F797" s="750"/>
      <c r="G797" s="596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597"/>
      <c r="R797" s="597"/>
      <c r="S797" s="597"/>
      <c r="T797" s="597"/>
      <c r="U797" s="597"/>
      <c r="V797" s="597"/>
      <c r="W797" s="597"/>
      <c r="X797" s="597"/>
      <c r="Y797" s="597"/>
      <c r="Z797" s="597"/>
    </row>
    <row r="798" spans="1:26" ht="18.75" hidden="1">
      <c r="A798" s="592"/>
      <c r="B798" s="600"/>
      <c r="C798" s="750"/>
      <c r="D798" s="750"/>
      <c r="E798" s="750" t="s">
        <v>19</v>
      </c>
      <c r="F798" s="750"/>
      <c r="G798" s="596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597"/>
      <c r="R798" s="597"/>
      <c r="S798" s="597"/>
      <c r="T798" s="597"/>
      <c r="U798" s="597"/>
      <c r="V798" s="597"/>
      <c r="W798" s="597"/>
      <c r="X798" s="597"/>
      <c r="Y798" s="597"/>
      <c r="Z798" s="597"/>
    </row>
    <row r="799" spans="1:26" ht="19.5" hidden="1">
      <c r="A799" s="601"/>
      <c r="B799" s="611"/>
      <c r="C799" s="754" t="s">
        <v>16</v>
      </c>
      <c r="D799" s="840" t="s">
        <v>38</v>
      </c>
      <c r="E799" s="752"/>
      <c r="F799" s="752"/>
      <c r="G799" s="606"/>
      <c r="H799" s="802"/>
      <c r="I799" s="184"/>
      <c r="J799" s="184"/>
      <c r="K799" s="163"/>
      <c r="L799" s="163"/>
      <c r="M799" s="163"/>
      <c r="N799" s="163"/>
      <c r="O799" s="163"/>
      <c r="P799" s="163"/>
      <c r="Q799" s="571"/>
      <c r="R799" s="571"/>
      <c r="S799" s="571"/>
      <c r="T799" s="571"/>
      <c r="U799" s="571"/>
      <c r="V799" s="571"/>
      <c r="W799" s="571"/>
      <c r="X799" s="571"/>
      <c r="Y799" s="571"/>
      <c r="Z799" s="571"/>
    </row>
    <row r="800" spans="1:26" ht="18.75" hidden="1">
      <c r="A800" s="601"/>
      <c r="B800" s="611"/>
      <c r="C800" s="611"/>
      <c r="D800" s="611"/>
      <c r="E800" s="619"/>
      <c r="F800" s="619" t="s">
        <v>320</v>
      </c>
      <c r="G800" s="753"/>
      <c r="H800" s="185" t="s">
        <v>46</v>
      </c>
      <c r="I800" s="184">
        <f ca="1">IFERROR(__xludf.DUMMYFUNCTION("IMPORTRANGE(""https://docs.google.com/spreadsheets/d/1QqKyyYR6Q21VydFLVH3TRQUabQu_ym0Zz7PgGX0-kHA/edit?usp=sharing"",""แผน!JN65"")"),0)</f>
        <v>0</v>
      </c>
      <c r="J800" s="184">
        <f ca="1">IFERROR(__xludf.DUMMYFUNCTION("IMPORTRANGE(""https://docs.google.com/spreadsheets/d/1MaWodYyGHDf7siQLGxnXhG4mBNTNIuy296niS2xXulU/edit?usp=sharing"",""RTK!H65"")"),0)</f>
        <v>0</v>
      </c>
      <c r="K800" s="496">
        <f ca="1">IF(I800&gt;0,J800*100/I800,0)</f>
        <v>0</v>
      </c>
      <c r="L800" s="496"/>
      <c r="M800" s="496"/>
      <c r="N800" s="496"/>
      <c r="O800" s="163"/>
      <c r="P800" s="163"/>
      <c r="Q800" s="571"/>
      <c r="R800" s="571"/>
      <c r="S800" s="571"/>
      <c r="T800" s="571"/>
      <c r="U800" s="571"/>
      <c r="V800" s="571"/>
      <c r="W800" s="571"/>
      <c r="X800" s="571"/>
      <c r="Y800" s="571"/>
      <c r="Z800" s="571"/>
    </row>
    <row r="801" spans="1:26" ht="18.75" hidden="1">
      <c r="A801" s="601"/>
      <c r="B801" s="611"/>
      <c r="C801" s="611"/>
      <c r="D801" s="611"/>
      <c r="E801" s="619"/>
      <c r="F801" s="619"/>
      <c r="G801" s="753"/>
      <c r="H801" s="161" t="s">
        <v>34</v>
      </c>
      <c r="I801" s="184"/>
      <c r="J801" s="269">
        <f ca="1">IFERROR(__xludf.DUMMYFUNCTION("IMPORTRANGE(""https://docs.google.com/spreadsheets/d/1MaWodYyGHDf7siQLGxnXhG4mBNTNIuy296niS2xXulU/edit?usp=sharing"",""RTK!I65"")"),0)</f>
        <v>0</v>
      </c>
      <c r="K801" s="496"/>
      <c r="L801" s="496"/>
      <c r="M801" s="496"/>
      <c r="N801" s="496"/>
      <c r="O801" s="163"/>
      <c r="P801" s="163"/>
      <c r="Q801" s="571"/>
      <c r="R801" s="571"/>
      <c r="S801" s="571"/>
      <c r="T801" s="571"/>
      <c r="U801" s="571"/>
      <c r="V801" s="571"/>
      <c r="W801" s="571"/>
      <c r="X801" s="571"/>
      <c r="Y801" s="571"/>
      <c r="Z801" s="571"/>
    </row>
    <row r="802" spans="1:26" ht="18.75" hidden="1">
      <c r="A802" s="607"/>
      <c r="B802" s="609"/>
      <c r="C802" s="609"/>
      <c r="D802" s="609"/>
      <c r="E802" s="711"/>
      <c r="F802" s="711" t="s">
        <v>321</v>
      </c>
      <c r="G802" s="365"/>
      <c r="H802" s="646" t="s">
        <v>46</v>
      </c>
      <c r="I802" s="166"/>
      <c r="J802" s="610"/>
      <c r="K802" s="167">
        <f>IF(I802&gt;0,J802*100/I802,0)</f>
        <v>0</v>
      </c>
      <c r="L802" s="167"/>
      <c r="M802" s="167"/>
      <c r="N802" s="167"/>
      <c r="O802" s="167"/>
      <c r="P802" s="167"/>
      <c r="Q802" s="597"/>
      <c r="R802" s="597"/>
      <c r="S802" s="597"/>
      <c r="T802" s="597"/>
      <c r="U802" s="597"/>
      <c r="V802" s="597"/>
      <c r="W802" s="597"/>
      <c r="X802" s="597"/>
      <c r="Y802" s="597"/>
      <c r="Z802" s="597"/>
    </row>
    <row r="803" spans="1:26" ht="18.75" hidden="1">
      <c r="A803" s="607"/>
      <c r="B803" s="609"/>
      <c r="C803" s="609"/>
      <c r="D803" s="609"/>
      <c r="E803" s="711"/>
      <c r="F803" s="711"/>
      <c r="G803" s="365"/>
      <c r="H803" s="646" t="s">
        <v>34</v>
      </c>
      <c r="I803" s="166"/>
      <c r="J803" s="610"/>
      <c r="K803" s="167"/>
      <c r="L803" s="167"/>
      <c r="M803" s="167"/>
      <c r="N803" s="167"/>
      <c r="O803" s="167"/>
      <c r="P803" s="167"/>
      <c r="Q803" s="597"/>
      <c r="R803" s="597"/>
      <c r="S803" s="597"/>
      <c r="T803" s="597"/>
      <c r="U803" s="597"/>
      <c r="V803" s="597"/>
      <c r="W803" s="597"/>
      <c r="X803" s="597"/>
      <c r="Y803" s="597"/>
      <c r="Z803" s="597"/>
    </row>
    <row r="804" spans="1:26" ht="19.5" hidden="1">
      <c r="A804" s="784">
        <v>13</v>
      </c>
      <c r="B804" s="785" t="s">
        <v>322</v>
      </c>
      <c r="C804" s="786"/>
      <c r="D804" s="803"/>
      <c r="E804" s="786"/>
      <c r="F804" s="786"/>
      <c r="G804" s="787"/>
      <c r="H804" s="788" t="s">
        <v>46</v>
      </c>
      <c r="I804" s="789"/>
      <c r="J804" s="789">
        <f>J819</f>
        <v>0</v>
      </c>
      <c r="K804" s="790">
        <f>IF(I804&gt;0,J804*100/I804,0)</f>
        <v>0</v>
      </c>
      <c r="L804" s="791"/>
      <c r="M804" s="791"/>
      <c r="N804" s="791"/>
      <c r="O804" s="791"/>
      <c r="P804" s="791"/>
      <c r="Q804" s="597"/>
      <c r="R804" s="597"/>
      <c r="S804" s="597"/>
      <c r="T804" s="597"/>
      <c r="U804" s="597"/>
      <c r="V804" s="597"/>
      <c r="W804" s="597"/>
      <c r="X804" s="597"/>
      <c r="Y804" s="597"/>
      <c r="Z804" s="597"/>
    </row>
    <row r="805" spans="1:26" ht="19.5" hidden="1">
      <c r="A805" s="592"/>
      <c r="B805" s="750"/>
      <c r="C805" s="750" t="s">
        <v>16</v>
      </c>
      <c r="D805" s="864" t="s">
        <v>17</v>
      </c>
      <c r="E805" s="857"/>
      <c r="F805" s="857"/>
      <c r="G805" s="596"/>
      <c r="H805" s="639" t="s">
        <v>12</v>
      </c>
      <c r="I805" s="610"/>
      <c r="J805" s="610"/>
      <c r="K805" s="93"/>
      <c r="L805" s="640">
        <f t="shared" ref="L805:N805" si="327">L806+L807</f>
        <v>0</v>
      </c>
      <c r="M805" s="640">
        <f t="shared" si="327"/>
        <v>0</v>
      </c>
      <c r="N805" s="640">
        <f t="shared" si="327"/>
        <v>0</v>
      </c>
      <c r="O805" s="640">
        <f t="shared" ref="O805:O810" si="328">IF(L805&gt;0,N805*100/L805,0)</f>
        <v>0</v>
      </c>
      <c r="P805" s="640">
        <f t="shared" ref="P805:P810" si="329">IF(M805&gt;0,N805*100/M805,0)</f>
        <v>0</v>
      </c>
      <c r="Q805" s="597"/>
      <c r="R805" s="597"/>
      <c r="S805" s="597"/>
      <c r="T805" s="597"/>
      <c r="U805" s="597"/>
      <c r="V805" s="597"/>
      <c r="W805" s="597"/>
      <c r="X805" s="597"/>
      <c r="Y805" s="597"/>
      <c r="Z805" s="597"/>
    </row>
    <row r="806" spans="1:26" ht="18.75" hidden="1">
      <c r="A806" s="592"/>
      <c r="B806" s="750"/>
      <c r="C806" s="750"/>
      <c r="D806" s="609"/>
      <c r="E806" s="750" t="s">
        <v>184</v>
      </c>
      <c r="F806" s="750"/>
      <c r="G806" s="596"/>
      <c r="H806" s="165" t="s">
        <v>12</v>
      </c>
      <c r="I806" s="610"/>
      <c r="J806" s="610"/>
      <c r="K806" s="93"/>
      <c r="L806" s="93">
        <f t="shared" ref="L806:N807" si="330">L809+L816</f>
        <v>0</v>
      </c>
      <c r="M806" s="93">
        <f t="shared" si="330"/>
        <v>0</v>
      </c>
      <c r="N806" s="93">
        <f t="shared" si="330"/>
        <v>0</v>
      </c>
      <c r="O806" s="93">
        <f t="shared" si="328"/>
        <v>0</v>
      </c>
      <c r="P806" s="93">
        <f t="shared" si="329"/>
        <v>0</v>
      </c>
      <c r="Q806" s="597"/>
      <c r="R806" s="597"/>
      <c r="S806" s="597"/>
      <c r="T806" s="597"/>
      <c r="U806" s="597"/>
      <c r="V806" s="597"/>
      <c r="W806" s="597"/>
      <c r="X806" s="597"/>
      <c r="Y806" s="597"/>
      <c r="Z806" s="597"/>
    </row>
    <row r="807" spans="1:26" ht="18.75" hidden="1">
      <c r="A807" s="592"/>
      <c r="B807" s="750"/>
      <c r="C807" s="750"/>
      <c r="D807" s="609"/>
      <c r="E807" s="750" t="s">
        <v>185</v>
      </c>
      <c r="F807" s="750"/>
      <c r="G807" s="596"/>
      <c r="H807" s="165" t="s">
        <v>12</v>
      </c>
      <c r="I807" s="610"/>
      <c r="J807" s="610"/>
      <c r="K807" s="93"/>
      <c r="L807" s="93">
        <f t="shared" si="330"/>
        <v>0</v>
      </c>
      <c r="M807" s="93">
        <f t="shared" si="330"/>
        <v>0</v>
      </c>
      <c r="N807" s="93">
        <f t="shared" si="330"/>
        <v>0</v>
      </c>
      <c r="O807" s="93">
        <f t="shared" si="328"/>
        <v>0</v>
      </c>
      <c r="P807" s="93">
        <f t="shared" si="329"/>
        <v>0</v>
      </c>
      <c r="Q807" s="597"/>
      <c r="R807" s="597"/>
      <c r="S807" s="597"/>
      <c r="T807" s="597"/>
      <c r="U807" s="597"/>
      <c r="V807" s="597"/>
      <c r="W807" s="597"/>
      <c r="X807" s="597"/>
      <c r="Y807" s="597"/>
      <c r="Z807" s="597"/>
    </row>
    <row r="808" spans="1:26" ht="19.5" hidden="1">
      <c r="A808" s="592"/>
      <c r="B808" s="600"/>
      <c r="C808" s="750"/>
      <c r="D808" s="869" t="s">
        <v>20</v>
      </c>
      <c r="E808" s="857"/>
      <c r="F808" s="857"/>
      <c r="G808" s="596"/>
      <c r="H808" s="639" t="s">
        <v>12</v>
      </c>
      <c r="I808" s="166"/>
      <c r="J808" s="166"/>
      <c r="K808" s="167"/>
      <c r="L808" s="640">
        <f t="shared" ref="L808:N808" si="331">L809+L810</f>
        <v>0</v>
      </c>
      <c r="M808" s="640">
        <f t="shared" si="331"/>
        <v>0</v>
      </c>
      <c r="N808" s="640">
        <f t="shared" si="331"/>
        <v>0</v>
      </c>
      <c r="O808" s="640">
        <f t="shared" si="328"/>
        <v>0</v>
      </c>
      <c r="P808" s="640">
        <f t="shared" si="329"/>
        <v>0</v>
      </c>
      <c r="Q808" s="597"/>
      <c r="R808" s="597"/>
      <c r="S808" s="597"/>
      <c r="T808" s="597"/>
      <c r="U808" s="597"/>
      <c r="V808" s="597"/>
      <c r="W808" s="597"/>
      <c r="X808" s="597"/>
      <c r="Y808" s="597"/>
      <c r="Z808" s="597"/>
    </row>
    <row r="809" spans="1:26" ht="18.75" hidden="1">
      <c r="A809" s="592"/>
      <c r="B809" s="750"/>
      <c r="C809" s="750"/>
      <c r="D809" s="609"/>
      <c r="E809" s="750" t="s">
        <v>184</v>
      </c>
      <c r="F809" s="750"/>
      <c r="G809" s="596"/>
      <c r="H809" s="165" t="s">
        <v>12</v>
      </c>
      <c r="I809" s="610"/>
      <c r="J809" s="610"/>
      <c r="K809" s="93"/>
      <c r="L809" s="93">
        <v>0</v>
      </c>
      <c r="M809" s="93">
        <v>0</v>
      </c>
      <c r="N809" s="93">
        <v>0</v>
      </c>
      <c r="O809" s="93">
        <f t="shared" si="328"/>
        <v>0</v>
      </c>
      <c r="P809" s="93">
        <f t="shared" si="329"/>
        <v>0</v>
      </c>
      <c r="Q809" s="597"/>
      <c r="R809" s="597"/>
      <c r="S809" s="597"/>
      <c r="T809" s="597"/>
      <c r="U809" s="597"/>
      <c r="V809" s="597"/>
      <c r="W809" s="597"/>
      <c r="X809" s="597"/>
      <c r="Y809" s="597"/>
      <c r="Z809" s="597"/>
    </row>
    <row r="810" spans="1:26" ht="18.75" hidden="1">
      <c r="A810" s="592"/>
      <c r="B810" s="750"/>
      <c r="C810" s="750"/>
      <c r="D810" s="609"/>
      <c r="E810" s="750" t="s">
        <v>185</v>
      </c>
      <c r="F810" s="750"/>
      <c r="G810" s="596"/>
      <c r="H810" s="165" t="s">
        <v>12</v>
      </c>
      <c r="I810" s="610"/>
      <c r="J810" s="610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8"/>
        <v>0</v>
      </c>
      <c r="P810" s="93">
        <f t="shared" si="329"/>
        <v>0</v>
      </c>
      <c r="Q810" s="597"/>
      <c r="R810" s="597"/>
      <c r="S810" s="597"/>
      <c r="T810" s="597"/>
      <c r="U810" s="597"/>
      <c r="V810" s="597"/>
      <c r="W810" s="597"/>
      <c r="X810" s="597"/>
      <c r="Y810" s="597"/>
      <c r="Z810" s="597"/>
    </row>
    <row r="811" spans="1:26" ht="18.75" hidden="1">
      <c r="A811" s="642"/>
      <c r="B811" s="600"/>
      <c r="C811" s="750"/>
      <c r="D811" s="600"/>
      <c r="E811" s="750"/>
      <c r="F811" s="750" t="s">
        <v>186</v>
      </c>
      <c r="G811" s="596"/>
      <c r="H811" s="165" t="s">
        <v>12</v>
      </c>
      <c r="I811" s="610"/>
      <c r="J811" s="610"/>
      <c r="K811" s="93"/>
      <c r="L811" s="93"/>
      <c r="M811" s="93"/>
      <c r="N811" s="93"/>
      <c r="O811" s="93"/>
      <c r="P811" s="93"/>
      <c r="Q811" s="597"/>
      <c r="R811" s="597"/>
      <c r="S811" s="597"/>
      <c r="T811" s="597"/>
      <c r="U811" s="597"/>
      <c r="V811" s="597"/>
      <c r="W811" s="597"/>
      <c r="X811" s="597"/>
      <c r="Y811" s="597"/>
      <c r="Z811" s="597"/>
    </row>
    <row r="812" spans="1:26" ht="18.75" hidden="1">
      <c r="A812" s="642"/>
      <c r="B812" s="600"/>
      <c r="C812" s="750"/>
      <c r="D812" s="600"/>
      <c r="E812" s="750"/>
      <c r="F812" s="750" t="s">
        <v>187</v>
      </c>
      <c r="G812" s="596"/>
      <c r="H812" s="165" t="s">
        <v>12</v>
      </c>
      <c r="I812" s="610"/>
      <c r="J812" s="610"/>
      <c r="K812" s="93"/>
      <c r="L812" s="93"/>
      <c r="M812" s="93"/>
      <c r="N812" s="93"/>
      <c r="O812" s="93"/>
      <c r="P812" s="93"/>
      <c r="Q812" s="597"/>
      <c r="R812" s="597"/>
      <c r="S812" s="597"/>
      <c r="T812" s="597"/>
      <c r="U812" s="597"/>
      <c r="V812" s="597"/>
      <c r="W812" s="597"/>
      <c r="X812" s="597"/>
      <c r="Y812" s="597"/>
      <c r="Z812" s="597"/>
    </row>
    <row r="813" spans="1:26" ht="18.75" hidden="1">
      <c r="A813" s="642"/>
      <c r="B813" s="600"/>
      <c r="C813" s="750"/>
      <c r="D813" s="600"/>
      <c r="E813" s="750"/>
      <c r="F813" s="750" t="s">
        <v>188</v>
      </c>
      <c r="G813" s="596"/>
      <c r="H813" s="165" t="s">
        <v>12</v>
      </c>
      <c r="I813" s="610"/>
      <c r="J813" s="610"/>
      <c r="K813" s="93"/>
      <c r="L813" s="93"/>
      <c r="M813" s="93"/>
      <c r="N813" s="93"/>
      <c r="O813" s="93"/>
      <c r="P813" s="93"/>
      <c r="Q813" s="597"/>
      <c r="R813" s="597"/>
      <c r="S813" s="597"/>
      <c r="T813" s="597"/>
      <c r="U813" s="597"/>
      <c r="V813" s="597"/>
      <c r="W813" s="597"/>
      <c r="X813" s="597"/>
      <c r="Y813" s="597"/>
      <c r="Z813" s="597"/>
    </row>
    <row r="814" spans="1:26" ht="18.75" hidden="1">
      <c r="A814" s="642"/>
      <c r="B814" s="600"/>
      <c r="C814" s="750"/>
      <c r="D814" s="600"/>
      <c r="E814" s="750"/>
      <c r="F814" s="750" t="s">
        <v>189</v>
      </c>
      <c r="G814" s="596"/>
      <c r="H814" s="165" t="s">
        <v>12</v>
      </c>
      <c r="I814" s="610"/>
      <c r="J814" s="610"/>
      <c r="K814" s="93"/>
      <c r="L814" s="93"/>
      <c r="M814" s="93"/>
      <c r="N814" s="93"/>
      <c r="O814" s="93"/>
      <c r="P814" s="93"/>
      <c r="Q814" s="597"/>
      <c r="R814" s="597"/>
      <c r="S814" s="597"/>
      <c r="T814" s="597"/>
      <c r="U814" s="597"/>
      <c r="V814" s="597"/>
      <c r="W814" s="597"/>
      <c r="X814" s="597"/>
      <c r="Y814" s="597"/>
      <c r="Z814" s="597"/>
    </row>
    <row r="815" spans="1:26" ht="19.5" hidden="1">
      <c r="A815" s="592"/>
      <c r="B815" s="600"/>
      <c r="C815" s="750"/>
      <c r="D815" s="869" t="s">
        <v>21</v>
      </c>
      <c r="E815" s="857"/>
      <c r="F815" s="857"/>
      <c r="G815" s="596"/>
      <c r="H815" s="774" t="s">
        <v>12</v>
      </c>
      <c r="I815" s="166"/>
      <c r="J815" s="166"/>
      <c r="K815" s="167"/>
      <c r="L815" s="640">
        <f t="shared" ref="L815:N815" si="332">L816+L817</f>
        <v>0</v>
      </c>
      <c r="M815" s="640">
        <f t="shared" si="332"/>
        <v>0</v>
      </c>
      <c r="N815" s="640">
        <f t="shared" si="332"/>
        <v>0</v>
      </c>
      <c r="O815" s="640">
        <f t="shared" ref="O815:O817" si="333">IF(L815&gt;0,N815*100/L815,0)</f>
        <v>0</v>
      </c>
      <c r="P815" s="640">
        <f t="shared" ref="P815:P817" si="334">IF(M815&gt;0,N815*100/M815,0)</f>
        <v>0</v>
      </c>
      <c r="Q815" s="597"/>
      <c r="R815" s="597"/>
      <c r="S815" s="597"/>
      <c r="T815" s="597"/>
      <c r="U815" s="597"/>
      <c r="V815" s="597"/>
      <c r="W815" s="597"/>
      <c r="X815" s="597"/>
      <c r="Y815" s="597"/>
      <c r="Z815" s="597"/>
    </row>
    <row r="816" spans="1:26" ht="18.75" hidden="1">
      <c r="A816" s="592"/>
      <c r="B816" s="600"/>
      <c r="C816" s="750"/>
      <c r="D816" s="600"/>
      <c r="E816" s="750" t="s">
        <v>18</v>
      </c>
      <c r="F816" s="750"/>
      <c r="G816" s="596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3"/>
        <v>0</v>
      </c>
      <c r="P816" s="93">
        <f t="shared" si="334"/>
        <v>0</v>
      </c>
      <c r="Q816" s="597"/>
      <c r="R816" s="597"/>
      <c r="S816" s="597"/>
      <c r="T816" s="597"/>
      <c r="U816" s="597"/>
      <c r="V816" s="597"/>
      <c r="W816" s="597"/>
      <c r="X816" s="597"/>
      <c r="Y816" s="597"/>
      <c r="Z816" s="597"/>
    </row>
    <row r="817" spans="1:26" ht="18.75" hidden="1">
      <c r="A817" s="592"/>
      <c r="B817" s="600"/>
      <c r="C817" s="750"/>
      <c r="D817" s="600"/>
      <c r="E817" s="750" t="s">
        <v>19</v>
      </c>
      <c r="F817" s="750"/>
      <c r="G817" s="596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3"/>
        <v>0</v>
      </c>
      <c r="P817" s="93">
        <f t="shared" si="334"/>
        <v>0</v>
      </c>
      <c r="Q817" s="597"/>
      <c r="R817" s="597"/>
      <c r="S817" s="597"/>
      <c r="T817" s="597"/>
      <c r="U817" s="597"/>
      <c r="V817" s="597"/>
      <c r="W817" s="597"/>
      <c r="X817" s="597"/>
      <c r="Y817" s="597"/>
      <c r="Z817" s="597"/>
    </row>
    <row r="818" spans="1:26" ht="19.5" hidden="1">
      <c r="A818" s="607"/>
      <c r="B818" s="609"/>
      <c r="C818" s="750" t="s">
        <v>16</v>
      </c>
      <c r="D818" s="842" t="s">
        <v>38</v>
      </c>
      <c r="E818" s="644"/>
      <c r="F818" s="644"/>
      <c r="G818" s="645"/>
      <c r="H818" s="365"/>
      <c r="I818" s="166"/>
      <c r="J818" s="166"/>
      <c r="K818" s="167"/>
      <c r="L818" s="167"/>
      <c r="M818" s="167"/>
      <c r="N818" s="167"/>
      <c r="O818" s="167"/>
      <c r="P818" s="167"/>
      <c r="Q818" s="597"/>
      <c r="R818" s="597"/>
      <c r="S818" s="597"/>
      <c r="T818" s="597"/>
      <c r="U818" s="597"/>
      <c r="V818" s="597"/>
      <c r="W818" s="597"/>
      <c r="X818" s="597"/>
      <c r="Y818" s="597"/>
      <c r="Z818" s="597"/>
    </row>
    <row r="819" spans="1:26" ht="19.5" hidden="1" thickBot="1">
      <c r="A819" s="805"/>
      <c r="B819" s="806"/>
      <c r="C819" s="808"/>
      <c r="D819" s="806"/>
      <c r="E819" s="808" t="s">
        <v>323</v>
      </c>
      <c r="F819" s="808"/>
      <c r="G819" s="809"/>
      <c r="H819" s="810" t="s">
        <v>46</v>
      </c>
      <c r="I819" s="811"/>
      <c r="J819" s="811"/>
      <c r="K819" s="812"/>
      <c r="L819" s="812"/>
      <c r="M819" s="812"/>
      <c r="N819" s="812"/>
      <c r="O819" s="812"/>
      <c r="P819" s="812"/>
      <c r="Q819" s="597"/>
      <c r="R819" s="597"/>
      <c r="S819" s="597"/>
      <c r="T819" s="597"/>
      <c r="U819" s="597"/>
      <c r="V819" s="597"/>
      <c r="W819" s="597"/>
      <c r="X819" s="597"/>
      <c r="Y819" s="597"/>
      <c r="Z819" s="597"/>
    </row>
    <row r="820" spans="1:26" ht="19.5">
      <c r="A820" s="813" t="s">
        <v>331</v>
      </c>
      <c r="B820" s="814"/>
      <c r="C820" s="814"/>
      <c r="D820" s="815"/>
      <c r="E820" s="814"/>
      <c r="F820" s="814"/>
      <c r="G820" s="816"/>
      <c r="H820" s="816"/>
      <c r="I820" s="214"/>
      <c r="J820" s="214"/>
      <c r="K820" s="817"/>
      <c r="L820" s="817"/>
      <c r="M820" s="817"/>
      <c r="N820" s="817"/>
      <c r="O820" s="817"/>
      <c r="P820" s="817"/>
      <c r="Q820" s="571"/>
      <c r="R820" s="571"/>
      <c r="S820" s="571"/>
      <c r="T820" s="571"/>
      <c r="U820" s="571"/>
      <c r="V820" s="571"/>
      <c r="W820" s="571"/>
      <c r="X820" s="571"/>
      <c r="Y820" s="571"/>
      <c r="Z820" s="571"/>
    </row>
    <row r="821" spans="1:26" ht="18.75">
      <c r="A821" s="735"/>
      <c r="B821" s="754" t="s">
        <v>325</v>
      </c>
      <c r="C821" s="754"/>
      <c r="D821" s="568"/>
      <c r="E821" s="754"/>
      <c r="F821" s="754"/>
      <c r="G821" s="189"/>
      <c r="H821" s="616" t="s">
        <v>12</v>
      </c>
      <c r="I821" s="269">
        <f ca="1">IFERROR(__xludf.DUMMYFUNCTION("IMPORTRANGE(""https://docs.google.com/spreadsheets/d/19vJNZY_5yjcGF2XGBMNZRCAIB0Kwfpjp8YEOfu-bneM/edit?usp=sharing"",""งานกองทุน!D65"")"),1222400.55)</f>
        <v>1222400.55</v>
      </c>
      <c r="J821" s="269">
        <f ca="1">IFERROR(__xludf.DUMMYFUNCTION("IMPORTRANGE(""https://docs.google.com/spreadsheets/d/19vJNZY_5yjcGF2XGBMNZRCAIB0Kwfpjp8YEOfu-bneM/edit?usp=sharing"",""งานกองทุน!F65"")"),0)</f>
        <v>0</v>
      </c>
      <c r="K821" s="496">
        <f t="shared" ref="K821:K828" ca="1" si="335">IF(I821&gt;0,J821*100/I821,0)</f>
        <v>0</v>
      </c>
      <c r="L821" s="496"/>
      <c r="M821" s="496"/>
      <c r="N821" s="496"/>
      <c r="O821" s="496"/>
      <c r="P821" s="496"/>
      <c r="Q821" s="571"/>
      <c r="R821" s="571"/>
      <c r="S821" s="571"/>
      <c r="T821" s="571"/>
      <c r="U821" s="571"/>
      <c r="V821" s="571"/>
      <c r="W821" s="571"/>
      <c r="X821" s="571"/>
      <c r="Y821" s="571"/>
      <c r="Z821" s="571"/>
    </row>
    <row r="822" spans="1:26" ht="18.75">
      <c r="A822" s="735"/>
      <c r="B822" s="754"/>
      <c r="C822" s="754"/>
      <c r="D822" s="568"/>
      <c r="E822" s="754"/>
      <c r="F822" s="754"/>
      <c r="G822" s="189"/>
      <c r="H822" s="616" t="s">
        <v>35</v>
      </c>
      <c r="I822" s="269">
        <f ca="1">IFERROR(__xludf.DUMMYFUNCTION("IMPORTRANGE(""https://docs.google.com/spreadsheets/d/19vJNZY_5yjcGF2XGBMNZRCAIB0Kwfpjp8YEOfu-bneM/edit?usp=sharing"",""งานกองทุน!C65"")"),95)</f>
        <v>95</v>
      </c>
      <c r="J822" s="269">
        <f ca="1">IFERROR(__xludf.DUMMYFUNCTION("IMPORTRANGE(""https://docs.google.com/spreadsheets/d/19vJNZY_5yjcGF2XGBMNZRCAIB0Kwfpjp8YEOfu-bneM/edit?usp=sharing"",""งานกองทุน!E65"")"),0)</f>
        <v>0</v>
      </c>
      <c r="K822" s="496">
        <f t="shared" ca="1" si="335"/>
        <v>0</v>
      </c>
      <c r="L822" s="496"/>
      <c r="M822" s="496"/>
      <c r="N822" s="496"/>
      <c r="O822" s="496"/>
      <c r="P822" s="496"/>
      <c r="Q822" s="571"/>
      <c r="R822" s="571"/>
      <c r="S822" s="571"/>
      <c r="T822" s="571"/>
      <c r="U822" s="571"/>
      <c r="V822" s="571"/>
      <c r="W822" s="571"/>
      <c r="X822" s="571"/>
      <c r="Y822" s="571"/>
      <c r="Z822" s="571"/>
    </row>
    <row r="823" spans="1:26" ht="18.75">
      <c r="A823" s="735"/>
      <c r="B823" s="754" t="s">
        <v>326</v>
      </c>
      <c r="C823" s="754"/>
      <c r="D823" s="568"/>
      <c r="E823" s="754"/>
      <c r="F823" s="754"/>
      <c r="G823" s="189"/>
      <c r="H823" s="616" t="s">
        <v>12</v>
      </c>
      <c r="I823" s="269">
        <f ca="1">IFERROR(__xludf.DUMMYFUNCTION("IMPORTRANGE(""https://docs.google.com/spreadsheets/d/19vJNZY_5yjcGF2XGBMNZRCAIB0Kwfpjp8YEOfu-bneM/edit?usp=sharing"",""งานกองทุน!I65"")"),401543.05)</f>
        <v>401543.05</v>
      </c>
      <c r="J823" s="269">
        <f ca="1">IFERROR(__xludf.DUMMYFUNCTION("IMPORTRANGE(""https://docs.google.com/spreadsheets/d/19vJNZY_5yjcGF2XGBMNZRCAIB0Kwfpjp8YEOfu-bneM/edit?usp=sharing"",""งานกองทุน!K65"")"),3516.09)</f>
        <v>3516.09</v>
      </c>
      <c r="K823" s="496">
        <f t="shared" ca="1" si="335"/>
        <v>0.87564459153258911</v>
      </c>
      <c r="L823" s="496"/>
      <c r="M823" s="496"/>
      <c r="N823" s="496"/>
      <c r="O823" s="496"/>
      <c r="P823" s="496"/>
      <c r="Q823" s="571"/>
      <c r="R823" s="571"/>
      <c r="S823" s="571"/>
      <c r="T823" s="571"/>
      <c r="U823" s="571"/>
      <c r="V823" s="571"/>
      <c r="W823" s="571"/>
      <c r="X823" s="571"/>
      <c r="Y823" s="571"/>
      <c r="Z823" s="571"/>
    </row>
    <row r="824" spans="1:26" ht="18.75">
      <c r="A824" s="735"/>
      <c r="B824" s="754"/>
      <c r="C824" s="754"/>
      <c r="D824" s="568"/>
      <c r="E824" s="754"/>
      <c r="F824" s="754"/>
      <c r="G824" s="189"/>
      <c r="H824" s="616" t="s">
        <v>35</v>
      </c>
      <c r="I824" s="269">
        <f ca="1">IFERROR(__xludf.DUMMYFUNCTION("IMPORTRANGE(""https://docs.google.com/spreadsheets/d/19vJNZY_5yjcGF2XGBMNZRCAIB0Kwfpjp8YEOfu-bneM/edit?usp=sharing"",""งานกองทุน!H65"")"),21)</f>
        <v>21</v>
      </c>
      <c r="J824" s="269">
        <f ca="1">IFERROR(__xludf.DUMMYFUNCTION("IMPORTRANGE(""https://docs.google.com/spreadsheets/d/19vJNZY_5yjcGF2XGBMNZRCAIB0Kwfpjp8YEOfu-bneM/edit?usp=sharing"",""งานกองทุน!J65"")"),1)</f>
        <v>1</v>
      </c>
      <c r="K824" s="496">
        <f t="shared" ca="1" si="335"/>
        <v>4.7619047619047619</v>
      </c>
      <c r="L824" s="496"/>
      <c r="M824" s="496"/>
      <c r="N824" s="496"/>
      <c r="O824" s="496"/>
      <c r="P824" s="496"/>
      <c r="Q824" s="571"/>
      <c r="R824" s="571"/>
      <c r="S824" s="571"/>
      <c r="T824" s="571"/>
      <c r="U824" s="571"/>
      <c r="V824" s="571"/>
      <c r="W824" s="571"/>
      <c r="X824" s="571"/>
      <c r="Y824" s="571"/>
      <c r="Z824" s="571"/>
    </row>
    <row r="825" spans="1:26" ht="18.75">
      <c r="A825" s="735"/>
      <c r="B825" s="754" t="s">
        <v>327</v>
      </c>
      <c r="C825" s="754"/>
      <c r="D825" s="568"/>
      <c r="E825" s="754"/>
      <c r="F825" s="754"/>
      <c r="G825" s="189"/>
      <c r="H825" s="616" t="s">
        <v>12</v>
      </c>
      <c r="I825" s="269">
        <f ca="1">IFERROR(__xludf.DUMMYFUNCTION("IMPORTRANGE(""https://docs.google.com/spreadsheets/d/19vJNZY_5yjcGF2XGBMNZRCAIB0Kwfpjp8YEOfu-bneM/edit?usp=sharing"",""งานกองทุน!N65"")"),118.75)</f>
        <v>118.75</v>
      </c>
      <c r="J825" s="269">
        <f ca="1">IFERROR(__xludf.DUMMYFUNCTION("IMPORTRANGE(""https://docs.google.com/spreadsheets/d/19vJNZY_5yjcGF2XGBMNZRCAIB0Kwfpjp8YEOfu-bneM/edit?usp=sharing"",""งานกองทุน!P65"")"),68870.14)</f>
        <v>68870.14</v>
      </c>
      <c r="K825" s="496">
        <f t="shared" ca="1" si="335"/>
        <v>57995.907368421053</v>
      </c>
      <c r="L825" s="496"/>
      <c r="M825" s="496"/>
      <c r="N825" s="496"/>
      <c r="O825" s="496"/>
      <c r="P825" s="496"/>
      <c r="Q825" s="571"/>
      <c r="R825" s="571"/>
      <c r="S825" s="571"/>
      <c r="T825" s="571"/>
      <c r="U825" s="571"/>
      <c r="V825" s="571"/>
      <c r="W825" s="571"/>
      <c r="X825" s="571"/>
      <c r="Y825" s="571"/>
      <c r="Z825" s="571"/>
    </row>
    <row r="826" spans="1:26" ht="18.75">
      <c r="A826" s="735"/>
      <c r="B826" s="754"/>
      <c r="C826" s="754"/>
      <c r="D826" s="568"/>
      <c r="E826" s="754"/>
      <c r="F826" s="754"/>
      <c r="G826" s="189"/>
      <c r="H826" s="616" t="s">
        <v>35</v>
      </c>
      <c r="I826" s="269">
        <f ca="1">IFERROR(__xludf.DUMMYFUNCTION("IMPORTRANGE(""https://docs.google.com/spreadsheets/d/19vJNZY_5yjcGF2XGBMNZRCAIB0Kwfpjp8YEOfu-bneM/edit?usp=sharing"",""งานกองทุน!M65"")"),1)</f>
        <v>1</v>
      </c>
      <c r="J826" s="269">
        <f ca="1">IFERROR(__xludf.DUMMYFUNCTION("IMPORTRANGE(""https://docs.google.com/spreadsheets/d/19vJNZY_5yjcGF2XGBMNZRCAIB0Kwfpjp8YEOfu-bneM/edit?usp=sharing"",""งานกองทุน!O65"")"),2)</f>
        <v>2</v>
      </c>
      <c r="K826" s="496">
        <f t="shared" ca="1" si="335"/>
        <v>200</v>
      </c>
      <c r="L826" s="496"/>
      <c r="M826" s="496"/>
      <c r="N826" s="496"/>
      <c r="O826" s="496"/>
      <c r="P826" s="496"/>
      <c r="Q826" s="571"/>
      <c r="R826" s="571"/>
      <c r="S826" s="571"/>
      <c r="T826" s="571"/>
      <c r="U826" s="571"/>
      <c r="V826" s="571"/>
      <c r="W826" s="571"/>
      <c r="X826" s="571"/>
      <c r="Y826" s="571"/>
      <c r="Z826" s="571"/>
    </row>
    <row r="827" spans="1:26" ht="18.75">
      <c r="A827" s="735"/>
      <c r="B827" s="754" t="s">
        <v>328</v>
      </c>
      <c r="C827" s="754"/>
      <c r="D827" s="568"/>
      <c r="E827" s="754"/>
      <c r="F827" s="754"/>
      <c r="G827" s="189"/>
      <c r="H827" s="616" t="s">
        <v>12</v>
      </c>
      <c r="I827" s="269">
        <f ca="1">IFERROR(__xludf.DUMMYFUNCTION("IMPORTRANGE(""https://docs.google.com/spreadsheets/d/19vJNZY_5yjcGF2XGBMNZRCAIB0Kwfpjp8YEOfu-bneM/edit?usp=sharing"",""งานกองทุน!S65"")"),1000000)</f>
        <v>1000000</v>
      </c>
      <c r="J827" s="269">
        <f ca="1">IFERROR(__xludf.DUMMYFUNCTION("IMPORTRANGE(""https://docs.google.com/spreadsheets/d/19vJNZY_5yjcGF2XGBMNZRCAIB0Kwfpjp8YEOfu-bneM/edit?usp=sharing"",""งานกองทุน!U65"")"),0)</f>
        <v>0</v>
      </c>
      <c r="K827" s="496">
        <f t="shared" ca="1" si="335"/>
        <v>0</v>
      </c>
      <c r="L827" s="496"/>
      <c r="M827" s="496"/>
      <c r="N827" s="496"/>
      <c r="O827" s="496"/>
      <c r="P827" s="496"/>
      <c r="Q827" s="571"/>
      <c r="R827" s="571"/>
      <c r="S827" s="571"/>
      <c r="T827" s="571"/>
      <c r="U827" s="571"/>
      <c r="V827" s="571"/>
      <c r="W827" s="571"/>
      <c r="X827" s="571"/>
      <c r="Y827" s="571"/>
      <c r="Z827" s="571"/>
    </row>
    <row r="828" spans="1:26" ht="18.75">
      <c r="A828" s="738"/>
      <c r="B828" s="740"/>
      <c r="C828" s="740"/>
      <c r="D828" s="739"/>
      <c r="E828" s="740"/>
      <c r="F828" s="740"/>
      <c r="G828" s="818"/>
      <c r="H828" s="819" t="s">
        <v>35</v>
      </c>
      <c r="I828" s="499">
        <f ca="1">IFERROR(__xludf.DUMMYFUNCTION("IMPORTRANGE(""https://docs.google.com/spreadsheets/d/19vJNZY_5yjcGF2XGBMNZRCAIB0Kwfpjp8YEOfu-bneM/edit?usp=sharing"",""งานกองทุน!R65"")"),36)</f>
        <v>36</v>
      </c>
      <c r="J828" s="499">
        <f ca="1">IFERROR(__xludf.DUMMYFUNCTION("IMPORTRANGE(""https://docs.google.com/spreadsheets/d/19vJNZY_5yjcGF2XGBMNZRCAIB0Kwfpjp8YEOfu-bneM/edit?usp=sharing"",""งานกองทุน!T65"")"),0)</f>
        <v>0</v>
      </c>
      <c r="K828" s="500">
        <f t="shared" ca="1" si="335"/>
        <v>0</v>
      </c>
      <c r="L828" s="500"/>
      <c r="M828" s="500"/>
      <c r="N828" s="500"/>
      <c r="O828" s="500"/>
      <c r="P828" s="500"/>
      <c r="Q828" s="571"/>
      <c r="R828" s="571"/>
      <c r="S828" s="571"/>
      <c r="T828" s="571"/>
      <c r="U828" s="571"/>
      <c r="V828" s="571"/>
      <c r="W828" s="571"/>
      <c r="X828" s="571"/>
      <c r="Y828" s="571"/>
      <c r="Z828" s="571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544:F544"/>
    <mergeCell ref="A7:G7"/>
    <mergeCell ref="A17:G17"/>
    <mergeCell ref="A27:G27"/>
    <mergeCell ref="B40:G40"/>
    <mergeCell ref="A50:G50"/>
    <mergeCell ref="B51:G51"/>
    <mergeCell ref="D419:F419"/>
    <mergeCell ref="D444:F444"/>
    <mergeCell ref="D467:F467"/>
    <mergeCell ref="D502:F502"/>
    <mergeCell ref="D523:F523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 gridLines="1"/>
  <pageMargins left="0.23622047244094491" right="0.23622047244094491" top="0.74803149606299213" bottom="0.74803149606299213" header="0" footer="0"/>
  <pageSetup paperSize="9" scale="43" fitToHeight="0" pageOrder="overThenDown" orientation="portrait" cellComments="atEnd" r:id="rId1"/>
  <headerFooter>
    <oddFooter>&amp;Cหน้า &amp;P/&amp;N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A4374F-DFDF-4ADA-B256-B60FBD72F119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activeCell="A2" sqref="A2:P2"/>
      <selection pane="bottomLeft" activeCell="A2" sqref="A2:P2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9" width="16.85546875" bestFit="1" customWidth="1"/>
    <col min="10" max="10" width="14.42578125" bestFit="1" customWidth="1"/>
    <col min="11" max="11" width="12.5703125" customWidth="1"/>
    <col min="12" max="13" width="21.28515625" bestFit="1" customWidth="1"/>
    <col min="14" max="14" width="18.7109375" bestFit="1" customWidth="1"/>
    <col min="15" max="16" width="17.5703125" customWidth="1"/>
  </cols>
  <sheetData>
    <row r="1" spans="1:26" ht="19.5">
      <c r="A1" s="844" t="s">
        <v>0</v>
      </c>
      <c r="B1" s="845"/>
      <c r="C1" s="845"/>
      <c r="D1" s="845"/>
      <c r="E1" s="845"/>
      <c r="F1" s="845"/>
      <c r="G1" s="845"/>
      <c r="H1" s="845"/>
      <c r="I1" s="845"/>
      <c r="J1" s="845"/>
      <c r="K1" s="845"/>
      <c r="L1" s="845"/>
      <c r="M1" s="845"/>
      <c r="N1" s="845"/>
      <c r="O1" s="845"/>
      <c r="P1" s="845"/>
    </row>
    <row r="2" spans="1:26" ht="19.5">
      <c r="A2" s="844" t="s">
        <v>352</v>
      </c>
      <c r="B2" s="845"/>
      <c r="C2" s="845"/>
      <c r="D2" s="845"/>
      <c r="E2" s="845"/>
      <c r="F2" s="845"/>
      <c r="G2" s="845"/>
      <c r="H2" s="845"/>
      <c r="I2" s="845"/>
      <c r="J2" s="845"/>
      <c r="K2" s="845"/>
      <c r="L2" s="845"/>
      <c r="M2" s="845"/>
      <c r="N2" s="845"/>
      <c r="O2" s="845"/>
      <c r="P2" s="845"/>
    </row>
    <row r="3" spans="1:26" ht="19.5">
      <c r="A3" s="844" t="s">
        <v>347</v>
      </c>
      <c r="B3" s="845"/>
      <c r="C3" s="845"/>
      <c r="D3" s="845"/>
      <c r="E3" s="845"/>
      <c r="F3" s="845"/>
      <c r="G3" s="845"/>
      <c r="H3" s="845"/>
      <c r="I3" s="845"/>
      <c r="J3" s="845"/>
      <c r="K3" s="845"/>
      <c r="L3" s="845"/>
      <c r="M3" s="845"/>
      <c r="N3" s="845"/>
      <c r="O3" s="845"/>
      <c r="P3" s="845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52" t="s">
        <v>2</v>
      </c>
      <c r="B5" s="845"/>
      <c r="C5" s="845"/>
      <c r="D5" s="845"/>
      <c r="E5" s="845"/>
      <c r="F5" s="845"/>
      <c r="G5" s="853"/>
      <c r="H5" s="846" t="s">
        <v>3</v>
      </c>
      <c r="I5" s="848" t="s">
        <v>4</v>
      </c>
      <c r="J5" s="849"/>
      <c r="K5" s="847"/>
      <c r="L5" s="850" t="s">
        <v>5</v>
      </c>
      <c r="M5" s="847"/>
      <c r="N5" s="851" t="s">
        <v>6</v>
      </c>
      <c r="O5" s="849"/>
      <c r="P5" s="847"/>
    </row>
    <row r="6" spans="1:26" ht="19.5">
      <c r="A6" s="854"/>
      <c r="B6" s="849"/>
      <c r="C6" s="849"/>
      <c r="D6" s="849"/>
      <c r="E6" s="849"/>
      <c r="F6" s="849"/>
      <c r="G6" s="847"/>
      <c r="H6" s="847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55" t="s">
        <v>15</v>
      </c>
      <c r="B7" s="849"/>
      <c r="C7" s="849"/>
      <c r="D7" s="849"/>
      <c r="E7" s="849"/>
      <c r="F7" s="849"/>
      <c r="G7" s="847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3101125</v>
      </c>
      <c r="M8" s="22">
        <f t="shared" ca="1" si="0"/>
        <v>1224948</v>
      </c>
      <c r="N8" s="22">
        <f t="shared" ca="1" si="0"/>
        <v>767019.72</v>
      </c>
      <c r="O8" s="22">
        <f t="shared" ref="O8:O16" ca="1" si="1">IF(L8&gt;0,N8*100/L8,0)</f>
        <v>24.733595711233825</v>
      </c>
      <c r="P8" s="22">
        <f t="shared" ref="P8:P16" ca="1" si="2">IF(M8&gt;0,N8*100/M8,0)</f>
        <v>62.616512700947304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3101125</v>
      </c>
      <c r="M10" s="30">
        <f t="shared" ca="1" si="3"/>
        <v>1224948</v>
      </c>
      <c r="N10" s="30">
        <f t="shared" ca="1" si="3"/>
        <v>767019.72</v>
      </c>
      <c r="O10" s="30">
        <f t="shared" ca="1" si="1"/>
        <v>24.733595711233825</v>
      </c>
      <c r="P10" s="30">
        <f t="shared" ca="1" si="2"/>
        <v>62.616512700947304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16" t="s">
        <v>12</v>
      </c>
      <c r="I11" s="269"/>
      <c r="J11" s="269"/>
      <c r="K11" s="496"/>
      <c r="L11" s="496">
        <f t="shared" ref="L11:N11" ca="1" si="4">L12+L13</f>
        <v>2888925</v>
      </c>
      <c r="M11" s="496">
        <f t="shared" ca="1" si="4"/>
        <v>1012748</v>
      </c>
      <c r="N11" s="496">
        <f t="shared" ca="1" si="4"/>
        <v>554819.72</v>
      </c>
      <c r="O11" s="496">
        <f t="shared" ca="1" si="1"/>
        <v>19.205057936775791</v>
      </c>
      <c r="P11" s="496">
        <f t="shared" ca="1" si="2"/>
        <v>54.783590784676939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2" t="s">
        <v>18</v>
      </c>
      <c r="F12" s="40"/>
      <c r="G12" s="42"/>
      <c r="H12" s="43" t="s">
        <v>12</v>
      </c>
      <c r="I12" s="610"/>
      <c r="J12" s="610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2" t="s">
        <v>19</v>
      </c>
      <c r="F13" s="40"/>
      <c r="G13" s="42"/>
      <c r="H13" s="43" t="s">
        <v>12</v>
      </c>
      <c r="I13" s="610"/>
      <c r="J13" s="610"/>
      <c r="K13" s="93"/>
      <c r="L13" s="93">
        <f t="shared" ca="1" si="5"/>
        <v>2888925</v>
      </c>
      <c r="M13" s="93">
        <f t="shared" ca="1" si="5"/>
        <v>1012748</v>
      </c>
      <c r="N13" s="93">
        <f t="shared" ca="1" si="5"/>
        <v>554819.72</v>
      </c>
      <c r="O13" s="93">
        <f t="shared" ca="1" si="1"/>
        <v>19.205057936775791</v>
      </c>
      <c r="P13" s="93">
        <f t="shared" ca="1" si="2"/>
        <v>54.783590784676939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16" t="s">
        <v>12</v>
      </c>
      <c r="I14" s="269"/>
      <c r="J14" s="269"/>
      <c r="K14" s="496"/>
      <c r="L14" s="496">
        <f t="shared" ref="L14:N14" ca="1" si="6">L15+L16</f>
        <v>212200</v>
      </c>
      <c r="M14" s="496">
        <f t="shared" ca="1" si="6"/>
        <v>212200</v>
      </c>
      <c r="N14" s="496">
        <f t="shared" ca="1" si="6"/>
        <v>212200</v>
      </c>
      <c r="O14" s="496">
        <f t="shared" ca="1" si="1"/>
        <v>100</v>
      </c>
      <c r="P14" s="496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2" t="s">
        <v>18</v>
      </c>
      <c r="F15" s="40"/>
      <c r="G15" s="42"/>
      <c r="H15" s="43" t="s">
        <v>12</v>
      </c>
      <c r="I15" s="610"/>
      <c r="J15" s="610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212200</v>
      </c>
      <c r="M16" s="52">
        <f t="shared" ca="1" si="7"/>
        <v>212200</v>
      </c>
      <c r="N16" s="52">
        <f t="shared" ca="1" si="7"/>
        <v>212200</v>
      </c>
      <c r="O16" s="52">
        <f t="shared" ca="1" si="1"/>
        <v>100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55" t="s">
        <v>22</v>
      </c>
      <c r="B17" s="849"/>
      <c r="C17" s="849"/>
      <c r="D17" s="849"/>
      <c r="E17" s="849"/>
      <c r="F17" s="849"/>
      <c r="G17" s="847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2270472</v>
      </c>
      <c r="M18" s="22">
        <f t="shared" ca="1" si="8"/>
        <v>1224948</v>
      </c>
      <c r="N18" s="22">
        <f t="shared" ca="1" si="8"/>
        <v>685311.72</v>
      </c>
      <c r="O18" s="22">
        <f t="shared" ref="O18:O26" ca="1" si="9">IF(L18&gt;0,N18*100/L18,0)</f>
        <v>30.183667536970287</v>
      </c>
      <c r="P18" s="22">
        <f t="shared" ref="P18:P26" ca="1" si="10">IF(M18&gt;0,N18*100/M18,0)</f>
        <v>55.946188736174925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2270472</v>
      </c>
      <c r="M20" s="30">
        <f t="shared" ca="1" si="11"/>
        <v>1224948</v>
      </c>
      <c r="N20" s="30">
        <f t="shared" ca="1" si="11"/>
        <v>685311.72</v>
      </c>
      <c r="O20" s="30">
        <f t="shared" ca="1" si="9"/>
        <v>30.183667536970287</v>
      </c>
      <c r="P20" s="30">
        <f t="shared" ca="1" si="10"/>
        <v>55.946188736174925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16" t="s">
        <v>12</v>
      </c>
      <c r="I21" s="269"/>
      <c r="J21" s="269"/>
      <c r="K21" s="496"/>
      <c r="L21" s="496">
        <f t="shared" ref="L21:N21" ca="1" si="12">L22+L23</f>
        <v>2058272</v>
      </c>
      <c r="M21" s="496">
        <f t="shared" ca="1" si="12"/>
        <v>1012748</v>
      </c>
      <c r="N21" s="496">
        <f t="shared" ca="1" si="12"/>
        <v>473111.72</v>
      </c>
      <c r="O21" s="496">
        <f t="shared" ca="1" si="9"/>
        <v>22.985869700408887</v>
      </c>
      <c r="P21" s="496">
        <f t="shared" ca="1" si="10"/>
        <v>46.715641008424605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2" t="s">
        <v>18</v>
      </c>
      <c r="F22" s="40"/>
      <c r="G22" s="42"/>
      <c r="H22" s="43" t="s">
        <v>12</v>
      </c>
      <c r="I22" s="610"/>
      <c r="J22" s="610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2" t="s">
        <v>19</v>
      </c>
      <c r="F23" s="40"/>
      <c r="G23" s="42"/>
      <c r="H23" s="43" t="s">
        <v>12</v>
      </c>
      <c r="I23" s="610"/>
      <c r="J23" s="610"/>
      <c r="K23" s="93"/>
      <c r="L23" s="93">
        <f t="shared" ca="1" si="13"/>
        <v>2058272</v>
      </c>
      <c r="M23" s="93">
        <f t="shared" ca="1" si="13"/>
        <v>1012748</v>
      </c>
      <c r="N23" s="93">
        <f t="shared" ca="1" si="13"/>
        <v>473111.72</v>
      </c>
      <c r="O23" s="93">
        <f t="shared" ca="1" si="9"/>
        <v>22.985869700408887</v>
      </c>
      <c r="P23" s="93">
        <f t="shared" ca="1" si="10"/>
        <v>46.715641008424605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16" t="s">
        <v>12</v>
      </c>
      <c r="I24" s="269"/>
      <c r="J24" s="269"/>
      <c r="K24" s="496"/>
      <c r="L24" s="496">
        <f t="shared" ref="L24:N24" ca="1" si="14">L25+L26</f>
        <v>212200</v>
      </c>
      <c r="M24" s="496">
        <f t="shared" ca="1" si="14"/>
        <v>212200</v>
      </c>
      <c r="N24" s="496">
        <f t="shared" ca="1" si="14"/>
        <v>212200</v>
      </c>
      <c r="O24" s="496">
        <f t="shared" ca="1" si="9"/>
        <v>100</v>
      </c>
      <c r="P24" s="496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2" t="s">
        <v>18</v>
      </c>
      <c r="F25" s="40"/>
      <c r="G25" s="42"/>
      <c r="H25" s="43" t="s">
        <v>12</v>
      </c>
      <c r="I25" s="610"/>
      <c r="J25" s="610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212200</v>
      </c>
      <c r="M26" s="52">
        <f t="shared" ca="1" si="15"/>
        <v>212200</v>
      </c>
      <c r="N26" s="52">
        <f t="shared" ca="1" si="15"/>
        <v>212200</v>
      </c>
      <c r="O26" s="52">
        <f t="shared" ca="1" si="9"/>
        <v>100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55" t="s">
        <v>23</v>
      </c>
      <c r="B27" s="849"/>
      <c r="C27" s="849"/>
      <c r="D27" s="849"/>
      <c r="E27" s="849"/>
      <c r="F27" s="849"/>
      <c r="G27" s="847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830653</v>
      </c>
      <c r="M28" s="22">
        <f t="shared" si="16"/>
        <v>0</v>
      </c>
      <c r="N28" s="22">
        <f t="shared" si="16"/>
        <v>81708</v>
      </c>
      <c r="O28" s="22">
        <f t="shared" ref="O28:O37" ca="1" si="17">IF(L28&gt;0,N28*100/L28,0)</f>
        <v>9.8365984352069997</v>
      </c>
      <c r="P28" s="22">
        <f t="shared" ref="P28:P37" si="18">IF(M28&gt;0,N28*100/M28,0)</f>
        <v>0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830653</v>
      </c>
      <c r="M30" s="30">
        <f t="shared" si="19"/>
        <v>0</v>
      </c>
      <c r="N30" s="30">
        <f t="shared" si="19"/>
        <v>81708</v>
      </c>
      <c r="O30" s="30">
        <f t="shared" ca="1" si="17"/>
        <v>9.8365984352069997</v>
      </c>
      <c r="P30" s="30">
        <f t="shared" si="18"/>
        <v>0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16" t="s">
        <v>12</v>
      </c>
      <c r="I31" s="269"/>
      <c r="J31" s="269"/>
      <c r="K31" s="496"/>
      <c r="L31" s="496">
        <f t="shared" ref="L31:N31" ca="1" si="20">L32+L33</f>
        <v>830653</v>
      </c>
      <c r="M31" s="496">
        <f t="shared" si="20"/>
        <v>0</v>
      </c>
      <c r="N31" s="496">
        <f t="shared" si="20"/>
        <v>81708</v>
      </c>
      <c r="O31" s="496">
        <f t="shared" ca="1" si="17"/>
        <v>9.8365984352069997</v>
      </c>
      <c r="P31" s="496">
        <f t="shared" si="18"/>
        <v>0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2" t="s">
        <v>18</v>
      </c>
      <c r="F32" s="40"/>
      <c r="G32" s="42"/>
      <c r="H32" s="43" t="s">
        <v>12</v>
      </c>
      <c r="I32" s="610"/>
      <c r="J32" s="610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2" t="s">
        <v>19</v>
      </c>
      <c r="F33" s="40"/>
      <c r="G33" s="42"/>
      <c r="H33" s="43" t="s">
        <v>12</v>
      </c>
      <c r="I33" s="610"/>
      <c r="J33" s="610"/>
      <c r="K33" s="93"/>
      <c r="L33" s="93">
        <f t="shared" ca="1" si="21"/>
        <v>830653</v>
      </c>
      <c r="M33" s="93">
        <f t="shared" si="21"/>
        <v>0</v>
      </c>
      <c r="N33" s="93">
        <f t="shared" si="21"/>
        <v>81708</v>
      </c>
      <c r="O33" s="93">
        <f t="shared" ca="1" si="17"/>
        <v>9.8365984352069997</v>
      </c>
      <c r="P33" s="93">
        <f t="shared" si="18"/>
        <v>0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16" t="s">
        <v>12</v>
      </c>
      <c r="I34" s="269"/>
      <c r="J34" s="269"/>
      <c r="K34" s="496"/>
      <c r="L34" s="496">
        <f t="shared" ref="L34:N34" ca="1" si="22">L35+L36</f>
        <v>0</v>
      </c>
      <c r="M34" s="496">
        <f t="shared" si="22"/>
        <v>0</v>
      </c>
      <c r="N34" s="496">
        <f t="shared" si="22"/>
        <v>0</v>
      </c>
      <c r="O34" s="496">
        <f t="shared" ca="1" si="17"/>
        <v>0</v>
      </c>
      <c r="P34" s="496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2" t="s">
        <v>18</v>
      </c>
      <c r="F35" s="40"/>
      <c r="G35" s="42"/>
      <c r="H35" s="43" t="s">
        <v>12</v>
      </c>
      <c r="I35" s="610"/>
      <c r="J35" s="610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53" t="s">
        <v>24</v>
      </c>
      <c r="B37" s="54"/>
      <c r="C37" s="54"/>
      <c r="D37" s="54"/>
      <c r="E37" s="54"/>
      <c r="F37" s="54"/>
      <c r="G37" s="55"/>
      <c r="H37" s="56"/>
      <c r="I37" s="423"/>
      <c r="J37" s="423"/>
      <c r="K37" s="58"/>
      <c r="L37" s="59">
        <f t="shared" ref="L37:N37" ca="1" si="24">L41+L53+L66+L88+L119+L132+L149+L165+L181+L261+L277+L298+L315+L328+L345+L389+L402</f>
        <v>2270472</v>
      </c>
      <c r="M37" s="59">
        <f t="shared" ca="1" si="24"/>
        <v>1224948</v>
      </c>
      <c r="N37" s="59">
        <f t="shared" ca="1" si="24"/>
        <v>685311.72</v>
      </c>
      <c r="O37" s="59">
        <f t="shared" ca="1" si="17"/>
        <v>30.183667536970287</v>
      </c>
      <c r="P37" s="59">
        <f t="shared" ca="1" si="18"/>
        <v>55.946188736174925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56" t="s">
        <v>27</v>
      </c>
      <c r="C40" s="857"/>
      <c r="D40" s="857"/>
      <c r="E40" s="857"/>
      <c r="F40" s="857"/>
      <c r="G40" s="858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20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328042</v>
      </c>
      <c r="M41" s="85">
        <f t="shared" ca="1" si="25"/>
        <v>166878</v>
      </c>
      <c r="N41" s="85">
        <f t="shared" ca="1" si="25"/>
        <v>78527</v>
      </c>
      <c r="O41" s="85">
        <f t="shared" ref="O41:O49" ca="1" si="26">IF(L41&gt;0,N41*100/L41,0)</f>
        <v>23.938093292932002</v>
      </c>
      <c r="P41" s="85">
        <f t="shared" ref="P41:P49" ca="1" si="27">IF(M41&gt;0,N41*100/M41,0)</f>
        <v>47.056532317022018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328042</v>
      </c>
      <c r="M43" s="92">
        <f t="shared" ca="1" si="28"/>
        <v>166878</v>
      </c>
      <c r="N43" s="92">
        <f t="shared" ca="1" si="28"/>
        <v>78527</v>
      </c>
      <c r="O43" s="92">
        <f t="shared" ca="1" si="26"/>
        <v>23.938093292932002</v>
      </c>
      <c r="P43" s="92">
        <f t="shared" ca="1" si="27"/>
        <v>47.056532317022018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16" t="s">
        <v>12</v>
      </c>
      <c r="I44" s="269"/>
      <c r="J44" s="269"/>
      <c r="K44" s="496"/>
      <c r="L44" s="496">
        <f t="shared" ref="L44:N44" ca="1" si="29">L45+L46</f>
        <v>328042</v>
      </c>
      <c r="M44" s="496">
        <f t="shared" ca="1" si="29"/>
        <v>166878</v>
      </c>
      <c r="N44" s="496">
        <f t="shared" ca="1" si="29"/>
        <v>78527</v>
      </c>
      <c r="O44" s="496">
        <f t="shared" ca="1" si="26"/>
        <v>23.938093292932002</v>
      </c>
      <c r="P44" s="496">
        <f t="shared" ca="1" si="27"/>
        <v>47.056532317022018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2" t="s">
        <v>18</v>
      </c>
      <c r="F45" s="40"/>
      <c r="G45" s="42"/>
      <c r="H45" s="43" t="s">
        <v>12</v>
      </c>
      <c r="I45" s="610"/>
      <c r="J45" s="610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2" t="s">
        <v>19</v>
      </c>
      <c r="F46" s="40"/>
      <c r="G46" s="42"/>
      <c r="H46" s="43" t="s">
        <v>12</v>
      </c>
      <c r="I46" s="610"/>
      <c r="J46" s="610"/>
      <c r="K46" s="93"/>
      <c r="L46" s="93">
        <f ca="1">IFERROR(__xludf.DUMMYFUNCTION("IMPORTRANGE(""https://docs.google.com/spreadsheets/d/1MeEWN-I1oV_STSDYn1IFDPWt_1FKiwhDph83XaGc0o0/edit?usp=sharing"",""งบพรบ!M66"")"),328042)</f>
        <v>328042</v>
      </c>
      <c r="M46" s="93">
        <f ca="1">IFERROR(__xludf.DUMMYFUNCTION("IMPORTRANGE(""https://docs.google.com/spreadsheets/d/1MeEWN-I1oV_STSDYn1IFDPWt_1FKiwhDph83XaGc0o0/edit?usp=sharing"",""งบพรบ!R66"")"),166878)</f>
        <v>166878</v>
      </c>
      <c r="N46" s="93">
        <f ca="1">IFERROR(__xludf.DUMMYFUNCTION("IMPORTRANGE(""https://docs.google.com/spreadsheets/d/1MeEWN-I1oV_STSDYn1IFDPWt_1FKiwhDph83XaGc0o0/edit?usp=sharing"",""งบพรบ!T66"")"),78527)</f>
        <v>78527</v>
      </c>
      <c r="O46" s="93">
        <f t="shared" ca="1" si="26"/>
        <v>23.938093292932002</v>
      </c>
      <c r="P46" s="93">
        <f t="shared" ca="1" si="27"/>
        <v>47.056532317022018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16" t="s">
        <v>12</v>
      </c>
      <c r="I47" s="269"/>
      <c r="J47" s="269"/>
      <c r="K47" s="496"/>
      <c r="L47" s="496">
        <f t="shared" ref="L47:N47" ca="1" si="30">L48+L49</f>
        <v>0</v>
      </c>
      <c r="M47" s="496">
        <f t="shared" ca="1" si="30"/>
        <v>0</v>
      </c>
      <c r="N47" s="496">
        <f t="shared" ca="1" si="30"/>
        <v>0</v>
      </c>
      <c r="O47" s="496">
        <f t="shared" ca="1" si="26"/>
        <v>0</v>
      </c>
      <c r="P47" s="496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2" t="s">
        <v>18</v>
      </c>
      <c r="F48" s="40"/>
      <c r="G48" s="42"/>
      <c r="H48" s="43" t="s">
        <v>12</v>
      </c>
      <c r="I48" s="610"/>
      <c r="J48" s="610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IFERROR(__xludf.DUMMYFUNCTION("IMPORTRANGE(""https://docs.google.com/spreadsheets/d/1MeEWN-I1oV_STSDYn1IFDPWt_1FKiwhDph83XaGc0o0/edit?usp=sharing"",""งบพรบ!P66"")"),0)</f>
        <v>0</v>
      </c>
      <c r="M49" s="52">
        <f ca="1">IFERROR(__xludf.DUMMYFUNCTION("IMPORTRANGE(""https://docs.google.com/spreadsheets/d/1MeEWN-I1oV_STSDYn1IFDPWt_1FKiwhDph83XaGc0o0/edit?usp=sharing"",""งบพรบ!S66"")"),0)</f>
        <v>0</v>
      </c>
      <c r="N49" s="52">
        <f ca="1">IFERROR(__xludf.DUMMYFUNCTION("IMPORTRANGE(""https://docs.google.com/spreadsheets/d/1MeEWN-I1oV_STSDYn1IFDPWt_1FKiwhDph83XaGc0o0/edit?usp=sharing"",""งบพรบ!U66"")"),0)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59" t="s">
        <v>28</v>
      </c>
      <c r="B50" s="849"/>
      <c r="C50" s="849"/>
      <c r="D50" s="849"/>
      <c r="E50" s="849"/>
      <c r="F50" s="849"/>
      <c r="G50" s="847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60" t="s">
        <v>29</v>
      </c>
      <c r="C51" s="857"/>
      <c r="D51" s="857"/>
      <c r="E51" s="857"/>
      <c r="F51" s="857"/>
      <c r="G51" s="858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21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317400</v>
      </c>
      <c r="M53" s="116">
        <f t="shared" ca="1" si="31"/>
        <v>158700</v>
      </c>
      <c r="N53" s="116">
        <f t="shared" ca="1" si="31"/>
        <v>66928.52</v>
      </c>
      <c r="O53" s="116">
        <f t="shared" ref="O53:O61" ca="1" si="32">IF(L53&gt;0,N53*100/L53,0)</f>
        <v>21.086490233144296</v>
      </c>
      <c r="P53" s="116">
        <f t="shared" ref="P53:P61" ca="1" si="33">IF(M53&gt;0,N53*100/M53,0)</f>
        <v>42.172980466288593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317400</v>
      </c>
      <c r="M55" s="123">
        <f t="shared" ca="1" si="34"/>
        <v>158700</v>
      </c>
      <c r="N55" s="123">
        <f t="shared" ca="1" si="34"/>
        <v>66928.52</v>
      </c>
      <c r="O55" s="123">
        <f t="shared" ca="1" si="32"/>
        <v>21.086490233144296</v>
      </c>
      <c r="P55" s="123">
        <f t="shared" ca="1" si="33"/>
        <v>42.172980466288593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16" t="s">
        <v>12</v>
      </c>
      <c r="I56" s="269"/>
      <c r="J56" s="269"/>
      <c r="K56" s="496"/>
      <c r="L56" s="496">
        <f t="shared" ref="L56:N56" ca="1" si="35">L57+L58</f>
        <v>317400</v>
      </c>
      <c r="M56" s="496">
        <f t="shared" ca="1" si="35"/>
        <v>158700</v>
      </c>
      <c r="N56" s="496">
        <f t="shared" ca="1" si="35"/>
        <v>66928.52</v>
      </c>
      <c r="O56" s="496">
        <f t="shared" ca="1" si="32"/>
        <v>21.086490233144296</v>
      </c>
      <c r="P56" s="496">
        <f t="shared" ca="1" si="33"/>
        <v>42.172980466288593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2" t="s">
        <v>18</v>
      </c>
      <c r="F57" s="40"/>
      <c r="G57" s="42"/>
      <c r="H57" s="43" t="s">
        <v>12</v>
      </c>
      <c r="I57" s="610"/>
      <c r="J57" s="610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2" t="s">
        <v>19</v>
      </c>
      <c r="F58" s="40"/>
      <c r="G58" s="42"/>
      <c r="H58" s="43" t="s">
        <v>12</v>
      </c>
      <c r="I58" s="610"/>
      <c r="J58" s="610"/>
      <c r="K58" s="93"/>
      <c r="L58" s="93">
        <f ca="1">IFERROR(__xludf.DUMMYFUNCTION("IMPORTRANGE(""https://docs.google.com/spreadsheets/d/1MeEWN-I1oV_STSDYn1IFDPWt_1FKiwhDph83XaGc0o0/edit?usp=sharing"",""งบพรบ!W66"")"),317400)</f>
        <v>317400</v>
      </c>
      <c r="M58" s="93">
        <f ca="1">IFERROR(__xludf.DUMMYFUNCTION("IMPORTRANGE(""https://docs.google.com/spreadsheets/d/1MeEWN-I1oV_STSDYn1IFDPWt_1FKiwhDph83XaGc0o0/edit?usp=sharing"",""งบพรบ!AB66"")"),158700)</f>
        <v>158700</v>
      </c>
      <c r="N58" s="93">
        <f ca="1">IFERROR(__xludf.DUMMYFUNCTION("IMPORTRANGE(""https://docs.google.com/spreadsheets/d/1MeEWN-I1oV_STSDYn1IFDPWt_1FKiwhDph83XaGc0o0/edit?usp=sharing"",""งบพรบ!AD66"")"),66928.52)</f>
        <v>66928.52</v>
      </c>
      <c r="O58" s="93">
        <f t="shared" ca="1" si="32"/>
        <v>21.086490233144296</v>
      </c>
      <c r="P58" s="93">
        <f t="shared" ca="1" si="33"/>
        <v>42.172980466288593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16" t="s">
        <v>12</v>
      </c>
      <c r="I59" s="269"/>
      <c r="J59" s="269"/>
      <c r="K59" s="496"/>
      <c r="L59" s="496">
        <f t="shared" ref="L59:N59" ca="1" si="36">L60+L61</f>
        <v>0</v>
      </c>
      <c r="M59" s="496">
        <f t="shared" ca="1" si="36"/>
        <v>0</v>
      </c>
      <c r="N59" s="496">
        <f t="shared" ca="1" si="36"/>
        <v>0</v>
      </c>
      <c r="O59" s="496">
        <f t="shared" ca="1" si="32"/>
        <v>0</v>
      </c>
      <c r="P59" s="496">
        <f t="shared" ca="1" si="33"/>
        <v>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2" t="s">
        <v>18</v>
      </c>
      <c r="F60" s="40"/>
      <c r="G60" s="42"/>
      <c r="H60" s="43" t="s">
        <v>12</v>
      </c>
      <c r="I60" s="610"/>
      <c r="J60" s="610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IFERROR(__xludf.DUMMYFUNCTION("IMPORTRANGE(""https://docs.google.com/spreadsheets/d/1MeEWN-I1oV_STSDYn1IFDPWt_1FKiwhDph83XaGc0o0/edit?usp=sharing"",""งบพรบ!Z66"")"),0)</f>
        <v>0</v>
      </c>
      <c r="M61" s="52">
        <f ca="1">IFERROR(__xludf.DUMMYFUNCTION("IMPORTRANGE(""https://docs.google.com/spreadsheets/d/1MeEWN-I1oV_STSDYn1IFDPWt_1FKiwhDph83XaGc0o0/edit?usp=sharing"",""งบพรบ!AC66"")"),0)</f>
        <v>0</v>
      </c>
      <c r="N61" s="52">
        <f ca="1">IFERROR(__xludf.DUMMYFUNCTION("IMPORTRANGE(""https://docs.google.com/spreadsheets/d/1MeEWN-I1oV_STSDYn1IFDPWt_1FKiwhDph83XaGc0o0/edit?usp=sharing"",""งบพรบ!AE66"")"),0)</f>
        <v>0</v>
      </c>
      <c r="O61" s="52">
        <f t="shared" ca="1" si="32"/>
        <v>0</v>
      </c>
      <c r="P61" s="52">
        <f t="shared" ca="1" si="33"/>
        <v>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 hidden="1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 hidden="1">
      <c r="A64" s="138"/>
      <c r="B64" s="208" t="s">
        <v>33</v>
      </c>
      <c r="C64" s="140"/>
      <c r="D64" s="141"/>
      <c r="E64" s="140"/>
      <c r="F64" s="140"/>
      <c r="G64" s="142"/>
      <c r="H64" s="143" t="s">
        <v>34</v>
      </c>
      <c r="I64" s="144">
        <f t="shared" ref="I64:J65" ca="1" si="37">I76</f>
        <v>0</v>
      </c>
      <c r="J64" s="144">
        <f t="shared" si="37"/>
        <v>0</v>
      </c>
      <c r="K64" s="145">
        <f t="shared" ref="K64:K65" ca="1" si="38">IF(I64&gt;0,J64*100/I64,0)</f>
        <v>0</v>
      </c>
      <c r="L64" s="146"/>
      <c r="M64" s="146"/>
      <c r="N64" s="146"/>
      <c r="O64" s="146"/>
      <c r="P64" s="146"/>
    </row>
    <row r="65" spans="1:26" ht="19.5" hidden="1">
      <c r="A65" s="138"/>
      <c r="B65" s="140"/>
      <c r="C65" s="140"/>
      <c r="D65" s="141"/>
      <c r="E65" s="140"/>
      <c r="F65" s="140"/>
      <c r="G65" s="142"/>
      <c r="H65" s="143" t="s">
        <v>35</v>
      </c>
      <c r="I65" s="144">
        <f t="shared" ca="1" si="37"/>
        <v>0</v>
      </c>
      <c r="J65" s="144">
        <f t="shared" si="37"/>
        <v>0</v>
      </c>
      <c r="K65" s="145">
        <f t="shared" ca="1" si="38"/>
        <v>0</v>
      </c>
      <c r="L65" s="146"/>
      <c r="M65" s="146"/>
      <c r="N65" s="146"/>
      <c r="O65" s="146"/>
      <c r="P65" s="146"/>
    </row>
    <row r="66" spans="1:26" ht="19.5" hidden="1">
      <c r="A66" s="147"/>
      <c r="B66" s="148"/>
      <c r="C66" s="149" t="s">
        <v>16</v>
      </c>
      <c r="D66" s="822" t="s">
        <v>17</v>
      </c>
      <c r="E66" s="148"/>
      <c r="F66" s="148"/>
      <c r="G66" s="151"/>
      <c r="H66" s="152" t="s">
        <v>12</v>
      </c>
      <c r="I66" s="419"/>
      <c r="J66" s="419"/>
      <c r="K66" s="154"/>
      <c r="L66" s="155">
        <f t="shared" ref="L66:N66" ca="1" si="39">L67+L68</f>
        <v>0</v>
      </c>
      <c r="M66" s="155">
        <f t="shared" ca="1" si="39"/>
        <v>0</v>
      </c>
      <c r="N66" s="155">
        <f t="shared" ca="1" si="39"/>
        <v>0</v>
      </c>
      <c r="O66" s="155">
        <f t="shared" ref="O66:O74" ca="1" si="40">IF(L66&gt;0,N66*100/L66,0)</f>
        <v>0</v>
      </c>
      <c r="P66" s="155">
        <f t="shared" ref="P66:P74" ca="1" si="41">IF(M66&gt;0,N66*100/M66,0)</f>
        <v>0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2" t="s">
        <v>18</v>
      </c>
      <c r="F67" s="40"/>
      <c r="G67" s="157"/>
      <c r="H67" s="158" t="s">
        <v>12</v>
      </c>
      <c r="I67" s="610"/>
      <c r="J67" s="610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2" t="s">
        <v>19</v>
      </c>
      <c r="F68" s="40"/>
      <c r="G68" s="157"/>
      <c r="H68" s="158" t="s">
        <v>12</v>
      </c>
      <c r="I68" s="610"/>
      <c r="J68" s="610"/>
      <c r="K68" s="93"/>
      <c r="L68" s="93">
        <f t="shared" ca="1" si="42"/>
        <v>0</v>
      </c>
      <c r="M68" s="93">
        <f t="shared" ca="1" si="42"/>
        <v>0</v>
      </c>
      <c r="N68" s="93">
        <f t="shared" ca="1" si="42"/>
        <v>0</v>
      </c>
      <c r="O68" s="93">
        <f t="shared" ca="1" si="40"/>
        <v>0</v>
      </c>
      <c r="P68" s="93">
        <f t="shared" ca="1" si="41"/>
        <v>0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 hidden="1">
      <c r="A69" s="159"/>
      <c r="B69" s="33"/>
      <c r="C69" s="281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6">
        <f t="shared" ref="L69:N69" ca="1" si="43">L70+L71</f>
        <v>0</v>
      </c>
      <c r="M69" s="496">
        <f t="shared" ca="1" si="43"/>
        <v>0</v>
      </c>
      <c r="N69" s="496">
        <f t="shared" ca="1" si="43"/>
        <v>0</v>
      </c>
      <c r="O69" s="496">
        <f t="shared" ca="1" si="40"/>
        <v>0</v>
      </c>
      <c r="P69" s="496">
        <f t="shared" ca="1" si="41"/>
        <v>0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2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2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IFERROR(__xludf.DUMMYFUNCTION("IMPORTRANGE(""https://docs.google.com/spreadsheets/d/1MeEWN-I1oV_STSDYn1IFDPWt_1FKiwhDph83XaGc0o0/edit?usp=sharing"",""งบพรบ!AG66"")"),0)</f>
        <v>0</v>
      </c>
      <c r="M71" s="93">
        <f ca="1">IFERROR(__xludf.DUMMYFUNCTION("IMPORTRANGE(""https://docs.google.com/spreadsheets/d/1MeEWN-I1oV_STSDYn1IFDPWt_1FKiwhDph83XaGc0o0/edit?usp=sharing"",""งบพรบ!AL66"")"),0)</f>
        <v>0</v>
      </c>
      <c r="N71" s="93">
        <f ca="1">IFERROR(__xludf.DUMMYFUNCTION("IMPORTRANGE(""https://docs.google.com/spreadsheets/d/1MeEWN-I1oV_STSDYn1IFDPWt_1FKiwhDph83XaGc0o0/edit?usp=sharing"",""งบพรบ!AN66"")"),0)</f>
        <v>0</v>
      </c>
      <c r="O71" s="93">
        <f t="shared" ca="1" si="40"/>
        <v>0</v>
      </c>
      <c r="P71" s="93">
        <f t="shared" ca="1" si="41"/>
        <v>0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 hidden="1">
      <c r="A72" s="159"/>
      <c r="B72" s="33"/>
      <c r="C72" s="281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6">
        <f t="shared" ref="L72:N72" ca="1" si="44">L73+L74</f>
        <v>0</v>
      </c>
      <c r="M72" s="496">
        <f t="shared" ca="1" si="44"/>
        <v>0</v>
      </c>
      <c r="N72" s="496">
        <f t="shared" ca="1" si="44"/>
        <v>0</v>
      </c>
      <c r="O72" s="496">
        <f t="shared" ca="1" si="40"/>
        <v>0</v>
      </c>
      <c r="P72" s="496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2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2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IFERROR(__xludf.DUMMYFUNCTION("IMPORTRANGE(""https://docs.google.com/spreadsheets/d/1MeEWN-I1oV_STSDYn1IFDPWt_1FKiwhDph83XaGc0o0/edit?usp=sharing"",""งบพรบ!AJ66"")"),0)</f>
        <v>0</v>
      </c>
      <c r="M74" s="93">
        <f ca="1">IFERROR(__xludf.DUMMYFUNCTION("IMPORTRANGE(""https://docs.google.com/spreadsheets/d/1MeEWN-I1oV_STSDYn1IFDPWt_1FKiwhDph83XaGc0o0/edit?usp=sharing"",""งบพรบ!AM66"")"),0)</f>
        <v>0</v>
      </c>
      <c r="N74" s="93">
        <f ca="1">IFERROR(__xludf.DUMMYFUNCTION("IMPORTRANGE(""https://docs.google.com/spreadsheets/d/1MeEWN-I1oV_STSDYn1IFDPWt_1FKiwhDph83XaGc0o0/edit?usp=sharing"",""งบพรบ!AO66"")"),0)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 hidden="1">
      <c r="A75" s="170"/>
      <c r="B75" s="171"/>
      <c r="C75" s="164" t="s">
        <v>16</v>
      </c>
      <c r="D75" s="823" t="s">
        <v>38</v>
      </c>
      <c r="E75" s="173"/>
      <c r="F75" s="173"/>
      <c r="G75" s="174"/>
      <c r="H75" s="753"/>
      <c r="I75" s="184"/>
      <c r="J75" s="184"/>
      <c r="K75" s="163"/>
      <c r="L75" s="163"/>
      <c r="M75" s="163"/>
      <c r="N75" s="163"/>
      <c r="O75" s="163"/>
      <c r="P75" s="163"/>
    </row>
    <row r="76" spans="1:26" ht="19.5" hidden="1">
      <c r="A76" s="170"/>
      <c r="B76" s="171"/>
      <c r="C76" s="171"/>
      <c r="D76" s="176" t="s">
        <v>39</v>
      </c>
      <c r="E76" s="446"/>
      <c r="F76" s="178"/>
      <c r="G76" s="179"/>
      <c r="H76" s="180" t="s">
        <v>34</v>
      </c>
      <c r="I76" s="269">
        <f t="shared" ref="I76:J77" ca="1" si="45">I78+I80+I82</f>
        <v>0</v>
      </c>
      <c r="J76" s="269">
        <f t="shared" si="45"/>
        <v>0</v>
      </c>
      <c r="K76" s="163">
        <f t="shared" ref="K76:K84" ca="1" si="46">IF(I76&gt;0,J76*100/I76,0)</f>
        <v>0</v>
      </c>
      <c r="L76" s="163"/>
      <c r="M76" s="163"/>
      <c r="N76" s="163"/>
      <c r="O76" s="163"/>
      <c r="P76" s="163"/>
    </row>
    <row r="77" spans="1:26" ht="19.5" hidden="1">
      <c r="A77" s="170"/>
      <c r="B77" s="171"/>
      <c r="C77" s="171"/>
      <c r="D77" s="171"/>
      <c r="E77" s="178"/>
      <c r="F77" s="178"/>
      <c r="G77" s="179"/>
      <c r="H77" s="180" t="s">
        <v>35</v>
      </c>
      <c r="I77" s="269">
        <f t="shared" ca="1" si="45"/>
        <v>0</v>
      </c>
      <c r="J77" s="269">
        <f t="shared" si="45"/>
        <v>0</v>
      </c>
      <c r="K77" s="163">
        <f t="shared" ca="1" si="46"/>
        <v>0</v>
      </c>
      <c r="L77" s="163"/>
      <c r="M77" s="163"/>
      <c r="N77" s="163"/>
      <c r="O77" s="163"/>
      <c r="P77" s="163"/>
    </row>
    <row r="78" spans="1:26" ht="18.75" hidden="1">
      <c r="A78" s="170"/>
      <c r="B78" s="171"/>
      <c r="C78" s="171"/>
      <c r="D78" s="171"/>
      <c r="E78" s="446" t="s">
        <v>40</v>
      </c>
      <c r="F78" s="446"/>
      <c r="G78" s="179"/>
      <c r="H78" s="755" t="s">
        <v>34</v>
      </c>
      <c r="I78" s="184">
        <f ca="1">IFERROR(__xludf.DUMMYFUNCTION("IMPORTRANGE(""https://docs.google.com/spreadsheets/d/1QqKyyYR6Q21VydFLVH3TRQUabQu_ym0Zz7PgGX0-kHA/edit?usp=sharing"",""แผน!H66"")"),0)</f>
        <v>0</v>
      </c>
      <c r="J78" s="214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 hidden="1">
      <c r="A79" s="170"/>
      <c r="B79" s="171"/>
      <c r="C79" s="171"/>
      <c r="D79" s="171"/>
      <c r="E79" s="178"/>
      <c r="F79" s="178"/>
      <c r="G79" s="179"/>
      <c r="H79" s="755" t="s">
        <v>35</v>
      </c>
      <c r="I79" s="184">
        <f ca="1">IFERROR(__xludf.DUMMYFUNCTION("IMPORTRANGE(""https://docs.google.com/spreadsheets/d/1QqKyyYR6Q21VydFLVH3TRQUabQu_ym0Zz7PgGX0-kHA/edit?usp=sharing"",""แผน!I66"")"),0)</f>
        <v>0</v>
      </c>
      <c r="J79" s="214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 hidden="1">
      <c r="A80" s="170"/>
      <c r="B80" s="171"/>
      <c r="C80" s="171"/>
      <c r="D80" s="171"/>
      <c r="E80" s="446" t="s">
        <v>41</v>
      </c>
      <c r="F80" s="446"/>
      <c r="G80" s="179"/>
      <c r="H80" s="755" t="s">
        <v>34</v>
      </c>
      <c r="I80" s="184">
        <f ca="1">IFERROR(__xludf.DUMMYFUNCTION("IMPORTRANGE(""https://docs.google.com/spreadsheets/d/1QqKyyYR6Q21VydFLVH3TRQUabQu_ym0Zz7PgGX0-kHA/edit?usp=sharing"",""แผน!F66"")"),0)</f>
        <v>0</v>
      </c>
      <c r="J80" s="214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 hidden="1">
      <c r="A81" s="170"/>
      <c r="B81" s="171"/>
      <c r="C81" s="171"/>
      <c r="D81" s="171"/>
      <c r="E81" s="178"/>
      <c r="F81" s="178"/>
      <c r="G81" s="179"/>
      <c r="H81" s="755" t="s">
        <v>35</v>
      </c>
      <c r="I81" s="184">
        <f ca="1">IFERROR(__xludf.DUMMYFUNCTION("IMPORTRANGE(""https://docs.google.com/spreadsheets/d/1QqKyyYR6Q21VydFLVH3TRQUabQu_ym0Zz7PgGX0-kHA/edit?usp=sharing"",""แผน!G66"")"),0)</f>
        <v>0</v>
      </c>
      <c r="J81" s="214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 hidden="1">
      <c r="A82" s="170"/>
      <c r="B82" s="171"/>
      <c r="C82" s="171"/>
      <c r="D82" s="171"/>
      <c r="E82" s="446" t="s">
        <v>42</v>
      </c>
      <c r="F82" s="446"/>
      <c r="G82" s="179"/>
      <c r="H82" s="755" t="s">
        <v>34</v>
      </c>
      <c r="I82" s="184">
        <f ca="1">IFERROR(__xludf.DUMMYFUNCTION("IMPORTRANGE(""https://docs.google.com/spreadsheets/d/1QqKyyYR6Q21VydFLVH3TRQUabQu_ym0Zz7PgGX0-kHA/edit?usp=sharing"",""แผน!D66"")"),0)</f>
        <v>0</v>
      </c>
      <c r="J82" s="214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 hidden="1">
      <c r="A83" s="170"/>
      <c r="B83" s="171"/>
      <c r="C83" s="171"/>
      <c r="D83" s="171"/>
      <c r="E83" s="178"/>
      <c r="F83" s="178"/>
      <c r="G83" s="179"/>
      <c r="H83" s="755" t="s">
        <v>35</v>
      </c>
      <c r="I83" s="184">
        <f ca="1">IFERROR(__xludf.DUMMYFUNCTION("IMPORTRANGE(""https://docs.google.com/spreadsheets/d/1QqKyyYR6Q21VydFLVH3TRQUabQu_ym0Zz7PgGX0-kHA/edit?usp=sharing"",""แผน!E66"")"),0)</f>
        <v>0</v>
      </c>
      <c r="J83" s="214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 hidden="1">
      <c r="A84" s="170"/>
      <c r="B84" s="171"/>
      <c r="C84" s="171"/>
      <c r="D84" s="176" t="s">
        <v>43</v>
      </c>
      <c r="E84" s="446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IFERROR(__xludf.DUMMYFUNCTION("IMPORTRANGE(""https://docs.google.com/spreadsheets/d/1QqKyyYR6Q21VydFLVH3TRQUabQu_ym0Zz7PgGX0-kHA/edit?usp=sharing"",""แผน!J66"")"),0)</f>
        <v>0</v>
      </c>
      <c r="J84" s="214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8" t="s">
        <v>45</v>
      </c>
      <c r="C86" s="140"/>
      <c r="D86" s="141"/>
      <c r="E86" s="140"/>
      <c r="F86" s="140"/>
      <c r="G86" s="142"/>
      <c r="H86" s="143" t="s">
        <v>46</v>
      </c>
      <c r="I86" s="144">
        <f t="shared" ref="I86:J87" ca="1" si="47">I98</f>
        <v>45</v>
      </c>
      <c r="J86" s="144">
        <f t="shared" si="47"/>
        <v>0</v>
      </c>
      <c r="K86" s="145">
        <f t="shared" ref="K86:K87" ca="1" si="48">IF(I86&gt;0,J86*100/I86,0)</f>
        <v>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143" t="s">
        <v>35</v>
      </c>
      <c r="I87" s="144">
        <f t="shared" ca="1" si="47"/>
        <v>15</v>
      </c>
      <c r="J87" s="144">
        <f t="shared" si="47"/>
        <v>0</v>
      </c>
      <c r="K87" s="145">
        <f t="shared" ca="1" si="48"/>
        <v>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22" t="s">
        <v>17</v>
      </c>
      <c r="E88" s="148"/>
      <c r="F88" s="148"/>
      <c r="G88" s="151"/>
      <c r="H88" s="152" t="s">
        <v>12</v>
      </c>
      <c r="I88" s="419"/>
      <c r="J88" s="419"/>
      <c r="K88" s="154"/>
      <c r="L88" s="155">
        <f t="shared" ref="L88:N88" ca="1" si="49">L89+L90</f>
        <v>98760</v>
      </c>
      <c r="M88" s="155">
        <f t="shared" ca="1" si="49"/>
        <v>32760</v>
      </c>
      <c r="N88" s="155">
        <f t="shared" ca="1" si="49"/>
        <v>20970</v>
      </c>
      <c r="O88" s="155">
        <f t="shared" ref="O88:O96" ca="1" si="50">IF(L88&gt;0,N88*100/L88,0)</f>
        <v>21.233292831105711</v>
      </c>
      <c r="P88" s="155">
        <f t="shared" ref="P88:P96" ca="1" si="51">IF(M88&gt;0,N88*100/M88,0)</f>
        <v>64.010989010989007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2" t="s">
        <v>18</v>
      </c>
      <c r="F89" s="40"/>
      <c r="G89" s="157"/>
      <c r="H89" s="158" t="s">
        <v>12</v>
      </c>
      <c r="I89" s="610"/>
      <c r="J89" s="610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2" t="s">
        <v>19</v>
      </c>
      <c r="F90" s="40"/>
      <c r="G90" s="157"/>
      <c r="H90" s="158" t="s">
        <v>12</v>
      </c>
      <c r="I90" s="610"/>
      <c r="J90" s="610"/>
      <c r="K90" s="93"/>
      <c r="L90" s="93">
        <f t="shared" ca="1" si="52"/>
        <v>98760</v>
      </c>
      <c r="M90" s="93">
        <f t="shared" ca="1" si="52"/>
        <v>32760</v>
      </c>
      <c r="N90" s="93">
        <f t="shared" ca="1" si="52"/>
        <v>20970</v>
      </c>
      <c r="O90" s="93">
        <f t="shared" ca="1" si="50"/>
        <v>21.233292831105711</v>
      </c>
      <c r="P90" s="93">
        <f t="shared" ca="1" si="51"/>
        <v>64.010989010989007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1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6">
        <f t="shared" ref="L91:N91" ca="1" si="53">L92+L93</f>
        <v>98760</v>
      </c>
      <c r="M91" s="496">
        <f t="shared" ca="1" si="53"/>
        <v>32760</v>
      </c>
      <c r="N91" s="496">
        <f t="shared" ca="1" si="53"/>
        <v>20970</v>
      </c>
      <c r="O91" s="496">
        <f t="shared" ca="1" si="50"/>
        <v>21.233292831105711</v>
      </c>
      <c r="P91" s="496">
        <f t="shared" ca="1" si="51"/>
        <v>64.010989010989007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2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2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IFERROR(__xludf.DUMMYFUNCTION("IMPORTRANGE(""https://docs.google.com/spreadsheets/d/1MeEWN-I1oV_STSDYn1IFDPWt_1FKiwhDph83XaGc0o0/edit?usp=sharing"",""งบพรบ!AQ66"")"),98760)</f>
        <v>98760</v>
      </c>
      <c r="M93" s="93">
        <f ca="1">IFERROR(__xludf.DUMMYFUNCTION("IMPORTRANGE(""https://docs.google.com/spreadsheets/d/1MeEWN-I1oV_STSDYn1IFDPWt_1FKiwhDph83XaGc0o0/edit?usp=sharing"",""งบพรบ!AV66"")"),32760)</f>
        <v>32760</v>
      </c>
      <c r="N93" s="93">
        <f ca="1">IFERROR(__xludf.DUMMYFUNCTION("IMPORTRANGE(""https://docs.google.com/spreadsheets/d/1MeEWN-I1oV_STSDYn1IFDPWt_1FKiwhDph83XaGc0o0/edit?usp=sharing"",""งบพรบ!AX66"")"),20970)</f>
        <v>20970</v>
      </c>
      <c r="O93" s="93">
        <f t="shared" ca="1" si="50"/>
        <v>21.233292831105711</v>
      </c>
      <c r="P93" s="93">
        <f t="shared" ca="1" si="51"/>
        <v>64.010989010989007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1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6">
        <f t="shared" ref="L94:N94" ca="1" si="54">L95+L96</f>
        <v>0</v>
      </c>
      <c r="M94" s="496">
        <f t="shared" ca="1" si="54"/>
        <v>0</v>
      </c>
      <c r="N94" s="496">
        <f t="shared" ca="1" si="54"/>
        <v>0</v>
      </c>
      <c r="O94" s="496">
        <f t="shared" ca="1" si="50"/>
        <v>0</v>
      </c>
      <c r="P94" s="496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2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2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IFERROR(__xludf.DUMMYFUNCTION("IMPORTRANGE(""https://docs.google.com/spreadsheets/d/1MeEWN-I1oV_STSDYn1IFDPWt_1FKiwhDph83XaGc0o0/edit?usp=sharing"",""งบพรบ!AT66"")"),0)</f>
        <v>0</v>
      </c>
      <c r="M96" s="93">
        <f ca="1">IFERROR(__xludf.DUMMYFUNCTION("IMPORTRANGE(""https://docs.google.com/spreadsheets/d/1MeEWN-I1oV_STSDYn1IFDPWt_1FKiwhDph83XaGc0o0/edit?usp=sharing"",""งบพรบ!AW66"")"),0)</f>
        <v>0</v>
      </c>
      <c r="N96" s="93">
        <f ca="1">IFERROR(__xludf.DUMMYFUNCTION("IMPORTRANGE(""https://docs.google.com/spreadsheets/d/1MeEWN-I1oV_STSDYn1IFDPWt_1FKiwhDph83XaGc0o0/edit?usp=sharing"",""งบพรบ!AY66"")"),0)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23" t="s">
        <v>38</v>
      </c>
      <c r="E97" s="173"/>
      <c r="F97" s="173"/>
      <c r="G97" s="174"/>
      <c r="H97" s="753"/>
      <c r="I97" s="184"/>
      <c r="J97" s="269"/>
      <c r="K97" s="496"/>
      <c r="L97" s="496"/>
      <c r="M97" s="496"/>
      <c r="N97" s="496"/>
      <c r="O97" s="163"/>
      <c r="P97" s="163"/>
    </row>
    <row r="98" spans="1:16" ht="18.75">
      <c r="A98" s="170"/>
      <c r="B98" s="171"/>
      <c r="C98" s="171"/>
      <c r="D98" s="446" t="s">
        <v>47</v>
      </c>
      <c r="E98" s="446"/>
      <c r="F98" s="178"/>
      <c r="G98" s="179"/>
      <c r="H98" s="616" t="s">
        <v>46</v>
      </c>
      <c r="I98" s="269">
        <f ca="1">IFERROR(__xludf.DUMMYFUNCTION("IMPORTRANGE(""https://docs.google.com/spreadsheets/d/1QqKyyYR6Q21VydFLVH3TRQUabQu_ym0Zz7PgGX0-kHA/edit?usp=sharing"",""แผน!K66"")"),45)</f>
        <v>45</v>
      </c>
      <c r="J98" s="269">
        <f>J102</f>
        <v>0</v>
      </c>
      <c r="K98" s="496">
        <f t="shared" ref="K98:K100" ca="1" si="55">IF(I98&gt;0,J98*100/I98,0)</f>
        <v>0</v>
      </c>
      <c r="L98" s="496"/>
      <c r="M98" s="496"/>
      <c r="N98" s="496"/>
      <c r="O98" s="163"/>
      <c r="P98" s="163"/>
    </row>
    <row r="99" spans="1:16" ht="18.75">
      <c r="A99" s="170"/>
      <c r="B99" s="171"/>
      <c r="C99" s="171"/>
      <c r="D99" s="446" t="s">
        <v>48</v>
      </c>
      <c r="E99" s="446"/>
      <c r="F99" s="178"/>
      <c r="G99" s="179"/>
      <c r="H99" s="616" t="s">
        <v>35</v>
      </c>
      <c r="I99" s="269">
        <f ca="1">IFERROR(__xludf.DUMMYFUNCTION("IMPORTRANGE(""https://docs.google.com/spreadsheets/d/1QqKyyYR6Q21VydFLVH3TRQUabQu_ym0Zz7PgGX0-kHA/edit?usp=sharing"",""แผน!L66"")"),15)</f>
        <v>15</v>
      </c>
      <c r="J99" s="269">
        <f>J104</f>
        <v>0</v>
      </c>
      <c r="K99" s="496">
        <f t="shared" ca="1" si="55"/>
        <v>0</v>
      </c>
      <c r="L99" s="496"/>
      <c r="M99" s="496"/>
      <c r="N99" s="496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16" t="s">
        <v>49</v>
      </c>
      <c r="I100" s="269">
        <f ca="1">IFERROR(__xludf.DUMMYFUNCTION("IMPORTRANGE(""https://docs.google.com/spreadsheets/d/1QqKyyYR6Q21VydFLVH3TRQUabQu_ym0Zz7PgGX0-kHA/edit?usp=sharing"",""แผน!M66"")"),2)</f>
        <v>2</v>
      </c>
      <c r="J100" s="269">
        <f>J107+J110</f>
        <v>0</v>
      </c>
      <c r="K100" s="496">
        <f t="shared" ca="1" si="55"/>
        <v>0</v>
      </c>
      <c r="L100" s="496"/>
      <c r="M100" s="496"/>
      <c r="N100" s="496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16"/>
      <c r="I101" s="269"/>
      <c r="J101" s="269"/>
      <c r="K101" s="496"/>
      <c r="L101" s="496"/>
      <c r="M101" s="496"/>
      <c r="N101" s="496"/>
      <c r="O101" s="163"/>
      <c r="P101" s="163"/>
    </row>
    <row r="102" spans="1:16" ht="18.75">
      <c r="A102" s="170"/>
      <c r="B102" s="171"/>
      <c r="C102" s="171"/>
      <c r="D102" s="178"/>
      <c r="E102" s="619" t="s">
        <v>47</v>
      </c>
      <c r="F102" s="178"/>
      <c r="G102" s="179"/>
      <c r="H102" s="616" t="s">
        <v>46</v>
      </c>
      <c r="I102" s="269">
        <f ca="1">IFERROR(__xludf.DUMMYFUNCTION("IMPORTRANGE(""https://docs.google.com/spreadsheets/d/1QqKyyYR6Q21VydFLVH3TRQUabQu_ym0Zz7PgGX0-kHA/edit?usp=sharing"",""แผน!N66"")"),45)</f>
        <v>45</v>
      </c>
      <c r="J102" s="214">
        <v>0</v>
      </c>
      <c r="K102" s="496">
        <f t="shared" ref="K102:K104" ca="1" si="56">IF(I102&gt;0,J102*100/I102,0)</f>
        <v>0</v>
      </c>
      <c r="L102" s="496"/>
      <c r="M102" s="496"/>
      <c r="N102" s="496"/>
      <c r="O102" s="163"/>
      <c r="P102" s="163"/>
    </row>
    <row r="103" spans="1:16" ht="19.5">
      <c r="A103" s="170"/>
      <c r="B103" s="171"/>
      <c r="C103" s="171"/>
      <c r="D103" s="178"/>
      <c r="E103" s="446" t="s">
        <v>51</v>
      </c>
      <c r="F103" s="178"/>
      <c r="G103" s="179"/>
      <c r="H103" s="616" t="s">
        <v>35</v>
      </c>
      <c r="I103" s="269">
        <f ca="1">IFERROR(__xludf.DUMMYFUNCTION("IMPORTRANGE(""https://docs.google.com/spreadsheets/d/1QqKyyYR6Q21VydFLVH3TRQUabQu_ym0Zz7PgGX0-kHA/edit?usp=sharing"",""แผน!O66"")"),15)</f>
        <v>15</v>
      </c>
      <c r="J103" s="214">
        <v>0</v>
      </c>
      <c r="K103" s="496">
        <f t="shared" ca="1" si="56"/>
        <v>0</v>
      </c>
      <c r="L103" s="496"/>
      <c r="M103" s="496"/>
      <c r="N103" s="496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16" t="s">
        <v>35</v>
      </c>
      <c r="I104" s="269">
        <f ca="1">IFERROR(__xludf.DUMMYFUNCTION("IMPORTRANGE(""https://docs.google.com/spreadsheets/d/1QqKyyYR6Q21VydFLVH3TRQUabQu_ym0Zz7PgGX0-kHA/edit?usp=sharing"",""แผน!O66"")"),15)</f>
        <v>15</v>
      </c>
      <c r="J104" s="214">
        <v>0</v>
      </c>
      <c r="K104" s="496">
        <f t="shared" ca="1" si="56"/>
        <v>0</v>
      </c>
      <c r="L104" s="496"/>
      <c r="M104" s="496"/>
      <c r="N104" s="496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69"/>
      <c r="J105" s="269"/>
      <c r="K105" s="496"/>
      <c r="L105" s="496"/>
      <c r="M105" s="496"/>
      <c r="N105" s="496"/>
      <c r="O105" s="163"/>
      <c r="P105" s="163"/>
    </row>
    <row r="106" spans="1:16" ht="19.5">
      <c r="A106" s="170"/>
      <c r="B106" s="171"/>
      <c r="C106" s="171"/>
      <c r="D106" s="178"/>
      <c r="E106" s="446" t="s">
        <v>54</v>
      </c>
      <c r="F106" s="178"/>
      <c r="G106" s="179"/>
      <c r="H106" s="616" t="s">
        <v>49</v>
      </c>
      <c r="I106" s="269">
        <f ca="1">IFERROR(__xludf.DUMMYFUNCTION("IMPORTRANGE(""https://docs.google.com/spreadsheets/d/1QqKyyYR6Q21VydFLVH3TRQUabQu_ym0Zz7PgGX0-kHA/edit?usp=sharing"",""แผน!P66"")"),1)</f>
        <v>1</v>
      </c>
      <c r="J106" s="214">
        <v>0</v>
      </c>
      <c r="K106" s="496">
        <f t="shared" ref="K106:K107" ca="1" si="57">IF(I106&gt;0,J106*100/I106,0)</f>
        <v>0</v>
      </c>
      <c r="L106" s="496"/>
      <c r="M106" s="496"/>
      <c r="N106" s="496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16" t="s">
        <v>49</v>
      </c>
      <c r="I107" s="269">
        <f ca="1">IFERROR(__xludf.DUMMYFUNCTION("IMPORTRANGE(""https://docs.google.com/spreadsheets/d/1QqKyyYR6Q21VydFLVH3TRQUabQu_ym0Zz7PgGX0-kHA/edit?usp=sharing"",""แผน!P66"")"),1)</f>
        <v>1</v>
      </c>
      <c r="J107" s="214">
        <v>0</v>
      </c>
      <c r="K107" s="496">
        <f t="shared" ca="1" si="57"/>
        <v>0</v>
      </c>
      <c r="L107" s="496"/>
      <c r="M107" s="496"/>
      <c r="N107" s="496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69"/>
      <c r="J108" s="269"/>
      <c r="K108" s="496"/>
      <c r="L108" s="496"/>
      <c r="M108" s="496"/>
      <c r="N108" s="496"/>
      <c r="O108" s="163"/>
      <c r="P108" s="163"/>
    </row>
    <row r="109" spans="1:16" ht="19.5">
      <c r="A109" s="170"/>
      <c r="B109" s="171"/>
      <c r="C109" s="171"/>
      <c r="D109" s="178"/>
      <c r="E109" s="446" t="s">
        <v>57</v>
      </c>
      <c r="F109" s="178"/>
      <c r="G109" s="179"/>
      <c r="H109" s="616" t="s">
        <v>49</v>
      </c>
      <c r="I109" s="269">
        <f ca="1">IFERROR(__xludf.DUMMYFUNCTION("IMPORTRANGE(""https://docs.google.com/spreadsheets/d/1QqKyyYR6Q21VydFLVH3TRQUabQu_ym0Zz7PgGX0-kHA/edit?usp=sharing"",""แผน!Q66"")"),1)</f>
        <v>1</v>
      </c>
      <c r="J109" s="214">
        <v>0</v>
      </c>
      <c r="K109" s="496">
        <f t="shared" ref="K109:K116" ca="1" si="58">IF(I109&gt;0,J109*100/I109,0)</f>
        <v>0</v>
      </c>
      <c r="L109" s="496"/>
      <c r="M109" s="496"/>
      <c r="N109" s="496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16" t="s">
        <v>49</v>
      </c>
      <c r="I110" s="269">
        <f ca="1">IFERROR(__xludf.DUMMYFUNCTION("IMPORTRANGE(""https://docs.google.com/spreadsheets/d/1QqKyyYR6Q21VydFLVH3TRQUabQu_ym0Zz7PgGX0-kHA/edit?usp=sharing"",""แผน!Q66"")"),1)</f>
        <v>1</v>
      </c>
      <c r="J110" s="214">
        <v>0</v>
      </c>
      <c r="K110" s="496">
        <f t="shared" ca="1" si="58"/>
        <v>0</v>
      </c>
      <c r="L110" s="496"/>
      <c r="M110" s="496"/>
      <c r="N110" s="496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58" t="s">
        <v>35</v>
      </c>
      <c r="I111" s="193">
        <f ca="1">IFERROR(__xludf.DUMMYFUNCTION("IMPORTRANGE(""https://docs.google.com/spreadsheets/d/1QqKyyYR6Q21VydFLVH3TRQUabQu_ym0Zz7PgGX0-kHA/edit?usp=sharing"",""แผน!R66"")"),15)</f>
        <v>15</v>
      </c>
      <c r="J111" s="674">
        <f>J114</f>
        <v>0</v>
      </c>
      <c r="K111" s="195">
        <f t="shared" ca="1" si="58"/>
        <v>0</v>
      </c>
      <c r="L111" s="496"/>
      <c r="M111" s="496"/>
      <c r="N111" s="496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2</v>
      </c>
      <c r="J112" s="674">
        <f t="shared" si="59"/>
        <v>0</v>
      </c>
      <c r="K112" s="195">
        <f t="shared" ca="1" si="58"/>
        <v>0</v>
      </c>
      <c r="L112" s="496"/>
      <c r="M112" s="496"/>
      <c r="N112" s="496"/>
      <c r="O112" s="163"/>
      <c r="P112" s="163"/>
    </row>
    <row r="113" spans="1:26" ht="19.5">
      <c r="A113" s="170"/>
      <c r="B113" s="171"/>
      <c r="C113" s="171"/>
      <c r="D113" s="171"/>
      <c r="E113" s="525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IFERROR(__xludf.DUMMYFUNCTION("IMPORTRANGE(""https://docs.google.com/spreadsheets/d/1QqKyyYR6Q21VydFLVH3TRQUabQu_ym0Zz7PgGX0-kHA/edit?usp=sharing"",""แผน!R66"")"),15)</f>
        <v>15</v>
      </c>
      <c r="J113" s="214">
        <v>0</v>
      </c>
      <c r="K113" s="496">
        <f t="shared" ca="1" si="58"/>
        <v>0</v>
      </c>
      <c r="L113" s="496"/>
      <c r="M113" s="496"/>
      <c r="N113" s="496"/>
      <c r="O113" s="163"/>
      <c r="P113" s="163"/>
    </row>
    <row r="114" spans="1:26" ht="19.5">
      <c r="A114" s="170"/>
      <c r="B114" s="171"/>
      <c r="C114" s="171"/>
      <c r="D114" s="171"/>
      <c r="E114" s="446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IFERROR(__xludf.DUMMYFUNCTION("IMPORTRANGE(""https://docs.google.com/spreadsheets/d/1QqKyyYR6Q21VydFLVH3TRQUabQu_ym0Zz7PgGX0-kHA/edit?usp=sharing"",""แผน!R66"")"),15)</f>
        <v>15</v>
      </c>
      <c r="J114" s="214">
        <v>0</v>
      </c>
      <c r="K114" s="496">
        <f t="shared" ca="1" si="58"/>
        <v>0</v>
      </c>
      <c r="L114" s="496"/>
      <c r="M114" s="496"/>
      <c r="N114" s="496"/>
      <c r="O114" s="163"/>
      <c r="P114" s="163"/>
    </row>
    <row r="115" spans="1:26" ht="18.75">
      <c r="A115" s="170"/>
      <c r="B115" s="171"/>
      <c r="C115" s="171"/>
      <c r="D115" s="171"/>
      <c r="E115" s="446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IFERROR(__xludf.DUMMYFUNCTION("IMPORTRANGE(""https://docs.google.com/spreadsheets/d/1QqKyyYR6Q21VydFLVH3TRQUabQu_ym0Zz7PgGX0-kHA/edit?usp=sharing"",""แผน!S66"")"),1)</f>
        <v>1</v>
      </c>
      <c r="J115" s="214">
        <v>0</v>
      </c>
      <c r="K115" s="496">
        <f t="shared" ca="1" si="58"/>
        <v>0</v>
      </c>
      <c r="L115" s="496"/>
      <c r="M115" s="496"/>
      <c r="N115" s="496"/>
      <c r="O115" s="163"/>
      <c r="P115" s="163"/>
    </row>
    <row r="116" spans="1:26" ht="18.75">
      <c r="A116" s="170"/>
      <c r="B116" s="171"/>
      <c r="C116" s="171"/>
      <c r="D116" s="171"/>
      <c r="E116" s="446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IFERROR(__xludf.DUMMYFUNCTION("IMPORTRANGE(""https://docs.google.com/spreadsheets/d/1QqKyyYR6Q21VydFLVH3TRQUabQu_ym0Zz7PgGX0-kHA/edit?usp=sharing"",""แผน!T66"")"),1)</f>
        <v>1</v>
      </c>
      <c r="J116" s="214">
        <v>0</v>
      </c>
      <c r="K116" s="496">
        <f t="shared" ca="1" si="58"/>
        <v>0</v>
      </c>
      <c r="L116" s="496"/>
      <c r="M116" s="496"/>
      <c r="N116" s="496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8" t="s">
        <v>65</v>
      </c>
      <c r="C118" s="204"/>
      <c r="D118" s="141"/>
      <c r="E118" s="140"/>
      <c r="F118" s="140"/>
      <c r="G118" s="142"/>
      <c r="H118" s="143"/>
      <c r="I118" s="205"/>
      <c r="J118" s="205"/>
      <c r="K118" s="146"/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22" t="s">
        <v>17</v>
      </c>
      <c r="E119" s="148"/>
      <c r="F119" s="148"/>
      <c r="G119" s="151"/>
      <c r="H119" s="152" t="s">
        <v>12</v>
      </c>
      <c r="I119" s="419"/>
      <c r="J119" s="419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2" t="s">
        <v>18</v>
      </c>
      <c r="F120" s="40"/>
      <c r="G120" s="157"/>
      <c r="H120" s="158" t="s">
        <v>12</v>
      </c>
      <c r="I120" s="610"/>
      <c r="J120" s="610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2" t="s">
        <v>19</v>
      </c>
      <c r="F121" s="40"/>
      <c r="G121" s="157"/>
      <c r="H121" s="158" t="s">
        <v>12</v>
      </c>
      <c r="I121" s="610"/>
      <c r="J121" s="610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1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6">
        <f t="shared" ref="L122:N122" ca="1" si="64">L123+L124</f>
        <v>0</v>
      </c>
      <c r="M122" s="496">
        <f t="shared" ca="1" si="64"/>
        <v>0</v>
      </c>
      <c r="N122" s="496">
        <f t="shared" ca="1" si="64"/>
        <v>0</v>
      </c>
      <c r="O122" s="496">
        <f t="shared" ca="1" si="61"/>
        <v>0</v>
      </c>
      <c r="P122" s="496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2"/>
      <c r="D123" s="40"/>
      <c r="E123" s="222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2"/>
      <c r="D124" s="40"/>
      <c r="E124" s="222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IFERROR(__xludf.DUMMYFUNCTION("IMPORTRANGE(""https://docs.google.com/spreadsheets/d/1MeEWN-I1oV_STSDYn1IFDPWt_1FKiwhDph83XaGc0o0/edit?usp=sharing"",""งบพรบ!BA66"")"),0)</f>
        <v>0</v>
      </c>
      <c r="M124" s="93">
        <f ca="1">IFERROR(__xludf.DUMMYFUNCTION("IMPORTRANGE(""https://docs.google.com/spreadsheets/d/1MeEWN-I1oV_STSDYn1IFDPWt_1FKiwhDph83XaGc0o0/edit?usp=sharing"",""งบพรบ!BF66"")"),0)</f>
        <v>0</v>
      </c>
      <c r="N124" s="93">
        <f ca="1">IFERROR(__xludf.DUMMYFUNCTION("IMPORTRANGE(""https://docs.google.com/spreadsheets/d/1MeEWN-I1oV_STSDYn1IFDPWt_1FKiwhDph83XaGc0o0/edit?usp=sharing"",""งบพรบ!BH66"")"),0)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1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6">
        <f t="shared" ref="L125:N125" ca="1" si="65">L126+L127</f>
        <v>0</v>
      </c>
      <c r="M125" s="496">
        <f t="shared" ca="1" si="65"/>
        <v>0</v>
      </c>
      <c r="N125" s="496">
        <f t="shared" ca="1" si="65"/>
        <v>0</v>
      </c>
      <c r="O125" s="496">
        <f t="shared" ca="1" si="61"/>
        <v>0</v>
      </c>
      <c r="P125" s="496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2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2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IFERROR(__xludf.DUMMYFUNCTION("IMPORTRANGE(""https://docs.google.com/spreadsheets/d/1MeEWN-I1oV_STSDYn1IFDPWt_1FKiwhDph83XaGc0o0/edit?usp=sharing"",""งบพรบ!BD66"")"),0)</f>
        <v>0</v>
      </c>
      <c r="M127" s="93">
        <f ca="1">IFERROR(__xludf.DUMMYFUNCTION("IMPORTRANGE(""https://docs.google.com/spreadsheets/d/1MeEWN-I1oV_STSDYn1IFDPWt_1FKiwhDph83XaGc0o0/edit?usp=sharing"",""งบพรบ!BG66"")"),0)</f>
        <v>0</v>
      </c>
      <c r="N127" s="93">
        <f ca="1">IFERROR(__xludf.DUMMYFUNCTION("IMPORTRANGE(""https://docs.google.com/spreadsheets/d/1MeEWN-I1oV_STSDYn1IFDPWt_1FKiwhDph83XaGc0o0/edit?usp=sharing"",""งบพรบ!BI66"")"),0)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66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8" t="s">
        <v>67</v>
      </c>
      <c r="C129" s="204"/>
      <c r="D129" s="141"/>
      <c r="E129" s="140"/>
      <c r="F129" s="140"/>
      <c r="G129" s="140"/>
      <c r="H129" s="207"/>
      <c r="I129" s="205"/>
      <c r="J129" s="205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8"/>
      <c r="C130" s="209" t="s">
        <v>68</v>
      </c>
      <c r="D130" s="141"/>
      <c r="E130" s="140"/>
      <c r="F130" s="140"/>
      <c r="G130" s="142"/>
      <c r="H130" s="143" t="s">
        <v>69</v>
      </c>
      <c r="I130" s="144">
        <f t="shared" ref="I130:J130" ca="1" si="66">I146</f>
        <v>0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8"/>
      <c r="C131" s="209" t="s">
        <v>70</v>
      </c>
      <c r="D131" s="141"/>
      <c r="E131" s="140"/>
      <c r="F131" s="140"/>
      <c r="G131" s="142"/>
      <c r="H131" s="143" t="s">
        <v>35</v>
      </c>
      <c r="I131" s="144">
        <f t="shared" ref="I131:J131" ca="1" si="68">I143</f>
        <v>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822" t="s">
        <v>17</v>
      </c>
      <c r="E132" s="148"/>
      <c r="F132" s="148"/>
      <c r="G132" s="151"/>
      <c r="H132" s="152" t="s">
        <v>12</v>
      </c>
      <c r="I132" s="419"/>
      <c r="J132" s="419"/>
      <c r="K132" s="154"/>
      <c r="L132" s="155">
        <f t="shared" ref="L132:N132" ca="1" si="69">L133+L134</f>
        <v>0</v>
      </c>
      <c r="M132" s="155">
        <f t="shared" ca="1" si="69"/>
        <v>0</v>
      </c>
      <c r="N132" s="155">
        <f t="shared" ca="1" si="69"/>
        <v>0</v>
      </c>
      <c r="O132" s="155">
        <f t="shared" ref="O132:O140" ca="1" si="70">IF(L132&gt;0,N132*100/L132,0)</f>
        <v>0</v>
      </c>
      <c r="P132" s="155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2" t="s">
        <v>18</v>
      </c>
      <c r="F133" s="40"/>
      <c r="G133" s="157"/>
      <c r="H133" s="158" t="s">
        <v>12</v>
      </c>
      <c r="I133" s="610"/>
      <c r="J133" s="610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2" t="s">
        <v>19</v>
      </c>
      <c r="F134" s="40"/>
      <c r="G134" s="157"/>
      <c r="H134" s="158" t="s">
        <v>12</v>
      </c>
      <c r="I134" s="610"/>
      <c r="J134" s="610"/>
      <c r="K134" s="93"/>
      <c r="L134" s="93">
        <f t="shared" ca="1" si="72"/>
        <v>0</v>
      </c>
      <c r="M134" s="93">
        <f t="shared" ca="1" si="72"/>
        <v>0</v>
      </c>
      <c r="N134" s="93">
        <f t="shared" ca="1" si="72"/>
        <v>0</v>
      </c>
      <c r="O134" s="93">
        <f t="shared" ca="1" si="70"/>
        <v>0</v>
      </c>
      <c r="P134" s="93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1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6">
        <f t="shared" ref="L135:N135" ca="1" si="73">L136+L137</f>
        <v>0</v>
      </c>
      <c r="M135" s="496">
        <f t="shared" ca="1" si="73"/>
        <v>0</v>
      </c>
      <c r="N135" s="496">
        <f t="shared" ca="1" si="73"/>
        <v>0</v>
      </c>
      <c r="O135" s="496">
        <f t="shared" ca="1" si="70"/>
        <v>0</v>
      </c>
      <c r="P135" s="496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2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2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IFERROR(__xludf.DUMMYFUNCTION("IMPORTRANGE(""https://docs.google.com/spreadsheets/d/1MeEWN-I1oV_STSDYn1IFDPWt_1FKiwhDph83XaGc0o0/edit?usp=sharing"",""งบพรบ!BK66"")"),0)</f>
        <v>0</v>
      </c>
      <c r="M137" s="93">
        <f ca="1">IFERROR(__xludf.DUMMYFUNCTION("IMPORTRANGE(""https://docs.google.com/spreadsheets/d/1MeEWN-I1oV_STSDYn1IFDPWt_1FKiwhDph83XaGc0o0/edit?usp=sharing"",""งบพรบ!BP66"")"),0)</f>
        <v>0</v>
      </c>
      <c r="N137" s="93">
        <f ca="1">IFERROR(__xludf.DUMMYFUNCTION("IMPORTRANGE(""https://docs.google.com/spreadsheets/d/1MeEWN-I1oV_STSDYn1IFDPWt_1FKiwhDph83XaGc0o0/edit?usp=sharing"",""งบพรบ!BR66"")"),0)</f>
        <v>0</v>
      </c>
      <c r="O137" s="93">
        <f t="shared" ca="1" si="70"/>
        <v>0</v>
      </c>
      <c r="P137" s="93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1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6">
        <f t="shared" ref="L138:N138" ca="1" si="74">L139+L140</f>
        <v>0</v>
      </c>
      <c r="M138" s="496">
        <f t="shared" ca="1" si="74"/>
        <v>0</v>
      </c>
      <c r="N138" s="496">
        <f t="shared" ca="1" si="74"/>
        <v>0</v>
      </c>
      <c r="O138" s="496">
        <f t="shared" ca="1" si="70"/>
        <v>0</v>
      </c>
      <c r="P138" s="496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2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2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IFERROR(__xludf.DUMMYFUNCTION("IMPORTRANGE(""https://docs.google.com/spreadsheets/d/1MeEWN-I1oV_STSDYn1IFDPWt_1FKiwhDph83XaGc0o0/edit?usp=sharing"",""งบพรบ!BN66"")"),0)</f>
        <v>0</v>
      </c>
      <c r="M140" s="93">
        <f ca="1">IFERROR(__xludf.DUMMYFUNCTION("IMPORTRANGE(""https://docs.google.com/spreadsheets/d/1MeEWN-I1oV_STSDYn1IFDPWt_1FKiwhDph83XaGc0o0/edit?usp=sharing"",""งบพรบ!BQ66"")"),0)</f>
        <v>0</v>
      </c>
      <c r="N140" s="93">
        <f ca="1">IFERROR(__xludf.DUMMYFUNCTION("IMPORTRANGE(""https://docs.google.com/spreadsheets/d/1MeEWN-I1oV_STSDYn1IFDPWt_1FKiwhDph83XaGc0o0/edit?usp=sharing"",""งบพรบ!BS66"")"),0)</f>
        <v>0</v>
      </c>
      <c r="O140" s="93">
        <f t="shared" ca="1" si="70"/>
        <v>0</v>
      </c>
      <c r="P140" s="93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823" t="s">
        <v>38</v>
      </c>
      <c r="E141" s="173"/>
      <c r="F141" s="173"/>
      <c r="G141" s="174"/>
      <c r="H141" s="168"/>
      <c r="I141" s="269"/>
      <c r="J141" s="269"/>
      <c r="K141" s="496"/>
      <c r="L141" s="496"/>
      <c r="M141" s="496"/>
      <c r="N141" s="496"/>
      <c r="O141" s="496"/>
      <c r="P141" s="496"/>
    </row>
    <row r="142" spans="1:26" ht="19.5" hidden="1">
      <c r="A142" s="159"/>
      <c r="B142" s="33"/>
      <c r="C142" s="210"/>
      <c r="D142" s="281" t="s">
        <v>71</v>
      </c>
      <c r="E142" s="34"/>
      <c r="F142" s="33"/>
      <c r="G142" s="213"/>
      <c r="H142" s="168"/>
      <c r="I142" s="269"/>
      <c r="J142" s="214">
        <v>0</v>
      </c>
      <c r="K142" s="496"/>
      <c r="L142" s="496"/>
      <c r="M142" s="496"/>
      <c r="N142" s="496"/>
      <c r="O142" s="496"/>
      <c r="P142" s="496"/>
    </row>
    <row r="143" spans="1:26" ht="19.5" hidden="1">
      <c r="A143" s="159"/>
      <c r="B143" s="33"/>
      <c r="C143" s="210"/>
      <c r="D143" s="281" t="s">
        <v>72</v>
      </c>
      <c r="E143" s="34"/>
      <c r="F143" s="33"/>
      <c r="G143" s="213"/>
      <c r="H143" s="168" t="s">
        <v>35</v>
      </c>
      <c r="I143" s="269">
        <f ca="1">I145</f>
        <v>0</v>
      </c>
      <c r="J143" s="269">
        <f ca="1">IF(AND(J144&gt;=I144,J145&gt;=I145),J145,0)</f>
        <v>0</v>
      </c>
      <c r="K143" s="496">
        <f t="shared" ref="K143:K146" ca="1" si="75">IF(I143&gt;0,J143*100/I143,0)</f>
        <v>0</v>
      </c>
      <c r="L143" s="496"/>
      <c r="M143" s="496"/>
      <c r="N143" s="496"/>
      <c r="O143" s="496"/>
      <c r="P143" s="496"/>
    </row>
    <row r="144" spans="1:26" ht="19.5" hidden="1">
      <c r="A144" s="159"/>
      <c r="B144" s="33"/>
      <c r="C144" s="210"/>
      <c r="D144" s="178"/>
      <c r="E144" s="281" t="s">
        <v>73</v>
      </c>
      <c r="F144" s="33"/>
      <c r="G144" s="213"/>
      <c r="H144" s="168" t="s">
        <v>35</v>
      </c>
      <c r="I144" s="269">
        <f ca="1">IFERROR(__xludf.DUMMYFUNCTION("IMPORTRANGE(""https://docs.google.com/spreadsheets/d/1QqKyyYR6Q21VydFLVH3TRQUabQu_ym0Zz7PgGX0-kHA/edit?usp=sharing"",""แผน!U66"")"),0)</f>
        <v>0</v>
      </c>
      <c r="J144" s="214">
        <v>0</v>
      </c>
      <c r="K144" s="496">
        <f t="shared" ca="1" si="75"/>
        <v>0</v>
      </c>
      <c r="L144" s="496"/>
      <c r="M144" s="496"/>
      <c r="N144" s="496"/>
      <c r="O144" s="496"/>
      <c r="P144" s="496"/>
    </row>
    <row r="145" spans="1:26" ht="19.5" hidden="1">
      <c r="A145" s="159"/>
      <c r="B145" s="33"/>
      <c r="C145" s="210"/>
      <c r="D145" s="178"/>
      <c r="E145" s="281" t="s">
        <v>74</v>
      </c>
      <c r="F145" s="33"/>
      <c r="G145" s="213"/>
      <c r="H145" s="168" t="s">
        <v>35</v>
      </c>
      <c r="I145" s="269">
        <f ca="1">IFERROR(__xludf.DUMMYFUNCTION("IMPORTRANGE(""https://docs.google.com/spreadsheets/d/1QqKyyYR6Q21VydFLVH3TRQUabQu_ym0Zz7PgGX0-kHA/edit?usp=sharing"",""แผน!V66"")"),0)</f>
        <v>0</v>
      </c>
      <c r="J145" s="214">
        <v>0</v>
      </c>
      <c r="K145" s="496">
        <f t="shared" ca="1" si="75"/>
        <v>0</v>
      </c>
      <c r="L145" s="496"/>
      <c r="M145" s="496"/>
      <c r="N145" s="496"/>
      <c r="O145" s="496"/>
      <c r="P145" s="496"/>
    </row>
    <row r="146" spans="1:26" ht="19.5" hidden="1">
      <c r="A146" s="159"/>
      <c r="B146" s="33"/>
      <c r="C146" s="210"/>
      <c r="D146" s="281" t="s">
        <v>75</v>
      </c>
      <c r="E146" s="34"/>
      <c r="F146" s="33"/>
      <c r="G146" s="213"/>
      <c r="H146" s="168" t="s">
        <v>69</v>
      </c>
      <c r="I146" s="269">
        <f ca="1">IFERROR(__xludf.DUMMYFUNCTION("IMPORTRANGE(""https://docs.google.com/spreadsheets/d/1QqKyyYR6Q21VydFLVH3TRQUabQu_ym0Zz7PgGX0-kHA/edit?usp=sharing"",""แผน!W66"")"),0)</f>
        <v>0</v>
      </c>
      <c r="J146" s="214">
        <v>0</v>
      </c>
      <c r="K146" s="496">
        <f t="shared" ca="1" si="75"/>
        <v>0</v>
      </c>
      <c r="L146" s="496"/>
      <c r="M146" s="496"/>
      <c r="N146" s="496"/>
      <c r="O146" s="496"/>
      <c r="P146" s="496"/>
    </row>
    <row r="147" spans="1:26" ht="19.5" hidden="1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 hidden="1">
      <c r="A148" s="216"/>
      <c r="B148" s="208" t="s">
        <v>77</v>
      </c>
      <c r="C148" s="208"/>
      <c r="D148" s="208"/>
      <c r="E148" s="824"/>
      <c r="F148" s="218"/>
      <c r="G148" s="219"/>
      <c r="H148" s="220" t="s">
        <v>35</v>
      </c>
      <c r="I148" s="144">
        <f t="shared" ref="I148:J148" ca="1" si="76">I159</f>
        <v>0</v>
      </c>
      <c r="J148" s="144">
        <f t="shared" si="76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1"/>
      <c r="R148" s="221"/>
      <c r="S148" s="221"/>
      <c r="T148" s="221"/>
      <c r="U148" s="221"/>
      <c r="V148" s="221"/>
      <c r="W148" s="221"/>
      <c r="X148" s="221"/>
      <c r="Y148" s="221"/>
      <c r="Z148" s="221"/>
    </row>
    <row r="149" spans="1:26" ht="19.5" hidden="1">
      <c r="A149" s="147"/>
      <c r="B149" s="148"/>
      <c r="C149" s="149" t="s">
        <v>16</v>
      </c>
      <c r="D149" s="822" t="s">
        <v>17</v>
      </c>
      <c r="E149" s="148"/>
      <c r="F149" s="148"/>
      <c r="G149" s="151"/>
      <c r="H149" s="152" t="s">
        <v>12</v>
      </c>
      <c r="I149" s="419"/>
      <c r="J149" s="419"/>
      <c r="K149" s="154"/>
      <c r="L149" s="155">
        <f t="shared" ref="L149:N149" ca="1" si="77">L150+L151</f>
        <v>0</v>
      </c>
      <c r="M149" s="155">
        <f t="shared" ca="1" si="77"/>
        <v>0</v>
      </c>
      <c r="N149" s="155">
        <f t="shared" ca="1" si="77"/>
        <v>0</v>
      </c>
      <c r="O149" s="155">
        <f t="shared" ref="O149:O157" ca="1" si="78">IF(L149&gt;0,N149*100/L149,0)</f>
        <v>0</v>
      </c>
      <c r="P149" s="155">
        <f t="shared" ref="P149:P157" ca="1" si="79">IF(M149&gt;0,N149*100/M149,0)</f>
        <v>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2" t="s">
        <v>18</v>
      </c>
      <c r="F150" s="40"/>
      <c r="G150" s="157"/>
      <c r="H150" s="158" t="s">
        <v>12</v>
      </c>
      <c r="I150" s="610"/>
      <c r="J150" s="610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2" t="s">
        <v>19</v>
      </c>
      <c r="F151" s="40"/>
      <c r="G151" s="157"/>
      <c r="H151" s="158" t="s">
        <v>12</v>
      </c>
      <c r="I151" s="610"/>
      <c r="J151" s="610"/>
      <c r="K151" s="93"/>
      <c r="L151" s="93">
        <f t="shared" ca="1" si="80"/>
        <v>0</v>
      </c>
      <c r="M151" s="93">
        <f t="shared" ca="1" si="80"/>
        <v>0</v>
      </c>
      <c r="N151" s="93">
        <f t="shared" ca="1" si="80"/>
        <v>0</v>
      </c>
      <c r="O151" s="93">
        <f t="shared" ca="1" si="78"/>
        <v>0</v>
      </c>
      <c r="P151" s="93">
        <f t="shared" ca="1" si="79"/>
        <v>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 hidden="1">
      <c r="A152" s="159"/>
      <c r="B152" s="33"/>
      <c r="C152" s="281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6">
        <f t="shared" ref="L152:N152" ca="1" si="81">L153+L154</f>
        <v>0</v>
      </c>
      <c r="M152" s="496">
        <f t="shared" ca="1" si="81"/>
        <v>0</v>
      </c>
      <c r="N152" s="496">
        <f t="shared" ca="1" si="81"/>
        <v>0</v>
      </c>
      <c r="O152" s="496">
        <f t="shared" ca="1" si="78"/>
        <v>0</v>
      </c>
      <c r="P152" s="496">
        <f t="shared" ca="1" si="79"/>
        <v>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2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2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IFERROR(__xludf.DUMMYFUNCTION("IMPORTRANGE(""https://docs.google.com/spreadsheets/d/1MeEWN-I1oV_STSDYn1IFDPWt_1FKiwhDph83XaGc0o0/edit?usp=sharing"",""งบพรบ!BU66"")"),0)</f>
        <v>0</v>
      </c>
      <c r="M154" s="93">
        <f ca="1">IFERROR(__xludf.DUMMYFUNCTION("IMPORTRANGE(""https://docs.google.com/spreadsheets/d/1MeEWN-I1oV_STSDYn1IFDPWt_1FKiwhDph83XaGc0o0/edit?usp=sharing"",""งบพรบ!BZ66"")"),0)</f>
        <v>0</v>
      </c>
      <c r="N154" s="93">
        <f ca="1">IFERROR(__xludf.DUMMYFUNCTION("IMPORTRANGE(""https://docs.google.com/spreadsheets/d/1MeEWN-I1oV_STSDYn1IFDPWt_1FKiwhDph83XaGc0o0/edit?usp=sharing"",""งบพรบ!CB66"")"),0)</f>
        <v>0</v>
      </c>
      <c r="O154" s="93">
        <f t="shared" ca="1" si="78"/>
        <v>0</v>
      </c>
      <c r="P154" s="93">
        <f t="shared" ca="1" si="79"/>
        <v>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 hidden="1">
      <c r="A155" s="159"/>
      <c r="B155" s="33"/>
      <c r="C155" s="281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6">
        <f t="shared" ref="L155:N155" ca="1" si="82">L156+L157</f>
        <v>0</v>
      </c>
      <c r="M155" s="496">
        <f t="shared" ca="1" si="82"/>
        <v>0</v>
      </c>
      <c r="N155" s="496">
        <f t="shared" ca="1" si="82"/>
        <v>0</v>
      </c>
      <c r="O155" s="496">
        <f t="shared" ca="1" si="78"/>
        <v>0</v>
      </c>
      <c r="P155" s="496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2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2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IFERROR(__xludf.DUMMYFUNCTION("IMPORTRANGE(""https://docs.google.com/spreadsheets/d/1MeEWN-I1oV_STSDYn1IFDPWt_1FKiwhDph83XaGc0o0/edit?usp=sharing"",""งบพรบ!BX66"")"),0)</f>
        <v>0</v>
      </c>
      <c r="M157" s="93">
        <f ca="1">IFERROR(__xludf.DUMMYFUNCTION("IMPORTRANGE(""https://docs.google.com/spreadsheets/d/1MeEWN-I1oV_STSDYn1IFDPWt_1FKiwhDph83XaGc0o0/edit?usp=sharing"",""งบพรบ!CA66"")"),0)</f>
        <v>0</v>
      </c>
      <c r="N157" s="93">
        <f ca="1">IFERROR(__xludf.DUMMYFUNCTION("IMPORTRANGE(""https://docs.google.com/spreadsheets/d/1MeEWN-I1oV_STSDYn1IFDPWt_1FKiwhDph83XaGc0o0/edit?usp=sharing"",""งบพรบ!CC66"")"),0)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 hidden="1">
      <c r="A158" s="170"/>
      <c r="B158" s="171"/>
      <c r="C158" s="164" t="s">
        <v>16</v>
      </c>
      <c r="D158" s="823" t="s">
        <v>38</v>
      </c>
      <c r="E158" s="173"/>
      <c r="F158" s="173"/>
      <c r="G158" s="174"/>
      <c r="H158" s="168"/>
      <c r="I158" s="269"/>
      <c r="J158" s="269"/>
      <c r="K158" s="496"/>
      <c r="L158" s="496"/>
      <c r="M158" s="496"/>
      <c r="N158" s="496"/>
      <c r="O158" s="496"/>
      <c r="P158" s="496"/>
    </row>
    <row r="159" spans="1:26" ht="19.5" hidden="1">
      <c r="A159" s="159"/>
      <c r="B159" s="33"/>
      <c r="C159" s="210"/>
      <c r="D159" s="281" t="s">
        <v>78</v>
      </c>
      <c r="E159" s="34"/>
      <c r="F159" s="33"/>
      <c r="G159" s="213"/>
      <c r="H159" s="168" t="s">
        <v>35</v>
      </c>
      <c r="I159" s="269">
        <f ca="1">IFERROR(__xludf.DUMMYFUNCTION("IMPORTRANGE(""https://docs.google.com/spreadsheets/d/1QqKyyYR6Q21VydFLVH3TRQUabQu_ym0Zz7PgGX0-kHA/edit?usp=sharing"",""แผน!X66"")"),0)</f>
        <v>0</v>
      </c>
      <c r="J159" s="214">
        <v>0</v>
      </c>
      <c r="K159" s="496">
        <f ca="1">IF(I159&gt;0,J159*100/I159,0)</f>
        <v>0</v>
      </c>
      <c r="L159" s="496"/>
      <c r="M159" s="496"/>
      <c r="N159" s="496"/>
      <c r="O159" s="496"/>
      <c r="P159" s="496"/>
    </row>
    <row r="160" spans="1:26" ht="19.5" hidden="1">
      <c r="A160" s="156"/>
      <c r="B160" s="40"/>
      <c r="C160" s="164"/>
      <c r="D160" s="222" t="s">
        <v>79</v>
      </c>
      <c r="E160" s="223"/>
      <c r="F160" s="40"/>
      <c r="G160" s="157"/>
      <c r="H160" s="169" t="s">
        <v>35</v>
      </c>
      <c r="I160" s="610"/>
      <c r="J160" s="610"/>
      <c r="K160" s="93"/>
      <c r="L160" s="93"/>
      <c r="M160" s="93"/>
      <c r="N160" s="93"/>
      <c r="O160" s="93"/>
      <c r="P160" s="93"/>
      <c r="Q160" s="224"/>
      <c r="R160" s="224"/>
      <c r="S160" s="224"/>
      <c r="T160" s="224"/>
      <c r="U160" s="224"/>
      <c r="V160" s="224"/>
      <c r="W160" s="224"/>
      <c r="X160" s="224"/>
      <c r="Y160" s="224"/>
      <c r="Z160" s="224"/>
    </row>
    <row r="161" spans="1:26" ht="19.5" hidden="1">
      <c r="A161" s="225"/>
      <c r="B161" s="226"/>
      <c r="C161" s="227"/>
      <c r="D161" s="228" t="s">
        <v>80</v>
      </c>
      <c r="E161" s="825"/>
      <c r="F161" s="226"/>
      <c r="G161" s="230"/>
      <c r="H161" s="231" t="s">
        <v>35</v>
      </c>
      <c r="I161" s="232"/>
      <c r="J161" s="232"/>
      <c r="K161" s="233"/>
      <c r="L161" s="233"/>
      <c r="M161" s="233"/>
      <c r="N161" s="233"/>
      <c r="O161" s="233"/>
      <c r="P161" s="233"/>
      <c r="Q161" s="224"/>
      <c r="R161" s="224"/>
      <c r="S161" s="224"/>
      <c r="T161" s="224"/>
      <c r="U161" s="224"/>
      <c r="V161" s="224"/>
      <c r="W161" s="224"/>
      <c r="X161" s="224"/>
      <c r="Y161" s="224"/>
      <c r="Z161" s="224"/>
    </row>
    <row r="162" spans="1:26" ht="19.5">
      <c r="A162" s="234" t="s">
        <v>81</v>
      </c>
      <c r="B162" s="235"/>
      <c r="C162" s="235"/>
      <c r="D162" s="235"/>
      <c r="E162" s="236"/>
      <c r="F162" s="236"/>
      <c r="G162" s="237"/>
      <c r="H162" s="238"/>
      <c r="I162" s="239"/>
      <c r="J162" s="239"/>
      <c r="K162" s="240"/>
      <c r="L162" s="240"/>
      <c r="M162" s="240"/>
      <c r="N162" s="240"/>
      <c r="O162" s="240"/>
      <c r="P162" s="240"/>
    </row>
    <row r="163" spans="1:26" ht="19.5">
      <c r="A163" s="241" t="s">
        <v>82</v>
      </c>
      <c r="B163" s="242"/>
      <c r="C163" s="242"/>
      <c r="D163" s="243"/>
      <c r="E163" s="243"/>
      <c r="F163" s="243"/>
      <c r="G163" s="244"/>
      <c r="H163" s="245"/>
      <c r="I163" s="246"/>
      <c r="J163" s="246"/>
      <c r="K163" s="247"/>
      <c r="L163" s="247"/>
      <c r="M163" s="247"/>
      <c r="N163" s="247"/>
      <c r="O163" s="247"/>
      <c r="P163" s="247"/>
    </row>
    <row r="164" spans="1:26" ht="19.5">
      <c r="A164" s="248"/>
      <c r="B164" s="249" t="s">
        <v>83</v>
      </c>
      <c r="C164" s="250"/>
      <c r="D164" s="173"/>
      <c r="E164" s="173"/>
      <c r="F164" s="173"/>
      <c r="G164" s="174"/>
      <c r="H164" s="251" t="s">
        <v>35</v>
      </c>
      <c r="I164" s="252">
        <f t="shared" ref="I164:J164" ca="1" si="83">I174+I177</f>
        <v>10</v>
      </c>
      <c r="J164" s="252">
        <f t="shared" si="83"/>
        <v>10</v>
      </c>
      <c r="K164" s="253">
        <f ca="1">IF(I164&gt;0,J164*100/I164,0)</f>
        <v>100</v>
      </c>
      <c r="L164" s="254"/>
      <c r="M164" s="254"/>
      <c r="N164" s="254"/>
      <c r="O164" s="254"/>
      <c r="P164" s="254"/>
    </row>
    <row r="165" spans="1:26" ht="19.5">
      <c r="A165" s="147"/>
      <c r="B165" s="148"/>
      <c r="C165" s="149" t="s">
        <v>16</v>
      </c>
      <c r="D165" s="822" t="s">
        <v>17</v>
      </c>
      <c r="E165" s="148"/>
      <c r="F165" s="148"/>
      <c r="G165" s="151"/>
      <c r="H165" s="152" t="s">
        <v>12</v>
      </c>
      <c r="I165" s="419"/>
      <c r="J165" s="419"/>
      <c r="K165" s="154"/>
      <c r="L165" s="155">
        <f t="shared" ref="L165:N165" ca="1" si="84">L166+L167</f>
        <v>21050</v>
      </c>
      <c r="M165" s="155">
        <f t="shared" ca="1" si="84"/>
        <v>21050</v>
      </c>
      <c r="N165" s="155">
        <f t="shared" ca="1" si="84"/>
        <v>21050</v>
      </c>
      <c r="O165" s="155">
        <f t="shared" ref="O165:O173" ca="1" si="85">IF(L165&gt;0,N165*100/L165,0)</f>
        <v>100</v>
      </c>
      <c r="P165" s="155">
        <f t="shared" ref="P165:P173" ca="1" si="86">IF(M165&gt;0,N165*100/M165,0)</f>
        <v>100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2" t="s">
        <v>18</v>
      </c>
      <c r="F166" s="40"/>
      <c r="G166" s="157"/>
      <c r="H166" s="158" t="s">
        <v>12</v>
      </c>
      <c r="I166" s="610"/>
      <c r="J166" s="610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2" t="s">
        <v>19</v>
      </c>
      <c r="F167" s="40"/>
      <c r="G167" s="157"/>
      <c r="H167" s="158" t="s">
        <v>12</v>
      </c>
      <c r="I167" s="610"/>
      <c r="J167" s="610"/>
      <c r="K167" s="93"/>
      <c r="L167" s="93">
        <f t="shared" ca="1" si="87"/>
        <v>21050</v>
      </c>
      <c r="M167" s="93">
        <f t="shared" ca="1" si="87"/>
        <v>21050</v>
      </c>
      <c r="N167" s="93">
        <f t="shared" ca="1" si="87"/>
        <v>21050</v>
      </c>
      <c r="O167" s="93">
        <f t="shared" ca="1" si="85"/>
        <v>100</v>
      </c>
      <c r="P167" s="93">
        <f t="shared" ca="1" si="86"/>
        <v>100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1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6">
        <f t="shared" ref="L168:N168" ca="1" si="88">L169+L170</f>
        <v>21050</v>
      </c>
      <c r="M168" s="496">
        <f t="shared" ca="1" si="88"/>
        <v>21050</v>
      </c>
      <c r="N168" s="496">
        <f t="shared" ca="1" si="88"/>
        <v>21050</v>
      </c>
      <c r="O168" s="496">
        <f t="shared" ca="1" si="85"/>
        <v>100</v>
      </c>
      <c r="P168" s="496">
        <f t="shared" ca="1" si="86"/>
        <v>100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2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2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IFERROR(__xludf.DUMMYFUNCTION("IMPORTRANGE(""https://docs.google.com/spreadsheets/d/1MeEWN-I1oV_STSDYn1IFDPWt_1FKiwhDph83XaGc0o0/edit?usp=sharing"",""งบพรบ!CE66"")"),21050)</f>
        <v>21050</v>
      </c>
      <c r="M170" s="93">
        <f ca="1">IFERROR(__xludf.DUMMYFUNCTION("IMPORTRANGE(""https://docs.google.com/spreadsheets/d/1MeEWN-I1oV_STSDYn1IFDPWt_1FKiwhDph83XaGc0o0/edit?usp=sharing"",""งบพรบ!CJ66"")"),21050)</f>
        <v>21050</v>
      </c>
      <c r="N170" s="93">
        <f ca="1">IFERROR(__xludf.DUMMYFUNCTION("IMPORTRANGE(""https://docs.google.com/spreadsheets/d/1MeEWN-I1oV_STSDYn1IFDPWt_1FKiwhDph83XaGc0o0/edit?usp=sharing"",""งบพรบ!CL66"")"),21050)</f>
        <v>21050</v>
      </c>
      <c r="O170" s="93">
        <f t="shared" ca="1" si="85"/>
        <v>100</v>
      </c>
      <c r="P170" s="93">
        <f t="shared" ca="1" si="86"/>
        <v>100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1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6">
        <f t="shared" ref="L171:N171" ca="1" si="89">L172+L173</f>
        <v>0</v>
      </c>
      <c r="M171" s="496">
        <f t="shared" ca="1" si="89"/>
        <v>0</v>
      </c>
      <c r="N171" s="496">
        <f t="shared" ca="1" si="89"/>
        <v>0</v>
      </c>
      <c r="O171" s="496">
        <f t="shared" ca="1" si="85"/>
        <v>0</v>
      </c>
      <c r="P171" s="496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2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2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IFERROR(__xludf.DUMMYFUNCTION("IMPORTRANGE(""https://docs.google.com/spreadsheets/d/1MeEWN-I1oV_STSDYn1IFDPWt_1FKiwhDph83XaGc0o0/edit?usp=sharing"",""งบพรบ!CH66"")"),0)</f>
        <v>0</v>
      </c>
      <c r="M173" s="93">
        <f ca="1">IFERROR(__xludf.DUMMYFUNCTION("IMPORTRANGE(""https://docs.google.com/spreadsheets/d/1MeEWN-I1oV_STSDYn1IFDPWt_1FKiwhDph83XaGc0o0/edit?usp=sharing"",""งบพรบ!CK66"")"),0)</f>
        <v>0</v>
      </c>
      <c r="N173" s="93">
        <f ca="1">IFERROR(__xludf.DUMMYFUNCTION("IMPORTRANGE(""https://docs.google.com/spreadsheets/d/1MeEWN-I1oV_STSDYn1IFDPWt_1FKiwhDph83XaGc0o0/edit?usp=sharing"",""งบพรบ!CM66"")"),0)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5"/>
      <c r="B174" s="256"/>
      <c r="C174" s="257" t="s">
        <v>84</v>
      </c>
      <c r="D174" s="256"/>
      <c r="E174" s="256"/>
      <c r="F174" s="256"/>
      <c r="G174" s="258"/>
      <c r="H174" s="259" t="s">
        <v>35</v>
      </c>
      <c r="I174" s="260">
        <f t="shared" ref="I174:J174" ca="1" si="90">I176</f>
        <v>10</v>
      </c>
      <c r="J174" s="260">
        <f t="shared" si="90"/>
        <v>10</v>
      </c>
      <c r="K174" s="261">
        <f ca="1">IF(I174&gt;0,J174*100/I174,0)</f>
        <v>100</v>
      </c>
      <c r="L174" s="261"/>
      <c r="M174" s="261"/>
      <c r="N174" s="261"/>
      <c r="O174" s="261"/>
      <c r="P174" s="261"/>
    </row>
    <row r="175" spans="1:26" ht="19.5">
      <c r="A175" s="170"/>
      <c r="B175" s="171"/>
      <c r="C175" s="164" t="s">
        <v>16</v>
      </c>
      <c r="D175" s="823" t="s">
        <v>38</v>
      </c>
      <c r="E175" s="173"/>
      <c r="F175" s="173"/>
      <c r="G175" s="174"/>
      <c r="H175" s="753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37" t="s">
        <v>85</v>
      </c>
      <c r="E176" s="178"/>
      <c r="F176" s="178"/>
      <c r="G176" s="179"/>
      <c r="H176" s="616" t="s">
        <v>35</v>
      </c>
      <c r="I176" s="269">
        <f ca="1">IFERROR(__xludf.DUMMYFUNCTION("IMPORTRANGE(""https://docs.google.com/spreadsheets/d/1QqKyyYR6Q21VydFLVH3TRQUabQu_ym0Zz7PgGX0-kHA/edit?usp=sharing"",""แผน!Y66"")"),10)</f>
        <v>10</v>
      </c>
      <c r="J176" s="214">
        <v>10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5"/>
      <c r="B177" s="263"/>
      <c r="C177" s="264" t="s">
        <v>86</v>
      </c>
      <c r="D177" s="263"/>
      <c r="E177" s="256"/>
      <c r="F177" s="256"/>
      <c r="G177" s="258"/>
      <c r="H177" s="265" t="s">
        <v>35</v>
      </c>
      <c r="I177" s="260"/>
      <c r="J177" s="260">
        <f>J179</f>
        <v>0</v>
      </c>
      <c r="K177" s="261"/>
      <c r="L177" s="261"/>
      <c r="M177" s="261"/>
      <c r="N177" s="261"/>
      <c r="O177" s="261"/>
      <c r="P177" s="261"/>
    </row>
    <row r="178" spans="1:26" ht="19.5" hidden="1">
      <c r="A178" s="170"/>
      <c r="B178" s="171"/>
      <c r="C178" s="164" t="s">
        <v>16</v>
      </c>
      <c r="D178" s="266" t="s">
        <v>38</v>
      </c>
      <c r="E178" s="173"/>
      <c r="F178" s="173"/>
      <c r="G178" s="174"/>
      <c r="H178" s="753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3" t="s">
        <v>87</v>
      </c>
      <c r="E179" s="178"/>
      <c r="F179" s="366"/>
      <c r="G179" s="179"/>
      <c r="H179" s="43" t="s">
        <v>35</v>
      </c>
      <c r="I179" s="269"/>
      <c r="J179" s="269"/>
      <c r="K179" s="163"/>
      <c r="L179" s="163"/>
      <c r="M179" s="163"/>
      <c r="N179" s="163"/>
      <c r="O179" s="163"/>
      <c r="P179" s="163"/>
    </row>
    <row r="180" spans="1:26" ht="19.5">
      <c r="A180" s="248"/>
      <c r="B180" s="249" t="s">
        <v>88</v>
      </c>
      <c r="C180" s="250"/>
      <c r="D180" s="173"/>
      <c r="E180" s="173"/>
      <c r="F180" s="173"/>
      <c r="G180" s="174"/>
      <c r="H180" s="251" t="s">
        <v>35</v>
      </c>
      <c r="I180" s="252">
        <f t="shared" ref="I180:J180" ca="1" si="91">I225+I226</f>
        <v>20</v>
      </c>
      <c r="J180" s="252">
        <f t="shared" si="91"/>
        <v>0</v>
      </c>
      <c r="K180" s="253">
        <f ca="1">IF(I180&gt;0,J180*100/I180,0)</f>
        <v>0</v>
      </c>
      <c r="L180" s="254"/>
      <c r="M180" s="254"/>
      <c r="N180" s="254"/>
      <c r="O180" s="254"/>
      <c r="P180" s="254"/>
    </row>
    <row r="181" spans="1:26" ht="19.5">
      <c r="A181" s="147"/>
      <c r="B181" s="148"/>
      <c r="C181" s="149" t="s">
        <v>16</v>
      </c>
      <c r="D181" s="822" t="s">
        <v>17</v>
      </c>
      <c r="E181" s="148"/>
      <c r="F181" s="148"/>
      <c r="G181" s="151"/>
      <c r="H181" s="152" t="s">
        <v>12</v>
      </c>
      <c r="I181" s="419"/>
      <c r="J181" s="419"/>
      <c r="K181" s="154"/>
      <c r="L181" s="155">
        <f t="shared" ref="L181:N181" ca="1" si="92">L182+L183</f>
        <v>253200</v>
      </c>
      <c r="M181" s="155">
        <f t="shared" ca="1" si="92"/>
        <v>123500</v>
      </c>
      <c r="N181" s="155">
        <f t="shared" ca="1" si="92"/>
        <v>52980</v>
      </c>
      <c r="O181" s="155">
        <f t="shared" ref="O181:O189" ca="1" si="93">IF(L181&gt;0,N181*100/L181,0)</f>
        <v>20.924170616113745</v>
      </c>
      <c r="P181" s="155">
        <f t="shared" ref="P181:P189" ca="1" si="94">IF(M181&gt;0,N181*100/M181,0)</f>
        <v>42.898785425101217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2" t="s">
        <v>18</v>
      </c>
      <c r="F182" s="40"/>
      <c r="G182" s="157"/>
      <c r="H182" s="158" t="s">
        <v>12</v>
      </c>
      <c r="I182" s="610"/>
      <c r="J182" s="610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2" t="s">
        <v>19</v>
      </c>
      <c r="F183" s="40"/>
      <c r="G183" s="157"/>
      <c r="H183" s="158" t="s">
        <v>12</v>
      </c>
      <c r="I183" s="610"/>
      <c r="J183" s="610"/>
      <c r="K183" s="93"/>
      <c r="L183" s="93">
        <f t="shared" ca="1" si="95"/>
        <v>253200</v>
      </c>
      <c r="M183" s="93">
        <f t="shared" ca="1" si="95"/>
        <v>123500</v>
      </c>
      <c r="N183" s="93">
        <f t="shared" ca="1" si="95"/>
        <v>52980</v>
      </c>
      <c r="O183" s="93">
        <f t="shared" ca="1" si="93"/>
        <v>20.924170616113745</v>
      </c>
      <c r="P183" s="93">
        <f t="shared" ca="1" si="94"/>
        <v>42.898785425101217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1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6">
        <f t="shared" ref="L184:N184" ca="1" si="96">L185+L186</f>
        <v>253200</v>
      </c>
      <c r="M184" s="496">
        <f t="shared" ca="1" si="96"/>
        <v>123500</v>
      </c>
      <c r="N184" s="496">
        <f t="shared" ca="1" si="96"/>
        <v>52980</v>
      </c>
      <c r="O184" s="496">
        <f t="shared" ca="1" si="93"/>
        <v>20.924170616113745</v>
      </c>
      <c r="P184" s="496">
        <f t="shared" ca="1" si="94"/>
        <v>42.898785425101217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2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2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IFERROR(__xludf.DUMMYFUNCTION("IMPORTRANGE(""https://docs.google.com/spreadsheets/d/1MeEWN-I1oV_STSDYn1IFDPWt_1FKiwhDph83XaGc0o0/edit?usp=sharing"",""งบพรบ!CO66"")"),253200)</f>
        <v>253200</v>
      </c>
      <c r="M186" s="93">
        <f ca="1">IFERROR(__xludf.DUMMYFUNCTION("IMPORTRANGE(""https://docs.google.com/spreadsheets/d/1MeEWN-I1oV_STSDYn1IFDPWt_1FKiwhDph83XaGc0o0/edit?usp=sharing"",""งบพรบ!CT66"")"),123500)</f>
        <v>123500</v>
      </c>
      <c r="N186" s="93">
        <f ca="1">IFERROR(__xludf.DUMMYFUNCTION("IMPORTRANGE(""https://docs.google.com/spreadsheets/d/1MeEWN-I1oV_STSDYn1IFDPWt_1FKiwhDph83XaGc0o0/edit?usp=sharing"",""งบพรบ!CV66"")"),52980)</f>
        <v>52980</v>
      </c>
      <c r="O186" s="93">
        <f t="shared" ca="1" si="93"/>
        <v>20.924170616113745</v>
      </c>
      <c r="P186" s="93">
        <f t="shared" ca="1" si="94"/>
        <v>42.898785425101217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1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6">
        <f t="shared" ref="L187:N187" ca="1" si="97">L188+L189</f>
        <v>0</v>
      </c>
      <c r="M187" s="496">
        <f t="shared" ca="1" si="97"/>
        <v>0</v>
      </c>
      <c r="N187" s="496">
        <f t="shared" ca="1" si="97"/>
        <v>0</v>
      </c>
      <c r="O187" s="496">
        <f t="shared" ca="1" si="93"/>
        <v>0</v>
      </c>
      <c r="P187" s="496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2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2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IFERROR(__xludf.DUMMYFUNCTION("IMPORTRANGE(""https://docs.google.com/spreadsheets/d/1MeEWN-I1oV_STSDYn1IFDPWt_1FKiwhDph83XaGc0o0/edit?usp=sharing"",""งบพรบ!CR66"")"),0)</f>
        <v>0</v>
      </c>
      <c r="M189" s="93">
        <f ca="1">IFERROR(__xludf.DUMMYFUNCTION("IMPORTRANGE(""https://docs.google.com/spreadsheets/d/1MeEWN-I1oV_STSDYn1IFDPWt_1FKiwhDph83XaGc0o0/edit?usp=sharing"",""งบพรบ!CU66"")"),0)</f>
        <v>0</v>
      </c>
      <c r="N189" s="93">
        <f ca="1">IFERROR(__xludf.DUMMYFUNCTION("IMPORTRANGE(""https://docs.google.com/spreadsheets/d/1MeEWN-I1oV_STSDYn1IFDPWt_1FKiwhDph83XaGc0o0/edit?usp=sharing"",""งบพรบ!CW66"")"),0)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5"/>
      <c r="B190" s="263"/>
      <c r="C190" s="270" t="s">
        <v>89</v>
      </c>
      <c r="D190" s="256"/>
      <c r="E190" s="256"/>
      <c r="F190" s="256"/>
      <c r="G190" s="258"/>
      <c r="H190" s="259" t="s">
        <v>90</v>
      </c>
      <c r="I190" s="271">
        <f t="shared" ref="I190:J190" ca="1" si="98">I193</f>
        <v>4</v>
      </c>
      <c r="J190" s="271">
        <f t="shared" si="98"/>
        <v>1</v>
      </c>
      <c r="K190" s="272">
        <f ca="1">IF(I190&gt;0,J190*100/I190,0)</f>
        <v>25</v>
      </c>
      <c r="L190" s="261"/>
      <c r="M190" s="261"/>
      <c r="N190" s="261"/>
      <c r="O190" s="261"/>
      <c r="P190" s="261"/>
    </row>
    <row r="191" spans="1:26" ht="19.5">
      <c r="A191" s="147"/>
      <c r="B191" s="148"/>
      <c r="C191" s="149" t="s">
        <v>16</v>
      </c>
      <c r="D191" s="826" t="s">
        <v>17</v>
      </c>
      <c r="E191" s="148"/>
      <c r="F191" s="148"/>
      <c r="G191" s="151"/>
      <c r="H191" s="274" t="s">
        <v>12</v>
      </c>
      <c r="I191" s="419"/>
      <c r="J191" s="419"/>
      <c r="K191" s="154"/>
      <c r="L191" s="155">
        <f ca="1">IFERROR(__xludf.DUMMYFUNCTION("IMPORTRANGE(""https://docs.google.com/spreadsheets/d/1QqKyyYR6Q21VydFLVH3TRQUabQu_ym0Zz7PgGX0-kHA/edit?usp=sharing"",""แผน!Z66"")"),6000)</f>
        <v>6000</v>
      </c>
      <c r="M191" s="155"/>
      <c r="N191" s="275">
        <v>0</v>
      </c>
      <c r="O191" s="155">
        <f ca="1">IF(L191&gt;0,N191*100/L191,0)</f>
        <v>0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0" t="s">
        <v>16</v>
      </c>
      <c r="D192" s="823" t="s">
        <v>38</v>
      </c>
      <c r="E192" s="173"/>
      <c r="F192" s="173"/>
      <c r="G192" s="174"/>
      <c r="H192" s="753"/>
      <c r="I192" s="269"/>
      <c r="J192" s="269"/>
      <c r="K192" s="496"/>
      <c r="L192" s="496"/>
      <c r="M192" s="496"/>
      <c r="N192" s="496"/>
      <c r="O192" s="496"/>
      <c r="P192" s="496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6" t="s">
        <v>91</v>
      </c>
      <c r="E193" s="178"/>
      <c r="F193" s="178"/>
      <c r="G193" s="179"/>
      <c r="H193" s="755" t="s">
        <v>90</v>
      </c>
      <c r="I193" s="269">
        <f ca="1">IFERROR(__xludf.DUMMYFUNCTION("IMPORTRANGE(""https://docs.google.com/spreadsheets/d/1QqKyyYR6Q21VydFLVH3TRQUabQu_ym0Zz7PgGX0-kHA/edit?usp=sharing"",""แผน!AC66"")"),4)</f>
        <v>4</v>
      </c>
      <c r="J193" s="214">
        <v>1</v>
      </c>
      <c r="K193" s="496">
        <f ca="1">IF(I193&gt;0,J193*100/I193,0)</f>
        <v>25</v>
      </c>
      <c r="L193" s="496"/>
      <c r="M193" s="496"/>
      <c r="N193" s="496"/>
      <c r="O193" s="496"/>
      <c r="P193" s="496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6" t="s">
        <v>92</v>
      </c>
      <c r="E194" s="178"/>
      <c r="F194" s="178"/>
      <c r="G194" s="179"/>
      <c r="H194" s="276" t="s">
        <v>35</v>
      </c>
      <c r="I194" s="269"/>
      <c r="J194" s="269">
        <f>J195+J196</f>
        <v>37</v>
      </c>
      <c r="K194" s="496"/>
      <c r="L194" s="496"/>
      <c r="M194" s="496"/>
      <c r="N194" s="496"/>
      <c r="O194" s="496"/>
      <c r="P194" s="496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6" t="s">
        <v>93</v>
      </c>
      <c r="F195" s="178"/>
      <c r="G195" s="179"/>
      <c r="H195" s="276" t="s">
        <v>35</v>
      </c>
      <c r="I195" s="269"/>
      <c r="J195" s="214">
        <v>37</v>
      </c>
      <c r="K195" s="496"/>
      <c r="L195" s="496"/>
      <c r="M195" s="496"/>
      <c r="N195" s="496"/>
      <c r="O195" s="496"/>
      <c r="P195" s="496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6" t="s">
        <v>94</v>
      </c>
      <c r="F196" s="178"/>
      <c r="G196" s="179"/>
      <c r="H196" s="276" t="s">
        <v>35</v>
      </c>
      <c r="I196" s="269"/>
      <c r="J196" s="214">
        <v>0</v>
      </c>
      <c r="K196" s="496"/>
      <c r="L196" s="496"/>
      <c r="M196" s="496"/>
      <c r="N196" s="496"/>
      <c r="O196" s="496"/>
      <c r="P196" s="496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5"/>
      <c r="B197" s="263"/>
      <c r="C197" s="270" t="s">
        <v>95</v>
      </c>
      <c r="D197" s="256"/>
      <c r="E197" s="256"/>
      <c r="F197" s="256"/>
      <c r="G197" s="258"/>
      <c r="H197" s="277" t="s">
        <v>96</v>
      </c>
      <c r="I197" s="271">
        <f t="shared" ref="I197:J197" ca="1" si="99">I204</f>
        <v>1</v>
      </c>
      <c r="J197" s="271">
        <f t="shared" si="99"/>
        <v>1</v>
      </c>
      <c r="K197" s="272">
        <f ca="1">IF(I197&gt;0,J197*100/I197,0)</f>
        <v>100</v>
      </c>
      <c r="L197" s="261"/>
      <c r="M197" s="261"/>
      <c r="N197" s="261"/>
      <c r="O197" s="261"/>
      <c r="P197" s="261"/>
    </row>
    <row r="198" spans="1:26" ht="19.5">
      <c r="A198" s="147"/>
      <c r="B198" s="148"/>
      <c r="C198" s="149" t="s">
        <v>16</v>
      </c>
      <c r="D198" s="826" t="s">
        <v>17</v>
      </c>
      <c r="E198" s="148"/>
      <c r="F198" s="148"/>
      <c r="G198" s="151"/>
      <c r="H198" s="274" t="s">
        <v>12</v>
      </c>
      <c r="I198" s="418"/>
      <c r="J198" s="418"/>
      <c r="K198" s="279"/>
      <c r="L198" s="155">
        <f ca="1">L199+L200+L201+L202</f>
        <v>13000</v>
      </c>
      <c r="M198" s="155"/>
      <c r="N198" s="155">
        <f>N199+N200+N201+N202</f>
        <v>9000</v>
      </c>
      <c r="O198" s="155">
        <f ca="1">IF(L198&gt;0,N198*100/L198,0)</f>
        <v>69.230769230769226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0"/>
      <c r="C199" s="33"/>
      <c r="D199" s="281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6">
        <f ca="1">IFERROR(__xludf.DUMMYFUNCTION("IMPORTRANGE(""https://docs.google.com/spreadsheets/d/1QqKyyYR6Q21VydFLVH3TRQUabQu_ym0Zz7PgGX0-kHA/edit?usp=sharing"",""แผน!AE66"")"),1000)</f>
        <v>1000</v>
      </c>
      <c r="M199" s="496"/>
      <c r="N199" s="817">
        <v>1000</v>
      </c>
      <c r="O199" s="496"/>
      <c r="P199" s="496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4"/>
      <c r="B200" s="280"/>
      <c r="C200" s="210"/>
      <c r="D200" s="281" t="s">
        <v>98</v>
      </c>
      <c r="E200" s="33"/>
      <c r="F200" s="33"/>
      <c r="G200" s="35"/>
      <c r="H200" s="616" t="s">
        <v>12</v>
      </c>
      <c r="I200" s="269"/>
      <c r="J200" s="269"/>
      <c r="K200" s="496"/>
      <c r="L200" s="496">
        <f ca="1">IFERROR(__xludf.DUMMYFUNCTION("IMPORTRANGE(""https://docs.google.com/spreadsheets/d/1QqKyyYR6Q21VydFLVH3TRQUabQu_ym0Zz7PgGX0-kHA/edit?usp=sharing"",""แผน!AF66"")"),8000)</f>
        <v>8000</v>
      </c>
      <c r="M200" s="496"/>
      <c r="N200" s="817">
        <v>8000</v>
      </c>
      <c r="O200" s="496"/>
      <c r="P200" s="496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>
      <c r="A201" s="284"/>
      <c r="B201" s="280"/>
      <c r="C201" s="210"/>
      <c r="D201" s="281" t="s">
        <v>99</v>
      </c>
      <c r="E201" s="33"/>
      <c r="F201" s="33"/>
      <c r="G201" s="35"/>
      <c r="H201" s="616" t="s">
        <v>12</v>
      </c>
      <c r="I201" s="269"/>
      <c r="J201" s="269"/>
      <c r="K201" s="496"/>
      <c r="L201" s="496">
        <f ca="1">IFERROR(__xludf.DUMMYFUNCTION("IMPORTRANGE(""https://docs.google.com/spreadsheets/d/1QqKyyYR6Q21VydFLVH3TRQUabQu_ym0Zz7PgGX0-kHA/edit?usp=sharing"",""แผน!AG66"")"),4000)</f>
        <v>4000</v>
      </c>
      <c r="M201" s="496"/>
      <c r="N201" s="817">
        <v>0</v>
      </c>
      <c r="O201" s="496"/>
      <c r="P201" s="496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>
      <c r="A202" s="284"/>
      <c r="B202" s="280"/>
      <c r="C202" s="210"/>
      <c r="D202" s="281" t="s">
        <v>100</v>
      </c>
      <c r="E202" s="33"/>
      <c r="F202" s="33"/>
      <c r="G202" s="35"/>
      <c r="H202" s="616" t="s">
        <v>12</v>
      </c>
      <c r="I202" s="269"/>
      <c r="J202" s="269"/>
      <c r="K202" s="496"/>
      <c r="L202" s="496">
        <f ca="1">IFERROR(__xludf.DUMMYFUNCTION("IMPORTRANGE(""https://docs.google.com/spreadsheets/d/1QqKyyYR6Q21VydFLVH3TRQUabQu_ym0Zz7PgGX0-kHA/edit?usp=sharing"",""แผน!AH66"")"),0)</f>
        <v>0</v>
      </c>
      <c r="M202" s="496"/>
      <c r="N202" s="817">
        <v>0</v>
      </c>
      <c r="O202" s="496"/>
      <c r="P202" s="496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>
      <c r="A203" s="170"/>
      <c r="B203" s="171"/>
      <c r="C203" s="210" t="s">
        <v>16</v>
      </c>
      <c r="D203" s="823" t="s">
        <v>38</v>
      </c>
      <c r="E203" s="173"/>
      <c r="F203" s="173"/>
      <c r="G203" s="174"/>
      <c r="H203" s="753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53" t="s">
        <v>96</v>
      </c>
      <c r="I204" s="269">
        <f ca="1">IFERROR(__xludf.DUMMYFUNCTION("IMPORTRANGE(""https://docs.google.com/spreadsheets/d/1QqKyyYR6Q21VydFLVH3TRQUabQu_ym0Zz7PgGX0-kHA/edit?usp=sharing"",""แผน!AI66"")"),1)</f>
        <v>1</v>
      </c>
      <c r="J204" s="214">
        <v>1</v>
      </c>
      <c r="K204" s="163">
        <f ca="1">IF(I204&gt;0,J204*100/I204,0)</f>
        <v>100</v>
      </c>
      <c r="L204" s="496"/>
      <c r="M204" s="496"/>
      <c r="N204" s="496"/>
      <c r="O204" s="496"/>
      <c r="P204" s="496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6" t="s">
        <v>59</v>
      </c>
      <c r="E205" s="178"/>
      <c r="F205" s="178"/>
      <c r="G205" s="179"/>
      <c r="H205" s="753"/>
      <c r="I205" s="269"/>
      <c r="J205" s="269"/>
      <c r="K205" s="163"/>
      <c r="L205" s="496"/>
      <c r="M205" s="496"/>
      <c r="N205" s="496"/>
      <c r="O205" s="496"/>
      <c r="P205" s="496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25" t="s">
        <v>102</v>
      </c>
      <c r="F206" s="287"/>
      <c r="G206" s="288"/>
      <c r="H206" s="289" t="s">
        <v>96</v>
      </c>
      <c r="I206" s="269">
        <v>1</v>
      </c>
      <c r="J206" s="214">
        <v>1</v>
      </c>
      <c r="K206" s="163">
        <f t="shared" ref="K206:K208" si="100">IF(I206&gt;0,J206*100/I206,0)</f>
        <v>100</v>
      </c>
      <c r="L206" s="496"/>
      <c r="M206" s="496"/>
      <c r="N206" s="496"/>
      <c r="O206" s="496"/>
      <c r="P206" s="496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6"/>
      <c r="E207" s="446" t="s">
        <v>103</v>
      </c>
      <c r="F207" s="178"/>
      <c r="G207" s="178"/>
      <c r="H207" s="290" t="s">
        <v>104</v>
      </c>
      <c r="I207" s="269">
        <v>0</v>
      </c>
      <c r="J207" s="214">
        <v>0</v>
      </c>
      <c r="K207" s="163">
        <f t="shared" si="100"/>
        <v>0</v>
      </c>
      <c r="L207" s="496"/>
      <c r="M207" s="496"/>
      <c r="N207" s="496"/>
      <c r="O207" s="496"/>
      <c r="P207" s="496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 hidden="1">
      <c r="A208" s="255"/>
      <c r="B208" s="263"/>
      <c r="C208" s="270" t="s">
        <v>105</v>
      </c>
      <c r="D208" s="256"/>
      <c r="E208" s="256"/>
      <c r="F208" s="291"/>
      <c r="G208" s="258"/>
      <c r="H208" s="277" t="s">
        <v>96</v>
      </c>
      <c r="I208" s="271">
        <f t="shared" ref="I208:J208" ca="1" si="101">I215</f>
        <v>0</v>
      </c>
      <c r="J208" s="271">
        <f t="shared" si="101"/>
        <v>0</v>
      </c>
      <c r="K208" s="272">
        <f t="shared" ca="1" si="100"/>
        <v>0</v>
      </c>
      <c r="L208" s="261"/>
      <c r="M208" s="261"/>
      <c r="N208" s="261"/>
      <c r="O208" s="261"/>
      <c r="P208" s="261"/>
    </row>
    <row r="209" spans="1:26" ht="19.5" hidden="1">
      <c r="A209" s="147"/>
      <c r="B209" s="148"/>
      <c r="C209" s="149" t="s">
        <v>16</v>
      </c>
      <c r="D209" s="826" t="s">
        <v>17</v>
      </c>
      <c r="E209" s="148"/>
      <c r="F209" s="148"/>
      <c r="G209" s="151"/>
      <c r="H209" s="274" t="s">
        <v>12</v>
      </c>
      <c r="I209" s="418"/>
      <c r="J209" s="418"/>
      <c r="K209" s="279"/>
      <c r="L209" s="155">
        <f ca="1">L210+L211+L212</f>
        <v>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 hidden="1">
      <c r="A210" s="159"/>
      <c r="B210" s="280"/>
      <c r="C210" s="33"/>
      <c r="D210" s="281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6">
        <f ca="1">IFERROR(__xludf.DUMMYFUNCTION("IMPORTRANGE(""https://docs.google.com/spreadsheets/d/1QqKyyYR6Q21VydFLVH3TRQUabQu_ym0Zz7PgGX0-kHA/edit?usp=sharing"",""แผน!AK66"")"),0)</f>
        <v>0</v>
      </c>
      <c r="M210" s="496"/>
      <c r="N210" s="817">
        <v>0</v>
      </c>
      <c r="O210" s="496"/>
      <c r="P210" s="496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 hidden="1">
      <c r="A211" s="284"/>
      <c r="B211" s="280"/>
      <c r="C211" s="292"/>
      <c r="D211" s="281" t="s">
        <v>99</v>
      </c>
      <c r="E211" s="33"/>
      <c r="F211" s="33"/>
      <c r="G211" s="35"/>
      <c r="H211" s="161" t="s">
        <v>12</v>
      </c>
      <c r="I211" s="269"/>
      <c r="J211" s="269"/>
      <c r="K211" s="496"/>
      <c r="L211" s="496">
        <f ca="1">IFERROR(__xludf.DUMMYFUNCTION("IMPORTRANGE(""https://docs.google.com/spreadsheets/d/1QqKyyYR6Q21VydFLVH3TRQUabQu_ym0Zz7PgGX0-kHA/edit?usp=sharing"",""แผน!AL66"")"),0)</f>
        <v>0</v>
      </c>
      <c r="M211" s="496"/>
      <c r="N211" s="817">
        <v>0</v>
      </c>
      <c r="O211" s="496"/>
      <c r="P211" s="496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 hidden="1">
      <c r="A212" s="284"/>
      <c r="B212" s="280"/>
      <c r="C212" s="292"/>
      <c r="D212" s="281" t="s">
        <v>98</v>
      </c>
      <c r="E212" s="33"/>
      <c r="F212" s="33"/>
      <c r="G212" s="35"/>
      <c r="H212" s="161" t="s">
        <v>12</v>
      </c>
      <c r="I212" s="269"/>
      <c r="J212" s="269"/>
      <c r="K212" s="496"/>
      <c r="L212" s="496">
        <f ca="1">IFERROR(__xludf.DUMMYFUNCTION("IMPORTRANGE(""https://docs.google.com/spreadsheets/d/1QqKyyYR6Q21VydFLVH3TRQUabQu_ym0Zz7PgGX0-kHA/edit?usp=sharing"",""แผน!AM66"")"),0)</f>
        <v>0</v>
      </c>
      <c r="M212" s="496"/>
      <c r="N212" s="817">
        <v>0</v>
      </c>
      <c r="O212" s="496"/>
      <c r="P212" s="496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 hidden="1">
      <c r="A213" s="170"/>
      <c r="B213" s="171"/>
      <c r="C213" s="292" t="s">
        <v>16</v>
      </c>
      <c r="D213" s="823" t="s">
        <v>38</v>
      </c>
      <c r="E213" s="173"/>
      <c r="F213" s="173"/>
      <c r="G213" s="174"/>
      <c r="H213" s="753"/>
      <c r="I213" s="184"/>
      <c r="J213" s="269"/>
      <c r="K213" s="496"/>
      <c r="L213" s="496"/>
      <c r="M213" s="496"/>
      <c r="N213" s="496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 hidden="1">
      <c r="A214" s="170"/>
      <c r="B214" s="171"/>
      <c r="C214" s="171"/>
      <c r="D214" s="176" t="s">
        <v>106</v>
      </c>
      <c r="E214" s="178"/>
      <c r="F214" s="178"/>
      <c r="G214" s="179"/>
      <c r="H214" s="753" t="s">
        <v>96</v>
      </c>
      <c r="I214" s="269">
        <f ca="1">IFERROR(__xludf.DUMMYFUNCTION("IMPORTRANGE(""https://docs.google.com/spreadsheets/d/1QqKyyYR6Q21VydFLVH3TRQUabQu_ym0Zz7PgGX0-kHA/edit?usp=sharing"",""แผน!AN66"")"),0)</f>
        <v>0</v>
      </c>
      <c r="J214" s="214">
        <v>0</v>
      </c>
      <c r="K214" s="496">
        <f t="shared" ref="K214:K216" ca="1" si="102">IF(I214&gt;0,J214*100/I214,0)</f>
        <v>0</v>
      </c>
      <c r="L214" s="496"/>
      <c r="M214" s="496"/>
      <c r="N214" s="496"/>
      <c r="O214" s="496"/>
      <c r="P214" s="496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 hidden="1">
      <c r="A215" s="170"/>
      <c r="B215" s="171"/>
      <c r="C215" s="171"/>
      <c r="D215" s="176" t="s">
        <v>107</v>
      </c>
      <c r="E215" s="178"/>
      <c r="F215" s="178"/>
      <c r="G215" s="179"/>
      <c r="H215" s="753" t="s">
        <v>96</v>
      </c>
      <c r="I215" s="269">
        <f ca="1">IFERROR(__xludf.DUMMYFUNCTION("IMPORTRANGE(""https://docs.google.com/spreadsheets/d/1QqKyyYR6Q21VydFLVH3TRQUabQu_ym0Zz7PgGX0-kHA/edit?usp=sharing"",""แผน!AN66"")"),0)</f>
        <v>0</v>
      </c>
      <c r="J215" s="214">
        <v>0</v>
      </c>
      <c r="K215" s="496">
        <f t="shared" ca="1" si="102"/>
        <v>0</v>
      </c>
      <c r="L215" s="496"/>
      <c r="M215" s="496"/>
      <c r="N215" s="496"/>
      <c r="O215" s="496"/>
      <c r="P215" s="496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5"/>
      <c r="B216" s="263"/>
      <c r="C216" s="270" t="s">
        <v>108</v>
      </c>
      <c r="D216" s="256"/>
      <c r="E216" s="256"/>
      <c r="F216" s="291"/>
      <c r="G216" s="258"/>
      <c r="H216" s="259" t="s">
        <v>109</v>
      </c>
      <c r="I216" s="271">
        <f t="shared" ref="I216:J216" ca="1" si="103">I224</f>
        <v>6400</v>
      </c>
      <c r="J216" s="271">
        <f t="shared" si="103"/>
        <v>0</v>
      </c>
      <c r="K216" s="272">
        <f t="shared" ca="1" si="102"/>
        <v>0</v>
      </c>
      <c r="L216" s="261"/>
      <c r="M216" s="261"/>
      <c r="N216" s="261"/>
      <c r="O216" s="261"/>
      <c r="P216" s="261"/>
    </row>
    <row r="217" spans="1:26" ht="19.5">
      <c r="A217" s="147"/>
      <c r="B217" s="148"/>
      <c r="C217" s="149" t="s">
        <v>16</v>
      </c>
      <c r="D217" s="826" t="s">
        <v>17</v>
      </c>
      <c r="E217" s="148"/>
      <c r="F217" s="148"/>
      <c r="G217" s="151"/>
      <c r="H217" s="274" t="s">
        <v>12</v>
      </c>
      <c r="I217" s="418"/>
      <c r="J217" s="418"/>
      <c r="K217" s="279"/>
      <c r="L217" s="155">
        <f ca="1">L218+L219+L220</f>
        <v>6200</v>
      </c>
      <c r="M217" s="155"/>
      <c r="N217" s="155">
        <f>N218+N219+N220</f>
        <v>0</v>
      </c>
      <c r="O217" s="155">
        <f ca="1">IF(L217&gt;0,N217*100/L217,0)</f>
        <v>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0"/>
      <c r="C218" s="33"/>
      <c r="D218" s="281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6">
        <f ca="1">IFERROR(__xludf.DUMMYFUNCTION("IMPORTRANGE(""https://docs.google.com/spreadsheets/d/1QqKyyYR6Q21VydFLVH3TRQUabQu_ym0Zz7PgGX0-kHA/edit?usp=sharing"",""แผน!AP66"")"),3000)</f>
        <v>3000</v>
      </c>
      <c r="M218" s="496"/>
      <c r="N218" s="817">
        <v>0</v>
      </c>
      <c r="O218" s="496"/>
      <c r="P218" s="496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4"/>
      <c r="B219" s="280"/>
      <c r="C219" s="292"/>
      <c r="D219" s="281" t="s">
        <v>110</v>
      </c>
      <c r="E219" s="33"/>
      <c r="F219" s="33"/>
      <c r="G219" s="35"/>
      <c r="H219" s="161" t="s">
        <v>12</v>
      </c>
      <c r="I219" s="269"/>
      <c r="J219" s="269"/>
      <c r="K219" s="496"/>
      <c r="L219" s="496">
        <f ca="1">IFERROR(__xludf.DUMMYFUNCTION("IMPORTRANGE(""https://docs.google.com/spreadsheets/d/1QqKyyYR6Q21VydFLVH3TRQUabQu_ym0Zz7PgGX0-kHA/edit?usp=sharing"",""แผน!AQ66"")"),3200)</f>
        <v>3200</v>
      </c>
      <c r="M219" s="496"/>
      <c r="N219" s="817">
        <v>0</v>
      </c>
      <c r="O219" s="496"/>
      <c r="P219" s="496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0"/>
      <c r="C220" s="292"/>
      <c r="D220" s="281" t="s">
        <v>98</v>
      </c>
      <c r="E220" s="33"/>
      <c r="F220" s="33"/>
      <c r="G220" s="35"/>
      <c r="H220" s="161" t="s">
        <v>12</v>
      </c>
      <c r="I220" s="269"/>
      <c r="J220" s="269"/>
      <c r="K220" s="496"/>
      <c r="L220" s="496">
        <f ca="1">IFERROR(__xludf.DUMMYFUNCTION("IMPORTRANGE(""https://docs.google.com/spreadsheets/d/1QqKyyYR6Q21VydFLVH3TRQUabQu_ym0Zz7PgGX0-kHA/edit?usp=sharing"",""แผน!AR66"")"),0)</f>
        <v>0</v>
      </c>
      <c r="M220" s="496"/>
      <c r="N220" s="817">
        <v>0</v>
      </c>
      <c r="O220" s="496"/>
      <c r="P220" s="496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70"/>
      <c r="B221" s="171"/>
      <c r="C221" s="292" t="s">
        <v>16</v>
      </c>
      <c r="D221" s="823" t="s">
        <v>38</v>
      </c>
      <c r="E221" s="173"/>
      <c r="F221" s="173"/>
      <c r="G221" s="174"/>
      <c r="H221" s="753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1" t="s">
        <v>111</v>
      </c>
      <c r="E222" s="178"/>
      <c r="F222" s="178"/>
      <c r="G222" s="179"/>
      <c r="H222" s="753"/>
      <c r="I222" s="269"/>
      <c r="J222" s="269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55" t="s">
        <v>109</v>
      </c>
      <c r="I223" s="269">
        <f ca="1">IFERROR(__xludf.DUMMYFUNCTION("IMPORTRANGE(""https://docs.google.com/spreadsheets/d/1QqKyyYR6Q21VydFLVH3TRQUabQu_ym0Zz7PgGX0-kHA/edit?usp=sharing"",""แผน!AT66"")"),6400)</f>
        <v>6400</v>
      </c>
      <c r="J223" s="214">
        <v>0</v>
      </c>
      <c r="K223" s="163">
        <f t="shared" ref="K223:K226" ca="1" si="104">IF(I223&gt;0,J223*100/I223,0)</f>
        <v>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55" t="s">
        <v>109</v>
      </c>
      <c r="I224" s="269">
        <f ca="1">IFERROR(__xludf.DUMMYFUNCTION("IMPORTRANGE(""https://docs.google.com/spreadsheets/d/1QqKyyYR6Q21VydFLVH3TRQUabQu_ym0Zz7PgGX0-kHA/edit?usp=sharing"",""แผน!AT66"")"),6400)</f>
        <v>6400</v>
      </c>
      <c r="J224" s="214">
        <v>0</v>
      </c>
      <c r="K224" s="163">
        <f t="shared" ca="1" si="104"/>
        <v>0</v>
      </c>
      <c r="L224" s="496"/>
      <c r="M224" s="496"/>
      <c r="N224" s="496"/>
      <c r="O224" s="496"/>
      <c r="P224" s="496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1" t="s">
        <v>114</v>
      </c>
      <c r="E225" s="178"/>
      <c r="F225" s="178"/>
      <c r="G225" s="179"/>
      <c r="H225" s="755" t="s">
        <v>35</v>
      </c>
      <c r="I225" s="269">
        <f ca="1">IFERROR(__xludf.DUMMYFUNCTION("IMPORTRANGE(""https://docs.google.com/spreadsheets/d/1QqKyyYR6Q21VydFLVH3TRQUabQu_ym0Zz7PgGX0-kHA/edit?usp=sharing"",""แผน!AS66"")"),0)</f>
        <v>0</v>
      </c>
      <c r="J225" s="214">
        <v>0</v>
      </c>
      <c r="K225" s="163">
        <f t="shared" ca="1" si="104"/>
        <v>0</v>
      </c>
      <c r="L225" s="496"/>
      <c r="M225" s="496"/>
      <c r="N225" s="496"/>
      <c r="O225" s="496"/>
      <c r="P225" s="496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5"/>
      <c r="B226" s="263"/>
      <c r="C226" s="341" t="s">
        <v>115</v>
      </c>
      <c r="D226" s="256"/>
      <c r="E226" s="256"/>
      <c r="F226" s="256"/>
      <c r="G226" s="258"/>
      <c r="H226" s="265" t="s">
        <v>35</v>
      </c>
      <c r="I226" s="344">
        <f t="shared" ref="I226:J226" ca="1" si="105">I237+I248</f>
        <v>20</v>
      </c>
      <c r="J226" s="344">
        <f t="shared" si="105"/>
        <v>0</v>
      </c>
      <c r="K226" s="345">
        <f t="shared" ca="1" si="104"/>
        <v>0</v>
      </c>
      <c r="L226" s="261"/>
      <c r="M226" s="261"/>
      <c r="N226" s="261"/>
      <c r="O226" s="261"/>
      <c r="P226" s="261"/>
    </row>
    <row r="227" spans="1:26" ht="19.5" hidden="1">
      <c r="A227" s="347"/>
      <c r="B227" s="348"/>
      <c r="C227" s="349" t="s">
        <v>16</v>
      </c>
      <c r="D227" s="827" t="s">
        <v>17</v>
      </c>
      <c r="E227" s="348"/>
      <c r="F227" s="348"/>
      <c r="G227" s="351"/>
      <c r="H227" s="352" t="s">
        <v>12</v>
      </c>
      <c r="I227" s="353"/>
      <c r="J227" s="353"/>
      <c r="K227" s="354"/>
      <c r="L227" s="355">
        <f t="shared" ref="L227:L231" ca="1" si="106">L238+L249</f>
        <v>78000</v>
      </c>
      <c r="M227" s="355"/>
      <c r="N227" s="355">
        <f t="shared" ref="N227:N231" si="107">N238+N249</f>
        <v>0</v>
      </c>
      <c r="O227" s="828"/>
      <c r="P227" s="828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6"/>
      <c r="C228" s="40"/>
      <c r="D228" s="222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20000</v>
      </c>
      <c r="M228" s="93"/>
      <c r="N228" s="93">
        <f t="shared" si="107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8"/>
      <c r="B229" s="356"/>
      <c r="C229" s="359"/>
      <c r="D229" s="222" t="s">
        <v>98</v>
      </c>
      <c r="E229" s="40"/>
      <c r="F229" s="40"/>
      <c r="G229" s="42"/>
      <c r="H229" s="165" t="s">
        <v>12</v>
      </c>
      <c r="I229" s="610"/>
      <c r="J229" s="610"/>
      <c r="K229" s="93"/>
      <c r="L229" s="93">
        <f t="shared" ca="1" si="106"/>
        <v>28000</v>
      </c>
      <c r="M229" s="93"/>
      <c r="N229" s="93">
        <f t="shared" si="107"/>
        <v>0</v>
      </c>
      <c r="O229" s="93"/>
      <c r="P229" s="93"/>
      <c r="Q229" s="360"/>
      <c r="R229" s="360"/>
      <c r="S229" s="360"/>
      <c r="T229" s="360"/>
      <c r="U229" s="360"/>
      <c r="V229" s="360"/>
      <c r="W229" s="360"/>
      <c r="X229" s="360"/>
      <c r="Y229" s="360"/>
      <c r="Z229" s="360"/>
    </row>
    <row r="230" spans="1:26" ht="19.5" hidden="1">
      <c r="A230" s="358"/>
      <c r="B230" s="356"/>
      <c r="C230" s="359"/>
      <c r="D230" s="222" t="s">
        <v>116</v>
      </c>
      <c r="E230" s="40"/>
      <c r="F230" s="40"/>
      <c r="G230" s="42"/>
      <c r="H230" s="165" t="s">
        <v>12</v>
      </c>
      <c r="I230" s="610"/>
      <c r="J230" s="610"/>
      <c r="K230" s="93"/>
      <c r="L230" s="93">
        <f t="shared" ca="1" si="106"/>
        <v>20000</v>
      </c>
      <c r="M230" s="93"/>
      <c r="N230" s="93">
        <f t="shared" si="107"/>
        <v>0</v>
      </c>
      <c r="O230" s="93"/>
      <c r="P230" s="93"/>
      <c r="Q230" s="360"/>
      <c r="R230" s="360"/>
      <c r="S230" s="360"/>
      <c r="T230" s="360"/>
      <c r="U230" s="360"/>
      <c r="V230" s="360"/>
      <c r="W230" s="360"/>
      <c r="X230" s="360"/>
      <c r="Y230" s="360"/>
      <c r="Z230" s="360"/>
    </row>
    <row r="231" spans="1:26" ht="19.5" hidden="1">
      <c r="A231" s="358"/>
      <c r="B231" s="356"/>
      <c r="C231" s="359"/>
      <c r="D231" s="222" t="s">
        <v>100</v>
      </c>
      <c r="E231" s="40"/>
      <c r="F231" s="40"/>
      <c r="G231" s="42"/>
      <c r="H231" s="165" t="s">
        <v>12</v>
      </c>
      <c r="I231" s="610"/>
      <c r="J231" s="610"/>
      <c r="K231" s="93"/>
      <c r="L231" s="93">
        <f t="shared" ca="1" si="106"/>
        <v>10000</v>
      </c>
      <c r="M231" s="93"/>
      <c r="N231" s="93">
        <f t="shared" si="107"/>
        <v>0</v>
      </c>
      <c r="O231" s="93"/>
      <c r="P231" s="93"/>
      <c r="Q231" s="360"/>
      <c r="R231" s="360"/>
      <c r="S231" s="360"/>
      <c r="T231" s="360"/>
      <c r="U231" s="360"/>
      <c r="V231" s="360"/>
      <c r="W231" s="360"/>
      <c r="X231" s="360"/>
      <c r="Y231" s="360"/>
      <c r="Z231" s="360"/>
    </row>
    <row r="232" spans="1:26" ht="19.5" hidden="1">
      <c r="A232" s="361"/>
      <c r="B232" s="362"/>
      <c r="C232" s="359" t="s">
        <v>16</v>
      </c>
      <c r="D232" s="266" t="s">
        <v>38</v>
      </c>
      <c r="E232" s="363"/>
      <c r="F232" s="363"/>
      <c r="G232" s="364"/>
      <c r="H232" s="365"/>
      <c r="I232" s="166"/>
      <c r="J232" s="610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1"/>
      <c r="B233" s="362"/>
      <c r="C233" s="362"/>
      <c r="D233" s="366" t="s">
        <v>117</v>
      </c>
      <c r="E233" s="372"/>
      <c r="F233" s="372"/>
      <c r="G233" s="368"/>
      <c r="H233" s="369" t="s">
        <v>35</v>
      </c>
      <c r="I233" s="610">
        <f t="shared" ref="I233:J233" ca="1" si="108">I244+I255</f>
        <v>20</v>
      </c>
      <c r="J233" s="610">
        <f t="shared" si="108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1"/>
      <c r="B234" s="362"/>
      <c r="C234" s="362"/>
      <c r="D234" s="371" t="s">
        <v>43</v>
      </c>
      <c r="E234" s="372"/>
      <c r="F234" s="372"/>
      <c r="G234" s="368"/>
      <c r="H234" s="369"/>
      <c r="I234" s="610"/>
      <c r="J234" s="610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1"/>
      <c r="B235" s="362"/>
      <c r="C235" s="362"/>
      <c r="D235" s="362"/>
      <c r="E235" s="373" t="s">
        <v>118</v>
      </c>
      <c r="F235" s="372"/>
      <c r="G235" s="368"/>
      <c r="H235" s="369" t="s">
        <v>35</v>
      </c>
      <c r="I235" s="610">
        <f t="shared" ref="I235:J236" si="109">I246+I257</f>
        <v>20</v>
      </c>
      <c r="J235" s="610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1"/>
      <c r="B236" s="362"/>
      <c r="C236" s="362"/>
      <c r="D236" s="362"/>
      <c r="E236" s="373" t="s">
        <v>119</v>
      </c>
      <c r="F236" s="372"/>
      <c r="G236" s="368"/>
      <c r="H236" s="369" t="s">
        <v>69</v>
      </c>
      <c r="I236" s="610">
        <f t="shared" si="109"/>
        <v>1</v>
      </c>
      <c r="J236" s="610">
        <f t="shared" si="109"/>
        <v>0</v>
      </c>
      <c r="K236" s="93">
        <f t="shared" si="110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>
      <c r="A237" s="255"/>
      <c r="B237" s="263"/>
      <c r="C237" s="270" t="s">
        <v>120</v>
      </c>
      <c r="D237" s="256"/>
      <c r="E237" s="256"/>
      <c r="F237" s="256"/>
      <c r="G237" s="258"/>
      <c r="H237" s="259" t="s">
        <v>35</v>
      </c>
      <c r="I237" s="271">
        <f t="shared" ref="I237:J237" ca="1" si="111">I244</f>
        <v>20</v>
      </c>
      <c r="J237" s="271">
        <f t="shared" si="111"/>
        <v>0</v>
      </c>
      <c r="K237" s="272">
        <f t="shared" ca="1" si="110"/>
        <v>0</v>
      </c>
      <c r="L237" s="261"/>
      <c r="M237" s="261"/>
      <c r="N237" s="261"/>
      <c r="O237" s="261"/>
      <c r="P237" s="261"/>
    </row>
    <row r="238" spans="1:26" ht="19.5">
      <c r="A238" s="147"/>
      <c r="B238" s="148"/>
      <c r="C238" s="149" t="s">
        <v>16</v>
      </c>
      <c r="D238" s="822" t="s">
        <v>17</v>
      </c>
      <c r="E238" s="148"/>
      <c r="F238" s="148"/>
      <c r="G238" s="151"/>
      <c r="H238" s="274" t="s">
        <v>12</v>
      </c>
      <c r="I238" s="418"/>
      <c r="J238" s="418"/>
      <c r="K238" s="279"/>
      <c r="L238" s="155">
        <f ca="1">L239+L240+L241+L242</f>
        <v>78000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>
      <c r="A239" s="314"/>
      <c r="B239" s="315"/>
      <c r="C239" s="316"/>
      <c r="D239" s="324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282">
        <f ca="1">IFERROR(__xludf.DUMMYFUNCTION("IMPORTRANGE(""https://docs.google.com/spreadsheets/d/1QqKyyYR6Q21VydFLVH3TRQUabQu_ym0Zz7PgGX0-kHA/edit?usp=sharing"",""แผน!AV66"")"),20000)</f>
        <v>20000</v>
      </c>
      <c r="M239" s="282"/>
      <c r="N239" s="829">
        <v>0</v>
      </c>
      <c r="O239" s="282"/>
      <c r="P239" s="28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>
      <c r="A240" s="322"/>
      <c r="B240" s="315"/>
      <c r="C240" s="323"/>
      <c r="D240" s="324" t="s">
        <v>98</v>
      </c>
      <c r="E240" s="316"/>
      <c r="F240" s="316"/>
      <c r="G240" s="318"/>
      <c r="H240" s="319" t="s">
        <v>12</v>
      </c>
      <c r="I240" s="325"/>
      <c r="J240" s="325"/>
      <c r="K240" s="282"/>
      <c r="L240" s="282">
        <f ca="1">IFERROR(__xludf.DUMMYFUNCTION("IMPORTRANGE(""https://docs.google.com/spreadsheets/d/1QqKyyYR6Q21VydFLVH3TRQUabQu_ym0Zz7PgGX0-kHA/edit?usp=sharing"",""แผน!AW66"")"),28000)</f>
        <v>28000</v>
      </c>
      <c r="M240" s="282"/>
      <c r="N240" s="829">
        <v>0</v>
      </c>
      <c r="O240" s="282"/>
      <c r="P240" s="282"/>
      <c r="Q240" s="326"/>
      <c r="R240" s="326"/>
      <c r="S240" s="326"/>
      <c r="T240" s="326"/>
      <c r="U240" s="326"/>
      <c r="V240" s="326"/>
      <c r="W240" s="326"/>
      <c r="X240" s="326"/>
      <c r="Y240" s="326"/>
      <c r="Z240" s="326"/>
    </row>
    <row r="241" spans="1:26" ht="19.5">
      <c r="A241" s="322"/>
      <c r="B241" s="315"/>
      <c r="C241" s="323"/>
      <c r="D241" s="324" t="s">
        <v>116</v>
      </c>
      <c r="E241" s="316"/>
      <c r="F241" s="316"/>
      <c r="G241" s="318"/>
      <c r="H241" s="319" t="s">
        <v>12</v>
      </c>
      <c r="I241" s="325"/>
      <c r="J241" s="325"/>
      <c r="K241" s="282"/>
      <c r="L241" s="282">
        <f ca="1">IFERROR(__xludf.DUMMYFUNCTION("IMPORTRANGE(""https://docs.google.com/spreadsheets/d/1QqKyyYR6Q21VydFLVH3TRQUabQu_ym0Zz7PgGX0-kHA/edit?usp=sharing"",""แผน!AX66"")"),20000)</f>
        <v>20000</v>
      </c>
      <c r="M241" s="282"/>
      <c r="N241" s="829">
        <v>0</v>
      </c>
      <c r="O241" s="282"/>
      <c r="P241" s="282"/>
      <c r="Q241" s="326"/>
      <c r="R241" s="326"/>
      <c r="S241" s="326"/>
      <c r="T241" s="326"/>
      <c r="U241" s="326"/>
      <c r="V241" s="326"/>
      <c r="W241" s="326"/>
      <c r="X241" s="326"/>
      <c r="Y241" s="326"/>
      <c r="Z241" s="326"/>
    </row>
    <row r="242" spans="1:26" ht="19.5">
      <c r="A242" s="322"/>
      <c r="B242" s="315"/>
      <c r="C242" s="323"/>
      <c r="D242" s="324" t="s">
        <v>100</v>
      </c>
      <c r="E242" s="316"/>
      <c r="F242" s="316"/>
      <c r="G242" s="318"/>
      <c r="H242" s="319" t="s">
        <v>12</v>
      </c>
      <c r="I242" s="325"/>
      <c r="J242" s="325"/>
      <c r="K242" s="282"/>
      <c r="L242" s="282">
        <f ca="1">IFERROR(__xludf.DUMMYFUNCTION("IMPORTRANGE(""https://docs.google.com/spreadsheets/d/1QqKyyYR6Q21VydFLVH3TRQUabQu_ym0Zz7PgGX0-kHA/edit?usp=sharing"",""แผน!AY66"")"),10000)</f>
        <v>10000</v>
      </c>
      <c r="M242" s="282"/>
      <c r="N242" s="829">
        <v>0</v>
      </c>
      <c r="O242" s="282"/>
      <c r="P242" s="282"/>
      <c r="Q242" s="326"/>
      <c r="R242" s="326"/>
      <c r="S242" s="326"/>
      <c r="T242" s="326"/>
      <c r="U242" s="326"/>
      <c r="V242" s="326"/>
      <c r="W242" s="326"/>
      <c r="X242" s="326"/>
      <c r="Y242" s="326"/>
      <c r="Z242" s="326"/>
    </row>
    <row r="243" spans="1:26" ht="19.5">
      <c r="A243" s="170"/>
      <c r="B243" s="171"/>
      <c r="C243" s="292" t="s">
        <v>16</v>
      </c>
      <c r="D243" s="823" t="s">
        <v>38</v>
      </c>
      <c r="E243" s="173"/>
      <c r="F243" s="173"/>
      <c r="G243" s="174"/>
      <c r="H243" s="753"/>
      <c r="I243" s="184"/>
      <c r="J243" s="269"/>
      <c r="K243" s="496"/>
      <c r="L243" s="496"/>
      <c r="M243" s="496"/>
      <c r="N243" s="496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>
      <c r="A244" s="170"/>
      <c r="B244" s="171"/>
      <c r="C244" s="171"/>
      <c r="D244" s="446" t="s">
        <v>117</v>
      </c>
      <c r="E244" s="178"/>
      <c r="F244" s="178"/>
      <c r="G244" s="179"/>
      <c r="H244" s="755" t="s">
        <v>35</v>
      </c>
      <c r="I244" s="269">
        <f ca="1">IFERROR(__xludf.DUMMYFUNCTION("IMPORTRANGE(""https://docs.google.com/spreadsheets/d/1QqKyyYR6Q21VydFLVH3TRQUabQu_ym0Zz7PgGX0-kHA/edit?usp=sharing"",""แผน!BE66"")"),20)</f>
        <v>20</v>
      </c>
      <c r="J244" s="214">
        <v>0</v>
      </c>
      <c r="K244" s="496">
        <f ca="1">IF(I244&gt;0,J244*100/I244,0)</f>
        <v>0</v>
      </c>
      <c r="L244" s="496"/>
      <c r="M244" s="496"/>
      <c r="N244" s="496"/>
      <c r="O244" s="496"/>
      <c r="P244" s="496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>
      <c r="A245" s="170"/>
      <c r="B245" s="171"/>
      <c r="C245" s="171"/>
      <c r="D245" s="830" t="s">
        <v>43</v>
      </c>
      <c r="E245" s="178"/>
      <c r="F245" s="178"/>
      <c r="G245" s="179"/>
      <c r="H245" s="755"/>
      <c r="I245" s="269"/>
      <c r="J245" s="269"/>
      <c r="K245" s="496"/>
      <c r="L245" s="496"/>
      <c r="M245" s="496"/>
      <c r="N245" s="496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>
      <c r="A246" s="170"/>
      <c r="B246" s="171"/>
      <c r="C246" s="171"/>
      <c r="D246" s="171"/>
      <c r="E246" s="176" t="s">
        <v>118</v>
      </c>
      <c r="F246" s="178"/>
      <c r="G246" s="179"/>
      <c r="H246" s="755" t="s">
        <v>35</v>
      </c>
      <c r="I246" s="269">
        <v>20</v>
      </c>
      <c r="J246" s="214">
        <v>0</v>
      </c>
      <c r="K246" s="496">
        <f t="shared" ref="K246:K248" si="112">IF(I246&gt;0,J246*100/I246,0)</f>
        <v>0</v>
      </c>
      <c r="L246" s="496"/>
      <c r="M246" s="496"/>
      <c r="N246" s="496"/>
      <c r="O246" s="496"/>
      <c r="P246" s="496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>
      <c r="A247" s="170"/>
      <c r="B247" s="171"/>
      <c r="C247" s="171"/>
      <c r="D247" s="171"/>
      <c r="E247" s="176" t="s">
        <v>119</v>
      </c>
      <c r="F247" s="178"/>
      <c r="G247" s="179"/>
      <c r="H247" s="755" t="s">
        <v>69</v>
      </c>
      <c r="I247" s="269">
        <v>1</v>
      </c>
      <c r="J247" s="214">
        <v>0</v>
      </c>
      <c r="K247" s="496">
        <f t="shared" si="112"/>
        <v>0</v>
      </c>
      <c r="L247" s="496"/>
      <c r="M247" s="496"/>
      <c r="N247" s="496"/>
      <c r="O247" s="496"/>
      <c r="P247" s="496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5"/>
      <c r="B248" s="263"/>
      <c r="C248" s="270" t="s">
        <v>121</v>
      </c>
      <c r="D248" s="256"/>
      <c r="E248" s="256"/>
      <c r="F248" s="256"/>
      <c r="G248" s="258"/>
      <c r="H248" s="259" t="s">
        <v>35</v>
      </c>
      <c r="I248" s="271">
        <f t="shared" ref="I248:J248" ca="1" si="113">I255</f>
        <v>0</v>
      </c>
      <c r="J248" s="271">
        <f t="shared" si="113"/>
        <v>0</v>
      </c>
      <c r="K248" s="272">
        <f t="shared" ca="1" si="112"/>
        <v>0</v>
      </c>
      <c r="L248" s="261"/>
      <c r="M248" s="261"/>
      <c r="N248" s="261"/>
      <c r="O248" s="261"/>
      <c r="P248" s="261"/>
    </row>
    <row r="249" spans="1:26" ht="19.5" hidden="1">
      <c r="A249" s="147"/>
      <c r="B249" s="148"/>
      <c r="C249" s="149" t="s">
        <v>16</v>
      </c>
      <c r="D249" s="826" t="s">
        <v>17</v>
      </c>
      <c r="E249" s="148"/>
      <c r="F249" s="148"/>
      <c r="G249" s="151"/>
      <c r="H249" s="274" t="s">
        <v>12</v>
      </c>
      <c r="I249" s="418"/>
      <c r="J249" s="418"/>
      <c r="K249" s="279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4"/>
      <c r="B250" s="315"/>
      <c r="C250" s="316"/>
      <c r="D250" s="324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282">
        <f ca="1">IFERROR(__xludf.DUMMYFUNCTION("IMPORTRANGE(""https://docs.google.com/spreadsheets/d/1QqKyyYR6Q21VydFLVH3TRQUabQu_ym0Zz7PgGX0-kHA/edit?usp=sharing"",""แผน!AZ66"")"),0)</f>
        <v>0</v>
      </c>
      <c r="M250" s="282"/>
      <c r="N250" s="829">
        <v>0</v>
      </c>
      <c r="O250" s="282"/>
      <c r="P250" s="282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9.5" hidden="1">
      <c r="A251" s="322"/>
      <c r="B251" s="315"/>
      <c r="C251" s="323"/>
      <c r="D251" s="324" t="s">
        <v>98</v>
      </c>
      <c r="E251" s="316"/>
      <c r="F251" s="316"/>
      <c r="G251" s="318"/>
      <c r="H251" s="319" t="s">
        <v>12</v>
      </c>
      <c r="I251" s="325"/>
      <c r="J251" s="325"/>
      <c r="K251" s="282"/>
      <c r="L251" s="282">
        <f ca="1">IFERROR(__xludf.DUMMYFUNCTION("IMPORTRANGE(""https://docs.google.com/spreadsheets/d/1QqKyyYR6Q21VydFLVH3TRQUabQu_ym0Zz7PgGX0-kHA/edit?usp=sharing"",""แผน!BA66"")"),0)</f>
        <v>0</v>
      </c>
      <c r="M251" s="282"/>
      <c r="N251" s="829">
        <v>0</v>
      </c>
      <c r="O251" s="282"/>
      <c r="P251" s="282"/>
      <c r="Q251" s="326"/>
      <c r="R251" s="326"/>
      <c r="S251" s="326"/>
      <c r="T251" s="326"/>
      <c r="U251" s="326"/>
      <c r="V251" s="326"/>
      <c r="W251" s="326"/>
      <c r="X251" s="326"/>
      <c r="Y251" s="326"/>
      <c r="Z251" s="326"/>
    </row>
    <row r="252" spans="1:26" ht="19.5" hidden="1">
      <c r="A252" s="322"/>
      <c r="B252" s="315"/>
      <c r="C252" s="323"/>
      <c r="D252" s="324" t="s">
        <v>116</v>
      </c>
      <c r="E252" s="316"/>
      <c r="F252" s="316"/>
      <c r="G252" s="318"/>
      <c r="H252" s="319" t="s">
        <v>12</v>
      </c>
      <c r="I252" s="325"/>
      <c r="J252" s="325"/>
      <c r="K252" s="282"/>
      <c r="L252" s="282">
        <f ca="1">IFERROR(__xludf.DUMMYFUNCTION("IMPORTRANGE(""https://docs.google.com/spreadsheets/d/1QqKyyYR6Q21VydFLVH3TRQUabQu_ym0Zz7PgGX0-kHA/edit?usp=sharing"",""แผน!BB66"")"),0)</f>
        <v>0</v>
      </c>
      <c r="M252" s="282"/>
      <c r="N252" s="829">
        <v>0</v>
      </c>
      <c r="O252" s="282"/>
      <c r="P252" s="282"/>
      <c r="Q252" s="326"/>
      <c r="R252" s="326"/>
      <c r="S252" s="326"/>
      <c r="T252" s="326"/>
      <c r="U252" s="326"/>
      <c r="V252" s="326"/>
      <c r="W252" s="326"/>
      <c r="X252" s="326"/>
      <c r="Y252" s="326"/>
      <c r="Z252" s="326"/>
    </row>
    <row r="253" spans="1:26" ht="19.5" hidden="1">
      <c r="A253" s="322"/>
      <c r="B253" s="315"/>
      <c r="C253" s="323"/>
      <c r="D253" s="324" t="s">
        <v>100</v>
      </c>
      <c r="E253" s="316"/>
      <c r="F253" s="316"/>
      <c r="G253" s="318"/>
      <c r="H253" s="319" t="s">
        <v>12</v>
      </c>
      <c r="I253" s="325"/>
      <c r="J253" s="325"/>
      <c r="K253" s="282"/>
      <c r="L253" s="282">
        <f ca="1">IFERROR(__xludf.DUMMYFUNCTION("IMPORTRANGE(""https://docs.google.com/spreadsheets/d/1QqKyyYR6Q21VydFLVH3TRQUabQu_ym0Zz7PgGX0-kHA/edit?usp=sharing"",""แผน!BC66"")"),0)</f>
        <v>0</v>
      </c>
      <c r="M253" s="282"/>
      <c r="N253" s="829">
        <v>0</v>
      </c>
      <c r="O253" s="282"/>
      <c r="P253" s="282"/>
      <c r="Q253" s="326"/>
      <c r="R253" s="326"/>
      <c r="S253" s="326"/>
      <c r="T253" s="326"/>
      <c r="U253" s="326"/>
      <c r="V253" s="326"/>
      <c r="W253" s="326"/>
      <c r="X253" s="326"/>
      <c r="Y253" s="326"/>
      <c r="Z253" s="326"/>
    </row>
    <row r="254" spans="1:26" ht="19.5" hidden="1">
      <c r="A254" s="170"/>
      <c r="B254" s="171"/>
      <c r="C254" s="292" t="s">
        <v>16</v>
      </c>
      <c r="D254" s="823" t="s">
        <v>38</v>
      </c>
      <c r="E254" s="173"/>
      <c r="F254" s="173"/>
      <c r="G254" s="174"/>
      <c r="H254" s="753"/>
      <c r="I254" s="184"/>
      <c r="J254" s="269"/>
      <c r="K254" s="496"/>
      <c r="L254" s="496"/>
      <c r="M254" s="496"/>
      <c r="N254" s="496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6" t="s">
        <v>117</v>
      </c>
      <c r="E255" s="178"/>
      <c r="F255" s="178"/>
      <c r="G255" s="179"/>
      <c r="H255" s="755" t="s">
        <v>35</v>
      </c>
      <c r="I255" s="269">
        <f ca="1">IFERROR(__xludf.DUMMYFUNCTION("IMPORTRANGE(""https://docs.google.com/spreadsheets/d/1QqKyyYR6Q21VydFLVH3TRQUabQu_ym0Zz7PgGX0-kHA/edit?usp=sharing"",""แผน!BF66"")"),0)</f>
        <v>0</v>
      </c>
      <c r="J255" s="214">
        <v>0</v>
      </c>
      <c r="K255" s="496">
        <f ca="1">IF(I255&gt;0,J255*100/I255,0)</f>
        <v>0</v>
      </c>
      <c r="L255" s="496"/>
      <c r="M255" s="496"/>
      <c r="N255" s="496"/>
      <c r="O255" s="496"/>
      <c r="P255" s="496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30" t="s">
        <v>43</v>
      </c>
      <c r="E256" s="178"/>
      <c r="F256" s="178"/>
      <c r="G256" s="179"/>
      <c r="H256" s="755"/>
      <c r="I256" s="269"/>
      <c r="J256" s="269"/>
      <c r="K256" s="496"/>
      <c r="L256" s="496"/>
      <c r="M256" s="496"/>
      <c r="N256" s="496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55" t="s">
        <v>35</v>
      </c>
      <c r="I257" s="269"/>
      <c r="J257" s="214">
        <v>0</v>
      </c>
      <c r="K257" s="496">
        <f t="shared" ref="K257:K258" si="114">IF(I257&gt;0,J257*100/I257,0)</f>
        <v>0</v>
      </c>
      <c r="L257" s="496"/>
      <c r="M257" s="496"/>
      <c r="N257" s="496"/>
      <c r="O257" s="496"/>
      <c r="P257" s="496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55" t="s">
        <v>69</v>
      </c>
      <c r="I258" s="269"/>
      <c r="J258" s="214">
        <v>0</v>
      </c>
      <c r="K258" s="496">
        <f t="shared" si="114"/>
        <v>0</v>
      </c>
      <c r="L258" s="496"/>
      <c r="M258" s="496"/>
      <c r="N258" s="496"/>
      <c r="O258" s="496"/>
      <c r="P258" s="496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1" t="s">
        <v>122</v>
      </c>
      <c r="B259" s="242"/>
      <c r="C259" s="242"/>
      <c r="D259" s="243"/>
      <c r="E259" s="243"/>
      <c r="F259" s="243"/>
      <c r="G259" s="244"/>
      <c r="H259" s="245"/>
      <c r="I259" s="246"/>
      <c r="J259" s="246"/>
      <c r="K259" s="247"/>
      <c r="L259" s="247"/>
      <c r="M259" s="247"/>
      <c r="N259" s="247"/>
      <c r="O259" s="247"/>
      <c r="P259" s="247"/>
    </row>
    <row r="260" spans="1:26" ht="19.5">
      <c r="A260" s="248"/>
      <c r="B260" s="249" t="s">
        <v>123</v>
      </c>
      <c r="C260" s="250"/>
      <c r="D260" s="173"/>
      <c r="E260" s="173"/>
      <c r="F260" s="173"/>
      <c r="G260" s="174"/>
      <c r="H260" s="251" t="s">
        <v>35</v>
      </c>
      <c r="I260" s="252">
        <f t="shared" ref="I260:J260" ca="1" si="115">I271</f>
        <v>22</v>
      </c>
      <c r="J260" s="252">
        <f t="shared" si="115"/>
        <v>0</v>
      </c>
      <c r="K260" s="253">
        <f ca="1">IF(I260&gt;0,J260*100/I260,0)</f>
        <v>0</v>
      </c>
      <c r="L260" s="254"/>
      <c r="M260" s="254"/>
      <c r="N260" s="254"/>
      <c r="O260" s="254"/>
      <c r="P260" s="254"/>
    </row>
    <row r="261" spans="1:26" ht="19.5">
      <c r="A261" s="147"/>
      <c r="B261" s="148"/>
      <c r="C261" s="149" t="s">
        <v>16</v>
      </c>
      <c r="D261" s="822" t="s">
        <v>17</v>
      </c>
      <c r="E261" s="148"/>
      <c r="F261" s="148"/>
      <c r="G261" s="151"/>
      <c r="H261" s="152" t="s">
        <v>12</v>
      </c>
      <c r="I261" s="419"/>
      <c r="J261" s="419"/>
      <c r="K261" s="154"/>
      <c r="L261" s="155">
        <f t="shared" ref="L261:N261" ca="1" si="116">L262+L263</f>
        <v>26900</v>
      </c>
      <c r="M261" s="155">
        <f t="shared" ca="1" si="116"/>
        <v>0</v>
      </c>
      <c r="N261" s="155">
        <f t="shared" ca="1" si="116"/>
        <v>0</v>
      </c>
      <c r="O261" s="155">
        <f t="shared" ref="O261:O269" ca="1" si="117">IF(L261&gt;0,N261*100/L261,0)</f>
        <v>0</v>
      </c>
      <c r="P261" s="155">
        <f t="shared" ref="P261:P269" ca="1" si="118">IF(M261&gt;0,N261*100/M261,0)</f>
        <v>0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2" t="s">
        <v>18</v>
      </c>
      <c r="F262" s="40"/>
      <c r="G262" s="157"/>
      <c r="H262" s="158" t="s">
        <v>12</v>
      </c>
      <c r="I262" s="610"/>
      <c r="J262" s="610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2" t="s">
        <v>19</v>
      </c>
      <c r="F263" s="40"/>
      <c r="G263" s="157"/>
      <c r="H263" s="158" t="s">
        <v>12</v>
      </c>
      <c r="I263" s="610"/>
      <c r="J263" s="610"/>
      <c r="K263" s="93"/>
      <c r="L263" s="93">
        <f t="shared" ca="1" si="119"/>
        <v>26900</v>
      </c>
      <c r="M263" s="93">
        <f t="shared" ca="1" si="119"/>
        <v>0</v>
      </c>
      <c r="N263" s="93">
        <f t="shared" ca="1" si="119"/>
        <v>0</v>
      </c>
      <c r="O263" s="93">
        <f t="shared" ca="1" si="117"/>
        <v>0</v>
      </c>
      <c r="P263" s="93">
        <f t="shared" ca="1" si="118"/>
        <v>0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1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6">
        <f t="shared" ref="L264:N264" ca="1" si="120">L265+L266</f>
        <v>26900</v>
      </c>
      <c r="M264" s="496">
        <f t="shared" ca="1" si="120"/>
        <v>0</v>
      </c>
      <c r="N264" s="496">
        <f t="shared" ca="1" si="120"/>
        <v>0</v>
      </c>
      <c r="O264" s="496">
        <f t="shared" ca="1" si="117"/>
        <v>0</v>
      </c>
      <c r="P264" s="496">
        <f t="shared" ca="1" si="118"/>
        <v>0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2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2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IFERROR(__xludf.DUMMYFUNCTION("IMPORTRANGE(""https://docs.google.com/spreadsheets/d/1MeEWN-I1oV_STSDYn1IFDPWt_1FKiwhDph83XaGc0o0/edit?usp=sharing"",""งบพรบ!CY66"")"),26900)</f>
        <v>26900</v>
      </c>
      <c r="M266" s="93">
        <f ca="1">IFERROR(__xludf.DUMMYFUNCTION("IMPORTRANGE(""https://docs.google.com/spreadsheets/d/1MeEWN-I1oV_STSDYn1IFDPWt_1FKiwhDph83XaGc0o0/edit?usp=sharing"",""งบพรบ!DD66"")"),0)</f>
        <v>0</v>
      </c>
      <c r="N266" s="93">
        <f ca="1">IFERROR(__xludf.DUMMYFUNCTION("IMPORTRANGE(""https://docs.google.com/spreadsheets/d/1MeEWN-I1oV_STSDYn1IFDPWt_1FKiwhDph83XaGc0o0/edit?usp=sharing"",""งบพรบ!DF66"")"),0)</f>
        <v>0</v>
      </c>
      <c r="O266" s="93">
        <f t="shared" ca="1" si="117"/>
        <v>0</v>
      </c>
      <c r="P266" s="93">
        <f t="shared" ca="1" si="118"/>
        <v>0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1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6">
        <f t="shared" ref="L267:N267" ca="1" si="121">L268+L269</f>
        <v>0</v>
      </c>
      <c r="M267" s="496">
        <f t="shared" ca="1" si="121"/>
        <v>0</v>
      </c>
      <c r="N267" s="496">
        <f t="shared" ca="1" si="121"/>
        <v>0</v>
      </c>
      <c r="O267" s="496">
        <f t="shared" ca="1" si="117"/>
        <v>0</v>
      </c>
      <c r="P267" s="496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2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2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IFERROR(__xludf.DUMMYFUNCTION("IMPORTRANGE(""https://docs.google.com/spreadsheets/d/1MeEWN-I1oV_STSDYn1IFDPWt_1FKiwhDph83XaGc0o0/edit?usp=sharing"",""งบพรบ!DB66"")"),0)</f>
        <v>0</v>
      </c>
      <c r="M269" s="93">
        <f ca="1">IFERROR(__xludf.DUMMYFUNCTION("IMPORTRANGE(""https://docs.google.com/spreadsheets/d/1MeEWN-I1oV_STSDYn1IFDPWt_1FKiwhDph83XaGc0o0/edit?usp=sharing"",""งบพรบ!DE66"")"),0)</f>
        <v>0</v>
      </c>
      <c r="N269" s="93">
        <f ca="1">IFERROR(__xludf.DUMMYFUNCTION("IMPORTRANGE(""https://docs.google.com/spreadsheets/d/1MeEWN-I1oV_STSDYn1IFDPWt_1FKiwhDph83XaGc0o0/edit?usp=sharing"",""งบพรบ!DG66"")"),0)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1" t="s">
        <v>16</v>
      </c>
      <c r="D270" s="823" t="s">
        <v>38</v>
      </c>
      <c r="E270" s="173"/>
      <c r="F270" s="173"/>
      <c r="G270" s="174"/>
      <c r="H270" s="753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5" t="s">
        <v>124</v>
      </c>
      <c r="E271" s="178"/>
      <c r="F271" s="366"/>
      <c r="G271" s="179"/>
      <c r="H271" s="376" t="s">
        <v>35</v>
      </c>
      <c r="I271" s="269">
        <f ca="1">IFERROR(__xludf.DUMMYFUNCTION("IMPORTRANGE(""https://docs.google.com/spreadsheets/d/1QqKyyYR6Q21VydFLVH3TRQUabQu_ym0Zz7PgGX0-kHA/edit?usp=sharing"",""แผน!EA66"")"),22)</f>
        <v>22</v>
      </c>
      <c r="J271" s="214">
        <v>0</v>
      </c>
      <c r="K271" s="163">
        <f ca="1">IF(I271&gt;0,J271*100/I271,0)</f>
        <v>0</v>
      </c>
      <c r="L271" s="163"/>
      <c r="M271" s="163"/>
      <c r="N271" s="163"/>
      <c r="O271" s="163"/>
      <c r="P271" s="163"/>
    </row>
    <row r="272" spans="1:26" ht="18.75" hidden="1">
      <c r="A272" s="377"/>
      <c r="B272" s="378"/>
      <c r="C272" s="378"/>
      <c r="D272" s="379" t="s">
        <v>125</v>
      </c>
      <c r="E272" s="380"/>
      <c r="F272" s="380"/>
      <c r="G272" s="381"/>
      <c r="H272" s="50" t="s">
        <v>35</v>
      </c>
      <c r="I272" s="499">
        <v>0</v>
      </c>
      <c r="J272" s="499">
        <v>0</v>
      </c>
      <c r="K272" s="384">
        <v>0</v>
      </c>
      <c r="L272" s="384"/>
      <c r="M272" s="384"/>
      <c r="N272" s="384"/>
      <c r="O272" s="384"/>
      <c r="P272" s="384"/>
    </row>
    <row r="273" spans="1:26" ht="19.5">
      <c r="A273" s="385" t="s">
        <v>126</v>
      </c>
      <c r="B273" s="386"/>
      <c r="C273" s="386"/>
      <c r="D273" s="386"/>
      <c r="E273" s="387"/>
      <c r="F273" s="387"/>
      <c r="G273" s="388"/>
      <c r="H273" s="389"/>
      <c r="I273" s="390"/>
      <c r="J273" s="390"/>
      <c r="K273" s="391"/>
      <c r="L273" s="391"/>
      <c r="M273" s="391"/>
      <c r="N273" s="391"/>
      <c r="O273" s="391"/>
      <c r="P273" s="391"/>
    </row>
    <row r="274" spans="1:26" ht="19.5" hidden="1">
      <c r="A274" s="392" t="s">
        <v>127</v>
      </c>
      <c r="B274" s="393"/>
      <c r="C274" s="394"/>
      <c r="D274" s="393"/>
      <c r="E274" s="393"/>
      <c r="F274" s="393"/>
      <c r="G274" s="393"/>
      <c r="H274" s="395"/>
      <c r="I274" s="396"/>
      <c r="J274" s="397"/>
      <c r="K274" s="398"/>
      <c r="L274" s="398"/>
      <c r="M274" s="398"/>
      <c r="N274" s="398"/>
      <c r="O274" s="398"/>
      <c r="P274" s="398"/>
    </row>
    <row r="275" spans="1:26" ht="19.5" hidden="1">
      <c r="A275" s="399"/>
      <c r="B275" s="408" t="s">
        <v>128</v>
      </c>
      <c r="C275" s="401"/>
      <c r="D275" s="402"/>
      <c r="E275" s="401"/>
      <c r="F275" s="401"/>
      <c r="G275" s="403"/>
      <c r="H275" s="404" t="s">
        <v>35</v>
      </c>
      <c r="I275" s="405">
        <f t="shared" ref="I275:J275" ca="1" si="122">I288</f>
        <v>0</v>
      </c>
      <c r="J275" s="405">
        <f t="shared" ca="1" si="122"/>
        <v>0</v>
      </c>
      <c r="K275" s="406">
        <f t="shared" ref="K275:K276" ca="1" si="123">IF(I275&gt;0,J275*100/I275,0)</f>
        <v>0</v>
      </c>
      <c r="L275" s="407"/>
      <c r="M275" s="407"/>
      <c r="N275" s="407"/>
      <c r="O275" s="407"/>
      <c r="P275" s="407"/>
    </row>
    <row r="276" spans="1:26" ht="19.5" hidden="1">
      <c r="A276" s="399"/>
      <c r="B276" s="408"/>
      <c r="C276" s="401"/>
      <c r="D276" s="402"/>
      <c r="E276" s="401"/>
      <c r="F276" s="401"/>
      <c r="G276" s="403"/>
      <c r="H276" s="404" t="s">
        <v>46</v>
      </c>
      <c r="I276" s="831">
        <f t="shared" ref="I276:J276" ca="1" si="124">I287</f>
        <v>0</v>
      </c>
      <c r="J276" s="831">
        <f t="shared" si="124"/>
        <v>0</v>
      </c>
      <c r="K276" s="407">
        <f t="shared" ca="1" si="123"/>
        <v>0</v>
      </c>
      <c r="L276" s="407"/>
      <c r="M276" s="407"/>
      <c r="N276" s="407"/>
      <c r="O276" s="407"/>
      <c r="P276" s="407"/>
    </row>
    <row r="277" spans="1:26" ht="19.5" hidden="1">
      <c r="A277" s="147"/>
      <c r="B277" s="148"/>
      <c r="C277" s="149" t="s">
        <v>16</v>
      </c>
      <c r="D277" s="822" t="s">
        <v>17</v>
      </c>
      <c r="E277" s="148"/>
      <c r="F277" s="148"/>
      <c r="G277" s="151"/>
      <c r="H277" s="152" t="s">
        <v>12</v>
      </c>
      <c r="I277" s="419"/>
      <c r="J277" s="419"/>
      <c r="K277" s="154"/>
      <c r="L277" s="155">
        <f t="shared" ref="L277:N277" ca="1" si="125">L278+L279</f>
        <v>0</v>
      </c>
      <c r="M277" s="155">
        <f t="shared" ca="1" si="125"/>
        <v>0</v>
      </c>
      <c r="N277" s="155">
        <f t="shared" ca="1" si="125"/>
        <v>0</v>
      </c>
      <c r="O277" s="155">
        <f t="shared" ref="O277:O285" ca="1" si="126">IF(L277&gt;0,N277*100/L277,0)</f>
        <v>0</v>
      </c>
      <c r="P277" s="155">
        <f t="shared" ref="P277:P285" ca="1" si="127">IF(M277&gt;0,N277*100/M277,0)</f>
        <v>0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2" t="s">
        <v>18</v>
      </c>
      <c r="F278" s="40"/>
      <c r="G278" s="157"/>
      <c r="H278" s="158" t="s">
        <v>12</v>
      </c>
      <c r="I278" s="610"/>
      <c r="J278" s="610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2" t="s">
        <v>19</v>
      </c>
      <c r="F279" s="40"/>
      <c r="G279" s="157"/>
      <c r="H279" s="158" t="s">
        <v>12</v>
      </c>
      <c r="I279" s="610"/>
      <c r="J279" s="610"/>
      <c r="K279" s="93"/>
      <c r="L279" s="93">
        <f t="shared" ca="1" si="128"/>
        <v>0</v>
      </c>
      <c r="M279" s="93">
        <f t="shared" ca="1" si="128"/>
        <v>0</v>
      </c>
      <c r="N279" s="93">
        <f t="shared" ca="1" si="128"/>
        <v>0</v>
      </c>
      <c r="O279" s="93">
        <f t="shared" ca="1" si="126"/>
        <v>0</v>
      </c>
      <c r="P279" s="93">
        <f t="shared" ca="1" si="127"/>
        <v>0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 hidden="1">
      <c r="A280" s="159"/>
      <c r="B280" s="33"/>
      <c r="C280" s="281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6">
        <f t="shared" ref="L280:N280" ca="1" si="129">L281+L282</f>
        <v>0</v>
      </c>
      <c r="M280" s="496">
        <f t="shared" ca="1" si="129"/>
        <v>0</v>
      </c>
      <c r="N280" s="496">
        <f t="shared" ca="1" si="129"/>
        <v>0</v>
      </c>
      <c r="O280" s="496">
        <f t="shared" ca="1" si="126"/>
        <v>0</v>
      </c>
      <c r="P280" s="496">
        <f t="shared" ca="1" si="127"/>
        <v>0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2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2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IFERROR(__xludf.DUMMYFUNCTION("IMPORTRANGE(""https://docs.google.com/spreadsheets/d/1MeEWN-I1oV_STSDYn1IFDPWt_1FKiwhDph83XaGc0o0/edit?usp=sharing"",""งบพรบ!DI66"")"),0)</f>
        <v>0</v>
      </c>
      <c r="M282" s="93">
        <f ca="1">IFERROR(__xludf.DUMMYFUNCTION("IMPORTRANGE(""https://docs.google.com/spreadsheets/d/1MeEWN-I1oV_STSDYn1IFDPWt_1FKiwhDph83XaGc0o0/edit?usp=sharing"",""งบพรบ!DN66"")"),0)</f>
        <v>0</v>
      </c>
      <c r="N282" s="93">
        <f ca="1">IFERROR(__xludf.DUMMYFUNCTION("IMPORTRANGE(""https://docs.google.com/spreadsheets/d/1MeEWN-I1oV_STSDYn1IFDPWt_1FKiwhDph83XaGc0o0/edit?usp=sharing"",""งบพรบ!DP66"")"),0)</f>
        <v>0</v>
      </c>
      <c r="O282" s="93">
        <f t="shared" ca="1" si="126"/>
        <v>0</v>
      </c>
      <c r="P282" s="93">
        <f t="shared" ca="1" si="127"/>
        <v>0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 hidden="1">
      <c r="A283" s="159"/>
      <c r="B283" s="33"/>
      <c r="C283" s="281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6">
        <f t="shared" ref="L283:N283" ca="1" si="130">L284+L285</f>
        <v>0</v>
      </c>
      <c r="M283" s="496">
        <f t="shared" ca="1" si="130"/>
        <v>0</v>
      </c>
      <c r="N283" s="496">
        <f t="shared" ca="1" si="130"/>
        <v>0</v>
      </c>
      <c r="O283" s="496">
        <f t="shared" ca="1" si="126"/>
        <v>0</v>
      </c>
      <c r="P283" s="496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2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2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IFERROR(__xludf.DUMMYFUNCTION("IMPORTRANGE(""https://docs.google.com/spreadsheets/d/1MeEWN-I1oV_STSDYn1IFDPWt_1FKiwhDph83XaGc0o0/edit?usp=sharing"",""งบพรบ!DL66"")"),0)</f>
        <v>0</v>
      </c>
      <c r="M285" s="93">
        <f ca="1">IFERROR(__xludf.DUMMYFUNCTION("IMPORTRANGE(""https://docs.google.com/spreadsheets/d/1MeEWN-I1oV_STSDYn1IFDPWt_1FKiwhDph83XaGc0o0/edit?usp=sharing"",""งบพรบ!DO66"")"),0)</f>
        <v>0</v>
      </c>
      <c r="N285" s="93">
        <f ca="1">IFERROR(__xludf.DUMMYFUNCTION("IMPORTRANGE(""https://docs.google.com/spreadsheets/d/1MeEWN-I1oV_STSDYn1IFDPWt_1FKiwhDph83XaGc0o0/edit?usp=sharing"",""งบพรบ!DQ66"")"),0)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 hidden="1">
      <c r="A286" s="170"/>
      <c r="B286" s="171"/>
      <c r="C286" s="164" t="s">
        <v>16</v>
      </c>
      <c r="D286" s="823" t="s">
        <v>38</v>
      </c>
      <c r="E286" s="173"/>
      <c r="F286" s="173"/>
      <c r="G286" s="174"/>
      <c r="H286" s="753"/>
      <c r="I286" s="184"/>
      <c r="J286" s="184"/>
      <c r="K286" s="163"/>
      <c r="L286" s="163"/>
      <c r="M286" s="163"/>
      <c r="N286" s="163"/>
      <c r="O286" s="163"/>
      <c r="P286" s="163"/>
    </row>
    <row r="287" spans="1:26" ht="18.75" hidden="1">
      <c r="A287" s="170"/>
      <c r="B287" s="171"/>
      <c r="C287" s="171"/>
      <c r="D287" s="619" t="s">
        <v>129</v>
      </c>
      <c r="E287" s="171"/>
      <c r="F287" s="178"/>
      <c r="G287" s="179"/>
      <c r="H287" s="185" t="s">
        <v>46</v>
      </c>
      <c r="I287" s="269">
        <f ca="1">IFERROR(__xludf.DUMMYFUNCTION("IMPORTRANGE(""https://docs.google.com/spreadsheets/d/1QqKyyYR6Q21VydFLVH3TRQUabQu_ym0Zz7PgGX0-kHA/edit?usp=sharing"",""แผน!EC66"")"),0)</f>
        <v>0</v>
      </c>
      <c r="J287" s="269">
        <v>0</v>
      </c>
      <c r="K287" s="163">
        <f t="shared" ref="K287:K288" ca="1" si="131">IF(I287&gt;0,J287*100/I287,0)</f>
        <v>0</v>
      </c>
      <c r="L287" s="163"/>
      <c r="M287" s="163"/>
      <c r="N287" s="163"/>
      <c r="O287" s="163"/>
      <c r="P287" s="163"/>
    </row>
    <row r="288" spans="1:26" ht="19.5" hidden="1">
      <c r="A288" s="170"/>
      <c r="B288" s="171"/>
      <c r="C288" s="171"/>
      <c r="D288" s="619" t="s">
        <v>130</v>
      </c>
      <c r="E288" s="171"/>
      <c r="F288" s="178"/>
      <c r="G288" s="179"/>
      <c r="H288" s="180" t="s">
        <v>35</v>
      </c>
      <c r="I288" s="674">
        <f ca="1">IFERROR(__xludf.DUMMYFUNCTION("IMPORTRANGE(""https://docs.google.com/spreadsheets/d/1QqKyyYR6Q21VydFLVH3TRQUabQu_ym0Zz7PgGX0-kHA/edit?usp=sharing"",""แผน!EB66"")"),0)</f>
        <v>0</v>
      </c>
      <c r="J288" s="674">
        <f ca="1">IF(AND(J291&gt;=I288,J294&gt;=I288),J294,0)</f>
        <v>0</v>
      </c>
      <c r="K288" s="410">
        <f t="shared" ca="1" si="131"/>
        <v>0</v>
      </c>
      <c r="L288" s="163"/>
      <c r="M288" s="163"/>
      <c r="N288" s="163"/>
      <c r="O288" s="163"/>
      <c r="P288" s="163"/>
    </row>
    <row r="289" spans="1:26" ht="19.5" hidden="1">
      <c r="A289" s="170"/>
      <c r="B289" s="171"/>
      <c r="C289" s="171"/>
      <c r="D289" s="411"/>
      <c r="E289" s="412" t="s">
        <v>131</v>
      </c>
      <c r="F289" s="178"/>
      <c r="G289" s="179"/>
      <c r="H289" s="755"/>
      <c r="I289" s="184"/>
      <c r="J289" s="269"/>
      <c r="K289" s="163"/>
      <c r="L289" s="163"/>
      <c r="M289" s="163"/>
      <c r="N289" s="163"/>
      <c r="O289" s="163"/>
      <c r="P289" s="163"/>
    </row>
    <row r="290" spans="1:26" ht="19.5" hidden="1">
      <c r="A290" s="170"/>
      <c r="B290" s="171"/>
      <c r="C290" s="171"/>
      <c r="D290" s="411"/>
      <c r="E290" s="619" t="s">
        <v>132</v>
      </c>
      <c r="F290" s="178"/>
      <c r="G290" s="179"/>
      <c r="H290" s="755" t="s">
        <v>35</v>
      </c>
      <c r="I290" s="184">
        <f ca="1">IFERROR(__xludf.DUMMYFUNCTION("IMPORTRANGE(""https://docs.google.com/spreadsheets/d/1QqKyyYR6Q21VydFLVH3TRQUabQu_ym0Zz7PgGX0-kHA/edit?usp=sharing"",""แผน!EB66"")"),0)</f>
        <v>0</v>
      </c>
      <c r="J290" s="214">
        <v>0</v>
      </c>
      <c r="K290" s="163">
        <f t="shared" ref="K290:K291" ca="1" si="132">IF(I290&gt;0,J290*100/I290,0)</f>
        <v>0</v>
      </c>
      <c r="L290" s="163"/>
      <c r="M290" s="163"/>
      <c r="N290" s="163"/>
      <c r="O290" s="163"/>
      <c r="P290" s="163"/>
    </row>
    <row r="291" spans="1:26" ht="19.5" hidden="1">
      <c r="A291" s="170"/>
      <c r="B291" s="171"/>
      <c r="C291" s="171"/>
      <c r="D291" s="178"/>
      <c r="E291" s="619" t="s">
        <v>333</v>
      </c>
      <c r="F291" s="178"/>
      <c r="G291" s="179"/>
      <c r="H291" s="755" t="s">
        <v>35</v>
      </c>
      <c r="I291" s="184">
        <f ca="1">IFERROR(__xludf.DUMMYFUNCTION("IMPORTRANGE(""https://docs.google.com/spreadsheets/d/1QqKyyYR6Q21VydFLVH3TRQUabQu_ym0Zz7PgGX0-kHA/edit?usp=sharing"",""แผน!EB66"")"),0)</f>
        <v>0</v>
      </c>
      <c r="J291" s="214">
        <v>0</v>
      </c>
      <c r="K291" s="163">
        <f t="shared" ca="1" si="132"/>
        <v>0</v>
      </c>
      <c r="L291" s="163"/>
      <c r="M291" s="163"/>
      <c r="N291" s="163"/>
      <c r="O291" s="163"/>
      <c r="P291" s="163"/>
    </row>
    <row r="292" spans="1:26" ht="19.5" hidden="1">
      <c r="A292" s="413"/>
      <c r="B292" s="414"/>
      <c r="C292" s="414"/>
      <c r="D292" s="415"/>
      <c r="E292" s="416" t="s">
        <v>134</v>
      </c>
      <c r="F292" s="287"/>
      <c r="G292" s="288"/>
      <c r="H292" s="417"/>
      <c r="I292" s="418"/>
      <c r="J292" s="419"/>
      <c r="K292" s="279"/>
      <c r="L292" s="279"/>
      <c r="M292" s="279"/>
      <c r="N292" s="279"/>
      <c r="O292" s="279"/>
      <c r="P292" s="279"/>
    </row>
    <row r="293" spans="1:26" ht="19.5" hidden="1">
      <c r="A293" s="170"/>
      <c r="B293" s="171"/>
      <c r="C293" s="171"/>
      <c r="D293" s="411"/>
      <c r="E293" s="619" t="s">
        <v>132</v>
      </c>
      <c r="F293" s="178"/>
      <c r="G293" s="179"/>
      <c r="H293" s="755" t="s">
        <v>35</v>
      </c>
      <c r="I293" s="184">
        <f ca="1">IFERROR(__xludf.DUMMYFUNCTION("IMPORTRANGE(""https://docs.google.com/spreadsheets/d/1QqKyyYR6Q21VydFLVH3TRQUabQu_ym0Zz7PgGX0-kHA/edit?usp=sharing"",""แผน!EB66"")"),0)</f>
        <v>0</v>
      </c>
      <c r="J293" s="214">
        <v>0</v>
      </c>
      <c r="K293" s="163">
        <f t="shared" ref="K293:K294" ca="1" si="133">IF(I293&gt;0,J293*100/I293,0)</f>
        <v>0</v>
      </c>
      <c r="L293" s="163"/>
      <c r="M293" s="163"/>
      <c r="N293" s="163"/>
      <c r="O293" s="163"/>
      <c r="P293" s="163"/>
    </row>
    <row r="294" spans="1:26" ht="19.5" hidden="1">
      <c r="A294" s="377"/>
      <c r="B294" s="378"/>
      <c r="C294" s="378"/>
      <c r="D294" s="380"/>
      <c r="E294" s="725" t="s">
        <v>333</v>
      </c>
      <c r="F294" s="380"/>
      <c r="G294" s="381"/>
      <c r="H294" s="421" t="s">
        <v>35</v>
      </c>
      <c r="I294" s="422">
        <f ca="1">IFERROR(__xludf.DUMMYFUNCTION("IMPORTRANGE(""https://docs.google.com/spreadsheets/d/1QqKyyYR6Q21VydFLVH3TRQUabQu_ym0Zz7PgGX0-kHA/edit?usp=sharing"",""แผน!EB66"")"),0)</f>
        <v>0</v>
      </c>
      <c r="J294" s="423">
        <v>0</v>
      </c>
      <c r="K294" s="384">
        <f t="shared" ca="1" si="133"/>
        <v>0</v>
      </c>
      <c r="L294" s="384"/>
      <c r="M294" s="384"/>
      <c r="N294" s="384"/>
      <c r="O294" s="384"/>
      <c r="P294" s="384"/>
    </row>
    <row r="295" spans="1:26" ht="19.5">
      <c r="A295" s="424" t="s">
        <v>137</v>
      </c>
      <c r="B295" s="425"/>
      <c r="C295" s="425"/>
      <c r="D295" s="425"/>
      <c r="E295" s="426"/>
      <c r="F295" s="426"/>
      <c r="G295" s="427"/>
      <c r="H295" s="428"/>
      <c r="I295" s="429"/>
      <c r="J295" s="429"/>
      <c r="K295" s="430"/>
      <c r="L295" s="430"/>
      <c r="M295" s="430"/>
      <c r="N295" s="430"/>
      <c r="O295" s="430"/>
      <c r="P295" s="430"/>
    </row>
    <row r="296" spans="1:26" ht="19.5">
      <c r="A296" s="431" t="s">
        <v>138</v>
      </c>
      <c r="B296" s="432"/>
      <c r="C296" s="432"/>
      <c r="D296" s="433"/>
      <c r="E296" s="433"/>
      <c r="F296" s="433"/>
      <c r="G296" s="434"/>
      <c r="H296" s="435"/>
      <c r="I296" s="436"/>
      <c r="J296" s="436"/>
      <c r="K296" s="437"/>
      <c r="L296" s="437"/>
      <c r="M296" s="437"/>
      <c r="N296" s="437"/>
      <c r="O296" s="437"/>
      <c r="P296" s="437"/>
    </row>
    <row r="297" spans="1:26" ht="19.5">
      <c r="A297" s="438"/>
      <c r="B297" s="439" t="s">
        <v>139</v>
      </c>
      <c r="C297" s="440"/>
      <c r="D297" s="440"/>
      <c r="E297" s="440"/>
      <c r="F297" s="440"/>
      <c r="G297" s="441"/>
      <c r="H297" s="442" t="s">
        <v>35</v>
      </c>
      <c r="I297" s="443">
        <f t="shared" ref="I297:J297" ca="1" si="134">I309</f>
        <v>25</v>
      </c>
      <c r="J297" s="443">
        <f t="shared" si="134"/>
        <v>0</v>
      </c>
      <c r="K297" s="444">
        <f ca="1">IF(I297&gt;0,J297*100/I297,0)</f>
        <v>0</v>
      </c>
      <c r="L297" s="445"/>
      <c r="M297" s="445"/>
      <c r="N297" s="445"/>
      <c r="O297" s="445"/>
      <c r="P297" s="445"/>
    </row>
    <row r="298" spans="1:26" ht="19.5">
      <c r="A298" s="147"/>
      <c r="B298" s="148"/>
      <c r="C298" s="149" t="s">
        <v>16</v>
      </c>
      <c r="D298" s="822" t="s">
        <v>17</v>
      </c>
      <c r="E298" s="148"/>
      <c r="F298" s="148"/>
      <c r="G298" s="151"/>
      <c r="H298" s="152" t="s">
        <v>12</v>
      </c>
      <c r="I298" s="419"/>
      <c r="J298" s="419"/>
      <c r="K298" s="154"/>
      <c r="L298" s="155">
        <f t="shared" ref="L298:N298" ca="1" si="135">L299+L300</f>
        <v>244000</v>
      </c>
      <c r="M298" s="155">
        <f t="shared" ca="1" si="135"/>
        <v>125400</v>
      </c>
      <c r="N298" s="155">
        <f t="shared" ca="1" si="135"/>
        <v>43972</v>
      </c>
      <c r="O298" s="155">
        <f t="shared" ref="O298:O306" ca="1" si="136">IF(L298&gt;0,N298*100/L298,0)</f>
        <v>18.021311475409835</v>
      </c>
      <c r="P298" s="155">
        <f t="shared" ref="P298:P306" ca="1" si="137">IF(M298&gt;0,N298*100/M298,0)</f>
        <v>35.065390749601278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2" t="s">
        <v>18</v>
      </c>
      <c r="F299" s="40"/>
      <c r="G299" s="157"/>
      <c r="H299" s="158" t="s">
        <v>12</v>
      </c>
      <c r="I299" s="610"/>
      <c r="J299" s="610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2" t="s">
        <v>19</v>
      </c>
      <c r="F300" s="40"/>
      <c r="G300" s="157"/>
      <c r="H300" s="158" t="s">
        <v>12</v>
      </c>
      <c r="I300" s="610"/>
      <c r="J300" s="610"/>
      <c r="K300" s="93"/>
      <c r="L300" s="93">
        <f t="shared" ca="1" si="138"/>
        <v>244000</v>
      </c>
      <c r="M300" s="93">
        <f t="shared" ca="1" si="138"/>
        <v>125400</v>
      </c>
      <c r="N300" s="93">
        <f t="shared" ca="1" si="138"/>
        <v>43972</v>
      </c>
      <c r="O300" s="93">
        <f t="shared" ca="1" si="136"/>
        <v>18.021311475409835</v>
      </c>
      <c r="P300" s="93">
        <f t="shared" ca="1" si="137"/>
        <v>35.065390749601278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>
      <c r="A301" s="159"/>
      <c r="B301" s="33"/>
      <c r="C301" s="281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6">
        <f t="shared" ref="L301:N301" ca="1" si="139">L302+L303</f>
        <v>244000</v>
      </c>
      <c r="M301" s="496">
        <f t="shared" ca="1" si="139"/>
        <v>125400</v>
      </c>
      <c r="N301" s="496">
        <f t="shared" ca="1" si="139"/>
        <v>43972</v>
      </c>
      <c r="O301" s="496">
        <f t="shared" ca="1" si="136"/>
        <v>18.021311475409835</v>
      </c>
      <c r="P301" s="496">
        <f t="shared" ca="1" si="137"/>
        <v>35.065390749601278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2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2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IFERROR(__xludf.DUMMYFUNCTION("IMPORTRANGE(""https://docs.google.com/spreadsheets/d/1MeEWN-I1oV_STSDYn1IFDPWt_1FKiwhDph83XaGc0o0/edit?usp=sharing"",""งบพรบ!DS66"")"),244000)</f>
        <v>244000</v>
      </c>
      <c r="M303" s="93">
        <f ca="1">IFERROR(__xludf.DUMMYFUNCTION("IMPORTRANGE(""https://docs.google.com/spreadsheets/d/1MeEWN-I1oV_STSDYn1IFDPWt_1FKiwhDph83XaGc0o0/edit?usp=sharing"",""งบพรบ!DX66"")"),125400)</f>
        <v>125400</v>
      </c>
      <c r="N303" s="93">
        <f ca="1">IFERROR(__xludf.DUMMYFUNCTION("IMPORTRANGE(""https://docs.google.com/spreadsheets/d/1MeEWN-I1oV_STSDYn1IFDPWt_1FKiwhDph83XaGc0o0/edit?usp=sharing"",""งบพรบ!DZ66"")"),43972)</f>
        <v>43972</v>
      </c>
      <c r="O303" s="93">
        <f t="shared" ca="1" si="136"/>
        <v>18.021311475409835</v>
      </c>
      <c r="P303" s="93">
        <f t="shared" ca="1" si="137"/>
        <v>35.065390749601278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>
      <c r="A304" s="159"/>
      <c r="B304" s="33"/>
      <c r="C304" s="281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6">
        <f t="shared" ref="L304:N304" ca="1" si="140">L305+L306</f>
        <v>0</v>
      </c>
      <c r="M304" s="496">
        <f t="shared" ca="1" si="140"/>
        <v>0</v>
      </c>
      <c r="N304" s="496">
        <f t="shared" ca="1" si="140"/>
        <v>0</v>
      </c>
      <c r="O304" s="496">
        <f t="shared" ca="1" si="136"/>
        <v>0</v>
      </c>
      <c r="P304" s="496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2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2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IFERROR(__xludf.DUMMYFUNCTION("IMPORTRANGE(""https://docs.google.com/spreadsheets/d/1MeEWN-I1oV_STSDYn1IFDPWt_1FKiwhDph83XaGc0o0/edit?usp=sharing"",""งบพรบ!DV66"")"),0)</f>
        <v>0</v>
      </c>
      <c r="M306" s="93">
        <f ca="1">IFERROR(__xludf.DUMMYFUNCTION("IMPORTRANGE(""https://docs.google.com/spreadsheets/d/1MeEWN-I1oV_STSDYn1IFDPWt_1FKiwhDph83XaGc0o0/edit?usp=sharing"",""งบพรบ!DY66"")"),0)</f>
        <v>0</v>
      </c>
      <c r="N306" s="93">
        <f ca="1">IFERROR(__xludf.DUMMYFUNCTION("IMPORTRANGE(""https://docs.google.com/spreadsheets/d/1MeEWN-I1oV_STSDYn1IFDPWt_1FKiwhDph83XaGc0o0/edit?usp=sharing"",""งบพรบ!EA66"")"),0)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>
      <c r="A307" s="170"/>
      <c r="B307" s="171"/>
      <c r="C307" s="164" t="s">
        <v>16</v>
      </c>
      <c r="D307" s="823" t="s">
        <v>38</v>
      </c>
      <c r="E307" s="173"/>
      <c r="F307" s="173"/>
      <c r="G307" s="174"/>
      <c r="H307" s="753"/>
      <c r="I307" s="269"/>
      <c r="J307" s="269"/>
      <c r="K307" s="496"/>
      <c r="L307" s="496"/>
      <c r="M307" s="496"/>
      <c r="N307" s="496"/>
      <c r="O307" s="496"/>
      <c r="P307" s="496"/>
    </row>
    <row r="308" spans="1:26" ht="18.75">
      <c r="A308" s="170"/>
      <c r="B308" s="171"/>
      <c r="C308" s="171"/>
      <c r="D308" s="446" t="s">
        <v>140</v>
      </c>
      <c r="E308" s="446"/>
      <c r="F308" s="446"/>
      <c r="G308" s="179"/>
      <c r="H308" s="755"/>
      <c r="I308" s="269"/>
      <c r="J308" s="214">
        <v>1</v>
      </c>
      <c r="K308" s="496"/>
      <c r="L308" s="496"/>
      <c r="M308" s="496"/>
      <c r="N308" s="496"/>
      <c r="O308" s="496"/>
      <c r="P308" s="496"/>
    </row>
    <row r="309" spans="1:26" ht="18.75">
      <c r="A309" s="170"/>
      <c r="B309" s="171"/>
      <c r="C309" s="171"/>
      <c r="D309" s="446" t="s">
        <v>141</v>
      </c>
      <c r="E309" s="446"/>
      <c r="F309" s="446"/>
      <c r="G309" s="179"/>
      <c r="H309" s="755" t="s">
        <v>35</v>
      </c>
      <c r="I309" s="269">
        <f ca="1">IFERROR(__xludf.DUMMYFUNCTION("IMPORTRANGE(""https://docs.google.com/spreadsheets/d/1QqKyyYR6Q21VydFLVH3TRQUabQu_ym0Zz7PgGX0-kHA/edit?usp=sharing"",""แผน!ED66"")"),25)</f>
        <v>25</v>
      </c>
      <c r="J309" s="214">
        <v>0</v>
      </c>
      <c r="K309" s="496">
        <f t="shared" ref="K309:K312" ca="1" si="141">IF(I309&gt;0,J309*100/I309,0)</f>
        <v>0</v>
      </c>
      <c r="L309" s="496"/>
      <c r="M309" s="496"/>
      <c r="N309" s="496"/>
      <c r="O309" s="496"/>
      <c r="P309" s="496"/>
    </row>
    <row r="310" spans="1:26" ht="18.75">
      <c r="A310" s="170"/>
      <c r="B310" s="171"/>
      <c r="C310" s="171"/>
      <c r="D310" s="446" t="s">
        <v>142</v>
      </c>
      <c r="E310" s="446"/>
      <c r="F310" s="446"/>
      <c r="G310" s="179"/>
      <c r="H310" s="755" t="s">
        <v>35</v>
      </c>
      <c r="I310" s="269">
        <f ca="1">IFERROR(__xludf.DUMMYFUNCTION("IMPORTRANGE(""https://docs.google.com/spreadsheets/d/1QqKyyYR6Q21VydFLVH3TRQUabQu_ym0Zz7PgGX0-kHA/edit?usp=sharing"",""แผน!ED66"")"),25)</f>
        <v>25</v>
      </c>
      <c r="J310" s="214">
        <v>0</v>
      </c>
      <c r="K310" s="496">
        <f t="shared" ca="1" si="141"/>
        <v>0</v>
      </c>
      <c r="L310" s="496"/>
      <c r="M310" s="496"/>
      <c r="N310" s="496"/>
      <c r="O310" s="496"/>
      <c r="P310" s="496"/>
    </row>
    <row r="311" spans="1:26" ht="18.75">
      <c r="A311" s="170"/>
      <c r="B311" s="171"/>
      <c r="C311" s="171"/>
      <c r="D311" s="446" t="s">
        <v>59</v>
      </c>
      <c r="E311" s="446"/>
      <c r="F311" s="446"/>
      <c r="G311" s="179"/>
      <c r="H311" s="755" t="s">
        <v>35</v>
      </c>
      <c r="I311" s="269">
        <f ca="1">IFERROR(__xludf.DUMMYFUNCTION("IMPORTRANGE(""https://docs.google.com/spreadsheets/d/1QqKyyYR6Q21VydFLVH3TRQUabQu_ym0Zz7PgGX0-kHA/edit?usp=sharing"",""แผน!ED66"")"),25)</f>
        <v>25</v>
      </c>
      <c r="J311" s="214">
        <v>0</v>
      </c>
      <c r="K311" s="496">
        <f t="shared" ca="1" si="141"/>
        <v>0</v>
      </c>
      <c r="L311" s="496"/>
      <c r="M311" s="496"/>
      <c r="N311" s="496"/>
      <c r="O311" s="496"/>
      <c r="P311" s="496"/>
    </row>
    <row r="312" spans="1:26" ht="18.75">
      <c r="A312" s="170"/>
      <c r="B312" s="171"/>
      <c r="C312" s="171"/>
      <c r="D312" s="446" t="s">
        <v>143</v>
      </c>
      <c r="E312" s="446"/>
      <c r="F312" s="446"/>
      <c r="G312" s="179"/>
      <c r="H312" s="755" t="s">
        <v>35</v>
      </c>
      <c r="I312" s="269">
        <f ca="1">IFERROR(__xludf.DUMMYFUNCTION("IMPORTRANGE(""https://docs.google.com/spreadsheets/d/1QqKyyYR6Q21VydFLVH3TRQUabQu_ym0Zz7PgGX0-kHA/edit?usp=sharing"",""แผน!EE66"")"),5)</f>
        <v>5</v>
      </c>
      <c r="J312" s="214">
        <v>0</v>
      </c>
      <c r="K312" s="496">
        <f t="shared" ca="1" si="141"/>
        <v>0</v>
      </c>
      <c r="L312" s="496"/>
      <c r="M312" s="496"/>
      <c r="N312" s="496"/>
      <c r="O312" s="496"/>
      <c r="P312" s="496"/>
    </row>
    <row r="313" spans="1:26" ht="19.5" hidden="1">
      <c r="A313" s="431" t="s">
        <v>144</v>
      </c>
      <c r="B313" s="432"/>
      <c r="C313" s="432"/>
      <c r="D313" s="433"/>
      <c r="E313" s="432"/>
      <c r="F313" s="432"/>
      <c r="G313" s="432"/>
      <c r="H313" s="448"/>
      <c r="I313" s="436"/>
      <c r="J313" s="436"/>
      <c r="K313" s="437"/>
      <c r="L313" s="437"/>
      <c r="M313" s="437"/>
      <c r="N313" s="437"/>
      <c r="O313" s="437"/>
      <c r="P313" s="437"/>
    </row>
    <row r="314" spans="1:26" ht="19.5" hidden="1">
      <c r="A314" s="449"/>
      <c r="B314" s="439" t="s">
        <v>145</v>
      </c>
      <c r="C314" s="450"/>
      <c r="D314" s="451"/>
      <c r="E314" s="440"/>
      <c r="F314" s="440"/>
      <c r="G314" s="441"/>
      <c r="H314" s="442" t="s">
        <v>146</v>
      </c>
      <c r="I314" s="443">
        <f t="shared" ref="I314:J314" ca="1" si="142">I325</f>
        <v>0</v>
      </c>
      <c r="J314" s="443">
        <f t="shared" si="142"/>
        <v>0</v>
      </c>
      <c r="K314" s="444">
        <f ca="1">IF(I314&gt;0,J314*100/I314,0)</f>
        <v>0</v>
      </c>
      <c r="L314" s="445"/>
      <c r="M314" s="445"/>
      <c r="N314" s="445"/>
      <c r="O314" s="445"/>
      <c r="P314" s="445"/>
    </row>
    <row r="315" spans="1:26" ht="19.5" hidden="1">
      <c r="A315" s="147"/>
      <c r="B315" s="148"/>
      <c r="C315" s="149" t="s">
        <v>16</v>
      </c>
      <c r="D315" s="822" t="s">
        <v>17</v>
      </c>
      <c r="E315" s="148"/>
      <c r="F315" s="148"/>
      <c r="G315" s="151"/>
      <c r="H315" s="152" t="s">
        <v>12</v>
      </c>
      <c r="I315" s="419"/>
      <c r="J315" s="419"/>
      <c r="K315" s="154"/>
      <c r="L315" s="155">
        <f t="shared" ref="L315:N315" ca="1" si="143">L316+L317</f>
        <v>0</v>
      </c>
      <c r="M315" s="155">
        <f t="shared" ca="1" si="143"/>
        <v>0</v>
      </c>
      <c r="N315" s="155">
        <f t="shared" ca="1" si="143"/>
        <v>0</v>
      </c>
      <c r="O315" s="155">
        <f t="shared" ref="O315:O323" ca="1" si="144">IF(L315&gt;0,N315*100/L315,0)</f>
        <v>0</v>
      </c>
      <c r="P315" s="155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2" t="s">
        <v>18</v>
      </c>
      <c r="F316" s="40"/>
      <c r="G316" s="157"/>
      <c r="H316" s="158" t="s">
        <v>12</v>
      </c>
      <c r="I316" s="610"/>
      <c r="J316" s="610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2" t="s">
        <v>19</v>
      </c>
      <c r="F317" s="40"/>
      <c r="G317" s="157"/>
      <c r="H317" s="158" t="s">
        <v>12</v>
      </c>
      <c r="I317" s="610"/>
      <c r="J317" s="610"/>
      <c r="K317" s="93"/>
      <c r="L317" s="93">
        <f t="shared" ca="1" si="146"/>
        <v>0</v>
      </c>
      <c r="M317" s="93">
        <f t="shared" ca="1" si="146"/>
        <v>0</v>
      </c>
      <c r="N317" s="93">
        <f t="shared" ca="1" si="146"/>
        <v>0</v>
      </c>
      <c r="O317" s="93">
        <f t="shared" ca="1" si="144"/>
        <v>0</v>
      </c>
      <c r="P317" s="93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1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6">
        <f t="shared" ref="L318:N318" ca="1" si="147">L319+L320</f>
        <v>0</v>
      </c>
      <c r="M318" s="496">
        <f t="shared" ca="1" si="147"/>
        <v>0</v>
      </c>
      <c r="N318" s="496">
        <f t="shared" ca="1" si="147"/>
        <v>0</v>
      </c>
      <c r="O318" s="496">
        <f t="shared" ca="1" si="144"/>
        <v>0</v>
      </c>
      <c r="P318" s="496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2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2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IFERROR(__xludf.DUMMYFUNCTION("IMPORTRANGE(""https://docs.google.com/spreadsheets/d/1MeEWN-I1oV_STSDYn1IFDPWt_1FKiwhDph83XaGc0o0/edit?usp=sharing"",""งบพรบ!EC66"")"),0)</f>
        <v>0</v>
      </c>
      <c r="M320" s="93">
        <f ca="1">IFERROR(__xludf.DUMMYFUNCTION("IMPORTRANGE(""https://docs.google.com/spreadsheets/d/1MeEWN-I1oV_STSDYn1IFDPWt_1FKiwhDph83XaGc0o0/edit?usp=sharing"",""งบพรบ!EH66"")"),0)</f>
        <v>0</v>
      </c>
      <c r="N320" s="93">
        <f ca="1">IFERROR(__xludf.DUMMYFUNCTION("IMPORTRANGE(""https://docs.google.com/spreadsheets/d/1MeEWN-I1oV_STSDYn1IFDPWt_1FKiwhDph83XaGc0o0/edit?usp=sharing"",""งบพรบ!EJ66"")"),0)</f>
        <v>0</v>
      </c>
      <c r="O320" s="93">
        <f t="shared" ca="1" si="144"/>
        <v>0</v>
      </c>
      <c r="P320" s="93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1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6">
        <f t="shared" ref="L321:N321" ca="1" si="148">L322+L323</f>
        <v>0</v>
      </c>
      <c r="M321" s="496">
        <f t="shared" ca="1" si="148"/>
        <v>0</v>
      </c>
      <c r="N321" s="496">
        <f t="shared" ca="1" si="148"/>
        <v>0</v>
      </c>
      <c r="O321" s="496">
        <f t="shared" ca="1" si="144"/>
        <v>0</v>
      </c>
      <c r="P321" s="496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2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2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IFERROR(__xludf.DUMMYFUNCTION("IMPORTRANGE(""https://docs.google.com/spreadsheets/d/1MeEWN-I1oV_STSDYn1IFDPWt_1FKiwhDph83XaGc0o0/edit?usp=sharing"",""งบพรบ!EF66"")"),0)</f>
        <v>0</v>
      </c>
      <c r="M323" s="93">
        <f ca="1">IFERROR(__xludf.DUMMYFUNCTION("IMPORTRANGE(""https://docs.google.com/spreadsheets/d/1MeEWN-I1oV_STSDYn1IFDPWt_1FKiwhDph83XaGc0o0/edit?usp=sharing"",""งบพรบ!EI66"")"),0)</f>
        <v>0</v>
      </c>
      <c r="N323" s="93">
        <f ca="1">IFERROR(__xludf.DUMMYFUNCTION("IMPORTRANGE(""https://docs.google.com/spreadsheets/d/1MeEWN-I1oV_STSDYn1IFDPWt_1FKiwhDph83XaGc0o0/edit?usp=sharing"",""งบพรบ!EK66"")"),0)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23" t="s">
        <v>38</v>
      </c>
      <c r="E324" s="173"/>
      <c r="F324" s="173"/>
      <c r="G324" s="174"/>
      <c r="H324" s="753"/>
      <c r="I324" s="184"/>
      <c r="J324" s="269"/>
      <c r="K324" s="496"/>
      <c r="L324" s="496"/>
      <c r="M324" s="496"/>
      <c r="N324" s="496"/>
      <c r="O324" s="163"/>
      <c r="P324" s="163"/>
    </row>
    <row r="325" spans="1:26" ht="18.75" hidden="1">
      <c r="A325" s="170"/>
      <c r="B325" s="171"/>
      <c r="C325" s="171"/>
      <c r="D325" s="176" t="s">
        <v>147</v>
      </c>
      <c r="E325" s="178"/>
      <c r="F325" s="446"/>
      <c r="G325" s="179"/>
      <c r="H325" s="616" t="s">
        <v>146</v>
      </c>
      <c r="I325" s="269">
        <f ca="1">IFERROR(__xludf.DUMMYFUNCTION("IMPORTRANGE(""https://docs.google.com/spreadsheets/d/1QqKyyYR6Q21VydFLVH3TRQUabQu_ym0Zz7PgGX0-kHA/edit?usp=sharing"",""แผน!EF66"")"),0)</f>
        <v>0</v>
      </c>
      <c r="J325" s="214">
        <v>0</v>
      </c>
      <c r="K325" s="496">
        <f ca="1">IF(I325&gt;0,J325*100/I325,0)</f>
        <v>0</v>
      </c>
      <c r="L325" s="496"/>
      <c r="M325" s="496"/>
      <c r="N325" s="496"/>
      <c r="O325" s="163"/>
      <c r="P325" s="163"/>
    </row>
    <row r="326" spans="1:26" ht="19.5">
      <c r="A326" s="431" t="s">
        <v>148</v>
      </c>
      <c r="B326" s="432"/>
      <c r="C326" s="432"/>
      <c r="D326" s="433"/>
      <c r="E326" s="432"/>
      <c r="F326" s="432"/>
      <c r="G326" s="432"/>
      <c r="H326" s="448"/>
      <c r="I326" s="436"/>
      <c r="J326" s="436"/>
      <c r="K326" s="437"/>
      <c r="L326" s="437"/>
      <c r="M326" s="437"/>
      <c r="N326" s="437"/>
      <c r="O326" s="437"/>
      <c r="P326" s="437"/>
    </row>
    <row r="327" spans="1:26" ht="19.5">
      <c r="A327" s="438"/>
      <c r="B327" s="439" t="s">
        <v>149</v>
      </c>
      <c r="C327" s="451"/>
      <c r="D327" s="440"/>
      <c r="E327" s="440"/>
      <c r="F327" s="440"/>
      <c r="G327" s="441"/>
      <c r="H327" s="442" t="s">
        <v>35</v>
      </c>
      <c r="I327" s="443">
        <f ca="1">IFERROR(__xludf.DUMMYFUNCTION("IMPORTRANGE(""https://docs.google.com/spreadsheets/d/1QqKyyYR6Q21VydFLVH3TRQUabQu_ym0Zz7PgGX0-kHA/edit?usp=sharing"",""แผน!EG66"")"),400)</f>
        <v>400</v>
      </c>
      <c r="J327" s="443">
        <f ca="1">J338+J341+J342+J343</f>
        <v>84</v>
      </c>
      <c r="K327" s="444">
        <f ca="1">IF(I327&gt;0,J327*100/I327,0)</f>
        <v>21</v>
      </c>
      <c r="L327" s="445"/>
      <c r="M327" s="445"/>
      <c r="N327" s="445"/>
      <c r="O327" s="445"/>
      <c r="P327" s="445"/>
    </row>
    <row r="328" spans="1:26" ht="19.5">
      <c r="A328" s="147"/>
      <c r="B328" s="148"/>
      <c r="C328" s="149" t="s">
        <v>16</v>
      </c>
      <c r="D328" s="822" t="s">
        <v>17</v>
      </c>
      <c r="E328" s="148"/>
      <c r="F328" s="148"/>
      <c r="G328" s="151"/>
      <c r="H328" s="152" t="s">
        <v>12</v>
      </c>
      <c r="I328" s="419"/>
      <c r="J328" s="419"/>
      <c r="K328" s="154"/>
      <c r="L328" s="155">
        <f t="shared" ref="L328:N328" ca="1" si="149">L329+L330</f>
        <v>157000</v>
      </c>
      <c r="M328" s="155">
        <f t="shared" ca="1" si="149"/>
        <v>78500</v>
      </c>
      <c r="N328" s="155">
        <f t="shared" ca="1" si="149"/>
        <v>38896.1</v>
      </c>
      <c r="O328" s="155">
        <f t="shared" ref="O328:O336" ca="1" si="150">IF(L328&gt;0,N328*100/L328,0)</f>
        <v>24.774585987261148</v>
      </c>
      <c r="P328" s="155">
        <f t="shared" ref="P328:P336" ca="1" si="151">IF(M328&gt;0,N328*100/M328,0)</f>
        <v>49.549171974522295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2" t="s">
        <v>18</v>
      </c>
      <c r="F329" s="40"/>
      <c r="G329" s="157"/>
      <c r="H329" s="158" t="s">
        <v>12</v>
      </c>
      <c r="I329" s="610"/>
      <c r="J329" s="610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2" t="s">
        <v>19</v>
      </c>
      <c r="F330" s="40"/>
      <c r="G330" s="157"/>
      <c r="H330" s="158" t="s">
        <v>12</v>
      </c>
      <c r="I330" s="610"/>
      <c r="J330" s="610"/>
      <c r="K330" s="93"/>
      <c r="L330" s="93">
        <f t="shared" ca="1" si="152"/>
        <v>157000</v>
      </c>
      <c r="M330" s="93">
        <f t="shared" ca="1" si="152"/>
        <v>78500</v>
      </c>
      <c r="N330" s="93">
        <f t="shared" ca="1" si="152"/>
        <v>38896.1</v>
      </c>
      <c r="O330" s="93">
        <f t="shared" ca="1" si="150"/>
        <v>24.774585987261148</v>
      </c>
      <c r="P330" s="93">
        <f t="shared" ca="1" si="151"/>
        <v>49.549171974522295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1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6">
        <f t="shared" ref="L331:N331" ca="1" si="153">L332+L333</f>
        <v>157000</v>
      </c>
      <c r="M331" s="496">
        <f t="shared" ca="1" si="153"/>
        <v>78500</v>
      </c>
      <c r="N331" s="496">
        <f t="shared" ca="1" si="153"/>
        <v>38896.1</v>
      </c>
      <c r="O331" s="496">
        <f t="shared" ca="1" si="150"/>
        <v>24.774585987261148</v>
      </c>
      <c r="P331" s="496">
        <f t="shared" ca="1" si="151"/>
        <v>49.549171974522295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2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2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IFERROR(__xludf.DUMMYFUNCTION("IMPORTRANGE(""https://docs.google.com/spreadsheets/d/1MeEWN-I1oV_STSDYn1IFDPWt_1FKiwhDph83XaGc0o0/edit?usp=sharing"",""งบพรบ!EM66"")"),157000)</f>
        <v>157000</v>
      </c>
      <c r="M333" s="93">
        <f ca="1">IFERROR(__xludf.DUMMYFUNCTION("IMPORTRANGE(""https://docs.google.com/spreadsheets/d/1MeEWN-I1oV_STSDYn1IFDPWt_1FKiwhDph83XaGc0o0/edit?usp=sharing"",""งบพรบ!ER66"")"),78500)</f>
        <v>78500</v>
      </c>
      <c r="N333" s="93">
        <f ca="1">IFERROR(__xludf.DUMMYFUNCTION("IMPORTRANGE(""https://docs.google.com/spreadsheets/d/1MeEWN-I1oV_STSDYn1IFDPWt_1FKiwhDph83XaGc0o0/edit?usp=sharing"",""งบพรบ!ET66"")"),38896.1)</f>
        <v>38896.1</v>
      </c>
      <c r="O333" s="93">
        <f t="shared" ca="1" si="150"/>
        <v>24.774585987261148</v>
      </c>
      <c r="P333" s="93">
        <f t="shared" ca="1" si="151"/>
        <v>49.549171974522295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1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6">
        <f t="shared" ref="L334:N334" ca="1" si="154">L335+L336</f>
        <v>0</v>
      </c>
      <c r="M334" s="496">
        <f t="shared" ca="1" si="154"/>
        <v>0</v>
      </c>
      <c r="N334" s="496">
        <f t="shared" ca="1" si="154"/>
        <v>0</v>
      </c>
      <c r="O334" s="496">
        <f t="shared" ca="1" si="150"/>
        <v>0</v>
      </c>
      <c r="P334" s="496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2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2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IFERROR(__xludf.DUMMYFUNCTION("IMPORTRANGE(""https://docs.google.com/spreadsheets/d/1MeEWN-I1oV_STSDYn1IFDPWt_1FKiwhDph83XaGc0o0/edit?usp=sharing"",""งบพรบ!EP66"")"),0)</f>
        <v>0</v>
      </c>
      <c r="M336" s="93">
        <f ca="1">IFERROR(__xludf.DUMMYFUNCTION("IMPORTRANGE(""https://docs.google.com/spreadsheets/d/1MeEWN-I1oV_STSDYn1IFDPWt_1FKiwhDph83XaGc0o0/edit?usp=sharing"",""งบพรบ!ES66"")"),0)</f>
        <v>0</v>
      </c>
      <c r="N336" s="93">
        <f ca="1">IFERROR(__xludf.DUMMYFUNCTION("IMPORTRANGE(""https://docs.google.com/spreadsheets/d/1MeEWN-I1oV_STSDYn1IFDPWt_1FKiwhDph83XaGc0o0/edit?usp=sharing"",""งบพรบ!EU66"")"),0)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23" t="s">
        <v>38</v>
      </c>
      <c r="E337" s="173"/>
      <c r="F337" s="173"/>
      <c r="G337" s="174"/>
      <c r="H337" s="753"/>
      <c r="I337" s="184"/>
      <c r="J337" s="269"/>
      <c r="K337" s="496"/>
      <c r="L337" s="496"/>
      <c r="M337" s="496"/>
      <c r="N337" s="496"/>
      <c r="O337" s="163"/>
      <c r="P337" s="163"/>
    </row>
    <row r="338" spans="1:26" ht="18.75">
      <c r="A338" s="284"/>
      <c r="B338" s="33"/>
      <c r="C338" s="280"/>
      <c r="D338" s="446" t="s">
        <v>150</v>
      </c>
      <c r="E338" s="171"/>
      <c r="F338" s="33"/>
      <c r="G338" s="35"/>
      <c r="H338" s="276" t="s">
        <v>35</v>
      </c>
      <c r="I338" s="269">
        <f ca="1">IFERROR(__xludf.DUMMYFUNCTION("IMPORTRANGE(""https://docs.google.com/spreadsheets/d/1QqKyyYR6Q21VydFLVH3TRQUabQu_ym0Zz7PgGX0-kHA/edit?usp=sharing"",""แผน!EG66"")"),400)</f>
        <v>400</v>
      </c>
      <c r="J338" s="269">
        <f ca="1">IFERROR(__xludf.DUMMYFUNCTION("IMPORTRANGE(""https://docs.google.com/spreadsheets/d/1kVcqe37tkHyjCSG3S0O1AXqVkqjo8mSIZil3BcpIysc/edit?usp=sharing"",""ศูนย์!D66"")"),84)</f>
        <v>84</v>
      </c>
      <c r="K338" s="496">
        <f ca="1">IF(I338&gt;0,J338*100/I338,0)</f>
        <v>21</v>
      </c>
      <c r="L338" s="496"/>
      <c r="M338" s="496"/>
      <c r="N338" s="496"/>
      <c r="O338" s="496"/>
      <c r="P338" s="496"/>
    </row>
    <row r="339" spans="1:26" ht="18.75">
      <c r="A339" s="284"/>
      <c r="B339" s="33"/>
      <c r="C339" s="280"/>
      <c r="D339" s="446" t="s">
        <v>151</v>
      </c>
      <c r="E339" s="171"/>
      <c r="F339" s="33"/>
      <c r="G339" s="35"/>
      <c r="H339" s="276"/>
      <c r="I339" s="269"/>
      <c r="J339" s="269"/>
      <c r="K339" s="496"/>
      <c r="L339" s="496"/>
      <c r="M339" s="496"/>
      <c r="N339" s="496"/>
      <c r="O339" s="496"/>
      <c r="P339" s="496"/>
    </row>
    <row r="340" spans="1:26" ht="18.75">
      <c r="A340" s="284"/>
      <c r="B340" s="33"/>
      <c r="C340" s="280"/>
      <c r="D340" s="178"/>
      <c r="E340" s="446" t="s">
        <v>152</v>
      </c>
      <c r="F340" s="33"/>
      <c r="G340" s="35"/>
      <c r="H340" s="276" t="s">
        <v>153</v>
      </c>
      <c r="I340" s="269">
        <f ca="1">IFERROR(__xludf.DUMMYFUNCTION("IMPORTRANGE(""https://docs.google.com/spreadsheets/d/1QqKyyYR6Q21VydFLVH3TRQUabQu_ym0Zz7PgGX0-kHA/edit?usp=sharing"",""แผน!EH66"")"),2)</f>
        <v>2</v>
      </c>
      <c r="J340" s="269">
        <f ca="1">IFERROR(__xludf.DUMMYFUNCTION("IMPORTRANGE(""https://docs.google.com/spreadsheets/d/1kVcqe37tkHyjCSG3S0O1AXqVkqjo8mSIZil3BcpIysc/edit?usp=sharing"",""ศูนย์!E66"")"),0)</f>
        <v>0</v>
      </c>
      <c r="K340" s="496">
        <f ca="1">IF(I340&gt;0,J340*100/I340,0)</f>
        <v>0</v>
      </c>
      <c r="L340" s="496"/>
      <c r="M340" s="496"/>
      <c r="N340" s="496"/>
      <c r="O340" s="496"/>
      <c r="P340" s="496"/>
    </row>
    <row r="341" spans="1:26" ht="18.75">
      <c r="A341" s="284"/>
      <c r="B341" s="33"/>
      <c r="C341" s="280"/>
      <c r="D341" s="178"/>
      <c r="E341" s="446" t="s">
        <v>154</v>
      </c>
      <c r="F341" s="33"/>
      <c r="G341" s="35"/>
      <c r="H341" s="276" t="s">
        <v>35</v>
      </c>
      <c r="I341" s="269"/>
      <c r="J341" s="269">
        <f ca="1">IFERROR(__xludf.DUMMYFUNCTION("IMPORTRANGE(""https://docs.google.com/spreadsheets/d/1kVcqe37tkHyjCSG3S0O1AXqVkqjo8mSIZil3BcpIysc/edit?usp=sharing"",""ศูนย์!F66"")"),0)</f>
        <v>0</v>
      </c>
      <c r="K341" s="496"/>
      <c r="L341" s="496"/>
      <c r="M341" s="496"/>
      <c r="N341" s="496"/>
      <c r="O341" s="496"/>
      <c r="P341" s="496"/>
    </row>
    <row r="342" spans="1:26" ht="18.75">
      <c r="A342" s="284"/>
      <c r="B342" s="33"/>
      <c r="C342" s="280"/>
      <c r="D342" s="446" t="s">
        <v>155</v>
      </c>
      <c r="E342" s="178"/>
      <c r="F342" s="178"/>
      <c r="G342" s="35"/>
      <c r="H342" s="276" t="s">
        <v>35</v>
      </c>
      <c r="I342" s="269"/>
      <c r="J342" s="269">
        <f ca="1">IFERROR(__xludf.DUMMYFUNCTION("IMPORTRANGE(""https://docs.google.com/spreadsheets/d/1kVcqe37tkHyjCSG3S0O1AXqVkqjo8mSIZil3BcpIysc/edit?usp=sharing"",""ศูนย์!G66"")"),0)</f>
        <v>0</v>
      </c>
      <c r="K342" s="496"/>
      <c r="L342" s="496"/>
      <c r="M342" s="496"/>
      <c r="N342" s="496"/>
      <c r="O342" s="496"/>
      <c r="P342" s="496"/>
    </row>
    <row r="343" spans="1:26" ht="18.75">
      <c r="A343" s="284"/>
      <c r="B343" s="33"/>
      <c r="C343" s="280"/>
      <c r="D343" s="446" t="s">
        <v>156</v>
      </c>
      <c r="E343" s="178"/>
      <c r="F343" s="178"/>
      <c r="G343" s="35"/>
      <c r="H343" s="276" t="s">
        <v>35</v>
      </c>
      <c r="I343" s="269"/>
      <c r="J343" s="269">
        <f ca="1">IFERROR(__xludf.DUMMYFUNCTION("IMPORTRANGE(""https://docs.google.com/spreadsheets/d/1kVcqe37tkHyjCSG3S0O1AXqVkqjo8mSIZil3BcpIysc/edit?usp=sharing"",""ศูนย์!H66"")"),0)</f>
        <v>0</v>
      </c>
      <c r="K343" s="496"/>
      <c r="L343" s="496"/>
      <c r="M343" s="496"/>
      <c r="N343" s="496"/>
      <c r="O343" s="496"/>
      <c r="P343" s="496"/>
    </row>
    <row r="344" spans="1:26" ht="19.5">
      <c r="A344" s="438"/>
      <c r="B344" s="439" t="s">
        <v>157</v>
      </c>
      <c r="C344" s="451"/>
      <c r="D344" s="440"/>
      <c r="E344" s="440"/>
      <c r="F344" s="440"/>
      <c r="G344" s="441"/>
      <c r="H344" s="442"/>
      <c r="I344" s="452"/>
      <c r="J344" s="452"/>
      <c r="K344" s="445"/>
      <c r="L344" s="445"/>
      <c r="M344" s="445"/>
      <c r="N344" s="445"/>
      <c r="O344" s="445"/>
      <c r="P344" s="445"/>
    </row>
    <row r="345" spans="1:26" ht="19.5">
      <c r="A345" s="147"/>
      <c r="B345" s="148"/>
      <c r="C345" s="149" t="s">
        <v>16</v>
      </c>
      <c r="D345" s="822" t="s">
        <v>17</v>
      </c>
      <c r="E345" s="148"/>
      <c r="F345" s="148"/>
      <c r="G345" s="151"/>
      <c r="H345" s="152" t="s">
        <v>12</v>
      </c>
      <c r="I345" s="419"/>
      <c r="J345" s="419"/>
      <c r="K345" s="154"/>
      <c r="L345" s="155">
        <f t="shared" ref="L345:N345" ca="1" si="155">L346+L347</f>
        <v>824120</v>
      </c>
      <c r="M345" s="155">
        <f t="shared" ca="1" si="155"/>
        <v>518160</v>
      </c>
      <c r="N345" s="155">
        <f t="shared" ca="1" si="155"/>
        <v>361988.1</v>
      </c>
      <c r="O345" s="155">
        <f t="shared" ref="O345:O353" ca="1" si="156">IF(L345&gt;0,N345*100/L345,0)</f>
        <v>43.924197932339951</v>
      </c>
      <c r="P345" s="155">
        <f t="shared" ref="P345:P353" ca="1" si="157">IF(M345&gt;0,N345*100/M345,0)</f>
        <v>69.860294117647058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2" t="s">
        <v>18</v>
      </c>
      <c r="F346" s="40"/>
      <c r="G346" s="157"/>
      <c r="H346" s="158" t="s">
        <v>12</v>
      </c>
      <c r="I346" s="610"/>
      <c r="J346" s="610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2" t="s">
        <v>19</v>
      </c>
      <c r="F347" s="40"/>
      <c r="G347" s="157"/>
      <c r="H347" s="158" t="s">
        <v>12</v>
      </c>
      <c r="I347" s="610"/>
      <c r="J347" s="610"/>
      <c r="K347" s="93"/>
      <c r="L347" s="93">
        <f t="shared" ca="1" si="158"/>
        <v>824120</v>
      </c>
      <c r="M347" s="93">
        <f t="shared" ca="1" si="158"/>
        <v>518160</v>
      </c>
      <c r="N347" s="93">
        <f t="shared" ca="1" si="158"/>
        <v>361988.1</v>
      </c>
      <c r="O347" s="93">
        <f t="shared" ca="1" si="156"/>
        <v>43.924197932339951</v>
      </c>
      <c r="P347" s="93">
        <f t="shared" ca="1" si="157"/>
        <v>69.860294117647058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1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6">
        <f t="shared" ref="L348:N348" ca="1" si="159">L349+L350</f>
        <v>611920</v>
      </c>
      <c r="M348" s="496">
        <f t="shared" ca="1" si="159"/>
        <v>305960</v>
      </c>
      <c r="N348" s="496">
        <f t="shared" ca="1" si="159"/>
        <v>149788.1</v>
      </c>
      <c r="O348" s="496">
        <f t="shared" ca="1" si="156"/>
        <v>24.47837952673552</v>
      </c>
      <c r="P348" s="496">
        <f t="shared" ca="1" si="157"/>
        <v>48.956759053471039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2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2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IFERROR(__xludf.DUMMYFUNCTION("IMPORTRANGE(""https://docs.google.com/spreadsheets/d/1MeEWN-I1oV_STSDYn1IFDPWt_1FKiwhDph83XaGc0o0/edit?usp=sharing"",""งบพรบ!EW66"")"),611920)</f>
        <v>611920</v>
      </c>
      <c r="M350" s="93">
        <f ca="1">IFERROR(__xludf.DUMMYFUNCTION("IMPORTRANGE(""https://docs.google.com/spreadsheets/d/1MeEWN-I1oV_STSDYn1IFDPWt_1FKiwhDph83XaGc0o0/edit?usp=sharing"",""งบพรบ!FB66"")"),305960)</f>
        <v>305960</v>
      </c>
      <c r="N350" s="93">
        <f ca="1">IFERROR(__xludf.DUMMYFUNCTION("IMPORTRANGE(""https://docs.google.com/spreadsheets/d/1MeEWN-I1oV_STSDYn1IFDPWt_1FKiwhDph83XaGc0o0/edit?usp=sharing"",""งบพรบ!FD66"")"),149788.1)</f>
        <v>149788.1</v>
      </c>
      <c r="O350" s="93">
        <f t="shared" ca="1" si="156"/>
        <v>24.47837952673552</v>
      </c>
      <c r="P350" s="93">
        <f t="shared" ca="1" si="157"/>
        <v>48.956759053471039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1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6">
        <f t="shared" ref="L351:N351" ca="1" si="160">L352+L353</f>
        <v>212200</v>
      </c>
      <c r="M351" s="496">
        <f t="shared" ca="1" si="160"/>
        <v>212200</v>
      </c>
      <c r="N351" s="496">
        <f t="shared" ca="1" si="160"/>
        <v>212200</v>
      </c>
      <c r="O351" s="496">
        <f t="shared" ca="1" si="156"/>
        <v>100</v>
      </c>
      <c r="P351" s="496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2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2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IFERROR(__xludf.DUMMYFUNCTION("IMPORTRANGE(""https://docs.google.com/spreadsheets/d/1MeEWN-I1oV_STSDYn1IFDPWt_1FKiwhDph83XaGc0o0/edit?usp=sharing"",""งบพรบ!EZ66"")"),212200)</f>
        <v>212200</v>
      </c>
      <c r="M353" s="93">
        <f ca="1">IFERROR(__xludf.DUMMYFUNCTION("IMPORTRANGE(""https://docs.google.com/spreadsheets/d/1MeEWN-I1oV_STSDYn1IFDPWt_1FKiwhDph83XaGc0o0/edit?usp=sharing"",""งบพรบ!FC66"")"),212200)</f>
        <v>212200</v>
      </c>
      <c r="N353" s="93">
        <f ca="1">IFERROR(__xludf.DUMMYFUNCTION("IMPORTRANGE(""https://docs.google.com/spreadsheets/d/1MeEWN-I1oV_STSDYn1IFDPWt_1FKiwhDph83XaGc0o0/edit?usp=sharing"",""งบพรบ!FE66"")"),212200)</f>
        <v>212200</v>
      </c>
      <c r="O353" s="93">
        <f t="shared" ca="1" si="156"/>
        <v>100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5"/>
      <c r="B354" s="263"/>
      <c r="C354" s="256"/>
      <c r="D354" s="832" t="s">
        <v>158</v>
      </c>
      <c r="E354" s="256"/>
      <c r="F354" s="256"/>
      <c r="G354" s="258"/>
      <c r="H354" s="454"/>
      <c r="I354" s="260"/>
      <c r="J354" s="260"/>
      <c r="K354" s="261"/>
      <c r="L354" s="261"/>
      <c r="M354" s="261"/>
      <c r="N354" s="261"/>
      <c r="O354" s="261"/>
      <c r="P354" s="261"/>
    </row>
    <row r="355" spans="1:26" ht="19.5">
      <c r="A355" s="455"/>
      <c r="B355" s="456"/>
      <c r="C355" s="457"/>
      <c r="D355" s="833" t="s">
        <v>159</v>
      </c>
      <c r="E355" s="459"/>
      <c r="F355" s="459"/>
      <c r="G355" s="460"/>
      <c r="H355" s="461" t="s">
        <v>35</v>
      </c>
      <c r="I355" s="463">
        <f ca="1">IFERROR(__xludf.DUMMYFUNCTION("IMPORTRANGE(""https://docs.google.com/spreadsheets/d/1QqKyyYR6Q21VydFLVH3TRQUabQu_ym0Zz7PgGX0-kHA/edit?usp=sharing"",""แผน!EP66"")"),110)</f>
        <v>110</v>
      </c>
      <c r="J355" s="463">
        <f ca="1">J362</f>
        <v>1</v>
      </c>
      <c r="K355" s="464">
        <f ca="1">IF(I355&gt;0,J355*100/I355,0)</f>
        <v>0.90909090909090906</v>
      </c>
      <c r="L355" s="465"/>
      <c r="M355" s="465"/>
      <c r="N355" s="465"/>
      <c r="O355" s="465"/>
      <c r="P355" s="465"/>
    </row>
    <row r="356" spans="1:26" ht="19.5">
      <c r="A356" s="455"/>
      <c r="B356" s="456"/>
      <c r="C356" s="457"/>
      <c r="D356" s="466" t="s">
        <v>160</v>
      </c>
      <c r="E356" s="459"/>
      <c r="F356" s="459"/>
      <c r="G356" s="460"/>
      <c r="H356" s="467"/>
      <c r="I356" s="468"/>
      <c r="J356" s="468"/>
      <c r="K356" s="465"/>
      <c r="L356" s="465"/>
      <c r="M356" s="465"/>
      <c r="N356" s="465"/>
      <c r="O356" s="465"/>
      <c r="P356" s="465"/>
    </row>
    <row r="357" spans="1:26" ht="19.5">
      <c r="A357" s="170"/>
      <c r="B357" s="171"/>
      <c r="C357" s="164" t="s">
        <v>16</v>
      </c>
      <c r="D357" s="823" t="s">
        <v>38</v>
      </c>
      <c r="E357" s="173"/>
      <c r="F357" s="173"/>
      <c r="G357" s="174"/>
      <c r="H357" s="753"/>
      <c r="I357" s="269"/>
      <c r="J357" s="269"/>
      <c r="K357" s="496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69">
        <v>0</v>
      </c>
      <c r="J358" s="269">
        <f ca="1">IFERROR(__xludf.DUMMYFUNCTION("IMPORTRANGE(""https://docs.google.com/spreadsheets/d/1XWAQStnk-4SwqDmLtmXYiTMKHgktTP8We1SCoS47DrQ/edit?usp=sharing"",""จัดที่ดิน!W66"")"),57)</f>
        <v>57</v>
      </c>
      <c r="K358" s="496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69">
        <f ca="1">IFERROR(__xludf.DUMMYFUNCTION("IMPORTRANGE(""https://docs.google.com/spreadsheets/d/1QqKyyYR6Q21VydFLVH3TRQUabQu_ym0Zz7PgGX0-kHA/edit?usp=sharing"",""แผน!EO66"")"),900)</f>
        <v>900</v>
      </c>
      <c r="J359" s="269">
        <f ca="1">IFERROR(__xludf.DUMMYFUNCTION("IMPORTRANGE(""https://docs.google.com/spreadsheets/d/1XWAQStnk-4SwqDmLtmXYiTMKHgktTP8We1SCoS47DrQ/edit?usp=sharing"",""จัดที่ดิน!X66"")"),572.22)</f>
        <v>572.22</v>
      </c>
      <c r="K359" s="496">
        <f t="shared" ca="1" si="161"/>
        <v>63.58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755" t="s">
        <v>35</v>
      </c>
      <c r="I360" s="269">
        <f ca="1">IFERROR(__xludf.DUMMYFUNCTION("IMPORTRANGE(""https://docs.google.com/spreadsheets/d/1QqKyyYR6Q21VydFLVH3TRQUabQu_ym0Zz7PgGX0-kHA/edit?usp=sharing"",""แผน!EP66"")"),110)</f>
        <v>110</v>
      </c>
      <c r="J360" s="269">
        <f ca="1">IFERROR(__xludf.DUMMYFUNCTION("IMPORTRANGE(""https://docs.google.com/spreadsheets/d/1XWAQStnk-4SwqDmLtmXYiTMKHgktTP8We1SCoS47DrQ/edit?usp=sharing"",""จัดที่ดิน!Y66"")"),1)</f>
        <v>1</v>
      </c>
      <c r="K360" s="496">
        <f t="shared" ca="1" si="161"/>
        <v>0.90909090909090906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755" t="s">
        <v>46</v>
      </c>
      <c r="I361" s="269">
        <v>0</v>
      </c>
      <c r="J361" s="269">
        <f ca="1">IFERROR(__xludf.DUMMYFUNCTION("IMPORTRANGE(""https://docs.google.com/spreadsheets/d/1XWAQStnk-4SwqDmLtmXYiTMKHgktTP8We1SCoS47DrQ/edit?usp=sharing"",""จัดที่ดิน!Z66"")"),38.94)</f>
        <v>38.94</v>
      </c>
      <c r="K361" s="496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755" t="s">
        <v>35</v>
      </c>
      <c r="I362" s="269">
        <f ca="1">IFERROR(__xludf.DUMMYFUNCTION("IMPORTRANGE(""https://docs.google.com/spreadsheets/d/1QqKyyYR6Q21VydFLVH3TRQUabQu_ym0Zz7PgGX0-kHA/edit?usp=sharing"",""แผน!EP66"")"),110)</f>
        <v>110</v>
      </c>
      <c r="J362" s="269">
        <f ca="1">IFERROR(__xludf.DUMMYFUNCTION("IMPORTRANGE(""https://docs.google.com/spreadsheets/d/1XWAQStnk-4SwqDmLtmXYiTMKHgktTP8We1SCoS47DrQ/edit?usp=sharing"",""จัดที่ดิน!AA66"")"),1)</f>
        <v>1</v>
      </c>
      <c r="K362" s="496">
        <f t="shared" ca="1" si="161"/>
        <v>0.90909090909090906</v>
      </c>
      <c r="L362" s="163"/>
      <c r="M362" s="163"/>
      <c r="N362" s="163"/>
      <c r="O362" s="163"/>
      <c r="P362" s="163"/>
    </row>
    <row r="363" spans="1:26" ht="18.75">
      <c r="A363" s="469" t="s">
        <v>164</v>
      </c>
      <c r="B363" s="178"/>
      <c r="C363" s="171"/>
      <c r="D363" s="178"/>
      <c r="E363" s="446"/>
      <c r="F363" s="178"/>
      <c r="G363" s="179"/>
      <c r="H363" s="755" t="s">
        <v>46</v>
      </c>
      <c r="I363" s="269">
        <v>0</v>
      </c>
      <c r="J363" s="269">
        <f ca="1">IFERROR(__xludf.DUMMYFUNCTION("IMPORTRANGE(""https://docs.google.com/spreadsheets/d/1XWAQStnk-4SwqDmLtmXYiTMKHgktTP8We1SCoS47DrQ/edit?usp=sharing"",""จัดที่ดิน!AB66"")"),48.5)</f>
        <v>48.5</v>
      </c>
      <c r="K363" s="496">
        <f t="shared" si="161"/>
        <v>0</v>
      </c>
      <c r="L363" s="163"/>
      <c r="M363" s="163"/>
      <c r="N363" s="163"/>
      <c r="O363" s="163"/>
      <c r="P363" s="163"/>
    </row>
    <row r="364" spans="1:26" ht="19.5">
      <c r="A364" s="470"/>
      <c r="B364" s="471"/>
      <c r="C364" s="472"/>
      <c r="D364" s="473" t="s">
        <v>165</v>
      </c>
      <c r="E364" s="474"/>
      <c r="F364" s="474"/>
      <c r="G364" s="475"/>
      <c r="H364" s="476" t="s">
        <v>35</v>
      </c>
      <c r="I364" s="477">
        <f t="shared" ref="I364:J364" ca="1" si="162">I365+I374</f>
        <v>160</v>
      </c>
      <c r="J364" s="477">
        <f t="shared" ca="1" si="162"/>
        <v>1</v>
      </c>
      <c r="K364" s="478">
        <f t="shared" ca="1" si="161"/>
        <v>0.625</v>
      </c>
      <c r="L364" s="479"/>
      <c r="M364" s="479"/>
      <c r="N364" s="479"/>
      <c r="O364" s="479"/>
      <c r="P364" s="479"/>
      <c r="Q364" s="480"/>
      <c r="R364" s="480"/>
      <c r="S364" s="480"/>
      <c r="T364" s="480"/>
      <c r="U364" s="480"/>
      <c r="V364" s="480"/>
      <c r="W364" s="480"/>
      <c r="X364" s="480"/>
      <c r="Y364" s="480"/>
      <c r="Z364" s="480"/>
    </row>
    <row r="365" spans="1:26" ht="19.5">
      <c r="A365" s="481"/>
      <c r="B365" s="482"/>
      <c r="C365" s="484"/>
      <c r="D365" s="484" t="s">
        <v>166</v>
      </c>
      <c r="E365" s="485"/>
      <c r="F365" s="485"/>
      <c r="G365" s="486"/>
      <c r="H365" s="487" t="s">
        <v>35</v>
      </c>
      <c r="I365" s="489">
        <f ca="1">IFERROR(__xludf.DUMMYFUNCTION("IMPORTRANGE(""https://docs.google.com/spreadsheets/d/1QqKyyYR6Q21VydFLVH3TRQUabQu_ym0Zz7PgGX0-kHA/edit?usp=sharing"",""แผน!EJ66"")"),10)</f>
        <v>10</v>
      </c>
      <c r="J365" s="489">
        <f ca="1">J372</f>
        <v>0</v>
      </c>
      <c r="K365" s="490">
        <f t="shared" ca="1" si="161"/>
        <v>0</v>
      </c>
      <c r="L365" s="491"/>
      <c r="M365" s="491"/>
      <c r="N365" s="491"/>
      <c r="O365" s="491"/>
      <c r="P365" s="491"/>
      <c r="Q365" s="480"/>
      <c r="R365" s="480"/>
      <c r="S365" s="480"/>
      <c r="T365" s="480"/>
      <c r="U365" s="480"/>
      <c r="V365" s="480"/>
      <c r="W365" s="480"/>
      <c r="X365" s="480"/>
      <c r="Y365" s="480"/>
      <c r="Z365" s="480"/>
    </row>
    <row r="366" spans="1:26" ht="19.5">
      <c r="A366" s="481"/>
      <c r="B366" s="482"/>
      <c r="C366" s="484"/>
      <c r="D366" s="492" t="s">
        <v>167</v>
      </c>
      <c r="E366" s="485"/>
      <c r="F366" s="485"/>
      <c r="G366" s="486"/>
      <c r="H366" s="493"/>
      <c r="I366" s="494"/>
      <c r="J366" s="494"/>
      <c r="K366" s="491"/>
      <c r="L366" s="491"/>
      <c r="M366" s="491"/>
      <c r="N366" s="491"/>
      <c r="O366" s="491"/>
      <c r="P366" s="491"/>
      <c r="Q366" s="480"/>
      <c r="R366" s="480"/>
      <c r="S366" s="480"/>
      <c r="T366" s="480"/>
      <c r="U366" s="480"/>
      <c r="V366" s="480"/>
      <c r="W366" s="480"/>
      <c r="X366" s="480"/>
      <c r="Y366" s="480"/>
      <c r="Z366" s="480"/>
    </row>
    <row r="367" spans="1:26" ht="19.5">
      <c r="A367" s="170"/>
      <c r="B367" s="171"/>
      <c r="C367" s="164" t="s">
        <v>16</v>
      </c>
      <c r="D367" s="823" t="s">
        <v>38</v>
      </c>
      <c r="E367" s="173"/>
      <c r="F367" s="173"/>
      <c r="G367" s="174"/>
      <c r="H367" s="753"/>
      <c r="I367" s="269"/>
      <c r="J367" s="269"/>
      <c r="K367" s="496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69">
        <v>0</v>
      </c>
      <c r="J368" s="269">
        <f ca="1">IFERROR(__xludf.DUMMYFUNCTION("IMPORTRANGE(""https://docs.google.com/spreadsheets/d/1XWAQStnk-4SwqDmLtmXYiTMKHgktTP8We1SCoS47DrQ/edit?usp=sharing"",""จัดที่ดิน!E66"")"),18)</f>
        <v>18</v>
      </c>
      <c r="K368" s="496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69">
        <f ca="1">IFERROR(__xludf.DUMMYFUNCTION("IMPORTRANGE(""https://docs.google.com/spreadsheets/d/1QqKyyYR6Q21VydFLVH3TRQUabQu_ym0Zz7PgGX0-kHA/edit?usp=sharing"",""แผน!EI66"")"),100)</f>
        <v>100</v>
      </c>
      <c r="J369" s="269">
        <f ca="1">IFERROR(__xludf.DUMMYFUNCTION("IMPORTRANGE(""https://docs.google.com/spreadsheets/d/1XWAQStnk-4SwqDmLtmXYiTMKHgktTP8We1SCoS47DrQ/edit?usp=sharing"",""จัดที่ดิน!F66"")"),113.55)</f>
        <v>113.55</v>
      </c>
      <c r="K369" s="496">
        <f t="shared" ca="1" si="163"/>
        <v>113.55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55" t="s">
        <v>35</v>
      </c>
      <c r="I370" s="269">
        <f ca="1">IFERROR(__xludf.DUMMYFUNCTION("IMPORTRANGE(""https://docs.google.com/spreadsheets/d/1QqKyyYR6Q21VydFLVH3TRQUabQu_ym0Zz7PgGX0-kHA/edit?usp=sharing"",""แผน!EJ66"")"),10)</f>
        <v>10</v>
      </c>
      <c r="J370" s="269">
        <f ca="1">IFERROR(__xludf.DUMMYFUNCTION("IMPORTRANGE(""https://docs.google.com/spreadsheets/d/1XWAQStnk-4SwqDmLtmXYiTMKHgktTP8We1SCoS47DrQ/edit?usp=sharing"",""จัดที่ดิน!G66"")"),1)</f>
        <v>1</v>
      </c>
      <c r="K370" s="496">
        <f t="shared" ca="1" si="163"/>
        <v>10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55" t="s">
        <v>46</v>
      </c>
      <c r="I371" s="269">
        <v>0</v>
      </c>
      <c r="J371" s="269">
        <f ca="1">IFERROR(__xludf.DUMMYFUNCTION("IMPORTRANGE(""https://docs.google.com/spreadsheets/d/1XWAQStnk-4SwqDmLtmXYiTMKHgktTP8We1SCoS47DrQ/edit?usp=sharing"",""จัดที่ดิน!H66"")"),38.94)</f>
        <v>38.94</v>
      </c>
      <c r="K371" s="496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55" t="s">
        <v>35</v>
      </c>
      <c r="I372" s="269">
        <f ca="1">IFERROR(__xludf.DUMMYFUNCTION("IMPORTRANGE(""https://docs.google.com/spreadsheets/d/1QqKyyYR6Q21VydFLVH3TRQUabQu_ym0Zz7PgGX0-kHA/edit?usp=sharing"",""แผน!EJ66"")"),10)</f>
        <v>10</v>
      </c>
      <c r="J372" s="269">
        <f ca="1">IFERROR(__xludf.DUMMYFUNCTION("IMPORTRANGE(""https://docs.google.com/spreadsheets/d/1XWAQStnk-4SwqDmLtmXYiTMKHgktTP8We1SCoS47DrQ/edit?usp=sharing"",""จัดที่ดิน!I66"")"),0)</f>
        <v>0</v>
      </c>
      <c r="K372" s="496">
        <f t="shared" ca="1" si="163"/>
        <v>0</v>
      </c>
      <c r="L372" s="163"/>
      <c r="M372" s="163"/>
      <c r="N372" s="163"/>
      <c r="O372" s="163"/>
      <c r="P372" s="163"/>
    </row>
    <row r="373" spans="1:26" ht="18.75">
      <c r="A373" s="469" t="s">
        <v>164</v>
      </c>
      <c r="B373" s="178"/>
      <c r="C373" s="171"/>
      <c r="D373" s="178"/>
      <c r="E373" s="446"/>
      <c r="F373" s="178"/>
      <c r="G373" s="179"/>
      <c r="H373" s="755" t="s">
        <v>46</v>
      </c>
      <c r="I373" s="269">
        <v>0</v>
      </c>
      <c r="J373" s="269">
        <f ca="1">IFERROR(__xludf.DUMMYFUNCTION("IMPORTRANGE(""https://docs.google.com/spreadsheets/d/1XWAQStnk-4SwqDmLtmXYiTMKHgktTP8We1SCoS47DrQ/edit?usp=sharing"",""จัดที่ดิน!J66"")"),0)</f>
        <v>0</v>
      </c>
      <c r="K373" s="496">
        <f t="shared" si="163"/>
        <v>0</v>
      </c>
      <c r="L373" s="163"/>
      <c r="M373" s="163"/>
      <c r="N373" s="163"/>
      <c r="O373" s="163"/>
      <c r="P373" s="163"/>
    </row>
    <row r="374" spans="1:26" ht="19.5">
      <c r="A374" s="481"/>
      <c r="B374" s="482"/>
      <c r="C374" s="484"/>
      <c r="D374" s="484" t="s">
        <v>168</v>
      </c>
      <c r="E374" s="485"/>
      <c r="F374" s="485"/>
      <c r="G374" s="486"/>
      <c r="H374" s="487" t="s">
        <v>35</v>
      </c>
      <c r="I374" s="495">
        <f ca="1">IFERROR(__xludf.DUMMYFUNCTION("IMPORTRANGE(""https://docs.google.com/spreadsheets/d/1QqKyyYR6Q21VydFLVH3TRQUabQu_ym0Zz7PgGX0-kHA/edit?usp=sharing"",""แผน!EU66"")"),150)</f>
        <v>150</v>
      </c>
      <c r="J374" s="489">
        <f ca="1">J381</f>
        <v>1</v>
      </c>
      <c r="K374" s="490">
        <f t="shared" ca="1" si="163"/>
        <v>0.66666666666666663</v>
      </c>
      <c r="L374" s="491"/>
      <c r="M374" s="491"/>
      <c r="N374" s="491"/>
      <c r="O374" s="491"/>
      <c r="P374" s="491"/>
      <c r="Q374" s="480"/>
      <c r="R374" s="480"/>
      <c r="S374" s="480"/>
      <c r="T374" s="480"/>
      <c r="U374" s="480"/>
      <c r="V374" s="480"/>
      <c r="W374" s="480"/>
      <c r="X374" s="480"/>
      <c r="Y374" s="480"/>
      <c r="Z374" s="480"/>
    </row>
    <row r="375" spans="1:26" ht="19.5">
      <c r="A375" s="481"/>
      <c r="B375" s="482"/>
      <c r="C375" s="484"/>
      <c r="D375" s="492" t="s">
        <v>169</v>
      </c>
      <c r="E375" s="485"/>
      <c r="F375" s="485"/>
      <c r="G375" s="486"/>
      <c r="H375" s="493"/>
      <c r="I375" s="494"/>
      <c r="J375" s="494"/>
      <c r="K375" s="491"/>
      <c r="L375" s="491"/>
      <c r="M375" s="491"/>
      <c r="N375" s="491"/>
      <c r="O375" s="491"/>
      <c r="P375" s="491"/>
      <c r="Q375" s="480"/>
      <c r="R375" s="480"/>
      <c r="S375" s="480"/>
      <c r="T375" s="480"/>
      <c r="U375" s="480"/>
      <c r="V375" s="480"/>
      <c r="W375" s="480"/>
      <c r="X375" s="480"/>
      <c r="Y375" s="480"/>
      <c r="Z375" s="480"/>
    </row>
    <row r="376" spans="1:26" ht="19.5">
      <c r="A376" s="170"/>
      <c r="B376" s="171"/>
      <c r="C376" s="164" t="s">
        <v>16</v>
      </c>
      <c r="D376" s="823" t="s">
        <v>38</v>
      </c>
      <c r="E376" s="173"/>
      <c r="F376" s="173"/>
      <c r="G376" s="174"/>
      <c r="H376" s="753"/>
      <c r="I376" s="269"/>
      <c r="J376" s="269"/>
      <c r="K376" s="496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69">
        <v>0</v>
      </c>
      <c r="J377" s="269">
        <f ca="1">IFERROR(__xludf.DUMMYFUNCTION("IMPORTRANGE(""https://docs.google.com/spreadsheets/d/1XWAQStnk-4SwqDmLtmXYiTMKHgktTP8We1SCoS47DrQ/edit?usp=sharing"",""จัดที่ดิน!AH66"")"),40)</f>
        <v>40</v>
      </c>
      <c r="K377" s="496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69">
        <f ca="1">IFERROR(__xludf.DUMMYFUNCTION("IMPORTRANGE(""https://docs.google.com/spreadsheets/d/1QqKyyYR6Q21VydFLVH3TRQUabQu_ym0Zz7PgGX0-kHA/edit?usp=sharing"",""แผน!ET66"")"),800)</f>
        <v>800</v>
      </c>
      <c r="J378" s="269">
        <f ca="1">IFERROR(__xludf.DUMMYFUNCTION("IMPORTRANGE(""https://docs.google.com/spreadsheets/d/1XWAQStnk-4SwqDmLtmXYiTMKHgktTP8We1SCoS47DrQ/edit?usp=sharing"",""จัดที่ดิน!AI66"")"),463.52)</f>
        <v>463.52</v>
      </c>
      <c r="K378" s="496">
        <f t="shared" ca="1" si="164"/>
        <v>57.94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55" t="s">
        <v>35</v>
      </c>
      <c r="I379" s="269">
        <f ca="1">IFERROR(__xludf.DUMMYFUNCTION("IMPORTRANGE(""https://docs.google.com/spreadsheets/d/1QqKyyYR6Q21VydFLVH3TRQUabQu_ym0Zz7PgGX0-kHA/edit?usp=sharing"",""แผน!EU66"")"),150)</f>
        <v>150</v>
      </c>
      <c r="J379" s="269">
        <f ca="1">IFERROR(__xludf.DUMMYFUNCTION("IMPORTRANGE(""https://docs.google.com/spreadsheets/d/1XWAQStnk-4SwqDmLtmXYiTMKHgktTP8We1SCoS47DrQ/edit?usp=sharing"",""จัดที่ดิน!AJ66"")"),34)</f>
        <v>34</v>
      </c>
      <c r="K379" s="496">
        <f t="shared" ca="1" si="164"/>
        <v>22.666666666666668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55" t="s">
        <v>46</v>
      </c>
      <c r="I380" s="269">
        <v>0</v>
      </c>
      <c r="J380" s="269">
        <f ca="1">IFERROR(__xludf.DUMMYFUNCTION("IMPORTRANGE(""https://docs.google.com/spreadsheets/d/1XWAQStnk-4SwqDmLtmXYiTMKHgktTP8We1SCoS47DrQ/edit?usp=sharing"",""จัดที่ดิน!AK66"")"),431.94)</f>
        <v>431.94</v>
      </c>
      <c r="K380" s="496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55" t="s">
        <v>35</v>
      </c>
      <c r="I381" s="269">
        <f ca="1">IFERROR(__xludf.DUMMYFUNCTION("IMPORTRANGE(""https://docs.google.com/spreadsheets/d/1QqKyyYR6Q21VydFLVH3TRQUabQu_ym0Zz7PgGX0-kHA/edit?usp=sharing"",""แผน!EU66"")"),150)</f>
        <v>150</v>
      </c>
      <c r="J381" s="269">
        <f ca="1">IFERROR(__xludf.DUMMYFUNCTION("IMPORTRANGE(""https://docs.google.com/spreadsheets/d/1XWAQStnk-4SwqDmLtmXYiTMKHgktTP8We1SCoS47DrQ/edit?usp=sharing"",""จัดที่ดิน!AL66"")"),1)</f>
        <v>1</v>
      </c>
      <c r="K381" s="496">
        <f t="shared" ca="1" si="164"/>
        <v>0.66666666666666663</v>
      </c>
      <c r="L381" s="163"/>
      <c r="M381" s="163"/>
      <c r="N381" s="163"/>
      <c r="O381" s="163"/>
      <c r="P381" s="163"/>
    </row>
    <row r="382" spans="1:26" ht="18.75">
      <c r="A382" s="469" t="s">
        <v>164</v>
      </c>
      <c r="B382" s="178"/>
      <c r="C382" s="171"/>
      <c r="D382" s="178"/>
      <c r="E382" s="446"/>
      <c r="F382" s="178"/>
      <c r="G382" s="179"/>
      <c r="H382" s="755" t="s">
        <v>46</v>
      </c>
      <c r="I382" s="269">
        <v>0</v>
      </c>
      <c r="J382" s="269">
        <f ca="1">IFERROR(__xludf.DUMMYFUNCTION("IMPORTRANGE(""https://docs.google.com/spreadsheets/d/1XWAQStnk-4SwqDmLtmXYiTMKHgktTP8We1SCoS47DrQ/edit?usp=sharing"",""จัดที่ดิน!AM66"")"),48.5)</f>
        <v>48.5</v>
      </c>
      <c r="K382" s="496">
        <f t="shared" si="164"/>
        <v>0</v>
      </c>
      <c r="L382" s="163"/>
      <c r="M382" s="163"/>
      <c r="N382" s="163"/>
      <c r="O382" s="163"/>
      <c r="P382" s="163"/>
    </row>
    <row r="383" spans="1:26" ht="19.5">
      <c r="A383" s="255"/>
      <c r="B383" s="263"/>
      <c r="C383" s="256"/>
      <c r="D383" s="832" t="s">
        <v>170</v>
      </c>
      <c r="E383" s="256"/>
      <c r="F383" s="256"/>
      <c r="G383" s="258"/>
      <c r="H383" s="454"/>
      <c r="I383" s="260"/>
      <c r="J383" s="260"/>
      <c r="K383" s="261"/>
      <c r="L383" s="261"/>
      <c r="M383" s="261"/>
      <c r="N383" s="261"/>
      <c r="O383" s="261"/>
      <c r="P383" s="261"/>
    </row>
    <row r="384" spans="1:26" ht="19.5">
      <c r="A384" s="170"/>
      <c r="B384" s="171"/>
      <c r="C384" s="33" t="s">
        <v>16</v>
      </c>
      <c r="D384" s="823" t="s">
        <v>38</v>
      </c>
      <c r="E384" s="173"/>
      <c r="F384" s="173"/>
      <c r="G384" s="174"/>
      <c r="H384" s="753"/>
      <c r="I384" s="269"/>
      <c r="J384" s="269"/>
      <c r="K384" s="496"/>
      <c r="L384" s="163"/>
      <c r="M384" s="163"/>
      <c r="N384" s="163"/>
      <c r="O384" s="163"/>
      <c r="P384" s="163"/>
    </row>
    <row r="385" spans="1:26" ht="18.75">
      <c r="A385" s="377"/>
      <c r="B385" s="380"/>
      <c r="C385" s="378"/>
      <c r="D385" s="380"/>
      <c r="E385" s="497" t="s">
        <v>163</v>
      </c>
      <c r="F385" s="380"/>
      <c r="G385" s="381"/>
      <c r="H385" s="498" t="s">
        <v>35</v>
      </c>
      <c r="I385" s="499">
        <f ca="1">IFERROR(__xludf.DUMMYFUNCTION("IMPORTRANGE(""https://docs.google.com/spreadsheets/d/1QqKyyYR6Q21VydFLVH3TRQUabQu_ym0Zz7PgGX0-kHA/edit?usp=sharing"",""แผน!EW66"")"),20)</f>
        <v>20</v>
      </c>
      <c r="J385" s="499">
        <f ca="1">IFERROR(__xludf.DUMMYFUNCTION("IMPORTRANGE(""https://docs.google.com/spreadsheets/d/1XWAQStnk-4SwqDmLtmXYiTMKHgktTP8We1SCoS47DrQ/edit?usp=sharing"",""จัดที่ดิน!AP66"")"),0)</f>
        <v>0</v>
      </c>
      <c r="K385" s="500">
        <f ca="1">IF(I385&gt;0,J385*100/I385,0)</f>
        <v>0</v>
      </c>
      <c r="L385" s="384"/>
      <c r="M385" s="384"/>
      <c r="N385" s="384"/>
      <c r="O385" s="384"/>
      <c r="P385" s="384"/>
    </row>
    <row r="386" spans="1:26" ht="19.5" hidden="1">
      <c r="A386" s="501" t="s">
        <v>171</v>
      </c>
      <c r="B386" s="502"/>
      <c r="C386" s="502"/>
      <c r="D386" s="502"/>
      <c r="E386" s="503"/>
      <c r="F386" s="503"/>
      <c r="G386" s="504"/>
      <c r="H386" s="505"/>
      <c r="I386" s="506"/>
      <c r="J386" s="506"/>
      <c r="K386" s="507"/>
      <c r="L386" s="507"/>
      <c r="M386" s="507"/>
      <c r="N386" s="507"/>
      <c r="O386" s="507"/>
      <c r="P386" s="507"/>
    </row>
    <row r="387" spans="1:26" ht="19.5" hidden="1">
      <c r="A387" s="508" t="s">
        <v>172</v>
      </c>
      <c r="B387" s="509"/>
      <c r="C387" s="509"/>
      <c r="D387" s="510"/>
      <c r="E387" s="509"/>
      <c r="F387" s="509"/>
      <c r="G387" s="509"/>
      <c r="H387" s="511"/>
      <c r="I387" s="512"/>
      <c r="J387" s="512"/>
      <c r="K387" s="513"/>
      <c r="L387" s="513"/>
      <c r="M387" s="513"/>
      <c r="N387" s="513"/>
      <c r="O387" s="513"/>
      <c r="P387" s="513"/>
    </row>
    <row r="388" spans="1:26" ht="19.5" hidden="1">
      <c r="A388" s="514"/>
      <c r="B388" s="515" t="s">
        <v>173</v>
      </c>
      <c r="C388" s="516"/>
      <c r="D388" s="517"/>
      <c r="E388" s="517"/>
      <c r="F388" s="517"/>
      <c r="G388" s="518"/>
      <c r="H388" s="519" t="s">
        <v>69</v>
      </c>
      <c r="I388" s="520">
        <f t="shared" ref="I388:J388" si="165">I400</f>
        <v>0</v>
      </c>
      <c r="J388" s="520">
        <f t="shared" si="165"/>
        <v>0</v>
      </c>
      <c r="K388" s="521">
        <f>IF(I388&gt;0,J388*100/I388,0)</f>
        <v>0</v>
      </c>
      <c r="L388" s="522"/>
      <c r="M388" s="522"/>
      <c r="N388" s="522"/>
      <c r="O388" s="522"/>
      <c r="P388" s="522"/>
    </row>
    <row r="389" spans="1:26" ht="19.5" hidden="1">
      <c r="A389" s="147"/>
      <c r="B389" s="148"/>
      <c r="C389" s="149" t="s">
        <v>16</v>
      </c>
      <c r="D389" s="822" t="s">
        <v>17</v>
      </c>
      <c r="E389" s="148"/>
      <c r="F389" s="148"/>
      <c r="G389" s="151"/>
      <c r="H389" s="152" t="s">
        <v>12</v>
      </c>
      <c r="I389" s="419"/>
      <c r="J389" s="419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2" t="s">
        <v>18</v>
      </c>
      <c r="F390" s="40"/>
      <c r="G390" s="157"/>
      <c r="H390" s="158" t="s">
        <v>12</v>
      </c>
      <c r="I390" s="610"/>
      <c r="J390" s="610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2" t="s">
        <v>19</v>
      </c>
      <c r="F391" s="40"/>
      <c r="G391" s="157"/>
      <c r="H391" s="158" t="s">
        <v>12</v>
      </c>
      <c r="I391" s="610"/>
      <c r="J391" s="610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1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6">
        <f t="shared" ref="L392:N392" ca="1" si="170">L393+L394</f>
        <v>0</v>
      </c>
      <c r="M392" s="496">
        <f t="shared" ca="1" si="170"/>
        <v>0</v>
      </c>
      <c r="N392" s="496">
        <f t="shared" ca="1" si="170"/>
        <v>0</v>
      </c>
      <c r="O392" s="496">
        <f t="shared" ca="1" si="167"/>
        <v>0</v>
      </c>
      <c r="P392" s="496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2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2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IFERROR(__xludf.DUMMYFUNCTION("IMPORTRANGE(""https://docs.google.com/spreadsheets/d/1MeEWN-I1oV_STSDYn1IFDPWt_1FKiwhDph83XaGc0o0/edit?usp=sharing"",""งบพรบ!FG66"")"),0)</f>
        <v>0</v>
      </c>
      <c r="M394" s="93">
        <f ca="1">IFERROR(__xludf.DUMMYFUNCTION("IMPORTRANGE(""https://docs.google.com/spreadsheets/d/1MeEWN-I1oV_STSDYn1IFDPWt_1FKiwhDph83XaGc0o0/edit?usp=sharing"",""งบพรบ!FL66"")"),0)</f>
        <v>0</v>
      </c>
      <c r="N394" s="93">
        <f ca="1">IFERROR(__xludf.DUMMYFUNCTION("IMPORTRANGE(""https://docs.google.com/spreadsheets/d/1MeEWN-I1oV_STSDYn1IFDPWt_1FKiwhDph83XaGc0o0/edit?usp=sharing"",""งบพรบ!FN66"")"),0)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1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6">
        <f t="shared" ref="L395:N395" ca="1" si="171">L396+L397</f>
        <v>0</v>
      </c>
      <c r="M395" s="496">
        <f t="shared" ca="1" si="171"/>
        <v>0</v>
      </c>
      <c r="N395" s="496">
        <f t="shared" ca="1" si="171"/>
        <v>0</v>
      </c>
      <c r="O395" s="496">
        <f t="shared" ca="1" si="167"/>
        <v>0</v>
      </c>
      <c r="P395" s="496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2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2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IFERROR(__xludf.DUMMYFUNCTION("IMPORTRANGE(""https://docs.google.com/spreadsheets/d/1MeEWN-I1oV_STSDYn1IFDPWt_1FKiwhDph83XaGc0o0/edit?usp=sharing"",""งบพรบ!FJ66"")"),0)</f>
        <v>0</v>
      </c>
      <c r="M397" s="93">
        <f ca="1">IFERROR(__xludf.DUMMYFUNCTION("IMPORTRANGE(""https://docs.google.com/spreadsheets/d/1MeEWN-I1oV_STSDYn1IFDPWt_1FKiwhDph83XaGc0o0/edit?usp=sharing"",""งบพรบ!FM66"")"),0)</f>
        <v>0</v>
      </c>
      <c r="N397" s="93">
        <f ca="1">IFERROR(__xludf.DUMMYFUNCTION("IMPORTRANGE(""https://docs.google.com/spreadsheets/d/1MeEWN-I1oV_STSDYn1IFDPWt_1FKiwhDph83XaGc0o0/edit?usp=sharing"",""งบพรบ!FO66"")"),0)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23" t="s">
        <v>38</v>
      </c>
      <c r="E398" s="173"/>
      <c r="F398" s="173"/>
      <c r="G398" s="174"/>
      <c r="H398" s="753"/>
      <c r="I398" s="184"/>
      <c r="J398" s="269"/>
      <c r="K398" s="496"/>
      <c r="L398" s="496"/>
      <c r="M398" s="496"/>
      <c r="N398" s="496"/>
      <c r="O398" s="163"/>
      <c r="P398" s="163"/>
    </row>
    <row r="399" spans="1:26" ht="18.75" hidden="1">
      <c r="A399" s="523"/>
      <c r="B399" s="148"/>
      <c r="C399" s="524"/>
      <c r="D399" s="525" t="s">
        <v>174</v>
      </c>
      <c r="E399" s="414"/>
      <c r="F399" s="148"/>
      <c r="G399" s="151"/>
      <c r="H399" s="526" t="s">
        <v>9</v>
      </c>
      <c r="I399" s="269">
        <v>0</v>
      </c>
      <c r="J399" s="214">
        <v>0</v>
      </c>
      <c r="K399" s="496">
        <f t="shared" ref="K399:K401" si="172">IF(I399&gt;0,J399*100/I399,0)</f>
        <v>0</v>
      </c>
      <c r="L399" s="527"/>
      <c r="M399" s="527"/>
      <c r="N399" s="527"/>
      <c r="O399" s="527"/>
      <c r="P399" s="527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4"/>
      <c r="B400" s="33"/>
      <c r="C400" s="280"/>
      <c r="D400" s="446" t="s">
        <v>175</v>
      </c>
      <c r="E400" s="171"/>
      <c r="F400" s="33"/>
      <c r="G400" s="35"/>
      <c r="H400" s="276" t="s">
        <v>69</v>
      </c>
      <c r="I400" s="269">
        <v>0</v>
      </c>
      <c r="J400" s="214">
        <v>0</v>
      </c>
      <c r="K400" s="496">
        <f t="shared" si="172"/>
        <v>0</v>
      </c>
      <c r="L400" s="496"/>
      <c r="M400" s="496"/>
      <c r="N400" s="496"/>
      <c r="O400" s="496"/>
      <c r="P400" s="496"/>
    </row>
    <row r="401" spans="1:26" ht="19.5" hidden="1">
      <c r="A401" s="514"/>
      <c r="B401" s="515" t="s">
        <v>176</v>
      </c>
      <c r="C401" s="516"/>
      <c r="D401" s="517"/>
      <c r="E401" s="517"/>
      <c r="F401" s="517"/>
      <c r="G401" s="518"/>
      <c r="H401" s="519" t="s">
        <v>69</v>
      </c>
      <c r="I401" s="520">
        <f t="shared" ref="I401:J401" si="173">I412</f>
        <v>0</v>
      </c>
      <c r="J401" s="520">
        <f t="shared" si="173"/>
        <v>0</v>
      </c>
      <c r="K401" s="521">
        <f t="shared" si="172"/>
        <v>0</v>
      </c>
      <c r="L401" s="522"/>
      <c r="M401" s="522"/>
      <c r="N401" s="522"/>
      <c r="O401" s="522"/>
      <c r="P401" s="522"/>
    </row>
    <row r="402" spans="1:26" ht="19.5" hidden="1">
      <c r="A402" s="147"/>
      <c r="B402" s="148"/>
      <c r="C402" s="149" t="s">
        <v>16</v>
      </c>
      <c r="D402" s="822" t="s">
        <v>17</v>
      </c>
      <c r="E402" s="148"/>
      <c r="F402" s="148"/>
      <c r="G402" s="151"/>
      <c r="H402" s="152" t="s">
        <v>12</v>
      </c>
      <c r="I402" s="419"/>
      <c r="J402" s="419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2" t="s">
        <v>18</v>
      </c>
      <c r="F403" s="40"/>
      <c r="G403" s="157"/>
      <c r="H403" s="158" t="s">
        <v>12</v>
      </c>
      <c r="I403" s="610"/>
      <c r="J403" s="610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2" t="s">
        <v>19</v>
      </c>
      <c r="F404" s="40"/>
      <c r="G404" s="157"/>
      <c r="H404" s="158" t="s">
        <v>12</v>
      </c>
      <c r="I404" s="610"/>
      <c r="J404" s="610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1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6">
        <f t="shared" ref="L405:N405" ca="1" si="178">L406+L407</f>
        <v>0</v>
      </c>
      <c r="M405" s="496">
        <f t="shared" ca="1" si="178"/>
        <v>0</v>
      </c>
      <c r="N405" s="496">
        <f t="shared" ca="1" si="178"/>
        <v>0</v>
      </c>
      <c r="O405" s="496">
        <f t="shared" ca="1" si="175"/>
        <v>0</v>
      </c>
      <c r="P405" s="496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2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2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IFERROR(__xludf.DUMMYFUNCTION("IMPORTRANGE(""https://docs.google.com/spreadsheets/d/1MeEWN-I1oV_STSDYn1IFDPWt_1FKiwhDph83XaGc0o0/edit?usp=sharing"",""งบพรบ!FQ66"")"),0)</f>
        <v>0</v>
      </c>
      <c r="M407" s="93">
        <f ca="1">IFERROR(__xludf.DUMMYFUNCTION("IMPORTRANGE(""https://docs.google.com/spreadsheets/d/1MeEWN-I1oV_STSDYn1IFDPWt_1FKiwhDph83XaGc0o0/edit?usp=sharing"",""งบพรบ!FV66"")"),0)</f>
        <v>0</v>
      </c>
      <c r="N407" s="93">
        <f ca="1">IFERROR(__xludf.DUMMYFUNCTION("IMPORTRANGE(""https://docs.google.com/spreadsheets/d/1MeEWN-I1oV_STSDYn1IFDPWt_1FKiwhDph83XaGc0o0/edit?usp=sharing"",""งบพรบ!FX66"")"),0)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1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6">
        <f t="shared" ref="L408:N408" ca="1" si="179">L409+L410</f>
        <v>0</v>
      </c>
      <c r="M408" s="496">
        <f t="shared" ca="1" si="179"/>
        <v>0</v>
      </c>
      <c r="N408" s="496">
        <f t="shared" ca="1" si="179"/>
        <v>0</v>
      </c>
      <c r="O408" s="496">
        <f t="shared" ca="1" si="175"/>
        <v>0</v>
      </c>
      <c r="P408" s="496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2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2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IFERROR(__xludf.DUMMYFUNCTION("IMPORTRANGE(""https://docs.google.com/spreadsheets/d/1MeEWN-I1oV_STSDYn1IFDPWt_1FKiwhDph83XaGc0o0/edit?usp=sharing"",""งบพรบ!FT66"")"),0)</f>
        <v>0</v>
      </c>
      <c r="M410" s="93">
        <f ca="1">IFERROR(__xludf.DUMMYFUNCTION("IMPORTRANGE(""https://docs.google.com/spreadsheets/d/1MeEWN-I1oV_STSDYn1IFDPWt_1FKiwhDph83XaGc0o0/edit?usp=sharing"",""งบพรบ!FW66"")"),0)</f>
        <v>0</v>
      </c>
      <c r="N410" s="93">
        <f ca="1">IFERROR(__xludf.DUMMYFUNCTION("IMPORTRANGE(""https://docs.google.com/spreadsheets/d/1MeEWN-I1oV_STSDYn1IFDPWt_1FKiwhDph83XaGc0o0/edit?usp=sharing"",""งบพรบ!FY66"")"),0)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34" t="s">
        <v>38</v>
      </c>
      <c r="E411" s="529"/>
      <c r="F411" s="529"/>
      <c r="G411" s="530"/>
      <c r="H411" s="753"/>
      <c r="I411" s="269"/>
      <c r="J411" s="269"/>
      <c r="K411" s="496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6" t="s">
        <v>177</v>
      </c>
      <c r="E412" s="178"/>
      <c r="F412" s="178"/>
      <c r="G412" s="179"/>
      <c r="H412" s="531" t="s">
        <v>69</v>
      </c>
      <c r="I412" s="269">
        <v>0</v>
      </c>
      <c r="J412" s="214">
        <v>0</v>
      </c>
      <c r="K412" s="496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2"/>
      <c r="B413" s="533"/>
      <c r="C413" s="533"/>
      <c r="D413" s="534" t="s">
        <v>178</v>
      </c>
      <c r="E413" s="533"/>
      <c r="F413" s="533"/>
      <c r="G413" s="535"/>
      <c r="H413" s="536" t="s">
        <v>179</v>
      </c>
      <c r="I413" s="537">
        <v>0</v>
      </c>
      <c r="J413" s="538">
        <v>0</v>
      </c>
      <c r="K413" s="539">
        <f t="shared" si="180"/>
        <v>0</v>
      </c>
      <c r="L413" s="540"/>
      <c r="M413" s="540"/>
      <c r="N413" s="540"/>
      <c r="O413" s="540"/>
      <c r="P413" s="540"/>
    </row>
    <row r="414" spans="1:26" ht="19.5">
      <c r="A414" s="541" t="s">
        <v>180</v>
      </c>
      <c r="B414" s="542"/>
      <c r="C414" s="542"/>
      <c r="D414" s="542"/>
      <c r="E414" s="542"/>
      <c r="F414" s="542"/>
      <c r="G414" s="543"/>
      <c r="H414" s="544"/>
      <c r="I414" s="545"/>
      <c r="J414" s="545"/>
      <c r="K414" s="546"/>
      <c r="L414" s="547">
        <f t="shared" ref="L414:N414" ca="1" si="181">L419+L444+L467+L502+L523+L544+L629+L655+L685+L737+L754+L770+L786+L805</f>
        <v>830653</v>
      </c>
      <c r="M414" s="547">
        <f t="shared" si="181"/>
        <v>0</v>
      </c>
      <c r="N414" s="547">
        <f t="shared" si="181"/>
        <v>81708</v>
      </c>
      <c r="O414" s="547">
        <f ca="1">IF(L414&gt;0,N414*100/L414,0)</f>
        <v>9.8365984352069997</v>
      </c>
      <c r="P414" s="547">
        <f>IF(M414&gt;0,N414*100/M414,0)</f>
        <v>0</v>
      </c>
    </row>
    <row r="415" spans="1:26" ht="19.5">
      <c r="A415" s="548" t="s">
        <v>181</v>
      </c>
      <c r="B415" s="549"/>
      <c r="C415" s="549"/>
      <c r="D415" s="549"/>
      <c r="E415" s="549"/>
      <c r="F415" s="549"/>
      <c r="G415" s="549"/>
      <c r="H415" s="550"/>
      <c r="I415" s="551"/>
      <c r="J415" s="551"/>
      <c r="K415" s="552"/>
      <c r="L415" s="553"/>
      <c r="M415" s="553"/>
      <c r="N415" s="553"/>
      <c r="O415" s="553"/>
      <c r="P415" s="553"/>
    </row>
    <row r="416" spans="1:26" ht="19.5">
      <c r="A416" s="548" t="s">
        <v>182</v>
      </c>
      <c r="B416" s="549"/>
      <c r="C416" s="549"/>
      <c r="D416" s="549"/>
      <c r="E416" s="549"/>
      <c r="F416" s="549"/>
      <c r="G416" s="554"/>
      <c r="H416" s="555"/>
      <c r="I416" s="556"/>
      <c r="J416" s="556"/>
      <c r="K416" s="553"/>
      <c r="L416" s="553"/>
      <c r="M416" s="553"/>
      <c r="N416" s="553"/>
      <c r="O416" s="553"/>
      <c r="P416" s="553"/>
    </row>
    <row r="417" spans="1:26" ht="39">
      <c r="A417" s="557">
        <v>1</v>
      </c>
      <c r="B417" s="559" t="s">
        <v>183</v>
      </c>
      <c r="C417" s="559"/>
      <c r="D417" s="560"/>
      <c r="E417" s="560"/>
      <c r="F417" s="560"/>
      <c r="G417" s="561"/>
      <c r="H417" s="562" t="s">
        <v>35</v>
      </c>
      <c r="I417" s="563">
        <f t="shared" ref="I417:J418" ca="1" si="182">I433</f>
        <v>15</v>
      </c>
      <c r="J417" s="563">
        <f t="shared" ca="1" si="182"/>
        <v>0</v>
      </c>
      <c r="K417" s="564">
        <f t="shared" ref="K417:K418" ca="1" si="183">IF(I417&gt;0,J417*100/I417,0)</f>
        <v>0</v>
      </c>
      <c r="L417" s="565"/>
      <c r="M417" s="565"/>
      <c r="N417" s="565"/>
      <c r="O417" s="565"/>
      <c r="P417" s="565"/>
    </row>
    <row r="418" spans="1:26" ht="19.5">
      <c r="A418" s="566"/>
      <c r="B418" s="557"/>
      <c r="C418" s="559"/>
      <c r="D418" s="560"/>
      <c r="E418" s="560"/>
      <c r="F418" s="560"/>
      <c r="G418" s="561"/>
      <c r="H418" s="562" t="s">
        <v>49</v>
      </c>
      <c r="I418" s="563">
        <f t="shared" ca="1" si="182"/>
        <v>1</v>
      </c>
      <c r="J418" s="563">
        <f t="shared" si="182"/>
        <v>1</v>
      </c>
      <c r="K418" s="564">
        <f t="shared" ca="1" si="183"/>
        <v>100</v>
      </c>
      <c r="L418" s="565"/>
      <c r="M418" s="565"/>
      <c r="N418" s="565"/>
      <c r="O418" s="565"/>
      <c r="P418" s="565"/>
    </row>
    <row r="419" spans="1:26" ht="19.5">
      <c r="A419" s="147"/>
      <c r="B419" s="148"/>
      <c r="C419" s="148" t="s">
        <v>16</v>
      </c>
      <c r="D419" s="868" t="s">
        <v>17</v>
      </c>
      <c r="E419" s="862"/>
      <c r="F419" s="862"/>
      <c r="G419" s="151"/>
      <c r="H419" s="274" t="s">
        <v>12</v>
      </c>
      <c r="I419" s="419"/>
      <c r="J419" s="419"/>
      <c r="K419" s="154"/>
      <c r="L419" s="155">
        <f t="shared" ref="L419:N419" ca="1" si="184">L420+L421</f>
        <v>66760</v>
      </c>
      <c r="M419" s="155">
        <f t="shared" si="184"/>
        <v>0</v>
      </c>
      <c r="N419" s="155">
        <f t="shared" si="184"/>
        <v>46060</v>
      </c>
      <c r="O419" s="155">
        <f t="shared" ref="O419:O424" ca="1" si="185">IF(L419&gt;0,N419*100/L419,0)</f>
        <v>68.993409227082083</v>
      </c>
      <c r="P419" s="155">
        <f t="shared" ref="P419:P424" si="186">IF(M419&gt;0,N419*100/M419,0)</f>
        <v>0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2"/>
      <c r="E420" s="222" t="s">
        <v>184</v>
      </c>
      <c r="F420" s="40"/>
      <c r="G420" s="157"/>
      <c r="H420" s="165" t="s">
        <v>12</v>
      </c>
      <c r="I420" s="610"/>
      <c r="J420" s="610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2"/>
      <c r="E421" s="222" t="s">
        <v>185</v>
      </c>
      <c r="F421" s="40"/>
      <c r="G421" s="157"/>
      <c r="H421" s="165" t="s">
        <v>12</v>
      </c>
      <c r="I421" s="610"/>
      <c r="J421" s="610"/>
      <c r="K421" s="93"/>
      <c r="L421" s="93">
        <f t="shared" ca="1" si="187"/>
        <v>66760</v>
      </c>
      <c r="M421" s="93">
        <f t="shared" si="187"/>
        <v>0</v>
      </c>
      <c r="N421" s="93">
        <f t="shared" si="187"/>
        <v>46060</v>
      </c>
      <c r="O421" s="93">
        <f t="shared" ca="1" si="185"/>
        <v>68.993409227082083</v>
      </c>
      <c r="P421" s="93">
        <f t="shared" si="186"/>
        <v>0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0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6">
        <f t="shared" ref="L422:N422" ca="1" si="188">L423+L424</f>
        <v>66760</v>
      </c>
      <c r="M422" s="496">
        <f t="shared" si="188"/>
        <v>0</v>
      </c>
      <c r="N422" s="496">
        <f t="shared" si="188"/>
        <v>46060</v>
      </c>
      <c r="O422" s="496">
        <f t="shared" ca="1" si="185"/>
        <v>68.993409227082083</v>
      </c>
      <c r="P422" s="496">
        <f t="shared" si="186"/>
        <v>0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2"/>
      <c r="E423" s="222" t="s">
        <v>184</v>
      </c>
      <c r="F423" s="40"/>
      <c r="G423" s="157"/>
      <c r="H423" s="165" t="s">
        <v>12</v>
      </c>
      <c r="I423" s="610"/>
      <c r="J423" s="610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2"/>
      <c r="E424" s="222" t="s">
        <v>185</v>
      </c>
      <c r="F424" s="40"/>
      <c r="G424" s="157"/>
      <c r="H424" s="165" t="s">
        <v>12</v>
      </c>
      <c r="I424" s="610"/>
      <c r="J424" s="610"/>
      <c r="K424" s="93"/>
      <c r="L424" s="93">
        <f ca="1">IFERROR(__xludf.DUMMYFUNCTION("IMPORTRANGE(""https://docs.google.com/spreadsheets/d/1QqKyyYR6Q21VydFLVH3TRQUabQu_ym0Zz7PgGX0-kHA/edit?usp=sharing"",""แผน!EY66"")"),66760)</f>
        <v>66760</v>
      </c>
      <c r="M424" s="93">
        <v>0</v>
      </c>
      <c r="N424" s="93">
        <f>N425+N426+N427+N428</f>
        <v>46060</v>
      </c>
      <c r="O424" s="93">
        <f t="shared" ca="1" si="185"/>
        <v>68.993409227082083</v>
      </c>
      <c r="P424" s="93">
        <f t="shared" si="186"/>
        <v>0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67"/>
      <c r="B425" s="568"/>
      <c r="C425" s="754"/>
      <c r="D425" s="754"/>
      <c r="E425" s="754"/>
      <c r="F425" s="754" t="s">
        <v>186</v>
      </c>
      <c r="G425" s="189"/>
      <c r="H425" s="161" t="s">
        <v>12</v>
      </c>
      <c r="I425" s="269"/>
      <c r="J425" s="269"/>
      <c r="K425" s="496"/>
      <c r="L425" s="496"/>
      <c r="M425" s="496"/>
      <c r="N425" s="817">
        <v>31860</v>
      </c>
      <c r="O425" s="496"/>
      <c r="P425" s="496"/>
      <c r="Q425" s="571"/>
      <c r="R425" s="571"/>
      <c r="S425" s="571"/>
      <c r="T425" s="571"/>
      <c r="U425" s="571"/>
      <c r="V425" s="571"/>
      <c r="W425" s="571"/>
      <c r="X425" s="571"/>
      <c r="Y425" s="571"/>
      <c r="Z425" s="571"/>
    </row>
    <row r="426" spans="1:26" ht="18.75">
      <c r="A426" s="567"/>
      <c r="B426" s="568"/>
      <c r="C426" s="754"/>
      <c r="D426" s="754"/>
      <c r="E426" s="754"/>
      <c r="F426" s="754" t="s">
        <v>187</v>
      </c>
      <c r="G426" s="189"/>
      <c r="H426" s="161" t="s">
        <v>12</v>
      </c>
      <c r="I426" s="269"/>
      <c r="J426" s="269"/>
      <c r="K426" s="496"/>
      <c r="L426" s="496"/>
      <c r="M426" s="496"/>
      <c r="N426" s="817">
        <v>0</v>
      </c>
      <c r="O426" s="496"/>
      <c r="P426" s="496"/>
      <c r="Q426" s="571"/>
      <c r="R426" s="571"/>
      <c r="S426" s="571"/>
      <c r="T426" s="571"/>
      <c r="U426" s="571"/>
      <c r="V426" s="571"/>
      <c r="W426" s="571"/>
      <c r="X426" s="571"/>
      <c r="Y426" s="571"/>
      <c r="Z426" s="571"/>
    </row>
    <row r="427" spans="1:26" ht="18.75">
      <c r="A427" s="567"/>
      <c r="B427" s="568"/>
      <c r="C427" s="754"/>
      <c r="D427" s="754"/>
      <c r="E427" s="754"/>
      <c r="F427" s="754" t="s">
        <v>188</v>
      </c>
      <c r="G427" s="189"/>
      <c r="H427" s="161" t="s">
        <v>12</v>
      </c>
      <c r="I427" s="269"/>
      <c r="J427" s="269"/>
      <c r="K427" s="496"/>
      <c r="L427" s="496"/>
      <c r="M427" s="496"/>
      <c r="N427" s="817">
        <v>0</v>
      </c>
      <c r="O427" s="496"/>
      <c r="P427" s="496"/>
      <c r="Q427" s="571"/>
      <c r="R427" s="571"/>
      <c r="S427" s="571"/>
      <c r="T427" s="571"/>
      <c r="U427" s="571"/>
      <c r="V427" s="571"/>
      <c r="W427" s="571"/>
      <c r="X427" s="571"/>
      <c r="Y427" s="571"/>
      <c r="Z427" s="571"/>
    </row>
    <row r="428" spans="1:26" ht="18.75">
      <c r="A428" s="284"/>
      <c r="B428" s="280"/>
      <c r="C428" s="33"/>
      <c r="D428" s="33"/>
      <c r="E428" s="33"/>
      <c r="F428" s="281" t="s">
        <v>189</v>
      </c>
      <c r="G428" s="213"/>
      <c r="H428" s="161" t="s">
        <v>12</v>
      </c>
      <c r="I428" s="269"/>
      <c r="J428" s="269"/>
      <c r="K428" s="496"/>
      <c r="L428" s="496"/>
      <c r="M428" s="496"/>
      <c r="N428" s="817">
        <v>14200</v>
      </c>
      <c r="O428" s="496"/>
      <c r="P428" s="496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0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6">
        <f t="shared" ref="L429:N429" ca="1" si="189">L430+L431</f>
        <v>0</v>
      </c>
      <c r="M429" s="496">
        <f t="shared" si="189"/>
        <v>0</v>
      </c>
      <c r="N429" s="496">
        <f t="shared" si="189"/>
        <v>0</v>
      </c>
      <c r="O429" s="496">
        <f t="shared" ref="O429:O431" ca="1" si="190">IF(L429&gt;0,N429*100/L429,0)</f>
        <v>0</v>
      </c>
      <c r="P429" s="496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6"/>
      <c r="C430" s="40"/>
      <c r="D430" s="40"/>
      <c r="E430" s="222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6"/>
      <c r="C431" s="40"/>
      <c r="D431" s="40"/>
      <c r="E431" s="222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IFERROR(__xludf.DUMMYFUNCTION("IMPORTRANGE(""https://docs.google.com/spreadsheets/d/1QqKyyYR6Q21VydFLVH3TRQUabQu_ym0Zz7PgGX0-kHA/edit?usp=sharing"",""แผน!FB66"")"),0)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3"/>
      <c r="B432" s="414"/>
      <c r="C432" s="148" t="s">
        <v>16</v>
      </c>
      <c r="D432" s="835" t="s">
        <v>38</v>
      </c>
      <c r="E432" s="573"/>
      <c r="F432" s="573"/>
      <c r="G432" s="574"/>
      <c r="H432" s="575"/>
      <c r="I432" s="419"/>
      <c r="J432" s="419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190</v>
      </c>
      <c r="E433" s="178"/>
      <c r="F433" s="178"/>
      <c r="G433" s="179"/>
      <c r="H433" s="196" t="s">
        <v>35</v>
      </c>
      <c r="I433" s="674">
        <f ca="1">I435</f>
        <v>15</v>
      </c>
      <c r="J433" s="674">
        <f ca="1">IF(AND(J435=I435,J437=I437,J439=I439),I437+I439,IF(AND(J435=I437,J437=I437),I437,IF(AND(J435=I439,J439=I439),I439,0)))</f>
        <v>0</v>
      </c>
      <c r="K433" s="195">
        <f t="shared" ref="K433:K435" ca="1" si="192">IF(I433&gt;0,J433*100/I433,0)</f>
        <v>0</v>
      </c>
      <c r="L433" s="496"/>
      <c r="M433" s="496"/>
      <c r="N433" s="496"/>
      <c r="O433" s="496"/>
      <c r="P433" s="496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191</v>
      </c>
      <c r="E434" s="178"/>
      <c r="F434" s="178"/>
      <c r="G434" s="179"/>
      <c r="H434" s="196" t="s">
        <v>49</v>
      </c>
      <c r="I434" s="674">
        <f t="shared" ref="I434:J434" ca="1" si="193">I438+I440</f>
        <v>1</v>
      </c>
      <c r="J434" s="674">
        <f t="shared" si="193"/>
        <v>1</v>
      </c>
      <c r="K434" s="195">
        <f t="shared" ca="1" si="192"/>
        <v>100</v>
      </c>
      <c r="L434" s="496"/>
      <c r="M434" s="496"/>
      <c r="N434" s="496"/>
      <c r="O434" s="496"/>
      <c r="P434" s="496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6" t="s">
        <v>192</v>
      </c>
      <c r="E435" s="178"/>
      <c r="F435" s="178"/>
      <c r="G435" s="179"/>
      <c r="H435" s="616" t="s">
        <v>35</v>
      </c>
      <c r="I435" s="576">
        <f ca="1">IFERROR(__xludf.DUMMYFUNCTION("IMPORTRANGE(""https://docs.google.com/spreadsheets/d/1QqKyyYR6Q21VydFLVH3TRQUabQu_ym0Zz7PgGX0-kHA/edit?usp=sharing"",""แผน!FC66"")"),15)</f>
        <v>15</v>
      </c>
      <c r="J435" s="577">
        <v>0</v>
      </c>
      <c r="K435" s="496">
        <f t="shared" ca="1" si="192"/>
        <v>0</v>
      </c>
      <c r="L435" s="496"/>
      <c r="M435" s="496"/>
      <c r="N435" s="496"/>
      <c r="O435" s="496"/>
      <c r="P435" s="496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6" t="s">
        <v>193</v>
      </c>
      <c r="E436" s="178"/>
      <c r="F436" s="178"/>
      <c r="G436" s="179"/>
      <c r="H436" s="616"/>
      <c r="I436" s="269"/>
      <c r="J436" s="269"/>
      <c r="K436" s="496"/>
      <c r="L436" s="496"/>
      <c r="M436" s="496"/>
      <c r="N436" s="496"/>
      <c r="O436" s="496"/>
      <c r="P436" s="496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6" t="s">
        <v>194</v>
      </c>
      <c r="E437" s="178"/>
      <c r="F437" s="178"/>
      <c r="G437" s="179"/>
      <c r="H437" s="616" t="s">
        <v>35</v>
      </c>
      <c r="I437" s="576">
        <f ca="1">IFERROR(__xludf.DUMMYFUNCTION("IMPORTRANGE(""https://docs.google.com/spreadsheets/d/1QqKyyYR6Q21VydFLVH3TRQUabQu_ym0Zz7PgGX0-kHA/edit?usp=sharing"",""แผน!FD66"")"),0)</f>
        <v>0</v>
      </c>
      <c r="J437" s="577">
        <v>0</v>
      </c>
      <c r="K437" s="496">
        <f t="shared" ref="K437:K443" ca="1" si="194">IF(I437&gt;0,J437*100/I437,0)</f>
        <v>0</v>
      </c>
      <c r="L437" s="496"/>
      <c r="M437" s="496"/>
      <c r="N437" s="496"/>
      <c r="O437" s="496"/>
      <c r="P437" s="496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6" t="s">
        <v>195</v>
      </c>
      <c r="E438" s="178"/>
      <c r="F438" s="178"/>
      <c r="G438" s="179"/>
      <c r="H438" s="616" t="s">
        <v>49</v>
      </c>
      <c r="I438" s="269">
        <f ca="1">IFERROR(__xludf.DUMMYFUNCTION("IMPORTRANGE(""https://docs.google.com/spreadsheets/d/1QqKyyYR6Q21VydFLVH3TRQUabQu_ym0Zz7PgGX0-kHA/edit?usp=sharing"",""แผน!FE66"")"),0)</f>
        <v>0</v>
      </c>
      <c r="J438" s="214">
        <v>0</v>
      </c>
      <c r="K438" s="496">
        <f t="shared" ca="1" si="194"/>
        <v>0</v>
      </c>
      <c r="L438" s="496"/>
      <c r="M438" s="496"/>
      <c r="N438" s="496"/>
      <c r="O438" s="496"/>
      <c r="P438" s="496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6" t="s">
        <v>196</v>
      </c>
      <c r="E439" s="178"/>
      <c r="F439" s="178"/>
      <c r="G439" s="179"/>
      <c r="H439" s="616" t="s">
        <v>35</v>
      </c>
      <c r="I439" s="576">
        <f ca="1">IFERROR(__xludf.DUMMYFUNCTION("IMPORTRANGE(""https://docs.google.com/spreadsheets/d/1QqKyyYR6Q21VydFLVH3TRQUabQu_ym0Zz7PgGX0-kHA/edit?usp=sharing"",""แผน!FF66"")"),15)</f>
        <v>15</v>
      </c>
      <c r="J439" s="577">
        <v>15</v>
      </c>
      <c r="K439" s="496">
        <f t="shared" ca="1" si="194"/>
        <v>100</v>
      </c>
      <c r="L439" s="496"/>
      <c r="M439" s="496"/>
      <c r="N439" s="496"/>
      <c r="O439" s="496"/>
      <c r="P439" s="496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6" t="s">
        <v>197</v>
      </c>
      <c r="E440" s="178"/>
      <c r="F440" s="178"/>
      <c r="G440" s="179"/>
      <c r="H440" s="616" t="s">
        <v>49</v>
      </c>
      <c r="I440" s="269">
        <f ca="1">IFERROR(__xludf.DUMMYFUNCTION("IMPORTRANGE(""https://docs.google.com/spreadsheets/d/1QqKyyYR6Q21VydFLVH3TRQUabQu_ym0Zz7PgGX0-kHA/edit?usp=sharing"",""แผน!FG66"")"),1)</f>
        <v>1</v>
      </c>
      <c r="J440" s="214">
        <v>1</v>
      </c>
      <c r="K440" s="496">
        <f t="shared" ca="1" si="194"/>
        <v>100</v>
      </c>
      <c r="L440" s="496"/>
      <c r="M440" s="496"/>
      <c r="N440" s="496"/>
      <c r="O440" s="496"/>
      <c r="P440" s="496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 hidden="1">
      <c r="A441" s="170"/>
      <c r="B441" s="171"/>
      <c r="C441" s="171"/>
      <c r="D441" s="446" t="s">
        <v>198</v>
      </c>
      <c r="E441" s="178"/>
      <c r="F441" s="178"/>
      <c r="G441" s="179"/>
      <c r="H441" s="616" t="s">
        <v>35</v>
      </c>
      <c r="I441" s="269">
        <f ca="1">IFERROR(__xludf.DUMMYFUNCTION("IMPORTRANGE(""https://docs.google.com/spreadsheets/d/1QqKyyYR6Q21VydFLVH3TRQUabQu_ym0Zz7PgGX0-kHA/edit?usp=sharing"",""แผน!FH66"")"),0)</f>
        <v>0</v>
      </c>
      <c r="J441" s="269">
        <v>0</v>
      </c>
      <c r="K441" s="496">
        <f t="shared" ca="1" si="194"/>
        <v>0</v>
      </c>
      <c r="L441" s="496"/>
      <c r="M441" s="496"/>
      <c r="N441" s="496"/>
      <c r="O441" s="496"/>
      <c r="P441" s="496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78">
        <v>2</v>
      </c>
      <c r="B442" s="579" t="s">
        <v>199</v>
      </c>
      <c r="C442" s="580"/>
      <c r="D442" s="580"/>
      <c r="E442" s="580"/>
      <c r="F442" s="580"/>
      <c r="G442" s="581"/>
      <c r="H442" s="582" t="s">
        <v>35</v>
      </c>
      <c r="I442" s="583">
        <f t="shared" ref="I442:J442" ca="1" si="195">I460</f>
        <v>30</v>
      </c>
      <c r="J442" s="583">
        <f t="shared" si="195"/>
        <v>0</v>
      </c>
      <c r="K442" s="584">
        <f t="shared" ca="1" si="194"/>
        <v>0</v>
      </c>
      <c r="L442" s="585"/>
      <c r="M442" s="585"/>
      <c r="N442" s="585"/>
      <c r="O442" s="585"/>
      <c r="P442" s="585"/>
      <c r="Q442" s="571"/>
      <c r="R442" s="571"/>
      <c r="S442" s="571"/>
      <c r="T442" s="571"/>
      <c r="U442" s="571"/>
      <c r="V442" s="571"/>
      <c r="W442" s="571"/>
      <c r="X442" s="571"/>
      <c r="Y442" s="571"/>
      <c r="Z442" s="571"/>
    </row>
    <row r="443" spans="1:26" ht="19.5">
      <c r="A443" s="586"/>
      <c r="B443" s="587"/>
      <c r="C443" s="588"/>
      <c r="D443" s="588"/>
      <c r="E443" s="588"/>
      <c r="F443" s="588"/>
      <c r="G443" s="589"/>
      <c r="H443" s="562" t="s">
        <v>46</v>
      </c>
      <c r="I443" s="563">
        <f t="shared" ref="I443:J443" ca="1" si="196">I462</f>
        <v>100</v>
      </c>
      <c r="J443" s="563">
        <f t="shared" si="196"/>
        <v>0</v>
      </c>
      <c r="K443" s="564">
        <f t="shared" ca="1" si="194"/>
        <v>0</v>
      </c>
      <c r="L443" s="565"/>
      <c r="M443" s="565"/>
      <c r="N443" s="565"/>
      <c r="O443" s="565"/>
      <c r="P443" s="565"/>
      <c r="Q443" s="571"/>
      <c r="R443" s="571"/>
      <c r="S443" s="571"/>
      <c r="T443" s="571"/>
      <c r="U443" s="571"/>
      <c r="V443" s="571"/>
      <c r="W443" s="571"/>
      <c r="X443" s="571"/>
      <c r="Y443" s="571"/>
      <c r="Z443" s="571"/>
    </row>
    <row r="444" spans="1:26" ht="19.5">
      <c r="A444" s="590"/>
      <c r="B444" s="754"/>
      <c r="C444" s="754" t="s">
        <v>16</v>
      </c>
      <c r="D444" s="863" t="s">
        <v>17</v>
      </c>
      <c r="E444" s="857"/>
      <c r="F444" s="857"/>
      <c r="G444" s="189"/>
      <c r="H444" s="591" t="s">
        <v>12</v>
      </c>
      <c r="I444" s="269"/>
      <c r="J444" s="269"/>
      <c r="K444" s="496"/>
      <c r="L444" s="195">
        <f t="shared" ref="L444:N444" ca="1" si="197">L445+L446</f>
        <v>180080</v>
      </c>
      <c r="M444" s="195">
        <f t="shared" si="197"/>
        <v>0</v>
      </c>
      <c r="N444" s="195">
        <f t="shared" si="197"/>
        <v>1900</v>
      </c>
      <c r="O444" s="195">
        <f t="shared" ref="O444:O449" ca="1" si="198">IF(L444&gt;0,N444*100/L444,0)</f>
        <v>1.0550866281652598</v>
      </c>
      <c r="P444" s="195">
        <f t="shared" ref="P444:P449" si="199">IF(M444&gt;0,N444*100/M444,0)</f>
        <v>0</v>
      </c>
      <c r="Q444" s="571"/>
      <c r="R444" s="571"/>
      <c r="S444" s="571"/>
      <c r="T444" s="571"/>
      <c r="U444" s="571"/>
      <c r="V444" s="571"/>
      <c r="W444" s="571"/>
      <c r="X444" s="571"/>
      <c r="Y444" s="571"/>
      <c r="Z444" s="571"/>
    </row>
    <row r="445" spans="1:26" ht="18.75" hidden="1">
      <c r="A445" s="592"/>
      <c r="B445" s="750"/>
      <c r="C445" s="750"/>
      <c r="D445" s="711"/>
      <c r="E445" s="750" t="s">
        <v>184</v>
      </c>
      <c r="F445" s="750"/>
      <c r="G445" s="596"/>
      <c r="H445" s="165" t="s">
        <v>12</v>
      </c>
      <c r="I445" s="610"/>
      <c r="J445" s="610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597"/>
      <c r="R445" s="597"/>
      <c r="S445" s="597"/>
      <c r="T445" s="597"/>
      <c r="U445" s="597"/>
      <c r="V445" s="597"/>
      <c r="W445" s="597"/>
      <c r="X445" s="597"/>
      <c r="Y445" s="597"/>
      <c r="Z445" s="597"/>
    </row>
    <row r="446" spans="1:26" ht="18.75" hidden="1">
      <c r="A446" s="592"/>
      <c r="B446" s="600"/>
      <c r="C446" s="750"/>
      <c r="D446" s="711"/>
      <c r="E446" s="750" t="s">
        <v>185</v>
      </c>
      <c r="F446" s="750"/>
      <c r="G446" s="596"/>
      <c r="H446" s="165" t="s">
        <v>12</v>
      </c>
      <c r="I446" s="610"/>
      <c r="J446" s="610"/>
      <c r="K446" s="93"/>
      <c r="L446" s="93">
        <f t="shared" ca="1" si="200"/>
        <v>180080</v>
      </c>
      <c r="M446" s="93">
        <f t="shared" si="200"/>
        <v>0</v>
      </c>
      <c r="N446" s="93">
        <f t="shared" si="200"/>
        <v>1900</v>
      </c>
      <c r="O446" s="93">
        <f t="shared" ca="1" si="198"/>
        <v>1.0550866281652598</v>
      </c>
      <c r="P446" s="93">
        <f t="shared" si="199"/>
        <v>0</v>
      </c>
      <c r="Q446" s="597"/>
      <c r="R446" s="597"/>
      <c r="S446" s="597"/>
      <c r="T446" s="597"/>
      <c r="U446" s="597"/>
      <c r="V446" s="597"/>
      <c r="W446" s="597"/>
      <c r="X446" s="597"/>
      <c r="Y446" s="597"/>
      <c r="Z446" s="597"/>
    </row>
    <row r="447" spans="1:26" ht="18.75">
      <c r="A447" s="590"/>
      <c r="B447" s="568"/>
      <c r="C447" s="754"/>
      <c r="D447" s="599" t="s">
        <v>20</v>
      </c>
      <c r="E447" s="754"/>
      <c r="F447" s="754"/>
      <c r="G447" s="189"/>
      <c r="H447" s="161" t="s">
        <v>12</v>
      </c>
      <c r="I447" s="184"/>
      <c r="J447" s="184"/>
      <c r="K447" s="163"/>
      <c r="L447" s="496">
        <f t="shared" ref="L447:N447" ca="1" si="201">L448+L449</f>
        <v>180080</v>
      </c>
      <c r="M447" s="496">
        <f t="shared" si="201"/>
        <v>0</v>
      </c>
      <c r="N447" s="496">
        <f t="shared" si="201"/>
        <v>1900</v>
      </c>
      <c r="O447" s="496">
        <f t="shared" ca="1" si="198"/>
        <v>1.0550866281652598</v>
      </c>
      <c r="P447" s="496">
        <f t="shared" si="199"/>
        <v>0</v>
      </c>
      <c r="Q447" s="571"/>
      <c r="R447" s="571"/>
      <c r="S447" s="571"/>
      <c r="T447" s="571"/>
      <c r="U447" s="571"/>
      <c r="V447" s="571"/>
      <c r="W447" s="571"/>
      <c r="X447" s="571"/>
      <c r="Y447" s="571"/>
      <c r="Z447" s="571"/>
    </row>
    <row r="448" spans="1:26" ht="18.75" hidden="1">
      <c r="A448" s="592"/>
      <c r="B448" s="600"/>
      <c r="C448" s="750"/>
      <c r="D448" s="711"/>
      <c r="E448" s="750" t="s">
        <v>184</v>
      </c>
      <c r="F448" s="750"/>
      <c r="G448" s="596"/>
      <c r="H448" s="165" t="s">
        <v>12</v>
      </c>
      <c r="I448" s="610"/>
      <c r="J448" s="610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597"/>
      <c r="R448" s="597"/>
      <c r="S448" s="597"/>
      <c r="T448" s="597"/>
      <c r="U448" s="597"/>
      <c r="V448" s="597"/>
      <c r="W448" s="597"/>
      <c r="X448" s="597"/>
      <c r="Y448" s="597"/>
      <c r="Z448" s="597"/>
    </row>
    <row r="449" spans="1:26" ht="18.75" hidden="1">
      <c r="A449" s="592"/>
      <c r="B449" s="600"/>
      <c r="C449" s="750"/>
      <c r="D449" s="711"/>
      <c r="E449" s="750" t="s">
        <v>185</v>
      </c>
      <c r="F449" s="750"/>
      <c r="G449" s="596"/>
      <c r="H449" s="165" t="s">
        <v>12</v>
      </c>
      <c r="I449" s="610"/>
      <c r="J449" s="610"/>
      <c r="K449" s="93"/>
      <c r="L449" s="93">
        <f ca="1">IFERROR(__xludf.DUMMYFUNCTION("IMPORTRANGE(""https://docs.google.com/spreadsheets/d/1QqKyyYR6Q21VydFLVH3TRQUabQu_ym0Zz7PgGX0-kHA/edit?usp=sharing"",""แผน!FJ66"")"),180080)</f>
        <v>180080</v>
      </c>
      <c r="M449" s="93">
        <v>0</v>
      </c>
      <c r="N449" s="93">
        <f>N450+N451+N452+N453</f>
        <v>1900</v>
      </c>
      <c r="O449" s="93">
        <f t="shared" ca="1" si="198"/>
        <v>1.0550866281652598</v>
      </c>
      <c r="P449" s="93">
        <f t="shared" si="199"/>
        <v>0</v>
      </c>
      <c r="Q449" s="597"/>
      <c r="R449" s="597"/>
      <c r="S449" s="597"/>
      <c r="T449" s="597"/>
      <c r="U449" s="597"/>
      <c r="V449" s="597"/>
      <c r="W449" s="597"/>
      <c r="X449" s="597"/>
      <c r="Y449" s="597"/>
      <c r="Z449" s="597"/>
    </row>
    <row r="450" spans="1:26" ht="18.75">
      <c r="A450" s="567"/>
      <c r="B450" s="568"/>
      <c r="C450" s="754"/>
      <c r="D450" s="754"/>
      <c r="E450" s="754"/>
      <c r="F450" s="754" t="s">
        <v>186</v>
      </c>
      <c r="G450" s="189"/>
      <c r="H450" s="161" t="s">
        <v>12</v>
      </c>
      <c r="I450" s="269"/>
      <c r="J450" s="269"/>
      <c r="K450" s="496"/>
      <c r="L450" s="496"/>
      <c r="M450" s="496"/>
      <c r="N450" s="817">
        <v>0</v>
      </c>
      <c r="O450" s="496"/>
      <c r="P450" s="496"/>
      <c r="Q450" s="571"/>
      <c r="R450" s="571"/>
      <c r="S450" s="571"/>
      <c r="T450" s="571"/>
      <c r="U450" s="571"/>
      <c r="V450" s="571"/>
      <c r="W450" s="571"/>
      <c r="X450" s="571"/>
      <c r="Y450" s="571"/>
      <c r="Z450" s="571"/>
    </row>
    <row r="451" spans="1:26" ht="18.75">
      <c r="A451" s="567"/>
      <c r="B451" s="568"/>
      <c r="C451" s="754"/>
      <c r="D451" s="754"/>
      <c r="E451" s="754"/>
      <c r="F451" s="754" t="s">
        <v>187</v>
      </c>
      <c r="G451" s="189"/>
      <c r="H451" s="161" t="s">
        <v>12</v>
      </c>
      <c r="I451" s="269"/>
      <c r="J451" s="269"/>
      <c r="K451" s="496"/>
      <c r="L451" s="496"/>
      <c r="M451" s="496"/>
      <c r="N451" s="817">
        <v>0</v>
      </c>
      <c r="O451" s="496"/>
      <c r="P451" s="496"/>
      <c r="Q451" s="571"/>
      <c r="R451" s="571"/>
      <c r="S451" s="571"/>
      <c r="T451" s="571"/>
      <c r="U451" s="571"/>
      <c r="V451" s="571"/>
      <c r="W451" s="571"/>
      <c r="X451" s="571"/>
      <c r="Y451" s="571"/>
      <c r="Z451" s="571"/>
    </row>
    <row r="452" spans="1:26" ht="18.75">
      <c r="A452" s="567"/>
      <c r="B452" s="568"/>
      <c r="C452" s="568"/>
      <c r="D452" s="568"/>
      <c r="E452" s="568"/>
      <c r="F452" s="754" t="s">
        <v>188</v>
      </c>
      <c r="G452" s="189"/>
      <c r="H452" s="161" t="s">
        <v>12</v>
      </c>
      <c r="I452" s="269"/>
      <c r="J452" s="269"/>
      <c r="K452" s="496"/>
      <c r="L452" s="496"/>
      <c r="M452" s="496"/>
      <c r="N452" s="817">
        <v>0</v>
      </c>
      <c r="O452" s="496"/>
      <c r="P452" s="496"/>
      <c r="Q452" s="571"/>
      <c r="R452" s="571"/>
      <c r="S452" s="571"/>
      <c r="T452" s="571"/>
      <c r="U452" s="571"/>
      <c r="V452" s="571"/>
      <c r="W452" s="571"/>
      <c r="X452" s="571"/>
      <c r="Y452" s="571"/>
      <c r="Z452" s="571"/>
    </row>
    <row r="453" spans="1:26" ht="18.75">
      <c r="A453" s="567"/>
      <c r="B453" s="568"/>
      <c r="C453" s="568"/>
      <c r="D453" s="568"/>
      <c r="E453" s="568"/>
      <c r="F453" s="754" t="s">
        <v>189</v>
      </c>
      <c r="G453" s="189"/>
      <c r="H453" s="161" t="s">
        <v>12</v>
      </c>
      <c r="I453" s="269"/>
      <c r="J453" s="269"/>
      <c r="K453" s="496"/>
      <c r="L453" s="496"/>
      <c r="M453" s="496"/>
      <c r="N453" s="817">
        <v>1900</v>
      </c>
      <c r="O453" s="496"/>
      <c r="P453" s="496"/>
      <c r="Q453" s="571"/>
      <c r="R453" s="571"/>
      <c r="S453" s="571"/>
      <c r="T453" s="571"/>
      <c r="U453" s="571"/>
      <c r="V453" s="571"/>
      <c r="W453" s="571"/>
      <c r="X453" s="571"/>
      <c r="Y453" s="571"/>
      <c r="Z453" s="571"/>
    </row>
    <row r="454" spans="1:26" ht="18.75">
      <c r="A454" s="590"/>
      <c r="B454" s="568"/>
      <c r="C454" s="568"/>
      <c r="D454" s="599" t="s">
        <v>21</v>
      </c>
      <c r="E454" s="568"/>
      <c r="F454" s="754"/>
      <c r="G454" s="189"/>
      <c r="H454" s="168" t="s">
        <v>12</v>
      </c>
      <c r="I454" s="184"/>
      <c r="J454" s="184"/>
      <c r="K454" s="163"/>
      <c r="L454" s="496">
        <f t="shared" ref="L454:N454" ca="1" si="202">L455+L456</f>
        <v>0</v>
      </c>
      <c r="M454" s="496">
        <f t="shared" si="202"/>
        <v>0</v>
      </c>
      <c r="N454" s="496">
        <f t="shared" si="202"/>
        <v>0</v>
      </c>
      <c r="O454" s="496">
        <f t="shared" ref="O454:O456" ca="1" si="203">IF(L454&gt;0,N454*100/L454,0)</f>
        <v>0</v>
      </c>
      <c r="P454" s="496">
        <f t="shared" ref="P454:P456" si="204">IF(M454&gt;0,N454*100/M454,0)</f>
        <v>0</v>
      </c>
      <c r="Q454" s="571"/>
      <c r="R454" s="571"/>
      <c r="S454" s="571"/>
      <c r="T454" s="571"/>
      <c r="U454" s="571"/>
      <c r="V454" s="571"/>
      <c r="W454" s="571"/>
      <c r="X454" s="571"/>
      <c r="Y454" s="571"/>
      <c r="Z454" s="571"/>
    </row>
    <row r="455" spans="1:26" ht="18.75" hidden="1">
      <c r="A455" s="592"/>
      <c r="B455" s="600"/>
      <c r="C455" s="600"/>
      <c r="D455" s="600"/>
      <c r="E455" s="600" t="s">
        <v>18</v>
      </c>
      <c r="F455" s="750"/>
      <c r="G455" s="596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597"/>
      <c r="R455" s="597"/>
      <c r="S455" s="597"/>
      <c r="T455" s="597"/>
      <c r="U455" s="597"/>
      <c r="V455" s="597"/>
      <c r="W455" s="597"/>
      <c r="X455" s="597"/>
      <c r="Y455" s="597"/>
      <c r="Z455" s="597"/>
    </row>
    <row r="456" spans="1:26" ht="18.75" hidden="1">
      <c r="A456" s="592"/>
      <c r="B456" s="600"/>
      <c r="C456" s="600"/>
      <c r="D456" s="600"/>
      <c r="E456" s="600" t="s">
        <v>19</v>
      </c>
      <c r="F456" s="750"/>
      <c r="G456" s="596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IFERROR(__xludf.DUMMYFUNCTION("IMPORTRANGE(""https://docs.google.com/spreadsheets/d/1QqKyyYR6Q21VydFLVH3TRQUabQu_ym0Zz7PgGX0-kHA/edit?usp=sharing"",""แผน!FM66"")"),0)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597"/>
      <c r="R456" s="597"/>
      <c r="S456" s="597"/>
      <c r="T456" s="597"/>
      <c r="U456" s="597"/>
      <c r="V456" s="597"/>
      <c r="W456" s="597"/>
      <c r="X456" s="597"/>
      <c r="Y456" s="597"/>
      <c r="Z456" s="597"/>
    </row>
    <row r="457" spans="1:26" ht="19.5">
      <c r="A457" s="601"/>
      <c r="B457" s="611"/>
      <c r="C457" s="568" t="s">
        <v>16</v>
      </c>
      <c r="D457" s="836" t="s">
        <v>38</v>
      </c>
      <c r="E457" s="604"/>
      <c r="F457" s="752"/>
      <c r="G457" s="606"/>
      <c r="H457" s="753"/>
      <c r="I457" s="269"/>
      <c r="J457" s="269"/>
      <c r="K457" s="496"/>
      <c r="L457" s="496"/>
      <c r="M457" s="496"/>
      <c r="N457" s="496"/>
      <c r="O457" s="496"/>
      <c r="P457" s="496"/>
      <c r="Q457" s="571"/>
      <c r="R457" s="571"/>
      <c r="S457" s="571"/>
      <c r="T457" s="571"/>
      <c r="U457" s="571"/>
      <c r="V457" s="571"/>
      <c r="W457" s="571"/>
      <c r="X457" s="571"/>
      <c r="Y457" s="571"/>
      <c r="Z457" s="571"/>
    </row>
    <row r="458" spans="1:26" ht="18.75" hidden="1">
      <c r="A458" s="607"/>
      <c r="B458" s="609"/>
      <c r="C458" s="609"/>
      <c r="D458" s="609" t="s">
        <v>200</v>
      </c>
      <c r="E458" s="609"/>
      <c r="F458" s="711"/>
      <c r="G458" s="365"/>
      <c r="H458" s="369" t="s">
        <v>35</v>
      </c>
      <c r="I458" s="610">
        <v>0</v>
      </c>
      <c r="J458" s="610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597"/>
      <c r="R458" s="597"/>
      <c r="S458" s="597"/>
      <c r="T458" s="597"/>
      <c r="U458" s="597"/>
      <c r="V458" s="597"/>
      <c r="W458" s="597"/>
      <c r="X458" s="597"/>
      <c r="Y458" s="597"/>
      <c r="Z458" s="597"/>
    </row>
    <row r="459" spans="1:26" ht="18.75" hidden="1">
      <c r="A459" s="607"/>
      <c r="B459" s="609"/>
      <c r="C459" s="609"/>
      <c r="D459" s="609" t="s">
        <v>201</v>
      </c>
      <c r="E459" s="609"/>
      <c r="F459" s="711"/>
      <c r="G459" s="365"/>
      <c r="H459" s="369"/>
      <c r="I459" s="610"/>
      <c r="J459" s="610"/>
      <c r="K459" s="93"/>
      <c r="L459" s="93"/>
      <c r="M459" s="93"/>
      <c r="N459" s="93"/>
      <c r="O459" s="93"/>
      <c r="P459" s="93"/>
      <c r="Q459" s="597"/>
      <c r="R459" s="597"/>
      <c r="S459" s="597"/>
      <c r="T459" s="597"/>
      <c r="U459" s="597"/>
      <c r="V459" s="597"/>
      <c r="W459" s="597"/>
      <c r="X459" s="597"/>
      <c r="Y459" s="597"/>
      <c r="Z459" s="597"/>
    </row>
    <row r="460" spans="1:26" ht="18.75">
      <c r="A460" s="601"/>
      <c r="B460" s="611"/>
      <c r="C460" s="611"/>
      <c r="D460" s="611" t="s">
        <v>202</v>
      </c>
      <c r="E460" s="611"/>
      <c r="F460" s="619"/>
      <c r="G460" s="753"/>
      <c r="H460" s="755" t="s">
        <v>35</v>
      </c>
      <c r="I460" s="269">
        <f ca="1">IFERROR(__xludf.DUMMYFUNCTION("IMPORTRANGE(""https://docs.google.com/spreadsheets/d/1QqKyyYR6Q21VydFLVH3TRQUabQu_ym0Zz7PgGX0-kHA/edit?usp=sharing"",""แผน!FN66"")"),30)</f>
        <v>30</v>
      </c>
      <c r="J460" s="214">
        <v>0</v>
      </c>
      <c r="K460" s="496">
        <f ca="1">IF(I460&gt;0,J460*100/I460,0)</f>
        <v>0</v>
      </c>
      <c r="L460" s="496"/>
      <c r="M460" s="496"/>
      <c r="N460" s="496"/>
      <c r="O460" s="496"/>
      <c r="P460" s="496"/>
      <c r="Q460" s="571"/>
      <c r="R460" s="571"/>
      <c r="S460" s="571"/>
      <c r="T460" s="571"/>
      <c r="U460" s="571"/>
      <c r="V460" s="571"/>
      <c r="W460" s="571"/>
      <c r="X460" s="571"/>
      <c r="Y460" s="571"/>
      <c r="Z460" s="571"/>
    </row>
    <row r="461" spans="1:26" ht="18.75">
      <c r="A461" s="601"/>
      <c r="B461" s="611"/>
      <c r="C461" s="611"/>
      <c r="D461" s="611" t="s">
        <v>203</v>
      </c>
      <c r="E461" s="619"/>
      <c r="F461" s="619"/>
      <c r="G461" s="753"/>
      <c r="H461" s="755"/>
      <c r="I461" s="269"/>
      <c r="J461" s="269"/>
      <c r="K461" s="496"/>
      <c r="L461" s="496"/>
      <c r="M461" s="496"/>
      <c r="N461" s="496"/>
      <c r="O461" s="496"/>
      <c r="P461" s="496"/>
      <c r="Q461" s="571"/>
      <c r="R461" s="571"/>
      <c r="S461" s="571"/>
      <c r="T461" s="571"/>
      <c r="U461" s="571"/>
      <c r="V461" s="571"/>
      <c r="W461" s="571"/>
      <c r="X461" s="571"/>
      <c r="Y461" s="571"/>
      <c r="Z461" s="571"/>
    </row>
    <row r="462" spans="1:26" ht="18.75">
      <c r="A462" s="601"/>
      <c r="B462" s="611"/>
      <c r="C462" s="611"/>
      <c r="D462" s="611" t="s">
        <v>204</v>
      </c>
      <c r="E462" s="619"/>
      <c r="F462" s="619"/>
      <c r="G462" s="753"/>
      <c r="H462" s="755" t="s">
        <v>46</v>
      </c>
      <c r="I462" s="269">
        <f ca="1">IFERROR(__xludf.DUMMYFUNCTION("IMPORTRANGE(""https://docs.google.com/spreadsheets/d/1QqKyyYR6Q21VydFLVH3TRQUabQu_ym0Zz7PgGX0-kHA/edit?usp=sharing"",""แผน!FO66"")"),100)</f>
        <v>100</v>
      </c>
      <c r="J462" s="214">
        <v>0</v>
      </c>
      <c r="K462" s="496">
        <f ca="1">IF(I462&gt;0,J462*100/I462,0)</f>
        <v>0</v>
      </c>
      <c r="L462" s="496"/>
      <c r="M462" s="496"/>
      <c r="N462" s="496"/>
      <c r="O462" s="496"/>
      <c r="P462" s="496"/>
      <c r="Q462" s="571"/>
      <c r="R462" s="571"/>
      <c r="S462" s="571"/>
      <c r="T462" s="571"/>
      <c r="U462" s="571"/>
      <c r="V462" s="571"/>
      <c r="W462" s="571"/>
      <c r="X462" s="571"/>
      <c r="Y462" s="571"/>
      <c r="Z462" s="571"/>
    </row>
    <row r="463" spans="1:26" ht="18.75">
      <c r="A463" s="601"/>
      <c r="B463" s="611"/>
      <c r="C463" s="611"/>
      <c r="D463" s="611" t="s">
        <v>59</v>
      </c>
      <c r="E463" s="619"/>
      <c r="F463" s="754"/>
      <c r="G463" s="189"/>
      <c r="H463" s="755" t="s">
        <v>46</v>
      </c>
      <c r="I463" s="269">
        <f ca="1">IFERROR(__xludf.DUMMYFUNCTION("IMPORTRANGE(""https://docs.google.com/spreadsheets/d/1QqKyyYR6Q21VydFLVH3TRQUabQu_ym0Zz7PgGX0-kHA/edit?usp=sharing"",""แผน!FO66"")"),100)</f>
        <v>100</v>
      </c>
      <c r="J463" s="214">
        <v>0</v>
      </c>
      <c r="K463" s="496"/>
      <c r="L463" s="496"/>
      <c r="M463" s="496"/>
      <c r="N463" s="496"/>
      <c r="O463" s="496"/>
      <c r="P463" s="496"/>
      <c r="Q463" s="571"/>
      <c r="R463" s="571"/>
      <c r="S463" s="571"/>
      <c r="T463" s="571"/>
      <c r="U463" s="571"/>
      <c r="V463" s="571"/>
      <c r="W463" s="571"/>
      <c r="X463" s="571"/>
      <c r="Y463" s="571"/>
      <c r="Z463" s="571"/>
    </row>
    <row r="464" spans="1:26" ht="19.5">
      <c r="A464" s="601"/>
      <c r="B464" s="611"/>
      <c r="C464" s="611"/>
      <c r="D464" s="611"/>
      <c r="E464" s="619"/>
      <c r="F464" s="619"/>
      <c r="G464" s="613"/>
      <c r="H464" s="755" t="s">
        <v>35</v>
      </c>
      <c r="I464" s="269">
        <f ca="1">IFERROR(__xludf.DUMMYFUNCTION("IMPORTRANGE(""https://docs.google.com/spreadsheets/d/1QqKyyYR6Q21VydFLVH3TRQUabQu_ym0Zz7PgGX0-kHA/edit?usp=sharing"",""แผน!FN66"")"),30)</f>
        <v>30</v>
      </c>
      <c r="J464" s="214">
        <v>0</v>
      </c>
      <c r="K464" s="496"/>
      <c r="L464" s="496"/>
      <c r="M464" s="496"/>
      <c r="N464" s="496"/>
      <c r="O464" s="496"/>
      <c r="P464" s="496"/>
      <c r="Q464" s="571"/>
      <c r="R464" s="571"/>
      <c r="S464" s="571"/>
      <c r="T464" s="571"/>
      <c r="U464" s="571"/>
      <c r="V464" s="571"/>
      <c r="W464" s="571"/>
      <c r="X464" s="571"/>
      <c r="Y464" s="571"/>
      <c r="Z464" s="571"/>
    </row>
    <row r="465" spans="1:26" ht="19.5">
      <c r="A465" s="578">
        <v>3</v>
      </c>
      <c r="B465" s="579" t="s">
        <v>205</v>
      </c>
      <c r="C465" s="580"/>
      <c r="D465" s="580"/>
      <c r="E465" s="580"/>
      <c r="F465" s="580"/>
      <c r="G465" s="581"/>
      <c r="H465" s="582" t="s">
        <v>35</v>
      </c>
      <c r="I465" s="583">
        <f ca="1">IFERROR(__xludf.DUMMYFUNCTION("IMPORTRANGE(""https://docs.google.com/spreadsheets/d/1QqKyyYR6Q21VydFLVH3TRQUabQu_ym0Zz7PgGX0-kHA/edit?usp=sharing"",""แผน!FX66"")"),21)</f>
        <v>21</v>
      </c>
      <c r="J465" s="583">
        <f>J485+J489+J492</f>
        <v>0</v>
      </c>
      <c r="K465" s="584">
        <f t="shared" ref="K465:K466" ca="1" si="205">IF(I465&gt;0,J465*100/I465,0)</f>
        <v>0</v>
      </c>
      <c r="L465" s="585"/>
      <c r="M465" s="585"/>
      <c r="N465" s="585"/>
      <c r="O465" s="585"/>
      <c r="P465" s="585"/>
      <c r="Q465" s="571"/>
      <c r="R465" s="571"/>
      <c r="S465" s="571"/>
      <c r="T465" s="571"/>
      <c r="U465" s="571"/>
      <c r="V465" s="571"/>
      <c r="W465" s="571"/>
      <c r="X465" s="571"/>
      <c r="Y465" s="571"/>
      <c r="Z465" s="571"/>
    </row>
    <row r="466" spans="1:26" ht="19.5">
      <c r="A466" s="586"/>
      <c r="B466" s="587"/>
      <c r="C466" s="588"/>
      <c r="D466" s="588"/>
      <c r="E466" s="588"/>
      <c r="F466" s="588"/>
      <c r="G466" s="589"/>
      <c r="H466" s="562" t="s">
        <v>46</v>
      </c>
      <c r="I466" s="563">
        <f ca="1">IFERROR(__xludf.DUMMYFUNCTION("IMPORTRANGE(""https://docs.google.com/spreadsheets/d/1QqKyyYR6Q21VydFLVH3TRQUabQu_ym0Zz7PgGX0-kHA/edit?usp=sharing"",""แผน!FW66"")"),200)</f>
        <v>200</v>
      </c>
      <c r="J466" s="563">
        <f>J483+J487</f>
        <v>0</v>
      </c>
      <c r="K466" s="564">
        <f t="shared" ca="1" si="205"/>
        <v>0</v>
      </c>
      <c r="L466" s="565"/>
      <c r="M466" s="565"/>
      <c r="N466" s="565"/>
      <c r="O466" s="565"/>
      <c r="P466" s="565"/>
      <c r="Q466" s="571"/>
      <c r="R466" s="571"/>
      <c r="S466" s="571"/>
      <c r="T466" s="571"/>
      <c r="U466" s="571"/>
      <c r="V466" s="571"/>
      <c r="W466" s="571"/>
      <c r="X466" s="571"/>
      <c r="Y466" s="571"/>
      <c r="Z466" s="571"/>
    </row>
    <row r="467" spans="1:26" ht="19.5">
      <c r="A467" s="590"/>
      <c r="B467" s="754"/>
      <c r="C467" s="754" t="s">
        <v>16</v>
      </c>
      <c r="D467" s="863" t="s">
        <v>17</v>
      </c>
      <c r="E467" s="857"/>
      <c r="F467" s="857"/>
      <c r="G467" s="189"/>
      <c r="H467" s="591" t="s">
        <v>12</v>
      </c>
      <c r="I467" s="269"/>
      <c r="J467" s="269"/>
      <c r="K467" s="496"/>
      <c r="L467" s="195">
        <f t="shared" ref="L467:N467" ca="1" si="206">L468+L469</f>
        <v>174403</v>
      </c>
      <c r="M467" s="195">
        <f t="shared" si="206"/>
        <v>0</v>
      </c>
      <c r="N467" s="195">
        <f t="shared" si="206"/>
        <v>4468</v>
      </c>
      <c r="O467" s="195">
        <f t="shared" ref="O467:O472" ca="1" si="207">IF(L467&gt;0,N467*100/L467,0)</f>
        <v>2.5618825364242586</v>
      </c>
      <c r="P467" s="195">
        <f t="shared" ref="P467:P472" si="208">IF(M467&gt;0,N467*100/M467,0)</f>
        <v>0</v>
      </c>
      <c r="Q467" s="571"/>
      <c r="R467" s="571"/>
      <c r="S467" s="571"/>
      <c r="T467" s="571"/>
      <c r="U467" s="571"/>
      <c r="V467" s="571"/>
      <c r="W467" s="571"/>
      <c r="X467" s="571"/>
      <c r="Y467" s="571"/>
      <c r="Z467" s="571"/>
    </row>
    <row r="468" spans="1:26" ht="18.75" hidden="1">
      <c r="A468" s="592"/>
      <c r="B468" s="750"/>
      <c r="C468" s="750"/>
      <c r="D468" s="711"/>
      <c r="E468" s="750" t="s">
        <v>184</v>
      </c>
      <c r="F468" s="750"/>
      <c r="G468" s="596"/>
      <c r="H468" s="165" t="s">
        <v>12</v>
      </c>
      <c r="I468" s="610"/>
      <c r="J468" s="610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597"/>
      <c r="R468" s="597"/>
      <c r="S468" s="597"/>
      <c r="T468" s="597"/>
      <c r="U468" s="597"/>
      <c r="V468" s="597"/>
      <c r="W468" s="597"/>
      <c r="X468" s="597"/>
      <c r="Y468" s="597"/>
      <c r="Z468" s="597"/>
    </row>
    <row r="469" spans="1:26" ht="18.75" hidden="1">
      <c r="A469" s="592"/>
      <c r="B469" s="600"/>
      <c r="C469" s="750"/>
      <c r="D469" s="711"/>
      <c r="E469" s="750" t="s">
        <v>185</v>
      </c>
      <c r="F469" s="750"/>
      <c r="G469" s="596"/>
      <c r="H469" s="165" t="s">
        <v>12</v>
      </c>
      <c r="I469" s="610"/>
      <c r="J469" s="610"/>
      <c r="K469" s="93"/>
      <c r="L469" s="93">
        <f t="shared" ca="1" si="209"/>
        <v>174403</v>
      </c>
      <c r="M469" s="93">
        <f t="shared" si="209"/>
        <v>0</v>
      </c>
      <c r="N469" s="93">
        <f t="shared" si="209"/>
        <v>4468</v>
      </c>
      <c r="O469" s="93">
        <f t="shared" ca="1" si="207"/>
        <v>2.5618825364242586</v>
      </c>
      <c r="P469" s="93">
        <f t="shared" si="208"/>
        <v>0</v>
      </c>
      <c r="Q469" s="597"/>
      <c r="R469" s="597"/>
      <c r="S469" s="597"/>
      <c r="T469" s="597"/>
      <c r="U469" s="597"/>
      <c r="V469" s="597"/>
      <c r="W469" s="597"/>
      <c r="X469" s="597"/>
      <c r="Y469" s="597"/>
      <c r="Z469" s="597"/>
    </row>
    <row r="470" spans="1:26" ht="18.75">
      <c r="A470" s="590"/>
      <c r="B470" s="568"/>
      <c r="C470" s="754"/>
      <c r="D470" s="599" t="s">
        <v>20</v>
      </c>
      <c r="E470" s="754"/>
      <c r="F470" s="754"/>
      <c r="G470" s="189"/>
      <c r="H470" s="161" t="s">
        <v>12</v>
      </c>
      <c r="I470" s="184"/>
      <c r="J470" s="184"/>
      <c r="K470" s="163"/>
      <c r="L470" s="496">
        <f t="shared" ref="L470:N470" ca="1" si="210">L471+L472</f>
        <v>174403</v>
      </c>
      <c r="M470" s="496">
        <f t="shared" si="210"/>
        <v>0</v>
      </c>
      <c r="N470" s="496">
        <f t="shared" si="210"/>
        <v>4468</v>
      </c>
      <c r="O470" s="496">
        <f t="shared" ca="1" si="207"/>
        <v>2.5618825364242586</v>
      </c>
      <c r="P470" s="496">
        <f t="shared" si="208"/>
        <v>0</v>
      </c>
      <c r="Q470" s="571"/>
      <c r="R470" s="571"/>
      <c r="S470" s="571"/>
      <c r="T470" s="571"/>
      <c r="U470" s="571"/>
      <c r="V470" s="571"/>
      <c r="W470" s="571"/>
      <c r="X470" s="571"/>
      <c r="Y470" s="571"/>
      <c r="Z470" s="571"/>
    </row>
    <row r="471" spans="1:26" ht="18.75" hidden="1">
      <c r="A471" s="592"/>
      <c r="B471" s="600"/>
      <c r="C471" s="750"/>
      <c r="D471" s="711"/>
      <c r="E471" s="750" t="s">
        <v>184</v>
      </c>
      <c r="F471" s="750"/>
      <c r="G471" s="596"/>
      <c r="H471" s="165" t="s">
        <v>12</v>
      </c>
      <c r="I471" s="610"/>
      <c r="J471" s="610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597"/>
      <c r="R471" s="597"/>
      <c r="S471" s="597"/>
      <c r="T471" s="597"/>
      <c r="U471" s="597"/>
      <c r="V471" s="597"/>
      <c r="W471" s="597"/>
      <c r="X471" s="597"/>
      <c r="Y471" s="597"/>
      <c r="Z471" s="597"/>
    </row>
    <row r="472" spans="1:26" ht="18.75" hidden="1">
      <c r="A472" s="592"/>
      <c r="B472" s="600"/>
      <c r="C472" s="750"/>
      <c r="D472" s="711"/>
      <c r="E472" s="750" t="s">
        <v>185</v>
      </c>
      <c r="F472" s="750"/>
      <c r="G472" s="596"/>
      <c r="H472" s="165" t="s">
        <v>12</v>
      </c>
      <c r="I472" s="610"/>
      <c r="J472" s="610"/>
      <c r="K472" s="93"/>
      <c r="L472" s="93">
        <f ca="1">IFERROR(__xludf.DUMMYFUNCTION("IMPORTRANGE(""https://docs.google.com/spreadsheets/d/1QqKyyYR6Q21VydFLVH3TRQUabQu_ym0Zz7PgGX0-kHA/edit?usp=sharing"",""แผน!FS66"")"),174403)</f>
        <v>174403</v>
      </c>
      <c r="M472" s="93">
        <v>0</v>
      </c>
      <c r="N472" s="93">
        <f>N473+N474+N475+N476</f>
        <v>4468</v>
      </c>
      <c r="O472" s="93">
        <f t="shared" ca="1" si="207"/>
        <v>2.5618825364242586</v>
      </c>
      <c r="P472" s="93">
        <f t="shared" si="208"/>
        <v>0</v>
      </c>
      <c r="Q472" s="597"/>
      <c r="R472" s="597"/>
      <c r="S472" s="597"/>
      <c r="T472" s="597"/>
      <c r="U472" s="597"/>
      <c r="V472" s="597"/>
      <c r="W472" s="597"/>
      <c r="X472" s="597"/>
      <c r="Y472" s="597"/>
      <c r="Z472" s="597"/>
    </row>
    <row r="473" spans="1:26" ht="18.75">
      <c r="A473" s="567"/>
      <c r="B473" s="568"/>
      <c r="C473" s="754"/>
      <c r="D473" s="754"/>
      <c r="E473" s="754"/>
      <c r="F473" s="754" t="s">
        <v>186</v>
      </c>
      <c r="G473" s="189"/>
      <c r="H473" s="161" t="s">
        <v>12</v>
      </c>
      <c r="I473" s="269"/>
      <c r="J473" s="269"/>
      <c r="K473" s="496"/>
      <c r="L473" s="496"/>
      <c r="M473" s="496"/>
      <c r="N473" s="817">
        <v>0</v>
      </c>
      <c r="O473" s="496"/>
      <c r="P473" s="496"/>
      <c r="Q473" s="571"/>
      <c r="R473" s="571"/>
      <c r="S473" s="571"/>
      <c r="T473" s="571"/>
      <c r="U473" s="571"/>
      <c r="V473" s="571"/>
      <c r="W473" s="571"/>
      <c r="X473" s="571"/>
      <c r="Y473" s="571"/>
      <c r="Z473" s="571"/>
    </row>
    <row r="474" spans="1:26" ht="18.75">
      <c r="A474" s="567"/>
      <c r="B474" s="568"/>
      <c r="C474" s="754"/>
      <c r="D474" s="754"/>
      <c r="E474" s="754"/>
      <c r="F474" s="754" t="s">
        <v>187</v>
      </c>
      <c r="G474" s="189"/>
      <c r="H474" s="161" t="s">
        <v>12</v>
      </c>
      <c r="I474" s="269"/>
      <c r="J474" s="269"/>
      <c r="K474" s="496"/>
      <c r="L474" s="496"/>
      <c r="M474" s="496"/>
      <c r="N474" s="817">
        <v>0</v>
      </c>
      <c r="O474" s="496"/>
      <c r="P474" s="496"/>
      <c r="Q474" s="571"/>
      <c r="R474" s="571"/>
      <c r="S474" s="571"/>
      <c r="T474" s="571"/>
      <c r="U474" s="571"/>
      <c r="V474" s="571"/>
      <c r="W474" s="571"/>
      <c r="X474" s="571"/>
      <c r="Y474" s="571"/>
      <c r="Z474" s="571"/>
    </row>
    <row r="475" spans="1:26" ht="18.75">
      <c r="A475" s="567"/>
      <c r="B475" s="568"/>
      <c r="C475" s="568"/>
      <c r="D475" s="568"/>
      <c r="E475" s="568"/>
      <c r="F475" s="754" t="s">
        <v>188</v>
      </c>
      <c r="G475" s="189"/>
      <c r="H475" s="161" t="s">
        <v>12</v>
      </c>
      <c r="I475" s="269"/>
      <c r="J475" s="269"/>
      <c r="K475" s="496"/>
      <c r="L475" s="496"/>
      <c r="M475" s="496"/>
      <c r="N475" s="817">
        <v>0</v>
      </c>
      <c r="O475" s="496"/>
      <c r="P475" s="496"/>
      <c r="Q475" s="571"/>
      <c r="R475" s="571"/>
      <c r="S475" s="571"/>
      <c r="T475" s="571"/>
      <c r="U475" s="571"/>
      <c r="V475" s="571"/>
      <c r="W475" s="571"/>
      <c r="X475" s="571"/>
      <c r="Y475" s="571"/>
      <c r="Z475" s="571"/>
    </row>
    <row r="476" spans="1:26" ht="18.75">
      <c r="A476" s="567"/>
      <c r="B476" s="568"/>
      <c r="C476" s="568"/>
      <c r="D476" s="568"/>
      <c r="E476" s="568"/>
      <c r="F476" s="754" t="s">
        <v>189</v>
      </c>
      <c r="G476" s="189"/>
      <c r="H476" s="161" t="s">
        <v>12</v>
      </c>
      <c r="I476" s="269"/>
      <c r="J476" s="269"/>
      <c r="K476" s="496"/>
      <c r="L476" s="496"/>
      <c r="M476" s="496"/>
      <c r="N476" s="817">
        <v>4468</v>
      </c>
      <c r="O476" s="496"/>
      <c r="P476" s="496"/>
      <c r="Q476" s="571"/>
      <c r="R476" s="571"/>
      <c r="S476" s="571"/>
      <c r="T476" s="571"/>
      <c r="U476" s="571"/>
      <c r="V476" s="571"/>
      <c r="W476" s="571"/>
      <c r="X476" s="571"/>
      <c r="Y476" s="571"/>
      <c r="Z476" s="571"/>
    </row>
    <row r="477" spans="1:26" ht="18.75">
      <c r="A477" s="590"/>
      <c r="B477" s="568"/>
      <c r="C477" s="568"/>
      <c r="D477" s="599" t="s">
        <v>21</v>
      </c>
      <c r="E477" s="568"/>
      <c r="F477" s="568"/>
      <c r="G477" s="189"/>
      <c r="H477" s="168" t="s">
        <v>12</v>
      </c>
      <c r="I477" s="184"/>
      <c r="J477" s="184"/>
      <c r="K477" s="163"/>
      <c r="L477" s="496">
        <f t="shared" ref="L477:N477" ca="1" si="211">L478+L479</f>
        <v>0</v>
      </c>
      <c r="M477" s="496">
        <f t="shared" si="211"/>
        <v>0</v>
      </c>
      <c r="N477" s="496">
        <f t="shared" si="211"/>
        <v>0</v>
      </c>
      <c r="O477" s="496">
        <f t="shared" ref="O477:O479" ca="1" si="212">IF(L477&gt;0,N477*100/L477,0)</f>
        <v>0</v>
      </c>
      <c r="P477" s="496">
        <f t="shared" ref="P477:P479" si="213">IF(M477&gt;0,N477*100/M477,0)</f>
        <v>0</v>
      </c>
      <c r="Q477" s="571"/>
      <c r="R477" s="571"/>
      <c r="S477" s="571"/>
      <c r="T477" s="571"/>
      <c r="U477" s="571"/>
      <c r="V477" s="571"/>
      <c r="W477" s="571"/>
      <c r="X477" s="571"/>
      <c r="Y477" s="571"/>
      <c r="Z477" s="571"/>
    </row>
    <row r="478" spans="1:26" ht="18.75" hidden="1">
      <c r="A478" s="592"/>
      <c r="B478" s="600"/>
      <c r="C478" s="600"/>
      <c r="D478" s="600"/>
      <c r="E478" s="600" t="s">
        <v>18</v>
      </c>
      <c r="F478" s="600"/>
      <c r="G478" s="596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597"/>
      <c r="R478" s="597"/>
      <c r="S478" s="597"/>
      <c r="T478" s="597"/>
      <c r="U478" s="597"/>
      <c r="V478" s="597"/>
      <c r="W478" s="597"/>
      <c r="X478" s="597"/>
      <c r="Y478" s="597"/>
      <c r="Z478" s="597"/>
    </row>
    <row r="479" spans="1:26" ht="18.75" hidden="1">
      <c r="A479" s="592"/>
      <c r="B479" s="600"/>
      <c r="C479" s="600"/>
      <c r="D479" s="600"/>
      <c r="E479" s="600" t="s">
        <v>19</v>
      </c>
      <c r="F479" s="600"/>
      <c r="G479" s="596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IFERROR(__xludf.DUMMYFUNCTION("IMPORTRANGE(""https://docs.google.com/spreadsheets/d/1QqKyyYR6Q21VydFLVH3TRQUabQu_ym0Zz7PgGX0-kHA/edit?usp=sharing"",""แผน!FV66"")"),0)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597"/>
      <c r="R479" s="597"/>
      <c r="S479" s="597"/>
      <c r="T479" s="597"/>
      <c r="U479" s="597"/>
      <c r="V479" s="597"/>
      <c r="W479" s="597"/>
      <c r="X479" s="597"/>
      <c r="Y479" s="597"/>
      <c r="Z479" s="597"/>
    </row>
    <row r="480" spans="1:26" ht="19.5">
      <c r="A480" s="601"/>
      <c r="B480" s="611"/>
      <c r="C480" s="568" t="s">
        <v>16</v>
      </c>
      <c r="D480" s="837" t="s">
        <v>38</v>
      </c>
      <c r="E480" s="604"/>
      <c r="F480" s="752"/>
      <c r="G480" s="606"/>
      <c r="H480" s="753"/>
      <c r="I480" s="269"/>
      <c r="J480" s="269"/>
      <c r="K480" s="496"/>
      <c r="L480" s="496"/>
      <c r="M480" s="496"/>
      <c r="N480" s="496"/>
      <c r="O480" s="496"/>
      <c r="P480" s="496"/>
      <c r="Q480" s="571"/>
      <c r="R480" s="571"/>
      <c r="S480" s="571"/>
      <c r="T480" s="571"/>
      <c r="U480" s="571"/>
      <c r="V480" s="571"/>
      <c r="W480" s="571"/>
      <c r="X480" s="571"/>
      <c r="Y480" s="571"/>
      <c r="Z480" s="571"/>
    </row>
    <row r="481" spans="1:26" ht="19.5">
      <c r="A481" s="601"/>
      <c r="B481" s="611"/>
      <c r="C481" s="611"/>
      <c r="D481" s="618" t="s">
        <v>206</v>
      </c>
      <c r="E481" s="611"/>
      <c r="F481" s="611"/>
      <c r="G481" s="753"/>
      <c r="H481" s="189"/>
      <c r="I481" s="269"/>
      <c r="J481" s="269"/>
      <c r="K481" s="496"/>
      <c r="L481" s="496"/>
      <c r="M481" s="496"/>
      <c r="N481" s="496"/>
      <c r="O481" s="496"/>
      <c r="P481" s="496"/>
      <c r="Q481" s="571"/>
      <c r="R481" s="571"/>
      <c r="S481" s="571"/>
      <c r="T481" s="571"/>
      <c r="U481" s="571"/>
      <c r="V481" s="571"/>
      <c r="W481" s="571"/>
      <c r="X481" s="571"/>
      <c r="Y481" s="571"/>
      <c r="Z481" s="571"/>
    </row>
    <row r="482" spans="1:26" ht="18.75">
      <c r="A482" s="601"/>
      <c r="B482" s="611"/>
      <c r="C482" s="611"/>
      <c r="D482" s="611"/>
      <c r="E482" s="611" t="s">
        <v>207</v>
      </c>
      <c r="F482" s="611"/>
      <c r="G482" s="753"/>
      <c r="H482" s="189"/>
      <c r="I482" s="269"/>
      <c r="J482" s="269"/>
      <c r="K482" s="496"/>
      <c r="L482" s="496"/>
      <c r="M482" s="496"/>
      <c r="N482" s="496"/>
      <c r="O482" s="496"/>
      <c r="P482" s="496"/>
      <c r="Q482" s="571"/>
      <c r="R482" s="571"/>
      <c r="S482" s="571"/>
      <c r="T482" s="571"/>
      <c r="U482" s="571"/>
      <c r="V482" s="571"/>
      <c r="W482" s="571"/>
      <c r="X482" s="571"/>
      <c r="Y482" s="571"/>
      <c r="Z482" s="571"/>
    </row>
    <row r="483" spans="1:26" ht="18.75">
      <c r="A483" s="601"/>
      <c r="B483" s="611"/>
      <c r="C483" s="611"/>
      <c r="D483" s="611"/>
      <c r="E483" s="611"/>
      <c r="F483" s="611" t="s">
        <v>208</v>
      </c>
      <c r="G483" s="753"/>
      <c r="H483" s="616" t="s">
        <v>46</v>
      </c>
      <c r="I483" s="269">
        <f ca="1">IFERROR(__xludf.DUMMYFUNCTION("IMPORTRANGE(""https://docs.google.com/spreadsheets/d/1QqKyyYR6Q21VydFLVH3TRQUabQu_ym0Zz7PgGX0-kHA/edit?usp=sharing"",""แผน!FY66"")"),180)</f>
        <v>180</v>
      </c>
      <c r="J483" s="214">
        <v>0</v>
      </c>
      <c r="K483" s="496">
        <f ca="1">IF(I483&gt;0,J483*100/I483,0)</f>
        <v>0</v>
      </c>
      <c r="L483" s="496"/>
      <c r="M483" s="496"/>
      <c r="N483" s="496"/>
      <c r="O483" s="496"/>
      <c r="P483" s="496"/>
      <c r="Q483" s="571"/>
      <c r="R483" s="571"/>
      <c r="S483" s="571"/>
      <c r="T483" s="571"/>
      <c r="U483" s="571"/>
      <c r="V483" s="571"/>
      <c r="W483" s="571"/>
      <c r="X483" s="571"/>
      <c r="Y483" s="571"/>
      <c r="Z483" s="571"/>
    </row>
    <row r="484" spans="1:26" ht="18.75">
      <c r="A484" s="601"/>
      <c r="B484" s="611"/>
      <c r="C484" s="611"/>
      <c r="D484" s="611"/>
      <c r="E484" s="611"/>
      <c r="F484" s="611" t="s">
        <v>209</v>
      </c>
      <c r="G484" s="753"/>
      <c r="H484" s="616" t="s">
        <v>35</v>
      </c>
      <c r="I484" s="269"/>
      <c r="J484" s="214">
        <v>0</v>
      </c>
      <c r="K484" s="496"/>
      <c r="L484" s="496"/>
      <c r="M484" s="496"/>
      <c r="N484" s="496"/>
      <c r="O484" s="496"/>
      <c r="P484" s="496"/>
      <c r="Q484" s="571"/>
      <c r="R484" s="571"/>
      <c r="S484" s="571"/>
      <c r="T484" s="571"/>
      <c r="U484" s="571"/>
      <c r="V484" s="571"/>
      <c r="W484" s="571"/>
      <c r="X484" s="571"/>
      <c r="Y484" s="571"/>
      <c r="Z484" s="571"/>
    </row>
    <row r="485" spans="1:26" ht="18.75">
      <c r="A485" s="601"/>
      <c r="B485" s="611"/>
      <c r="C485" s="611"/>
      <c r="D485" s="611"/>
      <c r="E485" s="611"/>
      <c r="F485" s="611" t="s">
        <v>210</v>
      </c>
      <c r="G485" s="753"/>
      <c r="H485" s="616" t="s">
        <v>35</v>
      </c>
      <c r="I485" s="269">
        <f ca="1">IFERROR(__xludf.DUMMYFUNCTION("IMPORTRANGE(""https://docs.google.com/spreadsheets/d/1QqKyyYR6Q21VydFLVH3TRQUabQu_ym0Zz7PgGX0-kHA/edit?usp=sharing"",""แผน!FZ66"")"),18)</f>
        <v>18</v>
      </c>
      <c r="J485" s="214">
        <v>0</v>
      </c>
      <c r="K485" s="496">
        <f ca="1">IF(I485&gt;0,J485*100/I485,0)</f>
        <v>0</v>
      </c>
      <c r="L485" s="496"/>
      <c r="M485" s="496"/>
      <c r="N485" s="496"/>
      <c r="O485" s="496"/>
      <c r="P485" s="496"/>
      <c r="Q485" s="571"/>
      <c r="R485" s="571"/>
      <c r="S485" s="571"/>
      <c r="T485" s="571"/>
      <c r="U485" s="571"/>
      <c r="V485" s="571"/>
      <c r="W485" s="571"/>
      <c r="X485" s="571"/>
      <c r="Y485" s="571"/>
      <c r="Z485" s="571"/>
    </row>
    <row r="486" spans="1:26" ht="18.75">
      <c r="A486" s="601"/>
      <c r="B486" s="611"/>
      <c r="C486" s="611"/>
      <c r="D486" s="611"/>
      <c r="E486" s="611" t="s">
        <v>62</v>
      </c>
      <c r="F486" s="611"/>
      <c r="G486" s="753"/>
      <c r="H486" s="616"/>
      <c r="I486" s="269"/>
      <c r="J486" s="269"/>
      <c r="K486" s="496"/>
      <c r="L486" s="496"/>
      <c r="M486" s="496"/>
      <c r="N486" s="496"/>
      <c r="O486" s="496"/>
      <c r="P486" s="496"/>
      <c r="Q486" s="571"/>
      <c r="R486" s="571"/>
      <c r="S486" s="571"/>
      <c r="T486" s="571"/>
      <c r="U486" s="571"/>
      <c r="V486" s="571"/>
      <c r="W486" s="571"/>
      <c r="X486" s="571"/>
      <c r="Y486" s="571"/>
      <c r="Z486" s="571"/>
    </row>
    <row r="487" spans="1:26" ht="18.75">
      <c r="A487" s="601"/>
      <c r="B487" s="611"/>
      <c r="C487" s="611"/>
      <c r="D487" s="611"/>
      <c r="E487" s="611"/>
      <c r="F487" s="611" t="s">
        <v>208</v>
      </c>
      <c r="G487" s="753"/>
      <c r="H487" s="616" t="s">
        <v>46</v>
      </c>
      <c r="I487" s="269">
        <f ca="1">IFERROR(__xludf.DUMMYFUNCTION("IMPORTRANGE(""https://docs.google.com/spreadsheets/d/1QqKyyYR6Q21VydFLVH3TRQUabQu_ym0Zz7PgGX0-kHA/edit?usp=sharing"",""แผน!GA66"")"),20)</f>
        <v>20</v>
      </c>
      <c r="J487" s="214">
        <v>0</v>
      </c>
      <c r="K487" s="496">
        <f ca="1">IF(I487&gt;0,J487*100/I487,0)</f>
        <v>0</v>
      </c>
      <c r="L487" s="496"/>
      <c r="M487" s="496"/>
      <c r="N487" s="496"/>
      <c r="O487" s="496"/>
      <c r="P487" s="496"/>
      <c r="Q487" s="571"/>
      <c r="R487" s="571"/>
      <c r="S487" s="571"/>
      <c r="T487" s="571"/>
      <c r="U487" s="571"/>
      <c r="V487" s="571"/>
      <c r="W487" s="571"/>
      <c r="X487" s="571"/>
      <c r="Y487" s="571"/>
      <c r="Z487" s="571"/>
    </row>
    <row r="488" spans="1:26" ht="18.75">
      <c r="A488" s="601"/>
      <c r="B488" s="611"/>
      <c r="C488" s="611"/>
      <c r="D488" s="611"/>
      <c r="E488" s="611"/>
      <c r="F488" s="611" t="s">
        <v>211</v>
      </c>
      <c r="G488" s="753"/>
      <c r="H488" s="616" t="s">
        <v>35</v>
      </c>
      <c r="I488" s="269"/>
      <c r="J488" s="214">
        <v>0</v>
      </c>
      <c r="K488" s="496"/>
      <c r="L488" s="496"/>
      <c r="M488" s="496"/>
      <c r="N488" s="496"/>
      <c r="O488" s="496"/>
      <c r="P488" s="496"/>
      <c r="Q488" s="571"/>
      <c r="R488" s="571"/>
      <c r="S488" s="571"/>
      <c r="T488" s="571"/>
      <c r="U488" s="571"/>
      <c r="V488" s="571"/>
      <c r="W488" s="571"/>
      <c r="X488" s="571"/>
      <c r="Y488" s="571"/>
      <c r="Z488" s="571"/>
    </row>
    <row r="489" spans="1:26" ht="18.75">
      <c r="A489" s="601"/>
      <c r="B489" s="611"/>
      <c r="C489" s="611"/>
      <c r="D489" s="611"/>
      <c r="E489" s="611"/>
      <c r="F489" s="611" t="s">
        <v>212</v>
      </c>
      <c r="G489" s="753"/>
      <c r="H489" s="616" t="s">
        <v>35</v>
      </c>
      <c r="I489" s="269">
        <f ca="1">IFERROR(__xludf.DUMMYFUNCTION("IMPORTRANGE(""https://docs.google.com/spreadsheets/d/1QqKyyYR6Q21VydFLVH3TRQUabQu_ym0Zz7PgGX0-kHA/edit?usp=sharing"",""แผน!GB66"")"),2)</f>
        <v>2</v>
      </c>
      <c r="J489" s="214">
        <v>0</v>
      </c>
      <c r="K489" s="496">
        <f ca="1">IF(I489&gt;0,J489*100/I489,0)</f>
        <v>0</v>
      </c>
      <c r="L489" s="496"/>
      <c r="M489" s="496"/>
      <c r="N489" s="496"/>
      <c r="O489" s="496"/>
      <c r="P489" s="496"/>
      <c r="Q489" s="571"/>
      <c r="R489" s="571"/>
      <c r="S489" s="571"/>
      <c r="T489" s="571"/>
      <c r="U489" s="571"/>
      <c r="V489" s="571"/>
      <c r="W489" s="571"/>
      <c r="X489" s="571"/>
      <c r="Y489" s="571"/>
      <c r="Z489" s="571"/>
    </row>
    <row r="490" spans="1:26" ht="18.75">
      <c r="A490" s="601"/>
      <c r="B490" s="611"/>
      <c r="C490" s="611"/>
      <c r="D490" s="611"/>
      <c r="E490" s="611" t="s">
        <v>63</v>
      </c>
      <c r="F490" s="619"/>
      <c r="G490" s="753"/>
      <c r="H490" s="616"/>
      <c r="I490" s="269"/>
      <c r="J490" s="269"/>
      <c r="K490" s="496"/>
      <c r="L490" s="496"/>
      <c r="M490" s="496"/>
      <c r="N490" s="496"/>
      <c r="O490" s="496"/>
      <c r="P490" s="496"/>
      <c r="Q490" s="571"/>
      <c r="R490" s="571"/>
      <c r="S490" s="571"/>
      <c r="T490" s="571"/>
      <c r="U490" s="571"/>
      <c r="V490" s="571"/>
      <c r="W490" s="571"/>
      <c r="X490" s="571"/>
      <c r="Y490" s="571"/>
      <c r="Z490" s="571"/>
    </row>
    <row r="491" spans="1:26" ht="18.75">
      <c r="A491" s="601"/>
      <c r="B491" s="611"/>
      <c r="C491" s="611"/>
      <c r="D491" s="611"/>
      <c r="E491" s="611"/>
      <c r="F491" s="611" t="s">
        <v>213</v>
      </c>
      <c r="G491" s="753"/>
      <c r="H491" s="616" t="s">
        <v>35</v>
      </c>
      <c r="I491" s="269"/>
      <c r="J491" s="214">
        <v>0</v>
      </c>
      <c r="K491" s="496"/>
      <c r="L491" s="496"/>
      <c r="M491" s="496"/>
      <c r="N491" s="496"/>
      <c r="O491" s="496"/>
      <c r="P491" s="496"/>
      <c r="Q491" s="571"/>
      <c r="R491" s="571"/>
      <c r="S491" s="571"/>
      <c r="T491" s="571"/>
      <c r="U491" s="571"/>
      <c r="V491" s="571"/>
      <c r="W491" s="571"/>
      <c r="X491" s="571"/>
      <c r="Y491" s="571"/>
      <c r="Z491" s="571"/>
    </row>
    <row r="492" spans="1:26" ht="18.75">
      <c r="A492" s="601"/>
      <c r="B492" s="611"/>
      <c r="C492" s="611"/>
      <c r="D492" s="611"/>
      <c r="E492" s="611"/>
      <c r="F492" s="611" t="s">
        <v>214</v>
      </c>
      <c r="G492" s="753"/>
      <c r="H492" s="616" t="s">
        <v>35</v>
      </c>
      <c r="I492" s="269">
        <f ca="1">IFERROR(__xludf.DUMMYFUNCTION("IMPORTRANGE(""https://docs.google.com/spreadsheets/d/1QqKyyYR6Q21VydFLVH3TRQUabQu_ym0Zz7PgGX0-kHA/edit?usp=sharing"",""แผน!GC66"")"),1)</f>
        <v>1</v>
      </c>
      <c r="J492" s="214">
        <v>0</v>
      </c>
      <c r="K492" s="496">
        <f ca="1">IF(I492&gt;0,J492*100/I492,0)</f>
        <v>0</v>
      </c>
      <c r="L492" s="496"/>
      <c r="M492" s="496"/>
      <c r="N492" s="496"/>
      <c r="O492" s="496"/>
      <c r="P492" s="496"/>
      <c r="Q492" s="571"/>
      <c r="R492" s="571"/>
      <c r="S492" s="571"/>
      <c r="T492" s="571"/>
      <c r="U492" s="571"/>
      <c r="V492" s="571"/>
      <c r="W492" s="571"/>
      <c r="X492" s="571"/>
      <c r="Y492" s="571"/>
      <c r="Z492" s="571"/>
    </row>
    <row r="493" spans="1:26" ht="19.5">
      <c r="A493" s="601"/>
      <c r="B493" s="611"/>
      <c r="C493" s="611"/>
      <c r="D493" s="618" t="s">
        <v>59</v>
      </c>
      <c r="E493" s="611"/>
      <c r="F493" s="619"/>
      <c r="G493" s="753"/>
      <c r="H493" s="189"/>
      <c r="I493" s="269"/>
      <c r="J493" s="269"/>
      <c r="K493" s="496"/>
      <c r="L493" s="496"/>
      <c r="M493" s="496"/>
      <c r="N493" s="496"/>
      <c r="O493" s="496"/>
      <c r="P493" s="496"/>
      <c r="Q493" s="571"/>
      <c r="R493" s="571"/>
      <c r="S493" s="571"/>
      <c r="T493" s="571"/>
      <c r="U493" s="571"/>
      <c r="V493" s="571"/>
      <c r="W493" s="571"/>
      <c r="X493" s="571"/>
      <c r="Y493" s="571"/>
      <c r="Z493" s="571"/>
    </row>
    <row r="494" spans="1:26" ht="18.75">
      <c r="A494" s="601"/>
      <c r="B494" s="611"/>
      <c r="C494" s="611"/>
      <c r="D494" s="611"/>
      <c r="E494" s="611" t="s">
        <v>207</v>
      </c>
      <c r="F494" s="619"/>
      <c r="G494" s="753"/>
      <c r="H494" s="189"/>
      <c r="I494" s="269"/>
      <c r="J494" s="269"/>
      <c r="K494" s="496"/>
      <c r="L494" s="496"/>
      <c r="M494" s="496"/>
      <c r="N494" s="496"/>
      <c r="O494" s="496"/>
      <c r="P494" s="496"/>
      <c r="Q494" s="571"/>
      <c r="R494" s="571"/>
      <c r="S494" s="571"/>
      <c r="T494" s="571"/>
      <c r="U494" s="571"/>
      <c r="V494" s="571"/>
      <c r="W494" s="571"/>
      <c r="X494" s="571"/>
      <c r="Y494" s="571"/>
      <c r="Z494" s="571"/>
    </row>
    <row r="495" spans="1:26" ht="18.75">
      <c r="A495" s="601"/>
      <c r="B495" s="611"/>
      <c r="C495" s="611"/>
      <c r="D495" s="611"/>
      <c r="E495" s="611"/>
      <c r="F495" s="619" t="s">
        <v>215</v>
      </c>
      <c r="G495" s="753"/>
      <c r="H495" s="616" t="s">
        <v>46</v>
      </c>
      <c r="I495" s="269">
        <f ca="1">IFERROR(__xludf.DUMMYFUNCTION("IMPORTRANGE(""https://docs.google.com/spreadsheets/d/1QqKyyYR6Q21VydFLVH3TRQUabQu_ym0Zz7PgGX0-kHA/edit?usp=sharing"",""แผน!FY66"")"),180)</f>
        <v>180</v>
      </c>
      <c r="J495" s="214">
        <v>0</v>
      </c>
      <c r="K495" s="496">
        <f ca="1">IF(I495&gt;0,J495*100/I495,0)</f>
        <v>0</v>
      </c>
      <c r="L495" s="496"/>
      <c r="M495" s="496"/>
      <c r="N495" s="496"/>
      <c r="O495" s="496"/>
      <c r="P495" s="496"/>
      <c r="Q495" s="571"/>
      <c r="R495" s="571"/>
      <c r="S495" s="571"/>
      <c r="T495" s="571"/>
      <c r="U495" s="571"/>
      <c r="V495" s="571"/>
      <c r="W495" s="571"/>
      <c r="X495" s="571"/>
      <c r="Y495" s="571"/>
      <c r="Z495" s="571"/>
    </row>
    <row r="496" spans="1:26" ht="18.75">
      <c r="A496" s="601"/>
      <c r="B496" s="611"/>
      <c r="C496" s="611"/>
      <c r="D496" s="611"/>
      <c r="E496" s="611"/>
      <c r="F496" s="619" t="s">
        <v>216</v>
      </c>
      <c r="G496" s="753"/>
      <c r="H496" s="616" t="s">
        <v>46</v>
      </c>
      <c r="I496" s="269"/>
      <c r="J496" s="214">
        <v>0</v>
      </c>
      <c r="K496" s="496"/>
      <c r="L496" s="496"/>
      <c r="M496" s="496"/>
      <c r="N496" s="496"/>
      <c r="O496" s="496"/>
      <c r="P496" s="496"/>
      <c r="Q496" s="571"/>
      <c r="R496" s="571"/>
      <c r="S496" s="571"/>
      <c r="T496" s="571"/>
      <c r="U496" s="571"/>
      <c r="V496" s="571"/>
      <c r="W496" s="571"/>
      <c r="X496" s="571"/>
      <c r="Y496" s="571"/>
      <c r="Z496" s="571"/>
    </row>
    <row r="497" spans="1:26" ht="18.75">
      <c r="A497" s="601"/>
      <c r="B497" s="611"/>
      <c r="C497" s="611"/>
      <c r="D497" s="611"/>
      <c r="E497" s="611" t="s">
        <v>62</v>
      </c>
      <c r="F497" s="619"/>
      <c r="G497" s="753"/>
      <c r="H497" s="189"/>
      <c r="I497" s="269"/>
      <c r="J497" s="269"/>
      <c r="K497" s="496"/>
      <c r="L497" s="496"/>
      <c r="M497" s="496"/>
      <c r="N497" s="496"/>
      <c r="O497" s="496"/>
      <c r="P497" s="496"/>
      <c r="Q497" s="571"/>
      <c r="R497" s="571"/>
      <c r="S497" s="571"/>
      <c r="T497" s="571"/>
      <c r="U497" s="571"/>
      <c r="V497" s="571"/>
      <c r="W497" s="571"/>
      <c r="X497" s="571"/>
      <c r="Y497" s="571"/>
      <c r="Z497" s="571"/>
    </row>
    <row r="498" spans="1:26" ht="18.75">
      <c r="A498" s="601"/>
      <c r="B498" s="611"/>
      <c r="C498" s="611"/>
      <c r="D498" s="611"/>
      <c r="E498" s="619"/>
      <c r="F498" s="619" t="s">
        <v>217</v>
      </c>
      <c r="G498" s="753"/>
      <c r="H498" s="616" t="s">
        <v>46</v>
      </c>
      <c r="I498" s="269">
        <f ca="1">IFERROR(__xludf.DUMMYFUNCTION("IMPORTRANGE(""https://docs.google.com/spreadsheets/d/1QqKyyYR6Q21VydFLVH3TRQUabQu_ym0Zz7PgGX0-kHA/edit?usp=sharing"",""แผน!GA66"")"),20)</f>
        <v>20</v>
      </c>
      <c r="J498" s="214">
        <v>0</v>
      </c>
      <c r="K498" s="496">
        <f ca="1">IF(I498&gt;0,J498*100/I498,0)</f>
        <v>0</v>
      </c>
      <c r="L498" s="496"/>
      <c r="M498" s="496"/>
      <c r="N498" s="496"/>
      <c r="O498" s="496"/>
      <c r="P498" s="496"/>
      <c r="Q498" s="571"/>
      <c r="R498" s="571"/>
      <c r="S498" s="571"/>
      <c r="T498" s="571"/>
      <c r="U498" s="571"/>
      <c r="V498" s="571"/>
      <c r="W498" s="571"/>
      <c r="X498" s="571"/>
      <c r="Y498" s="571"/>
      <c r="Z498" s="571"/>
    </row>
    <row r="499" spans="1:26" ht="18.75">
      <c r="A499" s="601"/>
      <c r="B499" s="611"/>
      <c r="C499" s="611"/>
      <c r="D499" s="611"/>
      <c r="E499" s="619"/>
      <c r="F499" s="619" t="s">
        <v>218</v>
      </c>
      <c r="G499" s="753"/>
      <c r="H499" s="616" t="s">
        <v>46</v>
      </c>
      <c r="I499" s="269"/>
      <c r="J499" s="214">
        <v>0</v>
      </c>
      <c r="K499" s="496"/>
      <c r="L499" s="496"/>
      <c r="M499" s="496"/>
      <c r="N499" s="496"/>
      <c r="O499" s="496"/>
      <c r="P499" s="496"/>
      <c r="Q499" s="571"/>
      <c r="R499" s="571"/>
      <c r="S499" s="571"/>
      <c r="T499" s="571"/>
      <c r="U499" s="571"/>
      <c r="V499" s="571"/>
      <c r="W499" s="571"/>
      <c r="X499" s="571"/>
      <c r="Y499" s="571"/>
      <c r="Z499" s="571"/>
    </row>
    <row r="500" spans="1:26" ht="19.5" hidden="1">
      <c r="A500" s="620">
        <v>4</v>
      </c>
      <c r="B500" s="621" t="s">
        <v>219</v>
      </c>
      <c r="C500" s="622"/>
      <c r="D500" s="623"/>
      <c r="E500" s="623"/>
      <c r="F500" s="623"/>
      <c r="G500" s="624"/>
      <c r="H500" s="625" t="s">
        <v>109</v>
      </c>
      <c r="I500" s="626"/>
      <c r="J500" s="626">
        <f t="shared" ref="J500:J501" si="214">J516</f>
        <v>0</v>
      </c>
      <c r="K500" s="627">
        <f t="shared" ref="K500:K501" si="215">IF(I500&gt;0,J500*100/I500,0)</f>
        <v>0</v>
      </c>
      <c r="L500" s="628"/>
      <c r="M500" s="628"/>
      <c r="N500" s="628"/>
      <c r="O500" s="628"/>
      <c r="P500" s="628"/>
      <c r="Q500" s="597"/>
      <c r="R500" s="597"/>
      <c r="S500" s="597"/>
      <c r="T500" s="597"/>
      <c r="U500" s="597"/>
      <c r="V500" s="597"/>
      <c r="W500" s="597"/>
      <c r="X500" s="597"/>
      <c r="Y500" s="597"/>
      <c r="Z500" s="597"/>
    </row>
    <row r="501" spans="1:26" ht="19.5" hidden="1">
      <c r="A501" s="629"/>
      <c r="B501" s="631" t="s">
        <v>220</v>
      </c>
      <c r="C501" s="631"/>
      <c r="D501" s="632"/>
      <c r="E501" s="632"/>
      <c r="F501" s="632"/>
      <c r="G501" s="633"/>
      <c r="H501" s="634" t="s">
        <v>35</v>
      </c>
      <c r="I501" s="635"/>
      <c r="J501" s="635">
        <f t="shared" si="214"/>
        <v>0</v>
      </c>
      <c r="K501" s="636">
        <f t="shared" si="215"/>
        <v>0</v>
      </c>
      <c r="L501" s="637"/>
      <c r="M501" s="637"/>
      <c r="N501" s="637"/>
      <c r="O501" s="637"/>
      <c r="P501" s="637"/>
      <c r="Q501" s="597"/>
      <c r="R501" s="597"/>
      <c r="S501" s="597"/>
      <c r="T501" s="597"/>
      <c r="U501" s="597"/>
      <c r="V501" s="597"/>
      <c r="W501" s="597"/>
      <c r="X501" s="597"/>
      <c r="Y501" s="597"/>
      <c r="Z501" s="597"/>
    </row>
    <row r="502" spans="1:26" ht="19.5" hidden="1">
      <c r="A502" s="592"/>
      <c r="B502" s="750"/>
      <c r="C502" s="750" t="s">
        <v>16</v>
      </c>
      <c r="D502" s="864" t="s">
        <v>17</v>
      </c>
      <c r="E502" s="857"/>
      <c r="F502" s="857"/>
      <c r="G502" s="596"/>
      <c r="H502" s="639" t="s">
        <v>12</v>
      </c>
      <c r="I502" s="610"/>
      <c r="J502" s="610"/>
      <c r="K502" s="93"/>
      <c r="L502" s="640">
        <f t="shared" ref="L502:N502" si="216">L503+L504</f>
        <v>0</v>
      </c>
      <c r="M502" s="640">
        <f t="shared" si="216"/>
        <v>0</v>
      </c>
      <c r="N502" s="640">
        <f t="shared" si="216"/>
        <v>0</v>
      </c>
      <c r="O502" s="640">
        <f t="shared" ref="O502:O507" si="217">IF(L502&gt;0,N502*100/L502,0)</f>
        <v>0</v>
      </c>
      <c r="P502" s="640">
        <f t="shared" ref="P502:P507" si="218">IF(M502&gt;0,N502*100/M502,0)</f>
        <v>0</v>
      </c>
      <c r="Q502" s="597"/>
      <c r="R502" s="597"/>
      <c r="S502" s="597"/>
      <c r="T502" s="597"/>
      <c r="U502" s="597"/>
      <c r="V502" s="597"/>
      <c r="W502" s="597"/>
      <c r="X502" s="597"/>
      <c r="Y502" s="597"/>
      <c r="Z502" s="597"/>
    </row>
    <row r="503" spans="1:26" ht="18.75" hidden="1">
      <c r="A503" s="592"/>
      <c r="B503" s="750"/>
      <c r="C503" s="750"/>
      <c r="D503" s="711"/>
      <c r="E503" s="750" t="s">
        <v>184</v>
      </c>
      <c r="F503" s="750"/>
      <c r="G503" s="596"/>
      <c r="H503" s="165" t="s">
        <v>12</v>
      </c>
      <c r="I503" s="610"/>
      <c r="J503" s="610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597"/>
      <c r="R503" s="597"/>
      <c r="S503" s="597"/>
      <c r="T503" s="597"/>
      <c r="U503" s="597"/>
      <c r="V503" s="597"/>
      <c r="W503" s="597"/>
      <c r="X503" s="597"/>
      <c r="Y503" s="597"/>
      <c r="Z503" s="597"/>
    </row>
    <row r="504" spans="1:26" ht="18.75" hidden="1">
      <c r="A504" s="592"/>
      <c r="B504" s="600"/>
      <c r="C504" s="750"/>
      <c r="D504" s="711"/>
      <c r="E504" s="750" t="s">
        <v>185</v>
      </c>
      <c r="F504" s="750"/>
      <c r="G504" s="596"/>
      <c r="H504" s="165" t="s">
        <v>12</v>
      </c>
      <c r="I504" s="610"/>
      <c r="J504" s="610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597"/>
      <c r="R504" s="597"/>
      <c r="S504" s="597"/>
      <c r="T504" s="597"/>
      <c r="U504" s="597"/>
      <c r="V504" s="597"/>
      <c r="W504" s="597"/>
      <c r="X504" s="597"/>
      <c r="Y504" s="597"/>
      <c r="Z504" s="597"/>
    </row>
    <row r="505" spans="1:26" ht="18.75" hidden="1">
      <c r="A505" s="592"/>
      <c r="B505" s="600"/>
      <c r="C505" s="750"/>
      <c r="D505" s="641" t="s">
        <v>20</v>
      </c>
      <c r="E505" s="750"/>
      <c r="F505" s="750"/>
      <c r="G505" s="596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597"/>
      <c r="R505" s="597"/>
      <c r="S505" s="597"/>
      <c r="T505" s="597"/>
      <c r="U505" s="597"/>
      <c r="V505" s="597"/>
      <c r="W505" s="597"/>
      <c r="X505" s="597"/>
      <c r="Y505" s="597"/>
      <c r="Z505" s="597"/>
    </row>
    <row r="506" spans="1:26" ht="18.75" hidden="1">
      <c r="A506" s="592"/>
      <c r="B506" s="600"/>
      <c r="C506" s="750"/>
      <c r="D506" s="711"/>
      <c r="E506" s="750" t="s">
        <v>184</v>
      </c>
      <c r="F506" s="750"/>
      <c r="G506" s="596"/>
      <c r="H506" s="165" t="s">
        <v>12</v>
      </c>
      <c r="I506" s="610"/>
      <c r="J506" s="610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597"/>
      <c r="R506" s="597"/>
      <c r="S506" s="597"/>
      <c r="T506" s="597"/>
      <c r="U506" s="597"/>
      <c r="V506" s="597"/>
      <c r="W506" s="597"/>
      <c r="X506" s="597"/>
      <c r="Y506" s="597"/>
      <c r="Z506" s="597"/>
    </row>
    <row r="507" spans="1:26" ht="18.75" hidden="1">
      <c r="A507" s="592"/>
      <c r="B507" s="600"/>
      <c r="C507" s="750"/>
      <c r="D507" s="711"/>
      <c r="E507" s="750" t="s">
        <v>185</v>
      </c>
      <c r="F507" s="750"/>
      <c r="G507" s="596"/>
      <c r="H507" s="165" t="s">
        <v>12</v>
      </c>
      <c r="I507" s="610"/>
      <c r="J507" s="610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597"/>
      <c r="R507" s="597"/>
      <c r="S507" s="597"/>
      <c r="T507" s="597"/>
      <c r="U507" s="597"/>
      <c r="V507" s="597"/>
      <c r="W507" s="597"/>
      <c r="X507" s="597"/>
      <c r="Y507" s="597"/>
      <c r="Z507" s="597"/>
    </row>
    <row r="508" spans="1:26" ht="18.75" hidden="1">
      <c r="A508" s="642"/>
      <c r="B508" s="600"/>
      <c r="C508" s="750"/>
      <c r="D508" s="750"/>
      <c r="E508" s="750"/>
      <c r="F508" s="750" t="s">
        <v>186</v>
      </c>
      <c r="G508" s="596"/>
      <c r="H508" s="165" t="s">
        <v>12</v>
      </c>
      <c r="I508" s="610"/>
      <c r="J508" s="610"/>
      <c r="K508" s="93"/>
      <c r="L508" s="93"/>
      <c r="M508" s="93"/>
      <c r="N508" s="93">
        <v>0</v>
      </c>
      <c r="O508" s="93"/>
      <c r="P508" s="93"/>
      <c r="Q508" s="597"/>
      <c r="R508" s="597"/>
      <c r="S508" s="597"/>
      <c r="T508" s="597"/>
      <c r="U508" s="597"/>
      <c r="V508" s="597"/>
      <c r="W508" s="597"/>
      <c r="X508" s="597"/>
      <c r="Y508" s="597"/>
      <c r="Z508" s="597"/>
    </row>
    <row r="509" spans="1:26" ht="18.75" hidden="1">
      <c r="A509" s="642"/>
      <c r="B509" s="600"/>
      <c r="C509" s="750"/>
      <c r="D509" s="750"/>
      <c r="E509" s="750"/>
      <c r="F509" s="750" t="s">
        <v>187</v>
      </c>
      <c r="G509" s="596"/>
      <c r="H509" s="165" t="s">
        <v>12</v>
      </c>
      <c r="I509" s="610"/>
      <c r="J509" s="610"/>
      <c r="K509" s="93"/>
      <c r="L509" s="93"/>
      <c r="M509" s="93"/>
      <c r="N509" s="93">
        <v>0</v>
      </c>
      <c r="O509" s="93"/>
      <c r="P509" s="93"/>
      <c r="Q509" s="597"/>
      <c r="R509" s="597"/>
      <c r="S509" s="597"/>
      <c r="T509" s="597"/>
      <c r="U509" s="597"/>
      <c r="V509" s="597"/>
      <c r="W509" s="597"/>
      <c r="X509" s="597"/>
      <c r="Y509" s="597"/>
      <c r="Z509" s="597"/>
    </row>
    <row r="510" spans="1:26" ht="18.75" hidden="1">
      <c r="A510" s="642"/>
      <c r="B510" s="600"/>
      <c r="C510" s="600"/>
      <c r="D510" s="600"/>
      <c r="E510" s="750"/>
      <c r="F510" s="750" t="s">
        <v>188</v>
      </c>
      <c r="G510" s="596"/>
      <c r="H510" s="165" t="s">
        <v>12</v>
      </c>
      <c r="I510" s="610"/>
      <c r="J510" s="610"/>
      <c r="K510" s="93"/>
      <c r="L510" s="93"/>
      <c r="M510" s="93"/>
      <c r="N510" s="93">
        <v>0</v>
      </c>
      <c r="O510" s="93"/>
      <c r="P510" s="93"/>
      <c r="Q510" s="597"/>
      <c r="R510" s="597"/>
      <c r="S510" s="597"/>
      <c r="T510" s="597"/>
      <c r="U510" s="597"/>
      <c r="V510" s="597"/>
      <c r="W510" s="597"/>
      <c r="X510" s="597"/>
      <c r="Y510" s="597"/>
      <c r="Z510" s="597"/>
    </row>
    <row r="511" spans="1:26" ht="18.75" hidden="1">
      <c r="A511" s="642"/>
      <c r="B511" s="600"/>
      <c r="C511" s="600"/>
      <c r="D511" s="600"/>
      <c r="E511" s="750"/>
      <c r="F511" s="750" t="s">
        <v>189</v>
      </c>
      <c r="G511" s="596"/>
      <c r="H511" s="165" t="s">
        <v>12</v>
      </c>
      <c r="I511" s="610"/>
      <c r="J511" s="610"/>
      <c r="K511" s="93"/>
      <c r="L511" s="93"/>
      <c r="M511" s="93"/>
      <c r="N511" s="93">
        <v>0</v>
      </c>
      <c r="O511" s="93"/>
      <c r="P511" s="93"/>
      <c r="Q511" s="597"/>
      <c r="R511" s="597"/>
      <c r="S511" s="597"/>
      <c r="T511" s="597"/>
      <c r="U511" s="597"/>
      <c r="V511" s="597"/>
      <c r="W511" s="597"/>
      <c r="X511" s="597"/>
      <c r="Y511" s="597"/>
      <c r="Z511" s="597"/>
    </row>
    <row r="512" spans="1:26" ht="18.75" hidden="1">
      <c r="A512" s="592"/>
      <c r="B512" s="600"/>
      <c r="C512" s="600"/>
      <c r="D512" s="641" t="s">
        <v>21</v>
      </c>
      <c r="E512" s="600"/>
      <c r="F512" s="750"/>
      <c r="G512" s="596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597"/>
      <c r="R512" s="597"/>
      <c r="S512" s="597"/>
      <c r="T512" s="597"/>
      <c r="U512" s="597"/>
      <c r="V512" s="597"/>
      <c r="W512" s="597"/>
      <c r="X512" s="597"/>
      <c r="Y512" s="597"/>
      <c r="Z512" s="597"/>
    </row>
    <row r="513" spans="1:26" ht="18.75" hidden="1">
      <c r="A513" s="592"/>
      <c r="B513" s="600"/>
      <c r="C513" s="600"/>
      <c r="D513" s="600"/>
      <c r="E513" s="600" t="s">
        <v>18</v>
      </c>
      <c r="F513" s="750"/>
      <c r="G513" s="596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597"/>
      <c r="R513" s="597"/>
      <c r="S513" s="597"/>
      <c r="T513" s="597"/>
      <c r="U513" s="597"/>
      <c r="V513" s="597"/>
      <c r="W513" s="597"/>
      <c r="X513" s="597"/>
      <c r="Y513" s="597"/>
      <c r="Z513" s="597"/>
    </row>
    <row r="514" spans="1:26" ht="18.75" hidden="1">
      <c r="A514" s="592"/>
      <c r="B514" s="600"/>
      <c r="C514" s="600"/>
      <c r="D514" s="750"/>
      <c r="E514" s="600" t="s">
        <v>19</v>
      </c>
      <c r="F514" s="750"/>
      <c r="G514" s="596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597"/>
      <c r="R514" s="597"/>
      <c r="S514" s="597"/>
      <c r="T514" s="597"/>
      <c r="U514" s="597"/>
      <c r="V514" s="597"/>
      <c r="W514" s="597"/>
      <c r="X514" s="597"/>
      <c r="Y514" s="597"/>
      <c r="Z514" s="597"/>
    </row>
    <row r="515" spans="1:26" ht="19.5" hidden="1">
      <c r="A515" s="607"/>
      <c r="B515" s="609"/>
      <c r="C515" s="600" t="s">
        <v>16</v>
      </c>
      <c r="D515" s="838" t="s">
        <v>38</v>
      </c>
      <c r="E515" s="644"/>
      <c r="F515" s="644"/>
      <c r="G515" s="645"/>
      <c r="H515" s="365"/>
      <c r="I515" s="166"/>
      <c r="J515" s="166"/>
      <c r="K515" s="167"/>
      <c r="L515" s="167"/>
      <c r="M515" s="167"/>
      <c r="N515" s="167"/>
      <c r="O515" s="167"/>
      <c r="P515" s="167"/>
      <c r="Q515" s="597"/>
      <c r="R515" s="597"/>
      <c r="S515" s="597"/>
      <c r="T515" s="597"/>
      <c r="U515" s="597"/>
      <c r="V515" s="597"/>
      <c r="W515" s="597"/>
      <c r="X515" s="597"/>
      <c r="Y515" s="597"/>
      <c r="Z515" s="597"/>
    </row>
    <row r="516" spans="1:26" ht="18.75" hidden="1">
      <c r="A516" s="607"/>
      <c r="B516" s="609"/>
      <c r="C516" s="609"/>
      <c r="D516" s="609" t="s">
        <v>221</v>
      </c>
      <c r="E516" s="711"/>
      <c r="F516" s="711"/>
      <c r="G516" s="365"/>
      <c r="H516" s="646" t="s">
        <v>109</v>
      </c>
      <c r="I516" s="610"/>
      <c r="J516" s="610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597"/>
      <c r="R516" s="597"/>
      <c r="S516" s="597"/>
      <c r="T516" s="597"/>
      <c r="U516" s="597"/>
      <c r="V516" s="597"/>
      <c r="W516" s="597"/>
      <c r="X516" s="597"/>
      <c r="Y516" s="597"/>
      <c r="Z516" s="597"/>
    </row>
    <row r="517" spans="1:26" ht="19.5" hidden="1">
      <c r="A517" s="607"/>
      <c r="B517" s="609"/>
      <c r="C517" s="609"/>
      <c r="D517" s="609" t="s">
        <v>222</v>
      </c>
      <c r="E517" s="711"/>
      <c r="F517" s="711"/>
      <c r="G517" s="365"/>
      <c r="H517" s="647" t="s">
        <v>35</v>
      </c>
      <c r="I517" s="648"/>
      <c r="J517" s="648">
        <f>J518+J519</f>
        <v>0</v>
      </c>
      <c r="K517" s="649">
        <f t="shared" si="224"/>
        <v>0</v>
      </c>
      <c r="L517" s="167"/>
      <c r="M517" s="167"/>
      <c r="N517" s="167"/>
      <c r="O517" s="167"/>
      <c r="P517" s="167"/>
      <c r="Q517" s="597"/>
      <c r="R517" s="597"/>
      <c r="S517" s="597"/>
      <c r="T517" s="597"/>
      <c r="U517" s="597"/>
      <c r="V517" s="597"/>
      <c r="W517" s="597"/>
      <c r="X517" s="597"/>
      <c r="Y517" s="597"/>
      <c r="Z517" s="597"/>
    </row>
    <row r="518" spans="1:26" ht="18.75" hidden="1">
      <c r="A518" s="607"/>
      <c r="B518" s="609"/>
      <c r="C518" s="609"/>
      <c r="D518" s="609"/>
      <c r="E518" s="609" t="s">
        <v>223</v>
      </c>
      <c r="F518" s="711"/>
      <c r="G518" s="365"/>
      <c r="H518" s="369" t="s">
        <v>35</v>
      </c>
      <c r="I518" s="610"/>
      <c r="J518" s="610"/>
      <c r="K518" s="167"/>
      <c r="L518" s="167"/>
      <c r="M518" s="167"/>
      <c r="N518" s="167"/>
      <c r="O518" s="167"/>
      <c r="P518" s="167"/>
      <c r="Q518" s="597"/>
      <c r="R518" s="597"/>
      <c r="S518" s="597"/>
      <c r="T518" s="597"/>
      <c r="U518" s="597"/>
      <c r="V518" s="597"/>
      <c r="W518" s="597"/>
      <c r="X518" s="597"/>
      <c r="Y518" s="597"/>
      <c r="Z518" s="597"/>
    </row>
    <row r="519" spans="1:26" ht="18.75" hidden="1">
      <c r="A519" s="607"/>
      <c r="B519" s="609"/>
      <c r="C519" s="609"/>
      <c r="D519" s="609"/>
      <c r="E519" s="609" t="s">
        <v>224</v>
      </c>
      <c r="F519" s="711"/>
      <c r="G519" s="365"/>
      <c r="H519" s="646" t="s">
        <v>35</v>
      </c>
      <c r="I519" s="610"/>
      <c r="J519" s="610"/>
      <c r="K519" s="167"/>
      <c r="L519" s="167"/>
      <c r="M519" s="167"/>
      <c r="N519" s="167"/>
      <c r="O519" s="167"/>
      <c r="P519" s="167"/>
      <c r="Q519" s="597"/>
      <c r="R519" s="597"/>
      <c r="S519" s="597"/>
      <c r="T519" s="597"/>
      <c r="U519" s="597"/>
      <c r="V519" s="597"/>
      <c r="W519" s="597"/>
      <c r="X519" s="597"/>
      <c r="Y519" s="597"/>
      <c r="Z519" s="597"/>
    </row>
    <row r="520" spans="1:26" ht="19.5">
      <c r="A520" s="650" t="s">
        <v>137</v>
      </c>
      <c r="B520" s="651"/>
      <c r="C520" s="651"/>
      <c r="D520" s="652"/>
      <c r="E520" s="652"/>
      <c r="F520" s="652"/>
      <c r="G520" s="653"/>
      <c r="H520" s="654"/>
      <c r="I520" s="655"/>
      <c r="J520" s="655"/>
      <c r="K520" s="656"/>
      <c r="L520" s="656"/>
      <c r="M520" s="656"/>
      <c r="N520" s="656"/>
      <c r="O520" s="656"/>
      <c r="P520" s="656"/>
    </row>
    <row r="521" spans="1:26" ht="19.5" hidden="1">
      <c r="A521" s="657">
        <v>5</v>
      </c>
      <c r="B521" s="658" t="s">
        <v>225</v>
      </c>
      <c r="C521" s="659"/>
      <c r="D521" s="660"/>
      <c r="E521" s="660"/>
      <c r="F521" s="660"/>
      <c r="G521" s="660"/>
      <c r="H521" s="661"/>
      <c r="I521" s="662"/>
      <c r="J521" s="662"/>
      <c r="K521" s="663"/>
      <c r="L521" s="663"/>
      <c r="M521" s="663"/>
      <c r="N521" s="663"/>
      <c r="O521" s="663"/>
      <c r="P521" s="663"/>
      <c r="Q521" s="571"/>
      <c r="R521" s="571"/>
      <c r="S521" s="571"/>
      <c r="T521" s="571"/>
      <c r="U521" s="571"/>
      <c r="V521" s="571"/>
      <c r="W521" s="571"/>
      <c r="X521" s="571"/>
      <c r="Y521" s="571"/>
      <c r="Z521" s="571"/>
    </row>
    <row r="522" spans="1:26" ht="19.5" hidden="1">
      <c r="A522" s="664"/>
      <c r="B522" s="665" t="s">
        <v>226</v>
      </c>
      <c r="C522" s="666"/>
      <c r="D522" s="666"/>
      <c r="E522" s="666"/>
      <c r="F522" s="666"/>
      <c r="G522" s="667"/>
      <c r="H522" s="668" t="s">
        <v>35</v>
      </c>
      <c r="I522" s="699">
        <f t="shared" ref="I522:J522" ca="1" si="225">I537</f>
        <v>0</v>
      </c>
      <c r="J522" s="699">
        <f t="shared" ca="1" si="225"/>
        <v>0</v>
      </c>
      <c r="K522" s="670">
        <f ca="1">IF(I522&gt;0,J522*100/I522,0)</f>
        <v>0</v>
      </c>
      <c r="L522" s="671"/>
      <c r="M522" s="671"/>
      <c r="N522" s="671"/>
      <c r="O522" s="671"/>
      <c r="P522" s="671"/>
      <c r="Q522" s="571"/>
      <c r="R522" s="571"/>
      <c r="S522" s="571"/>
      <c r="T522" s="571"/>
      <c r="U522" s="571"/>
      <c r="V522" s="571"/>
      <c r="W522" s="571"/>
      <c r="X522" s="571"/>
      <c r="Y522" s="571"/>
      <c r="Z522" s="571"/>
    </row>
    <row r="523" spans="1:26" ht="19.5" hidden="1">
      <c r="A523" s="590"/>
      <c r="B523" s="754"/>
      <c r="C523" s="754" t="s">
        <v>16</v>
      </c>
      <c r="D523" s="863" t="s">
        <v>17</v>
      </c>
      <c r="E523" s="857"/>
      <c r="F523" s="857"/>
      <c r="G523" s="189"/>
      <c r="H523" s="591" t="s">
        <v>12</v>
      </c>
      <c r="I523" s="269"/>
      <c r="J523" s="269"/>
      <c r="K523" s="496"/>
      <c r="L523" s="195">
        <f t="shared" ref="L523:N523" ca="1" si="226">L524+L525</f>
        <v>0</v>
      </c>
      <c r="M523" s="195">
        <f t="shared" si="226"/>
        <v>0</v>
      </c>
      <c r="N523" s="195">
        <f t="shared" si="226"/>
        <v>0</v>
      </c>
      <c r="O523" s="195">
        <f t="shared" ref="O523:O528" ca="1" si="227">IF(L523&gt;0,N523*100/L523,0)</f>
        <v>0</v>
      </c>
      <c r="P523" s="195">
        <f t="shared" ref="P523:P528" si="228">IF(M523&gt;0,N523*100/M523,0)</f>
        <v>0</v>
      </c>
      <c r="Q523" s="571"/>
      <c r="R523" s="571"/>
      <c r="S523" s="571"/>
      <c r="T523" s="571"/>
      <c r="U523" s="571"/>
      <c r="V523" s="571"/>
      <c r="W523" s="571"/>
      <c r="X523" s="571"/>
      <c r="Y523" s="571"/>
      <c r="Z523" s="571"/>
    </row>
    <row r="524" spans="1:26" ht="18.75" hidden="1">
      <c r="A524" s="592"/>
      <c r="B524" s="750"/>
      <c r="C524" s="750"/>
      <c r="D524" s="711"/>
      <c r="E524" s="750" t="s">
        <v>184</v>
      </c>
      <c r="F524" s="750"/>
      <c r="G524" s="596"/>
      <c r="H524" s="165" t="s">
        <v>12</v>
      </c>
      <c r="I524" s="610"/>
      <c r="J524" s="610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597"/>
      <c r="R524" s="597"/>
      <c r="S524" s="597"/>
      <c r="T524" s="597"/>
      <c r="U524" s="597"/>
      <c r="V524" s="597"/>
      <c r="W524" s="597"/>
      <c r="X524" s="597"/>
      <c r="Y524" s="597"/>
      <c r="Z524" s="597"/>
    </row>
    <row r="525" spans="1:26" ht="18.75" hidden="1">
      <c r="A525" s="592"/>
      <c r="B525" s="600"/>
      <c r="C525" s="750"/>
      <c r="D525" s="711"/>
      <c r="E525" s="750" t="s">
        <v>185</v>
      </c>
      <c r="F525" s="750"/>
      <c r="G525" s="596"/>
      <c r="H525" s="165" t="s">
        <v>12</v>
      </c>
      <c r="I525" s="610"/>
      <c r="J525" s="610"/>
      <c r="K525" s="93"/>
      <c r="L525" s="93">
        <f t="shared" ca="1" si="229"/>
        <v>0</v>
      </c>
      <c r="M525" s="93">
        <f t="shared" si="229"/>
        <v>0</v>
      </c>
      <c r="N525" s="93">
        <f t="shared" si="229"/>
        <v>0</v>
      </c>
      <c r="O525" s="93">
        <f t="shared" ca="1" si="227"/>
        <v>0</v>
      </c>
      <c r="P525" s="93">
        <f t="shared" si="228"/>
        <v>0</v>
      </c>
      <c r="Q525" s="597"/>
      <c r="R525" s="597"/>
      <c r="S525" s="597"/>
      <c r="T525" s="597"/>
      <c r="U525" s="597"/>
      <c r="V525" s="597"/>
      <c r="W525" s="597"/>
      <c r="X525" s="597"/>
      <c r="Y525" s="597"/>
      <c r="Z525" s="597"/>
    </row>
    <row r="526" spans="1:26" ht="18.75" hidden="1">
      <c r="A526" s="590"/>
      <c r="B526" s="568"/>
      <c r="C526" s="754"/>
      <c r="D526" s="599" t="s">
        <v>20</v>
      </c>
      <c r="E526" s="754"/>
      <c r="F526" s="754"/>
      <c r="G526" s="189"/>
      <c r="H526" s="161" t="s">
        <v>12</v>
      </c>
      <c r="I526" s="184"/>
      <c r="J526" s="184"/>
      <c r="K526" s="163"/>
      <c r="L526" s="496">
        <f t="shared" ref="L526:N526" ca="1" si="230">L527+L528</f>
        <v>0</v>
      </c>
      <c r="M526" s="496">
        <f t="shared" si="230"/>
        <v>0</v>
      </c>
      <c r="N526" s="496">
        <f t="shared" si="230"/>
        <v>0</v>
      </c>
      <c r="O526" s="496">
        <f t="shared" ca="1" si="227"/>
        <v>0</v>
      </c>
      <c r="P526" s="496">
        <f t="shared" si="228"/>
        <v>0</v>
      </c>
      <c r="Q526" s="571"/>
      <c r="R526" s="571"/>
      <c r="S526" s="571"/>
      <c r="T526" s="571"/>
      <c r="U526" s="571"/>
      <c r="V526" s="571"/>
      <c r="W526" s="571"/>
      <c r="X526" s="571"/>
      <c r="Y526" s="571"/>
      <c r="Z526" s="571"/>
    </row>
    <row r="527" spans="1:26" ht="18.75" hidden="1">
      <c r="A527" s="592"/>
      <c r="B527" s="600"/>
      <c r="C527" s="750"/>
      <c r="D527" s="711"/>
      <c r="E527" s="750" t="s">
        <v>184</v>
      </c>
      <c r="F527" s="750"/>
      <c r="G527" s="596"/>
      <c r="H527" s="165" t="s">
        <v>12</v>
      </c>
      <c r="I527" s="610"/>
      <c r="J527" s="610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597"/>
      <c r="R527" s="597"/>
      <c r="S527" s="597"/>
      <c r="T527" s="597"/>
      <c r="U527" s="597"/>
      <c r="V527" s="597"/>
      <c r="W527" s="597"/>
      <c r="X527" s="597"/>
      <c r="Y527" s="597"/>
      <c r="Z527" s="597"/>
    </row>
    <row r="528" spans="1:26" ht="18.75" hidden="1">
      <c r="A528" s="592"/>
      <c r="B528" s="600"/>
      <c r="C528" s="750"/>
      <c r="D528" s="711"/>
      <c r="E528" s="750" t="s">
        <v>185</v>
      </c>
      <c r="F528" s="750"/>
      <c r="G528" s="596"/>
      <c r="H528" s="165" t="s">
        <v>12</v>
      </c>
      <c r="I528" s="610"/>
      <c r="J528" s="610"/>
      <c r="K528" s="93"/>
      <c r="L528" s="93">
        <f ca="1">IFERROR(__xludf.DUMMYFUNCTION("IMPORTRANGE(""https://docs.google.com/spreadsheets/d/1QqKyyYR6Q21VydFLVH3TRQUabQu_ym0Zz7PgGX0-kHA/edit?usp=sharing"",""แผน!GQ66"")"),0)</f>
        <v>0</v>
      </c>
      <c r="M528" s="93">
        <v>0</v>
      </c>
      <c r="N528" s="93">
        <f>N529+N530+N531+N532</f>
        <v>0</v>
      </c>
      <c r="O528" s="93">
        <f t="shared" ca="1" si="227"/>
        <v>0</v>
      </c>
      <c r="P528" s="93">
        <f t="shared" si="228"/>
        <v>0</v>
      </c>
      <c r="Q528" s="597"/>
      <c r="R528" s="597"/>
      <c r="S528" s="597"/>
      <c r="T528" s="597"/>
      <c r="U528" s="597"/>
      <c r="V528" s="597"/>
      <c r="W528" s="597"/>
      <c r="X528" s="597"/>
      <c r="Y528" s="597"/>
      <c r="Z528" s="597"/>
    </row>
    <row r="529" spans="1:26" ht="18.75" hidden="1">
      <c r="A529" s="567"/>
      <c r="B529" s="568"/>
      <c r="C529" s="754"/>
      <c r="D529" s="754"/>
      <c r="E529" s="754"/>
      <c r="F529" s="754" t="s">
        <v>186</v>
      </c>
      <c r="G529" s="189"/>
      <c r="H529" s="161" t="s">
        <v>12</v>
      </c>
      <c r="I529" s="269"/>
      <c r="J529" s="269"/>
      <c r="K529" s="496"/>
      <c r="L529" s="496"/>
      <c r="M529" s="496"/>
      <c r="N529" s="817">
        <v>0</v>
      </c>
      <c r="O529" s="496"/>
      <c r="P529" s="496"/>
      <c r="Q529" s="571"/>
      <c r="R529" s="571"/>
      <c r="S529" s="571"/>
      <c r="T529" s="571"/>
      <c r="U529" s="571"/>
      <c r="V529" s="571"/>
      <c r="W529" s="571"/>
      <c r="X529" s="571"/>
      <c r="Y529" s="571"/>
      <c r="Z529" s="571"/>
    </row>
    <row r="530" spans="1:26" ht="18.75" hidden="1">
      <c r="A530" s="567"/>
      <c r="B530" s="568"/>
      <c r="C530" s="754"/>
      <c r="D530" s="754"/>
      <c r="E530" s="754"/>
      <c r="F530" s="754" t="s">
        <v>187</v>
      </c>
      <c r="G530" s="189"/>
      <c r="H530" s="161" t="s">
        <v>12</v>
      </c>
      <c r="I530" s="269"/>
      <c r="J530" s="269"/>
      <c r="K530" s="496"/>
      <c r="L530" s="496"/>
      <c r="M530" s="496"/>
      <c r="N530" s="817">
        <v>0</v>
      </c>
      <c r="O530" s="496"/>
      <c r="P530" s="496"/>
      <c r="Q530" s="571"/>
      <c r="R530" s="571"/>
      <c r="S530" s="571"/>
      <c r="T530" s="571"/>
      <c r="U530" s="571"/>
      <c r="V530" s="571"/>
      <c r="W530" s="571"/>
      <c r="X530" s="571"/>
      <c r="Y530" s="571"/>
      <c r="Z530" s="571"/>
    </row>
    <row r="531" spans="1:26" ht="18.75" hidden="1">
      <c r="A531" s="567"/>
      <c r="B531" s="568"/>
      <c r="C531" s="754"/>
      <c r="D531" s="754"/>
      <c r="E531" s="754"/>
      <c r="F531" s="754" t="s">
        <v>188</v>
      </c>
      <c r="G531" s="189"/>
      <c r="H531" s="161" t="s">
        <v>12</v>
      </c>
      <c r="I531" s="269"/>
      <c r="J531" s="269"/>
      <c r="K531" s="496"/>
      <c r="L531" s="496"/>
      <c r="M531" s="496"/>
      <c r="N531" s="817">
        <v>0</v>
      </c>
      <c r="O531" s="496"/>
      <c r="P531" s="496"/>
      <c r="Q531" s="571"/>
      <c r="R531" s="571"/>
      <c r="S531" s="571"/>
      <c r="T531" s="571"/>
      <c r="U531" s="571"/>
      <c r="V531" s="571"/>
      <c r="W531" s="571"/>
      <c r="X531" s="571"/>
      <c r="Y531" s="571"/>
      <c r="Z531" s="571"/>
    </row>
    <row r="532" spans="1:26" ht="18.75" hidden="1">
      <c r="A532" s="567"/>
      <c r="B532" s="568"/>
      <c r="C532" s="754"/>
      <c r="D532" s="754"/>
      <c r="E532" s="754"/>
      <c r="F532" s="754" t="s">
        <v>189</v>
      </c>
      <c r="G532" s="189"/>
      <c r="H532" s="161" t="s">
        <v>12</v>
      </c>
      <c r="I532" s="269"/>
      <c r="J532" s="269"/>
      <c r="K532" s="496"/>
      <c r="L532" s="496"/>
      <c r="M532" s="496"/>
      <c r="N532" s="817">
        <v>0</v>
      </c>
      <c r="O532" s="496"/>
      <c r="P532" s="496"/>
      <c r="Q532" s="571"/>
      <c r="R532" s="571"/>
      <c r="S532" s="571"/>
      <c r="T532" s="571"/>
      <c r="U532" s="571"/>
      <c r="V532" s="571"/>
      <c r="W532" s="571"/>
      <c r="X532" s="571"/>
      <c r="Y532" s="571"/>
      <c r="Z532" s="571"/>
    </row>
    <row r="533" spans="1:26" ht="18.75" hidden="1">
      <c r="A533" s="590"/>
      <c r="B533" s="568"/>
      <c r="C533" s="754"/>
      <c r="D533" s="599" t="s">
        <v>21</v>
      </c>
      <c r="E533" s="754"/>
      <c r="F533" s="754"/>
      <c r="G533" s="189"/>
      <c r="H533" s="168" t="s">
        <v>12</v>
      </c>
      <c r="I533" s="184"/>
      <c r="J533" s="184"/>
      <c r="K533" s="163"/>
      <c r="L533" s="496">
        <f t="shared" ref="L533:N533" ca="1" si="231">L534+L535</f>
        <v>0</v>
      </c>
      <c r="M533" s="496">
        <f t="shared" si="231"/>
        <v>0</v>
      </c>
      <c r="N533" s="496">
        <f t="shared" si="231"/>
        <v>0</v>
      </c>
      <c r="O533" s="496">
        <f t="shared" ref="O533:O535" ca="1" si="232">IF(L533&gt;0,N533*100/L533,0)</f>
        <v>0</v>
      </c>
      <c r="P533" s="496">
        <f t="shared" ref="P533:P535" si="233">IF(M533&gt;0,N533*100/M533,0)</f>
        <v>0</v>
      </c>
      <c r="Q533" s="571"/>
      <c r="R533" s="571"/>
      <c r="S533" s="571"/>
      <c r="T533" s="571"/>
      <c r="U533" s="571"/>
      <c r="V533" s="571"/>
      <c r="W533" s="571"/>
      <c r="X533" s="571"/>
      <c r="Y533" s="571"/>
      <c r="Z533" s="571"/>
    </row>
    <row r="534" spans="1:26" ht="18.75" hidden="1">
      <c r="A534" s="592"/>
      <c r="B534" s="600"/>
      <c r="C534" s="750"/>
      <c r="D534" s="750"/>
      <c r="E534" s="750" t="s">
        <v>18</v>
      </c>
      <c r="F534" s="750"/>
      <c r="G534" s="596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597"/>
      <c r="R534" s="597"/>
      <c r="S534" s="597"/>
      <c r="T534" s="597"/>
      <c r="U534" s="597"/>
      <c r="V534" s="597"/>
      <c r="W534" s="597"/>
      <c r="X534" s="597"/>
      <c r="Y534" s="597"/>
      <c r="Z534" s="597"/>
    </row>
    <row r="535" spans="1:26" ht="18.75" hidden="1">
      <c r="A535" s="592"/>
      <c r="B535" s="600"/>
      <c r="C535" s="750"/>
      <c r="D535" s="750"/>
      <c r="E535" s="750" t="s">
        <v>19</v>
      </c>
      <c r="F535" s="750"/>
      <c r="G535" s="596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IFERROR(__xludf.DUMMYFUNCTION("IMPORTRANGE(""https://docs.google.com/spreadsheets/d/1QqKyyYR6Q21VydFLVH3TRQUabQu_ym0Zz7PgGX0-kHA/edit?usp=sharing"",""แผน!GT66"")"),0)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597"/>
      <c r="R535" s="597"/>
      <c r="S535" s="597"/>
      <c r="T535" s="597"/>
      <c r="U535" s="597"/>
      <c r="V535" s="597"/>
      <c r="W535" s="597"/>
      <c r="X535" s="597"/>
      <c r="Y535" s="597"/>
      <c r="Z535" s="597"/>
    </row>
    <row r="536" spans="1:26" ht="19.5" hidden="1">
      <c r="A536" s="601"/>
      <c r="B536" s="611"/>
      <c r="C536" s="754" t="s">
        <v>16</v>
      </c>
      <c r="D536" s="839" t="s">
        <v>38</v>
      </c>
      <c r="E536" s="752"/>
      <c r="F536" s="752"/>
      <c r="G536" s="606"/>
      <c r="H536" s="753"/>
      <c r="I536" s="184"/>
      <c r="J536" s="184"/>
      <c r="K536" s="163"/>
      <c r="L536" s="163"/>
      <c r="M536" s="163"/>
      <c r="N536" s="163"/>
      <c r="O536" s="163"/>
      <c r="P536" s="163"/>
      <c r="Q536" s="571"/>
      <c r="R536" s="571"/>
      <c r="S536" s="571"/>
      <c r="T536" s="571"/>
      <c r="U536" s="571"/>
      <c r="V536" s="571"/>
      <c r="W536" s="571"/>
      <c r="X536" s="571"/>
      <c r="Y536" s="571"/>
      <c r="Z536" s="571"/>
    </row>
    <row r="537" spans="1:26" ht="19.5" hidden="1">
      <c r="A537" s="567"/>
      <c r="B537" s="568"/>
      <c r="C537" s="754"/>
      <c r="D537" s="754" t="s">
        <v>227</v>
      </c>
      <c r="E537" s="754"/>
      <c r="F537" s="754"/>
      <c r="G537" s="189"/>
      <c r="H537" s="616" t="s">
        <v>35</v>
      </c>
      <c r="I537" s="674">
        <f ca="1">IFERROR(__xludf.DUMMYFUNCTION("IMPORTRANGE(""https://docs.google.com/spreadsheets/d/1QqKyyYR6Q21VydFLVH3TRQUabQu_ym0Zz7PgGX0-kHA/edit?usp=sharing"",""แผน!GU66"")"),0)</f>
        <v>0</v>
      </c>
      <c r="J537" s="674">
        <f ca="1">IF(AND(J538=I538,J539=I539,J540=I540,J541=I541),I537,0)</f>
        <v>0</v>
      </c>
      <c r="K537" s="496">
        <f t="shared" ref="K537:K543" ca="1" si="234">IF(I537&gt;0,J537*100/I537,0)</f>
        <v>0</v>
      </c>
      <c r="L537" s="496"/>
      <c r="M537" s="496"/>
      <c r="N537" s="496"/>
      <c r="O537" s="496"/>
      <c r="P537" s="496"/>
      <c r="Q537" s="675"/>
      <c r="R537" s="675"/>
      <c r="S537" s="675"/>
      <c r="T537" s="675"/>
      <c r="U537" s="675"/>
      <c r="V537" s="675"/>
      <c r="W537" s="675"/>
      <c r="X537" s="675"/>
      <c r="Y537" s="675"/>
      <c r="Z537" s="675"/>
    </row>
    <row r="538" spans="1:26" ht="18.75" hidden="1">
      <c r="A538" s="567"/>
      <c r="B538" s="568"/>
      <c r="C538" s="754"/>
      <c r="D538" s="754"/>
      <c r="E538" s="754" t="s">
        <v>228</v>
      </c>
      <c r="F538" s="754"/>
      <c r="G538" s="189"/>
      <c r="H538" s="616" t="s">
        <v>35</v>
      </c>
      <c r="I538" s="269">
        <f ca="1">IFERROR(__xludf.DUMMYFUNCTION("IMPORTRANGE(""https://docs.google.com/spreadsheets/d/1QqKyyYR6Q21VydFLVH3TRQUabQu_ym0Zz7PgGX0-kHA/edit?usp=sharing"",""แผน!GV66"")"),0)</f>
        <v>0</v>
      </c>
      <c r="J538" s="214">
        <v>0</v>
      </c>
      <c r="K538" s="496">
        <f t="shared" ca="1" si="234"/>
        <v>0</v>
      </c>
      <c r="L538" s="496"/>
      <c r="M538" s="496"/>
      <c r="N538" s="496"/>
      <c r="O538" s="496"/>
      <c r="P538" s="496"/>
      <c r="Q538" s="675"/>
      <c r="R538" s="675"/>
      <c r="S538" s="675"/>
      <c r="T538" s="675"/>
      <c r="U538" s="675"/>
      <c r="V538" s="675"/>
      <c r="W538" s="675"/>
      <c r="X538" s="675"/>
      <c r="Y538" s="675"/>
      <c r="Z538" s="675"/>
    </row>
    <row r="539" spans="1:26" ht="18.75" hidden="1">
      <c r="A539" s="567"/>
      <c r="B539" s="568"/>
      <c r="C539" s="754"/>
      <c r="D539" s="754"/>
      <c r="E539" s="754" t="s">
        <v>229</v>
      </c>
      <c r="F539" s="754"/>
      <c r="G539" s="189"/>
      <c r="H539" s="616" t="s">
        <v>35</v>
      </c>
      <c r="I539" s="269">
        <f ca="1">IFERROR(__xludf.DUMMYFUNCTION("IMPORTRANGE(""https://docs.google.com/spreadsheets/d/1QqKyyYR6Q21VydFLVH3TRQUabQu_ym0Zz7PgGX0-kHA/edit?usp=sharing"",""แผน!GW66"")"),0)</f>
        <v>0</v>
      </c>
      <c r="J539" s="214">
        <v>0</v>
      </c>
      <c r="K539" s="496">
        <f t="shared" ca="1" si="234"/>
        <v>0</v>
      </c>
      <c r="L539" s="496"/>
      <c r="M539" s="496"/>
      <c r="N539" s="496"/>
      <c r="O539" s="496"/>
      <c r="P539" s="496"/>
      <c r="Q539" s="675"/>
      <c r="R539" s="675"/>
      <c r="S539" s="675"/>
      <c r="T539" s="675"/>
      <c r="U539" s="675"/>
      <c r="V539" s="675"/>
      <c r="W539" s="675"/>
      <c r="X539" s="675"/>
      <c r="Y539" s="675"/>
      <c r="Z539" s="675"/>
    </row>
    <row r="540" spans="1:26" ht="18.75" hidden="1">
      <c r="A540" s="567"/>
      <c r="B540" s="568"/>
      <c r="C540" s="754"/>
      <c r="D540" s="754"/>
      <c r="E540" s="754" t="s">
        <v>230</v>
      </c>
      <c r="F540" s="754"/>
      <c r="G540" s="189"/>
      <c r="H540" s="616" t="s">
        <v>35</v>
      </c>
      <c r="I540" s="269">
        <f ca="1">IFERROR(__xludf.DUMMYFUNCTION("IMPORTRANGE(""https://docs.google.com/spreadsheets/d/1QqKyyYR6Q21VydFLVH3TRQUabQu_ym0Zz7PgGX0-kHA/edit?usp=sharing"",""แผน!GX66"")"),0)</f>
        <v>0</v>
      </c>
      <c r="J540" s="214">
        <v>0</v>
      </c>
      <c r="K540" s="496">
        <f t="shared" ca="1" si="234"/>
        <v>0</v>
      </c>
      <c r="L540" s="496"/>
      <c r="M540" s="496"/>
      <c r="N540" s="496"/>
      <c r="O540" s="496"/>
      <c r="P540" s="496"/>
      <c r="Q540" s="675"/>
      <c r="R540" s="675"/>
      <c r="S540" s="675"/>
      <c r="T540" s="675"/>
      <c r="U540" s="675"/>
      <c r="V540" s="675"/>
      <c r="W540" s="675"/>
      <c r="X540" s="675"/>
      <c r="Y540" s="675"/>
      <c r="Z540" s="675"/>
    </row>
    <row r="541" spans="1:26" ht="18.75" hidden="1">
      <c r="A541" s="567"/>
      <c r="B541" s="568"/>
      <c r="C541" s="754"/>
      <c r="D541" s="754"/>
      <c r="E541" s="760" t="s">
        <v>231</v>
      </c>
      <c r="F541" s="754"/>
      <c r="G541" s="189"/>
      <c r="H541" s="616" t="s">
        <v>35</v>
      </c>
      <c r="I541" s="269">
        <f ca="1">IFERROR(__xludf.DUMMYFUNCTION("IMPORTRANGE(""https://docs.google.com/spreadsheets/d/1QqKyyYR6Q21VydFLVH3TRQUabQu_ym0Zz7PgGX0-kHA/edit?usp=sharing"",""แผน!GY66"")"),0)</f>
        <v>0</v>
      </c>
      <c r="J541" s="214">
        <v>0</v>
      </c>
      <c r="K541" s="496">
        <f t="shared" ca="1" si="234"/>
        <v>0</v>
      </c>
      <c r="L541" s="496"/>
      <c r="M541" s="496"/>
      <c r="N541" s="496"/>
      <c r="O541" s="496"/>
      <c r="P541" s="496"/>
      <c r="Q541" s="675"/>
      <c r="R541" s="675"/>
      <c r="S541" s="675"/>
      <c r="T541" s="675"/>
      <c r="U541" s="675"/>
      <c r="V541" s="675"/>
      <c r="W541" s="675"/>
      <c r="X541" s="675"/>
      <c r="Y541" s="675"/>
      <c r="Z541" s="675"/>
    </row>
    <row r="542" spans="1:26" ht="18.75" hidden="1">
      <c r="A542" s="567"/>
      <c r="B542" s="568"/>
      <c r="C542" s="754"/>
      <c r="D542" s="754" t="s">
        <v>59</v>
      </c>
      <c r="E542" s="754"/>
      <c r="F542" s="754"/>
      <c r="G542" s="189"/>
      <c r="H542" s="616" t="s">
        <v>35</v>
      </c>
      <c r="I542" s="269">
        <f ca="1">IFERROR(__xludf.DUMMYFUNCTION("IMPORTRANGE(""https://docs.google.com/spreadsheets/d/1QqKyyYR6Q21VydFLVH3TRQUabQu_ym0Zz7PgGX0-kHA/edit?usp=sharing"",""แผน!GZ66"")"),0)</f>
        <v>0</v>
      </c>
      <c r="J542" s="214">
        <v>0</v>
      </c>
      <c r="K542" s="496">
        <f t="shared" ca="1" si="234"/>
        <v>0</v>
      </c>
      <c r="L542" s="496"/>
      <c r="M542" s="496"/>
      <c r="N542" s="496"/>
      <c r="O542" s="496"/>
      <c r="P542" s="496"/>
      <c r="Q542" s="675"/>
      <c r="R542" s="675"/>
      <c r="S542" s="675"/>
      <c r="T542" s="675"/>
      <c r="U542" s="675"/>
      <c r="V542" s="675"/>
      <c r="W542" s="675"/>
      <c r="X542" s="675"/>
      <c r="Y542" s="675"/>
      <c r="Z542" s="675"/>
    </row>
    <row r="543" spans="1:26" ht="19.5">
      <c r="A543" s="657">
        <v>6</v>
      </c>
      <c r="B543" s="678" t="s">
        <v>232</v>
      </c>
      <c r="C543" s="660"/>
      <c r="D543" s="660"/>
      <c r="E543" s="660"/>
      <c r="F543" s="660"/>
      <c r="G543" s="661"/>
      <c r="H543" s="679" t="s">
        <v>46</v>
      </c>
      <c r="I543" s="680">
        <f t="shared" ref="I543:J543" ca="1" si="235">I559</f>
        <v>0</v>
      </c>
      <c r="J543" s="680">
        <f t="shared" si="235"/>
        <v>0</v>
      </c>
      <c r="K543" s="681">
        <f t="shared" ca="1" si="234"/>
        <v>0</v>
      </c>
      <c r="L543" s="663"/>
      <c r="M543" s="663"/>
      <c r="N543" s="663"/>
      <c r="O543" s="663"/>
      <c r="P543" s="663"/>
      <c r="Q543" s="571"/>
      <c r="R543" s="571"/>
      <c r="S543" s="571"/>
      <c r="T543" s="571"/>
      <c r="U543" s="571"/>
      <c r="V543" s="571"/>
      <c r="W543" s="571"/>
      <c r="X543" s="571"/>
      <c r="Y543" s="571"/>
      <c r="Z543" s="571"/>
    </row>
    <row r="544" spans="1:26" ht="19.5">
      <c r="A544" s="682"/>
      <c r="B544" s="683"/>
      <c r="C544" s="683" t="s">
        <v>16</v>
      </c>
      <c r="D544" s="867" t="s">
        <v>17</v>
      </c>
      <c r="E544" s="862"/>
      <c r="F544" s="862"/>
      <c r="G544" s="684"/>
      <c r="H544" s="274" t="s">
        <v>12</v>
      </c>
      <c r="I544" s="419"/>
      <c r="J544" s="419"/>
      <c r="K544" s="154"/>
      <c r="L544" s="155">
        <f t="shared" ref="L544:N544" ca="1" si="236">L545+L546</f>
        <v>236000</v>
      </c>
      <c r="M544" s="155">
        <f t="shared" si="236"/>
        <v>0</v>
      </c>
      <c r="N544" s="155">
        <f t="shared" si="236"/>
        <v>29280</v>
      </c>
      <c r="O544" s="155">
        <f t="shared" ref="O544:O549" ca="1" si="237">IF(L544&gt;0,N544*100/L544,0)</f>
        <v>12.40677966101695</v>
      </c>
      <c r="P544" s="155">
        <f t="shared" ref="P544:P549" si="238">IF(M544&gt;0,N544*100/M544,0)</f>
        <v>0</v>
      </c>
      <c r="Q544" s="571"/>
      <c r="R544" s="571"/>
      <c r="S544" s="571"/>
      <c r="T544" s="571"/>
      <c r="U544" s="571"/>
      <c r="V544" s="571"/>
      <c r="W544" s="571"/>
      <c r="X544" s="571"/>
      <c r="Y544" s="571"/>
      <c r="Z544" s="571"/>
    </row>
    <row r="545" spans="1:26" ht="18.75" hidden="1">
      <c r="A545" s="592"/>
      <c r="B545" s="750"/>
      <c r="C545" s="750"/>
      <c r="D545" s="750"/>
      <c r="E545" s="750" t="s">
        <v>184</v>
      </c>
      <c r="F545" s="750"/>
      <c r="G545" s="596"/>
      <c r="H545" s="165" t="s">
        <v>12</v>
      </c>
      <c r="I545" s="610"/>
      <c r="J545" s="610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597"/>
      <c r="R545" s="597"/>
      <c r="S545" s="597"/>
      <c r="T545" s="597"/>
      <c r="U545" s="597"/>
      <c r="V545" s="597"/>
      <c r="W545" s="597"/>
      <c r="X545" s="597"/>
      <c r="Y545" s="597"/>
      <c r="Z545" s="597"/>
    </row>
    <row r="546" spans="1:26" ht="18.75" hidden="1">
      <c r="A546" s="592"/>
      <c r="B546" s="600"/>
      <c r="C546" s="750"/>
      <c r="D546" s="750"/>
      <c r="E546" s="750" t="s">
        <v>185</v>
      </c>
      <c r="F546" s="750"/>
      <c r="G546" s="596"/>
      <c r="H546" s="165" t="s">
        <v>12</v>
      </c>
      <c r="I546" s="610"/>
      <c r="J546" s="610"/>
      <c r="K546" s="93"/>
      <c r="L546" s="93">
        <f t="shared" ca="1" si="239"/>
        <v>236000</v>
      </c>
      <c r="M546" s="93">
        <f t="shared" si="240"/>
        <v>0</v>
      </c>
      <c r="N546" s="93">
        <f t="shared" si="240"/>
        <v>29280</v>
      </c>
      <c r="O546" s="93">
        <f t="shared" ca="1" si="237"/>
        <v>12.40677966101695</v>
      </c>
      <c r="P546" s="93">
        <f t="shared" si="238"/>
        <v>0</v>
      </c>
      <c r="Q546" s="597"/>
      <c r="R546" s="597"/>
      <c r="S546" s="597"/>
      <c r="T546" s="597"/>
      <c r="U546" s="597"/>
      <c r="V546" s="597"/>
      <c r="W546" s="597"/>
      <c r="X546" s="597"/>
      <c r="Y546" s="597"/>
      <c r="Z546" s="597"/>
    </row>
    <row r="547" spans="1:26" ht="18.75">
      <c r="A547" s="590"/>
      <c r="B547" s="568"/>
      <c r="C547" s="754"/>
      <c r="D547" s="599" t="s">
        <v>20</v>
      </c>
      <c r="E547" s="754"/>
      <c r="F547" s="754"/>
      <c r="G547" s="189"/>
      <c r="H547" s="161" t="s">
        <v>12</v>
      </c>
      <c r="I547" s="184"/>
      <c r="J547" s="184"/>
      <c r="K547" s="163"/>
      <c r="L547" s="496">
        <f t="shared" ref="L547:N547" ca="1" si="241">L548+L549</f>
        <v>236000</v>
      </c>
      <c r="M547" s="496">
        <f t="shared" si="241"/>
        <v>0</v>
      </c>
      <c r="N547" s="496">
        <f t="shared" si="241"/>
        <v>29280</v>
      </c>
      <c r="O547" s="496">
        <f t="shared" ca="1" si="237"/>
        <v>12.40677966101695</v>
      </c>
      <c r="P547" s="496">
        <f t="shared" si="238"/>
        <v>0</v>
      </c>
      <c r="Q547" s="571"/>
      <c r="R547" s="571"/>
      <c r="S547" s="571"/>
      <c r="T547" s="571"/>
      <c r="U547" s="571"/>
      <c r="V547" s="571"/>
      <c r="W547" s="571"/>
      <c r="X547" s="571"/>
      <c r="Y547" s="571"/>
      <c r="Z547" s="571"/>
    </row>
    <row r="548" spans="1:26" ht="18.75" hidden="1">
      <c r="A548" s="592"/>
      <c r="B548" s="600"/>
      <c r="C548" s="750"/>
      <c r="D548" s="711"/>
      <c r="E548" s="750" t="s">
        <v>184</v>
      </c>
      <c r="F548" s="750"/>
      <c r="G548" s="596"/>
      <c r="H548" s="165" t="s">
        <v>12</v>
      </c>
      <c r="I548" s="610"/>
      <c r="J548" s="610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597"/>
      <c r="R548" s="597"/>
      <c r="S548" s="597"/>
      <c r="T548" s="597"/>
      <c r="U548" s="597"/>
      <c r="V548" s="597"/>
      <c r="W548" s="597"/>
      <c r="X548" s="597"/>
      <c r="Y548" s="597"/>
      <c r="Z548" s="597"/>
    </row>
    <row r="549" spans="1:26" ht="18.75" hidden="1">
      <c r="A549" s="592"/>
      <c r="B549" s="600"/>
      <c r="C549" s="750"/>
      <c r="D549" s="711"/>
      <c r="E549" s="750" t="s">
        <v>185</v>
      </c>
      <c r="F549" s="750"/>
      <c r="G549" s="596"/>
      <c r="H549" s="165" t="s">
        <v>12</v>
      </c>
      <c r="I549" s="610"/>
      <c r="J549" s="610"/>
      <c r="K549" s="93"/>
      <c r="L549" s="93">
        <f ca="1">IFERROR(__xludf.DUMMYFUNCTION("IMPORTRANGE(""https://docs.google.com/spreadsheets/d/1QqKyyYR6Q21VydFLVH3TRQUabQu_ym0Zz7PgGX0-kHA/edit?usp=sharing"",""แผน!HB66"")"),236000)</f>
        <v>236000</v>
      </c>
      <c r="M549" s="93">
        <v>0</v>
      </c>
      <c r="N549" s="93">
        <f>N550+N551+N552+N553+N554</f>
        <v>29280</v>
      </c>
      <c r="O549" s="93">
        <f t="shared" ca="1" si="237"/>
        <v>12.40677966101695</v>
      </c>
      <c r="P549" s="93">
        <f t="shared" si="238"/>
        <v>0</v>
      </c>
      <c r="Q549" s="597"/>
      <c r="R549" s="597"/>
      <c r="S549" s="597"/>
      <c r="T549" s="597"/>
      <c r="U549" s="597"/>
      <c r="V549" s="597"/>
      <c r="W549" s="597"/>
      <c r="X549" s="597"/>
      <c r="Y549" s="597"/>
      <c r="Z549" s="597"/>
    </row>
    <row r="550" spans="1:26" ht="18.75">
      <c r="A550" s="567"/>
      <c r="B550" s="568"/>
      <c r="C550" s="754"/>
      <c r="D550" s="754"/>
      <c r="E550" s="754"/>
      <c r="F550" s="754" t="s">
        <v>186</v>
      </c>
      <c r="G550" s="189"/>
      <c r="H550" s="161" t="s">
        <v>12</v>
      </c>
      <c r="I550" s="269"/>
      <c r="J550" s="269"/>
      <c r="K550" s="496"/>
      <c r="L550" s="496"/>
      <c r="M550" s="496"/>
      <c r="N550" s="817">
        <v>0</v>
      </c>
      <c r="O550" s="496"/>
      <c r="P550" s="496"/>
      <c r="Q550" s="571"/>
      <c r="R550" s="571"/>
      <c r="S550" s="571"/>
      <c r="T550" s="571"/>
      <c r="U550" s="571"/>
      <c r="V550" s="571"/>
      <c r="W550" s="571"/>
      <c r="X550" s="571"/>
      <c r="Y550" s="571"/>
      <c r="Z550" s="571"/>
    </row>
    <row r="551" spans="1:26" ht="18.75">
      <c r="A551" s="567"/>
      <c r="B551" s="568"/>
      <c r="C551" s="568"/>
      <c r="D551" s="568"/>
      <c r="E551" s="754"/>
      <c r="F551" s="754" t="s">
        <v>187</v>
      </c>
      <c r="G551" s="189"/>
      <c r="H551" s="161" t="s">
        <v>12</v>
      </c>
      <c r="I551" s="269"/>
      <c r="J551" s="269"/>
      <c r="K551" s="496"/>
      <c r="L551" s="496"/>
      <c r="M551" s="496"/>
      <c r="N551" s="817">
        <v>0</v>
      </c>
      <c r="O551" s="496"/>
      <c r="P551" s="496"/>
      <c r="Q551" s="571"/>
      <c r="R551" s="571"/>
      <c r="S551" s="571"/>
      <c r="T551" s="571"/>
      <c r="U551" s="571"/>
      <c r="V551" s="571"/>
      <c r="W551" s="571"/>
      <c r="X551" s="571"/>
      <c r="Y551" s="571"/>
      <c r="Z551" s="571"/>
    </row>
    <row r="552" spans="1:26" ht="18.75">
      <c r="A552" s="567"/>
      <c r="B552" s="568"/>
      <c r="C552" s="754"/>
      <c r="D552" s="754"/>
      <c r="E552" s="754"/>
      <c r="F552" s="754" t="s">
        <v>188</v>
      </c>
      <c r="G552" s="189"/>
      <c r="H552" s="161" t="s">
        <v>12</v>
      </c>
      <c r="I552" s="269"/>
      <c r="J552" s="269"/>
      <c r="K552" s="496"/>
      <c r="L552" s="496"/>
      <c r="M552" s="496"/>
      <c r="N552" s="817">
        <v>26000</v>
      </c>
      <c r="O552" s="496"/>
      <c r="P552" s="496"/>
      <c r="Q552" s="571"/>
      <c r="R552" s="571"/>
      <c r="S552" s="571"/>
      <c r="T552" s="571"/>
      <c r="U552" s="571"/>
      <c r="V552" s="571"/>
      <c r="W552" s="571"/>
      <c r="X552" s="571"/>
      <c r="Y552" s="571"/>
      <c r="Z552" s="571"/>
    </row>
    <row r="553" spans="1:26" ht="18.75">
      <c r="A553" s="567"/>
      <c r="B553" s="568"/>
      <c r="C553" s="568"/>
      <c r="D553" s="568"/>
      <c r="E553" s="754"/>
      <c r="F553" s="754" t="s">
        <v>189</v>
      </c>
      <c r="G553" s="189"/>
      <c r="H553" s="161" t="s">
        <v>12</v>
      </c>
      <c r="I553" s="269"/>
      <c r="J553" s="269"/>
      <c r="K553" s="496"/>
      <c r="L553" s="496"/>
      <c r="M553" s="496"/>
      <c r="N553" s="817">
        <v>3280</v>
      </c>
      <c r="O553" s="496"/>
      <c r="P553" s="496"/>
      <c r="Q553" s="571"/>
      <c r="R553" s="571"/>
      <c r="S553" s="571"/>
      <c r="T553" s="571"/>
      <c r="U553" s="571"/>
      <c r="V553" s="571"/>
      <c r="W553" s="571"/>
      <c r="X553" s="571"/>
      <c r="Y553" s="571"/>
      <c r="Z553" s="571"/>
    </row>
    <row r="554" spans="1:26" ht="18.75">
      <c r="A554" s="567"/>
      <c r="B554" s="568"/>
      <c r="C554" s="568"/>
      <c r="D554" s="568"/>
      <c r="E554" s="754"/>
      <c r="F554" s="754" t="s">
        <v>233</v>
      </c>
      <c r="G554" s="189"/>
      <c r="H554" s="161" t="s">
        <v>12</v>
      </c>
      <c r="I554" s="269"/>
      <c r="J554" s="269"/>
      <c r="K554" s="496"/>
      <c r="L554" s="496"/>
      <c r="M554" s="496"/>
      <c r="N554" s="817">
        <v>0</v>
      </c>
      <c r="O554" s="496"/>
      <c r="P554" s="496"/>
      <c r="Q554" s="571"/>
      <c r="R554" s="571"/>
      <c r="S554" s="571"/>
      <c r="T554" s="571"/>
      <c r="U554" s="571"/>
      <c r="V554" s="571"/>
      <c r="W554" s="571"/>
      <c r="X554" s="571"/>
      <c r="Y554" s="571"/>
      <c r="Z554" s="571"/>
    </row>
    <row r="555" spans="1:26" ht="18.75">
      <c r="A555" s="590"/>
      <c r="B555" s="568"/>
      <c r="C555" s="568"/>
      <c r="D555" s="599" t="s">
        <v>21</v>
      </c>
      <c r="E555" s="754"/>
      <c r="F555" s="754"/>
      <c r="G555" s="189"/>
      <c r="H555" s="168" t="s">
        <v>12</v>
      </c>
      <c r="I555" s="184"/>
      <c r="J555" s="184"/>
      <c r="K555" s="163"/>
      <c r="L555" s="496">
        <f t="shared" ref="L555:N555" ca="1" si="242">L556+L557</f>
        <v>0</v>
      </c>
      <c r="M555" s="496">
        <f t="shared" si="242"/>
        <v>0</v>
      </c>
      <c r="N555" s="496">
        <f t="shared" si="242"/>
        <v>0</v>
      </c>
      <c r="O555" s="496">
        <f t="shared" ref="O555:O557" ca="1" si="243">IF(L555&gt;0,N555*100/L555,0)</f>
        <v>0</v>
      </c>
      <c r="P555" s="496">
        <f t="shared" ref="P555:P557" si="244">IF(M555&gt;0,N555*100/M555,0)</f>
        <v>0</v>
      </c>
      <c r="Q555" s="571"/>
      <c r="R555" s="571"/>
      <c r="S555" s="571"/>
      <c r="T555" s="571"/>
      <c r="U555" s="571"/>
      <c r="V555" s="571"/>
      <c r="W555" s="571"/>
      <c r="X555" s="571"/>
      <c r="Y555" s="571"/>
      <c r="Z555" s="571"/>
    </row>
    <row r="556" spans="1:26" ht="18.75" hidden="1">
      <c r="A556" s="592"/>
      <c r="B556" s="600"/>
      <c r="C556" s="600"/>
      <c r="D556" s="750"/>
      <c r="E556" s="750" t="s">
        <v>18</v>
      </c>
      <c r="F556" s="750"/>
      <c r="G556" s="596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597"/>
      <c r="R556" s="597"/>
      <c r="S556" s="597"/>
      <c r="T556" s="597"/>
      <c r="U556" s="597"/>
      <c r="V556" s="597"/>
      <c r="W556" s="597"/>
      <c r="X556" s="597"/>
      <c r="Y556" s="597"/>
      <c r="Z556" s="597"/>
    </row>
    <row r="557" spans="1:26" ht="18.75" hidden="1">
      <c r="A557" s="592"/>
      <c r="B557" s="600"/>
      <c r="C557" s="600"/>
      <c r="D557" s="750"/>
      <c r="E557" s="750" t="s">
        <v>19</v>
      </c>
      <c r="F557" s="750"/>
      <c r="G557" s="596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IFERROR(__xludf.DUMMYFUNCTION("IMPORTRANGE(""https://docs.google.com/spreadsheets/d/1QqKyyYR6Q21VydFLVH3TRQUabQu_ym0Zz7PgGX0-kHA/edit?usp=sharing"",""แผน!HF66"")"),0)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597"/>
      <c r="R557" s="597"/>
      <c r="S557" s="597"/>
      <c r="T557" s="597"/>
      <c r="U557" s="597"/>
      <c r="V557" s="597"/>
      <c r="W557" s="597"/>
      <c r="X557" s="597"/>
      <c r="Y557" s="597"/>
      <c r="Z557" s="597"/>
    </row>
    <row r="558" spans="1:26" ht="19.5">
      <c r="A558" s="601"/>
      <c r="B558" s="611"/>
      <c r="C558" s="568" t="s">
        <v>16</v>
      </c>
      <c r="D558" s="839" t="s">
        <v>38</v>
      </c>
      <c r="E558" s="752"/>
      <c r="F558" s="752"/>
      <c r="G558" s="606"/>
      <c r="H558" s="753"/>
      <c r="I558" s="184"/>
      <c r="J558" s="184"/>
      <c r="K558" s="163"/>
      <c r="L558" s="163"/>
      <c r="M558" s="163"/>
      <c r="N558" s="163"/>
      <c r="O558" s="163"/>
      <c r="P558" s="163"/>
      <c r="Q558" s="571"/>
      <c r="R558" s="571"/>
      <c r="S558" s="571"/>
      <c r="T558" s="571"/>
      <c r="U558" s="571"/>
      <c r="V558" s="571"/>
      <c r="W558" s="571"/>
      <c r="X558" s="571"/>
      <c r="Y558" s="571"/>
      <c r="Z558" s="571"/>
    </row>
    <row r="559" spans="1:26" ht="19.5" hidden="1">
      <c r="A559" s="685"/>
      <c r="B559" s="686" t="s">
        <v>234</v>
      </c>
      <c r="C559" s="687"/>
      <c r="D559" s="687"/>
      <c r="E559" s="666"/>
      <c r="F559" s="666"/>
      <c r="G559" s="667"/>
      <c r="H559" s="688" t="s">
        <v>46</v>
      </c>
      <c r="I559" s="699">
        <f t="shared" ref="I559:J559" ca="1" si="245">I576</f>
        <v>0</v>
      </c>
      <c r="J559" s="699">
        <f t="shared" si="245"/>
        <v>0</v>
      </c>
      <c r="K559" s="670">
        <f t="shared" ref="K559:K561" ca="1" si="246">IF(I559&gt;0,J559*100/I559,0)</f>
        <v>0</v>
      </c>
      <c r="L559" s="671"/>
      <c r="M559" s="671"/>
      <c r="N559" s="671"/>
      <c r="O559" s="671"/>
      <c r="P559" s="671"/>
      <c r="Q559" s="571"/>
      <c r="R559" s="571"/>
      <c r="S559" s="571"/>
      <c r="T559" s="571"/>
      <c r="U559" s="571"/>
      <c r="V559" s="571"/>
      <c r="W559" s="571"/>
      <c r="X559" s="571"/>
      <c r="Y559" s="571"/>
      <c r="Z559" s="571"/>
    </row>
    <row r="560" spans="1:26" ht="19.5" hidden="1">
      <c r="A560" s="601"/>
      <c r="B560" s="611"/>
      <c r="C560" s="618" t="s">
        <v>235</v>
      </c>
      <c r="D560" s="611"/>
      <c r="E560" s="619"/>
      <c r="F560" s="619"/>
      <c r="G560" s="753"/>
      <c r="H560" s="758" t="s">
        <v>46</v>
      </c>
      <c r="I560" s="193">
        <f ca="1">IFERROR(__xludf.DUMMYFUNCTION("IMPORTRANGE(""https://docs.google.com/spreadsheets/d/1QqKyyYR6Q21VydFLVH3TRQUabQu_ym0Zz7PgGX0-kHA/edit?usp=sharing"",""แผน!HH66"")"),0)</f>
        <v>0</v>
      </c>
      <c r="J560" s="193">
        <f t="shared" ref="J560:J561" si="247">J562+J564+J566</f>
        <v>0</v>
      </c>
      <c r="K560" s="410">
        <f t="shared" ca="1" si="246"/>
        <v>0</v>
      </c>
      <c r="L560" s="163"/>
      <c r="M560" s="163"/>
      <c r="N560" s="163"/>
      <c r="O560" s="163"/>
      <c r="P560" s="163"/>
      <c r="Q560" s="571"/>
      <c r="R560" s="571"/>
      <c r="S560" s="571"/>
      <c r="T560" s="571"/>
      <c r="U560" s="571"/>
      <c r="V560" s="571"/>
      <c r="W560" s="571"/>
      <c r="X560" s="571"/>
      <c r="Y560" s="571"/>
      <c r="Z560" s="571"/>
    </row>
    <row r="561" spans="1:26" ht="19.5" hidden="1">
      <c r="A561" s="601"/>
      <c r="B561" s="611"/>
      <c r="C561" s="611"/>
      <c r="D561" s="619"/>
      <c r="E561" s="619"/>
      <c r="F561" s="619"/>
      <c r="G561" s="753"/>
      <c r="H561" s="758" t="s">
        <v>34</v>
      </c>
      <c r="I561" s="193">
        <f ca="1">IFERROR(__xludf.DUMMYFUNCTION("IMPORTRANGE(""https://docs.google.com/spreadsheets/d/1QqKyyYR6Q21VydFLVH3TRQUabQu_ym0Zz7PgGX0-kHA/edit?usp=sharing"",""แผน!HG66"")"),0)</f>
        <v>0</v>
      </c>
      <c r="J561" s="193">
        <f t="shared" si="247"/>
        <v>0</v>
      </c>
      <c r="K561" s="410">
        <f t="shared" ca="1" si="246"/>
        <v>0</v>
      </c>
      <c r="L561" s="163"/>
      <c r="M561" s="163"/>
      <c r="N561" s="163"/>
      <c r="O561" s="163"/>
      <c r="P561" s="163"/>
      <c r="Q561" s="571"/>
      <c r="R561" s="571"/>
      <c r="S561" s="571"/>
      <c r="T561" s="571"/>
      <c r="U561" s="571"/>
      <c r="V561" s="571"/>
      <c r="W561" s="571"/>
      <c r="X561" s="571"/>
      <c r="Y561" s="571"/>
      <c r="Z561" s="571"/>
    </row>
    <row r="562" spans="1:26" ht="18.75" hidden="1">
      <c r="A562" s="601"/>
      <c r="B562" s="611"/>
      <c r="C562" s="611"/>
      <c r="D562" s="619" t="s">
        <v>236</v>
      </c>
      <c r="E562" s="619"/>
      <c r="F562" s="619"/>
      <c r="G562" s="753"/>
      <c r="H562" s="755" t="s">
        <v>46</v>
      </c>
      <c r="I562" s="184"/>
      <c r="J562" s="214">
        <v>0</v>
      </c>
      <c r="K562" s="163"/>
      <c r="L562" s="163"/>
      <c r="M562" s="163"/>
      <c r="N562" s="163"/>
      <c r="O562" s="163"/>
      <c r="P562" s="163"/>
      <c r="Q562" s="571"/>
      <c r="R562" s="571"/>
      <c r="S562" s="571"/>
      <c r="T562" s="571"/>
      <c r="U562" s="571"/>
      <c r="V562" s="571"/>
      <c r="W562" s="571"/>
      <c r="X562" s="571"/>
      <c r="Y562" s="571"/>
      <c r="Z562" s="571"/>
    </row>
    <row r="563" spans="1:26" ht="18.75" hidden="1">
      <c r="A563" s="601"/>
      <c r="B563" s="611"/>
      <c r="C563" s="611"/>
      <c r="D563" s="611"/>
      <c r="E563" s="619"/>
      <c r="F563" s="619"/>
      <c r="G563" s="753"/>
      <c r="H563" s="755" t="s">
        <v>34</v>
      </c>
      <c r="I563" s="184"/>
      <c r="J563" s="214">
        <v>0</v>
      </c>
      <c r="K563" s="163"/>
      <c r="L563" s="163"/>
      <c r="M563" s="163"/>
      <c r="N563" s="163"/>
      <c r="O563" s="163"/>
      <c r="P563" s="163"/>
      <c r="Q563" s="571"/>
      <c r="R563" s="571"/>
      <c r="S563" s="571"/>
      <c r="T563" s="571"/>
      <c r="U563" s="571"/>
      <c r="V563" s="571"/>
      <c r="W563" s="571"/>
      <c r="X563" s="571"/>
      <c r="Y563" s="571"/>
      <c r="Z563" s="571"/>
    </row>
    <row r="564" spans="1:26" ht="18.75" hidden="1">
      <c r="A564" s="601"/>
      <c r="B564" s="611"/>
      <c r="C564" s="611"/>
      <c r="D564" s="619" t="s">
        <v>237</v>
      </c>
      <c r="E564" s="619"/>
      <c r="F564" s="619"/>
      <c r="G564" s="753"/>
      <c r="H564" s="755" t="s">
        <v>46</v>
      </c>
      <c r="I564" s="184"/>
      <c r="J564" s="214">
        <v>0</v>
      </c>
      <c r="K564" s="163"/>
      <c r="L564" s="163"/>
      <c r="M564" s="163"/>
      <c r="N564" s="163"/>
      <c r="O564" s="163"/>
      <c r="P564" s="163"/>
      <c r="Q564" s="571"/>
      <c r="R564" s="571"/>
      <c r="S564" s="571"/>
      <c r="T564" s="571"/>
      <c r="U564" s="571"/>
      <c r="V564" s="571"/>
      <c r="W564" s="571"/>
      <c r="X564" s="571"/>
      <c r="Y564" s="571"/>
      <c r="Z564" s="571"/>
    </row>
    <row r="565" spans="1:26" ht="18.75" hidden="1">
      <c r="A565" s="601"/>
      <c r="B565" s="611"/>
      <c r="C565" s="611"/>
      <c r="D565" s="619"/>
      <c r="E565" s="619"/>
      <c r="F565" s="619"/>
      <c r="G565" s="753"/>
      <c r="H565" s="755" t="s">
        <v>34</v>
      </c>
      <c r="I565" s="184"/>
      <c r="J565" s="214">
        <v>0</v>
      </c>
      <c r="K565" s="163"/>
      <c r="L565" s="163"/>
      <c r="M565" s="163"/>
      <c r="N565" s="163"/>
      <c r="O565" s="163"/>
      <c r="P565" s="163"/>
      <c r="Q565" s="571"/>
      <c r="R565" s="571"/>
      <c r="S565" s="571"/>
      <c r="T565" s="571"/>
      <c r="U565" s="571"/>
      <c r="V565" s="571"/>
      <c r="W565" s="571"/>
      <c r="X565" s="571"/>
      <c r="Y565" s="571"/>
      <c r="Z565" s="571"/>
    </row>
    <row r="566" spans="1:26" ht="18.75" hidden="1">
      <c r="A566" s="601"/>
      <c r="B566" s="611"/>
      <c r="C566" s="611"/>
      <c r="D566" s="619" t="s">
        <v>238</v>
      </c>
      <c r="E566" s="619"/>
      <c r="F566" s="619"/>
      <c r="G566" s="753"/>
      <c r="H566" s="755" t="s">
        <v>46</v>
      </c>
      <c r="I566" s="184"/>
      <c r="J566" s="214">
        <v>0</v>
      </c>
      <c r="K566" s="163"/>
      <c r="L566" s="163"/>
      <c r="M566" s="163"/>
      <c r="N566" s="163"/>
      <c r="O566" s="163"/>
      <c r="P566" s="163"/>
      <c r="Q566" s="571"/>
      <c r="R566" s="571"/>
      <c r="S566" s="571"/>
      <c r="T566" s="571"/>
      <c r="U566" s="571"/>
      <c r="V566" s="571"/>
      <c r="W566" s="571"/>
      <c r="X566" s="571"/>
      <c r="Y566" s="571"/>
      <c r="Z566" s="571"/>
    </row>
    <row r="567" spans="1:26" ht="18.75" hidden="1">
      <c r="A567" s="601"/>
      <c r="B567" s="611"/>
      <c r="C567" s="611"/>
      <c r="D567" s="619"/>
      <c r="E567" s="619"/>
      <c r="F567" s="619"/>
      <c r="G567" s="753"/>
      <c r="H567" s="755" t="s">
        <v>34</v>
      </c>
      <c r="I567" s="184"/>
      <c r="J567" s="214">
        <v>0</v>
      </c>
      <c r="K567" s="163"/>
      <c r="L567" s="163"/>
      <c r="M567" s="163"/>
      <c r="N567" s="163"/>
      <c r="O567" s="163"/>
      <c r="P567" s="163"/>
      <c r="Q567" s="571"/>
      <c r="R567" s="571"/>
      <c r="S567" s="571"/>
      <c r="T567" s="571"/>
      <c r="U567" s="571"/>
      <c r="V567" s="571"/>
      <c r="W567" s="571"/>
      <c r="X567" s="571"/>
      <c r="Y567" s="571"/>
      <c r="Z567" s="571"/>
    </row>
    <row r="568" spans="1:26" ht="19.5" hidden="1">
      <c r="A568" s="601"/>
      <c r="B568" s="611"/>
      <c r="C568" s="618" t="s">
        <v>239</v>
      </c>
      <c r="D568" s="619"/>
      <c r="E568" s="619"/>
      <c r="F568" s="619"/>
      <c r="G568" s="753"/>
      <c r="H568" s="758" t="s">
        <v>46</v>
      </c>
      <c r="I568" s="193">
        <f ca="1">IFERROR(__xludf.DUMMYFUNCTION("IMPORTRANGE(""https://docs.google.com/spreadsheets/d/1QqKyyYR6Q21VydFLVH3TRQUabQu_ym0Zz7PgGX0-kHA/edit?usp=sharing"",""แผน!HH66"")"),0)</f>
        <v>0</v>
      </c>
      <c r="J568" s="674">
        <f t="shared" ref="J568:J569" si="248">J570+J572+J574</f>
        <v>0</v>
      </c>
      <c r="K568" s="410">
        <f t="shared" ref="K568:K569" ca="1" si="249">IF(I568&gt;0,J568*100/I568,0)</f>
        <v>0</v>
      </c>
      <c r="L568" s="163"/>
      <c r="M568" s="163"/>
      <c r="N568" s="163"/>
      <c r="O568" s="163"/>
      <c r="P568" s="163"/>
      <c r="Q568" s="571"/>
      <c r="R568" s="571"/>
      <c r="S568" s="571"/>
      <c r="T568" s="571"/>
      <c r="U568" s="571"/>
      <c r="V568" s="571"/>
      <c r="W568" s="571"/>
      <c r="X568" s="571"/>
      <c r="Y568" s="571"/>
      <c r="Z568" s="571"/>
    </row>
    <row r="569" spans="1:26" ht="19.5" hidden="1">
      <c r="A569" s="601"/>
      <c r="B569" s="611"/>
      <c r="C569" s="611"/>
      <c r="D569" s="611"/>
      <c r="E569" s="619"/>
      <c r="F569" s="619"/>
      <c r="G569" s="753"/>
      <c r="H569" s="758" t="s">
        <v>34</v>
      </c>
      <c r="I569" s="193">
        <f ca="1">IFERROR(__xludf.DUMMYFUNCTION("IMPORTRANGE(""https://docs.google.com/spreadsheets/d/1QqKyyYR6Q21VydFLVH3TRQUabQu_ym0Zz7PgGX0-kHA/edit?usp=sharing"",""แผน!HG66"")"),0)</f>
        <v>0</v>
      </c>
      <c r="J569" s="674">
        <f t="shared" si="248"/>
        <v>0</v>
      </c>
      <c r="K569" s="410">
        <f t="shared" ca="1" si="249"/>
        <v>0</v>
      </c>
      <c r="L569" s="163"/>
      <c r="M569" s="163"/>
      <c r="N569" s="163"/>
      <c r="O569" s="163"/>
      <c r="P569" s="163"/>
      <c r="Q569" s="571"/>
      <c r="R569" s="571"/>
      <c r="S569" s="571"/>
      <c r="T569" s="571"/>
      <c r="U569" s="571"/>
      <c r="V569" s="571"/>
      <c r="W569" s="571"/>
      <c r="X569" s="571"/>
      <c r="Y569" s="571"/>
      <c r="Z569" s="571"/>
    </row>
    <row r="570" spans="1:26" ht="18.75" hidden="1">
      <c r="A570" s="601"/>
      <c r="B570" s="611"/>
      <c r="C570" s="611"/>
      <c r="D570" s="619" t="s">
        <v>240</v>
      </c>
      <c r="E570" s="611"/>
      <c r="F570" s="619"/>
      <c r="G570" s="753"/>
      <c r="H570" s="755" t="s">
        <v>46</v>
      </c>
      <c r="I570" s="184"/>
      <c r="J570" s="214">
        <v>0</v>
      </c>
      <c r="K570" s="163"/>
      <c r="L570" s="163"/>
      <c r="M570" s="163"/>
      <c r="N570" s="163"/>
      <c r="O570" s="163"/>
      <c r="P570" s="163"/>
      <c r="Q570" s="571"/>
      <c r="R570" s="571"/>
      <c r="S570" s="571"/>
      <c r="T570" s="571"/>
      <c r="U570" s="571"/>
      <c r="V570" s="571"/>
      <c r="W570" s="571"/>
      <c r="X570" s="571"/>
      <c r="Y570" s="571"/>
      <c r="Z570" s="571"/>
    </row>
    <row r="571" spans="1:26" ht="18.75" hidden="1">
      <c r="A571" s="601"/>
      <c r="B571" s="611"/>
      <c r="C571" s="611"/>
      <c r="D571" s="611"/>
      <c r="E571" s="619"/>
      <c r="F571" s="619"/>
      <c r="G571" s="753"/>
      <c r="H571" s="755" t="s">
        <v>34</v>
      </c>
      <c r="I571" s="184"/>
      <c r="J571" s="214">
        <v>0</v>
      </c>
      <c r="K571" s="163"/>
      <c r="L571" s="163"/>
      <c r="M571" s="163"/>
      <c r="N571" s="163"/>
      <c r="O571" s="163"/>
      <c r="P571" s="163"/>
      <c r="Q571" s="571"/>
      <c r="R571" s="571"/>
      <c r="S571" s="571"/>
      <c r="T571" s="571"/>
      <c r="U571" s="571"/>
      <c r="V571" s="571"/>
      <c r="W571" s="571"/>
      <c r="X571" s="571"/>
      <c r="Y571" s="571"/>
      <c r="Z571" s="571"/>
    </row>
    <row r="572" spans="1:26" ht="18.75" hidden="1">
      <c r="A572" s="601"/>
      <c r="B572" s="611"/>
      <c r="C572" s="611"/>
      <c r="D572" s="619" t="s">
        <v>241</v>
      </c>
      <c r="E572" s="619"/>
      <c r="F572" s="619"/>
      <c r="G572" s="753"/>
      <c r="H572" s="755" t="s">
        <v>46</v>
      </c>
      <c r="I572" s="184"/>
      <c r="J572" s="214">
        <v>0</v>
      </c>
      <c r="K572" s="163"/>
      <c r="L572" s="163"/>
      <c r="M572" s="163"/>
      <c r="N572" s="163"/>
      <c r="O572" s="163"/>
      <c r="P572" s="163"/>
      <c r="Q572" s="571"/>
      <c r="R572" s="571"/>
      <c r="S572" s="571"/>
      <c r="T572" s="571"/>
      <c r="U572" s="571"/>
      <c r="V572" s="571"/>
      <c r="W572" s="571"/>
      <c r="X572" s="571"/>
      <c r="Y572" s="571"/>
      <c r="Z572" s="571"/>
    </row>
    <row r="573" spans="1:26" ht="18.75" hidden="1">
      <c r="A573" s="601"/>
      <c r="B573" s="611"/>
      <c r="C573" s="611"/>
      <c r="D573" s="619"/>
      <c r="E573" s="619"/>
      <c r="F573" s="619"/>
      <c r="G573" s="753"/>
      <c r="H573" s="755" t="s">
        <v>34</v>
      </c>
      <c r="I573" s="184"/>
      <c r="J573" s="214">
        <v>0</v>
      </c>
      <c r="K573" s="163"/>
      <c r="L573" s="163"/>
      <c r="M573" s="163"/>
      <c r="N573" s="163"/>
      <c r="O573" s="163"/>
      <c r="P573" s="163"/>
      <c r="Q573" s="571"/>
      <c r="R573" s="571"/>
      <c r="S573" s="571"/>
      <c r="T573" s="571"/>
      <c r="U573" s="571"/>
      <c r="V573" s="571"/>
      <c r="W573" s="571"/>
      <c r="X573" s="571"/>
      <c r="Y573" s="571"/>
      <c r="Z573" s="571"/>
    </row>
    <row r="574" spans="1:26" ht="18.75" hidden="1">
      <c r="A574" s="601"/>
      <c r="B574" s="611"/>
      <c r="C574" s="611"/>
      <c r="D574" s="619" t="s">
        <v>242</v>
      </c>
      <c r="E574" s="619"/>
      <c r="F574" s="619"/>
      <c r="G574" s="753"/>
      <c r="H574" s="755" t="s">
        <v>46</v>
      </c>
      <c r="I574" s="184"/>
      <c r="J574" s="214">
        <v>0</v>
      </c>
      <c r="K574" s="163"/>
      <c r="L574" s="163"/>
      <c r="M574" s="163"/>
      <c r="N574" s="163"/>
      <c r="O574" s="163"/>
      <c r="P574" s="163"/>
      <c r="Q574" s="571"/>
      <c r="R574" s="571"/>
      <c r="S574" s="571"/>
      <c r="T574" s="571"/>
      <c r="U574" s="571"/>
      <c r="V574" s="571"/>
      <c r="W574" s="571"/>
      <c r="X574" s="571"/>
      <c r="Y574" s="571"/>
      <c r="Z574" s="571"/>
    </row>
    <row r="575" spans="1:26" ht="18.75" hidden="1">
      <c r="A575" s="601"/>
      <c r="B575" s="611"/>
      <c r="C575" s="611"/>
      <c r="D575" s="611"/>
      <c r="E575" s="619"/>
      <c r="F575" s="619"/>
      <c r="G575" s="753"/>
      <c r="H575" s="755" t="s">
        <v>34</v>
      </c>
      <c r="I575" s="184"/>
      <c r="J575" s="214">
        <v>0</v>
      </c>
      <c r="K575" s="163"/>
      <c r="L575" s="163"/>
      <c r="M575" s="163"/>
      <c r="N575" s="163"/>
      <c r="O575" s="163"/>
      <c r="P575" s="163"/>
      <c r="Q575" s="571"/>
      <c r="R575" s="571"/>
      <c r="S575" s="571"/>
      <c r="T575" s="571"/>
      <c r="U575" s="571"/>
      <c r="V575" s="571"/>
      <c r="W575" s="571"/>
      <c r="X575" s="571"/>
      <c r="Y575" s="571"/>
      <c r="Z575" s="571"/>
    </row>
    <row r="576" spans="1:26" ht="19.5" hidden="1">
      <c r="A576" s="601"/>
      <c r="B576" s="611"/>
      <c r="C576" s="618" t="s">
        <v>243</v>
      </c>
      <c r="D576" s="611"/>
      <c r="E576" s="611"/>
      <c r="F576" s="619"/>
      <c r="G576" s="753"/>
      <c r="H576" s="758" t="s">
        <v>46</v>
      </c>
      <c r="I576" s="193">
        <f ca="1">IFERROR(__xludf.DUMMYFUNCTION("IMPORTRANGE(""https://docs.google.com/spreadsheets/d/1QqKyyYR6Q21VydFLVH3TRQUabQu_ym0Zz7PgGX0-kHA/edit?usp=sharing"",""แผน!HH66"")"),0)</f>
        <v>0</v>
      </c>
      <c r="J576" s="674">
        <f t="shared" ref="J576:J577" si="250">J578+J580+J582+J588+J590</f>
        <v>0</v>
      </c>
      <c r="K576" s="410">
        <f t="shared" ref="K576:K577" ca="1" si="251">IF(I576&gt;0,J576*100/I576,0)</f>
        <v>0</v>
      </c>
      <c r="L576" s="163"/>
      <c r="M576" s="163"/>
      <c r="N576" s="163"/>
      <c r="O576" s="163"/>
      <c r="P576" s="163"/>
      <c r="Q576" s="571"/>
      <c r="R576" s="571"/>
      <c r="S576" s="571"/>
      <c r="T576" s="571"/>
      <c r="U576" s="571"/>
      <c r="V576" s="571"/>
      <c r="W576" s="571"/>
      <c r="X576" s="571"/>
      <c r="Y576" s="571"/>
      <c r="Z576" s="571"/>
    </row>
    <row r="577" spans="1:26" ht="19.5" hidden="1">
      <c r="A577" s="601"/>
      <c r="B577" s="611"/>
      <c r="C577" s="611"/>
      <c r="D577" s="611"/>
      <c r="E577" s="619"/>
      <c r="F577" s="619"/>
      <c r="G577" s="753"/>
      <c r="H577" s="758" t="s">
        <v>34</v>
      </c>
      <c r="I577" s="193">
        <f ca="1">IFERROR(__xludf.DUMMYFUNCTION("IMPORTRANGE(""https://docs.google.com/spreadsheets/d/1QqKyyYR6Q21VydFLVH3TRQUabQu_ym0Zz7PgGX0-kHA/edit?usp=sharing"",""แผน!HG66"")"),0)</f>
        <v>0</v>
      </c>
      <c r="J577" s="674">
        <f t="shared" si="250"/>
        <v>0</v>
      </c>
      <c r="K577" s="410">
        <f t="shared" ca="1" si="251"/>
        <v>0</v>
      </c>
      <c r="L577" s="163"/>
      <c r="M577" s="163"/>
      <c r="N577" s="163"/>
      <c r="O577" s="163"/>
      <c r="P577" s="163"/>
      <c r="Q577" s="571"/>
      <c r="R577" s="571"/>
      <c r="S577" s="571"/>
      <c r="T577" s="571"/>
      <c r="U577" s="571"/>
      <c r="V577" s="571"/>
      <c r="W577" s="571"/>
      <c r="X577" s="571"/>
      <c r="Y577" s="571"/>
      <c r="Z577" s="571"/>
    </row>
    <row r="578" spans="1:26" ht="18.75" hidden="1">
      <c r="A578" s="601"/>
      <c r="B578" s="611"/>
      <c r="C578" s="611"/>
      <c r="D578" s="619" t="s">
        <v>244</v>
      </c>
      <c r="E578" s="619"/>
      <c r="F578" s="619"/>
      <c r="G578" s="753"/>
      <c r="H578" s="755" t="s">
        <v>46</v>
      </c>
      <c r="I578" s="184"/>
      <c r="J578" s="214">
        <v>0</v>
      </c>
      <c r="K578" s="163"/>
      <c r="L578" s="163"/>
      <c r="M578" s="163"/>
      <c r="N578" s="163"/>
      <c r="O578" s="163"/>
      <c r="P578" s="163"/>
      <c r="Q578" s="571"/>
      <c r="R578" s="571"/>
      <c r="S578" s="571"/>
      <c r="T578" s="571"/>
      <c r="U578" s="571"/>
      <c r="V578" s="571"/>
      <c r="W578" s="571"/>
      <c r="X578" s="571"/>
      <c r="Y578" s="571"/>
      <c r="Z578" s="571"/>
    </row>
    <row r="579" spans="1:26" ht="18.75" hidden="1">
      <c r="A579" s="601"/>
      <c r="B579" s="611"/>
      <c r="C579" s="611"/>
      <c r="D579" s="611"/>
      <c r="E579" s="619"/>
      <c r="F579" s="619"/>
      <c r="G579" s="753"/>
      <c r="H579" s="755" t="s">
        <v>34</v>
      </c>
      <c r="I579" s="184"/>
      <c r="J579" s="214">
        <v>0</v>
      </c>
      <c r="K579" s="163"/>
      <c r="L579" s="163"/>
      <c r="M579" s="163"/>
      <c r="N579" s="163"/>
      <c r="O579" s="163"/>
      <c r="P579" s="163"/>
      <c r="Q579" s="571"/>
      <c r="R579" s="571"/>
      <c r="S579" s="571"/>
      <c r="T579" s="571"/>
      <c r="U579" s="571"/>
      <c r="V579" s="571"/>
      <c r="W579" s="571"/>
      <c r="X579" s="571"/>
      <c r="Y579" s="571"/>
      <c r="Z579" s="571"/>
    </row>
    <row r="580" spans="1:26" ht="18.75" hidden="1">
      <c r="A580" s="601"/>
      <c r="B580" s="611"/>
      <c r="C580" s="611"/>
      <c r="D580" s="619" t="s">
        <v>245</v>
      </c>
      <c r="E580" s="619"/>
      <c r="F580" s="619"/>
      <c r="G580" s="753"/>
      <c r="H580" s="755" t="s">
        <v>46</v>
      </c>
      <c r="I580" s="184"/>
      <c r="J580" s="214">
        <v>0</v>
      </c>
      <c r="K580" s="163"/>
      <c r="L580" s="163"/>
      <c r="M580" s="163"/>
      <c r="N580" s="163"/>
      <c r="O580" s="163"/>
      <c r="P580" s="163"/>
      <c r="Q580" s="571"/>
      <c r="R580" s="571"/>
      <c r="S580" s="571"/>
      <c r="T580" s="571"/>
      <c r="U580" s="571"/>
      <c r="V580" s="571"/>
      <c r="W580" s="571"/>
      <c r="X580" s="571"/>
      <c r="Y580" s="571"/>
      <c r="Z580" s="571"/>
    </row>
    <row r="581" spans="1:26" ht="18.75" hidden="1">
      <c r="A581" s="601"/>
      <c r="B581" s="611"/>
      <c r="C581" s="611"/>
      <c r="D581" s="611"/>
      <c r="E581" s="619"/>
      <c r="F581" s="619"/>
      <c r="G581" s="753"/>
      <c r="H581" s="755" t="s">
        <v>34</v>
      </c>
      <c r="I581" s="184"/>
      <c r="J581" s="214">
        <v>0</v>
      </c>
      <c r="K581" s="163"/>
      <c r="L581" s="163"/>
      <c r="M581" s="163"/>
      <c r="N581" s="163"/>
      <c r="O581" s="163"/>
      <c r="P581" s="163"/>
      <c r="Q581" s="571"/>
      <c r="R581" s="571"/>
      <c r="S581" s="571"/>
      <c r="T581" s="571"/>
      <c r="U581" s="571"/>
      <c r="V581" s="571"/>
      <c r="W581" s="571"/>
      <c r="X581" s="571"/>
      <c r="Y581" s="571"/>
      <c r="Z581" s="571"/>
    </row>
    <row r="582" spans="1:26" ht="19.5" hidden="1">
      <c r="A582" s="601"/>
      <c r="B582" s="611"/>
      <c r="C582" s="611"/>
      <c r="D582" s="619" t="s">
        <v>246</v>
      </c>
      <c r="E582" s="619"/>
      <c r="F582" s="619"/>
      <c r="G582" s="753"/>
      <c r="H582" s="755" t="s">
        <v>46</v>
      </c>
      <c r="I582" s="184"/>
      <c r="J582" s="674">
        <f t="shared" ref="J582:J583" si="252">J584+J586</f>
        <v>0</v>
      </c>
      <c r="K582" s="410"/>
      <c r="L582" s="163"/>
      <c r="M582" s="163"/>
      <c r="N582" s="163"/>
      <c r="O582" s="163"/>
      <c r="P582" s="163"/>
      <c r="Q582" s="571"/>
      <c r="R582" s="571"/>
      <c r="S582" s="571"/>
      <c r="T582" s="571"/>
      <c r="U582" s="571"/>
      <c r="V582" s="571"/>
      <c r="W582" s="571"/>
      <c r="X582" s="571"/>
      <c r="Y582" s="571"/>
      <c r="Z582" s="571"/>
    </row>
    <row r="583" spans="1:26" ht="19.5" hidden="1">
      <c r="A583" s="601"/>
      <c r="B583" s="611"/>
      <c r="C583" s="611"/>
      <c r="D583" s="611"/>
      <c r="E583" s="619"/>
      <c r="F583" s="619"/>
      <c r="G583" s="753"/>
      <c r="H583" s="755" t="s">
        <v>34</v>
      </c>
      <c r="I583" s="184"/>
      <c r="J583" s="674">
        <f t="shared" si="252"/>
        <v>0</v>
      </c>
      <c r="K583" s="410"/>
      <c r="L583" s="163"/>
      <c r="M583" s="163"/>
      <c r="N583" s="163"/>
      <c r="O583" s="163"/>
      <c r="P583" s="163"/>
      <c r="Q583" s="571"/>
      <c r="R583" s="571"/>
      <c r="S583" s="571"/>
      <c r="T583" s="571"/>
      <c r="U583" s="571"/>
      <c r="V583" s="571"/>
      <c r="W583" s="571"/>
      <c r="X583" s="571"/>
      <c r="Y583" s="571"/>
      <c r="Z583" s="571"/>
    </row>
    <row r="584" spans="1:26" ht="18.75" hidden="1">
      <c r="A584" s="601"/>
      <c r="B584" s="611"/>
      <c r="C584" s="611"/>
      <c r="D584" s="611"/>
      <c r="E584" s="619" t="s">
        <v>247</v>
      </c>
      <c r="F584" s="619"/>
      <c r="G584" s="753"/>
      <c r="H584" s="755" t="s">
        <v>46</v>
      </c>
      <c r="I584" s="184"/>
      <c r="J584" s="214">
        <v>0</v>
      </c>
      <c r="K584" s="163"/>
      <c r="L584" s="163"/>
      <c r="M584" s="163"/>
      <c r="N584" s="163"/>
      <c r="O584" s="163"/>
      <c r="P584" s="163"/>
      <c r="Q584" s="571"/>
      <c r="R584" s="571"/>
      <c r="S584" s="571"/>
      <c r="T584" s="571"/>
      <c r="U584" s="571"/>
      <c r="V584" s="571"/>
      <c r="W584" s="571"/>
      <c r="X584" s="571"/>
      <c r="Y584" s="571"/>
      <c r="Z584" s="571"/>
    </row>
    <row r="585" spans="1:26" ht="18.75" hidden="1">
      <c r="A585" s="601"/>
      <c r="B585" s="611"/>
      <c r="C585" s="611"/>
      <c r="D585" s="611"/>
      <c r="E585" s="619"/>
      <c r="F585" s="619"/>
      <c r="G585" s="753"/>
      <c r="H585" s="755" t="s">
        <v>34</v>
      </c>
      <c r="I585" s="184"/>
      <c r="J585" s="214">
        <v>0</v>
      </c>
      <c r="K585" s="163"/>
      <c r="L585" s="163"/>
      <c r="M585" s="163"/>
      <c r="N585" s="163"/>
      <c r="O585" s="163"/>
      <c r="P585" s="163"/>
      <c r="Q585" s="571"/>
      <c r="R585" s="571"/>
      <c r="S585" s="571"/>
      <c r="T585" s="571"/>
      <c r="U585" s="571"/>
      <c r="V585" s="571"/>
      <c r="W585" s="571"/>
      <c r="X585" s="571"/>
      <c r="Y585" s="571"/>
      <c r="Z585" s="571"/>
    </row>
    <row r="586" spans="1:26" ht="18.75" hidden="1">
      <c r="A586" s="601"/>
      <c r="B586" s="611"/>
      <c r="C586" s="611"/>
      <c r="D586" s="611"/>
      <c r="E586" s="619" t="s">
        <v>248</v>
      </c>
      <c r="F586" s="619"/>
      <c r="G586" s="753"/>
      <c r="H586" s="755" t="s">
        <v>46</v>
      </c>
      <c r="I586" s="184"/>
      <c r="J586" s="214">
        <v>0</v>
      </c>
      <c r="K586" s="163"/>
      <c r="L586" s="163"/>
      <c r="M586" s="163"/>
      <c r="N586" s="163"/>
      <c r="O586" s="163"/>
      <c r="P586" s="163"/>
      <c r="Q586" s="571"/>
      <c r="R586" s="571"/>
      <c r="S586" s="571"/>
      <c r="T586" s="571"/>
      <c r="U586" s="571"/>
      <c r="V586" s="571"/>
      <c r="W586" s="571"/>
      <c r="X586" s="571"/>
      <c r="Y586" s="571"/>
      <c r="Z586" s="571"/>
    </row>
    <row r="587" spans="1:26" ht="18.75" hidden="1">
      <c r="A587" s="601"/>
      <c r="B587" s="611"/>
      <c r="C587" s="611"/>
      <c r="D587" s="611"/>
      <c r="E587" s="611"/>
      <c r="F587" s="619"/>
      <c r="G587" s="753"/>
      <c r="H587" s="755" t="s">
        <v>34</v>
      </c>
      <c r="I587" s="184"/>
      <c r="J587" s="214">
        <v>0</v>
      </c>
      <c r="K587" s="163"/>
      <c r="L587" s="163"/>
      <c r="M587" s="163"/>
      <c r="N587" s="163"/>
      <c r="O587" s="163"/>
      <c r="P587" s="163"/>
      <c r="Q587" s="571"/>
      <c r="R587" s="571"/>
      <c r="S587" s="571"/>
      <c r="T587" s="571"/>
      <c r="U587" s="571"/>
      <c r="V587" s="571"/>
      <c r="W587" s="571"/>
      <c r="X587" s="571"/>
      <c r="Y587" s="571"/>
      <c r="Z587" s="571"/>
    </row>
    <row r="588" spans="1:26" ht="18.75" hidden="1">
      <c r="A588" s="601"/>
      <c r="B588" s="611"/>
      <c r="C588" s="611"/>
      <c r="D588" s="619" t="s">
        <v>249</v>
      </c>
      <c r="E588" s="619"/>
      <c r="F588" s="619"/>
      <c r="G588" s="753"/>
      <c r="H588" s="755" t="s">
        <v>46</v>
      </c>
      <c r="I588" s="184"/>
      <c r="J588" s="214">
        <v>0</v>
      </c>
      <c r="K588" s="163"/>
      <c r="L588" s="163"/>
      <c r="M588" s="163"/>
      <c r="N588" s="163"/>
      <c r="O588" s="163"/>
      <c r="P588" s="163"/>
      <c r="Q588" s="571"/>
      <c r="R588" s="571"/>
      <c r="S588" s="571"/>
      <c r="T588" s="571"/>
      <c r="U588" s="571"/>
      <c r="V588" s="571"/>
      <c r="W588" s="571"/>
      <c r="X588" s="571"/>
      <c r="Y588" s="571"/>
      <c r="Z588" s="571"/>
    </row>
    <row r="589" spans="1:26" ht="18.75" hidden="1">
      <c r="A589" s="601"/>
      <c r="B589" s="611"/>
      <c r="C589" s="611"/>
      <c r="D589" s="611"/>
      <c r="E589" s="611"/>
      <c r="F589" s="619"/>
      <c r="G589" s="753"/>
      <c r="H589" s="755" t="s">
        <v>34</v>
      </c>
      <c r="I589" s="184"/>
      <c r="J589" s="214">
        <v>0</v>
      </c>
      <c r="K589" s="163"/>
      <c r="L589" s="163"/>
      <c r="M589" s="163"/>
      <c r="N589" s="163"/>
      <c r="O589" s="163"/>
      <c r="P589" s="163"/>
      <c r="Q589" s="571"/>
      <c r="R589" s="571"/>
      <c r="S589" s="571"/>
      <c r="T589" s="571"/>
      <c r="U589" s="571"/>
      <c r="V589" s="571"/>
      <c r="W589" s="571"/>
      <c r="X589" s="571"/>
      <c r="Y589" s="571"/>
      <c r="Z589" s="571"/>
    </row>
    <row r="590" spans="1:26" ht="18.75" hidden="1">
      <c r="A590" s="601"/>
      <c r="B590" s="611"/>
      <c r="C590" s="611"/>
      <c r="D590" s="619" t="s">
        <v>250</v>
      </c>
      <c r="E590" s="619"/>
      <c r="F590" s="619"/>
      <c r="G590" s="753"/>
      <c r="H590" s="755" t="s">
        <v>46</v>
      </c>
      <c r="I590" s="184"/>
      <c r="J590" s="214">
        <v>0</v>
      </c>
      <c r="K590" s="163"/>
      <c r="L590" s="163"/>
      <c r="M590" s="163"/>
      <c r="N590" s="163"/>
      <c r="O590" s="163"/>
      <c r="P590" s="163"/>
      <c r="Q590" s="571"/>
      <c r="R590" s="571"/>
      <c r="S590" s="571"/>
      <c r="T590" s="571"/>
      <c r="U590" s="571"/>
      <c r="V590" s="571"/>
      <c r="W590" s="571"/>
      <c r="X590" s="571"/>
      <c r="Y590" s="571"/>
      <c r="Z590" s="571"/>
    </row>
    <row r="591" spans="1:26" ht="18.75" hidden="1">
      <c r="A591" s="689"/>
      <c r="B591" s="690"/>
      <c r="C591" s="690"/>
      <c r="D591" s="690"/>
      <c r="E591" s="571"/>
      <c r="F591" s="571"/>
      <c r="G591" s="691"/>
      <c r="H591" s="692" t="s">
        <v>34</v>
      </c>
      <c r="I591" s="693"/>
      <c r="J591" s="694">
        <v>0</v>
      </c>
      <c r="K591" s="695"/>
      <c r="L591" s="695"/>
      <c r="M591" s="695"/>
      <c r="N591" s="695"/>
      <c r="O591" s="695"/>
      <c r="P591" s="695"/>
      <c r="Q591" s="571"/>
      <c r="R591" s="571"/>
      <c r="S591" s="571"/>
      <c r="T591" s="571"/>
      <c r="U591" s="571"/>
      <c r="V591" s="571"/>
      <c r="W591" s="571"/>
      <c r="X591" s="571"/>
      <c r="Y591" s="571"/>
      <c r="Z591" s="571"/>
    </row>
    <row r="592" spans="1:26" ht="19.5">
      <c r="A592" s="685"/>
      <c r="B592" s="686" t="s">
        <v>251</v>
      </c>
      <c r="C592" s="687"/>
      <c r="D592" s="687"/>
      <c r="E592" s="666"/>
      <c r="F592" s="666"/>
      <c r="G592" s="667"/>
      <c r="H592" s="688" t="s">
        <v>46</v>
      </c>
      <c r="I592" s="699">
        <f t="shared" ref="I592:J592" ca="1" si="253">I593</f>
        <v>1149</v>
      </c>
      <c r="J592" s="699">
        <f t="shared" si="253"/>
        <v>95</v>
      </c>
      <c r="K592" s="670">
        <f t="shared" ref="K592:K594" ca="1" si="254">IF(I592&gt;0,J592*100/I592,0)</f>
        <v>8.2680591818973017</v>
      </c>
      <c r="L592" s="671"/>
      <c r="M592" s="671"/>
      <c r="N592" s="671"/>
      <c r="O592" s="671"/>
      <c r="P592" s="671"/>
      <c r="Q592" s="571"/>
      <c r="R592" s="571"/>
      <c r="S592" s="571"/>
      <c r="T592" s="571"/>
      <c r="U592" s="571"/>
      <c r="V592" s="571"/>
      <c r="W592" s="571"/>
      <c r="X592" s="571"/>
      <c r="Y592" s="571"/>
      <c r="Z592" s="571"/>
    </row>
    <row r="593" spans="1:26" ht="19.5">
      <c r="A593" s="601"/>
      <c r="B593" s="611"/>
      <c r="C593" s="618" t="s">
        <v>252</v>
      </c>
      <c r="D593" s="611"/>
      <c r="E593" s="611"/>
      <c r="F593" s="619"/>
      <c r="G593" s="753"/>
      <c r="H593" s="758" t="s">
        <v>46</v>
      </c>
      <c r="I593" s="193">
        <f ca="1">IFERROR(__xludf.DUMMYFUNCTION("IMPORTRANGE(""https://docs.google.com/spreadsheets/d/1QqKyyYR6Q21VydFLVH3TRQUabQu_ym0Zz7PgGX0-kHA/edit?usp=sharing"",""แผน!HJ66"")"),1149)</f>
        <v>1149</v>
      </c>
      <c r="J593" s="193">
        <f t="shared" ref="J593:J594" si="255">J595+J603+J609</f>
        <v>95</v>
      </c>
      <c r="K593" s="410">
        <f t="shared" ca="1" si="254"/>
        <v>8.2680591818973017</v>
      </c>
      <c r="L593" s="163"/>
      <c r="M593" s="163"/>
      <c r="N593" s="163"/>
      <c r="O593" s="163"/>
      <c r="P593" s="163"/>
      <c r="Q593" s="571"/>
      <c r="R593" s="571"/>
      <c r="S593" s="571"/>
      <c r="T593" s="571"/>
      <c r="U593" s="571"/>
      <c r="V593" s="571"/>
      <c r="W593" s="571"/>
      <c r="X593" s="571"/>
      <c r="Y593" s="571"/>
      <c r="Z593" s="571"/>
    </row>
    <row r="594" spans="1:26" ht="19.5">
      <c r="A594" s="601"/>
      <c r="B594" s="611"/>
      <c r="C594" s="611"/>
      <c r="D594" s="611"/>
      <c r="E594" s="619"/>
      <c r="F594" s="619"/>
      <c r="G594" s="753"/>
      <c r="H594" s="758" t="s">
        <v>34</v>
      </c>
      <c r="I594" s="193">
        <f ca="1">IFERROR(__xludf.DUMMYFUNCTION("IMPORTRANGE(""https://docs.google.com/spreadsheets/d/1QqKyyYR6Q21VydFLVH3TRQUabQu_ym0Zz7PgGX0-kHA/edit?usp=sharing"",""แผน!HI66"")"),80)</f>
        <v>80</v>
      </c>
      <c r="J594" s="193">
        <f t="shared" si="255"/>
        <v>7</v>
      </c>
      <c r="K594" s="410">
        <f t="shared" ca="1" si="254"/>
        <v>8.75</v>
      </c>
      <c r="L594" s="163"/>
      <c r="M594" s="163"/>
      <c r="N594" s="163"/>
      <c r="O594" s="163"/>
      <c r="P594" s="163"/>
      <c r="Q594" s="571"/>
      <c r="R594" s="571"/>
      <c r="S594" s="571"/>
      <c r="T594" s="571"/>
      <c r="U594" s="571"/>
      <c r="V594" s="571"/>
      <c r="W594" s="571"/>
      <c r="X594" s="571"/>
      <c r="Y594" s="571"/>
      <c r="Z594" s="571"/>
    </row>
    <row r="595" spans="1:26" ht="18.75">
      <c r="A595" s="601"/>
      <c r="B595" s="611"/>
      <c r="C595" s="611" t="s">
        <v>253</v>
      </c>
      <c r="D595" s="611"/>
      <c r="E595" s="611"/>
      <c r="F595" s="619"/>
      <c r="G595" s="753"/>
      <c r="H595" s="755" t="s">
        <v>46</v>
      </c>
      <c r="I595" s="184"/>
      <c r="J595" s="184">
        <f t="shared" ref="J595:J596" si="256">J597+J599</f>
        <v>71</v>
      </c>
      <c r="K595" s="163"/>
      <c r="L595" s="163"/>
      <c r="M595" s="163"/>
      <c r="N595" s="163"/>
      <c r="O595" s="163"/>
      <c r="P595" s="163"/>
      <c r="Q595" s="571"/>
      <c r="R595" s="571"/>
      <c r="S595" s="571"/>
      <c r="T595" s="571"/>
      <c r="U595" s="571"/>
      <c r="V595" s="571"/>
      <c r="W595" s="571"/>
      <c r="X595" s="571"/>
      <c r="Y595" s="571"/>
      <c r="Z595" s="571"/>
    </row>
    <row r="596" spans="1:26" ht="18.75">
      <c r="A596" s="601"/>
      <c r="B596" s="611"/>
      <c r="C596" s="611"/>
      <c r="D596" s="611"/>
      <c r="E596" s="619"/>
      <c r="F596" s="619"/>
      <c r="G596" s="753"/>
      <c r="H596" s="755" t="s">
        <v>34</v>
      </c>
      <c r="I596" s="184"/>
      <c r="J596" s="184">
        <f t="shared" si="256"/>
        <v>6</v>
      </c>
      <c r="K596" s="163"/>
      <c r="L596" s="163"/>
      <c r="M596" s="163"/>
      <c r="N596" s="163"/>
      <c r="O596" s="163"/>
      <c r="P596" s="163"/>
      <c r="Q596" s="571"/>
      <c r="R596" s="571"/>
      <c r="S596" s="571"/>
      <c r="T596" s="571"/>
      <c r="U596" s="571"/>
      <c r="V596" s="571"/>
      <c r="W596" s="571"/>
      <c r="X596" s="571"/>
      <c r="Y596" s="571"/>
      <c r="Z596" s="571"/>
    </row>
    <row r="597" spans="1:26" ht="18.75">
      <c r="A597" s="601"/>
      <c r="B597" s="611"/>
      <c r="C597" s="611"/>
      <c r="D597" s="737" t="s">
        <v>254</v>
      </c>
      <c r="E597" s="619"/>
      <c r="F597" s="619"/>
      <c r="G597" s="753"/>
      <c r="H597" s="755" t="s">
        <v>46</v>
      </c>
      <c r="I597" s="184"/>
      <c r="J597" s="214">
        <v>71</v>
      </c>
      <c r="K597" s="163"/>
      <c r="L597" s="163"/>
      <c r="M597" s="163"/>
      <c r="N597" s="163"/>
      <c r="O597" s="163"/>
      <c r="P597" s="163"/>
      <c r="Q597" s="571"/>
      <c r="R597" s="571"/>
      <c r="S597" s="571"/>
      <c r="T597" s="571"/>
      <c r="U597" s="571"/>
      <c r="V597" s="571"/>
      <c r="W597" s="571"/>
      <c r="X597" s="571"/>
      <c r="Y597" s="571"/>
      <c r="Z597" s="571"/>
    </row>
    <row r="598" spans="1:26" ht="18.75">
      <c r="A598" s="601"/>
      <c r="B598" s="611"/>
      <c r="C598" s="611"/>
      <c r="D598" s="611"/>
      <c r="E598" s="619"/>
      <c r="F598" s="619"/>
      <c r="G598" s="753"/>
      <c r="H598" s="755" t="s">
        <v>34</v>
      </c>
      <c r="I598" s="269"/>
      <c r="J598" s="214">
        <v>6</v>
      </c>
      <c r="K598" s="163"/>
      <c r="L598" s="163"/>
      <c r="M598" s="163"/>
      <c r="N598" s="163"/>
      <c r="O598" s="163"/>
      <c r="P598" s="163"/>
      <c r="Q598" s="571"/>
      <c r="R598" s="571"/>
      <c r="S598" s="571"/>
      <c r="T598" s="571"/>
      <c r="U598" s="571"/>
      <c r="V598" s="571"/>
      <c r="W598" s="571"/>
      <c r="X598" s="571"/>
      <c r="Y598" s="571"/>
      <c r="Z598" s="571"/>
    </row>
    <row r="599" spans="1:26" ht="18.75">
      <c r="A599" s="601"/>
      <c r="B599" s="611"/>
      <c r="C599" s="611"/>
      <c r="D599" s="737" t="s">
        <v>255</v>
      </c>
      <c r="E599" s="619"/>
      <c r="F599" s="619"/>
      <c r="G599" s="753"/>
      <c r="H599" s="755" t="s">
        <v>46</v>
      </c>
      <c r="I599" s="269"/>
      <c r="J599" s="214">
        <v>0</v>
      </c>
      <c r="K599" s="163"/>
      <c r="L599" s="163"/>
      <c r="M599" s="163"/>
      <c r="N599" s="163"/>
      <c r="O599" s="163"/>
      <c r="P599" s="163"/>
      <c r="Q599" s="571"/>
      <c r="R599" s="571"/>
      <c r="S599" s="571"/>
      <c r="T599" s="571"/>
      <c r="U599" s="571"/>
      <c r="V599" s="571"/>
      <c r="W599" s="571"/>
      <c r="X599" s="571"/>
      <c r="Y599" s="571"/>
      <c r="Z599" s="571"/>
    </row>
    <row r="600" spans="1:26" ht="18.75">
      <c r="A600" s="601"/>
      <c r="B600" s="611"/>
      <c r="C600" s="611"/>
      <c r="D600" s="611"/>
      <c r="E600" s="619"/>
      <c r="F600" s="619"/>
      <c r="G600" s="753"/>
      <c r="H600" s="755" t="s">
        <v>34</v>
      </c>
      <c r="I600" s="269"/>
      <c r="J600" s="214">
        <v>0</v>
      </c>
      <c r="K600" s="163"/>
      <c r="L600" s="163"/>
      <c r="M600" s="163"/>
      <c r="N600" s="163"/>
      <c r="O600" s="163"/>
      <c r="P600" s="163"/>
      <c r="Q600" s="571"/>
      <c r="R600" s="571"/>
      <c r="S600" s="571"/>
      <c r="T600" s="571"/>
      <c r="U600" s="571"/>
      <c r="V600" s="571"/>
      <c r="W600" s="571"/>
      <c r="X600" s="571"/>
      <c r="Y600" s="571"/>
      <c r="Z600" s="571"/>
    </row>
    <row r="601" spans="1:26" ht="18.75">
      <c r="A601" s="601"/>
      <c r="B601" s="611"/>
      <c r="C601" s="611"/>
      <c r="D601" s="737" t="s">
        <v>256</v>
      </c>
      <c r="E601" s="619"/>
      <c r="F601" s="619"/>
      <c r="G601" s="753"/>
      <c r="H601" s="755" t="s">
        <v>46</v>
      </c>
      <c r="I601" s="269"/>
      <c r="J601" s="214">
        <v>0</v>
      </c>
      <c r="K601" s="163"/>
      <c r="L601" s="163"/>
      <c r="M601" s="163"/>
      <c r="N601" s="163"/>
      <c r="O601" s="163"/>
      <c r="P601" s="163"/>
      <c r="Q601" s="571"/>
      <c r="R601" s="571"/>
      <c r="S601" s="571"/>
      <c r="T601" s="571"/>
      <c r="U601" s="571"/>
      <c r="V601" s="571"/>
      <c r="W601" s="571"/>
      <c r="X601" s="571"/>
      <c r="Y601" s="571"/>
      <c r="Z601" s="571"/>
    </row>
    <row r="602" spans="1:26" ht="18.75">
      <c r="A602" s="601"/>
      <c r="B602" s="611"/>
      <c r="C602" s="611"/>
      <c r="D602" s="611"/>
      <c r="E602" s="619"/>
      <c r="F602" s="619"/>
      <c r="G602" s="753"/>
      <c r="H602" s="755" t="s">
        <v>34</v>
      </c>
      <c r="I602" s="269"/>
      <c r="J602" s="214">
        <v>0</v>
      </c>
      <c r="K602" s="163"/>
      <c r="L602" s="163"/>
      <c r="M602" s="163"/>
      <c r="N602" s="163"/>
      <c r="O602" s="163"/>
      <c r="P602" s="163"/>
      <c r="Q602" s="571"/>
      <c r="R602" s="571"/>
      <c r="S602" s="571"/>
      <c r="T602" s="571"/>
      <c r="U602" s="571"/>
      <c r="V602" s="571"/>
      <c r="W602" s="571"/>
      <c r="X602" s="571"/>
      <c r="Y602" s="571"/>
      <c r="Z602" s="571"/>
    </row>
    <row r="603" spans="1:26" ht="18.75">
      <c r="A603" s="601"/>
      <c r="B603" s="611"/>
      <c r="C603" s="696" t="s">
        <v>257</v>
      </c>
      <c r="D603" s="611"/>
      <c r="E603" s="611"/>
      <c r="F603" s="619"/>
      <c r="G603" s="753"/>
      <c r="H603" s="755" t="s">
        <v>46</v>
      </c>
      <c r="I603" s="269"/>
      <c r="J603" s="269">
        <f t="shared" ref="J603:J604" si="257">J605+J607</f>
        <v>24</v>
      </c>
      <c r="K603" s="163"/>
      <c r="L603" s="163"/>
      <c r="M603" s="163"/>
      <c r="N603" s="163"/>
      <c r="O603" s="163"/>
      <c r="P603" s="163"/>
      <c r="Q603" s="571"/>
      <c r="R603" s="571"/>
      <c r="S603" s="571"/>
      <c r="T603" s="571"/>
      <c r="U603" s="571"/>
      <c r="V603" s="571"/>
      <c r="W603" s="571"/>
      <c r="X603" s="571"/>
      <c r="Y603" s="571"/>
      <c r="Z603" s="571"/>
    </row>
    <row r="604" spans="1:26" ht="18.75">
      <c r="A604" s="601"/>
      <c r="B604" s="611"/>
      <c r="C604" s="611"/>
      <c r="D604" s="611"/>
      <c r="E604" s="619"/>
      <c r="F604" s="619"/>
      <c r="G604" s="753"/>
      <c r="H604" s="755" t="s">
        <v>34</v>
      </c>
      <c r="I604" s="269"/>
      <c r="J604" s="269">
        <f t="shared" si="257"/>
        <v>1</v>
      </c>
      <c r="K604" s="163"/>
      <c r="L604" s="163"/>
      <c r="M604" s="163"/>
      <c r="N604" s="163"/>
      <c r="O604" s="163"/>
      <c r="P604" s="163"/>
      <c r="Q604" s="571"/>
      <c r="R604" s="571"/>
      <c r="S604" s="571"/>
      <c r="T604" s="571"/>
      <c r="U604" s="571"/>
      <c r="V604" s="571"/>
      <c r="W604" s="571"/>
      <c r="X604" s="571"/>
      <c r="Y604" s="571"/>
      <c r="Z604" s="571"/>
    </row>
    <row r="605" spans="1:26" ht="18.75">
      <c r="A605" s="601"/>
      <c r="B605" s="611"/>
      <c r="C605" s="611"/>
      <c r="D605" s="696" t="s">
        <v>258</v>
      </c>
      <c r="E605" s="619"/>
      <c r="F605" s="619"/>
      <c r="G605" s="753"/>
      <c r="H605" s="755" t="s">
        <v>46</v>
      </c>
      <c r="I605" s="269"/>
      <c r="J605" s="214">
        <v>24</v>
      </c>
      <c r="K605" s="163"/>
      <c r="L605" s="163"/>
      <c r="M605" s="163"/>
      <c r="N605" s="163"/>
      <c r="O605" s="163"/>
      <c r="P605" s="163"/>
      <c r="Q605" s="571"/>
      <c r="R605" s="571"/>
      <c r="S605" s="571"/>
      <c r="T605" s="571"/>
      <c r="U605" s="571"/>
      <c r="V605" s="571"/>
      <c r="W605" s="571"/>
      <c r="X605" s="571"/>
      <c r="Y605" s="571"/>
      <c r="Z605" s="571"/>
    </row>
    <row r="606" spans="1:26" ht="18.75">
      <c r="A606" s="601"/>
      <c r="B606" s="611"/>
      <c r="C606" s="611"/>
      <c r="D606" s="611"/>
      <c r="E606" s="611"/>
      <c r="F606" s="619"/>
      <c r="G606" s="753"/>
      <c r="H606" s="755" t="s">
        <v>34</v>
      </c>
      <c r="I606" s="269"/>
      <c r="J606" s="214">
        <v>1</v>
      </c>
      <c r="K606" s="163"/>
      <c r="L606" s="163"/>
      <c r="M606" s="163"/>
      <c r="N606" s="163"/>
      <c r="O606" s="163"/>
      <c r="P606" s="163"/>
      <c r="Q606" s="571"/>
      <c r="R606" s="571"/>
      <c r="S606" s="571"/>
      <c r="T606" s="571"/>
      <c r="U606" s="571"/>
      <c r="V606" s="571"/>
      <c r="W606" s="571"/>
      <c r="X606" s="571"/>
      <c r="Y606" s="571"/>
      <c r="Z606" s="571"/>
    </row>
    <row r="607" spans="1:26" ht="18.75">
      <c r="A607" s="601"/>
      <c r="B607" s="611"/>
      <c r="C607" s="611"/>
      <c r="D607" s="696" t="s">
        <v>259</v>
      </c>
      <c r="E607" s="611"/>
      <c r="F607" s="619"/>
      <c r="G607" s="753"/>
      <c r="H607" s="755" t="s">
        <v>46</v>
      </c>
      <c r="I607" s="269"/>
      <c r="J607" s="214">
        <v>0</v>
      </c>
      <c r="K607" s="163"/>
      <c r="L607" s="163"/>
      <c r="M607" s="163"/>
      <c r="N607" s="163"/>
      <c r="O607" s="163"/>
      <c r="P607" s="163"/>
      <c r="Q607" s="571"/>
      <c r="R607" s="571"/>
      <c r="S607" s="571"/>
      <c r="T607" s="571"/>
      <c r="U607" s="571"/>
      <c r="V607" s="571"/>
      <c r="W607" s="571"/>
      <c r="X607" s="571"/>
      <c r="Y607" s="571"/>
      <c r="Z607" s="571"/>
    </row>
    <row r="608" spans="1:26" ht="18.75">
      <c r="A608" s="601"/>
      <c r="B608" s="611"/>
      <c r="C608" s="611"/>
      <c r="D608" s="611"/>
      <c r="E608" s="619"/>
      <c r="F608" s="619"/>
      <c r="G608" s="753"/>
      <c r="H608" s="755" t="s">
        <v>34</v>
      </c>
      <c r="I608" s="269"/>
      <c r="J608" s="214">
        <v>0</v>
      </c>
      <c r="K608" s="163"/>
      <c r="L608" s="163"/>
      <c r="M608" s="163"/>
      <c r="N608" s="163"/>
      <c r="O608" s="163"/>
      <c r="P608" s="163"/>
      <c r="Q608" s="571"/>
      <c r="R608" s="571"/>
      <c r="S608" s="571"/>
      <c r="T608" s="571"/>
      <c r="U608" s="571"/>
      <c r="V608" s="571"/>
      <c r="W608" s="571"/>
      <c r="X608" s="571"/>
      <c r="Y608" s="571"/>
      <c r="Z608" s="571"/>
    </row>
    <row r="609" spans="1:26" ht="18.75">
      <c r="A609" s="601"/>
      <c r="B609" s="611"/>
      <c r="C609" s="611" t="s">
        <v>260</v>
      </c>
      <c r="D609" s="611"/>
      <c r="E609" s="611"/>
      <c r="F609" s="619"/>
      <c r="G609" s="753"/>
      <c r="H609" s="755" t="s">
        <v>46</v>
      </c>
      <c r="I609" s="269"/>
      <c r="J609" s="214">
        <v>0</v>
      </c>
      <c r="K609" s="163"/>
      <c r="L609" s="163"/>
      <c r="M609" s="163"/>
      <c r="N609" s="163"/>
      <c r="O609" s="163"/>
      <c r="P609" s="163"/>
      <c r="Q609" s="571"/>
      <c r="R609" s="571"/>
      <c r="S609" s="571"/>
      <c r="T609" s="571"/>
      <c r="U609" s="571"/>
      <c r="V609" s="571"/>
      <c r="W609" s="571"/>
      <c r="X609" s="571"/>
      <c r="Y609" s="571"/>
      <c r="Z609" s="571"/>
    </row>
    <row r="610" spans="1:26" ht="18.75">
      <c r="A610" s="601"/>
      <c r="B610" s="611"/>
      <c r="C610" s="611"/>
      <c r="D610" s="611"/>
      <c r="E610" s="619"/>
      <c r="F610" s="619"/>
      <c r="G610" s="753"/>
      <c r="H610" s="755" t="s">
        <v>34</v>
      </c>
      <c r="I610" s="269"/>
      <c r="J610" s="214">
        <v>0</v>
      </c>
      <c r="K610" s="163"/>
      <c r="L610" s="163"/>
      <c r="M610" s="163"/>
      <c r="N610" s="163"/>
      <c r="O610" s="163"/>
      <c r="P610" s="163"/>
      <c r="Q610" s="571"/>
      <c r="R610" s="571"/>
      <c r="S610" s="571"/>
      <c r="T610" s="571"/>
      <c r="U610" s="571"/>
      <c r="V610" s="571"/>
      <c r="W610" s="571"/>
      <c r="X610" s="571"/>
      <c r="Y610" s="571"/>
      <c r="Z610" s="571"/>
    </row>
    <row r="611" spans="1:26" ht="19.5" hidden="1">
      <c r="A611" s="685"/>
      <c r="B611" s="697" t="s">
        <v>261</v>
      </c>
      <c r="C611" s="687"/>
      <c r="D611" s="687"/>
      <c r="E611" s="666"/>
      <c r="F611" s="666"/>
      <c r="G611" s="667"/>
      <c r="H611" s="698" t="s">
        <v>46</v>
      </c>
      <c r="I611" s="699">
        <v>0</v>
      </c>
      <c r="J611" s="699">
        <f>J614+J616</f>
        <v>0</v>
      </c>
      <c r="K611" s="670">
        <f t="shared" ref="K611:K613" si="258">IF(I611&gt;0,J611*100/I611,0)</f>
        <v>0</v>
      </c>
      <c r="L611" s="671"/>
      <c r="M611" s="671"/>
      <c r="N611" s="671"/>
      <c r="O611" s="671"/>
      <c r="P611" s="671"/>
      <c r="Q611" s="571"/>
      <c r="R611" s="571"/>
      <c r="S611" s="571"/>
      <c r="T611" s="571"/>
      <c r="U611" s="571"/>
      <c r="V611" s="571"/>
      <c r="W611" s="571"/>
      <c r="X611" s="571"/>
      <c r="Y611" s="571"/>
      <c r="Z611" s="571"/>
    </row>
    <row r="612" spans="1:26" ht="19.5" hidden="1">
      <c r="A612" s="700"/>
      <c r="B612" s="710"/>
      <c r="C612" s="702" t="s">
        <v>262</v>
      </c>
      <c r="D612" s="710"/>
      <c r="E612" s="710"/>
      <c r="F612" s="703"/>
      <c r="G612" s="704"/>
      <c r="H612" s="705" t="s">
        <v>46</v>
      </c>
      <c r="I612" s="707">
        <v>0</v>
      </c>
      <c r="J612" s="707">
        <f t="shared" ref="J612:J613" si="259">J614+J616</f>
        <v>0</v>
      </c>
      <c r="K612" s="708">
        <f t="shared" si="258"/>
        <v>0</v>
      </c>
      <c r="L612" s="709"/>
      <c r="M612" s="709"/>
      <c r="N612" s="709"/>
      <c r="O612" s="709"/>
      <c r="P612" s="709"/>
      <c r="Q612" s="597"/>
      <c r="R612" s="597"/>
      <c r="S612" s="597"/>
      <c r="T612" s="597"/>
      <c r="U612" s="597"/>
      <c r="V612" s="597"/>
      <c r="W612" s="597"/>
      <c r="X612" s="597"/>
      <c r="Y612" s="597"/>
      <c r="Z612" s="597"/>
    </row>
    <row r="613" spans="1:26" ht="19.5" hidden="1">
      <c r="A613" s="700"/>
      <c r="B613" s="710"/>
      <c r="C613" s="710" t="s">
        <v>263</v>
      </c>
      <c r="D613" s="710"/>
      <c r="E613" s="710"/>
      <c r="F613" s="703"/>
      <c r="G613" s="704"/>
      <c r="H613" s="705" t="s">
        <v>34</v>
      </c>
      <c r="I613" s="707">
        <v>0</v>
      </c>
      <c r="J613" s="707">
        <f t="shared" si="259"/>
        <v>0</v>
      </c>
      <c r="K613" s="708">
        <f t="shared" si="258"/>
        <v>0</v>
      </c>
      <c r="L613" s="709"/>
      <c r="M613" s="709"/>
      <c r="N613" s="709"/>
      <c r="O613" s="709"/>
      <c r="P613" s="709"/>
      <c r="Q613" s="597"/>
      <c r="R613" s="597"/>
      <c r="S613" s="597"/>
      <c r="T613" s="597"/>
      <c r="U613" s="597"/>
      <c r="V613" s="597"/>
      <c r="W613" s="597"/>
      <c r="X613" s="597"/>
      <c r="Y613" s="597"/>
      <c r="Z613" s="597"/>
    </row>
    <row r="614" spans="1:26" ht="18.75" hidden="1">
      <c r="A614" s="607"/>
      <c r="B614" s="609"/>
      <c r="C614" s="609"/>
      <c r="D614" s="711" t="s">
        <v>264</v>
      </c>
      <c r="E614" s="609"/>
      <c r="F614" s="711"/>
      <c r="G614" s="365"/>
      <c r="H614" s="369" t="s">
        <v>46</v>
      </c>
      <c r="I614" s="610"/>
      <c r="J614" s="610">
        <v>0</v>
      </c>
      <c r="K614" s="167"/>
      <c r="L614" s="167"/>
      <c r="M614" s="167"/>
      <c r="N614" s="167"/>
      <c r="O614" s="167"/>
      <c r="P614" s="167"/>
      <c r="Q614" s="597"/>
      <c r="R614" s="597"/>
      <c r="S614" s="597"/>
      <c r="T614" s="597"/>
      <c r="U614" s="597"/>
      <c r="V614" s="597"/>
      <c r="W614" s="597"/>
      <c r="X614" s="597"/>
      <c r="Y614" s="597"/>
      <c r="Z614" s="597"/>
    </row>
    <row r="615" spans="1:26" ht="18.75" hidden="1">
      <c r="A615" s="607"/>
      <c r="B615" s="609"/>
      <c r="C615" s="609"/>
      <c r="D615" s="609"/>
      <c r="E615" s="609"/>
      <c r="F615" s="711"/>
      <c r="G615" s="365"/>
      <c r="H615" s="369" t="s">
        <v>34</v>
      </c>
      <c r="I615" s="610"/>
      <c r="J615" s="610">
        <v>0</v>
      </c>
      <c r="K615" s="167"/>
      <c r="L615" s="167"/>
      <c r="M615" s="167"/>
      <c r="N615" s="167"/>
      <c r="O615" s="167"/>
      <c r="P615" s="167"/>
      <c r="Q615" s="597"/>
      <c r="R615" s="597"/>
      <c r="S615" s="597"/>
      <c r="T615" s="597"/>
      <c r="U615" s="597"/>
      <c r="V615" s="597"/>
      <c r="W615" s="597"/>
      <c r="X615" s="597"/>
      <c r="Y615" s="597"/>
      <c r="Z615" s="597"/>
    </row>
    <row r="616" spans="1:26" ht="18.75" hidden="1">
      <c r="A616" s="607"/>
      <c r="B616" s="609"/>
      <c r="C616" s="609"/>
      <c r="D616" s="712" t="s">
        <v>264</v>
      </c>
      <c r="E616" s="711"/>
      <c r="F616" s="711"/>
      <c r="G616" s="365"/>
      <c r="H616" s="369" t="s">
        <v>46</v>
      </c>
      <c r="I616" s="610"/>
      <c r="J616" s="610">
        <v>0</v>
      </c>
      <c r="K616" s="167"/>
      <c r="L616" s="167"/>
      <c r="M616" s="167"/>
      <c r="N616" s="167"/>
      <c r="O616" s="167"/>
      <c r="P616" s="167"/>
      <c r="Q616" s="597"/>
      <c r="R616" s="597"/>
      <c r="S616" s="597"/>
      <c r="T616" s="597"/>
      <c r="U616" s="597"/>
      <c r="V616" s="597"/>
      <c r="W616" s="597"/>
      <c r="X616" s="597"/>
      <c r="Y616" s="597"/>
      <c r="Z616" s="597"/>
    </row>
    <row r="617" spans="1:26" ht="18.75" hidden="1">
      <c r="A617" s="607"/>
      <c r="B617" s="609"/>
      <c r="C617" s="609"/>
      <c r="D617" s="609"/>
      <c r="E617" s="711"/>
      <c r="F617" s="711"/>
      <c r="G617" s="365"/>
      <c r="H617" s="369" t="s">
        <v>34</v>
      </c>
      <c r="I617" s="610"/>
      <c r="J617" s="610">
        <v>0</v>
      </c>
      <c r="K617" s="167"/>
      <c r="L617" s="167"/>
      <c r="M617" s="167"/>
      <c r="N617" s="167"/>
      <c r="O617" s="167"/>
      <c r="P617" s="167"/>
      <c r="Q617" s="597"/>
      <c r="R617" s="597"/>
      <c r="S617" s="597"/>
      <c r="T617" s="597"/>
      <c r="U617" s="597"/>
      <c r="V617" s="597"/>
      <c r="W617" s="597"/>
      <c r="X617" s="597"/>
      <c r="Y617" s="597"/>
      <c r="Z617" s="597"/>
    </row>
    <row r="618" spans="1:26" ht="18.75" hidden="1">
      <c r="A618" s="607"/>
      <c r="B618" s="609"/>
      <c r="C618" s="609"/>
      <c r="D618" s="712" t="s">
        <v>265</v>
      </c>
      <c r="E618" s="711"/>
      <c r="F618" s="711"/>
      <c r="G618" s="365"/>
      <c r="H618" s="369" t="s">
        <v>46</v>
      </c>
      <c r="I618" s="610"/>
      <c r="J618" s="610">
        <v>0</v>
      </c>
      <c r="K618" s="167"/>
      <c r="L618" s="167"/>
      <c r="M618" s="167"/>
      <c r="N618" s="167"/>
      <c r="O618" s="167"/>
      <c r="P618" s="167"/>
      <c r="Q618" s="597"/>
      <c r="R618" s="597"/>
      <c r="S618" s="597"/>
      <c r="T618" s="597"/>
      <c r="U618" s="597"/>
      <c r="V618" s="597"/>
      <c r="W618" s="597"/>
      <c r="X618" s="597"/>
      <c r="Y618" s="597"/>
      <c r="Z618" s="597"/>
    </row>
    <row r="619" spans="1:26" ht="18.75" hidden="1">
      <c r="A619" s="607"/>
      <c r="B619" s="609"/>
      <c r="C619" s="609"/>
      <c r="D619" s="609"/>
      <c r="E619" s="711"/>
      <c r="F619" s="711"/>
      <c r="G619" s="365"/>
      <c r="H619" s="369" t="s">
        <v>34</v>
      </c>
      <c r="I619" s="610"/>
      <c r="J619" s="610">
        <v>0</v>
      </c>
      <c r="K619" s="167"/>
      <c r="L619" s="167"/>
      <c r="M619" s="167"/>
      <c r="N619" s="167"/>
      <c r="O619" s="167"/>
      <c r="P619" s="167"/>
      <c r="Q619" s="597"/>
      <c r="R619" s="597"/>
      <c r="S619" s="597"/>
      <c r="T619" s="597"/>
      <c r="U619" s="597"/>
      <c r="V619" s="597"/>
      <c r="W619" s="597"/>
      <c r="X619" s="597"/>
      <c r="Y619" s="597"/>
      <c r="Z619" s="597"/>
    </row>
    <row r="620" spans="1:26" ht="19.5" hidden="1">
      <c r="A620" s="713"/>
      <c r="B620" s="722"/>
      <c r="C620" s="715" t="s">
        <v>266</v>
      </c>
      <c r="D620" s="722"/>
      <c r="E620" s="722"/>
      <c r="F620" s="716"/>
      <c r="G620" s="717"/>
      <c r="H620" s="718" t="s">
        <v>46</v>
      </c>
      <c r="I620" s="719">
        <f ca="1">IFERROR(__xludf.DUMMYFUNCTION("IMPORTRANGE(""https://docs.google.com/spreadsheets/d/1QqKyyYR6Q21VydFLVH3TRQUabQu_ym0Zz7PgGX0-kHA/edit?usp=sharing"",""แผน!HL66"")"),0)</f>
        <v>0</v>
      </c>
      <c r="J620" s="719">
        <f t="shared" ref="J620:J621" si="260">J622+J624+J626</f>
        <v>0</v>
      </c>
      <c r="K620" s="720">
        <f t="shared" ref="K620:K621" ca="1" si="261">IF(I620&gt;0,J620*100/I620,0)</f>
        <v>0</v>
      </c>
      <c r="L620" s="721"/>
      <c r="M620" s="721"/>
      <c r="N620" s="721"/>
      <c r="O620" s="721"/>
      <c r="P620" s="721"/>
      <c r="Q620" s="571"/>
      <c r="R620" s="571"/>
      <c r="S620" s="571"/>
      <c r="T620" s="571"/>
      <c r="U620" s="571"/>
      <c r="V620" s="571"/>
      <c r="W620" s="571"/>
      <c r="X620" s="571"/>
      <c r="Y620" s="571"/>
      <c r="Z620" s="571"/>
    </row>
    <row r="621" spans="1:26" ht="19.5" hidden="1">
      <c r="A621" s="713"/>
      <c r="B621" s="722"/>
      <c r="C621" s="722" t="s">
        <v>267</v>
      </c>
      <c r="D621" s="722"/>
      <c r="E621" s="722"/>
      <c r="F621" s="716"/>
      <c r="G621" s="717"/>
      <c r="H621" s="718" t="s">
        <v>34</v>
      </c>
      <c r="I621" s="719">
        <f ca="1">IFERROR(__xludf.DUMMYFUNCTION("IMPORTRANGE(""https://docs.google.com/spreadsheets/d/1QqKyyYR6Q21VydFLVH3TRQUabQu_ym0Zz7PgGX0-kHA/edit?usp=sharing"",""แผน!HK66"")"),0)</f>
        <v>0</v>
      </c>
      <c r="J621" s="719">
        <f t="shared" si="260"/>
        <v>0</v>
      </c>
      <c r="K621" s="720">
        <f t="shared" ca="1" si="261"/>
        <v>0</v>
      </c>
      <c r="L621" s="721"/>
      <c r="M621" s="721"/>
      <c r="N621" s="721"/>
      <c r="O621" s="721"/>
      <c r="P621" s="721"/>
      <c r="Q621" s="571"/>
      <c r="R621" s="571"/>
      <c r="S621" s="571"/>
      <c r="T621" s="571"/>
      <c r="U621" s="571"/>
      <c r="V621" s="571"/>
      <c r="W621" s="571"/>
      <c r="X621" s="571"/>
      <c r="Y621" s="571"/>
      <c r="Z621" s="571"/>
    </row>
    <row r="622" spans="1:26" ht="18.75" hidden="1">
      <c r="A622" s="601"/>
      <c r="B622" s="611"/>
      <c r="C622" s="611"/>
      <c r="D622" s="737" t="s">
        <v>268</v>
      </c>
      <c r="E622" s="619"/>
      <c r="F622" s="619"/>
      <c r="G622" s="753"/>
      <c r="H622" s="755" t="s">
        <v>46</v>
      </c>
      <c r="I622" s="269"/>
      <c r="J622" s="214">
        <v>0</v>
      </c>
      <c r="K622" s="163"/>
      <c r="L622" s="163"/>
      <c r="M622" s="163"/>
      <c r="N622" s="163"/>
      <c r="O622" s="163"/>
      <c r="P622" s="163"/>
      <c r="Q622" s="571"/>
      <c r="R622" s="571"/>
      <c r="S622" s="571"/>
      <c r="T622" s="571"/>
      <c r="U622" s="571"/>
      <c r="V622" s="571"/>
      <c r="W622" s="571"/>
      <c r="X622" s="571"/>
      <c r="Y622" s="571"/>
      <c r="Z622" s="571"/>
    </row>
    <row r="623" spans="1:26" ht="18.75" hidden="1">
      <c r="A623" s="601"/>
      <c r="B623" s="611"/>
      <c r="C623" s="611"/>
      <c r="D623" s="611"/>
      <c r="E623" s="619"/>
      <c r="F623" s="619"/>
      <c r="G623" s="753"/>
      <c r="H623" s="755" t="s">
        <v>34</v>
      </c>
      <c r="I623" s="269"/>
      <c r="J623" s="214">
        <v>0</v>
      </c>
      <c r="K623" s="163"/>
      <c r="L623" s="163"/>
      <c r="M623" s="163"/>
      <c r="N623" s="163"/>
      <c r="O623" s="163"/>
      <c r="P623" s="163"/>
      <c r="Q623" s="571"/>
      <c r="R623" s="571"/>
      <c r="S623" s="571"/>
      <c r="T623" s="571"/>
      <c r="U623" s="571"/>
      <c r="V623" s="571"/>
      <c r="W623" s="571"/>
      <c r="X623" s="571"/>
      <c r="Y623" s="571"/>
      <c r="Z623" s="571"/>
    </row>
    <row r="624" spans="1:26" ht="18.75" hidden="1">
      <c r="A624" s="601"/>
      <c r="B624" s="611"/>
      <c r="C624" s="611"/>
      <c r="D624" s="737" t="s">
        <v>264</v>
      </c>
      <c r="E624" s="619"/>
      <c r="F624" s="619"/>
      <c r="G624" s="753"/>
      <c r="H624" s="755" t="s">
        <v>46</v>
      </c>
      <c r="I624" s="269"/>
      <c r="J624" s="214">
        <v>0</v>
      </c>
      <c r="K624" s="163"/>
      <c r="L624" s="163"/>
      <c r="M624" s="163"/>
      <c r="N624" s="163"/>
      <c r="O624" s="163"/>
      <c r="P624" s="163"/>
      <c r="Q624" s="571"/>
      <c r="R624" s="571"/>
      <c r="S624" s="571"/>
      <c r="T624" s="571"/>
      <c r="U624" s="571"/>
      <c r="V624" s="571"/>
      <c r="W624" s="571"/>
      <c r="X624" s="571"/>
      <c r="Y624" s="571"/>
      <c r="Z624" s="571"/>
    </row>
    <row r="625" spans="1:26" ht="18.75" hidden="1">
      <c r="A625" s="601"/>
      <c r="B625" s="611"/>
      <c r="C625" s="611"/>
      <c r="D625" s="611"/>
      <c r="E625" s="619"/>
      <c r="F625" s="619"/>
      <c r="G625" s="753"/>
      <c r="H625" s="755" t="s">
        <v>34</v>
      </c>
      <c r="I625" s="269"/>
      <c r="J625" s="214">
        <v>0</v>
      </c>
      <c r="K625" s="163"/>
      <c r="L625" s="163"/>
      <c r="M625" s="163"/>
      <c r="N625" s="163"/>
      <c r="O625" s="163"/>
      <c r="P625" s="163"/>
      <c r="Q625" s="571"/>
      <c r="R625" s="571"/>
      <c r="S625" s="571"/>
      <c r="T625" s="571"/>
      <c r="U625" s="571"/>
      <c r="V625" s="571"/>
      <c r="W625" s="571"/>
      <c r="X625" s="571"/>
      <c r="Y625" s="571"/>
      <c r="Z625" s="571"/>
    </row>
    <row r="626" spans="1:26" ht="18.75" hidden="1">
      <c r="A626" s="601"/>
      <c r="B626" s="611"/>
      <c r="C626" s="611"/>
      <c r="D626" s="737" t="s">
        <v>269</v>
      </c>
      <c r="E626" s="619"/>
      <c r="F626" s="619"/>
      <c r="G626" s="753"/>
      <c r="H626" s="755" t="s">
        <v>46</v>
      </c>
      <c r="I626" s="269"/>
      <c r="J626" s="214">
        <v>0</v>
      </c>
      <c r="K626" s="163"/>
      <c r="L626" s="163"/>
      <c r="M626" s="163"/>
      <c r="N626" s="163"/>
      <c r="O626" s="163"/>
      <c r="P626" s="163"/>
      <c r="Q626" s="571"/>
      <c r="R626" s="571"/>
      <c r="S626" s="571"/>
      <c r="T626" s="571"/>
      <c r="U626" s="571"/>
      <c r="V626" s="571"/>
      <c r="W626" s="571"/>
      <c r="X626" s="571"/>
      <c r="Y626" s="571"/>
      <c r="Z626" s="571"/>
    </row>
    <row r="627" spans="1:26" ht="18.75" hidden="1">
      <c r="A627" s="723"/>
      <c r="B627" s="724"/>
      <c r="C627" s="724"/>
      <c r="D627" s="724"/>
      <c r="E627" s="725"/>
      <c r="F627" s="725"/>
      <c r="G627" s="726"/>
      <c r="H627" s="421" t="s">
        <v>34</v>
      </c>
      <c r="I627" s="499"/>
      <c r="J627" s="423">
        <v>0</v>
      </c>
      <c r="K627" s="384"/>
      <c r="L627" s="384"/>
      <c r="M627" s="384"/>
      <c r="N627" s="384"/>
      <c r="O627" s="384"/>
      <c r="P627" s="384"/>
      <c r="Q627" s="571"/>
      <c r="R627" s="571"/>
      <c r="S627" s="571"/>
      <c r="T627" s="571"/>
      <c r="U627" s="571"/>
      <c r="V627" s="571"/>
      <c r="W627" s="571"/>
      <c r="X627" s="571"/>
      <c r="Y627" s="571"/>
      <c r="Z627" s="571"/>
    </row>
    <row r="628" spans="1:26" ht="19.5">
      <c r="A628" s="727">
        <v>7</v>
      </c>
      <c r="B628" s="728" t="s">
        <v>270</v>
      </c>
      <c r="C628" s="729"/>
      <c r="D628" s="729"/>
      <c r="E628" s="729"/>
      <c r="F628" s="729"/>
      <c r="G628" s="730"/>
      <c r="H628" s="731" t="s">
        <v>35</v>
      </c>
      <c r="I628" s="732">
        <f t="shared" ref="I628:J628" ca="1" si="262">I651</f>
        <v>19</v>
      </c>
      <c r="J628" s="732">
        <f t="shared" ca="1" si="262"/>
        <v>0</v>
      </c>
      <c r="K628" s="733">
        <f ca="1">IF(I628&gt;0,J628*100/I628,0)</f>
        <v>0</v>
      </c>
      <c r="L628" s="734"/>
      <c r="M628" s="734"/>
      <c r="N628" s="734"/>
      <c r="O628" s="734"/>
      <c r="P628" s="734"/>
      <c r="Q628" s="571"/>
      <c r="R628" s="571"/>
      <c r="S628" s="571"/>
      <c r="T628" s="571"/>
      <c r="U628" s="571"/>
      <c r="V628" s="571"/>
      <c r="W628" s="571"/>
      <c r="X628" s="571"/>
      <c r="Y628" s="571"/>
      <c r="Z628" s="571"/>
    </row>
    <row r="629" spans="1:26" ht="19.5">
      <c r="A629" s="590"/>
      <c r="B629" s="754"/>
      <c r="C629" s="754" t="s">
        <v>16</v>
      </c>
      <c r="D629" s="863" t="s">
        <v>17</v>
      </c>
      <c r="E629" s="857"/>
      <c r="F629" s="857"/>
      <c r="G629" s="189"/>
      <c r="H629" s="591" t="s">
        <v>12</v>
      </c>
      <c r="I629" s="269"/>
      <c r="J629" s="269"/>
      <c r="K629" s="496"/>
      <c r="L629" s="195">
        <f t="shared" ref="L629:N629" ca="1" si="263">L630+L631</f>
        <v>173410</v>
      </c>
      <c r="M629" s="195">
        <f t="shared" si="263"/>
        <v>0</v>
      </c>
      <c r="N629" s="195">
        <f t="shared" si="263"/>
        <v>0</v>
      </c>
      <c r="O629" s="195">
        <f t="shared" ref="O629:O634" ca="1" si="264">IF(L629&gt;0,N629*100/L629,0)</f>
        <v>0</v>
      </c>
      <c r="P629" s="195">
        <f t="shared" ref="P629:P634" si="265">IF(M629&gt;0,N629*100/M629,0)</f>
        <v>0</v>
      </c>
      <c r="Q629" s="571"/>
      <c r="R629" s="571"/>
      <c r="S629" s="571"/>
      <c r="T629" s="571"/>
      <c r="U629" s="571"/>
      <c r="V629" s="571"/>
      <c r="W629" s="571"/>
      <c r="X629" s="571"/>
      <c r="Y629" s="571"/>
      <c r="Z629" s="571"/>
    </row>
    <row r="630" spans="1:26" ht="18.75" hidden="1">
      <c r="A630" s="592"/>
      <c r="B630" s="750"/>
      <c r="C630" s="750"/>
      <c r="D630" s="711"/>
      <c r="E630" s="750" t="s">
        <v>184</v>
      </c>
      <c r="F630" s="750"/>
      <c r="G630" s="596"/>
      <c r="H630" s="165" t="s">
        <v>12</v>
      </c>
      <c r="I630" s="610"/>
      <c r="J630" s="610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597"/>
      <c r="R630" s="597"/>
      <c r="S630" s="597"/>
      <c r="T630" s="597"/>
      <c r="U630" s="597"/>
      <c r="V630" s="597"/>
      <c r="W630" s="597"/>
      <c r="X630" s="597"/>
      <c r="Y630" s="597"/>
      <c r="Z630" s="597"/>
    </row>
    <row r="631" spans="1:26" ht="18.75" hidden="1">
      <c r="A631" s="592"/>
      <c r="B631" s="600"/>
      <c r="C631" s="750"/>
      <c r="D631" s="711"/>
      <c r="E631" s="750" t="s">
        <v>185</v>
      </c>
      <c r="F631" s="750"/>
      <c r="G631" s="596"/>
      <c r="H631" s="165" t="s">
        <v>12</v>
      </c>
      <c r="I631" s="610"/>
      <c r="J631" s="610"/>
      <c r="K631" s="93"/>
      <c r="L631" s="93">
        <f t="shared" ca="1" si="266"/>
        <v>173410</v>
      </c>
      <c r="M631" s="93">
        <f t="shared" si="266"/>
        <v>0</v>
      </c>
      <c r="N631" s="93">
        <f t="shared" si="266"/>
        <v>0</v>
      </c>
      <c r="O631" s="93">
        <f t="shared" ca="1" si="264"/>
        <v>0</v>
      </c>
      <c r="P631" s="93">
        <f t="shared" si="265"/>
        <v>0</v>
      </c>
      <c r="Q631" s="597"/>
      <c r="R631" s="597"/>
      <c r="S631" s="597"/>
      <c r="T631" s="597"/>
      <c r="U631" s="597"/>
      <c r="V631" s="597"/>
      <c r="W631" s="597"/>
      <c r="X631" s="597"/>
      <c r="Y631" s="597"/>
      <c r="Z631" s="597"/>
    </row>
    <row r="632" spans="1:26" ht="18.75">
      <c r="A632" s="590"/>
      <c r="B632" s="568"/>
      <c r="C632" s="754"/>
      <c r="D632" s="599" t="s">
        <v>20</v>
      </c>
      <c r="E632" s="754"/>
      <c r="F632" s="754"/>
      <c r="G632" s="189"/>
      <c r="H632" s="161" t="s">
        <v>12</v>
      </c>
      <c r="I632" s="184"/>
      <c r="J632" s="184"/>
      <c r="K632" s="163"/>
      <c r="L632" s="496">
        <f t="shared" ref="L632:N632" ca="1" si="267">L633+L634</f>
        <v>173410</v>
      </c>
      <c r="M632" s="496">
        <f t="shared" si="267"/>
        <v>0</v>
      </c>
      <c r="N632" s="496">
        <f t="shared" si="267"/>
        <v>0</v>
      </c>
      <c r="O632" s="496">
        <f t="shared" ca="1" si="264"/>
        <v>0</v>
      </c>
      <c r="P632" s="496">
        <f t="shared" si="265"/>
        <v>0</v>
      </c>
      <c r="Q632" s="571"/>
      <c r="R632" s="571"/>
      <c r="S632" s="571"/>
      <c r="T632" s="571"/>
      <c r="U632" s="571"/>
      <c r="V632" s="571"/>
      <c r="W632" s="571"/>
      <c r="X632" s="571"/>
      <c r="Y632" s="571"/>
      <c r="Z632" s="571"/>
    </row>
    <row r="633" spans="1:26" ht="18.75" hidden="1">
      <c r="A633" s="592"/>
      <c r="B633" s="600"/>
      <c r="C633" s="750"/>
      <c r="D633" s="711"/>
      <c r="E633" s="750" t="s">
        <v>184</v>
      </c>
      <c r="F633" s="750"/>
      <c r="G633" s="596"/>
      <c r="H633" s="165" t="s">
        <v>12</v>
      </c>
      <c r="I633" s="610"/>
      <c r="J633" s="610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597"/>
      <c r="R633" s="597"/>
      <c r="S633" s="597"/>
      <c r="T633" s="597"/>
      <c r="U633" s="597"/>
      <c r="V633" s="597"/>
      <c r="W633" s="597"/>
      <c r="X633" s="597"/>
      <c r="Y633" s="597"/>
      <c r="Z633" s="597"/>
    </row>
    <row r="634" spans="1:26" ht="18.75" hidden="1">
      <c r="A634" s="592"/>
      <c r="B634" s="600"/>
      <c r="C634" s="750"/>
      <c r="D634" s="711"/>
      <c r="E634" s="750" t="s">
        <v>185</v>
      </c>
      <c r="F634" s="750"/>
      <c r="G634" s="596"/>
      <c r="H634" s="165" t="s">
        <v>12</v>
      </c>
      <c r="I634" s="610"/>
      <c r="J634" s="610"/>
      <c r="K634" s="93"/>
      <c r="L634" s="93">
        <f ca="1">IFERROR(__xludf.DUMMYFUNCTION("IMPORTRANGE(""https://docs.google.com/spreadsheets/d/1QqKyyYR6Q21VydFLVH3TRQUabQu_ym0Zz7PgGX0-kHA/edit?usp=sharing"",""แผน!HN66"")"),173410)</f>
        <v>173410</v>
      </c>
      <c r="M634" s="93">
        <v>0</v>
      </c>
      <c r="N634" s="93">
        <f>N635+N636+N637+N638</f>
        <v>0</v>
      </c>
      <c r="O634" s="93">
        <f t="shared" ca="1" si="264"/>
        <v>0</v>
      </c>
      <c r="P634" s="93">
        <f t="shared" si="265"/>
        <v>0</v>
      </c>
      <c r="Q634" s="597"/>
      <c r="R634" s="597"/>
      <c r="S634" s="597"/>
      <c r="T634" s="597"/>
      <c r="U634" s="597"/>
      <c r="V634" s="597"/>
      <c r="W634" s="597"/>
      <c r="X634" s="597"/>
      <c r="Y634" s="597"/>
      <c r="Z634" s="597"/>
    </row>
    <row r="635" spans="1:26" ht="18.75">
      <c r="A635" s="567"/>
      <c r="B635" s="568"/>
      <c r="C635" s="754"/>
      <c r="D635" s="754"/>
      <c r="E635" s="754"/>
      <c r="F635" s="754" t="s">
        <v>186</v>
      </c>
      <c r="G635" s="189"/>
      <c r="H635" s="161" t="s">
        <v>12</v>
      </c>
      <c r="I635" s="269"/>
      <c r="J635" s="269"/>
      <c r="K635" s="496"/>
      <c r="L635" s="496"/>
      <c r="M635" s="496"/>
      <c r="N635" s="817">
        <v>0</v>
      </c>
      <c r="O635" s="496"/>
      <c r="P635" s="496"/>
      <c r="Q635" s="571"/>
      <c r="R635" s="571"/>
      <c r="S635" s="571"/>
      <c r="T635" s="571"/>
      <c r="U635" s="571"/>
      <c r="V635" s="571"/>
      <c r="W635" s="571"/>
      <c r="X635" s="571"/>
      <c r="Y635" s="571"/>
      <c r="Z635" s="571"/>
    </row>
    <row r="636" spans="1:26" ht="18.75">
      <c r="A636" s="567"/>
      <c r="B636" s="568"/>
      <c r="C636" s="754"/>
      <c r="D636" s="754"/>
      <c r="E636" s="754"/>
      <c r="F636" s="754" t="s">
        <v>187</v>
      </c>
      <c r="G636" s="189"/>
      <c r="H636" s="161" t="s">
        <v>12</v>
      </c>
      <c r="I636" s="269"/>
      <c r="J636" s="269"/>
      <c r="K636" s="496"/>
      <c r="L636" s="496"/>
      <c r="M636" s="496"/>
      <c r="N636" s="817">
        <v>0</v>
      </c>
      <c r="O636" s="496"/>
      <c r="P636" s="496"/>
      <c r="Q636" s="571"/>
      <c r="R636" s="571"/>
      <c r="S636" s="571"/>
      <c r="T636" s="571"/>
      <c r="U636" s="571"/>
      <c r="V636" s="571"/>
      <c r="W636" s="571"/>
      <c r="X636" s="571"/>
      <c r="Y636" s="571"/>
      <c r="Z636" s="571"/>
    </row>
    <row r="637" spans="1:26" ht="18.75">
      <c r="A637" s="567"/>
      <c r="B637" s="568"/>
      <c r="C637" s="754"/>
      <c r="D637" s="754"/>
      <c r="E637" s="754"/>
      <c r="F637" s="754" t="s">
        <v>188</v>
      </c>
      <c r="G637" s="189"/>
      <c r="H637" s="161" t="s">
        <v>12</v>
      </c>
      <c r="I637" s="269"/>
      <c r="J637" s="269"/>
      <c r="K637" s="496"/>
      <c r="L637" s="496"/>
      <c r="M637" s="496"/>
      <c r="N637" s="817">
        <v>0</v>
      </c>
      <c r="O637" s="496"/>
      <c r="P637" s="496"/>
      <c r="Q637" s="571"/>
      <c r="R637" s="571"/>
      <c r="S637" s="571"/>
      <c r="T637" s="571"/>
      <c r="U637" s="571"/>
      <c r="V637" s="571"/>
      <c r="W637" s="571"/>
      <c r="X637" s="571"/>
      <c r="Y637" s="571"/>
      <c r="Z637" s="571"/>
    </row>
    <row r="638" spans="1:26" ht="18.75">
      <c r="A638" s="567"/>
      <c r="B638" s="568"/>
      <c r="C638" s="754"/>
      <c r="D638" s="754"/>
      <c r="E638" s="754"/>
      <c r="F638" s="754" t="s">
        <v>189</v>
      </c>
      <c r="G638" s="189"/>
      <c r="H638" s="161" t="s">
        <v>12</v>
      </c>
      <c r="I638" s="269"/>
      <c r="J638" s="269"/>
      <c r="K638" s="496"/>
      <c r="L638" s="496"/>
      <c r="M638" s="496"/>
      <c r="N638" s="817">
        <v>0</v>
      </c>
      <c r="O638" s="496"/>
      <c r="P638" s="496"/>
      <c r="Q638" s="571"/>
      <c r="R638" s="571"/>
      <c r="S638" s="571"/>
      <c r="T638" s="571"/>
      <c r="U638" s="571"/>
      <c r="V638" s="571"/>
      <c r="W638" s="571"/>
      <c r="X638" s="571"/>
      <c r="Y638" s="571"/>
      <c r="Z638" s="571"/>
    </row>
    <row r="639" spans="1:26" ht="18.75">
      <c r="A639" s="590"/>
      <c r="B639" s="568"/>
      <c r="C639" s="754"/>
      <c r="D639" s="599" t="s">
        <v>21</v>
      </c>
      <c r="E639" s="754"/>
      <c r="F639" s="754"/>
      <c r="G639" s="189"/>
      <c r="H639" s="168" t="s">
        <v>12</v>
      </c>
      <c r="I639" s="184"/>
      <c r="J639" s="184"/>
      <c r="K639" s="163"/>
      <c r="L639" s="496">
        <f t="shared" ref="L639:N639" ca="1" si="268">L640+L641</f>
        <v>0</v>
      </c>
      <c r="M639" s="496">
        <f t="shared" si="268"/>
        <v>0</v>
      </c>
      <c r="N639" s="496">
        <f t="shared" si="268"/>
        <v>0</v>
      </c>
      <c r="O639" s="496">
        <f t="shared" ref="O639:O641" ca="1" si="269">IF(L639&gt;0,N639*100/L639,0)</f>
        <v>0</v>
      </c>
      <c r="P639" s="496">
        <f t="shared" ref="P639:P641" si="270">IF(M639&gt;0,N639*100/M639,0)</f>
        <v>0</v>
      </c>
      <c r="Q639" s="571"/>
      <c r="R639" s="571"/>
      <c r="S639" s="571"/>
      <c r="T639" s="571"/>
      <c r="U639" s="571"/>
      <c r="V639" s="571"/>
      <c r="W639" s="571"/>
      <c r="X639" s="571"/>
      <c r="Y639" s="571"/>
      <c r="Z639" s="571"/>
    </row>
    <row r="640" spans="1:26" ht="18.75" hidden="1">
      <c r="A640" s="592"/>
      <c r="B640" s="600"/>
      <c r="C640" s="750"/>
      <c r="D640" s="750"/>
      <c r="E640" s="750" t="s">
        <v>18</v>
      </c>
      <c r="F640" s="750"/>
      <c r="G640" s="596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597"/>
      <c r="R640" s="597"/>
      <c r="S640" s="597"/>
      <c r="T640" s="597"/>
      <c r="U640" s="597"/>
      <c r="V640" s="597"/>
      <c r="W640" s="597"/>
      <c r="X640" s="597"/>
      <c r="Y640" s="597"/>
      <c r="Z640" s="597"/>
    </row>
    <row r="641" spans="1:26" ht="18.75" hidden="1">
      <c r="A641" s="592"/>
      <c r="B641" s="600"/>
      <c r="C641" s="750"/>
      <c r="D641" s="750"/>
      <c r="E641" s="750" t="s">
        <v>19</v>
      </c>
      <c r="F641" s="750"/>
      <c r="G641" s="596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IFERROR(__xludf.DUMMYFUNCTION("IMPORTRANGE(""https://docs.google.com/spreadsheets/d/1QqKyyYR6Q21VydFLVH3TRQUabQu_ym0Zz7PgGX0-kHA/edit?usp=sharing"",""แผน!HQ66"")"),0)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597"/>
      <c r="R641" s="597"/>
      <c r="S641" s="597"/>
      <c r="T641" s="597"/>
      <c r="U641" s="597"/>
      <c r="V641" s="597"/>
      <c r="W641" s="597"/>
      <c r="X641" s="597"/>
      <c r="Y641" s="597"/>
      <c r="Z641" s="597"/>
    </row>
    <row r="642" spans="1:26" ht="19.5">
      <c r="A642" s="601"/>
      <c r="B642" s="611"/>
      <c r="C642" s="754" t="s">
        <v>16</v>
      </c>
      <c r="D642" s="839" t="s">
        <v>38</v>
      </c>
      <c r="E642" s="752"/>
      <c r="F642" s="752"/>
      <c r="G642" s="606"/>
      <c r="H642" s="753"/>
      <c r="I642" s="184"/>
      <c r="J642" s="184"/>
      <c r="K642" s="163"/>
      <c r="L642" s="163"/>
      <c r="M642" s="163"/>
      <c r="N642" s="163"/>
      <c r="O642" s="163"/>
      <c r="P642" s="163"/>
      <c r="Q642" s="571"/>
      <c r="R642" s="571"/>
      <c r="S642" s="571"/>
      <c r="T642" s="571"/>
      <c r="U642" s="571"/>
      <c r="V642" s="571"/>
      <c r="W642" s="571"/>
      <c r="X642" s="571"/>
      <c r="Y642" s="571"/>
      <c r="Z642" s="571"/>
    </row>
    <row r="643" spans="1:26" ht="18.75">
      <c r="A643" s="735"/>
      <c r="B643" s="568"/>
      <c r="C643" s="754"/>
      <c r="D643" s="619"/>
      <c r="E643" s="737" t="s">
        <v>271</v>
      </c>
      <c r="F643" s="619"/>
      <c r="G643" s="753"/>
      <c r="H643" s="755" t="s">
        <v>272</v>
      </c>
      <c r="I643" s="269">
        <f ca="1">IFERROR(__xludf.DUMMYFUNCTION("IMPORTRANGE(""https://docs.google.com/spreadsheets/d/1QqKyyYR6Q21VydFLVH3TRQUabQu_ym0Zz7PgGX0-kHA/edit?usp=sharing"",""แผน!HR66"")"),1)</f>
        <v>1</v>
      </c>
      <c r="J643" s="214">
        <v>0</v>
      </c>
      <c r="K643" s="163">
        <f t="shared" ref="K643:K652" ca="1" si="271">IF(I643&gt;0,J643*100/I643,0)</f>
        <v>0</v>
      </c>
      <c r="L643" s="163"/>
      <c r="M643" s="163"/>
      <c r="N643" s="496"/>
      <c r="O643" s="163"/>
      <c r="P643" s="163"/>
      <c r="Q643" s="571"/>
      <c r="R643" s="571"/>
      <c r="S643" s="571"/>
      <c r="T643" s="571"/>
      <c r="U643" s="571"/>
      <c r="V643" s="571"/>
      <c r="W643" s="571"/>
      <c r="X643" s="571"/>
      <c r="Y643" s="571"/>
      <c r="Z643" s="571"/>
    </row>
    <row r="644" spans="1:26" ht="18.75">
      <c r="A644" s="735"/>
      <c r="B644" s="568"/>
      <c r="C644" s="754"/>
      <c r="D644" s="619"/>
      <c r="E644" s="737" t="s">
        <v>273</v>
      </c>
      <c r="F644" s="619"/>
      <c r="G644" s="753"/>
      <c r="H644" s="755" t="s">
        <v>274</v>
      </c>
      <c r="I644" s="269">
        <f ca="1">IFERROR(__xludf.DUMMYFUNCTION("IMPORTRANGE(""https://docs.google.com/spreadsheets/d/1QqKyyYR6Q21VydFLVH3TRQUabQu_ym0Zz7PgGX0-kHA/edit?usp=sharing"",""แผน!HR66"")"),1)</f>
        <v>1</v>
      </c>
      <c r="J644" s="214">
        <v>0</v>
      </c>
      <c r="K644" s="163">
        <f t="shared" ca="1" si="271"/>
        <v>0</v>
      </c>
      <c r="L644" s="163"/>
      <c r="M644" s="163"/>
      <c r="N644" s="496"/>
      <c r="O644" s="163"/>
      <c r="P644" s="163"/>
      <c r="Q644" s="571"/>
      <c r="R644" s="571"/>
      <c r="S644" s="571"/>
      <c r="T644" s="571"/>
      <c r="U644" s="571"/>
      <c r="V644" s="571"/>
      <c r="W644" s="571"/>
      <c r="X644" s="571"/>
      <c r="Y644" s="571"/>
      <c r="Z644" s="571"/>
    </row>
    <row r="645" spans="1:26" ht="18.75">
      <c r="A645" s="735"/>
      <c r="B645" s="568"/>
      <c r="C645" s="754"/>
      <c r="D645" s="619"/>
      <c r="E645" s="737" t="s">
        <v>275</v>
      </c>
      <c r="F645" s="619"/>
      <c r="G645" s="753"/>
      <c r="H645" s="755" t="s">
        <v>34</v>
      </c>
      <c r="I645" s="269">
        <v>0</v>
      </c>
      <c r="J645" s="269">
        <f ca="1">IFERROR(__xludf.DUMMYFUNCTION("IMPORTRANGE(""https://docs.google.com/spreadsheets/d/1XWAQStnk-4SwqDmLtmXYiTMKHgktTP8We1SCoS47DrQ/edit?usp=sharing"",""จัดที่ดิน!AS66"")"),1)</f>
        <v>1</v>
      </c>
      <c r="K645" s="163">
        <f t="shared" si="271"/>
        <v>0</v>
      </c>
      <c r="L645" s="163"/>
      <c r="M645" s="163"/>
      <c r="N645" s="496"/>
      <c r="O645" s="163"/>
      <c r="P645" s="163"/>
      <c r="Q645" s="571"/>
      <c r="R645" s="571"/>
      <c r="S645" s="571"/>
      <c r="T645" s="571"/>
      <c r="U645" s="571"/>
      <c r="V645" s="571"/>
      <c r="W645" s="571"/>
      <c r="X645" s="571"/>
      <c r="Y645" s="571"/>
      <c r="Z645" s="571"/>
    </row>
    <row r="646" spans="1:26" ht="18.75">
      <c r="A646" s="735"/>
      <c r="B646" s="568"/>
      <c r="C646" s="754"/>
      <c r="D646" s="619"/>
      <c r="E646" s="619"/>
      <c r="F646" s="619"/>
      <c r="G646" s="753"/>
      <c r="H646" s="755" t="s">
        <v>46</v>
      </c>
      <c r="I646" s="269">
        <v>0</v>
      </c>
      <c r="J646" s="269">
        <f ca="1">IFERROR(__xludf.DUMMYFUNCTION("IMPORTRANGE(""https://docs.google.com/spreadsheets/d/1XWAQStnk-4SwqDmLtmXYiTMKHgktTP8We1SCoS47DrQ/edit?usp=sharing"",""จัดที่ดิน!AT66"")"),0.48)</f>
        <v>0.48</v>
      </c>
      <c r="K646" s="496">
        <f t="shared" si="271"/>
        <v>0</v>
      </c>
      <c r="L646" s="163"/>
      <c r="M646" s="163"/>
      <c r="N646" s="496"/>
      <c r="O646" s="163"/>
      <c r="P646" s="163"/>
      <c r="Q646" s="571"/>
      <c r="R646" s="571"/>
      <c r="S646" s="571"/>
      <c r="T646" s="571"/>
      <c r="U646" s="571"/>
      <c r="V646" s="571"/>
      <c r="W646" s="571"/>
      <c r="X646" s="571"/>
      <c r="Y646" s="571"/>
      <c r="Z646" s="571"/>
    </row>
    <row r="647" spans="1:26" ht="18.75">
      <c r="A647" s="735"/>
      <c r="B647" s="568"/>
      <c r="C647" s="754"/>
      <c r="D647" s="619"/>
      <c r="E647" s="737" t="s">
        <v>162</v>
      </c>
      <c r="F647" s="619"/>
      <c r="G647" s="753"/>
      <c r="H647" s="755" t="s">
        <v>35</v>
      </c>
      <c r="I647" s="269">
        <f ca="1">IFERROR(__xludf.DUMMYFUNCTION("IMPORTRANGE(""https://docs.google.com/spreadsheets/d/1QqKyyYR6Q21VydFLVH3TRQUabQu_ym0Zz7PgGX0-kHA/edit?usp=sharing"",""แผน!HS66"")"),19)</f>
        <v>19</v>
      </c>
      <c r="J647" s="269">
        <f ca="1">IFERROR(__xludf.DUMMYFUNCTION("IMPORTRANGE(""https://docs.google.com/spreadsheets/d/1XWAQStnk-4SwqDmLtmXYiTMKHgktTP8We1SCoS47DrQ/edit?usp=sharing"",""จัดที่ดิน!AU66"")"),0)</f>
        <v>0</v>
      </c>
      <c r="K647" s="163">
        <f t="shared" ca="1" si="271"/>
        <v>0</v>
      </c>
      <c r="L647" s="163"/>
      <c r="M647" s="163"/>
      <c r="N647" s="163"/>
      <c r="O647" s="163"/>
      <c r="P647" s="163"/>
      <c r="Q647" s="571"/>
      <c r="R647" s="571"/>
      <c r="S647" s="571"/>
      <c r="T647" s="571"/>
      <c r="U647" s="571"/>
      <c r="V647" s="571"/>
      <c r="W647" s="571"/>
      <c r="X647" s="571"/>
      <c r="Y647" s="571"/>
      <c r="Z647" s="571"/>
    </row>
    <row r="648" spans="1:26" ht="18.75">
      <c r="A648" s="735"/>
      <c r="B648" s="568"/>
      <c r="C648" s="754"/>
      <c r="D648" s="619"/>
      <c r="E648" s="619"/>
      <c r="F648" s="619"/>
      <c r="G648" s="753"/>
      <c r="H648" s="755" t="s">
        <v>46</v>
      </c>
      <c r="I648" s="269">
        <v>0</v>
      </c>
      <c r="J648" s="269">
        <f ca="1">IFERROR(__xludf.DUMMYFUNCTION("IMPORTRANGE(""https://docs.google.com/spreadsheets/d/1XWAQStnk-4SwqDmLtmXYiTMKHgktTP8We1SCoS47DrQ/edit?usp=sharing"",""จัดที่ดิน!AV66"")"),0)</f>
        <v>0</v>
      </c>
      <c r="K648" s="496">
        <f t="shared" si="271"/>
        <v>0</v>
      </c>
      <c r="L648" s="163"/>
      <c r="M648" s="163"/>
      <c r="N648" s="163"/>
      <c r="O648" s="163"/>
      <c r="P648" s="163"/>
      <c r="Q648" s="571"/>
      <c r="R648" s="571"/>
      <c r="S648" s="571"/>
      <c r="T648" s="571"/>
      <c r="U648" s="571"/>
      <c r="V648" s="571"/>
      <c r="W648" s="571"/>
      <c r="X648" s="571"/>
      <c r="Y648" s="571"/>
      <c r="Z648" s="571"/>
    </row>
    <row r="649" spans="1:26" ht="18.75">
      <c r="A649" s="735"/>
      <c r="B649" s="568"/>
      <c r="C649" s="754"/>
      <c r="D649" s="619"/>
      <c r="E649" s="737" t="s">
        <v>276</v>
      </c>
      <c r="F649" s="619"/>
      <c r="G649" s="753"/>
      <c r="H649" s="755" t="s">
        <v>35</v>
      </c>
      <c r="I649" s="269">
        <f ca="1">IFERROR(__xludf.DUMMYFUNCTION("IMPORTRANGE(""https://docs.google.com/spreadsheets/d/1QqKyyYR6Q21VydFLVH3TRQUabQu_ym0Zz7PgGX0-kHA/edit?usp=sharing"",""แผน!HS66"")"),19)</f>
        <v>19</v>
      </c>
      <c r="J649" s="269">
        <f ca="1">IFERROR(__xludf.DUMMYFUNCTION("IMPORTRANGE(""https://docs.google.com/spreadsheets/d/1XWAQStnk-4SwqDmLtmXYiTMKHgktTP8We1SCoS47DrQ/edit?usp=sharing"",""จัดที่ดิน!AW66"")"),0)</f>
        <v>0</v>
      </c>
      <c r="K649" s="163">
        <f t="shared" ca="1" si="271"/>
        <v>0</v>
      </c>
      <c r="L649" s="163"/>
      <c r="M649" s="163"/>
      <c r="N649" s="163"/>
      <c r="O649" s="163"/>
      <c r="P649" s="163"/>
      <c r="Q649" s="571"/>
      <c r="R649" s="571"/>
      <c r="S649" s="571"/>
      <c r="T649" s="571"/>
      <c r="U649" s="571"/>
      <c r="V649" s="571"/>
      <c r="W649" s="571"/>
      <c r="X649" s="571"/>
      <c r="Y649" s="571"/>
      <c r="Z649" s="571"/>
    </row>
    <row r="650" spans="1:26" ht="18.75">
      <c r="A650" s="735"/>
      <c r="B650" s="568"/>
      <c r="C650" s="754"/>
      <c r="D650" s="619"/>
      <c r="E650" s="619"/>
      <c r="F650" s="619"/>
      <c r="G650" s="753"/>
      <c r="H650" s="755" t="s">
        <v>46</v>
      </c>
      <c r="I650" s="269">
        <v>0</v>
      </c>
      <c r="J650" s="269">
        <f ca="1">IFERROR(__xludf.DUMMYFUNCTION("IMPORTRANGE(""https://docs.google.com/spreadsheets/d/1XWAQStnk-4SwqDmLtmXYiTMKHgktTP8We1SCoS47DrQ/edit?usp=sharing"",""จัดที่ดิน!AX66"")"),0)</f>
        <v>0</v>
      </c>
      <c r="K650" s="496">
        <f t="shared" si="271"/>
        <v>0</v>
      </c>
      <c r="L650" s="163"/>
      <c r="M650" s="163"/>
      <c r="N650" s="163"/>
      <c r="O650" s="163"/>
      <c r="P650" s="163"/>
      <c r="Q650" s="571"/>
      <c r="R650" s="571"/>
      <c r="S650" s="571"/>
      <c r="T650" s="571"/>
      <c r="U650" s="571"/>
      <c r="V650" s="571"/>
      <c r="W650" s="571"/>
      <c r="X650" s="571"/>
      <c r="Y650" s="571"/>
      <c r="Z650" s="571"/>
    </row>
    <row r="651" spans="1:26" ht="18.75">
      <c r="A651" s="735"/>
      <c r="B651" s="568"/>
      <c r="C651" s="754"/>
      <c r="D651" s="619"/>
      <c r="E651" s="737" t="s">
        <v>277</v>
      </c>
      <c r="F651" s="619"/>
      <c r="G651" s="753"/>
      <c r="H651" s="755" t="s">
        <v>35</v>
      </c>
      <c r="I651" s="269">
        <f ca="1">IFERROR(__xludf.DUMMYFUNCTION("IMPORTRANGE(""https://docs.google.com/spreadsheets/d/1QqKyyYR6Q21VydFLVH3TRQUabQu_ym0Zz7PgGX0-kHA/edit?usp=sharing"",""แผน!HS66"")"),19)</f>
        <v>19</v>
      </c>
      <c r="J651" s="269">
        <f ca="1">IFERROR(__xludf.DUMMYFUNCTION("IMPORTRANGE(""https://docs.google.com/spreadsheets/d/1XWAQStnk-4SwqDmLtmXYiTMKHgktTP8We1SCoS47DrQ/edit?usp=sharing"",""จัดที่ดิน!AY66"")"),0)</f>
        <v>0</v>
      </c>
      <c r="K651" s="163">
        <f t="shared" ca="1" si="271"/>
        <v>0</v>
      </c>
      <c r="L651" s="163"/>
      <c r="M651" s="163"/>
      <c r="N651" s="163"/>
      <c r="O651" s="163"/>
      <c r="P651" s="163"/>
      <c r="Q651" s="571"/>
      <c r="R651" s="571"/>
      <c r="S651" s="571"/>
      <c r="T651" s="571"/>
      <c r="U651" s="571"/>
      <c r="V651" s="571"/>
      <c r="W651" s="571"/>
      <c r="X651" s="571"/>
      <c r="Y651" s="571"/>
      <c r="Z651" s="571"/>
    </row>
    <row r="652" spans="1:26" ht="18.75">
      <c r="A652" s="738"/>
      <c r="B652" s="739"/>
      <c r="C652" s="740"/>
      <c r="D652" s="725"/>
      <c r="E652" s="725"/>
      <c r="F652" s="725"/>
      <c r="G652" s="726"/>
      <c r="H652" s="498" t="s">
        <v>46</v>
      </c>
      <c r="I652" s="499">
        <v>0</v>
      </c>
      <c r="J652" s="499">
        <f ca="1">IFERROR(__xludf.DUMMYFUNCTION("IMPORTRANGE(""https://docs.google.com/spreadsheets/d/1XWAQStnk-4SwqDmLtmXYiTMKHgktTP8We1SCoS47DrQ/edit?usp=sharing"",""จัดที่ดิน!AZ66"")"),0)</f>
        <v>0</v>
      </c>
      <c r="K652" s="500">
        <f t="shared" si="271"/>
        <v>0</v>
      </c>
      <c r="L652" s="384"/>
      <c r="M652" s="384"/>
      <c r="N652" s="384"/>
      <c r="O652" s="384"/>
      <c r="P652" s="384"/>
      <c r="Q652" s="571"/>
      <c r="R652" s="571"/>
      <c r="S652" s="571"/>
      <c r="T652" s="571"/>
      <c r="U652" s="571"/>
      <c r="V652" s="571"/>
      <c r="W652" s="571"/>
      <c r="X652" s="571"/>
      <c r="Y652" s="571"/>
      <c r="Z652" s="571"/>
    </row>
    <row r="653" spans="1:26" ht="19.5" hidden="1">
      <c r="A653" s="741">
        <v>8</v>
      </c>
      <c r="B653" s="728" t="s">
        <v>278</v>
      </c>
      <c r="C653" s="729"/>
      <c r="D653" s="729"/>
      <c r="E653" s="729"/>
      <c r="F653" s="729"/>
      <c r="G653" s="730"/>
      <c r="H653" s="730"/>
      <c r="I653" s="742"/>
      <c r="J653" s="742"/>
      <c r="K653" s="734"/>
      <c r="L653" s="734"/>
      <c r="M653" s="734"/>
      <c r="N653" s="734"/>
      <c r="O653" s="734"/>
      <c r="P653" s="734"/>
      <c r="Q653" s="571"/>
      <c r="R653" s="571"/>
      <c r="S653" s="571"/>
      <c r="T653" s="571"/>
      <c r="U653" s="571"/>
      <c r="V653" s="571"/>
      <c r="W653" s="571"/>
      <c r="X653" s="571"/>
      <c r="Y653" s="571"/>
      <c r="Z653" s="571"/>
    </row>
    <row r="654" spans="1:26" ht="19.5" hidden="1">
      <c r="A654" s="666"/>
      <c r="B654" s="665" t="s">
        <v>279</v>
      </c>
      <c r="C654" s="666"/>
      <c r="D654" s="666"/>
      <c r="E654" s="666"/>
      <c r="F654" s="666"/>
      <c r="G654" s="667"/>
      <c r="H654" s="698" t="s">
        <v>46</v>
      </c>
      <c r="I654" s="699">
        <f t="shared" ref="I654:J654" ca="1" si="272">I669</f>
        <v>0</v>
      </c>
      <c r="J654" s="699">
        <f t="shared" si="272"/>
        <v>0</v>
      </c>
      <c r="K654" s="670">
        <f ca="1">IF(I654&gt;0,J654*100/I654,0)</f>
        <v>0</v>
      </c>
      <c r="L654" s="671"/>
      <c r="M654" s="671"/>
      <c r="N654" s="671"/>
      <c r="O654" s="671"/>
      <c r="P654" s="671"/>
      <c r="Q654" s="571"/>
      <c r="R654" s="571"/>
      <c r="S654" s="571"/>
      <c r="T654" s="571"/>
      <c r="U654" s="571"/>
      <c r="V654" s="571"/>
      <c r="W654" s="571"/>
      <c r="X654" s="571"/>
      <c r="Y654" s="571"/>
      <c r="Z654" s="571"/>
    </row>
    <row r="655" spans="1:26" ht="19.5" hidden="1">
      <c r="A655" s="590"/>
      <c r="B655" s="754"/>
      <c r="C655" s="754" t="s">
        <v>16</v>
      </c>
      <c r="D655" s="863" t="s">
        <v>17</v>
      </c>
      <c r="E655" s="857"/>
      <c r="F655" s="857"/>
      <c r="G655" s="189"/>
      <c r="H655" s="591" t="s">
        <v>12</v>
      </c>
      <c r="I655" s="269"/>
      <c r="J655" s="269"/>
      <c r="K655" s="496"/>
      <c r="L655" s="195">
        <f t="shared" ref="L655:N655" ca="1" si="273">L656+L657</f>
        <v>0</v>
      </c>
      <c r="M655" s="195">
        <f t="shared" si="273"/>
        <v>0</v>
      </c>
      <c r="N655" s="195">
        <f t="shared" si="273"/>
        <v>0</v>
      </c>
      <c r="O655" s="195">
        <f t="shared" ref="O655:O660" ca="1" si="274">IF(L655&gt;0,N655*100/L655,0)</f>
        <v>0</v>
      </c>
      <c r="P655" s="195">
        <f t="shared" ref="P655:P660" si="275">IF(M655&gt;0,N655*100/M655,0)</f>
        <v>0</v>
      </c>
      <c r="Q655" s="571"/>
      <c r="R655" s="571"/>
      <c r="S655" s="571"/>
      <c r="T655" s="571"/>
      <c r="U655" s="571"/>
      <c r="V655" s="571"/>
      <c r="W655" s="571"/>
      <c r="X655" s="571"/>
      <c r="Y655" s="571"/>
      <c r="Z655" s="571"/>
    </row>
    <row r="656" spans="1:26" ht="18.75" hidden="1">
      <c r="A656" s="592"/>
      <c r="B656" s="750"/>
      <c r="C656" s="750"/>
      <c r="D656" s="711"/>
      <c r="E656" s="750" t="s">
        <v>184</v>
      </c>
      <c r="F656" s="750"/>
      <c r="G656" s="596"/>
      <c r="H656" s="165" t="s">
        <v>12</v>
      </c>
      <c r="I656" s="610"/>
      <c r="J656" s="610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597"/>
      <c r="R656" s="597"/>
      <c r="S656" s="597"/>
      <c r="T656" s="597"/>
      <c r="U656" s="597"/>
      <c r="V656" s="597"/>
      <c r="W656" s="597"/>
      <c r="X656" s="597"/>
      <c r="Y656" s="597"/>
      <c r="Z656" s="597"/>
    </row>
    <row r="657" spans="1:26" ht="18.75" hidden="1">
      <c r="A657" s="592"/>
      <c r="B657" s="600"/>
      <c r="C657" s="750"/>
      <c r="D657" s="711"/>
      <c r="E657" s="750" t="s">
        <v>185</v>
      </c>
      <c r="F657" s="750"/>
      <c r="G657" s="596"/>
      <c r="H657" s="165" t="s">
        <v>12</v>
      </c>
      <c r="I657" s="610"/>
      <c r="J657" s="610"/>
      <c r="K657" s="93"/>
      <c r="L657" s="93">
        <f t="shared" ca="1" si="276"/>
        <v>0</v>
      </c>
      <c r="M657" s="93">
        <f t="shared" si="276"/>
        <v>0</v>
      </c>
      <c r="N657" s="93">
        <f t="shared" si="276"/>
        <v>0</v>
      </c>
      <c r="O657" s="93">
        <f t="shared" ca="1" si="274"/>
        <v>0</v>
      </c>
      <c r="P657" s="93">
        <f t="shared" si="275"/>
        <v>0</v>
      </c>
      <c r="Q657" s="597"/>
      <c r="R657" s="597"/>
      <c r="S657" s="597"/>
      <c r="T657" s="597"/>
      <c r="U657" s="597"/>
      <c r="V657" s="597"/>
      <c r="W657" s="597"/>
      <c r="X657" s="597"/>
      <c r="Y657" s="597"/>
      <c r="Z657" s="597"/>
    </row>
    <row r="658" spans="1:26" ht="18.75" hidden="1">
      <c r="A658" s="590"/>
      <c r="B658" s="568"/>
      <c r="C658" s="754"/>
      <c r="D658" s="599" t="s">
        <v>20</v>
      </c>
      <c r="E658" s="754"/>
      <c r="F658" s="754"/>
      <c r="G658" s="189"/>
      <c r="H658" s="161" t="s">
        <v>12</v>
      </c>
      <c r="I658" s="184"/>
      <c r="J658" s="184"/>
      <c r="K658" s="163"/>
      <c r="L658" s="496">
        <f t="shared" ref="L658:N658" ca="1" si="277">L659+L660</f>
        <v>0</v>
      </c>
      <c r="M658" s="496">
        <f t="shared" si="277"/>
        <v>0</v>
      </c>
      <c r="N658" s="496">
        <f t="shared" si="277"/>
        <v>0</v>
      </c>
      <c r="O658" s="496">
        <f t="shared" ca="1" si="274"/>
        <v>0</v>
      </c>
      <c r="P658" s="496">
        <f t="shared" si="275"/>
        <v>0</v>
      </c>
      <c r="Q658" s="571"/>
      <c r="R658" s="571"/>
      <c r="S658" s="571"/>
      <c r="T658" s="571"/>
      <c r="U658" s="571"/>
      <c r="V658" s="571"/>
      <c r="W658" s="571"/>
      <c r="X658" s="571"/>
      <c r="Y658" s="571"/>
      <c r="Z658" s="571"/>
    </row>
    <row r="659" spans="1:26" ht="18.75" hidden="1">
      <c r="A659" s="592"/>
      <c r="B659" s="600"/>
      <c r="C659" s="750"/>
      <c r="D659" s="711"/>
      <c r="E659" s="750" t="s">
        <v>184</v>
      </c>
      <c r="F659" s="750"/>
      <c r="G659" s="596"/>
      <c r="H659" s="165" t="s">
        <v>12</v>
      </c>
      <c r="I659" s="610"/>
      <c r="J659" s="610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597"/>
      <c r="R659" s="597"/>
      <c r="S659" s="597"/>
      <c r="T659" s="597"/>
      <c r="U659" s="597"/>
      <c r="V659" s="597"/>
      <c r="W659" s="597"/>
      <c r="X659" s="597"/>
      <c r="Y659" s="597"/>
      <c r="Z659" s="597"/>
    </row>
    <row r="660" spans="1:26" ht="18.75" hidden="1">
      <c r="A660" s="592"/>
      <c r="B660" s="600"/>
      <c r="C660" s="750"/>
      <c r="D660" s="711"/>
      <c r="E660" s="750" t="s">
        <v>185</v>
      </c>
      <c r="F660" s="750"/>
      <c r="G660" s="596"/>
      <c r="H660" s="165" t="s">
        <v>12</v>
      </c>
      <c r="I660" s="610"/>
      <c r="J660" s="610"/>
      <c r="K660" s="93"/>
      <c r="L660" s="93">
        <f ca="1">IFERROR(__xludf.DUMMYFUNCTION("IMPORTRANGE(""https://docs.google.com/spreadsheets/d/1QqKyyYR6Q21VydFLVH3TRQUabQu_ym0Zz7PgGX0-kHA/edit?usp=sharing"",""แผน!HV66"")"),0)</f>
        <v>0</v>
      </c>
      <c r="M660" s="93">
        <v>0</v>
      </c>
      <c r="N660" s="93">
        <f>N661+N662+N663+N664</f>
        <v>0</v>
      </c>
      <c r="O660" s="93">
        <f t="shared" ca="1" si="274"/>
        <v>0</v>
      </c>
      <c r="P660" s="93">
        <f t="shared" si="275"/>
        <v>0</v>
      </c>
      <c r="Q660" s="597"/>
      <c r="R660" s="597"/>
      <c r="S660" s="597"/>
      <c r="T660" s="597"/>
      <c r="U660" s="597"/>
      <c r="V660" s="597"/>
      <c r="W660" s="597"/>
      <c r="X660" s="597"/>
      <c r="Y660" s="597"/>
      <c r="Z660" s="597"/>
    </row>
    <row r="661" spans="1:26" ht="18.75" hidden="1">
      <c r="A661" s="567"/>
      <c r="B661" s="568"/>
      <c r="C661" s="754"/>
      <c r="D661" s="754"/>
      <c r="E661" s="754"/>
      <c r="F661" s="754" t="s">
        <v>186</v>
      </c>
      <c r="G661" s="189"/>
      <c r="H661" s="161" t="s">
        <v>12</v>
      </c>
      <c r="I661" s="269"/>
      <c r="J661" s="269"/>
      <c r="K661" s="496"/>
      <c r="L661" s="496"/>
      <c r="M661" s="496"/>
      <c r="N661" s="817">
        <v>0</v>
      </c>
      <c r="O661" s="496"/>
      <c r="P661" s="496"/>
      <c r="Q661" s="571"/>
      <c r="R661" s="571"/>
      <c r="S661" s="571"/>
      <c r="T661" s="571"/>
      <c r="U661" s="571"/>
      <c r="V661" s="571"/>
      <c r="W661" s="571"/>
      <c r="X661" s="571"/>
      <c r="Y661" s="571"/>
      <c r="Z661" s="571"/>
    </row>
    <row r="662" spans="1:26" ht="18.75" hidden="1">
      <c r="A662" s="567"/>
      <c r="B662" s="568"/>
      <c r="C662" s="754"/>
      <c r="D662" s="754"/>
      <c r="E662" s="754"/>
      <c r="F662" s="754" t="s">
        <v>187</v>
      </c>
      <c r="G662" s="189"/>
      <c r="H662" s="161" t="s">
        <v>12</v>
      </c>
      <c r="I662" s="269"/>
      <c r="J662" s="269"/>
      <c r="K662" s="496"/>
      <c r="L662" s="496"/>
      <c r="M662" s="496"/>
      <c r="N662" s="817">
        <v>0</v>
      </c>
      <c r="O662" s="496"/>
      <c r="P662" s="496"/>
      <c r="Q662" s="571"/>
      <c r="R662" s="571"/>
      <c r="S662" s="571"/>
      <c r="T662" s="571"/>
      <c r="U662" s="571"/>
      <c r="V662" s="571"/>
      <c r="W662" s="571"/>
      <c r="X662" s="571"/>
      <c r="Y662" s="571"/>
      <c r="Z662" s="571"/>
    </row>
    <row r="663" spans="1:26" ht="18.75" hidden="1">
      <c r="A663" s="567"/>
      <c r="B663" s="568"/>
      <c r="C663" s="568"/>
      <c r="D663" s="754"/>
      <c r="E663" s="754"/>
      <c r="F663" s="754" t="s">
        <v>188</v>
      </c>
      <c r="G663" s="189"/>
      <c r="H663" s="161" t="s">
        <v>12</v>
      </c>
      <c r="I663" s="269"/>
      <c r="J663" s="269"/>
      <c r="K663" s="496"/>
      <c r="L663" s="496"/>
      <c r="M663" s="496"/>
      <c r="N663" s="817">
        <v>0</v>
      </c>
      <c r="O663" s="496"/>
      <c r="P663" s="496"/>
      <c r="Q663" s="571"/>
      <c r="R663" s="571"/>
      <c r="S663" s="571"/>
      <c r="T663" s="571"/>
      <c r="U663" s="571"/>
      <c r="V663" s="571"/>
      <c r="W663" s="571"/>
      <c r="X663" s="571"/>
      <c r="Y663" s="571"/>
      <c r="Z663" s="571"/>
    </row>
    <row r="664" spans="1:26" ht="18.75" hidden="1">
      <c r="A664" s="567"/>
      <c r="B664" s="568"/>
      <c r="C664" s="568"/>
      <c r="D664" s="568"/>
      <c r="E664" s="754"/>
      <c r="F664" s="754" t="s">
        <v>189</v>
      </c>
      <c r="G664" s="189"/>
      <c r="H664" s="161" t="s">
        <v>12</v>
      </c>
      <c r="I664" s="269"/>
      <c r="J664" s="269"/>
      <c r="K664" s="496"/>
      <c r="L664" s="496"/>
      <c r="M664" s="496"/>
      <c r="N664" s="817">
        <v>0</v>
      </c>
      <c r="O664" s="496"/>
      <c r="P664" s="496"/>
      <c r="Q664" s="571"/>
      <c r="R664" s="571"/>
      <c r="S664" s="571"/>
      <c r="T664" s="571"/>
      <c r="U664" s="571"/>
      <c r="V664" s="571"/>
      <c r="W664" s="571"/>
      <c r="X664" s="571"/>
      <c r="Y664" s="571"/>
      <c r="Z664" s="571"/>
    </row>
    <row r="665" spans="1:26" ht="18.75" hidden="1">
      <c r="A665" s="590"/>
      <c r="B665" s="568"/>
      <c r="C665" s="568"/>
      <c r="D665" s="599" t="s">
        <v>21</v>
      </c>
      <c r="E665" s="754"/>
      <c r="F665" s="754"/>
      <c r="G665" s="189"/>
      <c r="H665" s="168" t="s">
        <v>12</v>
      </c>
      <c r="I665" s="184"/>
      <c r="J665" s="184"/>
      <c r="K665" s="163"/>
      <c r="L665" s="496">
        <f t="shared" ref="L665:N665" si="278">L666+L667</f>
        <v>0</v>
      </c>
      <c r="M665" s="496">
        <f t="shared" si="278"/>
        <v>0</v>
      </c>
      <c r="N665" s="496">
        <f t="shared" si="278"/>
        <v>0</v>
      </c>
      <c r="O665" s="496">
        <f t="shared" ref="O665:O667" si="279">IF(L665&gt;0,N665*100/L665,0)</f>
        <v>0</v>
      </c>
      <c r="P665" s="496">
        <f t="shared" ref="P665:P667" si="280">IF(M665&gt;0,N665*100/M665,0)</f>
        <v>0</v>
      </c>
      <c r="Q665" s="571"/>
      <c r="R665" s="571"/>
      <c r="S665" s="571"/>
      <c r="T665" s="571"/>
      <c r="U665" s="571"/>
      <c r="V665" s="571"/>
      <c r="W665" s="571"/>
      <c r="X665" s="571"/>
      <c r="Y665" s="571"/>
      <c r="Z665" s="571"/>
    </row>
    <row r="666" spans="1:26" ht="18.75" hidden="1">
      <c r="A666" s="592"/>
      <c r="B666" s="600"/>
      <c r="C666" s="600"/>
      <c r="D666" s="600"/>
      <c r="E666" s="750" t="s">
        <v>18</v>
      </c>
      <c r="F666" s="750"/>
      <c r="G666" s="596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597"/>
      <c r="R666" s="597"/>
      <c r="S666" s="597"/>
      <c r="T666" s="597"/>
      <c r="U666" s="597"/>
      <c r="V666" s="597"/>
      <c r="W666" s="597"/>
      <c r="X666" s="597"/>
      <c r="Y666" s="597"/>
      <c r="Z666" s="597"/>
    </row>
    <row r="667" spans="1:26" ht="18.75" hidden="1">
      <c r="A667" s="592"/>
      <c r="B667" s="600"/>
      <c r="C667" s="600"/>
      <c r="D667" s="600"/>
      <c r="E667" s="750" t="s">
        <v>19</v>
      </c>
      <c r="F667" s="750"/>
      <c r="G667" s="596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597"/>
      <c r="R667" s="597"/>
      <c r="S667" s="597"/>
      <c r="T667" s="597"/>
      <c r="U667" s="597"/>
      <c r="V667" s="597"/>
      <c r="W667" s="597"/>
      <c r="X667" s="597"/>
      <c r="Y667" s="597"/>
      <c r="Z667" s="597"/>
    </row>
    <row r="668" spans="1:26" ht="19.5" hidden="1">
      <c r="A668" s="601"/>
      <c r="B668" s="611"/>
      <c r="C668" s="568" t="s">
        <v>16</v>
      </c>
      <c r="D668" s="836" t="s">
        <v>38</v>
      </c>
      <c r="E668" s="752"/>
      <c r="F668" s="752"/>
      <c r="G668" s="606"/>
      <c r="H668" s="753"/>
      <c r="I668" s="184"/>
      <c r="J668" s="184"/>
      <c r="K668" s="163"/>
      <c r="L668" s="163"/>
      <c r="M668" s="163"/>
      <c r="N668" s="163"/>
      <c r="O668" s="163"/>
      <c r="P668" s="163"/>
      <c r="Q668" s="571"/>
      <c r="R668" s="571"/>
      <c r="S668" s="571"/>
      <c r="T668" s="571"/>
      <c r="U668" s="571"/>
      <c r="V668" s="571"/>
      <c r="W668" s="571"/>
      <c r="X668" s="571"/>
      <c r="Y668" s="571"/>
      <c r="Z668" s="571"/>
    </row>
    <row r="669" spans="1:26" ht="19.5" hidden="1">
      <c r="A669" s="601"/>
      <c r="B669" s="611"/>
      <c r="C669" s="611"/>
      <c r="D669" s="611" t="s">
        <v>280</v>
      </c>
      <c r="E669" s="619"/>
      <c r="F669" s="619"/>
      <c r="G669" s="753"/>
      <c r="H669" s="758" t="s">
        <v>46</v>
      </c>
      <c r="I669" s="674">
        <f ca="1">IFERROR(__xludf.DUMMYFUNCTION("IMPORTRANGE(""https://docs.google.com/spreadsheets/d/1QqKyyYR6Q21VydFLVH3TRQUabQu_ym0Zz7PgGX0-kHA/edit?usp=sharing"",""แผน!IA66"")"),0)</f>
        <v>0</v>
      </c>
      <c r="J669" s="674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1"/>
      <c r="R669" s="571"/>
      <c r="S669" s="571"/>
      <c r="T669" s="571"/>
      <c r="U669" s="571"/>
      <c r="V669" s="571"/>
      <c r="W669" s="571"/>
      <c r="X669" s="571"/>
      <c r="Y669" s="571"/>
      <c r="Z669" s="571"/>
    </row>
    <row r="670" spans="1:26" ht="18.75" hidden="1">
      <c r="A670" s="601"/>
      <c r="B670" s="611"/>
      <c r="C670" s="611"/>
      <c r="D670" s="611"/>
      <c r="E670" s="619" t="s">
        <v>281</v>
      </c>
      <c r="F670" s="619"/>
      <c r="G670" s="753"/>
      <c r="H670" s="755" t="s">
        <v>69</v>
      </c>
      <c r="I670" s="269">
        <f ca="1">IFERROR(__xludf.DUMMYFUNCTION("IMPORTRANGE(""https://docs.google.com/spreadsheets/d/1QqKyyYR6Q21VydFLVH3TRQUabQu_ym0Zz7PgGX0-kHA/edit?usp=sharing"",""แผน!HZ66"")"),0)</f>
        <v>0</v>
      </c>
      <c r="J670" s="214">
        <v>0</v>
      </c>
      <c r="K670" s="496">
        <f ca="1">IF(I670&gt;0,(J670*100)/I670,0)</f>
        <v>0</v>
      </c>
      <c r="L670" s="163"/>
      <c r="M670" s="163"/>
      <c r="N670" s="163"/>
      <c r="O670" s="163"/>
      <c r="P670" s="163"/>
      <c r="Q670" s="571"/>
      <c r="R670" s="571"/>
      <c r="S670" s="571"/>
      <c r="T670" s="571"/>
      <c r="U670" s="571"/>
      <c r="V670" s="571"/>
      <c r="W670" s="571"/>
      <c r="X670" s="571"/>
      <c r="Y670" s="571"/>
      <c r="Z670" s="571"/>
    </row>
    <row r="671" spans="1:26" ht="18.75" hidden="1">
      <c r="A671" s="601"/>
      <c r="B671" s="611"/>
      <c r="C671" s="611"/>
      <c r="D671" s="611"/>
      <c r="E671" s="619" t="s">
        <v>282</v>
      </c>
      <c r="F671" s="619"/>
      <c r="G671" s="753"/>
      <c r="H671" s="755" t="s">
        <v>69</v>
      </c>
      <c r="I671" s="269">
        <f ca="1">IFERROR(__xludf.DUMMYFUNCTION("IMPORTRANGE(""https://docs.google.com/spreadsheets/d/1QqKyyYR6Q21VydFLVH3TRQUabQu_ym0Zz7PgGX0-kHA/edit?usp=sharing"",""แผน!HZ66"")"),0)</f>
        <v>0</v>
      </c>
      <c r="J671" s="214">
        <v>0</v>
      </c>
      <c r="K671" s="496">
        <f ca="1">IF(I$671&gt;0,J671*100/I$671,0)</f>
        <v>0</v>
      </c>
      <c r="L671" s="163"/>
      <c r="M671" s="163"/>
      <c r="N671" s="163"/>
      <c r="O671" s="163"/>
      <c r="P671" s="163"/>
      <c r="Q671" s="571"/>
      <c r="R671" s="571"/>
      <c r="S671" s="571"/>
      <c r="T671" s="571"/>
      <c r="U671" s="571"/>
      <c r="V671" s="571"/>
      <c r="W671" s="571"/>
      <c r="X671" s="571"/>
      <c r="Y671" s="571"/>
      <c r="Z671" s="571"/>
    </row>
    <row r="672" spans="1:26" ht="18.75" hidden="1">
      <c r="A672" s="601"/>
      <c r="B672" s="611"/>
      <c r="C672" s="611"/>
      <c r="D672" s="611"/>
      <c r="E672" s="619" t="s">
        <v>283</v>
      </c>
      <c r="F672" s="619"/>
      <c r="G672" s="753"/>
      <c r="H672" s="755" t="s">
        <v>46</v>
      </c>
      <c r="I672" s="269"/>
      <c r="J672" s="214">
        <v>0</v>
      </c>
      <c r="K672" s="496">
        <f t="shared" ref="K672:K675" ca="1" si="281">IF(I$669&gt;0,J672*100/I$669,0)</f>
        <v>0</v>
      </c>
      <c r="L672" s="163"/>
      <c r="M672" s="163"/>
      <c r="N672" s="163"/>
      <c r="O672" s="163"/>
      <c r="P672" s="163"/>
      <c r="Q672" s="571"/>
      <c r="R672" s="571"/>
      <c r="S672" s="571"/>
      <c r="T672" s="571"/>
      <c r="U672" s="571"/>
      <c r="V672" s="571"/>
      <c r="W672" s="571"/>
      <c r="X672" s="571"/>
      <c r="Y672" s="571"/>
      <c r="Z672" s="571"/>
    </row>
    <row r="673" spans="1:26" ht="18.75" hidden="1">
      <c r="A673" s="601"/>
      <c r="B673" s="611"/>
      <c r="C673" s="611"/>
      <c r="D673" s="611"/>
      <c r="E673" s="619" t="s">
        <v>284</v>
      </c>
      <c r="F673" s="619"/>
      <c r="G673" s="753"/>
      <c r="H673" s="755" t="s">
        <v>46</v>
      </c>
      <c r="I673" s="269"/>
      <c r="J673" s="214">
        <v>0</v>
      </c>
      <c r="K673" s="496">
        <f t="shared" ca="1" si="281"/>
        <v>0</v>
      </c>
      <c r="L673" s="163"/>
      <c r="M673" s="163"/>
      <c r="N673" s="163"/>
      <c r="O673" s="163"/>
      <c r="P673" s="163"/>
      <c r="Q673" s="571"/>
      <c r="R673" s="571"/>
      <c r="S673" s="571"/>
      <c r="T673" s="571"/>
      <c r="U673" s="571"/>
      <c r="V673" s="571"/>
      <c r="W673" s="571"/>
      <c r="X673" s="571"/>
      <c r="Y673" s="571"/>
      <c r="Z673" s="571"/>
    </row>
    <row r="674" spans="1:26" ht="18.75" hidden="1">
      <c r="A674" s="601"/>
      <c r="B674" s="611"/>
      <c r="C674" s="611"/>
      <c r="D674" s="611"/>
      <c r="E674" s="619" t="s">
        <v>285</v>
      </c>
      <c r="F674" s="619"/>
      <c r="G674" s="753"/>
      <c r="H674" s="755" t="s">
        <v>46</v>
      </c>
      <c r="I674" s="269"/>
      <c r="J674" s="214">
        <v>0</v>
      </c>
      <c r="K674" s="496">
        <f t="shared" ca="1" si="281"/>
        <v>0</v>
      </c>
      <c r="L674" s="163"/>
      <c r="M674" s="163"/>
      <c r="N674" s="163"/>
      <c r="O674" s="163"/>
      <c r="P674" s="163"/>
      <c r="Q674" s="571"/>
      <c r="R674" s="571"/>
      <c r="S674" s="571"/>
      <c r="T674" s="571"/>
      <c r="U674" s="571"/>
      <c r="V674" s="571"/>
      <c r="W674" s="571"/>
      <c r="X674" s="571"/>
      <c r="Y674" s="571"/>
      <c r="Z674" s="571"/>
    </row>
    <row r="675" spans="1:26" ht="19.5" hidden="1">
      <c r="A675" s="601"/>
      <c r="B675" s="611"/>
      <c r="C675" s="611"/>
      <c r="D675" s="611"/>
      <c r="E675" s="619" t="s">
        <v>286</v>
      </c>
      <c r="F675" s="619"/>
      <c r="G675" s="753"/>
      <c r="H675" s="755" t="s">
        <v>46</v>
      </c>
      <c r="I675" s="269"/>
      <c r="J675" s="674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71"/>
      <c r="R675" s="571"/>
      <c r="S675" s="571"/>
      <c r="T675" s="571"/>
      <c r="U675" s="571"/>
      <c r="V675" s="571"/>
      <c r="W675" s="571"/>
      <c r="X675" s="571"/>
      <c r="Y675" s="571"/>
      <c r="Z675" s="571"/>
    </row>
    <row r="676" spans="1:26" ht="18.75" hidden="1">
      <c r="A676" s="601"/>
      <c r="B676" s="611"/>
      <c r="C676" s="611"/>
      <c r="D676" s="611"/>
      <c r="E676" s="619"/>
      <c r="F676" s="619" t="s">
        <v>287</v>
      </c>
      <c r="G676" s="753"/>
      <c r="H676" s="755" t="s">
        <v>46</v>
      </c>
      <c r="I676" s="269"/>
      <c r="J676" s="214">
        <v>0</v>
      </c>
      <c r="K676" s="496"/>
      <c r="L676" s="163"/>
      <c r="M676" s="163"/>
      <c r="N676" s="163"/>
      <c r="O676" s="163"/>
      <c r="P676" s="163"/>
      <c r="Q676" s="571"/>
      <c r="R676" s="571"/>
      <c r="S676" s="571"/>
      <c r="T676" s="571"/>
      <c r="U676" s="571"/>
      <c r="V676" s="571"/>
      <c r="W676" s="571"/>
      <c r="X676" s="571"/>
      <c r="Y676" s="571"/>
      <c r="Z676" s="571"/>
    </row>
    <row r="677" spans="1:26" ht="18.75" hidden="1">
      <c r="A677" s="601"/>
      <c r="B677" s="611"/>
      <c r="C677" s="611"/>
      <c r="D677" s="611"/>
      <c r="E677" s="619"/>
      <c r="F677" s="619" t="s">
        <v>288</v>
      </c>
      <c r="G677" s="753"/>
      <c r="H677" s="755" t="s">
        <v>46</v>
      </c>
      <c r="I677" s="269"/>
      <c r="J677" s="214">
        <v>0</v>
      </c>
      <c r="K677" s="496"/>
      <c r="L677" s="163"/>
      <c r="M677" s="163"/>
      <c r="N677" s="163"/>
      <c r="O677" s="163"/>
      <c r="P677" s="163"/>
      <c r="Q677" s="571"/>
      <c r="R677" s="571"/>
      <c r="S677" s="571"/>
      <c r="T677" s="571"/>
      <c r="U677" s="571"/>
      <c r="V677" s="571"/>
      <c r="W677" s="571"/>
      <c r="X677" s="571"/>
      <c r="Y677" s="571"/>
      <c r="Z677" s="571"/>
    </row>
    <row r="678" spans="1:26" ht="19.5" hidden="1">
      <c r="A678" s="601"/>
      <c r="B678" s="611"/>
      <c r="C678" s="611"/>
      <c r="D678" s="611" t="s">
        <v>289</v>
      </c>
      <c r="E678" s="619"/>
      <c r="F678" s="619"/>
      <c r="G678" s="753"/>
      <c r="H678" s="755" t="s">
        <v>46</v>
      </c>
      <c r="I678" s="674">
        <f ca="1">IFERROR(__xludf.DUMMYFUNCTION("IMPORTRANGE(""https://docs.google.com/spreadsheets/d/1QqKyyYR6Q21VydFLVH3TRQUabQu_ym0Zz7PgGX0-kHA/edit?usp=sharing"",""แผน!IB66"")"),0)</f>
        <v>0</v>
      </c>
      <c r="J678" s="674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1"/>
      <c r="R678" s="571"/>
      <c r="S678" s="571"/>
      <c r="T678" s="571"/>
      <c r="U678" s="571"/>
      <c r="V678" s="571"/>
      <c r="W678" s="571"/>
      <c r="X678" s="571"/>
      <c r="Y678" s="571"/>
      <c r="Z678" s="571"/>
    </row>
    <row r="679" spans="1:26" ht="18.75" hidden="1">
      <c r="A679" s="601"/>
      <c r="B679" s="611"/>
      <c r="C679" s="611"/>
      <c r="D679" s="611"/>
      <c r="E679" s="619" t="s">
        <v>290</v>
      </c>
      <c r="F679" s="619"/>
      <c r="G679" s="753"/>
      <c r="H679" s="755" t="s">
        <v>46</v>
      </c>
      <c r="I679" s="269"/>
      <c r="J679" s="269">
        <f>J680+J681</f>
        <v>0</v>
      </c>
      <c r="K679" s="496"/>
      <c r="L679" s="163"/>
      <c r="M679" s="163"/>
      <c r="N679" s="163"/>
      <c r="O679" s="163"/>
      <c r="P679" s="163"/>
      <c r="Q679" s="571"/>
      <c r="R679" s="571"/>
      <c r="S679" s="571"/>
      <c r="T679" s="571"/>
      <c r="U679" s="571"/>
      <c r="V679" s="571"/>
      <c r="W679" s="571"/>
      <c r="X679" s="571"/>
      <c r="Y679" s="571"/>
      <c r="Z679" s="571"/>
    </row>
    <row r="680" spans="1:26" ht="18.75" hidden="1">
      <c r="A680" s="601"/>
      <c r="B680" s="611"/>
      <c r="C680" s="611"/>
      <c r="D680" s="611"/>
      <c r="E680" s="619"/>
      <c r="F680" s="619" t="s">
        <v>287</v>
      </c>
      <c r="G680" s="753"/>
      <c r="H680" s="755" t="s">
        <v>46</v>
      </c>
      <c r="I680" s="269"/>
      <c r="J680" s="214">
        <v>0</v>
      </c>
      <c r="K680" s="496"/>
      <c r="L680" s="163"/>
      <c r="M680" s="163"/>
      <c r="N680" s="163"/>
      <c r="O680" s="163"/>
      <c r="P680" s="163"/>
      <c r="Q680" s="571"/>
      <c r="R680" s="571"/>
      <c r="S680" s="571"/>
      <c r="T680" s="571"/>
      <c r="U680" s="571"/>
      <c r="V680" s="571"/>
      <c r="W680" s="571"/>
      <c r="X680" s="571"/>
      <c r="Y680" s="571"/>
      <c r="Z680" s="571"/>
    </row>
    <row r="681" spans="1:26" ht="18.75" hidden="1">
      <c r="A681" s="601"/>
      <c r="B681" s="611"/>
      <c r="C681" s="611"/>
      <c r="D681" s="611"/>
      <c r="E681" s="619"/>
      <c r="F681" s="619" t="s">
        <v>288</v>
      </c>
      <c r="G681" s="753"/>
      <c r="H681" s="755" t="s">
        <v>46</v>
      </c>
      <c r="I681" s="269"/>
      <c r="J681" s="214">
        <v>0</v>
      </c>
      <c r="K681" s="496"/>
      <c r="L681" s="163"/>
      <c r="M681" s="163"/>
      <c r="N681" s="163"/>
      <c r="O681" s="163"/>
      <c r="P681" s="163"/>
      <c r="Q681" s="571"/>
      <c r="R681" s="571"/>
      <c r="S681" s="571"/>
      <c r="T681" s="571"/>
      <c r="U681" s="571"/>
      <c r="V681" s="571"/>
      <c r="W681" s="571"/>
      <c r="X681" s="571"/>
      <c r="Y681" s="571"/>
      <c r="Z681" s="571"/>
    </row>
    <row r="682" spans="1:26" ht="18.75" hidden="1">
      <c r="A682" s="601"/>
      <c r="B682" s="611"/>
      <c r="C682" s="611"/>
      <c r="D682" s="611"/>
      <c r="E682" s="619" t="s">
        <v>291</v>
      </c>
      <c r="F682" s="619"/>
      <c r="G682" s="753"/>
      <c r="H682" s="755" t="s">
        <v>46</v>
      </c>
      <c r="I682" s="269"/>
      <c r="J682" s="214">
        <v>0</v>
      </c>
      <c r="K682" s="496"/>
      <c r="L682" s="163"/>
      <c r="M682" s="163"/>
      <c r="N682" s="163"/>
      <c r="O682" s="163"/>
      <c r="P682" s="163"/>
      <c r="Q682" s="571"/>
      <c r="R682" s="571"/>
      <c r="S682" s="571"/>
      <c r="T682" s="571"/>
      <c r="U682" s="571"/>
      <c r="V682" s="571"/>
      <c r="W682" s="571"/>
      <c r="X682" s="571"/>
      <c r="Y682" s="571"/>
      <c r="Z682" s="571"/>
    </row>
    <row r="683" spans="1:26" ht="18.75" hidden="1">
      <c r="A683" s="601"/>
      <c r="B683" s="611"/>
      <c r="C683" s="611"/>
      <c r="D683" s="611"/>
      <c r="E683" s="619"/>
      <c r="F683" s="619" t="s">
        <v>292</v>
      </c>
      <c r="G683" s="753"/>
      <c r="H683" s="755" t="s">
        <v>46</v>
      </c>
      <c r="I683" s="269"/>
      <c r="J683" s="214">
        <v>0</v>
      </c>
      <c r="K683" s="496"/>
      <c r="L683" s="163"/>
      <c r="M683" s="163"/>
      <c r="N683" s="163"/>
      <c r="O683" s="163"/>
      <c r="P683" s="163"/>
      <c r="Q683" s="571"/>
      <c r="R683" s="571"/>
      <c r="S683" s="571"/>
      <c r="T683" s="571"/>
      <c r="U683" s="571"/>
      <c r="V683" s="571"/>
      <c r="W683" s="571"/>
      <c r="X683" s="571"/>
      <c r="Y683" s="571"/>
      <c r="Z683" s="571"/>
    </row>
    <row r="684" spans="1:26" ht="19.5" hidden="1">
      <c r="A684" s="744"/>
      <c r="B684" s="745" t="s">
        <v>293</v>
      </c>
      <c r="C684" s="744"/>
      <c r="D684" s="744"/>
      <c r="E684" s="744"/>
      <c r="F684" s="744"/>
      <c r="G684" s="746"/>
      <c r="H684" s="746"/>
      <c r="I684" s="747"/>
      <c r="J684" s="747"/>
      <c r="K684" s="748"/>
      <c r="L684" s="748"/>
      <c r="M684" s="748"/>
      <c r="N684" s="748"/>
      <c r="O684" s="748"/>
      <c r="P684" s="748"/>
      <c r="Q684" s="571"/>
      <c r="R684" s="571"/>
      <c r="S684" s="571"/>
      <c r="T684" s="571"/>
      <c r="U684" s="571"/>
      <c r="V684" s="571"/>
      <c r="W684" s="571"/>
      <c r="X684" s="571"/>
      <c r="Y684" s="571"/>
      <c r="Z684" s="571"/>
    </row>
    <row r="685" spans="1:26" ht="19.5" hidden="1">
      <c r="A685" s="590"/>
      <c r="B685" s="754"/>
      <c r="C685" s="754" t="s">
        <v>16</v>
      </c>
      <c r="D685" s="863" t="s">
        <v>17</v>
      </c>
      <c r="E685" s="857"/>
      <c r="F685" s="857"/>
      <c r="G685" s="189"/>
      <c r="H685" s="591" t="s">
        <v>12</v>
      </c>
      <c r="I685" s="269"/>
      <c r="J685" s="269"/>
      <c r="K685" s="496"/>
      <c r="L685" s="195">
        <f t="shared" ref="L685:N685" ca="1" si="282">L686+L687</f>
        <v>0</v>
      </c>
      <c r="M685" s="195">
        <f t="shared" si="282"/>
        <v>0</v>
      </c>
      <c r="N685" s="195">
        <f t="shared" si="282"/>
        <v>0</v>
      </c>
      <c r="O685" s="195">
        <f t="shared" ref="O685:O688" ca="1" si="283">IF(L685&gt;0,N685*100/L685,0)</f>
        <v>0</v>
      </c>
      <c r="P685" s="195">
        <f t="shared" ref="P685:P688" si="284">IF(M685&gt;0,N685*100/M685,0)</f>
        <v>0</v>
      </c>
      <c r="Q685" s="571"/>
      <c r="R685" s="571"/>
      <c r="S685" s="571"/>
      <c r="T685" s="571"/>
      <c r="U685" s="571"/>
      <c r="V685" s="571"/>
      <c r="W685" s="571"/>
      <c r="X685" s="571"/>
      <c r="Y685" s="571"/>
      <c r="Z685" s="571"/>
    </row>
    <row r="686" spans="1:26" ht="18.75" hidden="1">
      <c r="A686" s="592"/>
      <c r="B686" s="750"/>
      <c r="C686" s="750"/>
      <c r="D686" s="711"/>
      <c r="E686" s="750" t="s">
        <v>184</v>
      </c>
      <c r="F686" s="750"/>
      <c r="G686" s="596"/>
      <c r="H686" s="165" t="s">
        <v>12</v>
      </c>
      <c r="I686" s="610"/>
      <c r="J686" s="610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597"/>
      <c r="R686" s="597"/>
      <c r="S686" s="597"/>
      <c r="T686" s="597"/>
      <c r="U686" s="597"/>
      <c r="V686" s="597"/>
      <c r="W686" s="597"/>
      <c r="X686" s="597"/>
      <c r="Y686" s="597"/>
      <c r="Z686" s="597"/>
    </row>
    <row r="687" spans="1:26" ht="18.75" hidden="1">
      <c r="A687" s="592"/>
      <c r="B687" s="600"/>
      <c r="C687" s="750"/>
      <c r="D687" s="711"/>
      <c r="E687" s="750" t="s">
        <v>185</v>
      </c>
      <c r="F687" s="750"/>
      <c r="G687" s="596"/>
      <c r="H687" s="165" t="s">
        <v>12</v>
      </c>
      <c r="I687" s="610"/>
      <c r="J687" s="610"/>
      <c r="K687" s="93"/>
      <c r="L687" s="93">
        <f t="shared" ca="1" si="285"/>
        <v>0</v>
      </c>
      <c r="M687" s="93">
        <f t="shared" si="285"/>
        <v>0</v>
      </c>
      <c r="N687" s="93">
        <f t="shared" si="285"/>
        <v>0</v>
      </c>
      <c r="O687" s="93">
        <f t="shared" ca="1" si="283"/>
        <v>0</v>
      </c>
      <c r="P687" s="93">
        <f t="shared" si="284"/>
        <v>0</v>
      </c>
      <c r="Q687" s="597"/>
      <c r="R687" s="597"/>
      <c r="S687" s="597"/>
      <c r="T687" s="597"/>
      <c r="U687" s="597"/>
      <c r="V687" s="597"/>
      <c r="W687" s="597"/>
      <c r="X687" s="597"/>
      <c r="Y687" s="597"/>
      <c r="Z687" s="597"/>
    </row>
    <row r="688" spans="1:26" ht="18.75" hidden="1">
      <c r="A688" s="590"/>
      <c r="B688" s="568"/>
      <c r="C688" s="754"/>
      <c r="D688" s="599" t="s">
        <v>20</v>
      </c>
      <c r="E688" s="754"/>
      <c r="F688" s="754"/>
      <c r="G688" s="189"/>
      <c r="H688" s="161" t="s">
        <v>12</v>
      </c>
      <c r="I688" s="184"/>
      <c r="J688" s="184"/>
      <c r="K688" s="163"/>
      <c r="L688" s="496">
        <f t="shared" ref="L688:N688" ca="1" si="286">L689+L690</f>
        <v>0</v>
      </c>
      <c r="M688" s="496">
        <f t="shared" si="286"/>
        <v>0</v>
      </c>
      <c r="N688" s="496">
        <f t="shared" si="286"/>
        <v>0</v>
      </c>
      <c r="O688" s="496">
        <f t="shared" ca="1" si="283"/>
        <v>0</v>
      </c>
      <c r="P688" s="496">
        <f t="shared" si="284"/>
        <v>0</v>
      </c>
      <c r="Q688" s="571"/>
      <c r="R688" s="571"/>
      <c r="S688" s="571"/>
      <c r="T688" s="571"/>
      <c r="U688" s="571"/>
      <c r="V688" s="571"/>
      <c r="W688" s="571"/>
      <c r="X688" s="571"/>
      <c r="Y688" s="571"/>
      <c r="Z688" s="571"/>
    </row>
    <row r="689" spans="1:26" ht="18.75" hidden="1">
      <c r="A689" s="592"/>
      <c r="B689" s="600"/>
      <c r="C689" s="750"/>
      <c r="D689" s="711"/>
      <c r="E689" s="750" t="s">
        <v>184</v>
      </c>
      <c r="F689" s="750"/>
      <c r="G689" s="596"/>
      <c r="H689" s="165" t="s">
        <v>12</v>
      </c>
      <c r="I689" s="610"/>
      <c r="J689" s="610"/>
      <c r="K689" s="93"/>
      <c r="L689" s="93">
        <v>0</v>
      </c>
      <c r="M689" s="93">
        <v>0</v>
      </c>
      <c r="N689" s="93">
        <v>0</v>
      </c>
      <c r="O689" s="93"/>
      <c r="P689" s="93"/>
      <c r="Q689" s="597"/>
      <c r="R689" s="597"/>
      <c r="S689" s="597"/>
      <c r="T689" s="597"/>
      <c r="U689" s="597"/>
      <c r="V689" s="597"/>
      <c r="W689" s="597"/>
      <c r="X689" s="597"/>
      <c r="Y689" s="597"/>
      <c r="Z689" s="597"/>
    </row>
    <row r="690" spans="1:26" ht="18.75" hidden="1">
      <c r="A690" s="592"/>
      <c r="B690" s="600"/>
      <c r="C690" s="750"/>
      <c r="D690" s="711"/>
      <c r="E690" s="750" t="s">
        <v>185</v>
      </c>
      <c r="F690" s="750"/>
      <c r="G690" s="596"/>
      <c r="H690" s="165" t="s">
        <v>12</v>
      </c>
      <c r="I690" s="610"/>
      <c r="J690" s="610"/>
      <c r="K690" s="93"/>
      <c r="L690" s="93">
        <f ca="1">IFERROR(__xludf.DUMMYFUNCTION("IMPORTRANGE(""https://docs.google.com/spreadsheets/d/1QqKyyYR6Q21VydFLVH3TRQUabQu_ym0Zz7PgGX0-kHA/edit?usp=sharing"",""แผน!HW66"")"),0)</f>
        <v>0</v>
      </c>
      <c r="M690" s="93">
        <v>0</v>
      </c>
      <c r="N690" s="93">
        <f>N691+N692+N693+N694</f>
        <v>0</v>
      </c>
      <c r="O690" s="93">
        <f ca="1">IF(L690&gt;0,N690*100/L690,0)</f>
        <v>0</v>
      </c>
      <c r="P690" s="93">
        <f>IF(M690&gt;0,N690*100/M690,0)</f>
        <v>0</v>
      </c>
      <c r="Q690" s="597"/>
      <c r="R690" s="597"/>
      <c r="S690" s="597"/>
      <c r="T690" s="597"/>
      <c r="U690" s="597"/>
      <c r="V690" s="597"/>
      <c r="W690" s="597"/>
      <c r="X690" s="597"/>
      <c r="Y690" s="597"/>
      <c r="Z690" s="597"/>
    </row>
    <row r="691" spans="1:26" ht="18.75" hidden="1">
      <c r="A691" s="567"/>
      <c r="B691" s="568"/>
      <c r="C691" s="754"/>
      <c r="D691" s="754"/>
      <c r="E691" s="754"/>
      <c r="F691" s="754" t="s">
        <v>186</v>
      </c>
      <c r="G691" s="189"/>
      <c r="H691" s="161" t="s">
        <v>12</v>
      </c>
      <c r="I691" s="269"/>
      <c r="J691" s="269"/>
      <c r="K691" s="496"/>
      <c r="L691" s="496"/>
      <c r="M691" s="496"/>
      <c r="N691" s="817">
        <v>0</v>
      </c>
      <c r="O691" s="496"/>
      <c r="P691" s="496"/>
      <c r="Q691" s="571"/>
      <c r="R691" s="571"/>
      <c r="S691" s="571"/>
      <c r="T691" s="571"/>
      <c r="U691" s="571"/>
      <c r="V691" s="571"/>
      <c r="W691" s="571"/>
      <c r="X691" s="571"/>
      <c r="Y691" s="571"/>
      <c r="Z691" s="571"/>
    </row>
    <row r="692" spans="1:26" ht="18.75" hidden="1">
      <c r="A692" s="567"/>
      <c r="B692" s="568"/>
      <c r="C692" s="754"/>
      <c r="D692" s="754"/>
      <c r="E692" s="754"/>
      <c r="F692" s="754" t="s">
        <v>187</v>
      </c>
      <c r="G692" s="189"/>
      <c r="H692" s="161" t="s">
        <v>12</v>
      </c>
      <c r="I692" s="269"/>
      <c r="J692" s="269"/>
      <c r="K692" s="496"/>
      <c r="L692" s="496"/>
      <c r="M692" s="496"/>
      <c r="N692" s="817">
        <v>0</v>
      </c>
      <c r="O692" s="496"/>
      <c r="P692" s="496"/>
      <c r="Q692" s="571"/>
      <c r="R692" s="571"/>
      <c r="S692" s="571"/>
      <c r="T692" s="571"/>
      <c r="U692" s="571"/>
      <c r="V692" s="571"/>
      <c r="W692" s="571"/>
      <c r="X692" s="571"/>
      <c r="Y692" s="571"/>
      <c r="Z692" s="571"/>
    </row>
    <row r="693" spans="1:26" ht="18.75" hidden="1">
      <c r="A693" s="567"/>
      <c r="B693" s="568"/>
      <c r="C693" s="754"/>
      <c r="D693" s="754"/>
      <c r="E693" s="754"/>
      <c r="F693" s="754" t="s">
        <v>188</v>
      </c>
      <c r="G693" s="189"/>
      <c r="H693" s="161" t="s">
        <v>12</v>
      </c>
      <c r="I693" s="269"/>
      <c r="J693" s="269"/>
      <c r="K693" s="496"/>
      <c r="L693" s="496"/>
      <c r="M693" s="496"/>
      <c r="N693" s="817">
        <v>0</v>
      </c>
      <c r="O693" s="496"/>
      <c r="P693" s="496"/>
      <c r="Q693" s="571"/>
      <c r="R693" s="571"/>
      <c r="S693" s="571"/>
      <c r="T693" s="571"/>
      <c r="U693" s="571"/>
      <c r="V693" s="571"/>
      <c r="W693" s="571"/>
      <c r="X693" s="571"/>
      <c r="Y693" s="571"/>
      <c r="Z693" s="571"/>
    </row>
    <row r="694" spans="1:26" ht="18.75" hidden="1">
      <c r="A694" s="567"/>
      <c r="B694" s="568"/>
      <c r="C694" s="754"/>
      <c r="D694" s="754"/>
      <c r="E694" s="754"/>
      <c r="F694" s="754" t="s">
        <v>189</v>
      </c>
      <c r="G694" s="189"/>
      <c r="H694" s="161" t="s">
        <v>12</v>
      </c>
      <c r="I694" s="269"/>
      <c r="J694" s="269"/>
      <c r="K694" s="496"/>
      <c r="L694" s="496"/>
      <c r="M694" s="496"/>
      <c r="N694" s="817">
        <v>0</v>
      </c>
      <c r="O694" s="496"/>
      <c r="P694" s="496"/>
      <c r="Q694" s="571"/>
      <c r="R694" s="571"/>
      <c r="S694" s="571"/>
      <c r="T694" s="571"/>
      <c r="U694" s="571"/>
      <c r="V694" s="571"/>
      <c r="W694" s="571"/>
      <c r="X694" s="571"/>
      <c r="Y694" s="571"/>
      <c r="Z694" s="571"/>
    </row>
    <row r="695" spans="1:26" ht="18.75" hidden="1">
      <c r="A695" s="590"/>
      <c r="B695" s="568"/>
      <c r="C695" s="754"/>
      <c r="D695" s="599" t="s">
        <v>21</v>
      </c>
      <c r="E695" s="754"/>
      <c r="F695" s="754"/>
      <c r="G695" s="189"/>
      <c r="H695" s="168" t="s">
        <v>12</v>
      </c>
      <c r="I695" s="184"/>
      <c r="J695" s="184"/>
      <c r="K695" s="163"/>
      <c r="L695" s="496">
        <f t="shared" ref="L695:N695" si="287">L696+L697</f>
        <v>0</v>
      </c>
      <c r="M695" s="496">
        <f t="shared" si="287"/>
        <v>0</v>
      </c>
      <c r="N695" s="496">
        <f t="shared" si="287"/>
        <v>0</v>
      </c>
      <c r="O695" s="496">
        <f t="shared" ref="O695:O697" si="288">IF(L695&gt;0,N695*100/L695,0)</f>
        <v>0</v>
      </c>
      <c r="P695" s="496">
        <f t="shared" ref="P695:P697" si="289">IF(M695&gt;0,N695*100/M695,0)</f>
        <v>0</v>
      </c>
      <c r="Q695" s="571"/>
      <c r="R695" s="571"/>
      <c r="S695" s="571"/>
      <c r="T695" s="571"/>
      <c r="U695" s="571"/>
      <c r="V695" s="571"/>
      <c r="W695" s="571"/>
      <c r="X695" s="571"/>
      <c r="Y695" s="571"/>
      <c r="Z695" s="571"/>
    </row>
    <row r="696" spans="1:26" ht="18.75" hidden="1">
      <c r="A696" s="592"/>
      <c r="B696" s="600"/>
      <c r="C696" s="750"/>
      <c r="D696" s="750"/>
      <c r="E696" s="750" t="s">
        <v>18</v>
      </c>
      <c r="F696" s="750"/>
      <c r="G696" s="596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597"/>
      <c r="R696" s="597"/>
      <c r="S696" s="597"/>
      <c r="T696" s="597"/>
      <c r="U696" s="597"/>
      <c r="V696" s="597"/>
      <c r="W696" s="597"/>
      <c r="X696" s="597"/>
      <c r="Y696" s="597"/>
      <c r="Z696" s="597"/>
    </row>
    <row r="697" spans="1:26" ht="18.75" hidden="1">
      <c r="A697" s="592"/>
      <c r="B697" s="600"/>
      <c r="C697" s="750"/>
      <c r="D697" s="750"/>
      <c r="E697" s="750" t="s">
        <v>19</v>
      </c>
      <c r="F697" s="750"/>
      <c r="G697" s="596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597"/>
      <c r="R697" s="597"/>
      <c r="S697" s="597"/>
      <c r="T697" s="597"/>
      <c r="U697" s="597"/>
      <c r="V697" s="597"/>
      <c r="W697" s="597"/>
      <c r="X697" s="597"/>
      <c r="Y697" s="597"/>
      <c r="Z697" s="597"/>
    </row>
    <row r="698" spans="1:26" ht="19.5" hidden="1">
      <c r="A698" s="601"/>
      <c r="B698" s="611"/>
      <c r="C698" s="754" t="s">
        <v>16</v>
      </c>
      <c r="D698" s="840" t="s">
        <v>38</v>
      </c>
      <c r="E698" s="752"/>
      <c r="F698" s="752"/>
      <c r="G698" s="606"/>
      <c r="H698" s="753"/>
      <c r="I698" s="184"/>
      <c r="J698" s="184"/>
      <c r="K698" s="163"/>
      <c r="L698" s="163"/>
      <c r="M698" s="163"/>
      <c r="N698" s="163"/>
      <c r="O698" s="163"/>
      <c r="P698" s="163"/>
      <c r="Q698" s="571"/>
      <c r="R698" s="571"/>
      <c r="S698" s="571"/>
      <c r="T698" s="571"/>
      <c r="U698" s="571"/>
      <c r="V698" s="571"/>
      <c r="W698" s="571"/>
      <c r="X698" s="571"/>
      <c r="Y698" s="571"/>
      <c r="Z698" s="571"/>
    </row>
    <row r="699" spans="1:26" ht="18.75" hidden="1">
      <c r="A699" s="735"/>
      <c r="B699" s="754"/>
      <c r="C699" s="754"/>
      <c r="D699" s="754" t="s">
        <v>294</v>
      </c>
      <c r="E699" s="754"/>
      <c r="F699" s="754"/>
      <c r="G699" s="189"/>
      <c r="H699" s="755" t="s">
        <v>46</v>
      </c>
      <c r="I699" s="756">
        <f ca="1">IFERROR(__xludf.DUMMYFUNCTION("IMPORTRANGE(""https://docs.google.com/spreadsheets/d/1QqKyyYR6Q21VydFLVH3TRQUabQu_ym0Zz7PgGX0-kHA/edit?usp=sharing"",""แผน!IC66"")"),0)</f>
        <v>0</v>
      </c>
      <c r="J699" s="269">
        <f ca="1">IFERROR(__xludf.DUMMYFUNCTION("IMPORTRANGE(""https://docs.google.com/spreadsheets/d/1XWAQStnk-4SwqDmLtmXYiTMKHgktTP8We1SCoS47DrQ/edit?usp=sharing"",""จัดที่ดิน!BB66"")"),0)</f>
        <v>0</v>
      </c>
      <c r="K699" s="496">
        <f t="shared" ref="K699:K701" ca="1" si="290">IF(I699&gt;0,J699*100/I699,0)</f>
        <v>0</v>
      </c>
      <c r="L699" s="496"/>
      <c r="M699" s="189"/>
      <c r="N699" s="757"/>
      <c r="O699" s="496"/>
      <c r="P699" s="496"/>
      <c r="Q699" s="571"/>
      <c r="R699" s="571"/>
      <c r="S699" s="571"/>
      <c r="T699" s="571"/>
      <c r="U699" s="571"/>
      <c r="V699" s="571"/>
      <c r="W699" s="571"/>
      <c r="X699" s="571"/>
      <c r="Y699" s="571"/>
      <c r="Z699" s="571"/>
    </row>
    <row r="700" spans="1:26" ht="18.75" hidden="1">
      <c r="A700" s="735"/>
      <c r="B700" s="754"/>
      <c r="C700" s="754"/>
      <c r="D700" s="754" t="s">
        <v>295</v>
      </c>
      <c r="E700" s="754"/>
      <c r="F700" s="754"/>
      <c r="G700" s="189"/>
      <c r="H700" s="755" t="s">
        <v>35</v>
      </c>
      <c r="I700" s="756">
        <f ca="1">IFERROR(__xludf.DUMMYFUNCTION("IMPORTRANGE(""https://docs.google.com/spreadsheets/d/1QqKyyYR6Q21VydFLVH3TRQUabQu_ym0Zz7PgGX0-kHA/edit?usp=sharing"",""แผน!ID66"")"),0)</f>
        <v>0</v>
      </c>
      <c r="J700" s="269">
        <f ca="1">IFERROR(__xludf.DUMMYFUNCTION("IMPORTRANGE(""https://docs.google.com/spreadsheets/d/1XWAQStnk-4SwqDmLtmXYiTMKHgktTP8We1SCoS47DrQ/edit?usp=sharing"",""จัดที่ดิน!BD66"")"),0)</f>
        <v>0</v>
      </c>
      <c r="K700" s="496">
        <f t="shared" ca="1" si="290"/>
        <v>0</v>
      </c>
      <c r="L700" s="496"/>
      <c r="M700" s="189"/>
      <c r="N700" s="757"/>
      <c r="O700" s="496"/>
      <c r="P700" s="496"/>
      <c r="Q700" s="571"/>
      <c r="R700" s="571"/>
      <c r="S700" s="571"/>
      <c r="T700" s="571"/>
      <c r="U700" s="571"/>
      <c r="V700" s="571"/>
      <c r="W700" s="571"/>
      <c r="X700" s="571"/>
      <c r="Y700" s="571"/>
      <c r="Z700" s="571"/>
    </row>
    <row r="701" spans="1:26" ht="19.5" hidden="1">
      <c r="A701" s="735"/>
      <c r="B701" s="754"/>
      <c r="C701" s="754"/>
      <c r="D701" s="754" t="s">
        <v>296</v>
      </c>
      <c r="E701" s="754"/>
      <c r="F701" s="754"/>
      <c r="G701" s="189"/>
      <c r="H701" s="758" t="s">
        <v>46</v>
      </c>
      <c r="I701" s="759">
        <f ca="1">IFERROR(__xludf.DUMMYFUNCTION("IMPORTRANGE(""https://docs.google.com/spreadsheets/d/1QqKyyYR6Q21VydFLVH3TRQUabQu_ym0Zz7PgGX0-kHA/edit?usp=sharing"",""แผน!IE66"")"),0)</f>
        <v>0</v>
      </c>
      <c r="J701" s="674">
        <f>J704+J707</f>
        <v>0</v>
      </c>
      <c r="K701" s="195">
        <f t="shared" ca="1" si="290"/>
        <v>0</v>
      </c>
      <c r="L701" s="496"/>
      <c r="M701" s="189"/>
      <c r="N701" s="757"/>
      <c r="O701" s="496"/>
      <c r="P701" s="496"/>
      <c r="Q701" s="571"/>
      <c r="R701" s="571"/>
      <c r="S701" s="571"/>
      <c r="T701" s="571"/>
      <c r="U701" s="571"/>
      <c r="V701" s="571"/>
      <c r="W701" s="571"/>
      <c r="X701" s="571"/>
      <c r="Y701" s="571"/>
      <c r="Z701" s="571"/>
    </row>
    <row r="702" spans="1:26" ht="18.75" hidden="1">
      <c r="A702" s="735"/>
      <c r="B702" s="754"/>
      <c r="C702" s="754"/>
      <c r="D702" s="754"/>
      <c r="E702" s="754" t="s">
        <v>297</v>
      </c>
      <c r="F702" s="754"/>
      <c r="G702" s="189"/>
      <c r="H702" s="755" t="s">
        <v>35</v>
      </c>
      <c r="I702" s="756"/>
      <c r="J702" s="214">
        <v>0</v>
      </c>
      <c r="K702" s="496"/>
      <c r="L702" s="496"/>
      <c r="M702" s="189"/>
      <c r="N702" s="757"/>
      <c r="O702" s="496"/>
      <c r="P702" s="496"/>
      <c r="Q702" s="571"/>
      <c r="R702" s="571"/>
      <c r="S702" s="571"/>
      <c r="T702" s="571"/>
      <c r="U702" s="571"/>
      <c r="V702" s="571"/>
      <c r="W702" s="571"/>
      <c r="X702" s="571"/>
      <c r="Y702" s="571"/>
      <c r="Z702" s="571"/>
    </row>
    <row r="703" spans="1:26" ht="18.75" hidden="1">
      <c r="A703" s="735"/>
      <c r="B703" s="754"/>
      <c r="C703" s="754"/>
      <c r="D703" s="754"/>
      <c r="E703" s="754"/>
      <c r="F703" s="754"/>
      <c r="G703" s="189"/>
      <c r="H703" s="755" t="s">
        <v>34</v>
      </c>
      <c r="I703" s="756"/>
      <c r="J703" s="214">
        <v>0</v>
      </c>
      <c r="K703" s="496"/>
      <c r="L703" s="496"/>
      <c r="M703" s="189"/>
      <c r="N703" s="757"/>
      <c r="O703" s="496"/>
      <c r="P703" s="496"/>
      <c r="Q703" s="571"/>
      <c r="R703" s="571"/>
      <c r="S703" s="571"/>
      <c r="T703" s="571"/>
      <c r="U703" s="571"/>
      <c r="V703" s="571"/>
      <c r="W703" s="571"/>
      <c r="X703" s="571"/>
      <c r="Y703" s="571"/>
      <c r="Z703" s="571"/>
    </row>
    <row r="704" spans="1:26" ht="18.75" hidden="1">
      <c r="A704" s="735"/>
      <c r="B704" s="754"/>
      <c r="C704" s="754"/>
      <c r="D704" s="754"/>
      <c r="E704" s="754"/>
      <c r="F704" s="754"/>
      <c r="G704" s="189"/>
      <c r="H704" s="755" t="s">
        <v>46</v>
      </c>
      <c r="I704" s="756">
        <f ca="1">IFERROR(__xludf.DUMMYFUNCTION("IMPORTRANGE(""https://docs.google.com/spreadsheets/d/1QqKyyYR6Q21VydFLVH3TRQUabQu_ym0Zz7PgGX0-kHA/edit?usp=sharing"",""แผน!IF66"")"),0)</f>
        <v>0</v>
      </c>
      <c r="J704" s="214">
        <v>0</v>
      </c>
      <c r="K704" s="496"/>
      <c r="L704" s="496"/>
      <c r="M704" s="189"/>
      <c r="N704" s="757"/>
      <c r="O704" s="496"/>
      <c r="P704" s="496"/>
      <c r="Q704" s="571"/>
      <c r="R704" s="571"/>
      <c r="S704" s="571"/>
      <c r="T704" s="571"/>
      <c r="U704" s="571"/>
      <c r="V704" s="571"/>
      <c r="W704" s="571"/>
      <c r="X704" s="571"/>
      <c r="Y704" s="571"/>
      <c r="Z704" s="571"/>
    </row>
    <row r="705" spans="1:26" ht="18.75" hidden="1">
      <c r="A705" s="735"/>
      <c r="B705" s="754"/>
      <c r="C705" s="754"/>
      <c r="D705" s="754"/>
      <c r="E705" s="754" t="s">
        <v>298</v>
      </c>
      <c r="F705" s="754"/>
      <c r="G705" s="189"/>
      <c r="H705" s="755" t="s">
        <v>35</v>
      </c>
      <c r="I705" s="756"/>
      <c r="J705" s="214">
        <v>0</v>
      </c>
      <c r="K705" s="496"/>
      <c r="L705" s="496"/>
      <c r="M705" s="189"/>
      <c r="N705" s="757"/>
      <c r="O705" s="496"/>
      <c r="P705" s="496"/>
      <c r="Q705" s="571"/>
      <c r="R705" s="571"/>
      <c r="S705" s="571"/>
      <c r="T705" s="571"/>
      <c r="U705" s="571"/>
      <c r="V705" s="571"/>
      <c r="W705" s="571"/>
      <c r="X705" s="571"/>
      <c r="Y705" s="571"/>
      <c r="Z705" s="571"/>
    </row>
    <row r="706" spans="1:26" ht="18.75" hidden="1">
      <c r="A706" s="735"/>
      <c r="B706" s="754"/>
      <c r="C706" s="754"/>
      <c r="D706" s="754"/>
      <c r="E706" s="754"/>
      <c r="F706" s="754"/>
      <c r="G706" s="189"/>
      <c r="H706" s="755" t="s">
        <v>34</v>
      </c>
      <c r="I706" s="756"/>
      <c r="J706" s="214">
        <v>0</v>
      </c>
      <c r="K706" s="496"/>
      <c r="L706" s="496"/>
      <c r="M706" s="189"/>
      <c r="N706" s="757"/>
      <c r="O706" s="496"/>
      <c r="P706" s="496"/>
      <c r="Q706" s="571"/>
      <c r="R706" s="571"/>
      <c r="S706" s="571"/>
      <c r="T706" s="571"/>
      <c r="U706" s="571"/>
      <c r="V706" s="571"/>
      <c r="W706" s="571"/>
      <c r="X706" s="571"/>
      <c r="Y706" s="571"/>
      <c r="Z706" s="571"/>
    </row>
    <row r="707" spans="1:26" ht="18.75" hidden="1">
      <c r="A707" s="735"/>
      <c r="B707" s="754"/>
      <c r="C707" s="754"/>
      <c r="D707" s="754"/>
      <c r="E707" s="754"/>
      <c r="F707" s="754"/>
      <c r="G707" s="189"/>
      <c r="H707" s="755" t="s">
        <v>46</v>
      </c>
      <c r="I707" s="756">
        <f ca="1">IFERROR(__xludf.DUMMYFUNCTION("IMPORTRANGE(""https://docs.google.com/spreadsheets/d/1QqKyyYR6Q21VydFLVH3TRQUabQu_ym0Zz7PgGX0-kHA/edit?usp=sharing"",""แผน!IG66"")"),0)</f>
        <v>0</v>
      </c>
      <c r="J707" s="214">
        <v>0</v>
      </c>
      <c r="K707" s="496"/>
      <c r="L707" s="496"/>
      <c r="M707" s="189"/>
      <c r="N707" s="757"/>
      <c r="O707" s="496"/>
      <c r="P707" s="496"/>
      <c r="Q707" s="571"/>
      <c r="R707" s="571"/>
      <c r="S707" s="571"/>
      <c r="T707" s="571"/>
      <c r="U707" s="571"/>
      <c r="V707" s="571"/>
      <c r="W707" s="571"/>
      <c r="X707" s="571"/>
      <c r="Y707" s="571"/>
      <c r="Z707" s="571"/>
    </row>
    <row r="708" spans="1:26" ht="19.5" hidden="1">
      <c r="A708" s="735"/>
      <c r="B708" s="754"/>
      <c r="C708" s="754"/>
      <c r="D708" s="760" t="s">
        <v>299</v>
      </c>
      <c r="E708" s="754"/>
      <c r="F708" s="754"/>
      <c r="G708" s="189"/>
      <c r="H708" s="758" t="s">
        <v>46</v>
      </c>
      <c r="I708" s="759">
        <f ca="1">IFERROR(__xludf.DUMMYFUNCTION("IMPORTRANGE(""https://docs.google.com/spreadsheets/d/1QqKyyYR6Q21VydFLVH3TRQUabQu_ym0Zz7PgGX0-kHA/edit?usp=sharing"",""แผน!IH66"")"),0)</f>
        <v>0</v>
      </c>
      <c r="J708" s="674">
        <f>J714+J717</f>
        <v>0</v>
      </c>
      <c r="K708" s="195">
        <f ca="1">IF(I708&gt;0,J708*100/I708,0)</f>
        <v>0</v>
      </c>
      <c r="L708" s="496"/>
      <c r="M708" s="189"/>
      <c r="N708" s="757"/>
      <c r="O708" s="496"/>
      <c r="P708" s="496"/>
      <c r="Q708" s="571"/>
      <c r="R708" s="571"/>
      <c r="S708" s="571"/>
      <c r="T708" s="571"/>
      <c r="U708" s="571"/>
      <c r="V708" s="571"/>
      <c r="W708" s="571"/>
      <c r="X708" s="571"/>
      <c r="Y708" s="571"/>
      <c r="Z708" s="571"/>
    </row>
    <row r="709" spans="1:26" ht="18.75" hidden="1">
      <c r="A709" s="735"/>
      <c r="B709" s="754"/>
      <c r="C709" s="754"/>
      <c r="D709" s="754"/>
      <c r="E709" s="754" t="s">
        <v>300</v>
      </c>
      <c r="F709" s="754"/>
      <c r="G709" s="189"/>
      <c r="H709" s="755" t="s">
        <v>34</v>
      </c>
      <c r="I709" s="756"/>
      <c r="J709" s="214">
        <v>0</v>
      </c>
      <c r="K709" s="496"/>
      <c r="L709" s="757"/>
      <c r="M709" s="189"/>
      <c r="N709" s="757"/>
      <c r="O709" s="496"/>
      <c r="P709" s="496"/>
      <c r="Q709" s="571"/>
      <c r="R709" s="571"/>
      <c r="S709" s="571"/>
      <c r="T709" s="571"/>
      <c r="U709" s="571"/>
      <c r="V709" s="571"/>
      <c r="W709" s="571"/>
      <c r="X709" s="571"/>
      <c r="Y709" s="571"/>
      <c r="Z709" s="571"/>
    </row>
    <row r="710" spans="1:26" ht="18.75" hidden="1">
      <c r="A710" s="735"/>
      <c r="B710" s="754"/>
      <c r="C710" s="754"/>
      <c r="D710" s="754"/>
      <c r="E710" s="754"/>
      <c r="F710" s="754"/>
      <c r="G710" s="189"/>
      <c r="H710" s="755" t="s">
        <v>46</v>
      </c>
      <c r="I710" s="756"/>
      <c r="J710" s="214">
        <v>0</v>
      </c>
      <c r="K710" s="496"/>
      <c r="L710" s="757"/>
      <c r="M710" s="189"/>
      <c r="N710" s="757"/>
      <c r="O710" s="496"/>
      <c r="P710" s="496"/>
      <c r="Q710" s="571"/>
      <c r="R710" s="571"/>
      <c r="S710" s="571"/>
      <c r="T710" s="571"/>
      <c r="U710" s="571"/>
      <c r="V710" s="571"/>
      <c r="W710" s="571"/>
      <c r="X710" s="571"/>
      <c r="Y710" s="571"/>
      <c r="Z710" s="571"/>
    </row>
    <row r="711" spans="1:26" ht="18.75" hidden="1">
      <c r="A711" s="735"/>
      <c r="B711" s="754"/>
      <c r="C711" s="754"/>
      <c r="D711" s="754"/>
      <c r="E711" s="754" t="s">
        <v>301</v>
      </c>
      <c r="F711" s="754"/>
      <c r="G711" s="189"/>
      <c r="H711" s="753"/>
      <c r="I711" s="756"/>
      <c r="J711" s="269"/>
      <c r="K711" s="496"/>
      <c r="L711" s="757"/>
      <c r="M711" s="189"/>
      <c r="N711" s="757"/>
      <c r="O711" s="496"/>
      <c r="P711" s="496"/>
      <c r="Q711" s="571"/>
      <c r="R711" s="571"/>
      <c r="S711" s="571"/>
      <c r="T711" s="571"/>
      <c r="U711" s="571"/>
      <c r="V711" s="571"/>
      <c r="W711" s="571"/>
      <c r="X711" s="571"/>
      <c r="Y711" s="571"/>
      <c r="Z711" s="571"/>
    </row>
    <row r="712" spans="1:26" ht="18.75" hidden="1">
      <c r="A712" s="735"/>
      <c r="B712" s="754"/>
      <c r="C712" s="754"/>
      <c r="D712" s="754"/>
      <c r="E712" s="754"/>
      <c r="F712" s="754" t="s">
        <v>302</v>
      </c>
      <c r="G712" s="189"/>
      <c r="H712" s="755" t="s">
        <v>35</v>
      </c>
      <c r="I712" s="756"/>
      <c r="J712" s="214">
        <v>0</v>
      </c>
      <c r="K712" s="496"/>
      <c r="L712" s="757"/>
      <c r="M712" s="189"/>
      <c r="N712" s="757"/>
      <c r="O712" s="496"/>
      <c r="P712" s="496"/>
      <c r="Q712" s="571"/>
      <c r="R712" s="571"/>
      <c r="S712" s="571"/>
      <c r="T712" s="571"/>
      <c r="U712" s="571"/>
      <c r="V712" s="571"/>
      <c r="W712" s="571"/>
      <c r="X712" s="571"/>
      <c r="Y712" s="571"/>
      <c r="Z712" s="571"/>
    </row>
    <row r="713" spans="1:26" ht="18.75" hidden="1">
      <c r="A713" s="735"/>
      <c r="B713" s="754"/>
      <c r="C713" s="754"/>
      <c r="D713" s="754"/>
      <c r="E713" s="754"/>
      <c r="F713" s="754"/>
      <c r="G713" s="189"/>
      <c r="H713" s="755" t="s">
        <v>34</v>
      </c>
      <c r="I713" s="756"/>
      <c r="J713" s="214">
        <v>0</v>
      </c>
      <c r="K713" s="496"/>
      <c r="L713" s="757"/>
      <c r="M713" s="189"/>
      <c r="N713" s="757"/>
      <c r="O713" s="496"/>
      <c r="P713" s="496"/>
      <c r="Q713" s="571"/>
      <c r="R713" s="571"/>
      <c r="S713" s="571"/>
      <c r="T713" s="571"/>
      <c r="U713" s="571"/>
      <c r="V713" s="571"/>
      <c r="W713" s="571"/>
      <c r="X713" s="571"/>
      <c r="Y713" s="571"/>
      <c r="Z713" s="571"/>
    </row>
    <row r="714" spans="1:26" ht="18.75" hidden="1">
      <c r="A714" s="735"/>
      <c r="B714" s="754"/>
      <c r="C714" s="754"/>
      <c r="D714" s="754"/>
      <c r="E714" s="754"/>
      <c r="F714" s="754"/>
      <c r="G714" s="189"/>
      <c r="H714" s="755" t="s">
        <v>46</v>
      </c>
      <c r="I714" s="756"/>
      <c r="J714" s="214">
        <v>0</v>
      </c>
      <c r="K714" s="496"/>
      <c r="L714" s="757"/>
      <c r="M714" s="189"/>
      <c r="N714" s="757"/>
      <c r="O714" s="496"/>
      <c r="P714" s="496"/>
      <c r="Q714" s="571"/>
      <c r="R714" s="571"/>
      <c r="S714" s="571"/>
      <c r="T714" s="571"/>
      <c r="U714" s="571"/>
      <c r="V714" s="571"/>
      <c r="W714" s="571"/>
      <c r="X714" s="571"/>
      <c r="Y714" s="571"/>
      <c r="Z714" s="571"/>
    </row>
    <row r="715" spans="1:26" ht="18.75" hidden="1">
      <c r="A715" s="735"/>
      <c r="B715" s="754"/>
      <c r="C715" s="754"/>
      <c r="D715" s="754"/>
      <c r="E715" s="754"/>
      <c r="F715" s="754" t="s">
        <v>303</v>
      </c>
      <c r="G715" s="189"/>
      <c r="H715" s="755" t="s">
        <v>35</v>
      </c>
      <c r="I715" s="756"/>
      <c r="J715" s="214">
        <v>0</v>
      </c>
      <c r="K715" s="496"/>
      <c r="L715" s="757"/>
      <c r="M715" s="189"/>
      <c r="N715" s="757"/>
      <c r="O715" s="496"/>
      <c r="P715" s="496"/>
      <c r="Q715" s="571"/>
      <c r="R715" s="571"/>
      <c r="S715" s="571"/>
      <c r="T715" s="571"/>
      <c r="U715" s="571"/>
      <c r="V715" s="571"/>
      <c r="W715" s="571"/>
      <c r="X715" s="571"/>
      <c r="Y715" s="571"/>
      <c r="Z715" s="571"/>
    </row>
    <row r="716" spans="1:26" ht="18.75" hidden="1">
      <c r="A716" s="735"/>
      <c r="B716" s="754"/>
      <c r="C716" s="754"/>
      <c r="D716" s="754"/>
      <c r="E716" s="754"/>
      <c r="F716" s="754"/>
      <c r="G716" s="189"/>
      <c r="H716" s="755" t="s">
        <v>34</v>
      </c>
      <c r="I716" s="756"/>
      <c r="J716" s="214">
        <v>0</v>
      </c>
      <c r="K716" s="496"/>
      <c r="L716" s="757"/>
      <c r="M716" s="189"/>
      <c r="N716" s="757"/>
      <c r="O716" s="496"/>
      <c r="P716" s="496"/>
      <c r="Q716" s="571"/>
      <c r="R716" s="571"/>
      <c r="S716" s="571"/>
      <c r="T716" s="571"/>
      <c r="U716" s="571"/>
      <c r="V716" s="571"/>
      <c r="W716" s="571"/>
      <c r="X716" s="571"/>
      <c r="Y716" s="571"/>
      <c r="Z716" s="571"/>
    </row>
    <row r="717" spans="1:26" ht="18.75" hidden="1">
      <c r="A717" s="735"/>
      <c r="B717" s="754"/>
      <c r="C717" s="754"/>
      <c r="D717" s="754"/>
      <c r="E717" s="754"/>
      <c r="F717" s="754"/>
      <c r="G717" s="189"/>
      <c r="H717" s="755" t="s">
        <v>46</v>
      </c>
      <c r="I717" s="756"/>
      <c r="J717" s="214">
        <v>0</v>
      </c>
      <c r="K717" s="496"/>
      <c r="L717" s="757"/>
      <c r="M717" s="189"/>
      <c r="N717" s="757"/>
      <c r="O717" s="496"/>
      <c r="P717" s="496"/>
      <c r="Q717" s="571"/>
      <c r="R717" s="571"/>
      <c r="S717" s="571"/>
      <c r="T717" s="571"/>
      <c r="U717" s="571"/>
      <c r="V717" s="571"/>
      <c r="W717" s="571"/>
      <c r="X717" s="571"/>
      <c r="Y717" s="571"/>
      <c r="Z717" s="571"/>
    </row>
    <row r="718" spans="1:26" ht="18.75" hidden="1">
      <c r="A718" s="735"/>
      <c r="B718" s="754"/>
      <c r="C718" s="754"/>
      <c r="D718" s="754" t="s">
        <v>304</v>
      </c>
      <c r="E718" s="754"/>
      <c r="F718" s="754"/>
      <c r="G718" s="189"/>
      <c r="H718" s="755" t="s">
        <v>35</v>
      </c>
      <c r="I718" s="756"/>
      <c r="J718" s="269">
        <f ca="1">IFERROR(__xludf.DUMMYFUNCTION("IMPORTRANGE(""https://docs.google.com/spreadsheets/d/1XWAQStnk-4SwqDmLtmXYiTMKHgktTP8We1SCoS47DrQ/edit?usp=sharing"",""จัดที่ดิน!BF66"")"),0)</f>
        <v>0</v>
      </c>
      <c r="K718" s="496"/>
      <c r="L718" s="496"/>
      <c r="M718" s="189"/>
      <c r="N718" s="757"/>
      <c r="O718" s="496"/>
      <c r="P718" s="496"/>
      <c r="Q718" s="571"/>
      <c r="R718" s="571"/>
      <c r="S718" s="571"/>
      <c r="T718" s="571"/>
      <c r="U718" s="571"/>
      <c r="V718" s="571"/>
      <c r="W718" s="571"/>
      <c r="X718" s="571"/>
      <c r="Y718" s="571"/>
      <c r="Z718" s="571"/>
    </row>
    <row r="719" spans="1:26" ht="18.75" hidden="1">
      <c r="A719" s="735"/>
      <c r="B719" s="754"/>
      <c r="C719" s="754"/>
      <c r="D719" s="754"/>
      <c r="E719" s="754"/>
      <c r="F719" s="754"/>
      <c r="G719" s="189"/>
      <c r="H719" s="755" t="s">
        <v>34</v>
      </c>
      <c r="I719" s="756"/>
      <c r="J719" s="269">
        <f ca="1">IFERROR(__xludf.DUMMYFUNCTION("IMPORTRANGE(""https://docs.google.com/spreadsheets/d/1XWAQStnk-4SwqDmLtmXYiTMKHgktTP8We1SCoS47DrQ/edit?usp=sharing"",""จัดที่ดิน!BG66"")"),0)</f>
        <v>0</v>
      </c>
      <c r="K719" s="496"/>
      <c r="L719" s="757"/>
      <c r="M719" s="189"/>
      <c r="N719" s="757"/>
      <c r="O719" s="496"/>
      <c r="P719" s="496"/>
      <c r="Q719" s="571"/>
      <c r="R719" s="571"/>
      <c r="S719" s="571"/>
      <c r="T719" s="571"/>
      <c r="U719" s="571"/>
      <c r="V719" s="571"/>
      <c r="W719" s="571"/>
      <c r="X719" s="571"/>
      <c r="Y719" s="571"/>
      <c r="Z719" s="571"/>
    </row>
    <row r="720" spans="1:26" ht="18.75" hidden="1">
      <c r="A720" s="735"/>
      <c r="B720" s="754"/>
      <c r="C720" s="754"/>
      <c r="D720" s="754"/>
      <c r="E720" s="754"/>
      <c r="F720" s="754"/>
      <c r="G720" s="189"/>
      <c r="H720" s="755" t="s">
        <v>46</v>
      </c>
      <c r="I720" s="756">
        <f ca="1">IFERROR(__xludf.DUMMYFUNCTION("IMPORTRANGE(""https://docs.google.com/spreadsheets/d/1QqKyyYR6Q21VydFLVH3TRQUabQu_ym0Zz7PgGX0-kHA/edit?usp=sharing"",""แผน!II66"")"),0)</f>
        <v>0</v>
      </c>
      <c r="J720" s="269">
        <f ca="1">IFERROR(__xludf.DUMMYFUNCTION("IMPORTRANGE(""https://docs.google.com/spreadsheets/d/1XWAQStnk-4SwqDmLtmXYiTMKHgktTP8We1SCoS47DrQ/edit?usp=sharing"",""จัดที่ดิน!BH66"")"),0)</f>
        <v>0</v>
      </c>
      <c r="K720" s="496">
        <f t="shared" ref="K720:K723" ca="1" si="291">IF(I720&gt;0,J720*100/I720,0)</f>
        <v>0</v>
      </c>
      <c r="L720" s="757"/>
      <c r="M720" s="189"/>
      <c r="N720" s="757"/>
      <c r="O720" s="496"/>
      <c r="P720" s="496"/>
      <c r="Q720" s="571"/>
      <c r="R720" s="571"/>
      <c r="S720" s="571"/>
      <c r="T720" s="571"/>
      <c r="U720" s="571"/>
      <c r="V720" s="571"/>
      <c r="W720" s="571"/>
      <c r="X720" s="571"/>
      <c r="Y720" s="571"/>
      <c r="Z720" s="571"/>
    </row>
    <row r="721" spans="1:26" ht="19.5" hidden="1">
      <c r="A721" s="735"/>
      <c r="B721" s="754"/>
      <c r="C721" s="754"/>
      <c r="D721" s="754" t="s">
        <v>305</v>
      </c>
      <c r="E721" s="754"/>
      <c r="F721" s="754"/>
      <c r="G721" s="189"/>
      <c r="H721" s="758" t="s">
        <v>35</v>
      </c>
      <c r="I721" s="759">
        <f ca="1">IFERROR(__xludf.DUMMYFUNCTION("IMPORTRANGE(""https://docs.google.com/spreadsheets/d/1QqKyyYR6Q21VydFLVH3TRQUabQu_ym0Zz7PgGX0-kHA/edit?usp=sharing"",""แผน!IJ66"")"),0)</f>
        <v>0</v>
      </c>
      <c r="J721" s="674">
        <f ca="1">J723+J726</f>
        <v>0</v>
      </c>
      <c r="K721" s="195">
        <f t="shared" ca="1" si="291"/>
        <v>0</v>
      </c>
      <c r="L721" s="757"/>
      <c r="M721" s="189"/>
      <c r="N721" s="757"/>
      <c r="O721" s="496"/>
      <c r="P721" s="496"/>
      <c r="Q721" s="571"/>
      <c r="R721" s="571"/>
      <c r="S721" s="571"/>
      <c r="T721" s="571"/>
      <c r="U721" s="571"/>
      <c r="V721" s="571"/>
      <c r="W721" s="571"/>
      <c r="X721" s="571"/>
      <c r="Y721" s="571"/>
      <c r="Z721" s="571"/>
    </row>
    <row r="722" spans="1:26" ht="19.5" hidden="1">
      <c r="A722" s="735"/>
      <c r="B722" s="754"/>
      <c r="C722" s="754"/>
      <c r="D722" s="754"/>
      <c r="E722" s="754"/>
      <c r="F722" s="754"/>
      <c r="G722" s="189"/>
      <c r="H722" s="758" t="s">
        <v>46</v>
      </c>
      <c r="I722" s="759">
        <f ca="1">IFERROR(__xludf.DUMMYFUNCTION("IMPORTRANGE(""https://docs.google.com/spreadsheets/d/1QqKyyYR6Q21VydFLVH3TRQUabQu_ym0Zz7PgGX0-kHA/edit?usp=sharing"",""แผน!IK66"")"),0)</f>
        <v>0</v>
      </c>
      <c r="J722" s="674">
        <f ca="1">J725+J728</f>
        <v>0</v>
      </c>
      <c r="K722" s="195">
        <f t="shared" ca="1" si="291"/>
        <v>0</v>
      </c>
      <c r="L722" s="496"/>
      <c r="M722" s="189"/>
      <c r="N722" s="757"/>
      <c r="O722" s="496"/>
      <c r="P722" s="496"/>
      <c r="Q722" s="571"/>
      <c r="R722" s="571"/>
      <c r="S722" s="571"/>
      <c r="T722" s="571"/>
      <c r="U722" s="571"/>
      <c r="V722" s="571"/>
      <c r="W722" s="571"/>
      <c r="X722" s="571"/>
      <c r="Y722" s="571"/>
      <c r="Z722" s="571"/>
    </row>
    <row r="723" spans="1:26" ht="18.75" hidden="1">
      <c r="A723" s="735"/>
      <c r="B723" s="754"/>
      <c r="C723" s="754"/>
      <c r="D723" s="754"/>
      <c r="E723" s="754" t="s">
        <v>306</v>
      </c>
      <c r="F723" s="754"/>
      <c r="G723" s="189"/>
      <c r="H723" s="755" t="s">
        <v>35</v>
      </c>
      <c r="I723" s="756">
        <f ca="1">IFERROR(__xludf.DUMMYFUNCTION("IMPORTRANGE(""https://docs.google.com/spreadsheets/d/1QqKyyYR6Q21VydFLVH3TRQUabQu_ym0Zz7PgGX0-kHA/edit?usp=sharing"",""แผน!IL66"")"),0)</f>
        <v>0</v>
      </c>
      <c r="J723" s="269">
        <f ca="1">IFERROR(__xludf.DUMMYFUNCTION("IMPORTRANGE(""https://docs.google.com/spreadsheets/d/1XWAQStnk-4SwqDmLtmXYiTMKHgktTP8We1SCoS47DrQ/edit?usp=sharing"",""จัดที่ดิน!BM66"")"),0)</f>
        <v>0</v>
      </c>
      <c r="K723" s="496">
        <f t="shared" ca="1" si="291"/>
        <v>0</v>
      </c>
      <c r="L723" s="496"/>
      <c r="M723" s="189"/>
      <c r="N723" s="757"/>
      <c r="O723" s="496"/>
      <c r="P723" s="496"/>
      <c r="Q723" s="571"/>
      <c r="R723" s="571"/>
      <c r="S723" s="571"/>
      <c r="T723" s="571"/>
      <c r="U723" s="571"/>
      <c r="V723" s="571"/>
      <c r="W723" s="571"/>
      <c r="X723" s="571"/>
      <c r="Y723" s="571"/>
      <c r="Z723" s="571"/>
    </row>
    <row r="724" spans="1:26" ht="18.75" hidden="1">
      <c r="A724" s="735"/>
      <c r="B724" s="754"/>
      <c r="C724" s="754"/>
      <c r="D724" s="754"/>
      <c r="E724" s="754"/>
      <c r="F724" s="754"/>
      <c r="G724" s="189"/>
      <c r="H724" s="755" t="s">
        <v>34</v>
      </c>
      <c r="I724" s="756"/>
      <c r="J724" s="269">
        <f ca="1">IFERROR(__xludf.DUMMYFUNCTION("IMPORTRANGE(""https://docs.google.com/spreadsheets/d/1XWAQStnk-4SwqDmLtmXYiTMKHgktTP8We1SCoS47DrQ/edit?usp=sharing"",""จัดที่ดิน!BN66"")"),0)</f>
        <v>0</v>
      </c>
      <c r="K724" s="496"/>
      <c r="L724" s="757"/>
      <c r="M724" s="189"/>
      <c r="N724" s="757"/>
      <c r="O724" s="496"/>
      <c r="P724" s="496"/>
      <c r="Q724" s="571"/>
      <c r="R724" s="571"/>
      <c r="S724" s="571"/>
      <c r="T724" s="571"/>
      <c r="U724" s="571"/>
      <c r="V724" s="571"/>
      <c r="W724" s="571"/>
      <c r="X724" s="571"/>
      <c r="Y724" s="571"/>
      <c r="Z724" s="571"/>
    </row>
    <row r="725" spans="1:26" ht="18.75" hidden="1">
      <c r="A725" s="735"/>
      <c r="B725" s="754"/>
      <c r="C725" s="754"/>
      <c r="D725" s="754"/>
      <c r="E725" s="754"/>
      <c r="F725" s="754"/>
      <c r="G725" s="189"/>
      <c r="H725" s="755" t="s">
        <v>46</v>
      </c>
      <c r="I725" s="756">
        <f ca="1">IFERROR(__xludf.DUMMYFUNCTION("IMPORTRANGE(""https://docs.google.com/spreadsheets/d/1QqKyyYR6Q21VydFLVH3TRQUabQu_ym0Zz7PgGX0-kHA/edit?usp=sharing"",""แผน!IM66"")"),0)</f>
        <v>0</v>
      </c>
      <c r="J725" s="269">
        <f ca="1">IFERROR(__xludf.DUMMYFUNCTION("IMPORTRANGE(""https://docs.google.com/spreadsheets/d/1XWAQStnk-4SwqDmLtmXYiTMKHgktTP8We1SCoS47DrQ/edit?usp=sharing"",""จัดที่ดิน!BO66"")"),0)</f>
        <v>0</v>
      </c>
      <c r="K725" s="496">
        <f t="shared" ref="K725:K726" ca="1" si="292">IF(I725&gt;0,J725*100/I725,0)</f>
        <v>0</v>
      </c>
      <c r="L725" s="757"/>
      <c r="M725" s="189"/>
      <c r="N725" s="757"/>
      <c r="O725" s="496"/>
      <c r="P725" s="496"/>
      <c r="Q725" s="571"/>
      <c r="R725" s="571"/>
      <c r="S725" s="571"/>
      <c r="T725" s="571"/>
      <c r="U725" s="571"/>
      <c r="V725" s="571"/>
      <c r="W725" s="571"/>
      <c r="X725" s="571"/>
      <c r="Y725" s="571"/>
      <c r="Z725" s="571"/>
    </row>
    <row r="726" spans="1:26" ht="18.75" hidden="1">
      <c r="A726" s="735"/>
      <c r="B726" s="754"/>
      <c r="C726" s="754"/>
      <c r="D726" s="754"/>
      <c r="E726" s="754" t="s">
        <v>307</v>
      </c>
      <c r="F726" s="754"/>
      <c r="G726" s="189"/>
      <c r="H726" s="755" t="s">
        <v>35</v>
      </c>
      <c r="I726" s="756">
        <f ca="1">IFERROR(__xludf.DUMMYFUNCTION("IMPORTRANGE(""https://docs.google.com/spreadsheets/d/1QqKyyYR6Q21VydFLVH3TRQUabQu_ym0Zz7PgGX0-kHA/edit?usp=sharing"",""แผน!IN66"")"),0)</f>
        <v>0</v>
      </c>
      <c r="J726" s="269">
        <f ca="1">IFERROR(__xludf.DUMMYFUNCTION("IMPORTRANGE(""https://docs.google.com/spreadsheets/d/1XWAQStnk-4SwqDmLtmXYiTMKHgktTP8We1SCoS47DrQ/edit?usp=sharing"",""จัดที่ดิน!BR66"")"),0)</f>
        <v>0</v>
      </c>
      <c r="K726" s="496">
        <f t="shared" ca="1" si="292"/>
        <v>0</v>
      </c>
      <c r="L726" s="496"/>
      <c r="M726" s="189"/>
      <c r="N726" s="757"/>
      <c r="O726" s="496"/>
      <c r="P726" s="496"/>
      <c r="Q726" s="571"/>
      <c r="R726" s="571"/>
      <c r="S726" s="571"/>
      <c r="T726" s="571"/>
      <c r="U726" s="571"/>
      <c r="V726" s="571"/>
      <c r="W726" s="571"/>
      <c r="X726" s="571"/>
      <c r="Y726" s="571"/>
      <c r="Z726" s="571"/>
    </row>
    <row r="727" spans="1:26" ht="18.75" hidden="1">
      <c r="A727" s="735"/>
      <c r="B727" s="754"/>
      <c r="C727" s="754"/>
      <c r="D727" s="754"/>
      <c r="E727" s="754"/>
      <c r="F727" s="754"/>
      <c r="G727" s="189"/>
      <c r="H727" s="755" t="s">
        <v>34</v>
      </c>
      <c r="I727" s="756"/>
      <c r="J727" s="269">
        <f ca="1">IFERROR(__xludf.DUMMYFUNCTION("IMPORTRANGE(""https://docs.google.com/spreadsheets/d/1XWAQStnk-4SwqDmLtmXYiTMKHgktTP8We1SCoS47DrQ/edit?usp=sharing"",""จัดที่ดิน!BS66"")"),0)</f>
        <v>0</v>
      </c>
      <c r="K727" s="496"/>
      <c r="L727" s="757"/>
      <c r="M727" s="189"/>
      <c r="N727" s="757"/>
      <c r="O727" s="496"/>
      <c r="P727" s="496"/>
      <c r="Q727" s="571"/>
      <c r="R727" s="571"/>
      <c r="S727" s="571"/>
      <c r="T727" s="571"/>
      <c r="U727" s="571"/>
      <c r="V727" s="571"/>
      <c r="W727" s="571"/>
      <c r="X727" s="571"/>
      <c r="Y727" s="571"/>
      <c r="Z727" s="571"/>
    </row>
    <row r="728" spans="1:26" ht="18.75" hidden="1">
      <c r="A728" s="735"/>
      <c r="B728" s="754"/>
      <c r="C728" s="754"/>
      <c r="D728" s="754"/>
      <c r="E728" s="754"/>
      <c r="F728" s="754"/>
      <c r="G728" s="189"/>
      <c r="H728" s="755" t="s">
        <v>46</v>
      </c>
      <c r="I728" s="756">
        <f ca="1">IFERROR(__xludf.DUMMYFUNCTION("IMPORTRANGE(""https://docs.google.com/spreadsheets/d/1QqKyyYR6Q21VydFLVH3TRQUabQu_ym0Zz7PgGX0-kHA/edit?usp=sharing"",""แผน!IO66"")"),0)</f>
        <v>0</v>
      </c>
      <c r="J728" s="269">
        <f ca="1">IFERROR(__xludf.DUMMYFUNCTION("IMPORTRANGE(""https://docs.google.com/spreadsheets/d/1XWAQStnk-4SwqDmLtmXYiTMKHgktTP8We1SCoS47DrQ/edit?usp=sharing"",""จัดที่ดิน!BT66"")"),0)</f>
        <v>0</v>
      </c>
      <c r="K728" s="496">
        <f t="shared" ref="K728:K729" ca="1" si="293">IF(I728&gt;0,J728*100/I728,0)</f>
        <v>0</v>
      </c>
      <c r="L728" s="757"/>
      <c r="M728" s="189"/>
      <c r="N728" s="757"/>
      <c r="O728" s="496"/>
      <c r="P728" s="496"/>
      <c r="Q728" s="571"/>
      <c r="R728" s="571"/>
      <c r="S728" s="571"/>
      <c r="T728" s="571"/>
      <c r="U728" s="571"/>
      <c r="V728" s="571"/>
      <c r="W728" s="571"/>
      <c r="X728" s="571"/>
      <c r="Y728" s="571"/>
      <c r="Z728" s="571"/>
    </row>
    <row r="729" spans="1:26" ht="19.5" hidden="1">
      <c r="A729" s="735"/>
      <c r="B729" s="754"/>
      <c r="C729" s="754"/>
      <c r="D729" s="754" t="s">
        <v>308</v>
      </c>
      <c r="E729" s="754"/>
      <c r="F729" s="754"/>
      <c r="G729" s="189"/>
      <c r="H729" s="758" t="s">
        <v>46</v>
      </c>
      <c r="I729" s="759">
        <f ca="1">IFERROR(__xludf.DUMMYFUNCTION("IMPORTRANGE(""https://docs.google.com/spreadsheets/d/1QqKyyYR6Q21VydFLVH3TRQUabQu_ym0Zz7PgGX0-kHA/edit?usp=sharing"",""แผน!IP66"")"),0)</f>
        <v>0</v>
      </c>
      <c r="J729" s="674">
        <f>J732+J735</f>
        <v>0</v>
      </c>
      <c r="K729" s="195">
        <f t="shared" ca="1" si="293"/>
        <v>0</v>
      </c>
      <c r="L729" s="496"/>
      <c r="M729" s="189"/>
      <c r="N729" s="757"/>
      <c r="O729" s="496"/>
      <c r="P729" s="496"/>
      <c r="Q729" s="571"/>
      <c r="R729" s="571"/>
      <c r="S729" s="571"/>
      <c r="T729" s="571"/>
      <c r="U729" s="571"/>
      <c r="V729" s="571"/>
      <c r="W729" s="571"/>
      <c r="X729" s="571"/>
      <c r="Y729" s="571"/>
      <c r="Z729" s="571"/>
    </row>
    <row r="730" spans="1:26" ht="18.75" hidden="1">
      <c r="A730" s="735"/>
      <c r="B730" s="754"/>
      <c r="C730" s="754"/>
      <c r="D730" s="754"/>
      <c r="E730" s="754" t="s">
        <v>309</v>
      </c>
      <c r="F730" s="754"/>
      <c r="G730" s="189"/>
      <c r="H730" s="755" t="s">
        <v>35</v>
      </c>
      <c r="I730" s="756"/>
      <c r="J730" s="214">
        <v>0</v>
      </c>
      <c r="K730" s="496"/>
      <c r="L730" s="757"/>
      <c r="M730" s="496"/>
      <c r="N730" s="757"/>
      <c r="O730" s="496"/>
      <c r="P730" s="496"/>
      <c r="Q730" s="571"/>
      <c r="R730" s="571"/>
      <c r="S730" s="571"/>
      <c r="T730" s="571"/>
      <c r="U730" s="571"/>
      <c r="V730" s="571"/>
      <c r="W730" s="571"/>
      <c r="X730" s="571"/>
      <c r="Y730" s="571"/>
      <c r="Z730" s="571"/>
    </row>
    <row r="731" spans="1:26" ht="18.75" hidden="1">
      <c r="A731" s="735"/>
      <c r="B731" s="754"/>
      <c r="C731" s="754"/>
      <c r="D731" s="754"/>
      <c r="E731" s="754"/>
      <c r="F731" s="754"/>
      <c r="G731" s="189"/>
      <c r="H731" s="755" t="s">
        <v>34</v>
      </c>
      <c r="I731" s="756"/>
      <c r="J731" s="214">
        <v>0</v>
      </c>
      <c r="K731" s="496"/>
      <c r="L731" s="757"/>
      <c r="M731" s="496"/>
      <c r="N731" s="757"/>
      <c r="O731" s="496"/>
      <c r="P731" s="496"/>
      <c r="Q731" s="571"/>
      <c r="R731" s="571"/>
      <c r="S731" s="571"/>
      <c r="T731" s="571"/>
      <c r="U731" s="571"/>
      <c r="V731" s="571"/>
      <c r="W731" s="571"/>
      <c r="X731" s="571"/>
      <c r="Y731" s="571"/>
      <c r="Z731" s="571"/>
    </row>
    <row r="732" spans="1:26" ht="18.75" hidden="1">
      <c r="A732" s="735"/>
      <c r="B732" s="754"/>
      <c r="C732" s="754"/>
      <c r="D732" s="754"/>
      <c r="E732" s="754"/>
      <c r="F732" s="754"/>
      <c r="G732" s="189"/>
      <c r="H732" s="755" t="s">
        <v>46</v>
      </c>
      <c r="I732" s="756"/>
      <c r="J732" s="214">
        <v>0</v>
      </c>
      <c r="K732" s="496"/>
      <c r="L732" s="757"/>
      <c r="M732" s="496"/>
      <c r="N732" s="757"/>
      <c r="O732" s="496"/>
      <c r="P732" s="496"/>
      <c r="Q732" s="571"/>
      <c r="R732" s="571"/>
      <c r="S732" s="571"/>
      <c r="T732" s="571"/>
      <c r="U732" s="571"/>
      <c r="V732" s="571"/>
      <c r="W732" s="571"/>
      <c r="X732" s="571"/>
      <c r="Y732" s="571"/>
      <c r="Z732" s="571"/>
    </row>
    <row r="733" spans="1:26" ht="18.75" hidden="1">
      <c r="A733" s="735"/>
      <c r="B733" s="754"/>
      <c r="C733" s="754"/>
      <c r="D733" s="754"/>
      <c r="E733" s="754" t="s">
        <v>310</v>
      </c>
      <c r="F733" s="754"/>
      <c r="G733" s="189"/>
      <c r="H733" s="755" t="s">
        <v>35</v>
      </c>
      <c r="I733" s="756"/>
      <c r="J733" s="214">
        <v>0</v>
      </c>
      <c r="K733" s="496"/>
      <c r="L733" s="757"/>
      <c r="M733" s="496"/>
      <c r="N733" s="757"/>
      <c r="O733" s="496"/>
      <c r="P733" s="496"/>
      <c r="Q733" s="571"/>
      <c r="R733" s="571"/>
      <c r="S733" s="571"/>
      <c r="T733" s="571"/>
      <c r="U733" s="571"/>
      <c r="V733" s="571"/>
      <c r="W733" s="571"/>
      <c r="X733" s="571"/>
      <c r="Y733" s="571"/>
      <c r="Z733" s="571"/>
    </row>
    <row r="734" spans="1:26" ht="18.75" hidden="1">
      <c r="A734" s="735"/>
      <c r="B734" s="754"/>
      <c r="C734" s="754"/>
      <c r="D734" s="754"/>
      <c r="E734" s="754"/>
      <c r="F734" s="754"/>
      <c r="G734" s="189"/>
      <c r="H734" s="755" t="s">
        <v>34</v>
      </c>
      <c r="I734" s="756"/>
      <c r="J734" s="214">
        <v>0</v>
      </c>
      <c r="K734" s="496"/>
      <c r="L734" s="757"/>
      <c r="M734" s="496"/>
      <c r="N734" s="757"/>
      <c r="O734" s="496"/>
      <c r="P734" s="496"/>
      <c r="Q734" s="571"/>
      <c r="R734" s="571"/>
      <c r="S734" s="571"/>
      <c r="T734" s="571"/>
      <c r="U734" s="571"/>
      <c r="V734" s="571"/>
      <c r="W734" s="571"/>
      <c r="X734" s="571"/>
      <c r="Y734" s="571"/>
      <c r="Z734" s="571"/>
    </row>
    <row r="735" spans="1:26" ht="19.5" hidden="1">
      <c r="A735" s="761"/>
      <c r="B735" s="762" t="s">
        <v>311</v>
      </c>
      <c r="C735" s="725"/>
      <c r="D735" s="725"/>
      <c r="E735" s="725"/>
      <c r="F735" s="725"/>
      <c r="G735" s="726"/>
      <c r="H735" s="421" t="s">
        <v>46</v>
      </c>
      <c r="I735" s="763"/>
      <c r="J735" s="423">
        <v>0</v>
      </c>
      <c r="K735" s="500"/>
      <c r="L735" s="764"/>
      <c r="M735" s="500"/>
      <c r="N735" s="764"/>
      <c r="O735" s="500"/>
      <c r="P735" s="500"/>
      <c r="Q735" s="571"/>
      <c r="R735" s="571"/>
      <c r="S735" s="571"/>
      <c r="T735" s="571"/>
      <c r="U735" s="571"/>
      <c r="V735" s="571"/>
      <c r="W735" s="571"/>
      <c r="X735" s="571"/>
      <c r="Y735" s="571"/>
      <c r="Z735" s="571"/>
    </row>
    <row r="736" spans="1:26" ht="19.5" hidden="1">
      <c r="A736" s="765">
        <v>9</v>
      </c>
      <c r="B736" s="766" t="s">
        <v>312</v>
      </c>
      <c r="C736" s="767"/>
      <c r="D736" s="767"/>
      <c r="E736" s="767"/>
      <c r="F736" s="767"/>
      <c r="G736" s="768"/>
      <c r="H736" s="769" t="s">
        <v>46</v>
      </c>
      <c r="I736" s="770"/>
      <c r="J736" s="770">
        <f>J751</f>
        <v>0</v>
      </c>
      <c r="K736" s="771">
        <f>IF(I736&gt;0,J736*100/I736,0)</f>
        <v>0</v>
      </c>
      <c r="L736" s="772"/>
      <c r="M736" s="772"/>
      <c r="N736" s="772"/>
      <c r="O736" s="772"/>
      <c r="P736" s="772"/>
      <c r="Q736" s="597"/>
      <c r="R736" s="597"/>
      <c r="S736" s="597"/>
      <c r="T736" s="597"/>
      <c r="U736" s="597"/>
      <c r="V736" s="597"/>
      <c r="W736" s="597"/>
      <c r="X736" s="597"/>
      <c r="Y736" s="597"/>
      <c r="Z736" s="597"/>
    </row>
    <row r="737" spans="1:26" ht="19.5" hidden="1">
      <c r="A737" s="592"/>
      <c r="B737" s="750"/>
      <c r="C737" s="750" t="s">
        <v>16</v>
      </c>
      <c r="D737" s="864" t="s">
        <v>17</v>
      </c>
      <c r="E737" s="857"/>
      <c r="F737" s="857"/>
      <c r="G737" s="596"/>
      <c r="H737" s="639" t="s">
        <v>12</v>
      </c>
      <c r="I737" s="610"/>
      <c r="J737" s="610"/>
      <c r="K737" s="93"/>
      <c r="L737" s="640">
        <f t="shared" ref="L737:N737" si="294">L738+L739</f>
        <v>0</v>
      </c>
      <c r="M737" s="640">
        <f t="shared" si="294"/>
        <v>0</v>
      </c>
      <c r="N737" s="640">
        <f t="shared" si="294"/>
        <v>0</v>
      </c>
      <c r="O737" s="640">
        <f t="shared" ref="O737:O742" si="295">IF(L737&gt;0,N737*100/L737,0)</f>
        <v>0</v>
      </c>
      <c r="P737" s="640">
        <f t="shared" ref="P737:P742" si="296">IF(M737&gt;0,N737*100/M737,0)</f>
        <v>0</v>
      </c>
      <c r="Q737" s="597"/>
      <c r="R737" s="597"/>
      <c r="S737" s="597"/>
      <c r="T737" s="597"/>
      <c r="U737" s="597"/>
      <c r="V737" s="597"/>
      <c r="W737" s="597"/>
      <c r="X737" s="597"/>
      <c r="Y737" s="597"/>
      <c r="Z737" s="597"/>
    </row>
    <row r="738" spans="1:26" ht="18.75" hidden="1">
      <c r="A738" s="592"/>
      <c r="B738" s="750"/>
      <c r="C738" s="750"/>
      <c r="D738" s="711"/>
      <c r="E738" s="750" t="s">
        <v>184</v>
      </c>
      <c r="F738" s="750"/>
      <c r="G738" s="596"/>
      <c r="H738" s="165" t="s">
        <v>12</v>
      </c>
      <c r="I738" s="610"/>
      <c r="J738" s="610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597"/>
      <c r="R738" s="597"/>
      <c r="S738" s="597"/>
      <c r="T738" s="597"/>
      <c r="U738" s="597"/>
      <c r="V738" s="597"/>
      <c r="W738" s="597"/>
      <c r="X738" s="597"/>
      <c r="Y738" s="597"/>
      <c r="Z738" s="597"/>
    </row>
    <row r="739" spans="1:26" ht="18.75" hidden="1">
      <c r="A739" s="592"/>
      <c r="B739" s="600"/>
      <c r="C739" s="750"/>
      <c r="D739" s="711"/>
      <c r="E739" s="750" t="s">
        <v>185</v>
      </c>
      <c r="F739" s="750"/>
      <c r="G739" s="596"/>
      <c r="H739" s="165" t="s">
        <v>12</v>
      </c>
      <c r="I739" s="610"/>
      <c r="J739" s="610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597"/>
      <c r="R739" s="597"/>
      <c r="S739" s="597"/>
      <c r="T739" s="597"/>
      <c r="U739" s="597"/>
      <c r="V739" s="597"/>
      <c r="W739" s="597"/>
      <c r="X739" s="597"/>
      <c r="Y739" s="597"/>
      <c r="Z739" s="597"/>
    </row>
    <row r="740" spans="1:26" ht="19.5" hidden="1">
      <c r="A740" s="592"/>
      <c r="B740" s="600"/>
      <c r="C740" s="750"/>
      <c r="D740" s="638" t="s">
        <v>20</v>
      </c>
      <c r="E740" s="750"/>
      <c r="F740" s="750"/>
      <c r="G740" s="596"/>
      <c r="H740" s="639" t="s">
        <v>12</v>
      </c>
      <c r="I740" s="166"/>
      <c r="J740" s="166"/>
      <c r="K740" s="167"/>
      <c r="L740" s="640">
        <f t="shared" ref="L740:N740" si="298">L741+L742</f>
        <v>0</v>
      </c>
      <c r="M740" s="640">
        <f t="shared" si="298"/>
        <v>0</v>
      </c>
      <c r="N740" s="640">
        <f t="shared" si="298"/>
        <v>0</v>
      </c>
      <c r="O740" s="640">
        <f t="shared" si="295"/>
        <v>0</v>
      </c>
      <c r="P740" s="640">
        <f t="shared" si="296"/>
        <v>0</v>
      </c>
      <c r="Q740" s="597"/>
      <c r="R740" s="597"/>
      <c r="S740" s="597"/>
      <c r="T740" s="597"/>
      <c r="U740" s="597"/>
      <c r="V740" s="597"/>
      <c r="W740" s="597"/>
      <c r="X740" s="597"/>
      <c r="Y740" s="597"/>
      <c r="Z740" s="597"/>
    </row>
    <row r="741" spans="1:26" ht="18.75" hidden="1">
      <c r="A741" s="592"/>
      <c r="B741" s="600"/>
      <c r="C741" s="750"/>
      <c r="D741" s="711"/>
      <c r="E741" s="750" t="s">
        <v>184</v>
      </c>
      <c r="F741" s="750"/>
      <c r="G741" s="596"/>
      <c r="H741" s="165" t="s">
        <v>12</v>
      </c>
      <c r="I741" s="610"/>
      <c r="J741" s="610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597"/>
      <c r="R741" s="597"/>
      <c r="S741" s="597"/>
      <c r="T741" s="597"/>
      <c r="U741" s="597"/>
      <c r="V741" s="597"/>
      <c r="W741" s="597"/>
      <c r="X741" s="597"/>
      <c r="Y741" s="597"/>
      <c r="Z741" s="597"/>
    </row>
    <row r="742" spans="1:26" ht="18.75" hidden="1">
      <c r="A742" s="592"/>
      <c r="B742" s="600"/>
      <c r="C742" s="750"/>
      <c r="D742" s="711"/>
      <c r="E742" s="750" t="s">
        <v>185</v>
      </c>
      <c r="F742" s="750"/>
      <c r="G742" s="596"/>
      <c r="H742" s="165" t="s">
        <v>12</v>
      </c>
      <c r="I742" s="610"/>
      <c r="J742" s="610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597"/>
      <c r="R742" s="597"/>
      <c r="S742" s="597"/>
      <c r="T742" s="597"/>
      <c r="U742" s="597"/>
      <c r="V742" s="597"/>
      <c r="W742" s="597"/>
      <c r="X742" s="597"/>
      <c r="Y742" s="597"/>
      <c r="Z742" s="597"/>
    </row>
    <row r="743" spans="1:26" ht="18.75" hidden="1">
      <c r="A743" s="642"/>
      <c r="B743" s="600"/>
      <c r="C743" s="750"/>
      <c r="D743" s="750"/>
      <c r="E743" s="750"/>
      <c r="F743" s="750" t="s">
        <v>186</v>
      </c>
      <c r="G743" s="596"/>
      <c r="H743" s="165" t="s">
        <v>12</v>
      </c>
      <c r="I743" s="610"/>
      <c r="J743" s="610"/>
      <c r="K743" s="93"/>
      <c r="L743" s="93"/>
      <c r="M743" s="93"/>
      <c r="N743" s="93"/>
      <c r="O743" s="93"/>
      <c r="P743" s="93"/>
      <c r="Q743" s="597"/>
      <c r="R743" s="597"/>
      <c r="S743" s="597"/>
      <c r="T743" s="597"/>
      <c r="U743" s="597"/>
      <c r="V743" s="597"/>
      <c r="W743" s="597"/>
      <c r="X743" s="597"/>
      <c r="Y743" s="597"/>
      <c r="Z743" s="597"/>
    </row>
    <row r="744" spans="1:26" ht="18.75" hidden="1">
      <c r="A744" s="642"/>
      <c r="B744" s="600"/>
      <c r="C744" s="750"/>
      <c r="D744" s="750"/>
      <c r="E744" s="750"/>
      <c r="F744" s="750" t="s">
        <v>187</v>
      </c>
      <c r="G744" s="596"/>
      <c r="H744" s="165" t="s">
        <v>12</v>
      </c>
      <c r="I744" s="610"/>
      <c r="J744" s="610"/>
      <c r="K744" s="93"/>
      <c r="L744" s="93"/>
      <c r="M744" s="93"/>
      <c r="N744" s="93"/>
      <c r="O744" s="93"/>
      <c r="P744" s="93"/>
      <c r="Q744" s="597"/>
      <c r="R744" s="597"/>
      <c r="S744" s="597"/>
      <c r="T744" s="597"/>
      <c r="U744" s="597"/>
      <c r="V744" s="597"/>
      <c r="W744" s="597"/>
      <c r="X744" s="597"/>
      <c r="Y744" s="597"/>
      <c r="Z744" s="597"/>
    </row>
    <row r="745" spans="1:26" ht="18.75" hidden="1">
      <c r="A745" s="642"/>
      <c r="B745" s="600"/>
      <c r="C745" s="750"/>
      <c r="D745" s="750"/>
      <c r="E745" s="750"/>
      <c r="F745" s="750" t="s">
        <v>188</v>
      </c>
      <c r="G745" s="596"/>
      <c r="H745" s="165" t="s">
        <v>12</v>
      </c>
      <c r="I745" s="610"/>
      <c r="J745" s="610"/>
      <c r="K745" s="93"/>
      <c r="L745" s="93"/>
      <c r="M745" s="93"/>
      <c r="N745" s="93"/>
      <c r="O745" s="93"/>
      <c r="P745" s="93"/>
      <c r="Q745" s="597"/>
      <c r="R745" s="597"/>
      <c r="S745" s="597"/>
      <c r="T745" s="597"/>
      <c r="U745" s="597"/>
      <c r="V745" s="597"/>
      <c r="W745" s="597"/>
      <c r="X745" s="597"/>
      <c r="Y745" s="597"/>
      <c r="Z745" s="597"/>
    </row>
    <row r="746" spans="1:26" ht="18.75" hidden="1">
      <c r="A746" s="642"/>
      <c r="B746" s="600"/>
      <c r="C746" s="750"/>
      <c r="D746" s="750"/>
      <c r="E746" s="750"/>
      <c r="F746" s="750" t="s">
        <v>189</v>
      </c>
      <c r="G746" s="596"/>
      <c r="H746" s="165" t="s">
        <v>12</v>
      </c>
      <c r="I746" s="610"/>
      <c r="J746" s="610"/>
      <c r="K746" s="93"/>
      <c r="L746" s="93"/>
      <c r="M746" s="93"/>
      <c r="N746" s="93"/>
      <c r="O746" s="93"/>
      <c r="P746" s="93"/>
      <c r="Q746" s="597"/>
      <c r="R746" s="597"/>
      <c r="S746" s="597"/>
      <c r="T746" s="597"/>
      <c r="U746" s="597"/>
      <c r="V746" s="597"/>
      <c r="W746" s="597"/>
      <c r="X746" s="597"/>
      <c r="Y746" s="597"/>
      <c r="Z746" s="597"/>
    </row>
    <row r="747" spans="1:26" ht="19.5" hidden="1">
      <c r="A747" s="592"/>
      <c r="B747" s="600"/>
      <c r="C747" s="750"/>
      <c r="D747" s="638" t="s">
        <v>21</v>
      </c>
      <c r="E747" s="750"/>
      <c r="F747" s="750"/>
      <c r="G747" s="596"/>
      <c r="H747" s="774" t="s">
        <v>12</v>
      </c>
      <c r="I747" s="166"/>
      <c r="J747" s="166"/>
      <c r="K747" s="167"/>
      <c r="L747" s="640">
        <f t="shared" ref="L747:N747" si="299">L748+L749</f>
        <v>0</v>
      </c>
      <c r="M747" s="640">
        <f t="shared" si="299"/>
        <v>0</v>
      </c>
      <c r="N747" s="640">
        <f t="shared" si="299"/>
        <v>0</v>
      </c>
      <c r="O747" s="640">
        <f t="shared" ref="O747:O749" si="300">IF(L747&gt;0,N747*100/L747,0)</f>
        <v>0</v>
      </c>
      <c r="P747" s="640">
        <f t="shared" ref="P747:P749" si="301">IF(M747&gt;0,N747*100/M747,0)</f>
        <v>0</v>
      </c>
      <c r="Q747" s="597"/>
      <c r="R747" s="597"/>
      <c r="S747" s="597"/>
      <c r="T747" s="597"/>
      <c r="U747" s="597"/>
      <c r="V747" s="597"/>
      <c r="W747" s="597"/>
      <c r="X747" s="597"/>
      <c r="Y747" s="597"/>
      <c r="Z747" s="597"/>
    </row>
    <row r="748" spans="1:26" ht="18.75" hidden="1">
      <c r="A748" s="592"/>
      <c r="B748" s="600"/>
      <c r="C748" s="750"/>
      <c r="D748" s="750"/>
      <c r="E748" s="750" t="s">
        <v>18</v>
      </c>
      <c r="F748" s="750"/>
      <c r="G748" s="596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597"/>
      <c r="R748" s="597"/>
      <c r="S748" s="597"/>
      <c r="T748" s="597"/>
      <c r="U748" s="597"/>
      <c r="V748" s="597"/>
      <c r="W748" s="597"/>
      <c r="X748" s="597"/>
      <c r="Y748" s="597"/>
      <c r="Z748" s="597"/>
    </row>
    <row r="749" spans="1:26" ht="18.75" hidden="1">
      <c r="A749" s="592"/>
      <c r="B749" s="600"/>
      <c r="C749" s="750"/>
      <c r="D749" s="750"/>
      <c r="E749" s="750" t="s">
        <v>19</v>
      </c>
      <c r="F749" s="750"/>
      <c r="G749" s="596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597"/>
      <c r="R749" s="597"/>
      <c r="S749" s="597"/>
      <c r="T749" s="597"/>
      <c r="U749" s="597"/>
      <c r="V749" s="597"/>
      <c r="W749" s="597"/>
      <c r="X749" s="597"/>
      <c r="Y749" s="597"/>
      <c r="Z749" s="597"/>
    </row>
    <row r="750" spans="1:26" ht="19.5" hidden="1">
      <c r="A750" s="607"/>
      <c r="B750" s="609"/>
      <c r="C750" s="750" t="s">
        <v>16</v>
      </c>
      <c r="D750" s="841" t="s">
        <v>38</v>
      </c>
      <c r="E750" s="644"/>
      <c r="F750" s="644"/>
      <c r="G750" s="645"/>
      <c r="H750" s="365"/>
      <c r="I750" s="166"/>
      <c r="J750" s="166"/>
      <c r="K750" s="167"/>
      <c r="L750" s="167"/>
      <c r="M750" s="167"/>
      <c r="N750" s="167"/>
      <c r="O750" s="167"/>
      <c r="P750" s="167"/>
      <c r="Q750" s="597"/>
      <c r="R750" s="597"/>
      <c r="S750" s="597"/>
      <c r="T750" s="597"/>
      <c r="U750" s="597"/>
      <c r="V750" s="597"/>
      <c r="W750" s="597"/>
      <c r="X750" s="597"/>
      <c r="Y750" s="597"/>
      <c r="Z750" s="597"/>
    </row>
    <row r="751" spans="1:26" ht="18.75" hidden="1">
      <c r="A751" s="642"/>
      <c r="B751" s="600"/>
      <c r="C751" s="750"/>
      <c r="D751" s="750"/>
      <c r="E751" s="750" t="s">
        <v>313</v>
      </c>
      <c r="F751" s="750"/>
      <c r="G751" s="596"/>
      <c r="H751" s="165" t="s">
        <v>46</v>
      </c>
      <c r="I751" s="610"/>
      <c r="J751" s="610"/>
      <c r="K751" s="93"/>
      <c r="L751" s="93"/>
      <c r="M751" s="93"/>
      <c r="N751" s="93"/>
      <c r="O751" s="93"/>
      <c r="P751" s="93"/>
      <c r="Q751" s="597"/>
      <c r="R751" s="597"/>
      <c r="S751" s="597"/>
      <c r="T751" s="597"/>
      <c r="U751" s="597"/>
      <c r="V751" s="597"/>
      <c r="W751" s="597"/>
      <c r="X751" s="597"/>
      <c r="Y751" s="597"/>
      <c r="Z751" s="597"/>
    </row>
    <row r="752" spans="1:26" ht="18.75" hidden="1">
      <c r="A752" s="642"/>
      <c r="B752" s="600"/>
      <c r="C752" s="750"/>
      <c r="D752" s="750"/>
      <c r="E752" s="750"/>
      <c r="F752" s="750"/>
      <c r="G752" s="596"/>
      <c r="H752" s="165" t="s">
        <v>314</v>
      </c>
      <c r="I752" s="610"/>
      <c r="J752" s="610"/>
      <c r="K752" s="93"/>
      <c r="L752" s="93"/>
      <c r="M752" s="93"/>
      <c r="N752" s="93"/>
      <c r="O752" s="93"/>
      <c r="P752" s="93"/>
      <c r="Q752" s="597"/>
      <c r="R752" s="597"/>
      <c r="S752" s="597"/>
      <c r="T752" s="597"/>
      <c r="U752" s="597"/>
      <c r="V752" s="597"/>
      <c r="W752" s="597"/>
      <c r="X752" s="597"/>
      <c r="Y752" s="597"/>
      <c r="Z752" s="597"/>
    </row>
    <row r="753" spans="1:26" ht="19.5" hidden="1">
      <c r="A753" s="776">
        <v>10</v>
      </c>
      <c r="B753" s="777" t="s">
        <v>315</v>
      </c>
      <c r="C753" s="778"/>
      <c r="D753" s="778"/>
      <c r="E753" s="778"/>
      <c r="F753" s="778"/>
      <c r="G753" s="779"/>
      <c r="H753" s="780" t="s">
        <v>46</v>
      </c>
      <c r="I753" s="781"/>
      <c r="J753" s="781">
        <f>J768</f>
        <v>0</v>
      </c>
      <c r="K753" s="782">
        <f>IF(I753&gt;0,J753*100/I753,0)</f>
        <v>0</v>
      </c>
      <c r="L753" s="783"/>
      <c r="M753" s="783"/>
      <c r="N753" s="783"/>
      <c r="O753" s="783"/>
      <c r="P753" s="783"/>
      <c r="Q753" s="597"/>
      <c r="R753" s="597"/>
      <c r="S753" s="597"/>
      <c r="T753" s="597"/>
      <c r="U753" s="597"/>
      <c r="V753" s="597"/>
      <c r="W753" s="597"/>
      <c r="X753" s="597"/>
      <c r="Y753" s="597"/>
      <c r="Z753" s="597"/>
    </row>
    <row r="754" spans="1:26" ht="19.5" hidden="1">
      <c r="A754" s="592"/>
      <c r="B754" s="750"/>
      <c r="C754" s="750" t="s">
        <v>16</v>
      </c>
      <c r="D754" s="864" t="s">
        <v>17</v>
      </c>
      <c r="E754" s="857"/>
      <c r="F754" s="857"/>
      <c r="G754" s="596"/>
      <c r="H754" s="639" t="s">
        <v>12</v>
      </c>
      <c r="I754" s="610"/>
      <c r="J754" s="610"/>
      <c r="K754" s="93"/>
      <c r="L754" s="640">
        <f t="shared" ref="L754:N754" si="302">L755+L756</f>
        <v>0</v>
      </c>
      <c r="M754" s="640">
        <f t="shared" si="302"/>
        <v>0</v>
      </c>
      <c r="N754" s="640">
        <f t="shared" si="302"/>
        <v>0</v>
      </c>
      <c r="O754" s="640">
        <f t="shared" ref="O754:O759" si="303">IF(L754&gt;0,N754*100/L754,0)</f>
        <v>0</v>
      </c>
      <c r="P754" s="640">
        <f t="shared" ref="P754:P759" si="304">IF(M754&gt;0,N754*100/M754,0)</f>
        <v>0</v>
      </c>
      <c r="Q754" s="597"/>
      <c r="R754" s="597"/>
      <c r="S754" s="597"/>
      <c r="T754" s="597"/>
      <c r="U754" s="597"/>
      <c r="V754" s="597"/>
      <c r="W754" s="597"/>
      <c r="X754" s="597"/>
      <c r="Y754" s="597"/>
      <c r="Z754" s="597"/>
    </row>
    <row r="755" spans="1:26" ht="18.75" hidden="1">
      <c r="A755" s="592"/>
      <c r="B755" s="750"/>
      <c r="C755" s="750"/>
      <c r="D755" s="711"/>
      <c r="E755" s="750" t="s">
        <v>184</v>
      </c>
      <c r="F755" s="750"/>
      <c r="G755" s="596"/>
      <c r="H755" s="165" t="s">
        <v>12</v>
      </c>
      <c r="I755" s="610"/>
      <c r="J755" s="610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597"/>
      <c r="R755" s="597"/>
      <c r="S755" s="597"/>
      <c r="T755" s="597"/>
      <c r="U755" s="597"/>
      <c r="V755" s="597"/>
      <c r="W755" s="597"/>
      <c r="X755" s="597"/>
      <c r="Y755" s="597"/>
      <c r="Z755" s="597"/>
    </row>
    <row r="756" spans="1:26" ht="18.75" hidden="1">
      <c r="A756" s="592"/>
      <c r="B756" s="600"/>
      <c r="C756" s="750"/>
      <c r="D756" s="711"/>
      <c r="E756" s="750" t="s">
        <v>185</v>
      </c>
      <c r="F756" s="750"/>
      <c r="G756" s="596"/>
      <c r="H756" s="165" t="s">
        <v>12</v>
      </c>
      <c r="I756" s="610"/>
      <c r="J756" s="610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597"/>
      <c r="R756" s="597"/>
      <c r="S756" s="597"/>
      <c r="T756" s="597"/>
      <c r="U756" s="597"/>
      <c r="V756" s="597"/>
      <c r="W756" s="597"/>
      <c r="X756" s="597"/>
      <c r="Y756" s="597"/>
      <c r="Z756" s="597"/>
    </row>
    <row r="757" spans="1:26" ht="19.5" hidden="1">
      <c r="A757" s="592"/>
      <c r="B757" s="600"/>
      <c r="C757" s="750"/>
      <c r="D757" s="638" t="s">
        <v>20</v>
      </c>
      <c r="E757" s="750"/>
      <c r="F757" s="750"/>
      <c r="G757" s="596"/>
      <c r="H757" s="639" t="s">
        <v>12</v>
      </c>
      <c r="I757" s="166"/>
      <c r="J757" s="166"/>
      <c r="K757" s="167"/>
      <c r="L757" s="640">
        <f t="shared" ref="L757:N757" si="306">L758+L759</f>
        <v>0</v>
      </c>
      <c r="M757" s="640">
        <f t="shared" si="306"/>
        <v>0</v>
      </c>
      <c r="N757" s="640">
        <f t="shared" si="306"/>
        <v>0</v>
      </c>
      <c r="O757" s="640">
        <f t="shared" si="303"/>
        <v>0</v>
      </c>
      <c r="P757" s="640">
        <f t="shared" si="304"/>
        <v>0</v>
      </c>
      <c r="Q757" s="597"/>
      <c r="R757" s="597"/>
      <c r="S757" s="597"/>
      <c r="T757" s="597"/>
      <c r="U757" s="597"/>
      <c r="V757" s="597"/>
      <c r="W757" s="597"/>
      <c r="X757" s="597"/>
      <c r="Y757" s="597"/>
      <c r="Z757" s="597"/>
    </row>
    <row r="758" spans="1:26" ht="18.75" hidden="1">
      <c r="A758" s="592"/>
      <c r="B758" s="600"/>
      <c r="C758" s="750"/>
      <c r="D758" s="711"/>
      <c r="E758" s="750" t="s">
        <v>184</v>
      </c>
      <c r="F758" s="750"/>
      <c r="G758" s="596"/>
      <c r="H758" s="165" t="s">
        <v>12</v>
      </c>
      <c r="I758" s="610"/>
      <c r="J758" s="610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597"/>
      <c r="R758" s="597"/>
      <c r="S758" s="597"/>
      <c r="T758" s="597"/>
      <c r="U758" s="597"/>
      <c r="V758" s="597"/>
      <c r="W758" s="597"/>
      <c r="X758" s="597"/>
      <c r="Y758" s="597"/>
      <c r="Z758" s="597"/>
    </row>
    <row r="759" spans="1:26" ht="18.75" hidden="1">
      <c r="A759" s="592"/>
      <c r="B759" s="600"/>
      <c r="C759" s="750"/>
      <c r="D759" s="711"/>
      <c r="E759" s="750" t="s">
        <v>185</v>
      </c>
      <c r="F759" s="750"/>
      <c r="G759" s="596"/>
      <c r="H759" s="165" t="s">
        <v>12</v>
      </c>
      <c r="I759" s="610"/>
      <c r="J759" s="610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597"/>
      <c r="R759" s="597"/>
      <c r="S759" s="597"/>
      <c r="T759" s="597"/>
      <c r="U759" s="597"/>
      <c r="V759" s="597"/>
      <c r="W759" s="597"/>
      <c r="X759" s="597"/>
      <c r="Y759" s="597"/>
      <c r="Z759" s="597"/>
    </row>
    <row r="760" spans="1:26" ht="18.75" hidden="1">
      <c r="A760" s="642"/>
      <c r="B760" s="600"/>
      <c r="C760" s="750"/>
      <c r="D760" s="750"/>
      <c r="E760" s="750"/>
      <c r="F760" s="750" t="s">
        <v>186</v>
      </c>
      <c r="G760" s="596"/>
      <c r="H760" s="165" t="s">
        <v>12</v>
      </c>
      <c r="I760" s="610"/>
      <c r="J760" s="610"/>
      <c r="K760" s="93"/>
      <c r="L760" s="93"/>
      <c r="M760" s="93"/>
      <c r="N760" s="93"/>
      <c r="O760" s="93"/>
      <c r="P760" s="93"/>
      <c r="Q760" s="597"/>
      <c r="R760" s="597"/>
      <c r="S760" s="597"/>
      <c r="T760" s="597"/>
      <c r="U760" s="597"/>
      <c r="V760" s="597"/>
      <c r="W760" s="597"/>
      <c r="X760" s="597"/>
      <c r="Y760" s="597"/>
      <c r="Z760" s="597"/>
    </row>
    <row r="761" spans="1:26" ht="18.75" hidden="1">
      <c r="A761" s="642"/>
      <c r="B761" s="600"/>
      <c r="C761" s="750"/>
      <c r="D761" s="750"/>
      <c r="E761" s="750"/>
      <c r="F761" s="750" t="s">
        <v>187</v>
      </c>
      <c r="G761" s="596"/>
      <c r="H761" s="165" t="s">
        <v>12</v>
      </c>
      <c r="I761" s="610"/>
      <c r="J761" s="610"/>
      <c r="K761" s="93"/>
      <c r="L761" s="93"/>
      <c r="M761" s="93"/>
      <c r="N761" s="93"/>
      <c r="O761" s="93"/>
      <c r="P761" s="93"/>
      <c r="Q761" s="597"/>
      <c r="R761" s="597"/>
      <c r="S761" s="597"/>
      <c r="T761" s="597"/>
      <c r="U761" s="597"/>
      <c r="V761" s="597"/>
      <c r="W761" s="597"/>
      <c r="X761" s="597"/>
      <c r="Y761" s="597"/>
      <c r="Z761" s="597"/>
    </row>
    <row r="762" spans="1:26" ht="18.75" hidden="1">
      <c r="A762" s="642"/>
      <c r="B762" s="600"/>
      <c r="C762" s="750"/>
      <c r="D762" s="750"/>
      <c r="E762" s="750"/>
      <c r="F762" s="750" t="s">
        <v>188</v>
      </c>
      <c r="G762" s="596"/>
      <c r="H762" s="165" t="s">
        <v>12</v>
      </c>
      <c r="I762" s="610"/>
      <c r="J762" s="610"/>
      <c r="K762" s="93"/>
      <c r="L762" s="93"/>
      <c r="M762" s="93"/>
      <c r="N762" s="93"/>
      <c r="O762" s="93"/>
      <c r="P762" s="93"/>
      <c r="Q762" s="597"/>
      <c r="R762" s="597"/>
      <c r="S762" s="597"/>
      <c r="T762" s="597"/>
      <c r="U762" s="597"/>
      <c r="V762" s="597"/>
      <c r="W762" s="597"/>
      <c r="X762" s="597"/>
      <c r="Y762" s="597"/>
      <c r="Z762" s="597"/>
    </row>
    <row r="763" spans="1:26" ht="18.75" hidden="1">
      <c r="A763" s="642"/>
      <c r="B763" s="600"/>
      <c r="C763" s="750"/>
      <c r="D763" s="750"/>
      <c r="E763" s="750"/>
      <c r="F763" s="750" t="s">
        <v>189</v>
      </c>
      <c r="G763" s="596"/>
      <c r="H763" s="165" t="s">
        <v>12</v>
      </c>
      <c r="I763" s="610"/>
      <c r="J763" s="610"/>
      <c r="K763" s="93"/>
      <c r="L763" s="93"/>
      <c r="M763" s="93"/>
      <c r="N763" s="93"/>
      <c r="O763" s="93"/>
      <c r="P763" s="93"/>
      <c r="Q763" s="597"/>
      <c r="R763" s="597"/>
      <c r="S763" s="597"/>
      <c r="T763" s="597"/>
      <c r="U763" s="597"/>
      <c r="V763" s="597"/>
      <c r="W763" s="597"/>
      <c r="X763" s="597"/>
      <c r="Y763" s="597"/>
      <c r="Z763" s="597"/>
    </row>
    <row r="764" spans="1:26" ht="19.5" hidden="1">
      <c r="A764" s="592"/>
      <c r="B764" s="600"/>
      <c r="C764" s="750"/>
      <c r="D764" s="638" t="s">
        <v>21</v>
      </c>
      <c r="E764" s="750"/>
      <c r="F764" s="750"/>
      <c r="G764" s="596"/>
      <c r="H764" s="774" t="s">
        <v>12</v>
      </c>
      <c r="I764" s="166"/>
      <c r="J764" s="166"/>
      <c r="K764" s="167"/>
      <c r="L764" s="640">
        <f t="shared" ref="L764:N764" si="307">L765+L766</f>
        <v>0</v>
      </c>
      <c r="M764" s="640">
        <f t="shared" si="307"/>
        <v>0</v>
      </c>
      <c r="N764" s="640">
        <f t="shared" si="307"/>
        <v>0</v>
      </c>
      <c r="O764" s="640">
        <f t="shared" ref="O764:O766" si="308">IF(L764&gt;0,N764*100/L764,0)</f>
        <v>0</v>
      </c>
      <c r="P764" s="640">
        <f t="shared" ref="P764:P766" si="309">IF(M764&gt;0,N764*100/M764,0)</f>
        <v>0</v>
      </c>
      <c r="Q764" s="597"/>
      <c r="R764" s="597"/>
      <c r="S764" s="597"/>
      <c r="T764" s="597"/>
      <c r="U764" s="597"/>
      <c r="V764" s="597"/>
      <c r="W764" s="597"/>
      <c r="X764" s="597"/>
      <c r="Y764" s="597"/>
      <c r="Z764" s="597"/>
    </row>
    <row r="765" spans="1:26" ht="18.75" hidden="1">
      <c r="A765" s="592"/>
      <c r="B765" s="600"/>
      <c r="C765" s="750"/>
      <c r="D765" s="750"/>
      <c r="E765" s="750" t="s">
        <v>18</v>
      </c>
      <c r="F765" s="750"/>
      <c r="G765" s="596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597"/>
      <c r="R765" s="597"/>
      <c r="S765" s="597"/>
      <c r="T765" s="597"/>
      <c r="U765" s="597"/>
      <c r="V765" s="597"/>
      <c r="W765" s="597"/>
      <c r="X765" s="597"/>
      <c r="Y765" s="597"/>
      <c r="Z765" s="597"/>
    </row>
    <row r="766" spans="1:26" ht="18.75" hidden="1">
      <c r="A766" s="592"/>
      <c r="B766" s="600"/>
      <c r="C766" s="750"/>
      <c r="D766" s="750"/>
      <c r="E766" s="750" t="s">
        <v>19</v>
      </c>
      <c r="F766" s="750"/>
      <c r="G766" s="596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597"/>
      <c r="R766" s="597"/>
      <c r="S766" s="597"/>
      <c r="T766" s="597"/>
      <c r="U766" s="597"/>
      <c r="V766" s="597"/>
      <c r="W766" s="597"/>
      <c r="X766" s="597"/>
      <c r="Y766" s="597"/>
      <c r="Z766" s="597"/>
    </row>
    <row r="767" spans="1:26" ht="19.5" hidden="1">
      <c r="A767" s="607"/>
      <c r="B767" s="609"/>
      <c r="C767" s="750" t="s">
        <v>16</v>
      </c>
      <c r="D767" s="841" t="s">
        <v>38</v>
      </c>
      <c r="E767" s="644"/>
      <c r="F767" s="644"/>
      <c r="G767" s="645"/>
      <c r="H767" s="365"/>
      <c r="I767" s="166"/>
      <c r="J767" s="166"/>
      <c r="K767" s="167"/>
      <c r="L767" s="167"/>
      <c r="M767" s="167"/>
      <c r="N767" s="167"/>
      <c r="O767" s="167"/>
      <c r="P767" s="167"/>
      <c r="Q767" s="597"/>
      <c r="R767" s="597"/>
      <c r="S767" s="597"/>
      <c r="T767" s="597"/>
      <c r="U767" s="597"/>
      <c r="V767" s="597"/>
      <c r="W767" s="597"/>
      <c r="X767" s="597"/>
      <c r="Y767" s="597"/>
      <c r="Z767" s="597"/>
    </row>
    <row r="768" spans="1:26" ht="18.75" hidden="1">
      <c r="A768" s="642"/>
      <c r="B768" s="600"/>
      <c r="C768" s="750"/>
      <c r="D768" s="750"/>
      <c r="E768" s="750" t="s">
        <v>316</v>
      </c>
      <c r="F768" s="750"/>
      <c r="G768" s="596"/>
      <c r="H768" s="165" t="s">
        <v>46</v>
      </c>
      <c r="I768" s="610"/>
      <c r="J768" s="610"/>
      <c r="K768" s="93"/>
      <c r="L768" s="93"/>
      <c r="M768" s="93"/>
      <c r="N768" s="93"/>
      <c r="O768" s="93"/>
      <c r="P768" s="93"/>
      <c r="Q768" s="597"/>
      <c r="R768" s="597"/>
      <c r="S768" s="597"/>
      <c r="T768" s="597"/>
      <c r="U768" s="597"/>
      <c r="V768" s="597"/>
      <c r="W768" s="597"/>
      <c r="X768" s="597"/>
      <c r="Y768" s="597"/>
      <c r="Z768" s="597"/>
    </row>
    <row r="769" spans="1:26" ht="19.5" hidden="1">
      <c r="A769" s="784">
        <v>11</v>
      </c>
      <c r="B769" s="785" t="s">
        <v>317</v>
      </c>
      <c r="C769" s="786"/>
      <c r="D769" s="786"/>
      <c r="E769" s="786"/>
      <c r="F769" s="786"/>
      <c r="G769" s="787"/>
      <c r="H769" s="788" t="s">
        <v>46</v>
      </c>
      <c r="I769" s="789"/>
      <c r="J769" s="789">
        <f>J784</f>
        <v>0</v>
      </c>
      <c r="K769" s="790">
        <f>IF(I769&gt;0,J769*100/I769,0)</f>
        <v>0</v>
      </c>
      <c r="L769" s="791"/>
      <c r="M769" s="791"/>
      <c r="N769" s="791"/>
      <c r="O769" s="791"/>
      <c r="P769" s="791"/>
      <c r="Q769" s="597"/>
      <c r="R769" s="597"/>
      <c r="S769" s="597"/>
      <c r="T769" s="597"/>
      <c r="U769" s="597"/>
      <c r="V769" s="597"/>
      <c r="W769" s="597"/>
      <c r="X769" s="597"/>
      <c r="Y769" s="597"/>
      <c r="Z769" s="597"/>
    </row>
    <row r="770" spans="1:26" ht="19.5" hidden="1">
      <c r="A770" s="592"/>
      <c r="B770" s="750"/>
      <c r="C770" s="750" t="s">
        <v>16</v>
      </c>
      <c r="D770" s="864" t="s">
        <v>17</v>
      </c>
      <c r="E770" s="857"/>
      <c r="F770" s="857"/>
      <c r="G770" s="596"/>
      <c r="H770" s="639" t="s">
        <v>12</v>
      </c>
      <c r="I770" s="610"/>
      <c r="J770" s="610"/>
      <c r="K770" s="93"/>
      <c r="L770" s="640">
        <f t="shared" ref="L770:N770" si="310">L771+L772</f>
        <v>0</v>
      </c>
      <c r="M770" s="640">
        <f t="shared" si="310"/>
        <v>0</v>
      </c>
      <c r="N770" s="640">
        <f t="shared" si="310"/>
        <v>0</v>
      </c>
      <c r="O770" s="640">
        <f t="shared" ref="O770:O775" si="311">IF(L770&gt;0,N770*100/L770,0)</f>
        <v>0</v>
      </c>
      <c r="P770" s="640">
        <f t="shared" ref="P770:P775" si="312">IF(M770&gt;0,N770*100/M770,0)</f>
        <v>0</v>
      </c>
      <c r="Q770" s="597"/>
      <c r="R770" s="597"/>
      <c r="S770" s="597"/>
      <c r="T770" s="597"/>
      <c r="U770" s="597"/>
      <c r="V770" s="597"/>
      <c r="W770" s="597"/>
      <c r="X770" s="597"/>
      <c r="Y770" s="597"/>
      <c r="Z770" s="597"/>
    </row>
    <row r="771" spans="1:26" ht="18.75" hidden="1">
      <c r="A771" s="592"/>
      <c r="B771" s="750"/>
      <c r="C771" s="750"/>
      <c r="D771" s="711"/>
      <c r="E771" s="750" t="s">
        <v>184</v>
      </c>
      <c r="F771" s="750"/>
      <c r="G771" s="596"/>
      <c r="H771" s="165" t="s">
        <v>12</v>
      </c>
      <c r="I771" s="610"/>
      <c r="J771" s="610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597"/>
      <c r="R771" s="597"/>
      <c r="S771" s="597"/>
      <c r="T771" s="597"/>
      <c r="U771" s="597"/>
      <c r="V771" s="597"/>
      <c r="W771" s="597"/>
      <c r="X771" s="597"/>
      <c r="Y771" s="597"/>
      <c r="Z771" s="597"/>
    </row>
    <row r="772" spans="1:26" ht="18.75" hidden="1">
      <c r="A772" s="592"/>
      <c r="B772" s="600"/>
      <c r="C772" s="750"/>
      <c r="D772" s="711"/>
      <c r="E772" s="750" t="s">
        <v>185</v>
      </c>
      <c r="F772" s="750"/>
      <c r="G772" s="596"/>
      <c r="H772" s="165" t="s">
        <v>12</v>
      </c>
      <c r="I772" s="610"/>
      <c r="J772" s="610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597"/>
      <c r="R772" s="597"/>
      <c r="S772" s="597"/>
      <c r="T772" s="597"/>
      <c r="U772" s="597"/>
      <c r="V772" s="597"/>
      <c r="W772" s="597"/>
      <c r="X772" s="597"/>
      <c r="Y772" s="597"/>
      <c r="Z772" s="597"/>
    </row>
    <row r="773" spans="1:26" ht="19.5" hidden="1">
      <c r="A773" s="592"/>
      <c r="B773" s="600"/>
      <c r="C773" s="750"/>
      <c r="D773" s="638" t="s">
        <v>20</v>
      </c>
      <c r="E773" s="750"/>
      <c r="F773" s="750"/>
      <c r="G773" s="596"/>
      <c r="H773" s="639" t="s">
        <v>12</v>
      </c>
      <c r="I773" s="166"/>
      <c r="J773" s="166"/>
      <c r="K773" s="167"/>
      <c r="L773" s="640">
        <f t="shared" ref="L773:N773" si="314">L774+L775</f>
        <v>0</v>
      </c>
      <c r="M773" s="640">
        <f t="shared" si="314"/>
        <v>0</v>
      </c>
      <c r="N773" s="640">
        <f t="shared" si="314"/>
        <v>0</v>
      </c>
      <c r="O773" s="640">
        <f t="shared" si="311"/>
        <v>0</v>
      </c>
      <c r="P773" s="640">
        <f t="shared" si="312"/>
        <v>0</v>
      </c>
      <c r="Q773" s="597"/>
      <c r="R773" s="597"/>
      <c r="S773" s="597"/>
      <c r="T773" s="597"/>
      <c r="U773" s="597"/>
      <c r="V773" s="597"/>
      <c r="W773" s="597"/>
      <c r="X773" s="597"/>
      <c r="Y773" s="597"/>
      <c r="Z773" s="597"/>
    </row>
    <row r="774" spans="1:26" ht="18.75" hidden="1">
      <c r="A774" s="592"/>
      <c r="B774" s="600"/>
      <c r="C774" s="750"/>
      <c r="D774" s="711"/>
      <c r="E774" s="750" t="s">
        <v>184</v>
      </c>
      <c r="F774" s="750"/>
      <c r="G774" s="596"/>
      <c r="H774" s="165" t="s">
        <v>12</v>
      </c>
      <c r="I774" s="610"/>
      <c r="J774" s="610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597"/>
      <c r="R774" s="597"/>
      <c r="S774" s="597"/>
      <c r="T774" s="597"/>
      <c r="U774" s="597"/>
      <c r="V774" s="597"/>
      <c r="W774" s="597"/>
      <c r="X774" s="597"/>
      <c r="Y774" s="597"/>
      <c r="Z774" s="597"/>
    </row>
    <row r="775" spans="1:26" ht="18.75" hidden="1">
      <c r="A775" s="592"/>
      <c r="B775" s="600"/>
      <c r="C775" s="750"/>
      <c r="D775" s="711"/>
      <c r="E775" s="750" t="s">
        <v>185</v>
      </c>
      <c r="F775" s="750"/>
      <c r="G775" s="596"/>
      <c r="H775" s="165" t="s">
        <v>12</v>
      </c>
      <c r="I775" s="610"/>
      <c r="J775" s="610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597"/>
      <c r="R775" s="597"/>
      <c r="S775" s="597"/>
      <c r="T775" s="597"/>
      <c r="U775" s="597"/>
      <c r="V775" s="597"/>
      <c r="W775" s="597"/>
      <c r="X775" s="597"/>
      <c r="Y775" s="597"/>
      <c r="Z775" s="597"/>
    </row>
    <row r="776" spans="1:26" ht="18.75" hidden="1">
      <c r="A776" s="642"/>
      <c r="B776" s="600"/>
      <c r="C776" s="750"/>
      <c r="D776" s="750"/>
      <c r="E776" s="750"/>
      <c r="F776" s="750" t="s">
        <v>186</v>
      </c>
      <c r="G776" s="596"/>
      <c r="H776" s="165" t="s">
        <v>12</v>
      </c>
      <c r="I776" s="610"/>
      <c r="J776" s="610"/>
      <c r="K776" s="93"/>
      <c r="L776" s="93"/>
      <c r="M776" s="93"/>
      <c r="N776" s="93"/>
      <c r="O776" s="93"/>
      <c r="P776" s="93"/>
      <c r="Q776" s="597"/>
      <c r="R776" s="597"/>
      <c r="S776" s="597"/>
      <c r="T776" s="597"/>
      <c r="U776" s="597"/>
      <c r="V776" s="597"/>
      <c r="W776" s="597"/>
      <c r="X776" s="597"/>
      <c r="Y776" s="597"/>
      <c r="Z776" s="597"/>
    </row>
    <row r="777" spans="1:26" ht="18.75" hidden="1">
      <c r="A777" s="642"/>
      <c r="B777" s="600"/>
      <c r="C777" s="750"/>
      <c r="D777" s="750"/>
      <c r="E777" s="750"/>
      <c r="F777" s="750" t="s">
        <v>187</v>
      </c>
      <c r="G777" s="596"/>
      <c r="H777" s="165" t="s">
        <v>12</v>
      </c>
      <c r="I777" s="610"/>
      <c r="J777" s="610"/>
      <c r="K777" s="93"/>
      <c r="L777" s="93"/>
      <c r="M777" s="93"/>
      <c r="N777" s="93"/>
      <c r="O777" s="93"/>
      <c r="P777" s="93"/>
      <c r="Q777" s="597"/>
      <c r="R777" s="597"/>
      <c r="S777" s="597"/>
      <c r="T777" s="597"/>
      <c r="U777" s="597"/>
      <c r="V777" s="597"/>
      <c r="W777" s="597"/>
      <c r="X777" s="597"/>
      <c r="Y777" s="597"/>
      <c r="Z777" s="597"/>
    </row>
    <row r="778" spans="1:26" ht="18.75" hidden="1">
      <c r="A778" s="642"/>
      <c r="B778" s="600"/>
      <c r="C778" s="750"/>
      <c r="D778" s="750"/>
      <c r="E778" s="750"/>
      <c r="F778" s="750" t="s">
        <v>188</v>
      </c>
      <c r="G778" s="596"/>
      <c r="H778" s="165" t="s">
        <v>12</v>
      </c>
      <c r="I778" s="610"/>
      <c r="J778" s="610"/>
      <c r="K778" s="93"/>
      <c r="L778" s="93"/>
      <c r="M778" s="93"/>
      <c r="N778" s="93"/>
      <c r="O778" s="93"/>
      <c r="P778" s="93"/>
      <c r="Q778" s="597"/>
      <c r="R778" s="597"/>
      <c r="S778" s="597"/>
      <c r="T778" s="597"/>
      <c r="U778" s="597"/>
      <c r="V778" s="597"/>
      <c r="W778" s="597"/>
      <c r="X778" s="597"/>
      <c r="Y778" s="597"/>
      <c r="Z778" s="597"/>
    </row>
    <row r="779" spans="1:26" ht="18.75" hidden="1">
      <c r="A779" s="642"/>
      <c r="B779" s="600"/>
      <c r="C779" s="750"/>
      <c r="D779" s="750"/>
      <c r="E779" s="750"/>
      <c r="F779" s="750" t="s">
        <v>189</v>
      </c>
      <c r="G779" s="596"/>
      <c r="H779" s="165" t="s">
        <v>12</v>
      </c>
      <c r="I779" s="610"/>
      <c r="J779" s="610"/>
      <c r="K779" s="93"/>
      <c r="L779" s="93"/>
      <c r="M779" s="93"/>
      <c r="N779" s="93"/>
      <c r="O779" s="93"/>
      <c r="P779" s="93"/>
      <c r="Q779" s="597"/>
      <c r="R779" s="597"/>
      <c r="S779" s="597"/>
      <c r="T779" s="597"/>
      <c r="U779" s="597"/>
      <c r="V779" s="597"/>
      <c r="W779" s="597"/>
      <c r="X779" s="597"/>
      <c r="Y779" s="597"/>
      <c r="Z779" s="597"/>
    </row>
    <row r="780" spans="1:26" ht="19.5" hidden="1">
      <c r="A780" s="592"/>
      <c r="B780" s="600"/>
      <c r="C780" s="750"/>
      <c r="D780" s="638" t="s">
        <v>21</v>
      </c>
      <c r="E780" s="750"/>
      <c r="F780" s="750"/>
      <c r="G780" s="596"/>
      <c r="H780" s="774" t="s">
        <v>12</v>
      </c>
      <c r="I780" s="166"/>
      <c r="J780" s="166"/>
      <c r="K780" s="167"/>
      <c r="L780" s="640">
        <f t="shared" ref="L780:N780" si="315">L781+L782</f>
        <v>0</v>
      </c>
      <c r="M780" s="640">
        <f t="shared" si="315"/>
        <v>0</v>
      </c>
      <c r="N780" s="640">
        <f t="shared" si="315"/>
        <v>0</v>
      </c>
      <c r="O780" s="640">
        <f t="shared" ref="O780:O782" si="316">IF(L780&gt;0,N780*100/L780,0)</f>
        <v>0</v>
      </c>
      <c r="P780" s="640">
        <f t="shared" ref="P780:P782" si="317">IF(M780&gt;0,N780*100/M780,0)</f>
        <v>0</v>
      </c>
      <c r="Q780" s="597"/>
      <c r="R780" s="597"/>
      <c r="S780" s="597"/>
      <c r="T780" s="597"/>
      <c r="U780" s="597"/>
      <c r="V780" s="597"/>
      <c r="W780" s="597"/>
      <c r="X780" s="597"/>
      <c r="Y780" s="597"/>
      <c r="Z780" s="597"/>
    </row>
    <row r="781" spans="1:26" ht="18.75" hidden="1">
      <c r="A781" s="592"/>
      <c r="B781" s="600"/>
      <c r="C781" s="750"/>
      <c r="D781" s="750"/>
      <c r="E781" s="750" t="s">
        <v>18</v>
      </c>
      <c r="F781" s="750"/>
      <c r="G781" s="596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597"/>
      <c r="R781" s="597"/>
      <c r="S781" s="597"/>
      <c r="T781" s="597"/>
      <c r="U781" s="597"/>
      <c r="V781" s="597"/>
      <c r="W781" s="597"/>
      <c r="X781" s="597"/>
      <c r="Y781" s="597"/>
      <c r="Z781" s="597"/>
    </row>
    <row r="782" spans="1:26" ht="18.75" hidden="1">
      <c r="A782" s="592"/>
      <c r="B782" s="600"/>
      <c r="C782" s="750"/>
      <c r="D782" s="750"/>
      <c r="E782" s="750" t="s">
        <v>19</v>
      </c>
      <c r="F782" s="750"/>
      <c r="G782" s="596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597"/>
      <c r="R782" s="597"/>
      <c r="S782" s="597"/>
      <c r="T782" s="597"/>
      <c r="U782" s="597"/>
      <c r="V782" s="597"/>
      <c r="W782" s="597"/>
      <c r="X782" s="597"/>
      <c r="Y782" s="597"/>
      <c r="Z782" s="597"/>
    </row>
    <row r="783" spans="1:26" ht="19.5" hidden="1">
      <c r="A783" s="607"/>
      <c r="B783" s="609"/>
      <c r="C783" s="750" t="s">
        <v>16</v>
      </c>
      <c r="D783" s="841" t="s">
        <v>38</v>
      </c>
      <c r="E783" s="644"/>
      <c r="F783" s="644"/>
      <c r="G783" s="645"/>
      <c r="H783" s="792"/>
      <c r="I783" s="166"/>
      <c r="J783" s="166"/>
      <c r="K783" s="167"/>
      <c r="L783" s="167"/>
      <c r="M783" s="167"/>
      <c r="N783" s="167"/>
      <c r="O783" s="167"/>
      <c r="P783" s="167"/>
      <c r="Q783" s="597"/>
      <c r="R783" s="597"/>
      <c r="S783" s="597"/>
      <c r="T783" s="597"/>
      <c r="U783" s="597"/>
      <c r="V783" s="597"/>
      <c r="W783" s="597"/>
      <c r="X783" s="597"/>
      <c r="Y783" s="597"/>
      <c r="Z783" s="597"/>
    </row>
    <row r="784" spans="1:26" ht="18.75" hidden="1">
      <c r="A784" s="642"/>
      <c r="B784" s="600"/>
      <c r="C784" s="750"/>
      <c r="D784" s="750"/>
      <c r="E784" s="750" t="s">
        <v>318</v>
      </c>
      <c r="F784" s="750"/>
      <c r="G784" s="596"/>
      <c r="H784" s="165" t="s">
        <v>46</v>
      </c>
      <c r="I784" s="610"/>
      <c r="J784" s="610"/>
      <c r="K784" s="93"/>
      <c r="L784" s="93"/>
      <c r="M784" s="93"/>
      <c r="N784" s="93"/>
      <c r="O784" s="93"/>
      <c r="P784" s="93"/>
      <c r="Q784" s="597"/>
      <c r="R784" s="597"/>
      <c r="S784" s="597"/>
      <c r="T784" s="597"/>
      <c r="U784" s="597"/>
      <c r="V784" s="597"/>
      <c r="W784" s="597"/>
      <c r="X784" s="597"/>
      <c r="Y784" s="597"/>
      <c r="Z784" s="597"/>
    </row>
    <row r="785" spans="1:26" ht="19.5" hidden="1">
      <c r="A785" s="793">
        <v>12</v>
      </c>
      <c r="B785" s="794" t="s">
        <v>319</v>
      </c>
      <c r="C785" s="795"/>
      <c r="D785" s="795"/>
      <c r="E785" s="795"/>
      <c r="F785" s="795"/>
      <c r="G785" s="796"/>
      <c r="H785" s="797" t="s">
        <v>46</v>
      </c>
      <c r="I785" s="798">
        <f t="shared" ref="I785:J785" ca="1" si="318">I800</f>
        <v>0</v>
      </c>
      <c r="J785" s="799">
        <f t="shared" ca="1" si="318"/>
        <v>0</v>
      </c>
      <c r="K785" s="800">
        <f ca="1">IF(I785&gt;0,J785*100/I785,0)</f>
        <v>0</v>
      </c>
      <c r="L785" s="801"/>
      <c r="M785" s="801"/>
      <c r="N785" s="801"/>
      <c r="O785" s="801"/>
      <c r="P785" s="801"/>
      <c r="Q785" s="571"/>
      <c r="R785" s="571"/>
      <c r="S785" s="571"/>
      <c r="T785" s="571"/>
      <c r="U785" s="571"/>
      <c r="V785" s="571"/>
      <c r="W785" s="571"/>
      <c r="X785" s="571"/>
      <c r="Y785" s="571"/>
      <c r="Z785" s="571"/>
    </row>
    <row r="786" spans="1:26" ht="19.5" hidden="1">
      <c r="A786" s="590"/>
      <c r="B786" s="568"/>
      <c r="C786" s="754" t="s">
        <v>16</v>
      </c>
      <c r="D786" s="863" t="s">
        <v>17</v>
      </c>
      <c r="E786" s="857"/>
      <c r="F786" s="857"/>
      <c r="G786" s="189"/>
      <c r="H786" s="591" t="s">
        <v>12</v>
      </c>
      <c r="I786" s="269"/>
      <c r="J786" s="269"/>
      <c r="K786" s="496"/>
      <c r="L786" s="195">
        <f t="shared" ref="L786:N786" ca="1" si="319">L787+L788</f>
        <v>0</v>
      </c>
      <c r="M786" s="195">
        <f t="shared" si="319"/>
        <v>0</v>
      </c>
      <c r="N786" s="195">
        <f t="shared" si="319"/>
        <v>0</v>
      </c>
      <c r="O786" s="195">
        <f t="shared" ref="O786:O791" ca="1" si="320">IF(L786&gt;0,N786*100/L786,0)</f>
        <v>0</v>
      </c>
      <c r="P786" s="195">
        <f t="shared" ref="P786:P791" si="321">IF(M786&gt;0,N786*100/M786,0)</f>
        <v>0</v>
      </c>
      <c r="Q786" s="571"/>
      <c r="R786" s="571"/>
      <c r="S786" s="571"/>
      <c r="T786" s="571"/>
      <c r="U786" s="571"/>
      <c r="V786" s="571"/>
      <c r="W786" s="571"/>
      <c r="X786" s="571"/>
      <c r="Y786" s="571"/>
      <c r="Z786" s="571"/>
    </row>
    <row r="787" spans="1:26" ht="18.75" hidden="1">
      <c r="A787" s="592"/>
      <c r="B787" s="600"/>
      <c r="C787" s="750"/>
      <c r="D787" s="711"/>
      <c r="E787" s="750" t="s">
        <v>184</v>
      </c>
      <c r="F787" s="750"/>
      <c r="G787" s="596"/>
      <c r="H787" s="165" t="s">
        <v>12</v>
      </c>
      <c r="I787" s="610"/>
      <c r="J787" s="610"/>
      <c r="K787" s="93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597"/>
      <c r="R787" s="597"/>
      <c r="S787" s="597"/>
      <c r="T787" s="597"/>
      <c r="U787" s="597"/>
      <c r="V787" s="597"/>
      <c r="W787" s="597"/>
      <c r="X787" s="597"/>
      <c r="Y787" s="597"/>
      <c r="Z787" s="597"/>
    </row>
    <row r="788" spans="1:26" ht="18.75" hidden="1">
      <c r="A788" s="592"/>
      <c r="B788" s="600"/>
      <c r="C788" s="600"/>
      <c r="D788" s="609"/>
      <c r="E788" s="750" t="s">
        <v>185</v>
      </c>
      <c r="F788" s="750"/>
      <c r="G788" s="596"/>
      <c r="H788" s="165" t="s">
        <v>12</v>
      </c>
      <c r="I788" s="610"/>
      <c r="J788" s="610"/>
      <c r="K788" s="93"/>
      <c r="L788" s="93">
        <f t="shared" ca="1" si="322"/>
        <v>0</v>
      </c>
      <c r="M788" s="93">
        <f t="shared" si="322"/>
        <v>0</v>
      </c>
      <c r="N788" s="93">
        <f t="shared" si="322"/>
        <v>0</v>
      </c>
      <c r="O788" s="93">
        <f t="shared" ca="1" si="320"/>
        <v>0</v>
      </c>
      <c r="P788" s="93">
        <f t="shared" si="321"/>
        <v>0</v>
      </c>
      <c r="Q788" s="597"/>
      <c r="R788" s="597"/>
      <c r="S788" s="597"/>
      <c r="T788" s="597"/>
      <c r="U788" s="597"/>
      <c r="V788" s="597"/>
      <c r="W788" s="597"/>
      <c r="X788" s="597"/>
      <c r="Y788" s="597"/>
      <c r="Z788" s="597"/>
    </row>
    <row r="789" spans="1:26" ht="18.75" hidden="1">
      <c r="A789" s="590"/>
      <c r="B789" s="568"/>
      <c r="C789" s="568"/>
      <c r="D789" s="599" t="s">
        <v>20</v>
      </c>
      <c r="E789" s="754"/>
      <c r="F789" s="754"/>
      <c r="G789" s="189"/>
      <c r="H789" s="161" t="s">
        <v>12</v>
      </c>
      <c r="I789" s="184"/>
      <c r="J789" s="184"/>
      <c r="K789" s="163"/>
      <c r="L789" s="496">
        <f t="shared" ref="L789:N789" ca="1" si="323">L790+L791</f>
        <v>0</v>
      </c>
      <c r="M789" s="496">
        <f t="shared" si="323"/>
        <v>0</v>
      </c>
      <c r="N789" s="496">
        <f t="shared" si="323"/>
        <v>0</v>
      </c>
      <c r="O789" s="496">
        <f t="shared" ca="1" si="320"/>
        <v>0</v>
      </c>
      <c r="P789" s="496">
        <f t="shared" si="321"/>
        <v>0</v>
      </c>
      <c r="Q789" s="571"/>
      <c r="R789" s="571"/>
      <c r="S789" s="571"/>
      <c r="T789" s="571"/>
      <c r="U789" s="571"/>
      <c r="V789" s="571"/>
      <c r="W789" s="571"/>
      <c r="X789" s="571"/>
      <c r="Y789" s="571"/>
      <c r="Z789" s="571"/>
    </row>
    <row r="790" spans="1:26" ht="18.75" hidden="1">
      <c r="A790" s="592"/>
      <c r="B790" s="600"/>
      <c r="C790" s="600"/>
      <c r="D790" s="609"/>
      <c r="E790" s="750" t="s">
        <v>184</v>
      </c>
      <c r="F790" s="750"/>
      <c r="G790" s="596"/>
      <c r="H790" s="165" t="s">
        <v>12</v>
      </c>
      <c r="I790" s="610"/>
      <c r="J790" s="610"/>
      <c r="K790" s="93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597"/>
      <c r="R790" s="597"/>
      <c r="S790" s="597"/>
      <c r="T790" s="597"/>
      <c r="U790" s="597"/>
      <c r="V790" s="597"/>
      <c r="W790" s="597"/>
      <c r="X790" s="597"/>
      <c r="Y790" s="597"/>
      <c r="Z790" s="597"/>
    </row>
    <row r="791" spans="1:26" ht="18.75" hidden="1">
      <c r="A791" s="592"/>
      <c r="B791" s="600"/>
      <c r="C791" s="600"/>
      <c r="D791" s="609"/>
      <c r="E791" s="750" t="s">
        <v>185</v>
      </c>
      <c r="F791" s="750"/>
      <c r="G791" s="596"/>
      <c r="H791" s="165" t="s">
        <v>12</v>
      </c>
      <c r="I791" s="610"/>
      <c r="J791" s="610"/>
      <c r="K791" s="93"/>
      <c r="L791" s="93">
        <f ca="1">IFERROR(__xludf.DUMMYFUNCTION("IMPORTRANGE(""https://docs.google.com/spreadsheets/d/1QqKyyYR6Q21VydFLVH3TRQUabQu_ym0Zz7PgGX0-kHA/edit?usp=sharing"",""แผน!JJ66"")"),0)</f>
        <v>0</v>
      </c>
      <c r="M791" s="93">
        <v>0</v>
      </c>
      <c r="N791" s="93">
        <f>N792+N793+N794+N795</f>
        <v>0</v>
      </c>
      <c r="O791" s="93">
        <f t="shared" ca="1" si="320"/>
        <v>0</v>
      </c>
      <c r="P791" s="93">
        <f t="shared" si="321"/>
        <v>0</v>
      </c>
      <c r="Q791" s="597"/>
      <c r="R791" s="597"/>
      <c r="S791" s="597"/>
      <c r="T791" s="597"/>
      <c r="U791" s="597"/>
      <c r="V791" s="597"/>
      <c r="W791" s="597"/>
      <c r="X791" s="597"/>
      <c r="Y791" s="597"/>
      <c r="Z791" s="597"/>
    </row>
    <row r="792" spans="1:26" ht="18.75" hidden="1">
      <c r="A792" s="567"/>
      <c r="B792" s="568"/>
      <c r="C792" s="754"/>
      <c r="D792" s="754"/>
      <c r="E792" s="754"/>
      <c r="F792" s="754" t="s">
        <v>186</v>
      </c>
      <c r="G792" s="189"/>
      <c r="H792" s="161" t="s">
        <v>12</v>
      </c>
      <c r="I792" s="269"/>
      <c r="J792" s="269"/>
      <c r="K792" s="496"/>
      <c r="L792" s="496"/>
      <c r="M792" s="496"/>
      <c r="N792" s="817">
        <v>0</v>
      </c>
      <c r="O792" s="496"/>
      <c r="P792" s="496"/>
      <c r="Q792" s="571"/>
      <c r="R792" s="571"/>
      <c r="S792" s="571"/>
      <c r="T792" s="571"/>
      <c r="U792" s="571"/>
      <c r="V792" s="571"/>
      <c r="W792" s="571"/>
      <c r="X792" s="571"/>
      <c r="Y792" s="571"/>
      <c r="Z792" s="571"/>
    </row>
    <row r="793" spans="1:26" ht="18.75" hidden="1">
      <c r="A793" s="567"/>
      <c r="B793" s="568"/>
      <c r="C793" s="754"/>
      <c r="D793" s="754"/>
      <c r="E793" s="754"/>
      <c r="F793" s="754" t="s">
        <v>187</v>
      </c>
      <c r="G793" s="189"/>
      <c r="H793" s="161" t="s">
        <v>12</v>
      </c>
      <c r="I793" s="269"/>
      <c r="J793" s="269"/>
      <c r="K793" s="496"/>
      <c r="L793" s="496"/>
      <c r="M793" s="496"/>
      <c r="N793" s="817">
        <v>0</v>
      </c>
      <c r="O793" s="496"/>
      <c r="P793" s="496"/>
      <c r="Q793" s="571"/>
      <c r="R793" s="571"/>
      <c r="S793" s="571"/>
      <c r="T793" s="571"/>
      <c r="U793" s="571"/>
      <c r="V793" s="571"/>
      <c r="W793" s="571"/>
      <c r="X793" s="571"/>
      <c r="Y793" s="571"/>
      <c r="Z793" s="571"/>
    </row>
    <row r="794" spans="1:26" ht="18.75" hidden="1">
      <c r="A794" s="567"/>
      <c r="B794" s="568"/>
      <c r="C794" s="754"/>
      <c r="D794" s="754"/>
      <c r="E794" s="754"/>
      <c r="F794" s="754" t="s">
        <v>188</v>
      </c>
      <c r="G794" s="189"/>
      <c r="H794" s="161" t="s">
        <v>12</v>
      </c>
      <c r="I794" s="269"/>
      <c r="J794" s="269"/>
      <c r="K794" s="496"/>
      <c r="L794" s="496"/>
      <c r="M794" s="496"/>
      <c r="N794" s="817">
        <v>0</v>
      </c>
      <c r="O794" s="496"/>
      <c r="P794" s="496"/>
      <c r="Q794" s="571"/>
      <c r="R794" s="571"/>
      <c r="S794" s="571"/>
      <c r="T794" s="571"/>
      <c r="U794" s="571"/>
      <c r="V794" s="571"/>
      <c r="W794" s="571"/>
      <c r="X794" s="571"/>
      <c r="Y794" s="571"/>
      <c r="Z794" s="571"/>
    </row>
    <row r="795" spans="1:26" ht="18.75" hidden="1">
      <c r="A795" s="567"/>
      <c r="B795" s="568"/>
      <c r="C795" s="754"/>
      <c r="D795" s="754"/>
      <c r="E795" s="754"/>
      <c r="F795" s="754" t="s">
        <v>189</v>
      </c>
      <c r="G795" s="189"/>
      <c r="H795" s="161" t="s">
        <v>12</v>
      </c>
      <c r="I795" s="269"/>
      <c r="J795" s="269"/>
      <c r="K795" s="496"/>
      <c r="L795" s="496"/>
      <c r="M795" s="496"/>
      <c r="N795" s="817">
        <v>0</v>
      </c>
      <c r="O795" s="496"/>
      <c r="P795" s="496"/>
      <c r="Q795" s="571"/>
      <c r="R795" s="571"/>
      <c r="S795" s="571"/>
      <c r="T795" s="571"/>
      <c r="U795" s="571"/>
      <c r="V795" s="571"/>
      <c r="W795" s="571"/>
      <c r="X795" s="571"/>
      <c r="Y795" s="571"/>
      <c r="Z795" s="571"/>
    </row>
    <row r="796" spans="1:26" ht="18.75" hidden="1">
      <c r="A796" s="590"/>
      <c r="B796" s="568"/>
      <c r="C796" s="754"/>
      <c r="D796" s="599" t="s">
        <v>21</v>
      </c>
      <c r="E796" s="754"/>
      <c r="F796" s="754"/>
      <c r="G796" s="189"/>
      <c r="H796" s="168" t="s">
        <v>12</v>
      </c>
      <c r="I796" s="184"/>
      <c r="J796" s="184"/>
      <c r="K796" s="163"/>
      <c r="L796" s="496">
        <f t="shared" ref="L796:N796" si="324">L797+L798</f>
        <v>0</v>
      </c>
      <c r="M796" s="496">
        <f t="shared" si="324"/>
        <v>0</v>
      </c>
      <c r="N796" s="496">
        <f t="shared" si="324"/>
        <v>0</v>
      </c>
      <c r="O796" s="496">
        <f t="shared" ref="O796:O798" si="325">IF(L796&gt;0,N796*100/L796,0)</f>
        <v>0</v>
      </c>
      <c r="P796" s="496">
        <f t="shared" ref="P796:P798" si="326">IF(M796&gt;0,N796*100/M796,0)</f>
        <v>0</v>
      </c>
      <c r="Q796" s="571"/>
      <c r="R796" s="571"/>
      <c r="S796" s="571"/>
      <c r="T796" s="571"/>
      <c r="U796" s="571"/>
      <c r="V796" s="571"/>
      <c r="W796" s="571"/>
      <c r="X796" s="571"/>
      <c r="Y796" s="571"/>
      <c r="Z796" s="571"/>
    </row>
    <row r="797" spans="1:26" ht="18.75" hidden="1">
      <c r="A797" s="592"/>
      <c r="B797" s="600"/>
      <c r="C797" s="750"/>
      <c r="D797" s="750"/>
      <c r="E797" s="750" t="s">
        <v>18</v>
      </c>
      <c r="F797" s="750"/>
      <c r="G797" s="596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597"/>
      <c r="R797" s="597"/>
      <c r="S797" s="597"/>
      <c r="T797" s="597"/>
      <c r="U797" s="597"/>
      <c r="V797" s="597"/>
      <c r="W797" s="597"/>
      <c r="X797" s="597"/>
      <c r="Y797" s="597"/>
      <c r="Z797" s="597"/>
    </row>
    <row r="798" spans="1:26" ht="18.75" hidden="1">
      <c r="A798" s="592"/>
      <c r="B798" s="600"/>
      <c r="C798" s="750"/>
      <c r="D798" s="750"/>
      <c r="E798" s="750" t="s">
        <v>19</v>
      </c>
      <c r="F798" s="750"/>
      <c r="G798" s="596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597"/>
      <c r="R798" s="597"/>
      <c r="S798" s="597"/>
      <c r="T798" s="597"/>
      <c r="U798" s="597"/>
      <c r="V798" s="597"/>
      <c r="W798" s="597"/>
      <c r="X798" s="597"/>
      <c r="Y798" s="597"/>
      <c r="Z798" s="597"/>
    </row>
    <row r="799" spans="1:26" ht="19.5" hidden="1">
      <c r="A799" s="601"/>
      <c r="B799" s="611"/>
      <c r="C799" s="754" t="s">
        <v>16</v>
      </c>
      <c r="D799" s="840" t="s">
        <v>38</v>
      </c>
      <c r="E799" s="752"/>
      <c r="F799" s="752"/>
      <c r="G799" s="606"/>
      <c r="H799" s="802"/>
      <c r="I799" s="184"/>
      <c r="J799" s="184"/>
      <c r="K799" s="163"/>
      <c r="L799" s="163"/>
      <c r="M799" s="163"/>
      <c r="N799" s="163"/>
      <c r="O799" s="163"/>
      <c r="P799" s="163"/>
      <c r="Q799" s="571"/>
      <c r="R799" s="571"/>
      <c r="S799" s="571"/>
      <c r="T799" s="571"/>
      <c r="U799" s="571"/>
      <c r="V799" s="571"/>
      <c r="W799" s="571"/>
      <c r="X799" s="571"/>
      <c r="Y799" s="571"/>
      <c r="Z799" s="571"/>
    </row>
    <row r="800" spans="1:26" ht="18.75" hidden="1">
      <c r="A800" s="601"/>
      <c r="B800" s="611"/>
      <c r="C800" s="611"/>
      <c r="D800" s="611"/>
      <c r="E800" s="619"/>
      <c r="F800" s="619" t="s">
        <v>320</v>
      </c>
      <c r="G800" s="753"/>
      <c r="H800" s="185" t="s">
        <v>46</v>
      </c>
      <c r="I800" s="184">
        <f ca="1">IFERROR(__xludf.DUMMYFUNCTION("IMPORTRANGE(""https://docs.google.com/spreadsheets/d/1QqKyyYR6Q21VydFLVH3TRQUabQu_ym0Zz7PgGX0-kHA/edit?usp=sharing"",""แผน!JN66"")"),0)</f>
        <v>0</v>
      </c>
      <c r="J800" s="184">
        <f ca="1">IFERROR(__xludf.DUMMYFUNCTION("IMPORTRANGE(""https://docs.google.com/spreadsheets/d/1MaWodYyGHDf7siQLGxnXhG4mBNTNIuy296niS2xXulU/edit?usp=sharing"",""RTK!H66"")"),0)</f>
        <v>0</v>
      </c>
      <c r="K800" s="496">
        <f ca="1">IF(I800&gt;0,J800*100/I800,0)</f>
        <v>0</v>
      </c>
      <c r="L800" s="496"/>
      <c r="M800" s="496"/>
      <c r="N800" s="496"/>
      <c r="O800" s="163"/>
      <c r="P800" s="163"/>
      <c r="Q800" s="571"/>
      <c r="R800" s="571"/>
      <c r="S800" s="571"/>
      <c r="T800" s="571"/>
      <c r="U800" s="571"/>
      <c r="V800" s="571"/>
      <c r="W800" s="571"/>
      <c r="X800" s="571"/>
      <c r="Y800" s="571"/>
      <c r="Z800" s="571"/>
    </row>
    <row r="801" spans="1:26" ht="18.75" hidden="1">
      <c r="A801" s="601"/>
      <c r="B801" s="611"/>
      <c r="C801" s="611"/>
      <c r="D801" s="611"/>
      <c r="E801" s="619"/>
      <c r="F801" s="619"/>
      <c r="G801" s="753"/>
      <c r="H801" s="161" t="s">
        <v>34</v>
      </c>
      <c r="I801" s="184"/>
      <c r="J801" s="269">
        <f ca="1">IFERROR(__xludf.DUMMYFUNCTION("IMPORTRANGE(""https://docs.google.com/spreadsheets/d/1MaWodYyGHDf7siQLGxnXhG4mBNTNIuy296niS2xXulU/edit?usp=sharing"",""RTK!I66"")"),0)</f>
        <v>0</v>
      </c>
      <c r="K801" s="496"/>
      <c r="L801" s="496"/>
      <c r="M801" s="496"/>
      <c r="N801" s="496"/>
      <c r="O801" s="163"/>
      <c r="P801" s="163"/>
      <c r="Q801" s="571"/>
      <c r="R801" s="571"/>
      <c r="S801" s="571"/>
      <c r="T801" s="571"/>
      <c r="U801" s="571"/>
      <c r="V801" s="571"/>
      <c r="W801" s="571"/>
      <c r="X801" s="571"/>
      <c r="Y801" s="571"/>
      <c r="Z801" s="571"/>
    </row>
    <row r="802" spans="1:26" ht="18.75" hidden="1">
      <c r="A802" s="607"/>
      <c r="B802" s="609"/>
      <c r="C802" s="609"/>
      <c r="D802" s="609"/>
      <c r="E802" s="711"/>
      <c r="F802" s="711" t="s">
        <v>321</v>
      </c>
      <c r="G802" s="365"/>
      <c r="H802" s="646" t="s">
        <v>46</v>
      </c>
      <c r="I802" s="166"/>
      <c r="J802" s="610"/>
      <c r="K802" s="167">
        <f>IF(I802&gt;0,J802*100/I802,0)</f>
        <v>0</v>
      </c>
      <c r="L802" s="167"/>
      <c r="M802" s="167"/>
      <c r="N802" s="167"/>
      <c r="O802" s="167"/>
      <c r="P802" s="167"/>
      <c r="Q802" s="597"/>
      <c r="R802" s="597"/>
      <c r="S802" s="597"/>
      <c r="T802" s="597"/>
      <c r="U802" s="597"/>
      <c r="V802" s="597"/>
      <c r="W802" s="597"/>
      <c r="X802" s="597"/>
      <c r="Y802" s="597"/>
      <c r="Z802" s="597"/>
    </row>
    <row r="803" spans="1:26" ht="18.75" hidden="1">
      <c r="A803" s="607"/>
      <c r="B803" s="609"/>
      <c r="C803" s="609"/>
      <c r="D803" s="609"/>
      <c r="E803" s="711"/>
      <c r="F803" s="711"/>
      <c r="G803" s="365"/>
      <c r="H803" s="646" t="s">
        <v>34</v>
      </c>
      <c r="I803" s="166"/>
      <c r="J803" s="610"/>
      <c r="K803" s="167"/>
      <c r="L803" s="167"/>
      <c r="M803" s="167"/>
      <c r="N803" s="167"/>
      <c r="O803" s="167"/>
      <c r="P803" s="167"/>
      <c r="Q803" s="597"/>
      <c r="R803" s="597"/>
      <c r="S803" s="597"/>
      <c r="T803" s="597"/>
      <c r="U803" s="597"/>
      <c r="V803" s="597"/>
      <c r="W803" s="597"/>
      <c r="X803" s="597"/>
      <c r="Y803" s="597"/>
      <c r="Z803" s="597"/>
    </row>
    <row r="804" spans="1:26" ht="19.5" hidden="1">
      <c r="A804" s="784">
        <v>13</v>
      </c>
      <c r="B804" s="785" t="s">
        <v>322</v>
      </c>
      <c r="C804" s="786"/>
      <c r="D804" s="803"/>
      <c r="E804" s="786"/>
      <c r="F804" s="786"/>
      <c r="G804" s="787"/>
      <c r="H804" s="788" t="s">
        <v>46</v>
      </c>
      <c r="I804" s="789"/>
      <c r="J804" s="789">
        <f>J819</f>
        <v>0</v>
      </c>
      <c r="K804" s="790">
        <f>IF(I804&gt;0,J804*100/I804,0)</f>
        <v>0</v>
      </c>
      <c r="L804" s="791"/>
      <c r="M804" s="791"/>
      <c r="N804" s="791"/>
      <c r="O804" s="791"/>
      <c r="P804" s="791"/>
      <c r="Q804" s="597"/>
      <c r="R804" s="597"/>
      <c r="S804" s="597"/>
      <c r="T804" s="597"/>
      <c r="U804" s="597"/>
      <c r="V804" s="597"/>
      <c r="W804" s="597"/>
      <c r="X804" s="597"/>
      <c r="Y804" s="597"/>
      <c r="Z804" s="597"/>
    </row>
    <row r="805" spans="1:26" ht="19.5" hidden="1">
      <c r="A805" s="592"/>
      <c r="B805" s="750"/>
      <c r="C805" s="750" t="s">
        <v>16</v>
      </c>
      <c r="D805" s="864" t="s">
        <v>17</v>
      </c>
      <c r="E805" s="857"/>
      <c r="F805" s="857"/>
      <c r="G805" s="596"/>
      <c r="H805" s="639" t="s">
        <v>12</v>
      </c>
      <c r="I805" s="610"/>
      <c r="J805" s="610"/>
      <c r="K805" s="93"/>
      <c r="L805" s="640">
        <f t="shared" ref="L805:N805" si="327">L806+L807</f>
        <v>0</v>
      </c>
      <c r="M805" s="640">
        <f t="shared" si="327"/>
        <v>0</v>
      </c>
      <c r="N805" s="640">
        <f t="shared" si="327"/>
        <v>0</v>
      </c>
      <c r="O805" s="640">
        <f t="shared" ref="O805:O810" si="328">IF(L805&gt;0,N805*100/L805,0)</f>
        <v>0</v>
      </c>
      <c r="P805" s="640">
        <f t="shared" ref="P805:P810" si="329">IF(M805&gt;0,N805*100/M805,0)</f>
        <v>0</v>
      </c>
      <c r="Q805" s="597"/>
      <c r="R805" s="597"/>
      <c r="S805" s="597"/>
      <c r="T805" s="597"/>
      <c r="U805" s="597"/>
      <c r="V805" s="597"/>
      <c r="W805" s="597"/>
      <c r="X805" s="597"/>
      <c r="Y805" s="597"/>
      <c r="Z805" s="597"/>
    </row>
    <row r="806" spans="1:26" ht="18.75" hidden="1">
      <c r="A806" s="592"/>
      <c r="B806" s="750"/>
      <c r="C806" s="750"/>
      <c r="D806" s="609"/>
      <c r="E806" s="750" t="s">
        <v>184</v>
      </c>
      <c r="F806" s="750"/>
      <c r="G806" s="596"/>
      <c r="H806" s="165" t="s">
        <v>12</v>
      </c>
      <c r="I806" s="610"/>
      <c r="J806" s="610"/>
      <c r="K806" s="93"/>
      <c r="L806" s="93">
        <f t="shared" ref="L806:N807" si="330">L809+L816</f>
        <v>0</v>
      </c>
      <c r="M806" s="93">
        <f t="shared" si="330"/>
        <v>0</v>
      </c>
      <c r="N806" s="93">
        <f t="shared" si="330"/>
        <v>0</v>
      </c>
      <c r="O806" s="93">
        <f t="shared" si="328"/>
        <v>0</v>
      </c>
      <c r="P806" s="93">
        <f t="shared" si="329"/>
        <v>0</v>
      </c>
      <c r="Q806" s="597"/>
      <c r="R806" s="597"/>
      <c r="S806" s="597"/>
      <c r="T806" s="597"/>
      <c r="U806" s="597"/>
      <c r="V806" s="597"/>
      <c r="W806" s="597"/>
      <c r="X806" s="597"/>
      <c r="Y806" s="597"/>
      <c r="Z806" s="597"/>
    </row>
    <row r="807" spans="1:26" ht="18.75" hidden="1">
      <c r="A807" s="592"/>
      <c r="B807" s="750"/>
      <c r="C807" s="750"/>
      <c r="D807" s="609"/>
      <c r="E807" s="750" t="s">
        <v>185</v>
      </c>
      <c r="F807" s="750"/>
      <c r="G807" s="596"/>
      <c r="H807" s="165" t="s">
        <v>12</v>
      </c>
      <c r="I807" s="610"/>
      <c r="J807" s="610"/>
      <c r="K807" s="93"/>
      <c r="L807" s="93">
        <f t="shared" si="330"/>
        <v>0</v>
      </c>
      <c r="M807" s="93">
        <f t="shared" si="330"/>
        <v>0</v>
      </c>
      <c r="N807" s="93">
        <f t="shared" si="330"/>
        <v>0</v>
      </c>
      <c r="O807" s="93">
        <f t="shared" si="328"/>
        <v>0</v>
      </c>
      <c r="P807" s="93">
        <f t="shared" si="329"/>
        <v>0</v>
      </c>
      <c r="Q807" s="597"/>
      <c r="R807" s="597"/>
      <c r="S807" s="597"/>
      <c r="T807" s="597"/>
      <c r="U807" s="597"/>
      <c r="V807" s="597"/>
      <c r="W807" s="597"/>
      <c r="X807" s="597"/>
      <c r="Y807" s="597"/>
      <c r="Z807" s="597"/>
    </row>
    <row r="808" spans="1:26" ht="19.5" hidden="1">
      <c r="A808" s="592"/>
      <c r="B808" s="600"/>
      <c r="C808" s="750"/>
      <c r="D808" s="869" t="s">
        <v>20</v>
      </c>
      <c r="E808" s="857"/>
      <c r="F808" s="857"/>
      <c r="G808" s="596"/>
      <c r="H808" s="639" t="s">
        <v>12</v>
      </c>
      <c r="I808" s="166"/>
      <c r="J808" s="166"/>
      <c r="K808" s="167"/>
      <c r="L808" s="640">
        <f t="shared" ref="L808:N808" si="331">L809+L810</f>
        <v>0</v>
      </c>
      <c r="M808" s="640">
        <f t="shared" si="331"/>
        <v>0</v>
      </c>
      <c r="N808" s="640">
        <f t="shared" si="331"/>
        <v>0</v>
      </c>
      <c r="O808" s="640">
        <f t="shared" si="328"/>
        <v>0</v>
      </c>
      <c r="P808" s="640">
        <f t="shared" si="329"/>
        <v>0</v>
      </c>
      <c r="Q808" s="597"/>
      <c r="R808" s="597"/>
      <c r="S808" s="597"/>
      <c r="T808" s="597"/>
      <c r="U808" s="597"/>
      <c r="V808" s="597"/>
      <c r="W808" s="597"/>
      <c r="X808" s="597"/>
      <c r="Y808" s="597"/>
      <c r="Z808" s="597"/>
    </row>
    <row r="809" spans="1:26" ht="18.75" hidden="1">
      <c r="A809" s="592"/>
      <c r="B809" s="750"/>
      <c r="C809" s="750"/>
      <c r="D809" s="609"/>
      <c r="E809" s="750" t="s">
        <v>184</v>
      </c>
      <c r="F809" s="750"/>
      <c r="G809" s="596"/>
      <c r="H809" s="165" t="s">
        <v>12</v>
      </c>
      <c r="I809" s="610"/>
      <c r="J809" s="610"/>
      <c r="K809" s="93"/>
      <c r="L809" s="93">
        <v>0</v>
      </c>
      <c r="M809" s="93">
        <v>0</v>
      </c>
      <c r="N809" s="93">
        <v>0</v>
      </c>
      <c r="O809" s="93">
        <f t="shared" si="328"/>
        <v>0</v>
      </c>
      <c r="P809" s="93">
        <f t="shared" si="329"/>
        <v>0</v>
      </c>
      <c r="Q809" s="597"/>
      <c r="R809" s="597"/>
      <c r="S809" s="597"/>
      <c r="T809" s="597"/>
      <c r="U809" s="597"/>
      <c r="V809" s="597"/>
      <c r="W809" s="597"/>
      <c r="X809" s="597"/>
      <c r="Y809" s="597"/>
      <c r="Z809" s="597"/>
    </row>
    <row r="810" spans="1:26" ht="18.75" hidden="1">
      <c r="A810" s="592"/>
      <c r="B810" s="750"/>
      <c r="C810" s="750"/>
      <c r="D810" s="609"/>
      <c r="E810" s="750" t="s">
        <v>185</v>
      </c>
      <c r="F810" s="750"/>
      <c r="G810" s="596"/>
      <c r="H810" s="165" t="s">
        <v>12</v>
      </c>
      <c r="I810" s="610"/>
      <c r="J810" s="610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8"/>
        <v>0</v>
      </c>
      <c r="P810" s="93">
        <f t="shared" si="329"/>
        <v>0</v>
      </c>
      <c r="Q810" s="597"/>
      <c r="R810" s="597"/>
      <c r="S810" s="597"/>
      <c r="T810" s="597"/>
      <c r="U810" s="597"/>
      <c r="V810" s="597"/>
      <c r="W810" s="597"/>
      <c r="X810" s="597"/>
      <c r="Y810" s="597"/>
      <c r="Z810" s="597"/>
    </row>
    <row r="811" spans="1:26" ht="18.75" hidden="1">
      <c r="A811" s="642"/>
      <c r="B811" s="600"/>
      <c r="C811" s="750"/>
      <c r="D811" s="600"/>
      <c r="E811" s="750"/>
      <c r="F811" s="750" t="s">
        <v>186</v>
      </c>
      <c r="G811" s="596"/>
      <c r="H811" s="165" t="s">
        <v>12</v>
      </c>
      <c r="I811" s="610"/>
      <c r="J811" s="610"/>
      <c r="K811" s="93"/>
      <c r="L811" s="93"/>
      <c r="M811" s="93"/>
      <c r="N811" s="93"/>
      <c r="O811" s="93"/>
      <c r="P811" s="93"/>
      <c r="Q811" s="597"/>
      <c r="R811" s="597"/>
      <c r="S811" s="597"/>
      <c r="T811" s="597"/>
      <c r="U811" s="597"/>
      <c r="V811" s="597"/>
      <c r="W811" s="597"/>
      <c r="X811" s="597"/>
      <c r="Y811" s="597"/>
      <c r="Z811" s="597"/>
    </row>
    <row r="812" spans="1:26" ht="18.75" hidden="1">
      <c r="A812" s="642"/>
      <c r="B812" s="600"/>
      <c r="C812" s="750"/>
      <c r="D812" s="600"/>
      <c r="E812" s="750"/>
      <c r="F812" s="750" t="s">
        <v>187</v>
      </c>
      <c r="G812" s="596"/>
      <c r="H812" s="165" t="s">
        <v>12</v>
      </c>
      <c r="I812" s="610"/>
      <c r="J812" s="610"/>
      <c r="K812" s="93"/>
      <c r="L812" s="93"/>
      <c r="M812" s="93"/>
      <c r="N812" s="93"/>
      <c r="O812" s="93"/>
      <c r="P812" s="93"/>
      <c r="Q812" s="597"/>
      <c r="R812" s="597"/>
      <c r="S812" s="597"/>
      <c r="T812" s="597"/>
      <c r="U812" s="597"/>
      <c r="V812" s="597"/>
      <c r="W812" s="597"/>
      <c r="X812" s="597"/>
      <c r="Y812" s="597"/>
      <c r="Z812" s="597"/>
    </row>
    <row r="813" spans="1:26" ht="18.75" hidden="1">
      <c r="A813" s="642"/>
      <c r="B813" s="600"/>
      <c r="C813" s="750"/>
      <c r="D813" s="600"/>
      <c r="E813" s="750"/>
      <c r="F813" s="750" t="s">
        <v>188</v>
      </c>
      <c r="G813" s="596"/>
      <c r="H813" s="165" t="s">
        <v>12</v>
      </c>
      <c r="I813" s="610"/>
      <c r="J813" s="610"/>
      <c r="K813" s="93"/>
      <c r="L813" s="93"/>
      <c r="M813" s="93"/>
      <c r="N813" s="93"/>
      <c r="O813" s="93"/>
      <c r="P813" s="93"/>
      <c r="Q813" s="597"/>
      <c r="R813" s="597"/>
      <c r="S813" s="597"/>
      <c r="T813" s="597"/>
      <c r="U813" s="597"/>
      <c r="V813" s="597"/>
      <c r="W813" s="597"/>
      <c r="X813" s="597"/>
      <c r="Y813" s="597"/>
      <c r="Z813" s="597"/>
    </row>
    <row r="814" spans="1:26" ht="18.75" hidden="1">
      <c r="A814" s="642"/>
      <c r="B814" s="600"/>
      <c r="C814" s="750"/>
      <c r="D814" s="600"/>
      <c r="E814" s="750"/>
      <c r="F814" s="750" t="s">
        <v>189</v>
      </c>
      <c r="G814" s="596"/>
      <c r="H814" s="165" t="s">
        <v>12</v>
      </c>
      <c r="I814" s="610"/>
      <c r="J814" s="610"/>
      <c r="K814" s="93"/>
      <c r="L814" s="93"/>
      <c r="M814" s="93"/>
      <c r="N814" s="93"/>
      <c r="O814" s="93"/>
      <c r="P814" s="93"/>
      <c r="Q814" s="597"/>
      <c r="R814" s="597"/>
      <c r="S814" s="597"/>
      <c r="T814" s="597"/>
      <c r="U814" s="597"/>
      <c r="V814" s="597"/>
      <c r="W814" s="597"/>
      <c r="X814" s="597"/>
      <c r="Y814" s="597"/>
      <c r="Z814" s="597"/>
    </row>
    <row r="815" spans="1:26" ht="19.5" hidden="1">
      <c r="A815" s="592"/>
      <c r="B815" s="600"/>
      <c r="C815" s="750"/>
      <c r="D815" s="869" t="s">
        <v>21</v>
      </c>
      <c r="E815" s="857"/>
      <c r="F815" s="857"/>
      <c r="G815" s="596"/>
      <c r="H815" s="774" t="s">
        <v>12</v>
      </c>
      <c r="I815" s="166"/>
      <c r="J815" s="166"/>
      <c r="K815" s="167"/>
      <c r="L815" s="640">
        <f t="shared" ref="L815:N815" si="332">L816+L817</f>
        <v>0</v>
      </c>
      <c r="M815" s="640">
        <f t="shared" si="332"/>
        <v>0</v>
      </c>
      <c r="N815" s="640">
        <f t="shared" si="332"/>
        <v>0</v>
      </c>
      <c r="O815" s="640">
        <f t="shared" ref="O815:O817" si="333">IF(L815&gt;0,N815*100/L815,0)</f>
        <v>0</v>
      </c>
      <c r="P815" s="640">
        <f t="shared" ref="P815:P817" si="334">IF(M815&gt;0,N815*100/M815,0)</f>
        <v>0</v>
      </c>
      <c r="Q815" s="597"/>
      <c r="R815" s="597"/>
      <c r="S815" s="597"/>
      <c r="T815" s="597"/>
      <c r="U815" s="597"/>
      <c r="V815" s="597"/>
      <c r="W815" s="597"/>
      <c r="X815" s="597"/>
      <c r="Y815" s="597"/>
      <c r="Z815" s="597"/>
    </row>
    <row r="816" spans="1:26" ht="18.75" hidden="1">
      <c r="A816" s="592"/>
      <c r="B816" s="600"/>
      <c r="C816" s="750"/>
      <c r="D816" s="600"/>
      <c r="E816" s="750" t="s">
        <v>18</v>
      </c>
      <c r="F816" s="750"/>
      <c r="G816" s="596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3"/>
        <v>0</v>
      </c>
      <c r="P816" s="93">
        <f t="shared" si="334"/>
        <v>0</v>
      </c>
      <c r="Q816" s="597"/>
      <c r="R816" s="597"/>
      <c r="S816" s="597"/>
      <c r="T816" s="597"/>
      <c r="U816" s="597"/>
      <c r="V816" s="597"/>
      <c r="W816" s="597"/>
      <c r="X816" s="597"/>
      <c r="Y816" s="597"/>
      <c r="Z816" s="597"/>
    </row>
    <row r="817" spans="1:26" ht="18.75" hidden="1">
      <c r="A817" s="592"/>
      <c r="B817" s="600"/>
      <c r="C817" s="750"/>
      <c r="D817" s="600"/>
      <c r="E817" s="750" t="s">
        <v>19</v>
      </c>
      <c r="F817" s="750"/>
      <c r="G817" s="596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3"/>
        <v>0</v>
      </c>
      <c r="P817" s="93">
        <f t="shared" si="334"/>
        <v>0</v>
      </c>
      <c r="Q817" s="597"/>
      <c r="R817" s="597"/>
      <c r="S817" s="597"/>
      <c r="T817" s="597"/>
      <c r="U817" s="597"/>
      <c r="V817" s="597"/>
      <c r="W817" s="597"/>
      <c r="X817" s="597"/>
      <c r="Y817" s="597"/>
      <c r="Z817" s="597"/>
    </row>
    <row r="818" spans="1:26" ht="19.5" hidden="1">
      <c r="A818" s="607"/>
      <c r="B818" s="609"/>
      <c r="C818" s="750" t="s">
        <v>16</v>
      </c>
      <c r="D818" s="842" t="s">
        <v>38</v>
      </c>
      <c r="E818" s="644"/>
      <c r="F818" s="644"/>
      <c r="G818" s="645"/>
      <c r="H818" s="365"/>
      <c r="I818" s="166"/>
      <c r="J818" s="166"/>
      <c r="K818" s="167"/>
      <c r="L818" s="167"/>
      <c r="M818" s="167"/>
      <c r="N818" s="167"/>
      <c r="O818" s="167"/>
      <c r="P818" s="167"/>
      <c r="Q818" s="597"/>
      <c r="R818" s="597"/>
      <c r="S818" s="597"/>
      <c r="T818" s="597"/>
      <c r="U818" s="597"/>
      <c r="V818" s="597"/>
      <c r="W818" s="597"/>
      <c r="X818" s="597"/>
      <c r="Y818" s="597"/>
      <c r="Z818" s="597"/>
    </row>
    <row r="819" spans="1:26" ht="19.5" hidden="1" thickBot="1">
      <c r="A819" s="805"/>
      <c r="B819" s="806"/>
      <c r="C819" s="808"/>
      <c r="D819" s="806"/>
      <c r="E819" s="808" t="s">
        <v>323</v>
      </c>
      <c r="F819" s="808"/>
      <c r="G819" s="809"/>
      <c r="H819" s="810" t="s">
        <v>46</v>
      </c>
      <c r="I819" s="811"/>
      <c r="J819" s="811"/>
      <c r="K819" s="812"/>
      <c r="L819" s="812"/>
      <c r="M819" s="812"/>
      <c r="N819" s="812"/>
      <c r="O819" s="812"/>
      <c r="P819" s="812"/>
      <c r="Q819" s="597"/>
      <c r="R819" s="597"/>
      <c r="S819" s="597"/>
      <c r="T819" s="597"/>
      <c r="U819" s="597"/>
      <c r="V819" s="597"/>
      <c r="W819" s="597"/>
      <c r="X819" s="597"/>
      <c r="Y819" s="597"/>
      <c r="Z819" s="597"/>
    </row>
    <row r="820" spans="1:26" ht="19.5">
      <c r="A820" s="813" t="s">
        <v>331</v>
      </c>
      <c r="B820" s="814"/>
      <c r="C820" s="814"/>
      <c r="D820" s="815"/>
      <c r="E820" s="814"/>
      <c r="F820" s="814"/>
      <c r="G820" s="816"/>
      <c r="H820" s="816"/>
      <c r="I820" s="214"/>
      <c r="J820" s="214"/>
      <c r="K820" s="817"/>
      <c r="L820" s="817"/>
      <c r="M820" s="817"/>
      <c r="N820" s="817"/>
      <c r="O820" s="817"/>
      <c r="P820" s="817"/>
      <c r="Q820" s="571"/>
      <c r="R820" s="571"/>
      <c r="S820" s="571"/>
      <c r="T820" s="571"/>
      <c r="U820" s="571"/>
      <c r="V820" s="571"/>
      <c r="W820" s="571"/>
      <c r="X820" s="571"/>
      <c r="Y820" s="571"/>
      <c r="Z820" s="571"/>
    </row>
    <row r="821" spans="1:26" ht="18.75">
      <c r="A821" s="735"/>
      <c r="B821" s="754" t="s">
        <v>325</v>
      </c>
      <c r="C821" s="754"/>
      <c r="D821" s="568"/>
      <c r="E821" s="754"/>
      <c r="F821" s="754"/>
      <c r="G821" s="189"/>
      <c r="H821" s="616" t="s">
        <v>12</v>
      </c>
      <c r="I821" s="269">
        <f ca="1">IFERROR(__xludf.DUMMYFUNCTION("IMPORTRANGE(""https://docs.google.com/spreadsheets/d/19vJNZY_5yjcGF2XGBMNZRCAIB0Kwfpjp8YEOfu-bneM/edit?usp=sharing"",""งานกองทุน!D66"")"),2692297.69)</f>
        <v>2692297.69</v>
      </c>
      <c r="J821" s="269">
        <f ca="1">IFERROR(__xludf.DUMMYFUNCTION("IMPORTRANGE(""https://docs.google.com/spreadsheets/d/19vJNZY_5yjcGF2XGBMNZRCAIB0Kwfpjp8YEOfu-bneM/edit?usp=sharing"",""งานกองทุน!F66"")"),214115.9)</f>
        <v>214115.9</v>
      </c>
      <c r="K821" s="496">
        <f t="shared" ref="K821:K828" ca="1" si="335">IF(I821&gt;0,J821*100/I821,0)</f>
        <v>7.9529058318955812</v>
      </c>
      <c r="L821" s="496"/>
      <c r="M821" s="496"/>
      <c r="N821" s="496"/>
      <c r="O821" s="496"/>
      <c r="P821" s="496"/>
      <c r="Q821" s="571"/>
      <c r="R821" s="571"/>
      <c r="S821" s="571"/>
      <c r="T821" s="571"/>
      <c r="U821" s="571"/>
      <c r="V821" s="571"/>
      <c r="W821" s="571"/>
      <c r="X821" s="571"/>
      <c r="Y821" s="571"/>
      <c r="Z821" s="571"/>
    </row>
    <row r="822" spans="1:26" ht="18.75">
      <c r="A822" s="735"/>
      <c r="B822" s="754"/>
      <c r="C822" s="754"/>
      <c r="D822" s="568"/>
      <c r="E822" s="754"/>
      <c r="F822" s="754"/>
      <c r="G822" s="189"/>
      <c r="H822" s="616" t="s">
        <v>35</v>
      </c>
      <c r="I822" s="269">
        <f ca="1">IFERROR(__xludf.DUMMYFUNCTION("IMPORTRANGE(""https://docs.google.com/spreadsheets/d/19vJNZY_5yjcGF2XGBMNZRCAIB0Kwfpjp8YEOfu-bneM/edit?usp=sharing"",""งานกองทุน!C66"")"),163)</f>
        <v>163</v>
      </c>
      <c r="J822" s="269">
        <f ca="1">IFERROR(__xludf.DUMMYFUNCTION("IMPORTRANGE(""https://docs.google.com/spreadsheets/d/19vJNZY_5yjcGF2XGBMNZRCAIB0Kwfpjp8YEOfu-bneM/edit?usp=sharing"",""งานกองทุน!E66"")"),12)</f>
        <v>12</v>
      </c>
      <c r="K822" s="496">
        <f t="shared" ca="1" si="335"/>
        <v>7.3619631901840492</v>
      </c>
      <c r="L822" s="496"/>
      <c r="M822" s="496"/>
      <c r="N822" s="496"/>
      <c r="O822" s="496"/>
      <c r="P822" s="496"/>
      <c r="Q822" s="571"/>
      <c r="R822" s="571"/>
      <c r="S822" s="571"/>
      <c r="T822" s="571"/>
      <c r="U822" s="571"/>
      <c r="V822" s="571"/>
      <c r="W822" s="571"/>
      <c r="X822" s="571"/>
      <c r="Y822" s="571"/>
      <c r="Z822" s="571"/>
    </row>
    <row r="823" spans="1:26" ht="18.75">
      <c r="A823" s="735"/>
      <c r="B823" s="754" t="s">
        <v>326</v>
      </c>
      <c r="C823" s="754"/>
      <c r="D823" s="568"/>
      <c r="E823" s="754"/>
      <c r="F823" s="754"/>
      <c r="G823" s="189"/>
      <c r="H823" s="616" t="s">
        <v>12</v>
      </c>
      <c r="I823" s="269">
        <f ca="1">IFERROR(__xludf.DUMMYFUNCTION("IMPORTRANGE(""https://docs.google.com/spreadsheets/d/19vJNZY_5yjcGF2XGBMNZRCAIB0Kwfpjp8YEOfu-bneM/edit?usp=sharing"",""งานกองทุน!I66"")"),1177886.19)</f>
        <v>1177886.19</v>
      </c>
      <c r="J823" s="269">
        <f ca="1">IFERROR(__xludf.DUMMYFUNCTION("IMPORTRANGE(""https://docs.google.com/spreadsheets/d/19vJNZY_5yjcGF2XGBMNZRCAIB0Kwfpjp8YEOfu-bneM/edit?usp=sharing"",""งานกองทุน!K66"")"),39407.16)</f>
        <v>39407.160000000003</v>
      </c>
      <c r="K823" s="496">
        <f t="shared" ca="1" si="335"/>
        <v>3.3455829887945292</v>
      </c>
      <c r="L823" s="496"/>
      <c r="M823" s="496"/>
      <c r="N823" s="496"/>
      <c r="O823" s="496"/>
      <c r="P823" s="496"/>
      <c r="Q823" s="571"/>
      <c r="R823" s="571"/>
      <c r="S823" s="571"/>
      <c r="T823" s="571"/>
      <c r="U823" s="571"/>
      <c r="V823" s="571"/>
      <c r="W823" s="571"/>
      <c r="X823" s="571"/>
      <c r="Y823" s="571"/>
      <c r="Z823" s="571"/>
    </row>
    <row r="824" spans="1:26" ht="18.75">
      <c r="A824" s="735"/>
      <c r="B824" s="754"/>
      <c r="C824" s="754"/>
      <c r="D824" s="568"/>
      <c r="E824" s="754"/>
      <c r="F824" s="754"/>
      <c r="G824" s="189"/>
      <c r="H824" s="616" t="s">
        <v>35</v>
      </c>
      <c r="I824" s="269">
        <f ca="1">IFERROR(__xludf.DUMMYFUNCTION("IMPORTRANGE(""https://docs.google.com/spreadsheets/d/19vJNZY_5yjcGF2XGBMNZRCAIB0Kwfpjp8YEOfu-bneM/edit?usp=sharing"",""งานกองทุน!H66"")"),37)</f>
        <v>37</v>
      </c>
      <c r="J824" s="269">
        <f ca="1">IFERROR(__xludf.DUMMYFUNCTION("IMPORTRANGE(""https://docs.google.com/spreadsheets/d/19vJNZY_5yjcGF2XGBMNZRCAIB0Kwfpjp8YEOfu-bneM/edit?usp=sharing"",""งานกองทุน!J66"")"),7)</f>
        <v>7</v>
      </c>
      <c r="K824" s="496">
        <f t="shared" ca="1" si="335"/>
        <v>18.918918918918919</v>
      </c>
      <c r="L824" s="496"/>
      <c r="M824" s="496"/>
      <c r="N824" s="496"/>
      <c r="O824" s="496"/>
      <c r="P824" s="496"/>
      <c r="Q824" s="571"/>
      <c r="R824" s="571"/>
      <c r="S824" s="571"/>
      <c r="T824" s="571"/>
      <c r="U824" s="571"/>
      <c r="V824" s="571"/>
      <c r="W824" s="571"/>
      <c r="X824" s="571"/>
      <c r="Y824" s="571"/>
      <c r="Z824" s="571"/>
    </row>
    <row r="825" spans="1:26" ht="18.75">
      <c r="A825" s="735"/>
      <c r="B825" s="754" t="s">
        <v>327</v>
      </c>
      <c r="C825" s="754"/>
      <c r="D825" s="568"/>
      <c r="E825" s="754"/>
      <c r="F825" s="754"/>
      <c r="G825" s="189"/>
      <c r="H825" s="616" t="s">
        <v>12</v>
      </c>
      <c r="I825" s="269">
        <f ca="1">IFERROR(__xludf.DUMMYFUNCTION("IMPORTRANGE(""https://docs.google.com/spreadsheets/d/19vJNZY_5yjcGF2XGBMNZRCAIB0Kwfpjp8YEOfu-bneM/edit?usp=sharing"",""งานกองทุน!N66"")"),0)</f>
        <v>0</v>
      </c>
      <c r="J825" s="269">
        <f ca="1">IFERROR(__xludf.DUMMYFUNCTION("IMPORTRANGE(""https://docs.google.com/spreadsheets/d/19vJNZY_5yjcGF2XGBMNZRCAIB0Kwfpjp8YEOfu-bneM/edit?usp=sharing"",""งานกองทุน!P66"")"),0)</f>
        <v>0</v>
      </c>
      <c r="K825" s="496">
        <f t="shared" ca="1" si="335"/>
        <v>0</v>
      </c>
      <c r="L825" s="496"/>
      <c r="M825" s="496"/>
      <c r="N825" s="496"/>
      <c r="O825" s="496"/>
      <c r="P825" s="496"/>
      <c r="Q825" s="571"/>
      <c r="R825" s="571"/>
      <c r="S825" s="571"/>
      <c r="T825" s="571"/>
      <c r="U825" s="571"/>
      <c r="V825" s="571"/>
      <c r="W825" s="571"/>
      <c r="X825" s="571"/>
      <c r="Y825" s="571"/>
      <c r="Z825" s="571"/>
    </row>
    <row r="826" spans="1:26" ht="18.75">
      <c r="A826" s="735"/>
      <c r="B826" s="754"/>
      <c r="C826" s="754"/>
      <c r="D826" s="568"/>
      <c r="E826" s="754"/>
      <c r="F826" s="754"/>
      <c r="G826" s="189"/>
      <c r="H826" s="616" t="s">
        <v>35</v>
      </c>
      <c r="I826" s="269">
        <f ca="1">IFERROR(__xludf.DUMMYFUNCTION("IMPORTRANGE(""https://docs.google.com/spreadsheets/d/19vJNZY_5yjcGF2XGBMNZRCAIB0Kwfpjp8YEOfu-bneM/edit?usp=sharing"",""งานกองทุน!M66"")"),0)</f>
        <v>0</v>
      </c>
      <c r="J826" s="269">
        <f ca="1">IFERROR(__xludf.DUMMYFUNCTION("IMPORTRANGE(""https://docs.google.com/spreadsheets/d/19vJNZY_5yjcGF2XGBMNZRCAIB0Kwfpjp8YEOfu-bneM/edit?usp=sharing"",""งานกองทุน!O66"")"),0)</f>
        <v>0</v>
      </c>
      <c r="K826" s="496">
        <f t="shared" ca="1" si="335"/>
        <v>0</v>
      </c>
      <c r="L826" s="496"/>
      <c r="M826" s="496"/>
      <c r="N826" s="496"/>
      <c r="O826" s="496"/>
      <c r="P826" s="496"/>
      <c r="Q826" s="571"/>
      <c r="R826" s="571"/>
      <c r="S826" s="571"/>
      <c r="T826" s="571"/>
      <c r="U826" s="571"/>
      <c r="V826" s="571"/>
      <c r="W826" s="571"/>
      <c r="X826" s="571"/>
      <c r="Y826" s="571"/>
      <c r="Z826" s="571"/>
    </row>
    <row r="827" spans="1:26" ht="18.75">
      <c r="A827" s="735"/>
      <c r="B827" s="754" t="s">
        <v>328</v>
      </c>
      <c r="C827" s="754"/>
      <c r="D827" s="568"/>
      <c r="E827" s="754"/>
      <c r="F827" s="754"/>
      <c r="G827" s="189"/>
      <c r="H827" s="616" t="s">
        <v>12</v>
      </c>
      <c r="I827" s="269">
        <f ca="1">IFERROR(__xludf.DUMMYFUNCTION("IMPORTRANGE(""https://docs.google.com/spreadsheets/d/19vJNZY_5yjcGF2XGBMNZRCAIB0Kwfpjp8YEOfu-bneM/edit?usp=sharing"",""งานกองทุน!S66"")"),2500000)</f>
        <v>2500000</v>
      </c>
      <c r="J827" s="269">
        <f ca="1">IFERROR(__xludf.DUMMYFUNCTION("IMPORTRANGE(""https://docs.google.com/spreadsheets/d/19vJNZY_5yjcGF2XGBMNZRCAIB0Kwfpjp8YEOfu-bneM/edit?usp=sharing"",""งานกองทุน!U66"")"),0)</f>
        <v>0</v>
      </c>
      <c r="K827" s="496">
        <f t="shared" ca="1" si="335"/>
        <v>0</v>
      </c>
      <c r="L827" s="496"/>
      <c r="M827" s="496"/>
      <c r="N827" s="496"/>
      <c r="O827" s="496"/>
      <c r="P827" s="496"/>
      <c r="Q827" s="571"/>
      <c r="R827" s="571"/>
      <c r="S827" s="571"/>
      <c r="T827" s="571"/>
      <c r="U827" s="571"/>
      <c r="V827" s="571"/>
      <c r="W827" s="571"/>
      <c r="X827" s="571"/>
      <c r="Y827" s="571"/>
      <c r="Z827" s="571"/>
    </row>
    <row r="828" spans="1:26" ht="18.75">
      <c r="A828" s="738"/>
      <c r="B828" s="740"/>
      <c r="C828" s="740"/>
      <c r="D828" s="739"/>
      <c r="E828" s="740"/>
      <c r="F828" s="740"/>
      <c r="G828" s="818"/>
      <c r="H828" s="819" t="s">
        <v>35</v>
      </c>
      <c r="I828" s="499">
        <f ca="1">IFERROR(__xludf.DUMMYFUNCTION("IMPORTRANGE(""https://docs.google.com/spreadsheets/d/19vJNZY_5yjcGF2XGBMNZRCAIB0Kwfpjp8YEOfu-bneM/edit?usp=sharing"",""งานกองทุน!R66"")"),72)</f>
        <v>72</v>
      </c>
      <c r="J828" s="499">
        <f ca="1">IFERROR(__xludf.DUMMYFUNCTION("IMPORTRANGE(""https://docs.google.com/spreadsheets/d/19vJNZY_5yjcGF2XGBMNZRCAIB0Kwfpjp8YEOfu-bneM/edit?usp=sharing"",""งานกองทุน!T66"")"),0)</f>
        <v>0</v>
      </c>
      <c r="K828" s="500">
        <f t="shared" ca="1" si="335"/>
        <v>0</v>
      </c>
      <c r="L828" s="500"/>
      <c r="M828" s="500"/>
      <c r="N828" s="500"/>
      <c r="O828" s="500"/>
      <c r="P828" s="500"/>
      <c r="Q828" s="571"/>
      <c r="R828" s="571"/>
      <c r="S828" s="571"/>
      <c r="T828" s="571"/>
      <c r="U828" s="571"/>
      <c r="V828" s="571"/>
      <c r="W828" s="571"/>
      <c r="X828" s="571"/>
      <c r="Y828" s="571"/>
      <c r="Z828" s="571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544:F544"/>
    <mergeCell ref="A7:G7"/>
    <mergeCell ref="A17:G17"/>
    <mergeCell ref="A27:G27"/>
    <mergeCell ref="B40:G40"/>
    <mergeCell ref="A50:G50"/>
    <mergeCell ref="B51:G51"/>
    <mergeCell ref="D419:F419"/>
    <mergeCell ref="D444:F444"/>
    <mergeCell ref="D467:F467"/>
    <mergeCell ref="D502:F502"/>
    <mergeCell ref="D523:F523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 gridLines="1"/>
  <pageMargins left="0.23622047244094491" right="0.23622047244094491" top="0.74803149606299213" bottom="0.74803149606299213" header="0" footer="0"/>
  <pageSetup paperSize="9" scale="43" fitToHeight="0" pageOrder="overThenDown" orientation="portrait" cellComments="atEnd" r:id="rId1"/>
  <headerFooter>
    <oddFooter>&amp;Cหน้า &amp;P/&amp;N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B93BA2-49F2-4284-B481-05982A2F148F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activeCell="A2" sqref="A2:P2"/>
      <selection pane="bottomLeft" activeCell="A2" sqref="A2:P2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9" width="16.85546875" bestFit="1" customWidth="1"/>
    <col min="10" max="10" width="12.5703125" bestFit="1" customWidth="1"/>
    <col min="11" max="11" width="12.5703125" customWidth="1"/>
    <col min="12" max="14" width="21.28515625" bestFit="1" customWidth="1"/>
    <col min="15" max="16" width="17.5703125" customWidth="1"/>
  </cols>
  <sheetData>
    <row r="1" spans="1:26" ht="19.5">
      <c r="A1" s="844" t="s">
        <v>0</v>
      </c>
      <c r="B1" s="845"/>
      <c r="C1" s="845"/>
      <c r="D1" s="845"/>
      <c r="E1" s="845"/>
      <c r="F1" s="845"/>
      <c r="G1" s="845"/>
      <c r="H1" s="845"/>
      <c r="I1" s="845"/>
      <c r="J1" s="845"/>
      <c r="K1" s="845"/>
      <c r="L1" s="845"/>
      <c r="M1" s="845"/>
      <c r="N1" s="845"/>
      <c r="O1" s="845"/>
      <c r="P1" s="845"/>
    </row>
    <row r="2" spans="1:26" ht="19.5">
      <c r="A2" s="844" t="s">
        <v>353</v>
      </c>
      <c r="B2" s="845"/>
      <c r="C2" s="845"/>
      <c r="D2" s="845"/>
      <c r="E2" s="845"/>
      <c r="F2" s="845"/>
      <c r="G2" s="845"/>
      <c r="H2" s="845"/>
      <c r="I2" s="845"/>
      <c r="J2" s="845"/>
      <c r="K2" s="845"/>
      <c r="L2" s="845"/>
      <c r="M2" s="845"/>
      <c r="N2" s="845"/>
      <c r="O2" s="845"/>
      <c r="P2" s="845"/>
    </row>
    <row r="3" spans="1:26" ht="19.5">
      <c r="A3" s="844" t="s">
        <v>347</v>
      </c>
      <c r="B3" s="845"/>
      <c r="C3" s="845"/>
      <c r="D3" s="845"/>
      <c r="E3" s="845"/>
      <c r="F3" s="845"/>
      <c r="G3" s="845"/>
      <c r="H3" s="845"/>
      <c r="I3" s="845"/>
      <c r="J3" s="845"/>
      <c r="K3" s="845"/>
      <c r="L3" s="845"/>
      <c r="M3" s="845"/>
      <c r="N3" s="845"/>
      <c r="O3" s="845"/>
      <c r="P3" s="845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52" t="s">
        <v>2</v>
      </c>
      <c r="B5" s="845"/>
      <c r="C5" s="845"/>
      <c r="D5" s="845"/>
      <c r="E5" s="845"/>
      <c r="F5" s="845"/>
      <c r="G5" s="853"/>
      <c r="H5" s="846" t="s">
        <v>3</v>
      </c>
      <c r="I5" s="848" t="s">
        <v>4</v>
      </c>
      <c r="J5" s="849"/>
      <c r="K5" s="847"/>
      <c r="L5" s="850" t="s">
        <v>5</v>
      </c>
      <c r="M5" s="847"/>
      <c r="N5" s="851" t="s">
        <v>6</v>
      </c>
      <c r="O5" s="849"/>
      <c r="P5" s="847"/>
    </row>
    <row r="6" spans="1:26" ht="19.5">
      <c r="A6" s="854"/>
      <c r="B6" s="849"/>
      <c r="C6" s="849"/>
      <c r="D6" s="849"/>
      <c r="E6" s="849"/>
      <c r="F6" s="849"/>
      <c r="G6" s="847"/>
      <c r="H6" s="847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55" t="s">
        <v>15</v>
      </c>
      <c r="B7" s="849"/>
      <c r="C7" s="849"/>
      <c r="D7" s="849"/>
      <c r="E7" s="849"/>
      <c r="F7" s="849"/>
      <c r="G7" s="847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4146408</v>
      </c>
      <c r="M8" s="22">
        <f t="shared" ca="1" si="0"/>
        <v>1445570</v>
      </c>
      <c r="N8" s="22">
        <f t="shared" ca="1" si="0"/>
        <v>1134078.1299999999</v>
      </c>
      <c r="O8" s="22">
        <f t="shared" ref="O8:O16" ca="1" si="1">IF(L8&gt;0,N8*100/L8,0)</f>
        <v>27.350857175656614</v>
      </c>
      <c r="P8" s="22">
        <f t="shared" ref="P8:P16" ca="1" si="2">IF(M8&gt;0,N8*100/M8,0)</f>
        <v>78.451969119447682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4146408</v>
      </c>
      <c r="M10" s="30">
        <f t="shared" ca="1" si="3"/>
        <v>1445570</v>
      </c>
      <c r="N10" s="30">
        <f t="shared" ca="1" si="3"/>
        <v>1134078.1299999999</v>
      </c>
      <c r="O10" s="30">
        <f t="shared" ca="1" si="1"/>
        <v>27.350857175656614</v>
      </c>
      <c r="P10" s="30">
        <f t="shared" ca="1" si="2"/>
        <v>78.451969119447682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16" t="s">
        <v>12</v>
      </c>
      <c r="I11" s="269"/>
      <c r="J11" s="269"/>
      <c r="K11" s="496"/>
      <c r="L11" s="496">
        <f t="shared" ref="L11:N11" ca="1" si="4">L12+L13</f>
        <v>4077408</v>
      </c>
      <c r="M11" s="496">
        <f t="shared" ca="1" si="4"/>
        <v>1376570</v>
      </c>
      <c r="N11" s="496">
        <f t="shared" ca="1" si="4"/>
        <v>1065078.1299999999</v>
      </c>
      <c r="O11" s="496">
        <f t="shared" ca="1" si="1"/>
        <v>26.121450931572213</v>
      </c>
      <c r="P11" s="496">
        <f t="shared" ca="1" si="2"/>
        <v>77.371883013577218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2" t="s">
        <v>18</v>
      </c>
      <c r="F12" s="40"/>
      <c r="G12" s="42"/>
      <c r="H12" s="43" t="s">
        <v>12</v>
      </c>
      <c r="I12" s="610"/>
      <c r="J12" s="610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2" t="s">
        <v>19</v>
      </c>
      <c r="F13" s="40"/>
      <c r="G13" s="42"/>
      <c r="H13" s="43" t="s">
        <v>12</v>
      </c>
      <c r="I13" s="610"/>
      <c r="J13" s="610"/>
      <c r="K13" s="93"/>
      <c r="L13" s="93">
        <f t="shared" ca="1" si="5"/>
        <v>4077408</v>
      </c>
      <c r="M13" s="93">
        <f t="shared" ca="1" si="5"/>
        <v>1376570</v>
      </c>
      <c r="N13" s="93">
        <f t="shared" ca="1" si="5"/>
        <v>1065078.1299999999</v>
      </c>
      <c r="O13" s="93">
        <f t="shared" ca="1" si="1"/>
        <v>26.121450931572213</v>
      </c>
      <c r="P13" s="93">
        <f t="shared" ca="1" si="2"/>
        <v>77.371883013577218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16" t="s">
        <v>12</v>
      </c>
      <c r="I14" s="269"/>
      <c r="J14" s="269"/>
      <c r="K14" s="496"/>
      <c r="L14" s="496">
        <f t="shared" ref="L14:N14" ca="1" si="6">L15+L16</f>
        <v>69000</v>
      </c>
      <c r="M14" s="496">
        <f t="shared" ca="1" si="6"/>
        <v>69000</v>
      </c>
      <c r="N14" s="496">
        <f t="shared" ca="1" si="6"/>
        <v>69000</v>
      </c>
      <c r="O14" s="496">
        <f t="shared" ca="1" si="1"/>
        <v>100</v>
      </c>
      <c r="P14" s="496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2" t="s">
        <v>18</v>
      </c>
      <c r="F15" s="40"/>
      <c r="G15" s="42"/>
      <c r="H15" s="43" t="s">
        <v>12</v>
      </c>
      <c r="I15" s="610"/>
      <c r="J15" s="610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69000</v>
      </c>
      <c r="M16" s="52">
        <f t="shared" ca="1" si="7"/>
        <v>69000</v>
      </c>
      <c r="N16" s="52">
        <f t="shared" ca="1" si="7"/>
        <v>69000</v>
      </c>
      <c r="O16" s="52">
        <f t="shared" ca="1" si="1"/>
        <v>100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55" t="s">
        <v>22</v>
      </c>
      <c r="B17" s="849"/>
      <c r="C17" s="849"/>
      <c r="D17" s="849"/>
      <c r="E17" s="849"/>
      <c r="F17" s="849"/>
      <c r="G17" s="847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2704370</v>
      </c>
      <c r="M18" s="22">
        <f t="shared" ca="1" si="8"/>
        <v>1445570</v>
      </c>
      <c r="N18" s="22">
        <f t="shared" ca="1" si="8"/>
        <v>955277.96</v>
      </c>
      <c r="O18" s="22">
        <f t="shared" ref="O18:O26" ca="1" si="9">IF(L18&gt;0,N18*100/L18,0)</f>
        <v>35.323493456886446</v>
      </c>
      <c r="P18" s="22">
        <f t="shared" ref="P18:P26" ca="1" si="10">IF(M18&gt;0,N18*100/M18,0)</f>
        <v>66.083133988668834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2704370</v>
      </c>
      <c r="M20" s="30">
        <f t="shared" ca="1" si="11"/>
        <v>1445570</v>
      </c>
      <c r="N20" s="30">
        <f t="shared" ca="1" si="11"/>
        <v>955277.96</v>
      </c>
      <c r="O20" s="30">
        <f t="shared" ca="1" si="9"/>
        <v>35.323493456886446</v>
      </c>
      <c r="P20" s="30">
        <f t="shared" ca="1" si="10"/>
        <v>66.083133988668834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16" t="s">
        <v>12</v>
      </c>
      <c r="I21" s="269"/>
      <c r="J21" s="269"/>
      <c r="K21" s="496"/>
      <c r="L21" s="496">
        <f t="shared" ref="L21:N21" ca="1" si="12">L22+L23</f>
        <v>2635370</v>
      </c>
      <c r="M21" s="496">
        <f t="shared" ca="1" si="12"/>
        <v>1376570</v>
      </c>
      <c r="N21" s="496">
        <f t="shared" ca="1" si="12"/>
        <v>886277.96</v>
      </c>
      <c r="O21" s="496">
        <f t="shared" ca="1" si="9"/>
        <v>33.630114936422586</v>
      </c>
      <c r="P21" s="496">
        <f t="shared" ca="1" si="10"/>
        <v>64.383065154696098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2" t="s">
        <v>18</v>
      </c>
      <c r="F22" s="40"/>
      <c r="G22" s="42"/>
      <c r="H22" s="43" t="s">
        <v>12</v>
      </c>
      <c r="I22" s="610"/>
      <c r="J22" s="610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2" t="s">
        <v>19</v>
      </c>
      <c r="F23" s="40"/>
      <c r="G23" s="42"/>
      <c r="H23" s="43" t="s">
        <v>12</v>
      </c>
      <c r="I23" s="610"/>
      <c r="J23" s="610"/>
      <c r="K23" s="93"/>
      <c r="L23" s="93">
        <f t="shared" ca="1" si="13"/>
        <v>2635370</v>
      </c>
      <c r="M23" s="93">
        <f t="shared" ca="1" si="13"/>
        <v>1376570</v>
      </c>
      <c r="N23" s="93">
        <f t="shared" ca="1" si="13"/>
        <v>886277.96</v>
      </c>
      <c r="O23" s="93">
        <f t="shared" ca="1" si="9"/>
        <v>33.630114936422586</v>
      </c>
      <c r="P23" s="93">
        <f t="shared" ca="1" si="10"/>
        <v>64.383065154696098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16" t="s">
        <v>12</v>
      </c>
      <c r="I24" s="269"/>
      <c r="J24" s="269"/>
      <c r="K24" s="496"/>
      <c r="L24" s="496">
        <f t="shared" ref="L24:N24" ca="1" si="14">L25+L26</f>
        <v>69000</v>
      </c>
      <c r="M24" s="496">
        <f t="shared" ca="1" si="14"/>
        <v>69000</v>
      </c>
      <c r="N24" s="496">
        <f t="shared" ca="1" si="14"/>
        <v>69000</v>
      </c>
      <c r="O24" s="496">
        <f t="shared" ca="1" si="9"/>
        <v>100</v>
      </c>
      <c r="P24" s="496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2" t="s">
        <v>18</v>
      </c>
      <c r="F25" s="40"/>
      <c r="G25" s="42"/>
      <c r="H25" s="43" t="s">
        <v>12</v>
      </c>
      <c r="I25" s="610"/>
      <c r="J25" s="610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69000</v>
      </c>
      <c r="M26" s="52">
        <f t="shared" ca="1" si="15"/>
        <v>69000</v>
      </c>
      <c r="N26" s="52">
        <f t="shared" ca="1" si="15"/>
        <v>69000</v>
      </c>
      <c r="O26" s="52">
        <f t="shared" ca="1" si="9"/>
        <v>100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55" t="s">
        <v>23</v>
      </c>
      <c r="B27" s="849"/>
      <c r="C27" s="849"/>
      <c r="D27" s="849"/>
      <c r="E27" s="849"/>
      <c r="F27" s="849"/>
      <c r="G27" s="847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1442038</v>
      </c>
      <c r="M28" s="22">
        <f t="shared" si="16"/>
        <v>0</v>
      </c>
      <c r="N28" s="22">
        <f t="shared" si="16"/>
        <v>178800.16999999998</v>
      </c>
      <c r="O28" s="22">
        <f t="shared" ref="O28:O37" ca="1" si="17">IF(L28&gt;0,N28*100/L28,0)</f>
        <v>12.399130258703307</v>
      </c>
      <c r="P28" s="22">
        <f t="shared" ref="P28:P37" si="18">IF(M28&gt;0,N28*100/M28,0)</f>
        <v>0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1442038</v>
      </c>
      <c r="M30" s="30">
        <f t="shared" si="19"/>
        <v>0</v>
      </c>
      <c r="N30" s="30">
        <f t="shared" si="19"/>
        <v>178800.16999999998</v>
      </c>
      <c r="O30" s="30">
        <f t="shared" ca="1" si="17"/>
        <v>12.399130258703307</v>
      </c>
      <c r="P30" s="30">
        <f t="shared" si="18"/>
        <v>0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16" t="s">
        <v>12</v>
      </c>
      <c r="I31" s="269"/>
      <c r="J31" s="269"/>
      <c r="K31" s="496"/>
      <c r="L31" s="496">
        <f t="shared" ref="L31:N31" ca="1" si="20">L32+L33</f>
        <v>1442038</v>
      </c>
      <c r="M31" s="496">
        <f t="shared" si="20"/>
        <v>0</v>
      </c>
      <c r="N31" s="496">
        <f t="shared" si="20"/>
        <v>178800.16999999998</v>
      </c>
      <c r="O31" s="496">
        <f t="shared" ca="1" si="17"/>
        <v>12.399130258703307</v>
      </c>
      <c r="P31" s="496">
        <f t="shared" si="18"/>
        <v>0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2" t="s">
        <v>18</v>
      </c>
      <c r="F32" s="40"/>
      <c r="G32" s="42"/>
      <c r="H32" s="43" t="s">
        <v>12</v>
      </c>
      <c r="I32" s="610"/>
      <c r="J32" s="610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2" t="s">
        <v>19</v>
      </c>
      <c r="F33" s="40"/>
      <c r="G33" s="42"/>
      <c r="H33" s="43" t="s">
        <v>12</v>
      </c>
      <c r="I33" s="610"/>
      <c r="J33" s="610"/>
      <c r="K33" s="93"/>
      <c r="L33" s="93">
        <f t="shared" ca="1" si="21"/>
        <v>1442038</v>
      </c>
      <c r="M33" s="93">
        <f t="shared" si="21"/>
        <v>0</v>
      </c>
      <c r="N33" s="93">
        <f t="shared" si="21"/>
        <v>178800.16999999998</v>
      </c>
      <c r="O33" s="93">
        <f t="shared" ca="1" si="17"/>
        <v>12.399130258703307</v>
      </c>
      <c r="P33" s="93">
        <f t="shared" si="18"/>
        <v>0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16" t="s">
        <v>12</v>
      </c>
      <c r="I34" s="269"/>
      <c r="J34" s="269"/>
      <c r="K34" s="496"/>
      <c r="L34" s="496">
        <f t="shared" ref="L34:N34" ca="1" si="22">L35+L36</f>
        <v>0</v>
      </c>
      <c r="M34" s="496">
        <f t="shared" si="22"/>
        <v>0</v>
      </c>
      <c r="N34" s="496">
        <f t="shared" si="22"/>
        <v>0</v>
      </c>
      <c r="O34" s="496">
        <f t="shared" ca="1" si="17"/>
        <v>0</v>
      </c>
      <c r="P34" s="496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2" t="s">
        <v>18</v>
      </c>
      <c r="F35" s="40"/>
      <c r="G35" s="42"/>
      <c r="H35" s="43" t="s">
        <v>12</v>
      </c>
      <c r="I35" s="610"/>
      <c r="J35" s="610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53" t="s">
        <v>24</v>
      </c>
      <c r="B37" s="54"/>
      <c r="C37" s="54"/>
      <c r="D37" s="54"/>
      <c r="E37" s="54"/>
      <c r="F37" s="54"/>
      <c r="G37" s="55"/>
      <c r="H37" s="56"/>
      <c r="I37" s="423"/>
      <c r="J37" s="423"/>
      <c r="K37" s="58"/>
      <c r="L37" s="59">
        <f t="shared" ref="L37:N37" ca="1" si="24">L41+L53+L66+L88+L119+L132+L149+L165+L181+L261+L277+L298+L315+L328+L345+L389+L402</f>
        <v>2704370</v>
      </c>
      <c r="M37" s="59">
        <f t="shared" ca="1" si="24"/>
        <v>1445570</v>
      </c>
      <c r="N37" s="59">
        <f t="shared" ca="1" si="24"/>
        <v>955277.96</v>
      </c>
      <c r="O37" s="59">
        <f t="shared" ca="1" si="17"/>
        <v>35.323493456886446</v>
      </c>
      <c r="P37" s="59">
        <f t="shared" ca="1" si="18"/>
        <v>66.083133988668834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56" t="s">
        <v>27</v>
      </c>
      <c r="C40" s="857"/>
      <c r="D40" s="857"/>
      <c r="E40" s="857"/>
      <c r="F40" s="857"/>
      <c r="G40" s="858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20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349000</v>
      </c>
      <c r="M41" s="85">
        <f t="shared" ca="1" si="25"/>
        <v>180350</v>
      </c>
      <c r="N41" s="85">
        <f t="shared" ca="1" si="25"/>
        <v>134764</v>
      </c>
      <c r="O41" s="85">
        <f t="shared" ref="O41:O49" ca="1" si="26">IF(L41&gt;0,N41*100/L41,0)</f>
        <v>38.614326647564468</v>
      </c>
      <c r="P41" s="85">
        <f t="shared" ref="P41:P49" ca="1" si="27">IF(M41&gt;0,N41*100/M41,0)</f>
        <v>74.72359301358469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349000</v>
      </c>
      <c r="M43" s="92">
        <f t="shared" ca="1" si="28"/>
        <v>180350</v>
      </c>
      <c r="N43" s="92">
        <f t="shared" ca="1" si="28"/>
        <v>134764</v>
      </c>
      <c r="O43" s="92">
        <f t="shared" ca="1" si="26"/>
        <v>38.614326647564468</v>
      </c>
      <c r="P43" s="92">
        <f t="shared" ca="1" si="27"/>
        <v>74.72359301358469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16" t="s">
        <v>12</v>
      </c>
      <c r="I44" s="269"/>
      <c r="J44" s="269"/>
      <c r="K44" s="496"/>
      <c r="L44" s="496">
        <f t="shared" ref="L44:N44" ca="1" si="29">L45+L46</f>
        <v>349000</v>
      </c>
      <c r="M44" s="496">
        <f t="shared" ca="1" si="29"/>
        <v>180350</v>
      </c>
      <c r="N44" s="496">
        <f t="shared" ca="1" si="29"/>
        <v>134764</v>
      </c>
      <c r="O44" s="496">
        <f t="shared" ca="1" si="26"/>
        <v>38.614326647564468</v>
      </c>
      <c r="P44" s="496">
        <f t="shared" ca="1" si="27"/>
        <v>74.72359301358469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2" t="s">
        <v>18</v>
      </c>
      <c r="F45" s="40"/>
      <c r="G45" s="42"/>
      <c r="H45" s="43" t="s">
        <v>12</v>
      </c>
      <c r="I45" s="610"/>
      <c r="J45" s="610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2" t="s">
        <v>19</v>
      </c>
      <c r="F46" s="40"/>
      <c r="G46" s="42"/>
      <c r="H46" s="43" t="s">
        <v>12</v>
      </c>
      <c r="I46" s="610"/>
      <c r="J46" s="610"/>
      <c r="K46" s="93"/>
      <c r="L46" s="93">
        <f ca="1">IFERROR(__xludf.DUMMYFUNCTION("IMPORTRANGE(""https://docs.google.com/spreadsheets/d/1MeEWN-I1oV_STSDYn1IFDPWt_1FKiwhDph83XaGc0o0/edit?usp=sharing"",""งบพรบ!M67"")"),349000)</f>
        <v>349000</v>
      </c>
      <c r="M46" s="93">
        <f ca="1">IFERROR(__xludf.DUMMYFUNCTION("IMPORTRANGE(""https://docs.google.com/spreadsheets/d/1MeEWN-I1oV_STSDYn1IFDPWt_1FKiwhDph83XaGc0o0/edit?usp=sharing"",""งบพรบ!R67"")"),180350)</f>
        <v>180350</v>
      </c>
      <c r="N46" s="93">
        <f ca="1">IFERROR(__xludf.DUMMYFUNCTION("IMPORTRANGE(""https://docs.google.com/spreadsheets/d/1MeEWN-I1oV_STSDYn1IFDPWt_1FKiwhDph83XaGc0o0/edit?usp=sharing"",""งบพรบ!T67"")"),134764)</f>
        <v>134764</v>
      </c>
      <c r="O46" s="93">
        <f t="shared" ca="1" si="26"/>
        <v>38.614326647564468</v>
      </c>
      <c r="P46" s="93">
        <f t="shared" ca="1" si="27"/>
        <v>74.72359301358469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16" t="s">
        <v>12</v>
      </c>
      <c r="I47" s="269"/>
      <c r="J47" s="269"/>
      <c r="K47" s="496"/>
      <c r="L47" s="496">
        <f t="shared" ref="L47:N47" ca="1" si="30">L48+L49</f>
        <v>0</v>
      </c>
      <c r="M47" s="496">
        <f t="shared" ca="1" si="30"/>
        <v>0</v>
      </c>
      <c r="N47" s="496">
        <f t="shared" ca="1" si="30"/>
        <v>0</v>
      </c>
      <c r="O47" s="496">
        <f t="shared" ca="1" si="26"/>
        <v>0</v>
      </c>
      <c r="P47" s="496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2" t="s">
        <v>18</v>
      </c>
      <c r="F48" s="40"/>
      <c r="G48" s="42"/>
      <c r="H48" s="43" t="s">
        <v>12</v>
      </c>
      <c r="I48" s="610"/>
      <c r="J48" s="610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IFERROR(__xludf.DUMMYFUNCTION("IMPORTRANGE(""https://docs.google.com/spreadsheets/d/1MeEWN-I1oV_STSDYn1IFDPWt_1FKiwhDph83XaGc0o0/edit?usp=sharing"",""งบพรบ!P67"")"),0)</f>
        <v>0</v>
      </c>
      <c r="M49" s="52">
        <f ca="1">IFERROR(__xludf.DUMMYFUNCTION("IMPORTRANGE(""https://docs.google.com/spreadsheets/d/1MeEWN-I1oV_STSDYn1IFDPWt_1FKiwhDph83XaGc0o0/edit?usp=sharing"",""งบพรบ!S67"")"),0)</f>
        <v>0</v>
      </c>
      <c r="N49" s="52">
        <f ca="1">IFERROR(__xludf.DUMMYFUNCTION("IMPORTRANGE(""https://docs.google.com/spreadsheets/d/1MeEWN-I1oV_STSDYn1IFDPWt_1FKiwhDph83XaGc0o0/edit?usp=sharing"",""งบพรบ!U67"")"),0)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59" t="s">
        <v>28</v>
      </c>
      <c r="B50" s="849"/>
      <c r="C50" s="849"/>
      <c r="D50" s="849"/>
      <c r="E50" s="849"/>
      <c r="F50" s="849"/>
      <c r="G50" s="847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60" t="s">
        <v>29</v>
      </c>
      <c r="C51" s="857"/>
      <c r="D51" s="857"/>
      <c r="E51" s="857"/>
      <c r="F51" s="857"/>
      <c r="G51" s="858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21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661300</v>
      </c>
      <c r="M53" s="116">
        <f t="shared" ca="1" si="31"/>
        <v>414270</v>
      </c>
      <c r="N53" s="116">
        <f t="shared" ca="1" si="31"/>
        <v>372436.24</v>
      </c>
      <c r="O53" s="116">
        <f t="shared" ref="O53:O61" ca="1" si="32">IF(L53&gt;0,N53*100/L53,0)</f>
        <v>56.318802358989871</v>
      </c>
      <c r="P53" s="116">
        <f t="shared" ref="P53:P61" ca="1" si="33">IF(M53&gt;0,N53*100/M53,0)</f>
        <v>89.901812827383111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661300</v>
      </c>
      <c r="M55" s="123">
        <f t="shared" ca="1" si="34"/>
        <v>414270</v>
      </c>
      <c r="N55" s="123">
        <f t="shared" ca="1" si="34"/>
        <v>372436.24</v>
      </c>
      <c r="O55" s="123">
        <f t="shared" ca="1" si="32"/>
        <v>56.318802358989871</v>
      </c>
      <c r="P55" s="123">
        <f t="shared" ca="1" si="33"/>
        <v>89.901812827383111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16" t="s">
        <v>12</v>
      </c>
      <c r="I56" s="269"/>
      <c r="J56" s="269"/>
      <c r="K56" s="496"/>
      <c r="L56" s="496">
        <f t="shared" ref="L56:N56" ca="1" si="35">L57+L58</f>
        <v>607300</v>
      </c>
      <c r="M56" s="496">
        <f t="shared" ca="1" si="35"/>
        <v>360270</v>
      </c>
      <c r="N56" s="496">
        <f t="shared" ca="1" si="35"/>
        <v>318436.24</v>
      </c>
      <c r="O56" s="496">
        <f t="shared" ca="1" si="32"/>
        <v>52.434750535155608</v>
      </c>
      <c r="P56" s="496">
        <f t="shared" ca="1" si="33"/>
        <v>88.388219946151494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2" t="s">
        <v>18</v>
      </c>
      <c r="F57" s="40"/>
      <c r="G57" s="42"/>
      <c r="H57" s="43" t="s">
        <v>12</v>
      </c>
      <c r="I57" s="610"/>
      <c r="J57" s="610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2" t="s">
        <v>19</v>
      </c>
      <c r="F58" s="40"/>
      <c r="G58" s="42"/>
      <c r="H58" s="43" t="s">
        <v>12</v>
      </c>
      <c r="I58" s="610"/>
      <c r="J58" s="610"/>
      <c r="K58" s="93"/>
      <c r="L58" s="93">
        <f ca="1">IFERROR(__xludf.DUMMYFUNCTION("IMPORTRANGE(""https://docs.google.com/spreadsheets/d/1MeEWN-I1oV_STSDYn1IFDPWt_1FKiwhDph83XaGc0o0/edit?usp=sharing"",""งบพรบ!W67"")"),607300)</f>
        <v>607300</v>
      </c>
      <c r="M58" s="93">
        <f ca="1">IFERROR(__xludf.DUMMYFUNCTION("IMPORTRANGE(""https://docs.google.com/spreadsheets/d/1MeEWN-I1oV_STSDYn1IFDPWt_1FKiwhDph83XaGc0o0/edit?usp=sharing"",""งบพรบ!AB67"")"),360270)</f>
        <v>360270</v>
      </c>
      <c r="N58" s="93">
        <f ca="1">IFERROR(__xludf.DUMMYFUNCTION("IMPORTRANGE(""https://docs.google.com/spreadsheets/d/1MeEWN-I1oV_STSDYn1IFDPWt_1FKiwhDph83XaGc0o0/edit?usp=sharing"",""งบพรบ!AD67"")"),318436.24)</f>
        <v>318436.24</v>
      </c>
      <c r="O58" s="93">
        <f t="shared" ca="1" si="32"/>
        <v>52.434750535155608</v>
      </c>
      <c r="P58" s="93">
        <f t="shared" ca="1" si="33"/>
        <v>88.388219946151494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16" t="s">
        <v>12</v>
      </c>
      <c r="I59" s="269"/>
      <c r="J59" s="269"/>
      <c r="K59" s="496"/>
      <c r="L59" s="496">
        <f t="shared" ref="L59:N59" ca="1" si="36">L60+L61</f>
        <v>54000</v>
      </c>
      <c r="M59" s="496">
        <f t="shared" ca="1" si="36"/>
        <v>54000</v>
      </c>
      <c r="N59" s="496">
        <f t="shared" ca="1" si="36"/>
        <v>54000</v>
      </c>
      <c r="O59" s="496">
        <f t="shared" ca="1" si="32"/>
        <v>100</v>
      </c>
      <c r="P59" s="496">
        <f t="shared" ca="1" si="33"/>
        <v>100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2" t="s">
        <v>18</v>
      </c>
      <c r="F60" s="40"/>
      <c r="G60" s="42"/>
      <c r="H60" s="43" t="s">
        <v>12</v>
      </c>
      <c r="I60" s="610"/>
      <c r="J60" s="610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IFERROR(__xludf.DUMMYFUNCTION("IMPORTRANGE(""https://docs.google.com/spreadsheets/d/1MeEWN-I1oV_STSDYn1IFDPWt_1FKiwhDph83XaGc0o0/edit?usp=sharing"",""งบพรบ!Z67"")"),54000)</f>
        <v>54000</v>
      </c>
      <c r="M61" s="52">
        <f ca="1">IFERROR(__xludf.DUMMYFUNCTION("IMPORTRANGE(""https://docs.google.com/spreadsheets/d/1MeEWN-I1oV_STSDYn1IFDPWt_1FKiwhDph83XaGc0o0/edit?usp=sharing"",""งบพรบ!AC67"")"),54000)</f>
        <v>54000</v>
      </c>
      <c r="N61" s="52">
        <f ca="1">IFERROR(__xludf.DUMMYFUNCTION("IMPORTRANGE(""https://docs.google.com/spreadsheets/d/1MeEWN-I1oV_STSDYn1IFDPWt_1FKiwhDph83XaGc0o0/edit?usp=sharing"",""งบพรบ!AE67"")"),54000)</f>
        <v>54000</v>
      </c>
      <c r="O61" s="52">
        <f t="shared" ca="1" si="32"/>
        <v>100</v>
      </c>
      <c r="P61" s="52">
        <f t="shared" ca="1" si="33"/>
        <v>100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 hidden="1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 hidden="1">
      <c r="A64" s="138"/>
      <c r="B64" s="208" t="s">
        <v>33</v>
      </c>
      <c r="C64" s="140"/>
      <c r="D64" s="141"/>
      <c r="E64" s="140"/>
      <c r="F64" s="140"/>
      <c r="G64" s="142"/>
      <c r="H64" s="143" t="s">
        <v>34</v>
      </c>
      <c r="I64" s="144">
        <f t="shared" ref="I64:J65" ca="1" si="37">I76</f>
        <v>0</v>
      </c>
      <c r="J64" s="144">
        <f t="shared" si="37"/>
        <v>0</v>
      </c>
      <c r="K64" s="145">
        <f t="shared" ref="K64:K65" ca="1" si="38">IF(I64&gt;0,J64*100/I64,0)</f>
        <v>0</v>
      </c>
      <c r="L64" s="146"/>
      <c r="M64" s="146"/>
      <c r="N64" s="146"/>
      <c r="O64" s="146"/>
      <c r="P64" s="146"/>
    </row>
    <row r="65" spans="1:26" ht="19.5" hidden="1">
      <c r="A65" s="138"/>
      <c r="B65" s="140"/>
      <c r="C65" s="140"/>
      <c r="D65" s="141"/>
      <c r="E65" s="140"/>
      <c r="F65" s="140"/>
      <c r="G65" s="142"/>
      <c r="H65" s="143" t="s">
        <v>35</v>
      </c>
      <c r="I65" s="144">
        <f t="shared" ca="1" si="37"/>
        <v>0</v>
      </c>
      <c r="J65" s="144">
        <f t="shared" si="37"/>
        <v>0</v>
      </c>
      <c r="K65" s="145">
        <f t="shared" ca="1" si="38"/>
        <v>0</v>
      </c>
      <c r="L65" s="146"/>
      <c r="M65" s="146"/>
      <c r="N65" s="146"/>
      <c r="O65" s="146"/>
      <c r="P65" s="146"/>
    </row>
    <row r="66" spans="1:26" ht="19.5" hidden="1">
      <c r="A66" s="147"/>
      <c r="B66" s="148"/>
      <c r="C66" s="149" t="s">
        <v>16</v>
      </c>
      <c r="D66" s="822" t="s">
        <v>17</v>
      </c>
      <c r="E66" s="148"/>
      <c r="F66" s="148"/>
      <c r="G66" s="151"/>
      <c r="H66" s="152" t="s">
        <v>12</v>
      </c>
      <c r="I66" s="419"/>
      <c r="J66" s="419"/>
      <c r="K66" s="154"/>
      <c r="L66" s="155">
        <f t="shared" ref="L66:N66" ca="1" si="39">L67+L68</f>
        <v>0</v>
      </c>
      <c r="M66" s="155">
        <f t="shared" ca="1" si="39"/>
        <v>0</v>
      </c>
      <c r="N66" s="155">
        <f t="shared" ca="1" si="39"/>
        <v>0</v>
      </c>
      <c r="O66" s="155">
        <f t="shared" ref="O66:O74" ca="1" si="40">IF(L66&gt;0,N66*100/L66,0)</f>
        <v>0</v>
      </c>
      <c r="P66" s="155">
        <f t="shared" ref="P66:P74" ca="1" si="41">IF(M66&gt;0,N66*100/M66,0)</f>
        <v>0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2" t="s">
        <v>18</v>
      </c>
      <c r="F67" s="40"/>
      <c r="G67" s="157"/>
      <c r="H67" s="158" t="s">
        <v>12</v>
      </c>
      <c r="I67" s="610"/>
      <c r="J67" s="610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2" t="s">
        <v>19</v>
      </c>
      <c r="F68" s="40"/>
      <c r="G68" s="157"/>
      <c r="H68" s="158" t="s">
        <v>12</v>
      </c>
      <c r="I68" s="610"/>
      <c r="J68" s="610"/>
      <c r="K68" s="93"/>
      <c r="L68" s="93">
        <f t="shared" ca="1" si="42"/>
        <v>0</v>
      </c>
      <c r="M68" s="93">
        <f t="shared" ca="1" si="42"/>
        <v>0</v>
      </c>
      <c r="N68" s="93">
        <f t="shared" ca="1" si="42"/>
        <v>0</v>
      </c>
      <c r="O68" s="93">
        <f t="shared" ca="1" si="40"/>
        <v>0</v>
      </c>
      <c r="P68" s="93">
        <f t="shared" ca="1" si="41"/>
        <v>0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 hidden="1">
      <c r="A69" s="159"/>
      <c r="B69" s="33"/>
      <c r="C69" s="281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6">
        <f t="shared" ref="L69:N69" ca="1" si="43">L70+L71</f>
        <v>0</v>
      </c>
      <c r="M69" s="496">
        <f t="shared" ca="1" si="43"/>
        <v>0</v>
      </c>
      <c r="N69" s="496">
        <f t="shared" ca="1" si="43"/>
        <v>0</v>
      </c>
      <c r="O69" s="496">
        <f t="shared" ca="1" si="40"/>
        <v>0</v>
      </c>
      <c r="P69" s="496">
        <f t="shared" ca="1" si="41"/>
        <v>0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2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2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IFERROR(__xludf.DUMMYFUNCTION("IMPORTRANGE(""https://docs.google.com/spreadsheets/d/1MeEWN-I1oV_STSDYn1IFDPWt_1FKiwhDph83XaGc0o0/edit?usp=sharing"",""งบพรบ!AG67"")"),0)</f>
        <v>0</v>
      </c>
      <c r="M71" s="93">
        <f ca="1">IFERROR(__xludf.DUMMYFUNCTION("IMPORTRANGE(""https://docs.google.com/spreadsheets/d/1MeEWN-I1oV_STSDYn1IFDPWt_1FKiwhDph83XaGc0o0/edit?usp=sharing"",""งบพรบ!AL67"")"),0)</f>
        <v>0</v>
      </c>
      <c r="N71" s="93">
        <f ca="1">IFERROR(__xludf.DUMMYFUNCTION("IMPORTRANGE(""https://docs.google.com/spreadsheets/d/1MeEWN-I1oV_STSDYn1IFDPWt_1FKiwhDph83XaGc0o0/edit?usp=sharing"",""งบพรบ!AN67"")"),0)</f>
        <v>0</v>
      </c>
      <c r="O71" s="93">
        <f t="shared" ca="1" si="40"/>
        <v>0</v>
      </c>
      <c r="P71" s="93">
        <f t="shared" ca="1" si="41"/>
        <v>0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 hidden="1">
      <c r="A72" s="159"/>
      <c r="B72" s="33"/>
      <c r="C72" s="281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6">
        <f t="shared" ref="L72:N72" ca="1" si="44">L73+L74</f>
        <v>0</v>
      </c>
      <c r="M72" s="496">
        <f t="shared" ca="1" si="44"/>
        <v>0</v>
      </c>
      <c r="N72" s="496">
        <f t="shared" ca="1" si="44"/>
        <v>0</v>
      </c>
      <c r="O72" s="496">
        <f t="shared" ca="1" si="40"/>
        <v>0</v>
      </c>
      <c r="P72" s="496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2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2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IFERROR(__xludf.DUMMYFUNCTION("IMPORTRANGE(""https://docs.google.com/spreadsheets/d/1MeEWN-I1oV_STSDYn1IFDPWt_1FKiwhDph83XaGc0o0/edit?usp=sharing"",""งบพรบ!AJ67"")"),0)</f>
        <v>0</v>
      </c>
      <c r="M74" s="93">
        <f ca="1">IFERROR(__xludf.DUMMYFUNCTION("IMPORTRANGE(""https://docs.google.com/spreadsheets/d/1MeEWN-I1oV_STSDYn1IFDPWt_1FKiwhDph83XaGc0o0/edit?usp=sharing"",""งบพรบ!AM67"")"),0)</f>
        <v>0</v>
      </c>
      <c r="N74" s="93">
        <f ca="1">IFERROR(__xludf.DUMMYFUNCTION("IMPORTRANGE(""https://docs.google.com/spreadsheets/d/1MeEWN-I1oV_STSDYn1IFDPWt_1FKiwhDph83XaGc0o0/edit?usp=sharing"",""งบพรบ!AO67"")"),0)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 hidden="1">
      <c r="A75" s="170"/>
      <c r="B75" s="171"/>
      <c r="C75" s="164" t="s">
        <v>16</v>
      </c>
      <c r="D75" s="823" t="s">
        <v>38</v>
      </c>
      <c r="E75" s="173"/>
      <c r="F75" s="173"/>
      <c r="G75" s="174"/>
      <c r="H75" s="753"/>
      <c r="I75" s="184"/>
      <c r="J75" s="184"/>
      <c r="K75" s="163"/>
      <c r="L75" s="163"/>
      <c r="M75" s="163"/>
      <c r="N75" s="163"/>
      <c r="O75" s="163"/>
      <c r="P75" s="163"/>
    </row>
    <row r="76" spans="1:26" ht="19.5" hidden="1">
      <c r="A76" s="170"/>
      <c r="B76" s="171"/>
      <c r="C76" s="171"/>
      <c r="D76" s="176" t="s">
        <v>39</v>
      </c>
      <c r="E76" s="446"/>
      <c r="F76" s="178"/>
      <c r="G76" s="179"/>
      <c r="H76" s="180" t="s">
        <v>34</v>
      </c>
      <c r="I76" s="269">
        <f t="shared" ref="I76:J77" ca="1" si="45">I78+I80+I82</f>
        <v>0</v>
      </c>
      <c r="J76" s="269">
        <f t="shared" si="45"/>
        <v>0</v>
      </c>
      <c r="K76" s="163">
        <f t="shared" ref="K76:K84" ca="1" si="46">IF(I76&gt;0,J76*100/I76,0)</f>
        <v>0</v>
      </c>
      <c r="L76" s="163"/>
      <c r="M76" s="163"/>
      <c r="N76" s="163"/>
      <c r="O76" s="163"/>
      <c r="P76" s="163"/>
    </row>
    <row r="77" spans="1:26" ht="19.5" hidden="1">
      <c r="A77" s="170"/>
      <c r="B77" s="171"/>
      <c r="C77" s="171"/>
      <c r="D77" s="171"/>
      <c r="E77" s="178"/>
      <c r="F77" s="178"/>
      <c r="G77" s="179"/>
      <c r="H77" s="180" t="s">
        <v>35</v>
      </c>
      <c r="I77" s="269">
        <f t="shared" ca="1" si="45"/>
        <v>0</v>
      </c>
      <c r="J77" s="269">
        <f t="shared" si="45"/>
        <v>0</v>
      </c>
      <c r="K77" s="163">
        <f t="shared" ca="1" si="46"/>
        <v>0</v>
      </c>
      <c r="L77" s="163"/>
      <c r="M77" s="163"/>
      <c r="N77" s="163"/>
      <c r="O77" s="163"/>
      <c r="P77" s="163"/>
    </row>
    <row r="78" spans="1:26" ht="18.75" hidden="1">
      <c r="A78" s="170"/>
      <c r="B78" s="171"/>
      <c r="C78" s="171"/>
      <c r="D78" s="171"/>
      <c r="E78" s="446" t="s">
        <v>40</v>
      </c>
      <c r="F78" s="446"/>
      <c r="G78" s="179"/>
      <c r="H78" s="755" t="s">
        <v>34</v>
      </c>
      <c r="I78" s="184">
        <f ca="1">IFERROR(__xludf.DUMMYFUNCTION("IMPORTRANGE(""https://docs.google.com/spreadsheets/d/1QqKyyYR6Q21VydFLVH3TRQUabQu_ym0Zz7PgGX0-kHA/edit?usp=sharing"",""แผน!H67"")"),0)</f>
        <v>0</v>
      </c>
      <c r="J78" s="214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 hidden="1">
      <c r="A79" s="170"/>
      <c r="B79" s="171"/>
      <c r="C79" s="171"/>
      <c r="D79" s="171"/>
      <c r="E79" s="178"/>
      <c r="F79" s="178"/>
      <c r="G79" s="179"/>
      <c r="H79" s="755" t="s">
        <v>35</v>
      </c>
      <c r="I79" s="184">
        <f ca="1">IFERROR(__xludf.DUMMYFUNCTION("IMPORTRANGE(""https://docs.google.com/spreadsheets/d/1QqKyyYR6Q21VydFLVH3TRQUabQu_ym0Zz7PgGX0-kHA/edit?usp=sharing"",""แผน!I67"")"),0)</f>
        <v>0</v>
      </c>
      <c r="J79" s="214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 hidden="1">
      <c r="A80" s="170"/>
      <c r="B80" s="171"/>
      <c r="C80" s="171"/>
      <c r="D80" s="171"/>
      <c r="E80" s="446" t="s">
        <v>41</v>
      </c>
      <c r="F80" s="446"/>
      <c r="G80" s="179"/>
      <c r="H80" s="755" t="s">
        <v>34</v>
      </c>
      <c r="I80" s="184">
        <f ca="1">IFERROR(__xludf.DUMMYFUNCTION("IMPORTRANGE(""https://docs.google.com/spreadsheets/d/1QqKyyYR6Q21VydFLVH3TRQUabQu_ym0Zz7PgGX0-kHA/edit?usp=sharing"",""แผน!F67"")"),0)</f>
        <v>0</v>
      </c>
      <c r="J80" s="214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 hidden="1">
      <c r="A81" s="170"/>
      <c r="B81" s="171"/>
      <c r="C81" s="171"/>
      <c r="D81" s="171"/>
      <c r="E81" s="178"/>
      <c r="F81" s="178"/>
      <c r="G81" s="179"/>
      <c r="H81" s="755" t="s">
        <v>35</v>
      </c>
      <c r="I81" s="184">
        <f ca="1">IFERROR(__xludf.DUMMYFUNCTION("IMPORTRANGE(""https://docs.google.com/spreadsheets/d/1QqKyyYR6Q21VydFLVH3TRQUabQu_ym0Zz7PgGX0-kHA/edit?usp=sharing"",""แผน!G67"")"),0)</f>
        <v>0</v>
      </c>
      <c r="J81" s="214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 hidden="1">
      <c r="A82" s="170"/>
      <c r="B82" s="171"/>
      <c r="C82" s="171"/>
      <c r="D82" s="171"/>
      <c r="E82" s="446" t="s">
        <v>42</v>
      </c>
      <c r="F82" s="446"/>
      <c r="G82" s="179"/>
      <c r="H82" s="755" t="s">
        <v>34</v>
      </c>
      <c r="I82" s="184">
        <f ca="1">IFERROR(__xludf.DUMMYFUNCTION("IMPORTRANGE(""https://docs.google.com/spreadsheets/d/1QqKyyYR6Q21VydFLVH3TRQUabQu_ym0Zz7PgGX0-kHA/edit?usp=sharing"",""แผน!D67"")"),0)</f>
        <v>0</v>
      </c>
      <c r="J82" s="214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 hidden="1">
      <c r="A83" s="170"/>
      <c r="B83" s="171"/>
      <c r="C83" s="171"/>
      <c r="D83" s="171"/>
      <c r="E83" s="178"/>
      <c r="F83" s="178"/>
      <c r="G83" s="179"/>
      <c r="H83" s="755" t="s">
        <v>35</v>
      </c>
      <c r="I83" s="184">
        <f ca="1">IFERROR(__xludf.DUMMYFUNCTION("IMPORTRANGE(""https://docs.google.com/spreadsheets/d/1QqKyyYR6Q21VydFLVH3TRQUabQu_ym0Zz7PgGX0-kHA/edit?usp=sharing"",""แผน!E67"")"),0)</f>
        <v>0</v>
      </c>
      <c r="J83" s="214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 hidden="1">
      <c r="A84" s="170"/>
      <c r="B84" s="171"/>
      <c r="C84" s="171"/>
      <c r="D84" s="176" t="s">
        <v>43</v>
      </c>
      <c r="E84" s="446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IFERROR(__xludf.DUMMYFUNCTION("IMPORTRANGE(""https://docs.google.com/spreadsheets/d/1QqKyyYR6Q21VydFLVH3TRQUabQu_ym0Zz7PgGX0-kHA/edit?usp=sharing"",""แผน!J67"")"),0)</f>
        <v>0</v>
      </c>
      <c r="J84" s="214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8" t="s">
        <v>45</v>
      </c>
      <c r="C86" s="140"/>
      <c r="D86" s="141"/>
      <c r="E86" s="140"/>
      <c r="F86" s="140"/>
      <c r="G86" s="142"/>
      <c r="H86" s="143" t="s">
        <v>46</v>
      </c>
      <c r="I86" s="144">
        <f t="shared" ref="I86:J87" ca="1" si="47">I98</f>
        <v>45</v>
      </c>
      <c r="J86" s="144">
        <f t="shared" si="47"/>
        <v>45</v>
      </c>
      <c r="K86" s="145">
        <f t="shared" ref="K86:K87" ca="1" si="48">IF(I86&gt;0,J86*100/I86,0)</f>
        <v>100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143" t="s">
        <v>35</v>
      </c>
      <c r="I87" s="144">
        <f t="shared" ca="1" si="47"/>
        <v>15</v>
      </c>
      <c r="J87" s="144">
        <f t="shared" si="47"/>
        <v>0</v>
      </c>
      <c r="K87" s="145">
        <f t="shared" ca="1" si="48"/>
        <v>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22" t="s">
        <v>17</v>
      </c>
      <c r="E88" s="148"/>
      <c r="F88" s="148"/>
      <c r="G88" s="151"/>
      <c r="H88" s="152" t="s">
        <v>12</v>
      </c>
      <c r="I88" s="419"/>
      <c r="J88" s="419"/>
      <c r="K88" s="154"/>
      <c r="L88" s="155">
        <f t="shared" ref="L88:N88" ca="1" si="49">L89+L90</f>
        <v>128360</v>
      </c>
      <c r="M88" s="155">
        <f t="shared" ca="1" si="49"/>
        <v>60510</v>
      </c>
      <c r="N88" s="155">
        <f t="shared" ca="1" si="49"/>
        <v>16300</v>
      </c>
      <c r="O88" s="155">
        <f t="shared" ref="O88:O96" ca="1" si="50">IF(L88&gt;0,N88*100/L88,0)</f>
        <v>12.698660018697414</v>
      </c>
      <c r="P88" s="155">
        <f t="shared" ref="P88:P96" ca="1" si="51">IF(M88&gt;0,N88*100/M88,0)</f>
        <v>26.937696248553959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2" t="s">
        <v>18</v>
      </c>
      <c r="F89" s="40"/>
      <c r="G89" s="157"/>
      <c r="H89" s="158" t="s">
        <v>12</v>
      </c>
      <c r="I89" s="610"/>
      <c r="J89" s="610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2" t="s">
        <v>19</v>
      </c>
      <c r="F90" s="40"/>
      <c r="G90" s="157"/>
      <c r="H90" s="158" t="s">
        <v>12</v>
      </c>
      <c r="I90" s="610"/>
      <c r="J90" s="610"/>
      <c r="K90" s="93"/>
      <c r="L90" s="93">
        <f t="shared" ca="1" si="52"/>
        <v>128360</v>
      </c>
      <c r="M90" s="93">
        <f t="shared" ca="1" si="52"/>
        <v>60510</v>
      </c>
      <c r="N90" s="93">
        <f t="shared" ca="1" si="52"/>
        <v>16300</v>
      </c>
      <c r="O90" s="93">
        <f t="shared" ca="1" si="50"/>
        <v>12.698660018697414</v>
      </c>
      <c r="P90" s="93">
        <f t="shared" ca="1" si="51"/>
        <v>26.937696248553959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1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6">
        <f t="shared" ref="L91:N91" ca="1" si="53">L92+L93</f>
        <v>128360</v>
      </c>
      <c r="M91" s="496">
        <f t="shared" ca="1" si="53"/>
        <v>60510</v>
      </c>
      <c r="N91" s="496">
        <f t="shared" ca="1" si="53"/>
        <v>16300</v>
      </c>
      <c r="O91" s="496">
        <f t="shared" ca="1" si="50"/>
        <v>12.698660018697414</v>
      </c>
      <c r="P91" s="496">
        <f t="shared" ca="1" si="51"/>
        <v>26.937696248553959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2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2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IFERROR(__xludf.DUMMYFUNCTION("IMPORTRANGE(""https://docs.google.com/spreadsheets/d/1MeEWN-I1oV_STSDYn1IFDPWt_1FKiwhDph83XaGc0o0/edit?usp=sharing"",""งบพรบ!AQ67"")"),128360)</f>
        <v>128360</v>
      </c>
      <c r="M93" s="93">
        <f ca="1">IFERROR(__xludf.DUMMYFUNCTION("IMPORTRANGE(""https://docs.google.com/spreadsheets/d/1MeEWN-I1oV_STSDYn1IFDPWt_1FKiwhDph83XaGc0o0/edit?usp=sharing"",""งบพรบ!AV67"")"),60510)</f>
        <v>60510</v>
      </c>
      <c r="N93" s="93">
        <f ca="1">IFERROR(__xludf.DUMMYFUNCTION("IMPORTRANGE(""https://docs.google.com/spreadsheets/d/1MeEWN-I1oV_STSDYn1IFDPWt_1FKiwhDph83XaGc0o0/edit?usp=sharing"",""งบพรบ!AX67"")"),16300)</f>
        <v>16300</v>
      </c>
      <c r="O93" s="93">
        <f t="shared" ca="1" si="50"/>
        <v>12.698660018697414</v>
      </c>
      <c r="P93" s="93">
        <f t="shared" ca="1" si="51"/>
        <v>26.937696248553959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1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6">
        <f t="shared" ref="L94:N94" ca="1" si="54">L95+L96</f>
        <v>0</v>
      </c>
      <c r="M94" s="496">
        <f t="shared" ca="1" si="54"/>
        <v>0</v>
      </c>
      <c r="N94" s="496">
        <f t="shared" ca="1" si="54"/>
        <v>0</v>
      </c>
      <c r="O94" s="496">
        <f t="shared" ca="1" si="50"/>
        <v>0</v>
      </c>
      <c r="P94" s="496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2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2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IFERROR(__xludf.DUMMYFUNCTION("IMPORTRANGE(""https://docs.google.com/spreadsheets/d/1MeEWN-I1oV_STSDYn1IFDPWt_1FKiwhDph83XaGc0o0/edit?usp=sharing"",""งบพรบ!AT67"")"),0)</f>
        <v>0</v>
      </c>
      <c r="M96" s="93">
        <f ca="1">IFERROR(__xludf.DUMMYFUNCTION("IMPORTRANGE(""https://docs.google.com/spreadsheets/d/1MeEWN-I1oV_STSDYn1IFDPWt_1FKiwhDph83XaGc0o0/edit?usp=sharing"",""งบพรบ!AW67"")"),0)</f>
        <v>0</v>
      </c>
      <c r="N96" s="93">
        <f ca="1">IFERROR(__xludf.DUMMYFUNCTION("IMPORTRANGE(""https://docs.google.com/spreadsheets/d/1MeEWN-I1oV_STSDYn1IFDPWt_1FKiwhDph83XaGc0o0/edit?usp=sharing"",""งบพรบ!AY67"")"),0)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23" t="s">
        <v>38</v>
      </c>
      <c r="E97" s="173"/>
      <c r="F97" s="173"/>
      <c r="G97" s="174"/>
      <c r="H97" s="753"/>
      <c r="I97" s="184"/>
      <c r="J97" s="269"/>
      <c r="K97" s="496"/>
      <c r="L97" s="496"/>
      <c r="M97" s="496"/>
      <c r="N97" s="496"/>
      <c r="O97" s="163"/>
      <c r="P97" s="163"/>
    </row>
    <row r="98" spans="1:16" ht="18.75">
      <c r="A98" s="170"/>
      <c r="B98" s="171"/>
      <c r="C98" s="171"/>
      <c r="D98" s="446" t="s">
        <v>47</v>
      </c>
      <c r="E98" s="446"/>
      <c r="F98" s="178"/>
      <c r="G98" s="179"/>
      <c r="H98" s="616" t="s">
        <v>46</v>
      </c>
      <c r="I98" s="269">
        <f ca="1">IFERROR(__xludf.DUMMYFUNCTION("IMPORTRANGE(""https://docs.google.com/spreadsheets/d/1QqKyyYR6Q21VydFLVH3TRQUabQu_ym0Zz7PgGX0-kHA/edit?usp=sharing"",""แผน!K67"")"),45)</f>
        <v>45</v>
      </c>
      <c r="J98" s="269">
        <f>J102</f>
        <v>45</v>
      </c>
      <c r="K98" s="496">
        <f t="shared" ref="K98:K100" ca="1" si="55">IF(I98&gt;0,J98*100/I98,0)</f>
        <v>100</v>
      </c>
      <c r="L98" s="496"/>
      <c r="M98" s="496"/>
      <c r="N98" s="496"/>
      <c r="O98" s="163"/>
      <c r="P98" s="163"/>
    </row>
    <row r="99" spans="1:16" ht="18.75">
      <c r="A99" s="170"/>
      <c r="B99" s="171"/>
      <c r="C99" s="171"/>
      <c r="D99" s="446" t="s">
        <v>48</v>
      </c>
      <c r="E99" s="446"/>
      <c r="F99" s="178"/>
      <c r="G99" s="179"/>
      <c r="H99" s="616" t="s">
        <v>35</v>
      </c>
      <c r="I99" s="269">
        <f ca="1">IFERROR(__xludf.DUMMYFUNCTION("IMPORTRANGE(""https://docs.google.com/spreadsheets/d/1QqKyyYR6Q21VydFLVH3TRQUabQu_ym0Zz7PgGX0-kHA/edit?usp=sharing"",""แผน!L67"")"),15)</f>
        <v>15</v>
      </c>
      <c r="J99" s="269">
        <f>J104</f>
        <v>0</v>
      </c>
      <c r="K99" s="496">
        <f t="shared" ca="1" si="55"/>
        <v>0</v>
      </c>
      <c r="L99" s="496"/>
      <c r="M99" s="496"/>
      <c r="N99" s="496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16" t="s">
        <v>49</v>
      </c>
      <c r="I100" s="269">
        <f ca="1">IFERROR(__xludf.DUMMYFUNCTION("IMPORTRANGE(""https://docs.google.com/spreadsheets/d/1QqKyyYR6Q21VydFLVH3TRQUabQu_ym0Zz7PgGX0-kHA/edit?usp=sharing"",""แผน!M67"")"),3)</f>
        <v>3</v>
      </c>
      <c r="J100" s="269">
        <f>J107+J110</f>
        <v>0</v>
      </c>
      <c r="K100" s="496">
        <f t="shared" ca="1" si="55"/>
        <v>0</v>
      </c>
      <c r="L100" s="496"/>
      <c r="M100" s="496"/>
      <c r="N100" s="496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16"/>
      <c r="I101" s="269"/>
      <c r="J101" s="269"/>
      <c r="K101" s="496"/>
      <c r="L101" s="496"/>
      <c r="M101" s="496"/>
      <c r="N101" s="496"/>
      <c r="O101" s="163"/>
      <c r="P101" s="163"/>
    </row>
    <row r="102" spans="1:16" ht="18.75">
      <c r="A102" s="170"/>
      <c r="B102" s="171"/>
      <c r="C102" s="171"/>
      <c r="D102" s="178"/>
      <c r="E102" s="619" t="s">
        <v>47</v>
      </c>
      <c r="F102" s="178"/>
      <c r="G102" s="179"/>
      <c r="H102" s="616" t="s">
        <v>46</v>
      </c>
      <c r="I102" s="269">
        <f ca="1">IFERROR(__xludf.DUMMYFUNCTION("IMPORTRANGE(""https://docs.google.com/spreadsheets/d/1QqKyyYR6Q21VydFLVH3TRQUabQu_ym0Zz7PgGX0-kHA/edit?usp=sharing"",""แผน!N67"")"),45)</f>
        <v>45</v>
      </c>
      <c r="J102" s="214">
        <v>45</v>
      </c>
      <c r="K102" s="496">
        <f t="shared" ref="K102:K104" ca="1" si="56">IF(I102&gt;0,J102*100/I102,0)</f>
        <v>100</v>
      </c>
      <c r="L102" s="496"/>
      <c r="M102" s="496"/>
      <c r="N102" s="496"/>
      <c r="O102" s="163"/>
      <c r="P102" s="163"/>
    </row>
    <row r="103" spans="1:16" ht="19.5">
      <c r="A103" s="170"/>
      <c r="B103" s="171"/>
      <c r="C103" s="171"/>
      <c r="D103" s="178"/>
      <c r="E103" s="446" t="s">
        <v>51</v>
      </c>
      <c r="F103" s="178"/>
      <c r="G103" s="179"/>
      <c r="H103" s="616" t="s">
        <v>35</v>
      </c>
      <c r="I103" s="269">
        <f ca="1">IFERROR(__xludf.DUMMYFUNCTION("IMPORTRANGE(""https://docs.google.com/spreadsheets/d/1QqKyyYR6Q21VydFLVH3TRQUabQu_ym0Zz7PgGX0-kHA/edit?usp=sharing"",""แผน!O67"")"),15)</f>
        <v>15</v>
      </c>
      <c r="J103" s="214">
        <v>15</v>
      </c>
      <c r="K103" s="496">
        <f t="shared" ca="1" si="56"/>
        <v>100</v>
      </c>
      <c r="L103" s="496"/>
      <c r="M103" s="496"/>
      <c r="N103" s="496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16" t="s">
        <v>35</v>
      </c>
      <c r="I104" s="269">
        <f ca="1">IFERROR(__xludf.DUMMYFUNCTION("IMPORTRANGE(""https://docs.google.com/spreadsheets/d/1QqKyyYR6Q21VydFLVH3TRQUabQu_ym0Zz7PgGX0-kHA/edit?usp=sharing"",""แผน!O67"")"),15)</f>
        <v>15</v>
      </c>
      <c r="J104" s="214">
        <v>0</v>
      </c>
      <c r="K104" s="496">
        <f t="shared" ca="1" si="56"/>
        <v>0</v>
      </c>
      <c r="L104" s="496"/>
      <c r="M104" s="496"/>
      <c r="N104" s="496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69"/>
      <c r="J105" s="269"/>
      <c r="K105" s="496"/>
      <c r="L105" s="496"/>
      <c r="M105" s="496"/>
      <c r="N105" s="496"/>
      <c r="O105" s="163"/>
      <c r="P105" s="163"/>
    </row>
    <row r="106" spans="1:16" ht="19.5">
      <c r="A106" s="170"/>
      <c r="B106" s="171"/>
      <c r="C106" s="171"/>
      <c r="D106" s="178"/>
      <c r="E106" s="446" t="s">
        <v>54</v>
      </c>
      <c r="F106" s="178"/>
      <c r="G106" s="179"/>
      <c r="H106" s="616" t="s">
        <v>49</v>
      </c>
      <c r="I106" s="269">
        <f ca="1">IFERROR(__xludf.DUMMYFUNCTION("IMPORTRANGE(""https://docs.google.com/spreadsheets/d/1QqKyyYR6Q21VydFLVH3TRQUabQu_ym0Zz7PgGX0-kHA/edit?usp=sharing"",""แผน!P67"")"),2)</f>
        <v>2</v>
      </c>
      <c r="J106" s="214">
        <v>0</v>
      </c>
      <c r="K106" s="496">
        <f t="shared" ref="K106:K107" ca="1" si="57">IF(I106&gt;0,J106*100/I106,0)</f>
        <v>0</v>
      </c>
      <c r="L106" s="496"/>
      <c r="M106" s="496"/>
      <c r="N106" s="496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16" t="s">
        <v>49</v>
      </c>
      <c r="I107" s="269">
        <f ca="1">IFERROR(__xludf.DUMMYFUNCTION("IMPORTRANGE(""https://docs.google.com/spreadsheets/d/1QqKyyYR6Q21VydFLVH3TRQUabQu_ym0Zz7PgGX0-kHA/edit?usp=sharing"",""แผน!P67"")"),2)</f>
        <v>2</v>
      </c>
      <c r="J107" s="214">
        <v>0</v>
      </c>
      <c r="K107" s="496">
        <f t="shared" ca="1" si="57"/>
        <v>0</v>
      </c>
      <c r="L107" s="496"/>
      <c r="M107" s="496"/>
      <c r="N107" s="496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69"/>
      <c r="J108" s="269"/>
      <c r="K108" s="496"/>
      <c r="L108" s="496"/>
      <c r="M108" s="496"/>
      <c r="N108" s="496"/>
      <c r="O108" s="163"/>
      <c r="P108" s="163"/>
    </row>
    <row r="109" spans="1:16" ht="19.5">
      <c r="A109" s="170"/>
      <c r="B109" s="171"/>
      <c r="C109" s="171"/>
      <c r="D109" s="178"/>
      <c r="E109" s="446" t="s">
        <v>57</v>
      </c>
      <c r="F109" s="178"/>
      <c r="G109" s="179"/>
      <c r="H109" s="616" t="s">
        <v>49</v>
      </c>
      <c r="I109" s="269">
        <f ca="1">IFERROR(__xludf.DUMMYFUNCTION("IMPORTRANGE(""https://docs.google.com/spreadsheets/d/1QqKyyYR6Q21VydFLVH3TRQUabQu_ym0Zz7PgGX0-kHA/edit?usp=sharing"",""แผน!Q67"")"),1)</f>
        <v>1</v>
      </c>
      <c r="J109" s="214">
        <v>0</v>
      </c>
      <c r="K109" s="496">
        <f t="shared" ref="K109:K116" ca="1" si="58">IF(I109&gt;0,J109*100/I109,0)</f>
        <v>0</v>
      </c>
      <c r="L109" s="496"/>
      <c r="M109" s="496"/>
      <c r="N109" s="496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16" t="s">
        <v>49</v>
      </c>
      <c r="I110" s="269">
        <f ca="1">IFERROR(__xludf.DUMMYFUNCTION("IMPORTRANGE(""https://docs.google.com/spreadsheets/d/1QqKyyYR6Q21VydFLVH3TRQUabQu_ym0Zz7PgGX0-kHA/edit?usp=sharing"",""แผน!Q67"")"),1)</f>
        <v>1</v>
      </c>
      <c r="J110" s="214">
        <v>0</v>
      </c>
      <c r="K110" s="496">
        <f t="shared" ca="1" si="58"/>
        <v>0</v>
      </c>
      <c r="L110" s="496"/>
      <c r="M110" s="496"/>
      <c r="N110" s="496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58" t="s">
        <v>35</v>
      </c>
      <c r="I111" s="193">
        <f ca="1">IFERROR(__xludf.DUMMYFUNCTION("IMPORTRANGE(""https://docs.google.com/spreadsheets/d/1QqKyyYR6Q21VydFLVH3TRQUabQu_ym0Zz7PgGX0-kHA/edit?usp=sharing"",""แผน!R67"")"),15)</f>
        <v>15</v>
      </c>
      <c r="J111" s="674">
        <f>J114</f>
        <v>0</v>
      </c>
      <c r="K111" s="195">
        <f t="shared" ca="1" si="58"/>
        <v>0</v>
      </c>
      <c r="L111" s="496"/>
      <c r="M111" s="496"/>
      <c r="N111" s="496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3</v>
      </c>
      <c r="J112" s="674">
        <f t="shared" si="59"/>
        <v>0</v>
      </c>
      <c r="K112" s="195">
        <f t="shared" ca="1" si="58"/>
        <v>0</v>
      </c>
      <c r="L112" s="496"/>
      <c r="M112" s="496"/>
      <c r="N112" s="496"/>
      <c r="O112" s="163"/>
      <c r="P112" s="163"/>
    </row>
    <row r="113" spans="1:26" ht="19.5">
      <c r="A113" s="170"/>
      <c r="B113" s="171"/>
      <c r="C113" s="171"/>
      <c r="D113" s="171"/>
      <c r="E113" s="525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IFERROR(__xludf.DUMMYFUNCTION("IMPORTRANGE(""https://docs.google.com/spreadsheets/d/1QqKyyYR6Q21VydFLVH3TRQUabQu_ym0Zz7PgGX0-kHA/edit?usp=sharing"",""แผน!R67"")"),15)</f>
        <v>15</v>
      </c>
      <c r="J113" s="214">
        <v>0</v>
      </c>
      <c r="K113" s="496">
        <f t="shared" ca="1" si="58"/>
        <v>0</v>
      </c>
      <c r="L113" s="496"/>
      <c r="M113" s="496"/>
      <c r="N113" s="496"/>
      <c r="O113" s="163"/>
      <c r="P113" s="163"/>
    </row>
    <row r="114" spans="1:26" ht="19.5">
      <c r="A114" s="170"/>
      <c r="B114" s="171"/>
      <c r="C114" s="171"/>
      <c r="D114" s="171"/>
      <c r="E114" s="446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IFERROR(__xludf.DUMMYFUNCTION("IMPORTRANGE(""https://docs.google.com/spreadsheets/d/1QqKyyYR6Q21VydFLVH3TRQUabQu_ym0Zz7PgGX0-kHA/edit?usp=sharing"",""แผน!R67"")"),15)</f>
        <v>15</v>
      </c>
      <c r="J114" s="214">
        <v>0</v>
      </c>
      <c r="K114" s="496">
        <f t="shared" ca="1" si="58"/>
        <v>0</v>
      </c>
      <c r="L114" s="496"/>
      <c r="M114" s="496"/>
      <c r="N114" s="496"/>
      <c r="O114" s="163"/>
      <c r="P114" s="163"/>
    </row>
    <row r="115" spans="1:26" ht="18.75">
      <c r="A115" s="170"/>
      <c r="B115" s="171"/>
      <c r="C115" s="171"/>
      <c r="D115" s="171"/>
      <c r="E115" s="446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IFERROR(__xludf.DUMMYFUNCTION("IMPORTRANGE(""https://docs.google.com/spreadsheets/d/1QqKyyYR6Q21VydFLVH3TRQUabQu_ym0Zz7PgGX0-kHA/edit?usp=sharing"",""แผน!S67"")"),2)</f>
        <v>2</v>
      </c>
      <c r="J115" s="214">
        <v>0</v>
      </c>
      <c r="K115" s="496">
        <f t="shared" ca="1" si="58"/>
        <v>0</v>
      </c>
      <c r="L115" s="496"/>
      <c r="M115" s="496"/>
      <c r="N115" s="496"/>
      <c r="O115" s="163"/>
      <c r="P115" s="163"/>
    </row>
    <row r="116" spans="1:26" ht="18.75">
      <c r="A116" s="170"/>
      <c r="B116" s="171"/>
      <c r="C116" s="171"/>
      <c r="D116" s="171"/>
      <c r="E116" s="446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IFERROR(__xludf.DUMMYFUNCTION("IMPORTRANGE(""https://docs.google.com/spreadsheets/d/1QqKyyYR6Q21VydFLVH3TRQUabQu_ym0Zz7PgGX0-kHA/edit?usp=sharing"",""แผน!T67"")"),1)</f>
        <v>1</v>
      </c>
      <c r="J116" s="214">
        <v>0</v>
      </c>
      <c r="K116" s="496">
        <f t="shared" ca="1" si="58"/>
        <v>0</v>
      </c>
      <c r="L116" s="496"/>
      <c r="M116" s="496"/>
      <c r="N116" s="496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8" t="s">
        <v>65</v>
      </c>
      <c r="C118" s="204"/>
      <c r="D118" s="141"/>
      <c r="E118" s="140"/>
      <c r="F118" s="140"/>
      <c r="G118" s="142"/>
      <c r="H118" s="143"/>
      <c r="I118" s="205"/>
      <c r="J118" s="205"/>
      <c r="K118" s="146"/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22" t="s">
        <v>17</v>
      </c>
      <c r="E119" s="148"/>
      <c r="F119" s="148"/>
      <c r="G119" s="151"/>
      <c r="H119" s="152" t="s">
        <v>12</v>
      </c>
      <c r="I119" s="419"/>
      <c r="J119" s="419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2" t="s">
        <v>18</v>
      </c>
      <c r="F120" s="40"/>
      <c r="G120" s="157"/>
      <c r="H120" s="158" t="s">
        <v>12</v>
      </c>
      <c r="I120" s="610"/>
      <c r="J120" s="610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2" t="s">
        <v>19</v>
      </c>
      <c r="F121" s="40"/>
      <c r="G121" s="157"/>
      <c r="H121" s="158" t="s">
        <v>12</v>
      </c>
      <c r="I121" s="610"/>
      <c r="J121" s="610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1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6">
        <f t="shared" ref="L122:N122" ca="1" si="64">L123+L124</f>
        <v>0</v>
      </c>
      <c r="M122" s="496">
        <f t="shared" ca="1" si="64"/>
        <v>0</v>
      </c>
      <c r="N122" s="496">
        <f t="shared" ca="1" si="64"/>
        <v>0</v>
      </c>
      <c r="O122" s="496">
        <f t="shared" ca="1" si="61"/>
        <v>0</v>
      </c>
      <c r="P122" s="496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2"/>
      <c r="D123" s="40"/>
      <c r="E123" s="222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2"/>
      <c r="D124" s="40"/>
      <c r="E124" s="222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IFERROR(__xludf.DUMMYFUNCTION("IMPORTRANGE(""https://docs.google.com/spreadsheets/d/1MeEWN-I1oV_STSDYn1IFDPWt_1FKiwhDph83XaGc0o0/edit?usp=sharing"",""งบพรบ!BA67"")"),0)</f>
        <v>0</v>
      </c>
      <c r="M124" s="93">
        <f ca="1">IFERROR(__xludf.DUMMYFUNCTION("IMPORTRANGE(""https://docs.google.com/spreadsheets/d/1MeEWN-I1oV_STSDYn1IFDPWt_1FKiwhDph83XaGc0o0/edit?usp=sharing"",""งบพรบ!BF67"")"),0)</f>
        <v>0</v>
      </c>
      <c r="N124" s="93">
        <f ca="1">IFERROR(__xludf.DUMMYFUNCTION("IMPORTRANGE(""https://docs.google.com/spreadsheets/d/1MeEWN-I1oV_STSDYn1IFDPWt_1FKiwhDph83XaGc0o0/edit?usp=sharing"",""งบพรบ!BH67"")"),0)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1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6">
        <f t="shared" ref="L125:N125" ca="1" si="65">L126+L127</f>
        <v>0</v>
      </c>
      <c r="M125" s="496">
        <f t="shared" ca="1" si="65"/>
        <v>0</v>
      </c>
      <c r="N125" s="496">
        <f t="shared" ca="1" si="65"/>
        <v>0</v>
      </c>
      <c r="O125" s="496">
        <f t="shared" ca="1" si="61"/>
        <v>0</v>
      </c>
      <c r="P125" s="496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2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2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IFERROR(__xludf.DUMMYFUNCTION("IMPORTRANGE(""https://docs.google.com/spreadsheets/d/1MeEWN-I1oV_STSDYn1IFDPWt_1FKiwhDph83XaGc0o0/edit?usp=sharing"",""งบพรบ!BD67"")"),0)</f>
        <v>0</v>
      </c>
      <c r="M127" s="93">
        <f ca="1">IFERROR(__xludf.DUMMYFUNCTION("IMPORTRANGE(""https://docs.google.com/spreadsheets/d/1MeEWN-I1oV_STSDYn1IFDPWt_1FKiwhDph83XaGc0o0/edit?usp=sharing"",""งบพรบ!BG67"")"),0)</f>
        <v>0</v>
      </c>
      <c r="N127" s="93">
        <f ca="1">IFERROR(__xludf.DUMMYFUNCTION("IMPORTRANGE(""https://docs.google.com/spreadsheets/d/1MeEWN-I1oV_STSDYn1IFDPWt_1FKiwhDph83XaGc0o0/edit?usp=sharing"",""งบพรบ!BI67"")"),0)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66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8" t="s">
        <v>67</v>
      </c>
      <c r="C129" s="204"/>
      <c r="D129" s="141"/>
      <c r="E129" s="140"/>
      <c r="F129" s="140"/>
      <c r="G129" s="140"/>
      <c r="H129" s="207"/>
      <c r="I129" s="205"/>
      <c r="J129" s="205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8"/>
      <c r="C130" s="209" t="s">
        <v>68</v>
      </c>
      <c r="D130" s="141"/>
      <c r="E130" s="140"/>
      <c r="F130" s="140"/>
      <c r="G130" s="142"/>
      <c r="H130" s="143" t="s">
        <v>69</v>
      </c>
      <c r="I130" s="144">
        <f t="shared" ref="I130:J130" ca="1" si="66">I146</f>
        <v>0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8"/>
      <c r="C131" s="209" t="s">
        <v>70</v>
      </c>
      <c r="D131" s="141"/>
      <c r="E131" s="140"/>
      <c r="F131" s="140"/>
      <c r="G131" s="142"/>
      <c r="H131" s="143" t="s">
        <v>35</v>
      </c>
      <c r="I131" s="144">
        <f t="shared" ref="I131:J131" ca="1" si="68">I143</f>
        <v>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822" t="s">
        <v>17</v>
      </c>
      <c r="E132" s="148"/>
      <c r="F132" s="148"/>
      <c r="G132" s="151"/>
      <c r="H132" s="152" t="s">
        <v>12</v>
      </c>
      <c r="I132" s="419"/>
      <c r="J132" s="419"/>
      <c r="K132" s="154"/>
      <c r="L132" s="155">
        <f t="shared" ref="L132:N132" ca="1" si="69">L133+L134</f>
        <v>0</v>
      </c>
      <c r="M132" s="155">
        <f t="shared" ca="1" si="69"/>
        <v>0</v>
      </c>
      <c r="N132" s="155">
        <f t="shared" ca="1" si="69"/>
        <v>0</v>
      </c>
      <c r="O132" s="155">
        <f t="shared" ref="O132:O140" ca="1" si="70">IF(L132&gt;0,N132*100/L132,0)</f>
        <v>0</v>
      </c>
      <c r="P132" s="155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2" t="s">
        <v>18</v>
      </c>
      <c r="F133" s="40"/>
      <c r="G133" s="157"/>
      <c r="H133" s="158" t="s">
        <v>12</v>
      </c>
      <c r="I133" s="610"/>
      <c r="J133" s="610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2" t="s">
        <v>19</v>
      </c>
      <c r="F134" s="40"/>
      <c r="G134" s="157"/>
      <c r="H134" s="158" t="s">
        <v>12</v>
      </c>
      <c r="I134" s="610"/>
      <c r="J134" s="610"/>
      <c r="K134" s="93"/>
      <c r="L134" s="93">
        <f t="shared" ca="1" si="72"/>
        <v>0</v>
      </c>
      <c r="M134" s="93">
        <f t="shared" ca="1" si="72"/>
        <v>0</v>
      </c>
      <c r="N134" s="93">
        <f t="shared" ca="1" si="72"/>
        <v>0</v>
      </c>
      <c r="O134" s="93">
        <f t="shared" ca="1" si="70"/>
        <v>0</v>
      </c>
      <c r="P134" s="93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1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6">
        <f t="shared" ref="L135:N135" ca="1" si="73">L136+L137</f>
        <v>0</v>
      </c>
      <c r="M135" s="496">
        <f t="shared" ca="1" si="73"/>
        <v>0</v>
      </c>
      <c r="N135" s="496">
        <f t="shared" ca="1" si="73"/>
        <v>0</v>
      </c>
      <c r="O135" s="496">
        <f t="shared" ca="1" si="70"/>
        <v>0</v>
      </c>
      <c r="P135" s="496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2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2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IFERROR(__xludf.DUMMYFUNCTION("IMPORTRANGE(""https://docs.google.com/spreadsheets/d/1MeEWN-I1oV_STSDYn1IFDPWt_1FKiwhDph83XaGc0o0/edit?usp=sharing"",""งบพรบ!BK67"")"),0)</f>
        <v>0</v>
      </c>
      <c r="M137" s="93">
        <f ca="1">IFERROR(__xludf.DUMMYFUNCTION("IMPORTRANGE(""https://docs.google.com/spreadsheets/d/1MeEWN-I1oV_STSDYn1IFDPWt_1FKiwhDph83XaGc0o0/edit?usp=sharing"",""งบพรบ!BP67"")"),0)</f>
        <v>0</v>
      </c>
      <c r="N137" s="93">
        <f ca="1">IFERROR(__xludf.DUMMYFUNCTION("IMPORTRANGE(""https://docs.google.com/spreadsheets/d/1MeEWN-I1oV_STSDYn1IFDPWt_1FKiwhDph83XaGc0o0/edit?usp=sharing"",""งบพรบ!BR67"")"),0)</f>
        <v>0</v>
      </c>
      <c r="O137" s="93">
        <f t="shared" ca="1" si="70"/>
        <v>0</v>
      </c>
      <c r="P137" s="93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1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6">
        <f t="shared" ref="L138:N138" ca="1" si="74">L139+L140</f>
        <v>0</v>
      </c>
      <c r="M138" s="496">
        <f t="shared" ca="1" si="74"/>
        <v>0</v>
      </c>
      <c r="N138" s="496">
        <f t="shared" ca="1" si="74"/>
        <v>0</v>
      </c>
      <c r="O138" s="496">
        <f t="shared" ca="1" si="70"/>
        <v>0</v>
      </c>
      <c r="P138" s="496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2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2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IFERROR(__xludf.DUMMYFUNCTION("IMPORTRANGE(""https://docs.google.com/spreadsheets/d/1MeEWN-I1oV_STSDYn1IFDPWt_1FKiwhDph83XaGc0o0/edit?usp=sharing"",""งบพรบ!BN67"")"),0)</f>
        <v>0</v>
      </c>
      <c r="M140" s="93">
        <f ca="1">IFERROR(__xludf.DUMMYFUNCTION("IMPORTRANGE(""https://docs.google.com/spreadsheets/d/1MeEWN-I1oV_STSDYn1IFDPWt_1FKiwhDph83XaGc0o0/edit?usp=sharing"",""งบพรบ!BQ67"")"),0)</f>
        <v>0</v>
      </c>
      <c r="N140" s="93">
        <f ca="1">IFERROR(__xludf.DUMMYFUNCTION("IMPORTRANGE(""https://docs.google.com/spreadsheets/d/1MeEWN-I1oV_STSDYn1IFDPWt_1FKiwhDph83XaGc0o0/edit?usp=sharing"",""งบพรบ!BS67"")"),0)</f>
        <v>0</v>
      </c>
      <c r="O140" s="93">
        <f t="shared" ca="1" si="70"/>
        <v>0</v>
      </c>
      <c r="P140" s="93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823" t="s">
        <v>38</v>
      </c>
      <c r="E141" s="173"/>
      <c r="F141" s="173"/>
      <c r="G141" s="174"/>
      <c r="H141" s="168"/>
      <c r="I141" s="269"/>
      <c r="J141" s="269"/>
      <c r="K141" s="496"/>
      <c r="L141" s="496"/>
      <c r="M141" s="496"/>
      <c r="N141" s="496"/>
      <c r="O141" s="496"/>
      <c r="P141" s="496"/>
    </row>
    <row r="142" spans="1:26" ht="19.5" hidden="1">
      <c r="A142" s="159"/>
      <c r="B142" s="33"/>
      <c r="C142" s="210"/>
      <c r="D142" s="281" t="s">
        <v>71</v>
      </c>
      <c r="E142" s="34"/>
      <c r="F142" s="33"/>
      <c r="G142" s="213"/>
      <c r="H142" s="168"/>
      <c r="I142" s="269"/>
      <c r="J142" s="214">
        <v>0</v>
      </c>
      <c r="K142" s="496"/>
      <c r="L142" s="496"/>
      <c r="M142" s="496"/>
      <c r="N142" s="496"/>
      <c r="O142" s="496"/>
      <c r="P142" s="496"/>
    </row>
    <row r="143" spans="1:26" ht="19.5" hidden="1">
      <c r="A143" s="159"/>
      <c r="B143" s="33"/>
      <c r="C143" s="210"/>
      <c r="D143" s="281" t="s">
        <v>72</v>
      </c>
      <c r="E143" s="34"/>
      <c r="F143" s="33"/>
      <c r="G143" s="213"/>
      <c r="H143" s="168" t="s">
        <v>35</v>
      </c>
      <c r="I143" s="269">
        <f ca="1">I145</f>
        <v>0</v>
      </c>
      <c r="J143" s="269">
        <f ca="1">IF(AND(J144&gt;=I144,J145&gt;=I145),J145,0)</f>
        <v>0</v>
      </c>
      <c r="K143" s="496">
        <f t="shared" ref="K143:K146" ca="1" si="75">IF(I143&gt;0,J143*100/I143,0)</f>
        <v>0</v>
      </c>
      <c r="L143" s="496"/>
      <c r="M143" s="496"/>
      <c r="N143" s="496"/>
      <c r="O143" s="496"/>
      <c r="P143" s="496"/>
    </row>
    <row r="144" spans="1:26" ht="19.5" hidden="1">
      <c r="A144" s="159"/>
      <c r="B144" s="33"/>
      <c r="C144" s="210"/>
      <c r="D144" s="178"/>
      <c r="E144" s="281" t="s">
        <v>73</v>
      </c>
      <c r="F144" s="33"/>
      <c r="G144" s="213"/>
      <c r="H144" s="168" t="s">
        <v>35</v>
      </c>
      <c r="I144" s="269">
        <f ca="1">IFERROR(__xludf.DUMMYFUNCTION("IMPORTRANGE(""https://docs.google.com/spreadsheets/d/1QqKyyYR6Q21VydFLVH3TRQUabQu_ym0Zz7PgGX0-kHA/edit?usp=sharing"",""แผน!U67"")"),0)</f>
        <v>0</v>
      </c>
      <c r="J144" s="214">
        <v>0</v>
      </c>
      <c r="K144" s="496">
        <f t="shared" ca="1" si="75"/>
        <v>0</v>
      </c>
      <c r="L144" s="496"/>
      <c r="M144" s="496"/>
      <c r="N144" s="496"/>
      <c r="O144" s="496"/>
      <c r="P144" s="496"/>
    </row>
    <row r="145" spans="1:26" ht="19.5" hidden="1">
      <c r="A145" s="159"/>
      <c r="B145" s="33"/>
      <c r="C145" s="210"/>
      <c r="D145" s="178"/>
      <c r="E145" s="281" t="s">
        <v>74</v>
      </c>
      <c r="F145" s="33"/>
      <c r="G145" s="213"/>
      <c r="H145" s="168" t="s">
        <v>35</v>
      </c>
      <c r="I145" s="269">
        <f ca="1">IFERROR(__xludf.DUMMYFUNCTION("IMPORTRANGE(""https://docs.google.com/spreadsheets/d/1QqKyyYR6Q21VydFLVH3TRQUabQu_ym0Zz7PgGX0-kHA/edit?usp=sharing"",""แผน!V67"")"),0)</f>
        <v>0</v>
      </c>
      <c r="J145" s="214">
        <v>0</v>
      </c>
      <c r="K145" s="496">
        <f t="shared" ca="1" si="75"/>
        <v>0</v>
      </c>
      <c r="L145" s="496"/>
      <c r="M145" s="496"/>
      <c r="N145" s="496"/>
      <c r="O145" s="496"/>
      <c r="P145" s="496"/>
    </row>
    <row r="146" spans="1:26" ht="19.5" hidden="1">
      <c r="A146" s="159"/>
      <c r="B146" s="33"/>
      <c r="C146" s="210"/>
      <c r="D146" s="281" t="s">
        <v>75</v>
      </c>
      <c r="E146" s="34"/>
      <c r="F146" s="33"/>
      <c r="G146" s="213"/>
      <c r="H146" s="168" t="s">
        <v>69</v>
      </c>
      <c r="I146" s="269">
        <f ca="1">IFERROR(__xludf.DUMMYFUNCTION("IMPORTRANGE(""https://docs.google.com/spreadsheets/d/1QqKyyYR6Q21VydFLVH3TRQUabQu_ym0Zz7PgGX0-kHA/edit?usp=sharing"",""แผน!W67"")"),0)</f>
        <v>0</v>
      </c>
      <c r="J146" s="214">
        <v>0</v>
      </c>
      <c r="K146" s="496">
        <f t="shared" ca="1" si="75"/>
        <v>0</v>
      </c>
      <c r="L146" s="496"/>
      <c r="M146" s="496"/>
      <c r="N146" s="496"/>
      <c r="O146" s="496"/>
      <c r="P146" s="496"/>
    </row>
    <row r="147" spans="1:26" ht="19.5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>
      <c r="A148" s="216"/>
      <c r="B148" s="208" t="s">
        <v>77</v>
      </c>
      <c r="C148" s="208"/>
      <c r="D148" s="208"/>
      <c r="E148" s="824"/>
      <c r="F148" s="218"/>
      <c r="G148" s="219"/>
      <c r="H148" s="220" t="s">
        <v>35</v>
      </c>
      <c r="I148" s="144">
        <f t="shared" ref="I148:J148" ca="1" si="76">I159</f>
        <v>15</v>
      </c>
      <c r="J148" s="144">
        <f t="shared" si="76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1"/>
      <c r="R148" s="221"/>
      <c r="S148" s="221"/>
      <c r="T148" s="221"/>
      <c r="U148" s="221"/>
      <c r="V148" s="221"/>
      <c r="W148" s="221"/>
      <c r="X148" s="221"/>
      <c r="Y148" s="221"/>
      <c r="Z148" s="221"/>
    </row>
    <row r="149" spans="1:26" ht="19.5">
      <c r="A149" s="147"/>
      <c r="B149" s="148"/>
      <c r="C149" s="149" t="s">
        <v>16</v>
      </c>
      <c r="D149" s="822" t="s">
        <v>17</v>
      </c>
      <c r="E149" s="148"/>
      <c r="F149" s="148"/>
      <c r="G149" s="151"/>
      <c r="H149" s="152" t="s">
        <v>12</v>
      </c>
      <c r="I149" s="419"/>
      <c r="J149" s="419"/>
      <c r="K149" s="154"/>
      <c r="L149" s="155">
        <f t="shared" ref="L149:N149" ca="1" si="77">L150+L151</f>
        <v>7500</v>
      </c>
      <c r="M149" s="155">
        <f t="shared" ca="1" si="77"/>
        <v>7500</v>
      </c>
      <c r="N149" s="155">
        <f t="shared" ca="1" si="77"/>
        <v>0</v>
      </c>
      <c r="O149" s="155">
        <f t="shared" ref="O149:O157" ca="1" si="78">IF(L149&gt;0,N149*100/L149,0)</f>
        <v>0</v>
      </c>
      <c r="P149" s="155">
        <f t="shared" ref="P149:P157" ca="1" si="79">IF(M149&gt;0,N149*100/M149,0)</f>
        <v>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2" t="s">
        <v>18</v>
      </c>
      <c r="F150" s="40"/>
      <c r="G150" s="157"/>
      <c r="H150" s="158" t="s">
        <v>12</v>
      </c>
      <c r="I150" s="610"/>
      <c r="J150" s="610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2" t="s">
        <v>19</v>
      </c>
      <c r="F151" s="40"/>
      <c r="G151" s="157"/>
      <c r="H151" s="158" t="s">
        <v>12</v>
      </c>
      <c r="I151" s="610"/>
      <c r="J151" s="610"/>
      <c r="K151" s="93"/>
      <c r="L151" s="93">
        <f t="shared" ca="1" si="80"/>
        <v>7500</v>
      </c>
      <c r="M151" s="93">
        <f t="shared" ca="1" si="80"/>
        <v>7500</v>
      </c>
      <c r="N151" s="93">
        <f t="shared" ca="1" si="80"/>
        <v>0</v>
      </c>
      <c r="O151" s="93">
        <f t="shared" ca="1" si="78"/>
        <v>0</v>
      </c>
      <c r="P151" s="93">
        <f t="shared" ca="1" si="79"/>
        <v>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>
      <c r="A152" s="159"/>
      <c r="B152" s="33"/>
      <c r="C152" s="281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6">
        <f t="shared" ref="L152:N152" ca="1" si="81">L153+L154</f>
        <v>7500</v>
      </c>
      <c r="M152" s="496">
        <f t="shared" ca="1" si="81"/>
        <v>7500</v>
      </c>
      <c r="N152" s="496">
        <f t="shared" ca="1" si="81"/>
        <v>0</v>
      </c>
      <c r="O152" s="496">
        <f t="shared" ca="1" si="78"/>
        <v>0</v>
      </c>
      <c r="P152" s="496">
        <f t="shared" ca="1" si="79"/>
        <v>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2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2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IFERROR(__xludf.DUMMYFUNCTION("IMPORTRANGE(""https://docs.google.com/spreadsheets/d/1MeEWN-I1oV_STSDYn1IFDPWt_1FKiwhDph83XaGc0o0/edit?usp=sharing"",""งบพรบ!BU67"")"),7500)</f>
        <v>7500</v>
      </c>
      <c r="M154" s="93">
        <f ca="1">IFERROR(__xludf.DUMMYFUNCTION("IMPORTRANGE(""https://docs.google.com/spreadsheets/d/1MeEWN-I1oV_STSDYn1IFDPWt_1FKiwhDph83XaGc0o0/edit?usp=sharing"",""งบพรบ!BZ67"")"),7500)</f>
        <v>7500</v>
      </c>
      <c r="N154" s="93">
        <f ca="1">IFERROR(__xludf.DUMMYFUNCTION("IMPORTRANGE(""https://docs.google.com/spreadsheets/d/1MeEWN-I1oV_STSDYn1IFDPWt_1FKiwhDph83XaGc0o0/edit?usp=sharing"",""งบพรบ!CB67"")"),0)</f>
        <v>0</v>
      </c>
      <c r="O154" s="93">
        <f t="shared" ca="1" si="78"/>
        <v>0</v>
      </c>
      <c r="P154" s="93">
        <f t="shared" ca="1" si="79"/>
        <v>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>
      <c r="A155" s="159"/>
      <c r="B155" s="33"/>
      <c r="C155" s="281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6">
        <f t="shared" ref="L155:N155" ca="1" si="82">L156+L157</f>
        <v>0</v>
      </c>
      <c r="M155" s="496">
        <f t="shared" ca="1" si="82"/>
        <v>0</v>
      </c>
      <c r="N155" s="496">
        <f t="shared" ca="1" si="82"/>
        <v>0</v>
      </c>
      <c r="O155" s="496">
        <f t="shared" ca="1" si="78"/>
        <v>0</v>
      </c>
      <c r="P155" s="496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2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2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IFERROR(__xludf.DUMMYFUNCTION("IMPORTRANGE(""https://docs.google.com/spreadsheets/d/1MeEWN-I1oV_STSDYn1IFDPWt_1FKiwhDph83XaGc0o0/edit?usp=sharing"",""งบพรบ!BX67"")"),0)</f>
        <v>0</v>
      </c>
      <c r="M157" s="93">
        <f ca="1">IFERROR(__xludf.DUMMYFUNCTION("IMPORTRANGE(""https://docs.google.com/spreadsheets/d/1MeEWN-I1oV_STSDYn1IFDPWt_1FKiwhDph83XaGc0o0/edit?usp=sharing"",""งบพรบ!CA67"")"),0)</f>
        <v>0</v>
      </c>
      <c r="N157" s="93">
        <f ca="1">IFERROR(__xludf.DUMMYFUNCTION("IMPORTRANGE(""https://docs.google.com/spreadsheets/d/1MeEWN-I1oV_STSDYn1IFDPWt_1FKiwhDph83XaGc0o0/edit?usp=sharing"",""งบพรบ!CC67"")"),0)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>
      <c r="A158" s="170"/>
      <c r="B158" s="171"/>
      <c r="C158" s="164" t="s">
        <v>16</v>
      </c>
      <c r="D158" s="823" t="s">
        <v>38</v>
      </c>
      <c r="E158" s="173"/>
      <c r="F158" s="173"/>
      <c r="G158" s="174"/>
      <c r="H158" s="168"/>
      <c r="I158" s="269"/>
      <c r="J158" s="269"/>
      <c r="K158" s="496"/>
      <c r="L158" s="496"/>
      <c r="M158" s="496"/>
      <c r="N158" s="496"/>
      <c r="O158" s="496"/>
      <c r="P158" s="496"/>
    </row>
    <row r="159" spans="1:26" ht="19.5">
      <c r="A159" s="159"/>
      <c r="B159" s="33"/>
      <c r="C159" s="210"/>
      <c r="D159" s="281" t="s">
        <v>78</v>
      </c>
      <c r="E159" s="34"/>
      <c r="F159" s="33"/>
      <c r="G159" s="213"/>
      <c r="H159" s="168" t="s">
        <v>35</v>
      </c>
      <c r="I159" s="269">
        <f ca="1">IFERROR(__xludf.DUMMYFUNCTION("IMPORTRANGE(""https://docs.google.com/spreadsheets/d/1QqKyyYR6Q21VydFLVH3TRQUabQu_ym0Zz7PgGX0-kHA/edit?usp=sharing"",""แผน!X67"")"),15)</f>
        <v>15</v>
      </c>
      <c r="J159" s="214">
        <v>0</v>
      </c>
      <c r="K159" s="496">
        <f ca="1">IF(I159&gt;0,J159*100/I159,0)</f>
        <v>0</v>
      </c>
      <c r="L159" s="496"/>
      <c r="M159" s="496"/>
      <c r="N159" s="496"/>
      <c r="O159" s="496"/>
      <c r="P159" s="496"/>
    </row>
    <row r="160" spans="1:26" ht="19.5" hidden="1">
      <c r="A160" s="156"/>
      <c r="B160" s="40"/>
      <c r="C160" s="164"/>
      <c r="D160" s="222" t="s">
        <v>79</v>
      </c>
      <c r="E160" s="223"/>
      <c r="F160" s="40"/>
      <c r="G160" s="157"/>
      <c r="H160" s="169" t="s">
        <v>35</v>
      </c>
      <c r="I160" s="610"/>
      <c r="J160" s="610"/>
      <c r="K160" s="93"/>
      <c r="L160" s="93"/>
      <c r="M160" s="93"/>
      <c r="N160" s="93"/>
      <c r="O160" s="93"/>
      <c r="P160" s="93"/>
      <c r="Q160" s="224"/>
      <c r="R160" s="224"/>
      <c r="S160" s="224"/>
      <c r="T160" s="224"/>
      <c r="U160" s="224"/>
      <c r="V160" s="224"/>
      <c r="W160" s="224"/>
      <c r="X160" s="224"/>
      <c r="Y160" s="224"/>
      <c r="Z160" s="224"/>
    </row>
    <row r="161" spans="1:26" ht="19.5" hidden="1">
      <c r="A161" s="225"/>
      <c r="B161" s="226"/>
      <c r="C161" s="227"/>
      <c r="D161" s="228" t="s">
        <v>80</v>
      </c>
      <c r="E161" s="825"/>
      <c r="F161" s="226"/>
      <c r="G161" s="230"/>
      <c r="H161" s="231" t="s">
        <v>35</v>
      </c>
      <c r="I161" s="232"/>
      <c r="J161" s="232"/>
      <c r="K161" s="233"/>
      <c r="L161" s="233"/>
      <c r="M161" s="233"/>
      <c r="N161" s="233"/>
      <c r="O161" s="233"/>
      <c r="P161" s="233"/>
      <c r="Q161" s="224"/>
      <c r="R161" s="224"/>
      <c r="S161" s="224"/>
      <c r="T161" s="224"/>
      <c r="U161" s="224"/>
      <c r="V161" s="224"/>
      <c r="W161" s="224"/>
      <c r="X161" s="224"/>
      <c r="Y161" s="224"/>
      <c r="Z161" s="224"/>
    </row>
    <row r="162" spans="1:26" ht="19.5">
      <c r="A162" s="234" t="s">
        <v>81</v>
      </c>
      <c r="B162" s="235"/>
      <c r="C162" s="235"/>
      <c r="D162" s="235"/>
      <c r="E162" s="236"/>
      <c r="F162" s="236"/>
      <c r="G162" s="237"/>
      <c r="H162" s="238"/>
      <c r="I162" s="239"/>
      <c r="J162" s="239"/>
      <c r="K162" s="240"/>
      <c r="L162" s="240"/>
      <c r="M162" s="240"/>
      <c r="N162" s="240"/>
      <c r="O162" s="240"/>
      <c r="P162" s="240"/>
    </row>
    <row r="163" spans="1:26" ht="19.5">
      <c r="A163" s="241" t="s">
        <v>82</v>
      </c>
      <c r="B163" s="242"/>
      <c r="C163" s="242"/>
      <c r="D163" s="243"/>
      <c r="E163" s="243"/>
      <c r="F163" s="243"/>
      <c r="G163" s="244"/>
      <c r="H163" s="245"/>
      <c r="I163" s="246"/>
      <c r="J163" s="246"/>
      <c r="K163" s="247"/>
      <c r="L163" s="247"/>
      <c r="M163" s="247"/>
      <c r="N163" s="247"/>
      <c r="O163" s="247"/>
      <c r="P163" s="247"/>
    </row>
    <row r="164" spans="1:26" ht="19.5">
      <c r="A164" s="248"/>
      <c r="B164" s="249" t="s">
        <v>83</v>
      </c>
      <c r="C164" s="250"/>
      <c r="D164" s="173"/>
      <c r="E164" s="173"/>
      <c r="F164" s="173"/>
      <c r="G164" s="174"/>
      <c r="H164" s="251" t="s">
        <v>35</v>
      </c>
      <c r="I164" s="252">
        <f t="shared" ref="I164:J164" ca="1" si="83">I174+I177</f>
        <v>10</v>
      </c>
      <c r="J164" s="252">
        <f t="shared" si="83"/>
        <v>0</v>
      </c>
      <c r="K164" s="253">
        <f ca="1">IF(I164&gt;0,J164*100/I164,0)</f>
        <v>0</v>
      </c>
      <c r="L164" s="254"/>
      <c r="M164" s="254"/>
      <c r="N164" s="254"/>
      <c r="O164" s="254"/>
      <c r="P164" s="254"/>
    </row>
    <row r="165" spans="1:26" ht="19.5">
      <c r="A165" s="147"/>
      <c r="B165" s="148"/>
      <c r="C165" s="149" t="s">
        <v>16</v>
      </c>
      <c r="D165" s="822" t="s">
        <v>17</v>
      </c>
      <c r="E165" s="148"/>
      <c r="F165" s="148"/>
      <c r="G165" s="151"/>
      <c r="H165" s="152" t="s">
        <v>12</v>
      </c>
      <c r="I165" s="419"/>
      <c r="J165" s="419"/>
      <c r="K165" s="154"/>
      <c r="L165" s="155">
        <f t="shared" ref="L165:N165" ca="1" si="84">L166+L167</f>
        <v>21050</v>
      </c>
      <c r="M165" s="155">
        <f t="shared" ca="1" si="84"/>
        <v>21050</v>
      </c>
      <c r="N165" s="155">
        <f t="shared" ca="1" si="84"/>
        <v>0</v>
      </c>
      <c r="O165" s="155">
        <f t="shared" ref="O165:O173" ca="1" si="85">IF(L165&gt;0,N165*100/L165,0)</f>
        <v>0</v>
      </c>
      <c r="P165" s="155">
        <f t="shared" ref="P165:P173" ca="1" si="86">IF(M165&gt;0,N165*100/M165,0)</f>
        <v>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2" t="s">
        <v>18</v>
      </c>
      <c r="F166" s="40"/>
      <c r="G166" s="157"/>
      <c r="H166" s="158" t="s">
        <v>12</v>
      </c>
      <c r="I166" s="610"/>
      <c r="J166" s="610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2" t="s">
        <v>19</v>
      </c>
      <c r="F167" s="40"/>
      <c r="G167" s="157"/>
      <c r="H167" s="158" t="s">
        <v>12</v>
      </c>
      <c r="I167" s="610"/>
      <c r="J167" s="610"/>
      <c r="K167" s="93"/>
      <c r="L167" s="93">
        <f t="shared" ca="1" si="87"/>
        <v>21050</v>
      </c>
      <c r="M167" s="93">
        <f t="shared" ca="1" si="87"/>
        <v>21050</v>
      </c>
      <c r="N167" s="93">
        <f t="shared" ca="1" si="87"/>
        <v>0</v>
      </c>
      <c r="O167" s="93">
        <f t="shared" ca="1" si="85"/>
        <v>0</v>
      </c>
      <c r="P167" s="93">
        <f t="shared" ca="1" si="86"/>
        <v>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1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6">
        <f t="shared" ref="L168:N168" ca="1" si="88">L169+L170</f>
        <v>21050</v>
      </c>
      <c r="M168" s="496">
        <f t="shared" ca="1" si="88"/>
        <v>21050</v>
      </c>
      <c r="N168" s="496">
        <f t="shared" ca="1" si="88"/>
        <v>0</v>
      </c>
      <c r="O168" s="496">
        <f t="shared" ca="1" si="85"/>
        <v>0</v>
      </c>
      <c r="P168" s="496">
        <f t="shared" ca="1" si="86"/>
        <v>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2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2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IFERROR(__xludf.DUMMYFUNCTION("IMPORTRANGE(""https://docs.google.com/spreadsheets/d/1MeEWN-I1oV_STSDYn1IFDPWt_1FKiwhDph83XaGc0o0/edit?usp=sharing"",""งบพรบ!CE67"")"),21050)</f>
        <v>21050</v>
      </c>
      <c r="M170" s="93">
        <f ca="1">IFERROR(__xludf.DUMMYFUNCTION("IMPORTRANGE(""https://docs.google.com/spreadsheets/d/1MeEWN-I1oV_STSDYn1IFDPWt_1FKiwhDph83XaGc0o0/edit?usp=sharing"",""งบพรบ!CJ67"")"),21050)</f>
        <v>21050</v>
      </c>
      <c r="N170" s="93">
        <f ca="1">IFERROR(__xludf.DUMMYFUNCTION("IMPORTRANGE(""https://docs.google.com/spreadsheets/d/1MeEWN-I1oV_STSDYn1IFDPWt_1FKiwhDph83XaGc0o0/edit?usp=sharing"",""งบพรบ!CL67"")"),0)</f>
        <v>0</v>
      </c>
      <c r="O170" s="93">
        <f t="shared" ca="1" si="85"/>
        <v>0</v>
      </c>
      <c r="P170" s="93">
        <f t="shared" ca="1" si="86"/>
        <v>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1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6">
        <f t="shared" ref="L171:N171" ca="1" si="89">L172+L173</f>
        <v>0</v>
      </c>
      <c r="M171" s="496">
        <f t="shared" ca="1" si="89"/>
        <v>0</v>
      </c>
      <c r="N171" s="496">
        <f t="shared" ca="1" si="89"/>
        <v>0</v>
      </c>
      <c r="O171" s="496">
        <f t="shared" ca="1" si="85"/>
        <v>0</v>
      </c>
      <c r="P171" s="496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2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2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IFERROR(__xludf.DUMMYFUNCTION("IMPORTRANGE(""https://docs.google.com/spreadsheets/d/1MeEWN-I1oV_STSDYn1IFDPWt_1FKiwhDph83XaGc0o0/edit?usp=sharing"",""งบพรบ!CH67"")"),0)</f>
        <v>0</v>
      </c>
      <c r="M173" s="93">
        <f ca="1">IFERROR(__xludf.DUMMYFUNCTION("IMPORTRANGE(""https://docs.google.com/spreadsheets/d/1MeEWN-I1oV_STSDYn1IFDPWt_1FKiwhDph83XaGc0o0/edit?usp=sharing"",""งบพรบ!CK67"")"),0)</f>
        <v>0</v>
      </c>
      <c r="N173" s="93">
        <f ca="1">IFERROR(__xludf.DUMMYFUNCTION("IMPORTRANGE(""https://docs.google.com/spreadsheets/d/1MeEWN-I1oV_STSDYn1IFDPWt_1FKiwhDph83XaGc0o0/edit?usp=sharing"",""งบพรบ!CM67"")"),0)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5"/>
      <c r="B174" s="256"/>
      <c r="C174" s="257" t="s">
        <v>84</v>
      </c>
      <c r="D174" s="256"/>
      <c r="E174" s="256"/>
      <c r="F174" s="256"/>
      <c r="G174" s="258"/>
      <c r="H174" s="259" t="s">
        <v>35</v>
      </c>
      <c r="I174" s="260">
        <f t="shared" ref="I174:J174" ca="1" si="90">I176</f>
        <v>10</v>
      </c>
      <c r="J174" s="260">
        <f t="shared" si="90"/>
        <v>0</v>
      </c>
      <c r="K174" s="261">
        <f ca="1">IF(I174&gt;0,J174*100/I174,0)</f>
        <v>0</v>
      </c>
      <c r="L174" s="261"/>
      <c r="M174" s="261"/>
      <c r="N174" s="261"/>
      <c r="O174" s="261"/>
      <c r="P174" s="261"/>
    </row>
    <row r="175" spans="1:26" ht="19.5">
      <c r="A175" s="170"/>
      <c r="B175" s="171"/>
      <c r="C175" s="164" t="s">
        <v>16</v>
      </c>
      <c r="D175" s="823" t="s">
        <v>38</v>
      </c>
      <c r="E175" s="173"/>
      <c r="F175" s="173"/>
      <c r="G175" s="174"/>
      <c r="H175" s="753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37" t="s">
        <v>85</v>
      </c>
      <c r="E176" s="178"/>
      <c r="F176" s="178"/>
      <c r="G176" s="179"/>
      <c r="H176" s="616" t="s">
        <v>35</v>
      </c>
      <c r="I176" s="269">
        <f ca="1">IFERROR(__xludf.DUMMYFUNCTION("IMPORTRANGE(""https://docs.google.com/spreadsheets/d/1QqKyyYR6Q21VydFLVH3TRQUabQu_ym0Zz7PgGX0-kHA/edit?usp=sharing"",""แผน!Y67"")"),10)</f>
        <v>10</v>
      </c>
      <c r="J176" s="214">
        <v>0</v>
      </c>
      <c r="K176" s="163">
        <f ca="1">IF(I176&gt;0,J176*100/I176,0)</f>
        <v>0</v>
      </c>
      <c r="L176" s="163"/>
      <c r="M176" s="163"/>
      <c r="N176" s="163"/>
      <c r="O176" s="163"/>
      <c r="P176" s="163"/>
    </row>
    <row r="177" spans="1:26" ht="19.5" hidden="1">
      <c r="A177" s="255"/>
      <c r="B177" s="263"/>
      <c r="C177" s="264" t="s">
        <v>86</v>
      </c>
      <c r="D177" s="263"/>
      <c r="E177" s="256"/>
      <c r="F177" s="256"/>
      <c r="G177" s="258"/>
      <c r="H177" s="265" t="s">
        <v>35</v>
      </c>
      <c r="I177" s="260"/>
      <c r="J177" s="260">
        <f>J179</f>
        <v>0</v>
      </c>
      <c r="K177" s="261"/>
      <c r="L177" s="261"/>
      <c r="M177" s="261"/>
      <c r="N177" s="261"/>
      <c r="O177" s="261"/>
      <c r="P177" s="261"/>
    </row>
    <row r="178" spans="1:26" ht="19.5" hidden="1">
      <c r="A178" s="170"/>
      <c r="B178" s="171"/>
      <c r="C178" s="164" t="s">
        <v>16</v>
      </c>
      <c r="D178" s="266" t="s">
        <v>38</v>
      </c>
      <c r="E178" s="173"/>
      <c r="F178" s="173"/>
      <c r="G178" s="174"/>
      <c r="H178" s="753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3" t="s">
        <v>87</v>
      </c>
      <c r="E179" s="178"/>
      <c r="F179" s="366"/>
      <c r="G179" s="179"/>
      <c r="H179" s="43" t="s">
        <v>35</v>
      </c>
      <c r="I179" s="269"/>
      <c r="J179" s="269"/>
      <c r="K179" s="163"/>
      <c r="L179" s="163"/>
      <c r="M179" s="163"/>
      <c r="N179" s="163"/>
      <c r="O179" s="163"/>
      <c r="P179" s="163"/>
    </row>
    <row r="180" spans="1:26" ht="19.5">
      <c r="A180" s="248"/>
      <c r="B180" s="249" t="s">
        <v>88</v>
      </c>
      <c r="C180" s="250"/>
      <c r="D180" s="173"/>
      <c r="E180" s="173"/>
      <c r="F180" s="173"/>
      <c r="G180" s="174"/>
      <c r="H180" s="251" t="s">
        <v>35</v>
      </c>
      <c r="I180" s="252">
        <f t="shared" ref="I180:J180" ca="1" si="91">I225+I226</f>
        <v>0</v>
      </c>
      <c r="J180" s="252">
        <f t="shared" si="91"/>
        <v>0</v>
      </c>
      <c r="K180" s="253">
        <f ca="1">IF(I180&gt;0,J180*100/I180,0)</f>
        <v>0</v>
      </c>
      <c r="L180" s="254"/>
      <c r="M180" s="254"/>
      <c r="N180" s="254"/>
      <c r="O180" s="254"/>
      <c r="P180" s="254"/>
    </row>
    <row r="181" spans="1:26" ht="19.5">
      <c r="A181" s="147"/>
      <c r="B181" s="148"/>
      <c r="C181" s="149" t="s">
        <v>16</v>
      </c>
      <c r="D181" s="822" t="s">
        <v>17</v>
      </c>
      <c r="E181" s="148"/>
      <c r="F181" s="148"/>
      <c r="G181" s="151"/>
      <c r="H181" s="152" t="s">
        <v>12</v>
      </c>
      <c r="I181" s="419"/>
      <c r="J181" s="419"/>
      <c r="K181" s="154"/>
      <c r="L181" s="155">
        <f t="shared" ref="L181:N181" ca="1" si="92">L182+L183</f>
        <v>53000</v>
      </c>
      <c r="M181" s="155">
        <f t="shared" ca="1" si="92"/>
        <v>30000</v>
      </c>
      <c r="N181" s="155">
        <f t="shared" ca="1" si="92"/>
        <v>0</v>
      </c>
      <c r="O181" s="155">
        <f t="shared" ref="O181:O189" ca="1" si="93">IF(L181&gt;0,N181*100/L181,0)</f>
        <v>0</v>
      </c>
      <c r="P181" s="155">
        <f t="shared" ref="P181:P189" ca="1" si="94">IF(M181&gt;0,N181*100/M181,0)</f>
        <v>0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2" t="s">
        <v>18</v>
      </c>
      <c r="F182" s="40"/>
      <c r="G182" s="157"/>
      <c r="H182" s="158" t="s">
        <v>12</v>
      </c>
      <c r="I182" s="610"/>
      <c r="J182" s="610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2" t="s">
        <v>19</v>
      </c>
      <c r="F183" s="40"/>
      <c r="G183" s="157"/>
      <c r="H183" s="158" t="s">
        <v>12</v>
      </c>
      <c r="I183" s="610"/>
      <c r="J183" s="610"/>
      <c r="K183" s="93"/>
      <c r="L183" s="93">
        <f t="shared" ca="1" si="95"/>
        <v>53000</v>
      </c>
      <c r="M183" s="93">
        <f t="shared" ca="1" si="95"/>
        <v>30000</v>
      </c>
      <c r="N183" s="93">
        <f t="shared" ca="1" si="95"/>
        <v>0</v>
      </c>
      <c r="O183" s="93">
        <f t="shared" ca="1" si="93"/>
        <v>0</v>
      </c>
      <c r="P183" s="93">
        <f t="shared" ca="1" si="94"/>
        <v>0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1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6">
        <f t="shared" ref="L184:N184" ca="1" si="96">L185+L186</f>
        <v>53000</v>
      </c>
      <c r="M184" s="496">
        <f t="shared" ca="1" si="96"/>
        <v>30000</v>
      </c>
      <c r="N184" s="496">
        <f t="shared" ca="1" si="96"/>
        <v>0</v>
      </c>
      <c r="O184" s="496">
        <f t="shared" ca="1" si="93"/>
        <v>0</v>
      </c>
      <c r="P184" s="496">
        <f t="shared" ca="1" si="94"/>
        <v>0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2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2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IFERROR(__xludf.DUMMYFUNCTION("IMPORTRANGE(""https://docs.google.com/spreadsheets/d/1MeEWN-I1oV_STSDYn1IFDPWt_1FKiwhDph83XaGc0o0/edit?usp=sharing"",""งบพรบ!CO67"")"),53000)</f>
        <v>53000</v>
      </c>
      <c r="M186" s="93">
        <f ca="1">IFERROR(__xludf.DUMMYFUNCTION("IMPORTRANGE(""https://docs.google.com/spreadsheets/d/1MeEWN-I1oV_STSDYn1IFDPWt_1FKiwhDph83XaGc0o0/edit?usp=sharing"",""งบพรบ!CT67"")"),30000)</f>
        <v>30000</v>
      </c>
      <c r="N186" s="93">
        <f ca="1">IFERROR(__xludf.DUMMYFUNCTION("IMPORTRANGE(""https://docs.google.com/spreadsheets/d/1MeEWN-I1oV_STSDYn1IFDPWt_1FKiwhDph83XaGc0o0/edit?usp=sharing"",""งบพรบ!CV67"")"),0)</f>
        <v>0</v>
      </c>
      <c r="O186" s="93">
        <f t="shared" ca="1" si="93"/>
        <v>0</v>
      </c>
      <c r="P186" s="93">
        <f t="shared" ca="1" si="94"/>
        <v>0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1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6">
        <f t="shared" ref="L187:N187" ca="1" si="97">L188+L189</f>
        <v>0</v>
      </c>
      <c r="M187" s="496">
        <f t="shared" ca="1" si="97"/>
        <v>0</v>
      </c>
      <c r="N187" s="496">
        <f t="shared" ca="1" si="97"/>
        <v>0</v>
      </c>
      <c r="O187" s="496">
        <f t="shared" ca="1" si="93"/>
        <v>0</v>
      </c>
      <c r="P187" s="496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2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2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IFERROR(__xludf.DUMMYFUNCTION("IMPORTRANGE(""https://docs.google.com/spreadsheets/d/1MeEWN-I1oV_STSDYn1IFDPWt_1FKiwhDph83XaGc0o0/edit?usp=sharing"",""งบพรบ!CR67"")"),0)</f>
        <v>0</v>
      </c>
      <c r="M189" s="93">
        <f ca="1">IFERROR(__xludf.DUMMYFUNCTION("IMPORTRANGE(""https://docs.google.com/spreadsheets/d/1MeEWN-I1oV_STSDYn1IFDPWt_1FKiwhDph83XaGc0o0/edit?usp=sharing"",""งบพรบ!CU67"")"),0)</f>
        <v>0</v>
      </c>
      <c r="N189" s="93">
        <f ca="1">IFERROR(__xludf.DUMMYFUNCTION("IMPORTRANGE(""https://docs.google.com/spreadsheets/d/1MeEWN-I1oV_STSDYn1IFDPWt_1FKiwhDph83XaGc0o0/edit?usp=sharing"",""งบพรบ!CW67"")"),0)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5"/>
      <c r="B190" s="263"/>
      <c r="C190" s="270" t="s">
        <v>89</v>
      </c>
      <c r="D190" s="256"/>
      <c r="E190" s="256"/>
      <c r="F190" s="256"/>
      <c r="G190" s="258"/>
      <c r="H190" s="259" t="s">
        <v>90</v>
      </c>
      <c r="I190" s="271">
        <f t="shared" ref="I190:J190" ca="1" si="98">I193</f>
        <v>4</v>
      </c>
      <c r="J190" s="271">
        <f t="shared" si="98"/>
        <v>1</v>
      </c>
      <c r="K190" s="272">
        <f ca="1">IF(I190&gt;0,J190*100/I190,0)</f>
        <v>25</v>
      </c>
      <c r="L190" s="261"/>
      <c r="M190" s="261"/>
      <c r="N190" s="261"/>
      <c r="O190" s="261"/>
      <c r="P190" s="261"/>
    </row>
    <row r="191" spans="1:26" ht="19.5">
      <c r="A191" s="147"/>
      <c r="B191" s="148"/>
      <c r="C191" s="149" t="s">
        <v>16</v>
      </c>
      <c r="D191" s="826" t="s">
        <v>17</v>
      </c>
      <c r="E191" s="148"/>
      <c r="F191" s="148"/>
      <c r="G191" s="151"/>
      <c r="H191" s="274" t="s">
        <v>12</v>
      </c>
      <c r="I191" s="419"/>
      <c r="J191" s="419"/>
      <c r="K191" s="154"/>
      <c r="L191" s="155">
        <f ca="1">IFERROR(__xludf.DUMMYFUNCTION("IMPORTRANGE(""https://docs.google.com/spreadsheets/d/1QqKyyYR6Q21VydFLVH3TRQUabQu_ym0Zz7PgGX0-kHA/edit?usp=sharing"",""แผน!Z67"")"),6000)</f>
        <v>6000</v>
      </c>
      <c r="M191" s="155"/>
      <c r="N191" s="275">
        <v>0</v>
      </c>
      <c r="O191" s="155">
        <f ca="1">IF(L191&gt;0,N191*100/L191,0)</f>
        <v>0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0" t="s">
        <v>16</v>
      </c>
      <c r="D192" s="823" t="s">
        <v>38</v>
      </c>
      <c r="E192" s="173"/>
      <c r="F192" s="173"/>
      <c r="G192" s="174"/>
      <c r="H192" s="753"/>
      <c r="I192" s="269"/>
      <c r="J192" s="269"/>
      <c r="K192" s="496"/>
      <c r="L192" s="496"/>
      <c r="M192" s="496"/>
      <c r="N192" s="496"/>
      <c r="O192" s="496"/>
      <c r="P192" s="496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6" t="s">
        <v>91</v>
      </c>
      <c r="E193" s="178"/>
      <c r="F193" s="178"/>
      <c r="G193" s="179"/>
      <c r="H193" s="755" t="s">
        <v>90</v>
      </c>
      <c r="I193" s="269">
        <f ca="1">IFERROR(__xludf.DUMMYFUNCTION("IMPORTRANGE(""https://docs.google.com/spreadsheets/d/1QqKyyYR6Q21VydFLVH3TRQUabQu_ym0Zz7PgGX0-kHA/edit?usp=sharing"",""แผน!AC67"")"),4)</f>
        <v>4</v>
      </c>
      <c r="J193" s="214">
        <v>1</v>
      </c>
      <c r="K193" s="496">
        <f ca="1">IF(I193&gt;0,J193*100/I193,0)</f>
        <v>25</v>
      </c>
      <c r="L193" s="496"/>
      <c r="M193" s="496"/>
      <c r="N193" s="496"/>
      <c r="O193" s="496"/>
      <c r="P193" s="496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6" t="s">
        <v>92</v>
      </c>
      <c r="E194" s="178"/>
      <c r="F194" s="178"/>
      <c r="G194" s="179"/>
      <c r="H194" s="276" t="s">
        <v>35</v>
      </c>
      <c r="I194" s="269"/>
      <c r="J194" s="269">
        <f>J195+J196</f>
        <v>120</v>
      </c>
      <c r="K194" s="496"/>
      <c r="L194" s="496"/>
      <c r="M194" s="496"/>
      <c r="N194" s="496"/>
      <c r="O194" s="496"/>
      <c r="P194" s="496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6" t="s">
        <v>93</v>
      </c>
      <c r="F195" s="178"/>
      <c r="G195" s="179"/>
      <c r="H195" s="276" t="s">
        <v>35</v>
      </c>
      <c r="I195" s="269"/>
      <c r="J195" s="214">
        <v>120</v>
      </c>
      <c r="K195" s="496"/>
      <c r="L195" s="496"/>
      <c r="M195" s="496"/>
      <c r="N195" s="496"/>
      <c r="O195" s="496"/>
      <c r="P195" s="496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6" t="s">
        <v>94</v>
      </c>
      <c r="F196" s="178"/>
      <c r="G196" s="179"/>
      <c r="H196" s="276" t="s">
        <v>35</v>
      </c>
      <c r="I196" s="269"/>
      <c r="J196" s="214">
        <v>0</v>
      </c>
      <c r="K196" s="496"/>
      <c r="L196" s="496"/>
      <c r="M196" s="496"/>
      <c r="N196" s="496"/>
      <c r="O196" s="496"/>
      <c r="P196" s="496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5"/>
      <c r="B197" s="263"/>
      <c r="C197" s="270" t="s">
        <v>95</v>
      </c>
      <c r="D197" s="256"/>
      <c r="E197" s="256"/>
      <c r="F197" s="256"/>
      <c r="G197" s="258"/>
      <c r="H197" s="277" t="s">
        <v>96</v>
      </c>
      <c r="I197" s="271">
        <f t="shared" ref="I197:J197" ca="1" si="99">I204</f>
        <v>3</v>
      </c>
      <c r="J197" s="271">
        <f t="shared" si="99"/>
        <v>0</v>
      </c>
      <c r="K197" s="272">
        <f ca="1">IF(I197&gt;0,J197*100/I197,0)</f>
        <v>0</v>
      </c>
      <c r="L197" s="261"/>
      <c r="M197" s="261"/>
      <c r="N197" s="261"/>
      <c r="O197" s="261"/>
      <c r="P197" s="261"/>
    </row>
    <row r="198" spans="1:26" ht="19.5">
      <c r="A198" s="147"/>
      <c r="B198" s="148"/>
      <c r="C198" s="149" t="s">
        <v>16</v>
      </c>
      <c r="D198" s="826" t="s">
        <v>17</v>
      </c>
      <c r="E198" s="148"/>
      <c r="F198" s="148"/>
      <c r="G198" s="151"/>
      <c r="H198" s="274" t="s">
        <v>12</v>
      </c>
      <c r="I198" s="418"/>
      <c r="J198" s="418"/>
      <c r="K198" s="279"/>
      <c r="L198" s="155">
        <f ca="1">L199+L200+L201+L202</f>
        <v>39000</v>
      </c>
      <c r="M198" s="155"/>
      <c r="N198" s="155">
        <f>N199+N200+N201+N202</f>
        <v>0</v>
      </c>
      <c r="O198" s="155">
        <f ca="1">IF(L198&gt;0,N198*100/L198,0)</f>
        <v>0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0"/>
      <c r="C199" s="33"/>
      <c r="D199" s="281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6">
        <f ca="1">IFERROR(__xludf.DUMMYFUNCTION("IMPORTRANGE(""https://docs.google.com/spreadsheets/d/1QqKyyYR6Q21VydFLVH3TRQUabQu_ym0Zz7PgGX0-kHA/edit?usp=sharing"",""แผน!AE67"")"),3000)</f>
        <v>3000</v>
      </c>
      <c r="M199" s="496"/>
      <c r="N199" s="817">
        <v>0</v>
      </c>
      <c r="O199" s="496"/>
      <c r="P199" s="496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4"/>
      <c r="B200" s="280"/>
      <c r="C200" s="210"/>
      <c r="D200" s="281" t="s">
        <v>98</v>
      </c>
      <c r="E200" s="33"/>
      <c r="F200" s="33"/>
      <c r="G200" s="35"/>
      <c r="H200" s="616" t="s">
        <v>12</v>
      </c>
      <c r="I200" s="269"/>
      <c r="J200" s="269"/>
      <c r="K200" s="496"/>
      <c r="L200" s="496">
        <f ca="1">IFERROR(__xludf.DUMMYFUNCTION("IMPORTRANGE(""https://docs.google.com/spreadsheets/d/1QqKyyYR6Q21VydFLVH3TRQUabQu_ym0Zz7PgGX0-kHA/edit?usp=sharing"",""แผน!AF67"")"),24000)</f>
        <v>24000</v>
      </c>
      <c r="M200" s="496"/>
      <c r="N200" s="817">
        <v>0</v>
      </c>
      <c r="O200" s="496"/>
      <c r="P200" s="496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>
      <c r="A201" s="284"/>
      <c r="B201" s="280"/>
      <c r="C201" s="210"/>
      <c r="D201" s="281" t="s">
        <v>99</v>
      </c>
      <c r="E201" s="33"/>
      <c r="F201" s="33"/>
      <c r="G201" s="35"/>
      <c r="H201" s="616" t="s">
        <v>12</v>
      </c>
      <c r="I201" s="269"/>
      <c r="J201" s="269"/>
      <c r="K201" s="496"/>
      <c r="L201" s="496">
        <f ca="1">IFERROR(__xludf.DUMMYFUNCTION("IMPORTRANGE(""https://docs.google.com/spreadsheets/d/1QqKyyYR6Q21VydFLVH3TRQUabQu_ym0Zz7PgGX0-kHA/edit?usp=sharing"",""แผน!AG67"")"),12000)</f>
        <v>12000</v>
      </c>
      <c r="M201" s="496"/>
      <c r="N201" s="817">
        <v>0</v>
      </c>
      <c r="O201" s="496"/>
      <c r="P201" s="496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>
      <c r="A202" s="284"/>
      <c r="B202" s="280"/>
      <c r="C202" s="210"/>
      <c r="D202" s="281" t="s">
        <v>100</v>
      </c>
      <c r="E202" s="33"/>
      <c r="F202" s="33"/>
      <c r="G202" s="35"/>
      <c r="H202" s="616" t="s">
        <v>12</v>
      </c>
      <c r="I202" s="269"/>
      <c r="J202" s="269"/>
      <c r="K202" s="496"/>
      <c r="L202" s="496">
        <f ca="1">IFERROR(__xludf.DUMMYFUNCTION("IMPORTRANGE(""https://docs.google.com/spreadsheets/d/1QqKyyYR6Q21VydFLVH3TRQUabQu_ym0Zz7PgGX0-kHA/edit?usp=sharing"",""แผน!AH67"")"),0)</f>
        <v>0</v>
      </c>
      <c r="M202" s="496"/>
      <c r="N202" s="817">
        <v>0</v>
      </c>
      <c r="O202" s="496"/>
      <c r="P202" s="496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>
      <c r="A203" s="170"/>
      <c r="B203" s="171"/>
      <c r="C203" s="210" t="s">
        <v>16</v>
      </c>
      <c r="D203" s="823" t="s">
        <v>38</v>
      </c>
      <c r="E203" s="173"/>
      <c r="F203" s="173"/>
      <c r="G203" s="174"/>
      <c r="H203" s="753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53" t="s">
        <v>96</v>
      </c>
      <c r="I204" s="269">
        <f ca="1">IFERROR(__xludf.DUMMYFUNCTION("IMPORTRANGE(""https://docs.google.com/spreadsheets/d/1QqKyyYR6Q21VydFLVH3TRQUabQu_ym0Zz7PgGX0-kHA/edit?usp=sharing"",""แผน!AI67"")"),3)</f>
        <v>3</v>
      </c>
      <c r="J204" s="214">
        <v>0</v>
      </c>
      <c r="K204" s="163">
        <f ca="1">IF(I204&gt;0,J204*100/I204,0)</f>
        <v>0</v>
      </c>
      <c r="L204" s="496"/>
      <c r="M204" s="496"/>
      <c r="N204" s="496"/>
      <c r="O204" s="496"/>
      <c r="P204" s="496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6" t="s">
        <v>59</v>
      </c>
      <c r="E205" s="178"/>
      <c r="F205" s="178"/>
      <c r="G205" s="179"/>
      <c r="H205" s="753"/>
      <c r="I205" s="269"/>
      <c r="J205" s="269"/>
      <c r="K205" s="163"/>
      <c r="L205" s="496"/>
      <c r="M205" s="496"/>
      <c r="N205" s="496"/>
      <c r="O205" s="496"/>
      <c r="P205" s="496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25" t="s">
        <v>102</v>
      </c>
      <c r="F206" s="287"/>
      <c r="G206" s="288"/>
      <c r="H206" s="289" t="s">
        <v>96</v>
      </c>
      <c r="I206" s="269">
        <v>3</v>
      </c>
      <c r="J206" s="214">
        <v>0</v>
      </c>
      <c r="K206" s="163">
        <f t="shared" ref="K206:K208" si="100">IF(I206&gt;0,J206*100/I206,0)</f>
        <v>0</v>
      </c>
      <c r="L206" s="496"/>
      <c r="M206" s="496"/>
      <c r="N206" s="496"/>
      <c r="O206" s="496"/>
      <c r="P206" s="496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6"/>
      <c r="E207" s="446" t="s">
        <v>103</v>
      </c>
      <c r="F207" s="178"/>
      <c r="G207" s="178"/>
      <c r="H207" s="290" t="s">
        <v>104</v>
      </c>
      <c r="I207" s="269">
        <v>0</v>
      </c>
      <c r="J207" s="214">
        <v>0</v>
      </c>
      <c r="K207" s="163">
        <f t="shared" si="100"/>
        <v>0</v>
      </c>
      <c r="L207" s="496"/>
      <c r="M207" s="496"/>
      <c r="N207" s="496"/>
      <c r="O207" s="496"/>
      <c r="P207" s="496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 hidden="1">
      <c r="A208" s="255"/>
      <c r="B208" s="263"/>
      <c r="C208" s="270" t="s">
        <v>105</v>
      </c>
      <c r="D208" s="256"/>
      <c r="E208" s="256"/>
      <c r="F208" s="291"/>
      <c r="G208" s="258"/>
      <c r="H208" s="277" t="s">
        <v>96</v>
      </c>
      <c r="I208" s="271">
        <f t="shared" ref="I208:J208" ca="1" si="101">I215</f>
        <v>0</v>
      </c>
      <c r="J208" s="271">
        <f t="shared" si="101"/>
        <v>0</v>
      </c>
      <c r="K208" s="272">
        <f t="shared" ca="1" si="100"/>
        <v>0</v>
      </c>
      <c r="L208" s="261"/>
      <c r="M208" s="261"/>
      <c r="N208" s="261"/>
      <c r="O208" s="261"/>
      <c r="P208" s="261"/>
    </row>
    <row r="209" spans="1:26" ht="19.5" hidden="1">
      <c r="A209" s="147"/>
      <c r="B209" s="148"/>
      <c r="C209" s="149" t="s">
        <v>16</v>
      </c>
      <c r="D209" s="826" t="s">
        <v>17</v>
      </c>
      <c r="E209" s="148"/>
      <c r="F209" s="148"/>
      <c r="G209" s="151"/>
      <c r="H209" s="274" t="s">
        <v>12</v>
      </c>
      <c r="I209" s="418"/>
      <c r="J209" s="418"/>
      <c r="K209" s="279"/>
      <c r="L209" s="155">
        <f ca="1">L210+L211+L212</f>
        <v>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 hidden="1">
      <c r="A210" s="159"/>
      <c r="B210" s="280"/>
      <c r="C210" s="33"/>
      <c r="D210" s="281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6">
        <f ca="1">IFERROR(__xludf.DUMMYFUNCTION("IMPORTRANGE(""https://docs.google.com/spreadsheets/d/1QqKyyYR6Q21VydFLVH3TRQUabQu_ym0Zz7PgGX0-kHA/edit?usp=sharing"",""แผน!AK67"")"),0)</f>
        <v>0</v>
      </c>
      <c r="M210" s="496"/>
      <c r="N210" s="817">
        <v>0</v>
      </c>
      <c r="O210" s="496"/>
      <c r="P210" s="496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 hidden="1">
      <c r="A211" s="284"/>
      <c r="B211" s="280"/>
      <c r="C211" s="292"/>
      <c r="D211" s="281" t="s">
        <v>99</v>
      </c>
      <c r="E211" s="33"/>
      <c r="F211" s="33"/>
      <c r="G211" s="35"/>
      <c r="H211" s="161" t="s">
        <v>12</v>
      </c>
      <c r="I211" s="269"/>
      <c r="J211" s="269"/>
      <c r="K211" s="496"/>
      <c r="L211" s="496">
        <f ca="1">IFERROR(__xludf.DUMMYFUNCTION("IMPORTRANGE(""https://docs.google.com/spreadsheets/d/1QqKyyYR6Q21VydFLVH3TRQUabQu_ym0Zz7PgGX0-kHA/edit?usp=sharing"",""แผน!AL67"")"),0)</f>
        <v>0</v>
      </c>
      <c r="M211" s="496"/>
      <c r="N211" s="817">
        <v>0</v>
      </c>
      <c r="O211" s="496"/>
      <c r="P211" s="496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 hidden="1">
      <c r="A212" s="284"/>
      <c r="B212" s="280"/>
      <c r="C212" s="292"/>
      <c r="D212" s="281" t="s">
        <v>98</v>
      </c>
      <c r="E212" s="33"/>
      <c r="F212" s="33"/>
      <c r="G212" s="35"/>
      <c r="H212" s="161" t="s">
        <v>12</v>
      </c>
      <c r="I212" s="269"/>
      <c r="J212" s="269"/>
      <c r="K212" s="496"/>
      <c r="L212" s="496">
        <f ca="1">IFERROR(__xludf.DUMMYFUNCTION("IMPORTRANGE(""https://docs.google.com/spreadsheets/d/1QqKyyYR6Q21VydFLVH3TRQUabQu_ym0Zz7PgGX0-kHA/edit?usp=sharing"",""แผน!AM67"")"),0)</f>
        <v>0</v>
      </c>
      <c r="M212" s="496"/>
      <c r="N212" s="817">
        <v>0</v>
      </c>
      <c r="O212" s="496"/>
      <c r="P212" s="496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 hidden="1">
      <c r="A213" s="170"/>
      <c r="B213" s="171"/>
      <c r="C213" s="292" t="s">
        <v>16</v>
      </c>
      <c r="D213" s="823" t="s">
        <v>38</v>
      </c>
      <c r="E213" s="173"/>
      <c r="F213" s="173"/>
      <c r="G213" s="174"/>
      <c r="H213" s="753"/>
      <c r="I213" s="184"/>
      <c r="J213" s="269"/>
      <c r="K213" s="496"/>
      <c r="L213" s="496"/>
      <c r="M213" s="496"/>
      <c r="N213" s="496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 hidden="1">
      <c r="A214" s="170"/>
      <c r="B214" s="171"/>
      <c r="C214" s="171"/>
      <c r="D214" s="176" t="s">
        <v>106</v>
      </c>
      <c r="E214" s="178"/>
      <c r="F214" s="178"/>
      <c r="G214" s="179"/>
      <c r="H214" s="753" t="s">
        <v>96</v>
      </c>
      <c r="I214" s="269">
        <f ca="1">IFERROR(__xludf.DUMMYFUNCTION("IMPORTRANGE(""https://docs.google.com/spreadsheets/d/1QqKyyYR6Q21VydFLVH3TRQUabQu_ym0Zz7PgGX0-kHA/edit?usp=sharing"",""แผน!AN67"")"),0)</f>
        <v>0</v>
      </c>
      <c r="J214" s="214">
        <v>0</v>
      </c>
      <c r="K214" s="496">
        <f t="shared" ref="K214:K216" ca="1" si="102">IF(I214&gt;0,J214*100/I214,0)</f>
        <v>0</v>
      </c>
      <c r="L214" s="496"/>
      <c r="M214" s="496"/>
      <c r="N214" s="496"/>
      <c r="O214" s="496"/>
      <c r="P214" s="496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 hidden="1">
      <c r="A215" s="170"/>
      <c r="B215" s="171"/>
      <c r="C215" s="171"/>
      <c r="D215" s="176" t="s">
        <v>107</v>
      </c>
      <c r="E215" s="178"/>
      <c r="F215" s="178"/>
      <c r="G215" s="179"/>
      <c r="H215" s="753" t="s">
        <v>96</v>
      </c>
      <c r="I215" s="269">
        <f ca="1">IFERROR(__xludf.DUMMYFUNCTION("IMPORTRANGE(""https://docs.google.com/spreadsheets/d/1QqKyyYR6Q21VydFLVH3TRQUabQu_ym0Zz7PgGX0-kHA/edit?usp=sharing"",""แผน!AN67"")"),0)</f>
        <v>0</v>
      </c>
      <c r="J215" s="214">
        <v>0</v>
      </c>
      <c r="K215" s="496">
        <f t="shared" ca="1" si="102"/>
        <v>0</v>
      </c>
      <c r="L215" s="496"/>
      <c r="M215" s="496"/>
      <c r="N215" s="496"/>
      <c r="O215" s="496"/>
      <c r="P215" s="496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5"/>
      <c r="B216" s="263"/>
      <c r="C216" s="270" t="s">
        <v>108</v>
      </c>
      <c r="D216" s="256"/>
      <c r="E216" s="256"/>
      <c r="F216" s="291"/>
      <c r="G216" s="258"/>
      <c r="H216" s="259" t="s">
        <v>109</v>
      </c>
      <c r="I216" s="271">
        <f t="shared" ref="I216:J216" ca="1" si="103">I224</f>
        <v>20000</v>
      </c>
      <c r="J216" s="271">
        <f t="shared" si="103"/>
        <v>0</v>
      </c>
      <c r="K216" s="272">
        <f t="shared" ca="1" si="102"/>
        <v>0</v>
      </c>
      <c r="L216" s="261"/>
      <c r="M216" s="261"/>
      <c r="N216" s="261"/>
      <c r="O216" s="261"/>
      <c r="P216" s="261"/>
    </row>
    <row r="217" spans="1:26" ht="19.5">
      <c r="A217" s="147"/>
      <c r="B217" s="148"/>
      <c r="C217" s="149" t="s">
        <v>16</v>
      </c>
      <c r="D217" s="826" t="s">
        <v>17</v>
      </c>
      <c r="E217" s="148"/>
      <c r="F217" s="148"/>
      <c r="G217" s="151"/>
      <c r="H217" s="274" t="s">
        <v>12</v>
      </c>
      <c r="I217" s="418"/>
      <c r="J217" s="418"/>
      <c r="K217" s="279"/>
      <c r="L217" s="155">
        <f ca="1">L218+L219+L220</f>
        <v>8000</v>
      </c>
      <c r="M217" s="155"/>
      <c r="N217" s="155">
        <f>N218+N219+N220</f>
        <v>0</v>
      </c>
      <c r="O217" s="155">
        <f ca="1">IF(L217&gt;0,N217*100/L217,0)</f>
        <v>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0"/>
      <c r="C218" s="33"/>
      <c r="D218" s="281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6">
        <f ca="1">IFERROR(__xludf.DUMMYFUNCTION("IMPORTRANGE(""https://docs.google.com/spreadsheets/d/1QqKyyYR6Q21VydFLVH3TRQUabQu_ym0Zz7PgGX0-kHA/edit?usp=sharing"",""แผน!AP67"")"),3000)</f>
        <v>3000</v>
      </c>
      <c r="M218" s="496"/>
      <c r="N218" s="817">
        <v>0</v>
      </c>
      <c r="O218" s="496"/>
      <c r="P218" s="496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4"/>
      <c r="B219" s="280"/>
      <c r="C219" s="292"/>
      <c r="D219" s="281" t="s">
        <v>110</v>
      </c>
      <c r="E219" s="33"/>
      <c r="F219" s="33"/>
      <c r="G219" s="35"/>
      <c r="H219" s="161" t="s">
        <v>12</v>
      </c>
      <c r="I219" s="269"/>
      <c r="J219" s="269"/>
      <c r="K219" s="496"/>
      <c r="L219" s="496">
        <f ca="1">IFERROR(__xludf.DUMMYFUNCTION("IMPORTRANGE(""https://docs.google.com/spreadsheets/d/1QqKyyYR6Q21VydFLVH3TRQUabQu_ym0Zz7PgGX0-kHA/edit?usp=sharing"",""แผน!AQ67"")"),5000)</f>
        <v>5000</v>
      </c>
      <c r="M219" s="496"/>
      <c r="N219" s="817">
        <v>0</v>
      </c>
      <c r="O219" s="496"/>
      <c r="P219" s="496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0"/>
      <c r="C220" s="292"/>
      <c r="D220" s="281" t="s">
        <v>98</v>
      </c>
      <c r="E220" s="33"/>
      <c r="F220" s="33"/>
      <c r="G220" s="35"/>
      <c r="H220" s="161" t="s">
        <v>12</v>
      </c>
      <c r="I220" s="269"/>
      <c r="J220" s="269"/>
      <c r="K220" s="496"/>
      <c r="L220" s="496">
        <f ca="1">IFERROR(__xludf.DUMMYFUNCTION("IMPORTRANGE(""https://docs.google.com/spreadsheets/d/1QqKyyYR6Q21VydFLVH3TRQUabQu_ym0Zz7PgGX0-kHA/edit?usp=sharing"",""แผน!AR67"")"),0)</f>
        <v>0</v>
      </c>
      <c r="M220" s="496"/>
      <c r="N220" s="817">
        <v>0</v>
      </c>
      <c r="O220" s="496"/>
      <c r="P220" s="496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70"/>
      <c r="B221" s="171"/>
      <c r="C221" s="292" t="s">
        <v>16</v>
      </c>
      <c r="D221" s="823" t="s">
        <v>38</v>
      </c>
      <c r="E221" s="173"/>
      <c r="F221" s="173"/>
      <c r="G221" s="174"/>
      <c r="H221" s="753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1" t="s">
        <v>111</v>
      </c>
      <c r="E222" s="178"/>
      <c r="F222" s="178"/>
      <c r="G222" s="179"/>
      <c r="H222" s="753"/>
      <c r="I222" s="269"/>
      <c r="J222" s="269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55" t="s">
        <v>109</v>
      </c>
      <c r="I223" s="269">
        <f ca="1">IFERROR(__xludf.DUMMYFUNCTION("IMPORTRANGE(""https://docs.google.com/spreadsheets/d/1QqKyyYR6Q21VydFLVH3TRQUabQu_ym0Zz7PgGX0-kHA/edit?usp=sharing"",""แผน!AT67"")"),20000)</f>
        <v>20000</v>
      </c>
      <c r="J223" s="214">
        <v>0</v>
      </c>
      <c r="K223" s="163">
        <f t="shared" ref="K223:K226" ca="1" si="104">IF(I223&gt;0,J223*100/I223,0)</f>
        <v>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55" t="s">
        <v>109</v>
      </c>
      <c r="I224" s="269">
        <f ca="1">IFERROR(__xludf.DUMMYFUNCTION("IMPORTRANGE(""https://docs.google.com/spreadsheets/d/1QqKyyYR6Q21VydFLVH3TRQUabQu_ym0Zz7PgGX0-kHA/edit?usp=sharing"",""แผน!AT67"")"),20000)</f>
        <v>20000</v>
      </c>
      <c r="J224" s="214">
        <v>0</v>
      </c>
      <c r="K224" s="163">
        <f t="shared" ca="1" si="104"/>
        <v>0</v>
      </c>
      <c r="L224" s="496"/>
      <c r="M224" s="496"/>
      <c r="N224" s="496"/>
      <c r="O224" s="496"/>
      <c r="P224" s="496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1" t="s">
        <v>114</v>
      </c>
      <c r="E225" s="178"/>
      <c r="F225" s="178"/>
      <c r="G225" s="179"/>
      <c r="H225" s="755" t="s">
        <v>35</v>
      </c>
      <c r="I225" s="269">
        <f ca="1">IFERROR(__xludf.DUMMYFUNCTION("IMPORTRANGE(""https://docs.google.com/spreadsheets/d/1QqKyyYR6Q21VydFLVH3TRQUabQu_ym0Zz7PgGX0-kHA/edit?usp=sharing"",""แผน!AS67"")"),0)</f>
        <v>0</v>
      </c>
      <c r="J225" s="214">
        <v>0</v>
      </c>
      <c r="K225" s="163">
        <f t="shared" ca="1" si="104"/>
        <v>0</v>
      </c>
      <c r="L225" s="496"/>
      <c r="M225" s="496"/>
      <c r="N225" s="496"/>
      <c r="O225" s="496"/>
      <c r="P225" s="496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5"/>
      <c r="B226" s="263"/>
      <c r="C226" s="341" t="s">
        <v>115</v>
      </c>
      <c r="D226" s="256"/>
      <c r="E226" s="256"/>
      <c r="F226" s="256"/>
      <c r="G226" s="258"/>
      <c r="H226" s="265" t="s">
        <v>35</v>
      </c>
      <c r="I226" s="344">
        <f t="shared" ref="I226:J226" ca="1" si="105">I237+I248</f>
        <v>0</v>
      </c>
      <c r="J226" s="344">
        <f t="shared" si="105"/>
        <v>0</v>
      </c>
      <c r="K226" s="345">
        <f t="shared" ca="1" si="104"/>
        <v>0</v>
      </c>
      <c r="L226" s="261"/>
      <c r="M226" s="261"/>
      <c r="N226" s="261"/>
      <c r="O226" s="261"/>
      <c r="P226" s="261"/>
    </row>
    <row r="227" spans="1:26" ht="19.5" hidden="1">
      <c r="A227" s="347"/>
      <c r="B227" s="348"/>
      <c r="C227" s="349" t="s">
        <v>16</v>
      </c>
      <c r="D227" s="827" t="s">
        <v>17</v>
      </c>
      <c r="E227" s="348"/>
      <c r="F227" s="348"/>
      <c r="G227" s="351"/>
      <c r="H227" s="352" t="s">
        <v>12</v>
      </c>
      <c r="I227" s="353"/>
      <c r="J227" s="353"/>
      <c r="K227" s="354"/>
      <c r="L227" s="355">
        <f t="shared" ref="L227:L231" ca="1" si="106">L238+L249</f>
        <v>0</v>
      </c>
      <c r="M227" s="355"/>
      <c r="N227" s="355">
        <f t="shared" ref="N227:N231" si="107">N238+N249</f>
        <v>0</v>
      </c>
      <c r="O227" s="828"/>
      <c r="P227" s="828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6"/>
      <c r="C228" s="40"/>
      <c r="D228" s="222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0</v>
      </c>
      <c r="M228" s="93"/>
      <c r="N228" s="93">
        <f t="shared" si="107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8"/>
      <c r="B229" s="356"/>
      <c r="C229" s="359"/>
      <c r="D229" s="222" t="s">
        <v>98</v>
      </c>
      <c r="E229" s="40"/>
      <c r="F229" s="40"/>
      <c r="G229" s="42"/>
      <c r="H229" s="165" t="s">
        <v>12</v>
      </c>
      <c r="I229" s="610"/>
      <c r="J229" s="610"/>
      <c r="K229" s="93"/>
      <c r="L229" s="93">
        <f t="shared" ca="1" si="106"/>
        <v>0</v>
      </c>
      <c r="M229" s="93"/>
      <c r="N229" s="93">
        <f t="shared" si="107"/>
        <v>0</v>
      </c>
      <c r="O229" s="93"/>
      <c r="P229" s="93"/>
      <c r="Q229" s="360"/>
      <c r="R229" s="360"/>
      <c r="S229" s="360"/>
      <c r="T229" s="360"/>
      <c r="U229" s="360"/>
      <c r="V229" s="360"/>
      <c r="W229" s="360"/>
      <c r="X229" s="360"/>
      <c r="Y229" s="360"/>
      <c r="Z229" s="360"/>
    </row>
    <row r="230" spans="1:26" ht="19.5" hidden="1">
      <c r="A230" s="358"/>
      <c r="B230" s="356"/>
      <c r="C230" s="359"/>
      <c r="D230" s="222" t="s">
        <v>116</v>
      </c>
      <c r="E230" s="40"/>
      <c r="F230" s="40"/>
      <c r="G230" s="42"/>
      <c r="H230" s="165" t="s">
        <v>12</v>
      </c>
      <c r="I230" s="610"/>
      <c r="J230" s="610"/>
      <c r="K230" s="93"/>
      <c r="L230" s="93">
        <f t="shared" ca="1" si="106"/>
        <v>0</v>
      </c>
      <c r="M230" s="93"/>
      <c r="N230" s="93">
        <f t="shared" si="107"/>
        <v>0</v>
      </c>
      <c r="O230" s="93"/>
      <c r="P230" s="93"/>
      <c r="Q230" s="360"/>
      <c r="R230" s="360"/>
      <c r="S230" s="360"/>
      <c r="T230" s="360"/>
      <c r="U230" s="360"/>
      <c r="V230" s="360"/>
      <c r="W230" s="360"/>
      <c r="X230" s="360"/>
      <c r="Y230" s="360"/>
      <c r="Z230" s="360"/>
    </row>
    <row r="231" spans="1:26" ht="19.5" hidden="1">
      <c r="A231" s="358"/>
      <c r="B231" s="356"/>
      <c r="C231" s="359"/>
      <c r="D231" s="222" t="s">
        <v>100</v>
      </c>
      <c r="E231" s="40"/>
      <c r="F231" s="40"/>
      <c r="G231" s="42"/>
      <c r="H231" s="165" t="s">
        <v>12</v>
      </c>
      <c r="I231" s="610"/>
      <c r="J231" s="610"/>
      <c r="K231" s="93"/>
      <c r="L231" s="93">
        <f t="shared" ca="1" si="106"/>
        <v>0</v>
      </c>
      <c r="M231" s="93"/>
      <c r="N231" s="93">
        <f t="shared" si="107"/>
        <v>0</v>
      </c>
      <c r="O231" s="93"/>
      <c r="P231" s="93"/>
      <c r="Q231" s="360"/>
      <c r="R231" s="360"/>
      <c r="S231" s="360"/>
      <c r="T231" s="360"/>
      <c r="U231" s="360"/>
      <c r="V231" s="360"/>
      <c r="W231" s="360"/>
      <c r="X231" s="360"/>
      <c r="Y231" s="360"/>
      <c r="Z231" s="360"/>
    </row>
    <row r="232" spans="1:26" ht="19.5" hidden="1">
      <c r="A232" s="361"/>
      <c r="B232" s="362"/>
      <c r="C232" s="359" t="s">
        <v>16</v>
      </c>
      <c r="D232" s="266" t="s">
        <v>38</v>
      </c>
      <c r="E232" s="363"/>
      <c r="F232" s="363"/>
      <c r="G232" s="364"/>
      <c r="H232" s="365"/>
      <c r="I232" s="166"/>
      <c r="J232" s="610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1"/>
      <c r="B233" s="362"/>
      <c r="C233" s="362"/>
      <c r="D233" s="366" t="s">
        <v>117</v>
      </c>
      <c r="E233" s="372"/>
      <c r="F233" s="372"/>
      <c r="G233" s="368"/>
      <c r="H233" s="369" t="s">
        <v>35</v>
      </c>
      <c r="I233" s="610">
        <f t="shared" ref="I233:J233" ca="1" si="108">I244+I255</f>
        <v>0</v>
      </c>
      <c r="J233" s="610">
        <f t="shared" si="108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1"/>
      <c r="B234" s="362"/>
      <c r="C234" s="362"/>
      <c r="D234" s="371" t="s">
        <v>43</v>
      </c>
      <c r="E234" s="372"/>
      <c r="F234" s="372"/>
      <c r="G234" s="368"/>
      <c r="H234" s="369"/>
      <c r="I234" s="610"/>
      <c r="J234" s="610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1"/>
      <c r="B235" s="362"/>
      <c r="C235" s="362"/>
      <c r="D235" s="362"/>
      <c r="E235" s="373" t="s">
        <v>118</v>
      </c>
      <c r="F235" s="372"/>
      <c r="G235" s="368"/>
      <c r="H235" s="369" t="s">
        <v>35</v>
      </c>
      <c r="I235" s="610">
        <f t="shared" ref="I235:J236" si="109">I246+I257</f>
        <v>0</v>
      </c>
      <c r="J235" s="610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1"/>
      <c r="B236" s="362"/>
      <c r="C236" s="362"/>
      <c r="D236" s="362"/>
      <c r="E236" s="373" t="s">
        <v>119</v>
      </c>
      <c r="F236" s="372"/>
      <c r="G236" s="368"/>
      <c r="H236" s="369" t="s">
        <v>69</v>
      </c>
      <c r="I236" s="610">
        <f t="shared" si="109"/>
        <v>0</v>
      </c>
      <c r="J236" s="610">
        <f t="shared" si="109"/>
        <v>0</v>
      </c>
      <c r="K236" s="93">
        <f t="shared" si="110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5"/>
      <c r="B237" s="263"/>
      <c r="C237" s="270" t="s">
        <v>120</v>
      </c>
      <c r="D237" s="256"/>
      <c r="E237" s="256"/>
      <c r="F237" s="256"/>
      <c r="G237" s="258"/>
      <c r="H237" s="259" t="s">
        <v>35</v>
      </c>
      <c r="I237" s="271">
        <f t="shared" ref="I237:J237" ca="1" si="111">I244</f>
        <v>0</v>
      </c>
      <c r="J237" s="271">
        <f t="shared" si="111"/>
        <v>0</v>
      </c>
      <c r="K237" s="272">
        <f t="shared" ca="1" si="110"/>
        <v>0</v>
      </c>
      <c r="L237" s="261"/>
      <c r="M237" s="261"/>
      <c r="N237" s="261"/>
      <c r="O237" s="261"/>
      <c r="P237" s="261"/>
    </row>
    <row r="238" spans="1:26" ht="19.5" hidden="1">
      <c r="A238" s="147"/>
      <c r="B238" s="148"/>
      <c r="C238" s="149" t="s">
        <v>16</v>
      </c>
      <c r="D238" s="822" t="s">
        <v>17</v>
      </c>
      <c r="E238" s="148"/>
      <c r="F238" s="148"/>
      <c r="G238" s="151"/>
      <c r="H238" s="274" t="s">
        <v>12</v>
      </c>
      <c r="I238" s="418"/>
      <c r="J238" s="418"/>
      <c r="K238" s="279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4"/>
      <c r="B239" s="315"/>
      <c r="C239" s="316"/>
      <c r="D239" s="324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282">
        <f ca="1">IFERROR(__xludf.DUMMYFUNCTION("IMPORTRANGE(""https://docs.google.com/spreadsheets/d/1QqKyyYR6Q21VydFLVH3TRQUabQu_ym0Zz7PgGX0-kHA/edit?usp=sharing"",""แผน!AV67"")"),0)</f>
        <v>0</v>
      </c>
      <c r="M239" s="282"/>
      <c r="N239" s="829">
        <v>0</v>
      </c>
      <c r="O239" s="282"/>
      <c r="P239" s="28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 hidden="1">
      <c r="A240" s="322"/>
      <c r="B240" s="315"/>
      <c r="C240" s="323"/>
      <c r="D240" s="324" t="s">
        <v>98</v>
      </c>
      <c r="E240" s="316"/>
      <c r="F240" s="316"/>
      <c r="G240" s="318"/>
      <c r="H240" s="319" t="s">
        <v>12</v>
      </c>
      <c r="I240" s="325"/>
      <c r="J240" s="325"/>
      <c r="K240" s="282"/>
      <c r="L240" s="282">
        <f ca="1">IFERROR(__xludf.DUMMYFUNCTION("IMPORTRANGE(""https://docs.google.com/spreadsheets/d/1QqKyyYR6Q21VydFLVH3TRQUabQu_ym0Zz7PgGX0-kHA/edit?usp=sharing"",""แผน!AW67"")"),0)</f>
        <v>0</v>
      </c>
      <c r="M240" s="282"/>
      <c r="N240" s="829">
        <v>0</v>
      </c>
      <c r="O240" s="282"/>
      <c r="P240" s="282"/>
      <c r="Q240" s="326"/>
      <c r="R240" s="326"/>
      <c r="S240" s="326"/>
      <c r="T240" s="326"/>
      <c r="U240" s="326"/>
      <c r="V240" s="326"/>
      <c r="W240" s="326"/>
      <c r="X240" s="326"/>
      <c r="Y240" s="326"/>
      <c r="Z240" s="326"/>
    </row>
    <row r="241" spans="1:26" ht="19.5" hidden="1">
      <c r="A241" s="322"/>
      <c r="B241" s="315"/>
      <c r="C241" s="323"/>
      <c r="D241" s="324" t="s">
        <v>116</v>
      </c>
      <c r="E241" s="316"/>
      <c r="F241" s="316"/>
      <c r="G241" s="318"/>
      <c r="H241" s="319" t="s">
        <v>12</v>
      </c>
      <c r="I241" s="325"/>
      <c r="J241" s="325"/>
      <c r="K241" s="282"/>
      <c r="L241" s="282">
        <f ca="1">IFERROR(__xludf.DUMMYFUNCTION("IMPORTRANGE(""https://docs.google.com/spreadsheets/d/1QqKyyYR6Q21VydFLVH3TRQUabQu_ym0Zz7PgGX0-kHA/edit?usp=sharing"",""แผน!AX67"")"),0)</f>
        <v>0</v>
      </c>
      <c r="M241" s="282"/>
      <c r="N241" s="829">
        <v>0</v>
      </c>
      <c r="O241" s="282"/>
      <c r="P241" s="282"/>
      <c r="Q241" s="326"/>
      <c r="R241" s="326"/>
      <c r="S241" s="326"/>
      <c r="T241" s="326"/>
      <c r="U241" s="326"/>
      <c r="V241" s="326"/>
      <c r="W241" s="326"/>
      <c r="X241" s="326"/>
      <c r="Y241" s="326"/>
      <c r="Z241" s="326"/>
    </row>
    <row r="242" spans="1:26" ht="19.5" hidden="1">
      <c r="A242" s="322"/>
      <c r="B242" s="315"/>
      <c r="C242" s="323"/>
      <c r="D242" s="324" t="s">
        <v>100</v>
      </c>
      <c r="E242" s="316"/>
      <c r="F242" s="316"/>
      <c r="G242" s="318"/>
      <c r="H242" s="319" t="s">
        <v>12</v>
      </c>
      <c r="I242" s="325"/>
      <c r="J242" s="325"/>
      <c r="K242" s="282"/>
      <c r="L242" s="282">
        <f ca="1">IFERROR(__xludf.DUMMYFUNCTION("IMPORTRANGE(""https://docs.google.com/spreadsheets/d/1QqKyyYR6Q21VydFLVH3TRQUabQu_ym0Zz7PgGX0-kHA/edit?usp=sharing"",""แผน!AY67"")"),0)</f>
        <v>0</v>
      </c>
      <c r="M242" s="282"/>
      <c r="N242" s="829">
        <v>0</v>
      </c>
      <c r="O242" s="282"/>
      <c r="P242" s="282"/>
      <c r="Q242" s="326"/>
      <c r="R242" s="326"/>
      <c r="S242" s="326"/>
      <c r="T242" s="326"/>
      <c r="U242" s="326"/>
      <c r="V242" s="326"/>
      <c r="W242" s="326"/>
      <c r="X242" s="326"/>
      <c r="Y242" s="326"/>
      <c r="Z242" s="326"/>
    </row>
    <row r="243" spans="1:26" ht="19.5" hidden="1">
      <c r="A243" s="170"/>
      <c r="B243" s="171"/>
      <c r="C243" s="292" t="s">
        <v>16</v>
      </c>
      <c r="D243" s="823" t="s">
        <v>38</v>
      </c>
      <c r="E243" s="173"/>
      <c r="F243" s="173"/>
      <c r="G243" s="174"/>
      <c r="H243" s="753"/>
      <c r="I243" s="184"/>
      <c r="J243" s="269"/>
      <c r="K243" s="496"/>
      <c r="L243" s="496"/>
      <c r="M243" s="496"/>
      <c r="N243" s="496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46" t="s">
        <v>117</v>
      </c>
      <c r="E244" s="178"/>
      <c r="F244" s="178"/>
      <c r="G244" s="179"/>
      <c r="H244" s="755" t="s">
        <v>35</v>
      </c>
      <c r="I244" s="269">
        <f ca="1">IFERROR(__xludf.DUMMYFUNCTION("IMPORTRANGE(""https://docs.google.com/spreadsheets/d/1QqKyyYR6Q21VydFLVH3TRQUabQu_ym0Zz7PgGX0-kHA/edit?usp=sharing"",""แผน!BE67"")"),0)</f>
        <v>0</v>
      </c>
      <c r="J244" s="214">
        <v>0</v>
      </c>
      <c r="K244" s="496">
        <f ca="1">IF(I244&gt;0,J244*100/I244,0)</f>
        <v>0</v>
      </c>
      <c r="L244" s="496"/>
      <c r="M244" s="496"/>
      <c r="N244" s="496"/>
      <c r="O244" s="496"/>
      <c r="P244" s="496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830" t="s">
        <v>43</v>
      </c>
      <c r="E245" s="178"/>
      <c r="F245" s="178"/>
      <c r="G245" s="179"/>
      <c r="H245" s="755"/>
      <c r="I245" s="269"/>
      <c r="J245" s="269"/>
      <c r="K245" s="496"/>
      <c r="L245" s="496"/>
      <c r="M245" s="496"/>
      <c r="N245" s="496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176" t="s">
        <v>118</v>
      </c>
      <c r="F246" s="178"/>
      <c r="G246" s="179"/>
      <c r="H246" s="755" t="s">
        <v>35</v>
      </c>
      <c r="I246" s="269"/>
      <c r="J246" s="214">
        <v>0</v>
      </c>
      <c r="K246" s="496">
        <f t="shared" ref="K246:K248" si="112">IF(I246&gt;0,J246*100/I246,0)</f>
        <v>0</v>
      </c>
      <c r="L246" s="496"/>
      <c r="M246" s="496"/>
      <c r="N246" s="496"/>
      <c r="O246" s="496"/>
      <c r="P246" s="496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176" t="s">
        <v>119</v>
      </c>
      <c r="F247" s="178"/>
      <c r="G247" s="179"/>
      <c r="H247" s="755" t="s">
        <v>69</v>
      </c>
      <c r="I247" s="269"/>
      <c r="J247" s="214">
        <v>0</v>
      </c>
      <c r="K247" s="496">
        <f t="shared" si="112"/>
        <v>0</v>
      </c>
      <c r="L247" s="496"/>
      <c r="M247" s="496"/>
      <c r="N247" s="496"/>
      <c r="O247" s="496"/>
      <c r="P247" s="496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5"/>
      <c r="B248" s="263"/>
      <c r="C248" s="270" t="s">
        <v>121</v>
      </c>
      <c r="D248" s="256"/>
      <c r="E248" s="256"/>
      <c r="F248" s="256"/>
      <c r="G248" s="258"/>
      <c r="H248" s="259" t="s">
        <v>35</v>
      </c>
      <c r="I248" s="271">
        <f t="shared" ref="I248:J248" ca="1" si="113">I255</f>
        <v>0</v>
      </c>
      <c r="J248" s="271">
        <f t="shared" si="113"/>
        <v>0</v>
      </c>
      <c r="K248" s="272">
        <f t="shared" ca="1" si="112"/>
        <v>0</v>
      </c>
      <c r="L248" s="261"/>
      <c r="M248" s="261"/>
      <c r="N248" s="261"/>
      <c r="O248" s="261"/>
      <c r="P248" s="261"/>
    </row>
    <row r="249" spans="1:26" ht="19.5" hidden="1">
      <c r="A249" s="147"/>
      <c r="B249" s="148"/>
      <c r="C249" s="149" t="s">
        <v>16</v>
      </c>
      <c r="D249" s="826" t="s">
        <v>17</v>
      </c>
      <c r="E249" s="148"/>
      <c r="F249" s="148"/>
      <c r="G249" s="151"/>
      <c r="H249" s="274" t="s">
        <v>12</v>
      </c>
      <c r="I249" s="418"/>
      <c r="J249" s="418"/>
      <c r="K249" s="279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4"/>
      <c r="B250" s="315"/>
      <c r="C250" s="316"/>
      <c r="D250" s="324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282">
        <f ca="1">IFERROR(__xludf.DUMMYFUNCTION("IMPORTRANGE(""https://docs.google.com/spreadsheets/d/1QqKyyYR6Q21VydFLVH3TRQUabQu_ym0Zz7PgGX0-kHA/edit?usp=sharing"",""แผน!AZ67"")"),0)</f>
        <v>0</v>
      </c>
      <c r="M250" s="282"/>
      <c r="N250" s="829">
        <v>0</v>
      </c>
      <c r="O250" s="282"/>
      <c r="P250" s="282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9.5" hidden="1">
      <c r="A251" s="322"/>
      <c r="B251" s="315"/>
      <c r="C251" s="323"/>
      <c r="D251" s="324" t="s">
        <v>98</v>
      </c>
      <c r="E251" s="316"/>
      <c r="F251" s="316"/>
      <c r="G251" s="318"/>
      <c r="H251" s="319" t="s">
        <v>12</v>
      </c>
      <c r="I251" s="325"/>
      <c r="J251" s="325"/>
      <c r="K251" s="282"/>
      <c r="L251" s="282">
        <f ca="1">IFERROR(__xludf.DUMMYFUNCTION("IMPORTRANGE(""https://docs.google.com/spreadsheets/d/1QqKyyYR6Q21VydFLVH3TRQUabQu_ym0Zz7PgGX0-kHA/edit?usp=sharing"",""แผน!BA67"")"),0)</f>
        <v>0</v>
      </c>
      <c r="M251" s="282"/>
      <c r="N251" s="829">
        <v>0</v>
      </c>
      <c r="O251" s="282"/>
      <c r="P251" s="282"/>
      <c r="Q251" s="326"/>
      <c r="R251" s="326"/>
      <c r="S251" s="326"/>
      <c r="T251" s="326"/>
      <c r="U251" s="326"/>
      <c r="V251" s="326"/>
      <c r="W251" s="326"/>
      <c r="X251" s="326"/>
      <c r="Y251" s="326"/>
      <c r="Z251" s="326"/>
    </row>
    <row r="252" spans="1:26" ht="19.5" hidden="1">
      <c r="A252" s="322"/>
      <c r="B252" s="315"/>
      <c r="C252" s="323"/>
      <c r="D252" s="324" t="s">
        <v>116</v>
      </c>
      <c r="E252" s="316"/>
      <c r="F252" s="316"/>
      <c r="G252" s="318"/>
      <c r="H252" s="319" t="s">
        <v>12</v>
      </c>
      <c r="I252" s="325"/>
      <c r="J252" s="325"/>
      <c r="K252" s="282"/>
      <c r="L252" s="282">
        <f ca="1">IFERROR(__xludf.DUMMYFUNCTION("IMPORTRANGE(""https://docs.google.com/spreadsheets/d/1QqKyyYR6Q21VydFLVH3TRQUabQu_ym0Zz7PgGX0-kHA/edit?usp=sharing"",""แผน!BB67"")"),0)</f>
        <v>0</v>
      </c>
      <c r="M252" s="282"/>
      <c r="N252" s="829">
        <v>0</v>
      </c>
      <c r="O252" s="282"/>
      <c r="P252" s="282"/>
      <c r="Q252" s="326"/>
      <c r="R252" s="326"/>
      <c r="S252" s="326"/>
      <c r="T252" s="326"/>
      <c r="U252" s="326"/>
      <c r="V252" s="326"/>
      <c r="W252" s="326"/>
      <c r="X252" s="326"/>
      <c r="Y252" s="326"/>
      <c r="Z252" s="326"/>
    </row>
    <row r="253" spans="1:26" ht="19.5" hidden="1">
      <c r="A253" s="322"/>
      <c r="B253" s="315"/>
      <c r="C253" s="323"/>
      <c r="D253" s="324" t="s">
        <v>100</v>
      </c>
      <c r="E253" s="316"/>
      <c r="F253" s="316"/>
      <c r="G253" s="318"/>
      <c r="H253" s="319" t="s">
        <v>12</v>
      </c>
      <c r="I253" s="325"/>
      <c r="J253" s="325"/>
      <c r="K253" s="282"/>
      <c r="L253" s="282">
        <f ca="1">IFERROR(__xludf.DUMMYFUNCTION("IMPORTRANGE(""https://docs.google.com/spreadsheets/d/1QqKyyYR6Q21VydFLVH3TRQUabQu_ym0Zz7PgGX0-kHA/edit?usp=sharing"",""แผน!BC67"")"),0)</f>
        <v>0</v>
      </c>
      <c r="M253" s="282"/>
      <c r="N253" s="829">
        <v>0</v>
      </c>
      <c r="O253" s="282"/>
      <c r="P253" s="282"/>
      <c r="Q253" s="326"/>
      <c r="R253" s="326"/>
      <c r="S253" s="326"/>
      <c r="T253" s="326"/>
      <c r="U253" s="326"/>
      <c r="V253" s="326"/>
      <c r="W253" s="326"/>
      <c r="X253" s="326"/>
      <c r="Y253" s="326"/>
      <c r="Z253" s="326"/>
    </row>
    <row r="254" spans="1:26" ht="19.5" hidden="1">
      <c r="A254" s="170"/>
      <c r="B254" s="171"/>
      <c r="C254" s="292" t="s">
        <v>16</v>
      </c>
      <c r="D254" s="823" t="s">
        <v>38</v>
      </c>
      <c r="E254" s="173"/>
      <c r="F254" s="173"/>
      <c r="G254" s="174"/>
      <c r="H254" s="753"/>
      <c r="I254" s="184"/>
      <c r="J254" s="269"/>
      <c r="K254" s="496"/>
      <c r="L254" s="496"/>
      <c r="M254" s="496"/>
      <c r="N254" s="496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6" t="s">
        <v>117</v>
      </c>
      <c r="E255" s="178"/>
      <c r="F255" s="178"/>
      <c r="G255" s="179"/>
      <c r="H255" s="755" t="s">
        <v>35</v>
      </c>
      <c r="I255" s="269">
        <f ca="1">IFERROR(__xludf.DUMMYFUNCTION("IMPORTRANGE(""https://docs.google.com/spreadsheets/d/1QqKyyYR6Q21VydFLVH3TRQUabQu_ym0Zz7PgGX0-kHA/edit?usp=sharing"",""แผน!BF67"")"),0)</f>
        <v>0</v>
      </c>
      <c r="J255" s="214">
        <v>0</v>
      </c>
      <c r="K255" s="496">
        <f ca="1">IF(I255&gt;0,J255*100/I255,0)</f>
        <v>0</v>
      </c>
      <c r="L255" s="496"/>
      <c r="M255" s="496"/>
      <c r="N255" s="496"/>
      <c r="O255" s="496"/>
      <c r="P255" s="496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30" t="s">
        <v>43</v>
      </c>
      <c r="E256" s="178"/>
      <c r="F256" s="178"/>
      <c r="G256" s="179"/>
      <c r="H256" s="755"/>
      <c r="I256" s="269"/>
      <c r="J256" s="269"/>
      <c r="K256" s="496"/>
      <c r="L256" s="496"/>
      <c r="M256" s="496"/>
      <c r="N256" s="496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55" t="s">
        <v>35</v>
      </c>
      <c r="I257" s="269"/>
      <c r="J257" s="214">
        <v>0</v>
      </c>
      <c r="K257" s="496">
        <f t="shared" ref="K257:K258" si="114">IF(I257&gt;0,J257*100/I257,0)</f>
        <v>0</v>
      </c>
      <c r="L257" s="496"/>
      <c r="M257" s="496"/>
      <c r="N257" s="496"/>
      <c r="O257" s="496"/>
      <c r="P257" s="496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55" t="s">
        <v>69</v>
      </c>
      <c r="I258" s="269"/>
      <c r="J258" s="214">
        <v>0</v>
      </c>
      <c r="K258" s="496">
        <f t="shared" si="114"/>
        <v>0</v>
      </c>
      <c r="L258" s="496"/>
      <c r="M258" s="496"/>
      <c r="N258" s="496"/>
      <c r="O258" s="496"/>
      <c r="P258" s="496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1" t="s">
        <v>122</v>
      </c>
      <c r="B259" s="242"/>
      <c r="C259" s="242"/>
      <c r="D259" s="243"/>
      <c r="E259" s="243"/>
      <c r="F259" s="243"/>
      <c r="G259" s="244"/>
      <c r="H259" s="245"/>
      <c r="I259" s="246"/>
      <c r="J259" s="246"/>
      <c r="K259" s="247"/>
      <c r="L259" s="247"/>
      <c r="M259" s="247"/>
      <c r="N259" s="247"/>
      <c r="O259" s="247"/>
      <c r="P259" s="247"/>
    </row>
    <row r="260" spans="1:26" ht="19.5">
      <c r="A260" s="248"/>
      <c r="B260" s="249" t="s">
        <v>123</v>
      </c>
      <c r="C260" s="250"/>
      <c r="D260" s="173"/>
      <c r="E260" s="173"/>
      <c r="F260" s="173"/>
      <c r="G260" s="174"/>
      <c r="H260" s="251" t="s">
        <v>35</v>
      </c>
      <c r="I260" s="252">
        <f t="shared" ref="I260:J260" ca="1" si="115">I271</f>
        <v>22</v>
      </c>
      <c r="J260" s="252">
        <f t="shared" si="115"/>
        <v>0</v>
      </c>
      <c r="K260" s="253">
        <f ca="1">IF(I260&gt;0,J260*100/I260,0)</f>
        <v>0</v>
      </c>
      <c r="L260" s="254"/>
      <c r="M260" s="254"/>
      <c r="N260" s="254"/>
      <c r="O260" s="254"/>
      <c r="P260" s="254"/>
    </row>
    <row r="261" spans="1:26" ht="19.5">
      <c r="A261" s="147"/>
      <c r="B261" s="148"/>
      <c r="C261" s="149" t="s">
        <v>16</v>
      </c>
      <c r="D261" s="822" t="s">
        <v>17</v>
      </c>
      <c r="E261" s="148"/>
      <c r="F261" s="148"/>
      <c r="G261" s="151"/>
      <c r="H261" s="152" t="s">
        <v>12</v>
      </c>
      <c r="I261" s="419"/>
      <c r="J261" s="419"/>
      <c r="K261" s="154"/>
      <c r="L261" s="155">
        <f t="shared" ref="L261:N261" ca="1" si="116">L262+L263</f>
        <v>26900</v>
      </c>
      <c r="M261" s="155">
        <f t="shared" ca="1" si="116"/>
        <v>0</v>
      </c>
      <c r="N261" s="155">
        <f t="shared" ca="1" si="116"/>
        <v>0</v>
      </c>
      <c r="O261" s="155">
        <f t="shared" ref="O261:O269" ca="1" si="117">IF(L261&gt;0,N261*100/L261,0)</f>
        <v>0</v>
      </c>
      <c r="P261" s="155">
        <f t="shared" ref="P261:P269" ca="1" si="118">IF(M261&gt;0,N261*100/M261,0)</f>
        <v>0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2" t="s">
        <v>18</v>
      </c>
      <c r="F262" s="40"/>
      <c r="G262" s="157"/>
      <c r="H262" s="158" t="s">
        <v>12</v>
      </c>
      <c r="I262" s="610"/>
      <c r="J262" s="610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2" t="s">
        <v>19</v>
      </c>
      <c r="F263" s="40"/>
      <c r="G263" s="157"/>
      <c r="H263" s="158" t="s">
        <v>12</v>
      </c>
      <c r="I263" s="610"/>
      <c r="J263" s="610"/>
      <c r="K263" s="93"/>
      <c r="L263" s="93">
        <f t="shared" ca="1" si="119"/>
        <v>26900</v>
      </c>
      <c r="M263" s="93">
        <f t="shared" ca="1" si="119"/>
        <v>0</v>
      </c>
      <c r="N263" s="93">
        <f t="shared" ca="1" si="119"/>
        <v>0</v>
      </c>
      <c r="O263" s="93">
        <f t="shared" ca="1" si="117"/>
        <v>0</v>
      </c>
      <c r="P263" s="93">
        <f t="shared" ca="1" si="118"/>
        <v>0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1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6">
        <f t="shared" ref="L264:N264" ca="1" si="120">L265+L266</f>
        <v>26900</v>
      </c>
      <c r="M264" s="496">
        <f t="shared" ca="1" si="120"/>
        <v>0</v>
      </c>
      <c r="N264" s="496">
        <f t="shared" ca="1" si="120"/>
        <v>0</v>
      </c>
      <c r="O264" s="496">
        <f t="shared" ca="1" si="117"/>
        <v>0</v>
      </c>
      <c r="P264" s="496">
        <f t="shared" ca="1" si="118"/>
        <v>0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2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2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IFERROR(__xludf.DUMMYFUNCTION("IMPORTRANGE(""https://docs.google.com/spreadsheets/d/1MeEWN-I1oV_STSDYn1IFDPWt_1FKiwhDph83XaGc0o0/edit?usp=sharing"",""งบพรบ!CY67"")"),26900)</f>
        <v>26900</v>
      </c>
      <c r="M266" s="93">
        <f ca="1">IFERROR(__xludf.DUMMYFUNCTION("IMPORTRANGE(""https://docs.google.com/spreadsheets/d/1MeEWN-I1oV_STSDYn1IFDPWt_1FKiwhDph83XaGc0o0/edit?usp=sharing"",""งบพรบ!DD67"")"),0)</f>
        <v>0</v>
      </c>
      <c r="N266" s="93">
        <f ca="1">IFERROR(__xludf.DUMMYFUNCTION("IMPORTRANGE(""https://docs.google.com/spreadsheets/d/1MeEWN-I1oV_STSDYn1IFDPWt_1FKiwhDph83XaGc0o0/edit?usp=sharing"",""งบพรบ!DF67"")"),0)</f>
        <v>0</v>
      </c>
      <c r="O266" s="93">
        <f t="shared" ca="1" si="117"/>
        <v>0</v>
      </c>
      <c r="P266" s="93">
        <f t="shared" ca="1" si="118"/>
        <v>0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1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6">
        <f t="shared" ref="L267:N267" ca="1" si="121">L268+L269</f>
        <v>0</v>
      </c>
      <c r="M267" s="496">
        <f t="shared" ca="1" si="121"/>
        <v>0</v>
      </c>
      <c r="N267" s="496">
        <f t="shared" ca="1" si="121"/>
        <v>0</v>
      </c>
      <c r="O267" s="496">
        <f t="shared" ca="1" si="117"/>
        <v>0</v>
      </c>
      <c r="P267" s="496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2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2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IFERROR(__xludf.DUMMYFUNCTION("IMPORTRANGE(""https://docs.google.com/spreadsheets/d/1MeEWN-I1oV_STSDYn1IFDPWt_1FKiwhDph83XaGc0o0/edit?usp=sharing"",""งบพรบ!DB67"")"),0)</f>
        <v>0</v>
      </c>
      <c r="M269" s="93">
        <f ca="1">IFERROR(__xludf.DUMMYFUNCTION("IMPORTRANGE(""https://docs.google.com/spreadsheets/d/1MeEWN-I1oV_STSDYn1IFDPWt_1FKiwhDph83XaGc0o0/edit?usp=sharing"",""งบพรบ!DE67"")"),0)</f>
        <v>0</v>
      </c>
      <c r="N269" s="93">
        <f ca="1">IFERROR(__xludf.DUMMYFUNCTION("IMPORTRANGE(""https://docs.google.com/spreadsheets/d/1MeEWN-I1oV_STSDYn1IFDPWt_1FKiwhDph83XaGc0o0/edit?usp=sharing"",""งบพรบ!DG67"")"),0)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1" t="s">
        <v>16</v>
      </c>
      <c r="D270" s="823" t="s">
        <v>38</v>
      </c>
      <c r="E270" s="173"/>
      <c r="F270" s="173"/>
      <c r="G270" s="174"/>
      <c r="H270" s="753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5" t="s">
        <v>124</v>
      </c>
      <c r="E271" s="178"/>
      <c r="F271" s="366"/>
      <c r="G271" s="179"/>
      <c r="H271" s="376" t="s">
        <v>35</v>
      </c>
      <c r="I271" s="269">
        <f ca="1">IFERROR(__xludf.DUMMYFUNCTION("IMPORTRANGE(""https://docs.google.com/spreadsheets/d/1QqKyyYR6Q21VydFLVH3TRQUabQu_ym0Zz7PgGX0-kHA/edit?usp=sharing"",""แผน!EA67"")"),22)</f>
        <v>22</v>
      </c>
      <c r="J271" s="214">
        <v>0</v>
      </c>
      <c r="K271" s="163">
        <f ca="1">IF(I271&gt;0,J271*100/I271,0)</f>
        <v>0</v>
      </c>
      <c r="L271" s="163"/>
      <c r="M271" s="163"/>
      <c r="N271" s="163"/>
      <c r="O271" s="163"/>
      <c r="P271" s="163"/>
    </row>
    <row r="272" spans="1:26" ht="18.75" hidden="1">
      <c r="A272" s="377"/>
      <c r="B272" s="378"/>
      <c r="C272" s="378"/>
      <c r="D272" s="379" t="s">
        <v>125</v>
      </c>
      <c r="E272" s="380"/>
      <c r="F272" s="380"/>
      <c r="G272" s="381"/>
      <c r="H272" s="50" t="s">
        <v>35</v>
      </c>
      <c r="I272" s="499">
        <v>0</v>
      </c>
      <c r="J272" s="499">
        <v>0</v>
      </c>
      <c r="K272" s="384">
        <v>0</v>
      </c>
      <c r="L272" s="384"/>
      <c r="M272" s="384"/>
      <c r="N272" s="384"/>
      <c r="O272" s="384"/>
      <c r="P272" s="384"/>
    </row>
    <row r="273" spans="1:26" ht="19.5">
      <c r="A273" s="385" t="s">
        <v>126</v>
      </c>
      <c r="B273" s="386"/>
      <c r="C273" s="386"/>
      <c r="D273" s="386"/>
      <c r="E273" s="387"/>
      <c r="F273" s="387"/>
      <c r="G273" s="388"/>
      <c r="H273" s="389"/>
      <c r="I273" s="390"/>
      <c r="J273" s="390"/>
      <c r="K273" s="391"/>
      <c r="L273" s="391"/>
      <c r="M273" s="391"/>
      <c r="N273" s="391"/>
      <c r="O273" s="391"/>
      <c r="P273" s="391"/>
    </row>
    <row r="274" spans="1:26" ht="19.5">
      <c r="A274" s="392" t="s">
        <v>127</v>
      </c>
      <c r="B274" s="393"/>
      <c r="C274" s="394"/>
      <c r="D274" s="393"/>
      <c r="E274" s="393"/>
      <c r="F274" s="393"/>
      <c r="G274" s="393"/>
      <c r="H274" s="395"/>
      <c r="I274" s="396"/>
      <c r="J274" s="397"/>
      <c r="K274" s="398"/>
      <c r="L274" s="398"/>
      <c r="M274" s="398"/>
      <c r="N274" s="398"/>
      <c r="O274" s="398"/>
      <c r="P274" s="398"/>
    </row>
    <row r="275" spans="1:26" ht="19.5">
      <c r="A275" s="399"/>
      <c r="B275" s="408" t="s">
        <v>128</v>
      </c>
      <c r="C275" s="401"/>
      <c r="D275" s="402"/>
      <c r="E275" s="401"/>
      <c r="F275" s="401"/>
      <c r="G275" s="403"/>
      <c r="H275" s="404" t="s">
        <v>35</v>
      </c>
      <c r="I275" s="405">
        <f t="shared" ref="I275:J275" ca="1" si="122">I288</f>
        <v>10</v>
      </c>
      <c r="J275" s="405">
        <f t="shared" ca="1" si="122"/>
        <v>0</v>
      </c>
      <c r="K275" s="406">
        <f t="shared" ref="K275:K276" ca="1" si="123">IF(I275&gt;0,J275*100/I275,0)</f>
        <v>0</v>
      </c>
      <c r="L275" s="407"/>
      <c r="M275" s="407"/>
      <c r="N275" s="407"/>
      <c r="O275" s="407"/>
      <c r="P275" s="407"/>
    </row>
    <row r="276" spans="1:26" ht="19.5">
      <c r="A276" s="399"/>
      <c r="B276" s="408"/>
      <c r="C276" s="401"/>
      <c r="D276" s="402"/>
      <c r="E276" s="401"/>
      <c r="F276" s="401"/>
      <c r="G276" s="403"/>
      <c r="H276" s="404" t="s">
        <v>46</v>
      </c>
      <c r="I276" s="831">
        <f t="shared" ref="I276:J276" ca="1" si="124">I287</f>
        <v>100</v>
      </c>
      <c r="J276" s="831">
        <f t="shared" si="124"/>
        <v>100</v>
      </c>
      <c r="K276" s="407">
        <f t="shared" ca="1" si="123"/>
        <v>100</v>
      </c>
      <c r="L276" s="407"/>
      <c r="M276" s="407"/>
      <c r="N276" s="407"/>
      <c r="O276" s="407"/>
      <c r="P276" s="407"/>
    </row>
    <row r="277" spans="1:26" ht="19.5">
      <c r="A277" s="147"/>
      <c r="B277" s="148"/>
      <c r="C277" s="149" t="s">
        <v>16</v>
      </c>
      <c r="D277" s="822" t="s">
        <v>17</v>
      </c>
      <c r="E277" s="148"/>
      <c r="F277" s="148"/>
      <c r="G277" s="151"/>
      <c r="H277" s="152" t="s">
        <v>12</v>
      </c>
      <c r="I277" s="419"/>
      <c r="J277" s="419"/>
      <c r="K277" s="154"/>
      <c r="L277" s="155">
        <f t="shared" ref="L277:N277" ca="1" si="125">L278+L279</f>
        <v>191010</v>
      </c>
      <c r="M277" s="155">
        <f t="shared" ca="1" si="125"/>
        <v>91820</v>
      </c>
      <c r="N277" s="155">
        <f t="shared" ca="1" si="125"/>
        <v>80369.440000000002</v>
      </c>
      <c r="O277" s="155">
        <f t="shared" ref="O277:O285" ca="1" si="126">IF(L277&gt;0,N277*100/L277,0)</f>
        <v>42.076037903774669</v>
      </c>
      <c r="P277" s="155">
        <f t="shared" ref="P277:P285" ca="1" si="127">IF(M277&gt;0,N277*100/M277,0)</f>
        <v>87.529340013069046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2" t="s">
        <v>18</v>
      </c>
      <c r="F278" s="40"/>
      <c r="G278" s="157"/>
      <c r="H278" s="158" t="s">
        <v>12</v>
      </c>
      <c r="I278" s="610"/>
      <c r="J278" s="610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2" t="s">
        <v>19</v>
      </c>
      <c r="F279" s="40"/>
      <c r="G279" s="157"/>
      <c r="H279" s="158" t="s">
        <v>12</v>
      </c>
      <c r="I279" s="610"/>
      <c r="J279" s="610"/>
      <c r="K279" s="93"/>
      <c r="L279" s="93">
        <f t="shared" ca="1" si="128"/>
        <v>191010</v>
      </c>
      <c r="M279" s="93">
        <f t="shared" ca="1" si="128"/>
        <v>91820</v>
      </c>
      <c r="N279" s="93">
        <f t="shared" ca="1" si="128"/>
        <v>80369.440000000002</v>
      </c>
      <c r="O279" s="93">
        <f t="shared" ca="1" si="126"/>
        <v>42.076037903774669</v>
      </c>
      <c r="P279" s="93">
        <f t="shared" ca="1" si="127"/>
        <v>87.529340013069046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>
      <c r="A280" s="159"/>
      <c r="B280" s="33"/>
      <c r="C280" s="281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6">
        <f t="shared" ref="L280:N280" ca="1" si="129">L281+L282</f>
        <v>191010</v>
      </c>
      <c r="M280" s="496">
        <f t="shared" ca="1" si="129"/>
        <v>91820</v>
      </c>
      <c r="N280" s="496">
        <f t="shared" ca="1" si="129"/>
        <v>80369.440000000002</v>
      </c>
      <c r="O280" s="496">
        <f t="shared" ca="1" si="126"/>
        <v>42.076037903774669</v>
      </c>
      <c r="P280" s="496">
        <f t="shared" ca="1" si="127"/>
        <v>87.529340013069046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2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2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IFERROR(__xludf.DUMMYFUNCTION("IMPORTRANGE(""https://docs.google.com/spreadsheets/d/1MeEWN-I1oV_STSDYn1IFDPWt_1FKiwhDph83XaGc0o0/edit?usp=sharing"",""งบพรบ!DI67"")"),191010)</f>
        <v>191010</v>
      </c>
      <c r="M282" s="93">
        <f ca="1">IFERROR(__xludf.DUMMYFUNCTION("IMPORTRANGE(""https://docs.google.com/spreadsheets/d/1MeEWN-I1oV_STSDYn1IFDPWt_1FKiwhDph83XaGc0o0/edit?usp=sharing"",""งบพรบ!DN67"")"),91820)</f>
        <v>91820</v>
      </c>
      <c r="N282" s="93">
        <f ca="1">IFERROR(__xludf.DUMMYFUNCTION("IMPORTRANGE(""https://docs.google.com/spreadsheets/d/1MeEWN-I1oV_STSDYn1IFDPWt_1FKiwhDph83XaGc0o0/edit?usp=sharing"",""งบพรบ!DP67"")"),80369.44)</f>
        <v>80369.440000000002</v>
      </c>
      <c r="O282" s="93">
        <f t="shared" ca="1" si="126"/>
        <v>42.076037903774669</v>
      </c>
      <c r="P282" s="93">
        <f t="shared" ca="1" si="127"/>
        <v>87.529340013069046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>
      <c r="A283" s="159"/>
      <c r="B283" s="33"/>
      <c r="C283" s="281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6">
        <f t="shared" ref="L283:N283" ca="1" si="130">L284+L285</f>
        <v>0</v>
      </c>
      <c r="M283" s="496">
        <f t="shared" ca="1" si="130"/>
        <v>0</v>
      </c>
      <c r="N283" s="496">
        <f t="shared" ca="1" si="130"/>
        <v>0</v>
      </c>
      <c r="O283" s="496">
        <f t="shared" ca="1" si="126"/>
        <v>0</v>
      </c>
      <c r="P283" s="496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2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2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IFERROR(__xludf.DUMMYFUNCTION("IMPORTRANGE(""https://docs.google.com/spreadsheets/d/1MeEWN-I1oV_STSDYn1IFDPWt_1FKiwhDph83XaGc0o0/edit?usp=sharing"",""งบพรบ!DL67"")"),0)</f>
        <v>0</v>
      </c>
      <c r="M285" s="93">
        <f ca="1">IFERROR(__xludf.DUMMYFUNCTION("IMPORTRANGE(""https://docs.google.com/spreadsheets/d/1MeEWN-I1oV_STSDYn1IFDPWt_1FKiwhDph83XaGc0o0/edit?usp=sharing"",""งบพรบ!DO67"")"),0)</f>
        <v>0</v>
      </c>
      <c r="N285" s="93">
        <f ca="1">IFERROR(__xludf.DUMMYFUNCTION("IMPORTRANGE(""https://docs.google.com/spreadsheets/d/1MeEWN-I1oV_STSDYn1IFDPWt_1FKiwhDph83XaGc0o0/edit?usp=sharing"",""งบพรบ!DQ67"")"),0)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>
      <c r="A286" s="170"/>
      <c r="B286" s="171"/>
      <c r="C286" s="164" t="s">
        <v>16</v>
      </c>
      <c r="D286" s="823" t="s">
        <v>38</v>
      </c>
      <c r="E286" s="173"/>
      <c r="F286" s="173"/>
      <c r="G286" s="174"/>
      <c r="H286" s="753"/>
      <c r="I286" s="184"/>
      <c r="J286" s="184"/>
      <c r="K286" s="163"/>
      <c r="L286" s="163"/>
      <c r="M286" s="163"/>
      <c r="N286" s="163"/>
      <c r="O286" s="163"/>
      <c r="P286" s="163"/>
    </row>
    <row r="287" spans="1:26" ht="18.75">
      <c r="A287" s="170"/>
      <c r="B287" s="171"/>
      <c r="C287" s="171"/>
      <c r="D287" s="619" t="s">
        <v>129</v>
      </c>
      <c r="E287" s="171"/>
      <c r="F287" s="178"/>
      <c r="G287" s="179"/>
      <c r="H287" s="185" t="s">
        <v>46</v>
      </c>
      <c r="I287" s="269">
        <f ca="1">IFERROR(__xludf.DUMMYFUNCTION("IMPORTRANGE(""https://docs.google.com/spreadsheets/d/1QqKyyYR6Q21VydFLVH3TRQUabQu_ym0Zz7PgGX0-kHA/edit?usp=sharing"",""แผน!EC67"")"),100)</f>
        <v>100</v>
      </c>
      <c r="J287" s="214">
        <v>100</v>
      </c>
      <c r="K287" s="163">
        <f t="shared" ref="K287:K288" ca="1" si="131">IF(I287&gt;0,J287*100/I287,0)</f>
        <v>100</v>
      </c>
      <c r="L287" s="163"/>
      <c r="M287" s="163"/>
      <c r="N287" s="163"/>
      <c r="O287" s="163"/>
      <c r="P287" s="163"/>
    </row>
    <row r="288" spans="1:26" ht="19.5">
      <c r="A288" s="170"/>
      <c r="B288" s="171"/>
      <c r="C288" s="171"/>
      <c r="D288" s="619" t="s">
        <v>130</v>
      </c>
      <c r="E288" s="171"/>
      <c r="F288" s="178"/>
      <c r="G288" s="179"/>
      <c r="H288" s="180" t="s">
        <v>35</v>
      </c>
      <c r="I288" s="674">
        <f ca="1">IFERROR(__xludf.DUMMYFUNCTION("IMPORTRANGE(""https://docs.google.com/spreadsheets/d/1QqKyyYR6Q21VydFLVH3TRQUabQu_ym0Zz7PgGX0-kHA/edit?usp=sharing"",""แผน!EB67"")"),10)</f>
        <v>10</v>
      </c>
      <c r="J288" s="674">
        <f ca="1">IF(AND(J291&gt;=I288,J294&gt;=I288),J294,0)</f>
        <v>0</v>
      </c>
      <c r="K288" s="410">
        <f t="shared" ca="1" si="131"/>
        <v>0</v>
      </c>
      <c r="L288" s="163"/>
      <c r="M288" s="163"/>
      <c r="N288" s="163"/>
      <c r="O288" s="163"/>
      <c r="P288" s="163"/>
    </row>
    <row r="289" spans="1:26" ht="19.5">
      <c r="A289" s="170"/>
      <c r="B289" s="171"/>
      <c r="C289" s="171"/>
      <c r="D289" s="411"/>
      <c r="E289" s="412" t="s">
        <v>131</v>
      </c>
      <c r="F289" s="178"/>
      <c r="G289" s="179"/>
      <c r="H289" s="755"/>
      <c r="I289" s="184"/>
      <c r="J289" s="269"/>
      <c r="K289" s="163"/>
      <c r="L289" s="163"/>
      <c r="M289" s="163"/>
      <c r="N289" s="163"/>
      <c r="O289" s="163"/>
      <c r="P289" s="163"/>
    </row>
    <row r="290" spans="1:26" ht="19.5">
      <c r="A290" s="170"/>
      <c r="B290" s="171"/>
      <c r="C290" s="171"/>
      <c r="D290" s="411"/>
      <c r="E290" s="619" t="s">
        <v>132</v>
      </c>
      <c r="F290" s="178"/>
      <c r="G290" s="179"/>
      <c r="H290" s="755" t="s">
        <v>35</v>
      </c>
      <c r="I290" s="184">
        <f ca="1">IFERROR(__xludf.DUMMYFUNCTION("IMPORTRANGE(""https://docs.google.com/spreadsheets/d/1QqKyyYR6Q21VydFLVH3TRQUabQu_ym0Zz7PgGX0-kHA/edit?usp=sharing"",""แผน!EB67"")"),10)</f>
        <v>10</v>
      </c>
      <c r="J290" s="214">
        <v>10</v>
      </c>
      <c r="K290" s="163">
        <f t="shared" ref="K290:K291" ca="1" si="132">IF(I290&gt;0,J290*100/I290,0)</f>
        <v>100</v>
      </c>
      <c r="L290" s="163"/>
      <c r="M290" s="163"/>
      <c r="N290" s="163"/>
      <c r="O290" s="163"/>
      <c r="P290" s="163"/>
    </row>
    <row r="291" spans="1:26" ht="19.5">
      <c r="A291" s="170"/>
      <c r="B291" s="171"/>
      <c r="C291" s="171"/>
      <c r="D291" s="178"/>
      <c r="E291" s="619" t="s">
        <v>133</v>
      </c>
      <c r="F291" s="178"/>
      <c r="G291" s="179"/>
      <c r="H291" s="755" t="s">
        <v>35</v>
      </c>
      <c r="I291" s="184">
        <f ca="1">IFERROR(__xludf.DUMMYFUNCTION("IMPORTRANGE(""https://docs.google.com/spreadsheets/d/1QqKyyYR6Q21VydFLVH3TRQUabQu_ym0Zz7PgGX0-kHA/edit?usp=sharing"",""แผน!EB67"")"),10)</f>
        <v>10</v>
      </c>
      <c r="J291" s="214">
        <v>10</v>
      </c>
      <c r="K291" s="163">
        <f t="shared" ca="1" si="132"/>
        <v>100</v>
      </c>
      <c r="L291" s="163"/>
      <c r="M291" s="163"/>
      <c r="N291" s="163"/>
      <c r="O291" s="163"/>
      <c r="P291" s="163"/>
    </row>
    <row r="292" spans="1:26" ht="19.5">
      <c r="A292" s="413"/>
      <c r="B292" s="414"/>
      <c r="C292" s="414"/>
      <c r="D292" s="415"/>
      <c r="E292" s="416" t="s">
        <v>134</v>
      </c>
      <c r="F292" s="287"/>
      <c r="G292" s="288"/>
      <c r="H292" s="417"/>
      <c r="I292" s="418"/>
      <c r="J292" s="419"/>
      <c r="K292" s="279"/>
      <c r="L292" s="279"/>
      <c r="M292" s="279"/>
      <c r="N292" s="279"/>
      <c r="O292" s="279"/>
      <c r="P292" s="279"/>
    </row>
    <row r="293" spans="1:26" ht="19.5">
      <c r="A293" s="170"/>
      <c r="B293" s="171"/>
      <c r="C293" s="171"/>
      <c r="D293" s="411"/>
      <c r="E293" s="619" t="s">
        <v>132</v>
      </c>
      <c r="F293" s="178"/>
      <c r="G293" s="179"/>
      <c r="H293" s="755" t="s">
        <v>35</v>
      </c>
      <c r="I293" s="184">
        <f ca="1">IFERROR(__xludf.DUMMYFUNCTION("IMPORTRANGE(""https://docs.google.com/spreadsheets/d/1QqKyyYR6Q21VydFLVH3TRQUabQu_ym0Zz7PgGX0-kHA/edit?usp=sharing"",""แผน!EB67"")"),10)</f>
        <v>10</v>
      </c>
      <c r="J293" s="214">
        <v>0</v>
      </c>
      <c r="K293" s="163">
        <f t="shared" ref="K293:K294" ca="1" si="133">IF(I293&gt;0,J293*100/I293,0)</f>
        <v>0</v>
      </c>
      <c r="L293" s="163"/>
      <c r="M293" s="163"/>
      <c r="N293" s="163"/>
      <c r="O293" s="163"/>
      <c r="P293" s="163"/>
    </row>
    <row r="294" spans="1:26" ht="19.5">
      <c r="A294" s="377"/>
      <c r="B294" s="378"/>
      <c r="C294" s="378"/>
      <c r="D294" s="380"/>
      <c r="E294" s="725" t="s">
        <v>136</v>
      </c>
      <c r="F294" s="380"/>
      <c r="G294" s="381"/>
      <c r="H294" s="421" t="s">
        <v>35</v>
      </c>
      <c r="I294" s="422">
        <f ca="1">IFERROR(__xludf.DUMMYFUNCTION("IMPORTRANGE(""https://docs.google.com/spreadsheets/d/1QqKyyYR6Q21VydFLVH3TRQUabQu_ym0Zz7PgGX0-kHA/edit?usp=sharing"",""แผน!EB67"")"),10)</f>
        <v>10</v>
      </c>
      <c r="J294" s="423">
        <v>0</v>
      </c>
      <c r="K294" s="384">
        <f t="shared" ca="1" si="133"/>
        <v>0</v>
      </c>
      <c r="L294" s="384"/>
      <c r="M294" s="384"/>
      <c r="N294" s="384"/>
      <c r="O294" s="384"/>
      <c r="P294" s="384"/>
    </row>
    <row r="295" spans="1:26" ht="19.5">
      <c r="A295" s="424" t="s">
        <v>137</v>
      </c>
      <c r="B295" s="425"/>
      <c r="C295" s="425"/>
      <c r="D295" s="425"/>
      <c r="E295" s="426"/>
      <c r="F295" s="426"/>
      <c r="G295" s="427"/>
      <c r="H295" s="428"/>
      <c r="I295" s="429"/>
      <c r="J295" s="429"/>
      <c r="K295" s="430"/>
      <c r="L295" s="430"/>
      <c r="M295" s="430"/>
      <c r="N295" s="430"/>
      <c r="O295" s="430"/>
      <c r="P295" s="430"/>
    </row>
    <row r="296" spans="1:26" ht="19.5">
      <c r="A296" s="431" t="s">
        <v>138</v>
      </c>
      <c r="B296" s="432"/>
      <c r="C296" s="432"/>
      <c r="D296" s="433"/>
      <c r="E296" s="433"/>
      <c r="F296" s="433"/>
      <c r="G296" s="434"/>
      <c r="H296" s="435"/>
      <c r="I296" s="436"/>
      <c r="J296" s="436"/>
      <c r="K296" s="437"/>
      <c r="L296" s="437"/>
      <c r="M296" s="437"/>
      <c r="N296" s="437"/>
      <c r="O296" s="437"/>
      <c r="P296" s="437"/>
    </row>
    <row r="297" spans="1:26" ht="19.5">
      <c r="A297" s="438"/>
      <c r="B297" s="439" t="s">
        <v>139</v>
      </c>
      <c r="C297" s="440"/>
      <c r="D297" s="440"/>
      <c r="E297" s="440"/>
      <c r="F297" s="440"/>
      <c r="G297" s="441"/>
      <c r="H297" s="442" t="s">
        <v>35</v>
      </c>
      <c r="I297" s="443">
        <f t="shared" ref="I297:J297" ca="1" si="134">I309</f>
        <v>15</v>
      </c>
      <c r="J297" s="443">
        <f t="shared" si="134"/>
        <v>0</v>
      </c>
      <c r="K297" s="444">
        <f ca="1">IF(I297&gt;0,J297*100/I297,0)</f>
        <v>0</v>
      </c>
      <c r="L297" s="445"/>
      <c r="M297" s="445"/>
      <c r="N297" s="445"/>
      <c r="O297" s="445"/>
      <c r="P297" s="445"/>
    </row>
    <row r="298" spans="1:26" ht="19.5">
      <c r="A298" s="147"/>
      <c r="B298" s="148"/>
      <c r="C298" s="149" t="s">
        <v>16</v>
      </c>
      <c r="D298" s="822" t="s">
        <v>17</v>
      </c>
      <c r="E298" s="148"/>
      <c r="F298" s="148"/>
      <c r="G298" s="151"/>
      <c r="H298" s="152" t="s">
        <v>12</v>
      </c>
      <c r="I298" s="419"/>
      <c r="J298" s="419"/>
      <c r="K298" s="154"/>
      <c r="L298" s="155">
        <f t="shared" ref="L298:N298" ca="1" si="135">L299+L300</f>
        <v>206800</v>
      </c>
      <c r="M298" s="155">
        <f t="shared" ca="1" si="135"/>
        <v>102840</v>
      </c>
      <c r="N298" s="155">
        <f t="shared" ca="1" si="135"/>
        <v>50300</v>
      </c>
      <c r="O298" s="155">
        <f t="shared" ref="O298:O306" ca="1" si="136">IF(L298&gt;0,N298*100/L298,0)</f>
        <v>24.323017408123793</v>
      </c>
      <c r="P298" s="155">
        <f t="shared" ref="P298:P306" ca="1" si="137">IF(M298&gt;0,N298*100/M298,0)</f>
        <v>48.910929599377674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2" t="s">
        <v>18</v>
      </c>
      <c r="F299" s="40"/>
      <c r="G299" s="157"/>
      <c r="H299" s="158" t="s">
        <v>12</v>
      </c>
      <c r="I299" s="610"/>
      <c r="J299" s="610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2" t="s">
        <v>19</v>
      </c>
      <c r="F300" s="40"/>
      <c r="G300" s="157"/>
      <c r="H300" s="158" t="s">
        <v>12</v>
      </c>
      <c r="I300" s="610"/>
      <c r="J300" s="610"/>
      <c r="K300" s="93"/>
      <c r="L300" s="93">
        <f t="shared" ca="1" si="138"/>
        <v>206800</v>
      </c>
      <c r="M300" s="93">
        <f t="shared" ca="1" si="138"/>
        <v>102840</v>
      </c>
      <c r="N300" s="93">
        <f t="shared" ca="1" si="138"/>
        <v>50300</v>
      </c>
      <c r="O300" s="93">
        <f t="shared" ca="1" si="136"/>
        <v>24.323017408123793</v>
      </c>
      <c r="P300" s="93">
        <f t="shared" ca="1" si="137"/>
        <v>48.910929599377674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>
      <c r="A301" s="159"/>
      <c r="B301" s="33"/>
      <c r="C301" s="281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6">
        <f t="shared" ref="L301:N301" ca="1" si="139">L302+L303</f>
        <v>206800</v>
      </c>
      <c r="M301" s="496">
        <f t="shared" ca="1" si="139"/>
        <v>102840</v>
      </c>
      <c r="N301" s="496">
        <f t="shared" ca="1" si="139"/>
        <v>50300</v>
      </c>
      <c r="O301" s="496">
        <f t="shared" ca="1" si="136"/>
        <v>24.323017408123793</v>
      </c>
      <c r="P301" s="496">
        <f t="shared" ca="1" si="137"/>
        <v>48.910929599377674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2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2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IFERROR(__xludf.DUMMYFUNCTION("IMPORTRANGE(""https://docs.google.com/spreadsheets/d/1MeEWN-I1oV_STSDYn1IFDPWt_1FKiwhDph83XaGc0o0/edit?usp=sharing"",""งบพรบ!DS67"")"),206800)</f>
        <v>206800</v>
      </c>
      <c r="M303" s="93">
        <f ca="1">IFERROR(__xludf.DUMMYFUNCTION("IMPORTRANGE(""https://docs.google.com/spreadsheets/d/1MeEWN-I1oV_STSDYn1IFDPWt_1FKiwhDph83XaGc0o0/edit?usp=sharing"",""งบพรบ!DX67"")"),102840)</f>
        <v>102840</v>
      </c>
      <c r="N303" s="93">
        <f ca="1">IFERROR(__xludf.DUMMYFUNCTION("IMPORTRANGE(""https://docs.google.com/spreadsheets/d/1MeEWN-I1oV_STSDYn1IFDPWt_1FKiwhDph83XaGc0o0/edit?usp=sharing"",""งบพรบ!DZ67"")"),50300)</f>
        <v>50300</v>
      </c>
      <c r="O303" s="93">
        <f t="shared" ca="1" si="136"/>
        <v>24.323017408123793</v>
      </c>
      <c r="P303" s="93">
        <f t="shared" ca="1" si="137"/>
        <v>48.910929599377674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>
      <c r="A304" s="159"/>
      <c r="B304" s="33"/>
      <c r="C304" s="281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6">
        <f t="shared" ref="L304:N304" ca="1" si="140">L305+L306</f>
        <v>0</v>
      </c>
      <c r="M304" s="496">
        <f t="shared" ca="1" si="140"/>
        <v>0</v>
      </c>
      <c r="N304" s="496">
        <f t="shared" ca="1" si="140"/>
        <v>0</v>
      </c>
      <c r="O304" s="496">
        <f t="shared" ca="1" si="136"/>
        <v>0</v>
      </c>
      <c r="P304" s="496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2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2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IFERROR(__xludf.DUMMYFUNCTION("IMPORTRANGE(""https://docs.google.com/spreadsheets/d/1MeEWN-I1oV_STSDYn1IFDPWt_1FKiwhDph83XaGc0o0/edit?usp=sharing"",""งบพรบ!DV67"")"),0)</f>
        <v>0</v>
      </c>
      <c r="M306" s="93">
        <f ca="1">IFERROR(__xludf.DUMMYFUNCTION("IMPORTRANGE(""https://docs.google.com/spreadsheets/d/1MeEWN-I1oV_STSDYn1IFDPWt_1FKiwhDph83XaGc0o0/edit?usp=sharing"",""งบพรบ!DY67"")"),0)</f>
        <v>0</v>
      </c>
      <c r="N306" s="93">
        <f ca="1">IFERROR(__xludf.DUMMYFUNCTION("IMPORTRANGE(""https://docs.google.com/spreadsheets/d/1MeEWN-I1oV_STSDYn1IFDPWt_1FKiwhDph83XaGc0o0/edit?usp=sharing"",""งบพรบ!EA67"")"),0)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>
      <c r="A307" s="170"/>
      <c r="B307" s="171"/>
      <c r="C307" s="164" t="s">
        <v>16</v>
      </c>
      <c r="D307" s="823" t="s">
        <v>38</v>
      </c>
      <c r="E307" s="173"/>
      <c r="F307" s="173"/>
      <c r="G307" s="174"/>
      <c r="H307" s="753"/>
      <c r="I307" s="269"/>
      <c r="J307" s="269"/>
      <c r="K307" s="496"/>
      <c r="L307" s="496"/>
      <c r="M307" s="496"/>
      <c r="N307" s="496"/>
      <c r="O307" s="496"/>
      <c r="P307" s="496"/>
    </row>
    <row r="308" spans="1:26" ht="18.75">
      <c r="A308" s="170"/>
      <c r="B308" s="171"/>
      <c r="C308" s="171"/>
      <c r="D308" s="446" t="s">
        <v>140</v>
      </c>
      <c r="E308" s="446"/>
      <c r="F308" s="446"/>
      <c r="G308" s="179"/>
      <c r="H308" s="755"/>
      <c r="I308" s="269"/>
      <c r="J308" s="214">
        <v>1</v>
      </c>
      <c r="K308" s="496"/>
      <c r="L308" s="496"/>
      <c r="M308" s="496"/>
      <c r="N308" s="496"/>
      <c r="O308" s="496"/>
      <c r="P308" s="496"/>
    </row>
    <row r="309" spans="1:26" ht="18.75">
      <c r="A309" s="170"/>
      <c r="B309" s="171"/>
      <c r="C309" s="171"/>
      <c r="D309" s="446" t="s">
        <v>141</v>
      </c>
      <c r="E309" s="446"/>
      <c r="F309" s="446"/>
      <c r="G309" s="179"/>
      <c r="H309" s="755" t="s">
        <v>35</v>
      </c>
      <c r="I309" s="269">
        <f ca="1">IFERROR(__xludf.DUMMYFUNCTION("IMPORTRANGE(""https://docs.google.com/spreadsheets/d/1QqKyyYR6Q21VydFLVH3TRQUabQu_ym0Zz7PgGX0-kHA/edit?usp=sharing"",""แผน!ED67"")"),15)</f>
        <v>15</v>
      </c>
      <c r="J309" s="214">
        <v>0</v>
      </c>
      <c r="K309" s="496">
        <f t="shared" ref="K309:K312" ca="1" si="141">IF(I309&gt;0,J309*100/I309,0)</f>
        <v>0</v>
      </c>
      <c r="L309" s="496"/>
      <c r="M309" s="496"/>
      <c r="N309" s="496"/>
      <c r="O309" s="496"/>
      <c r="P309" s="496"/>
    </row>
    <row r="310" spans="1:26" ht="18.75">
      <c r="A310" s="170"/>
      <c r="B310" s="171"/>
      <c r="C310" s="171"/>
      <c r="D310" s="446" t="s">
        <v>142</v>
      </c>
      <c r="E310" s="446"/>
      <c r="F310" s="446"/>
      <c r="G310" s="179"/>
      <c r="H310" s="755" t="s">
        <v>35</v>
      </c>
      <c r="I310" s="269">
        <f ca="1">IFERROR(__xludf.DUMMYFUNCTION("IMPORTRANGE(""https://docs.google.com/spreadsheets/d/1QqKyyYR6Q21VydFLVH3TRQUabQu_ym0Zz7PgGX0-kHA/edit?usp=sharing"",""แผน!ED67"")"),15)</f>
        <v>15</v>
      </c>
      <c r="J310" s="214">
        <v>15</v>
      </c>
      <c r="K310" s="496">
        <f t="shared" ca="1" si="141"/>
        <v>100</v>
      </c>
      <c r="L310" s="496"/>
      <c r="M310" s="496"/>
      <c r="N310" s="496"/>
      <c r="O310" s="496"/>
      <c r="P310" s="496"/>
    </row>
    <row r="311" spans="1:26" ht="18.75">
      <c r="A311" s="170"/>
      <c r="B311" s="171"/>
      <c r="C311" s="171"/>
      <c r="D311" s="446" t="s">
        <v>59</v>
      </c>
      <c r="E311" s="446"/>
      <c r="F311" s="446"/>
      <c r="G311" s="179"/>
      <c r="H311" s="755" t="s">
        <v>35</v>
      </c>
      <c r="I311" s="269">
        <f ca="1">IFERROR(__xludf.DUMMYFUNCTION("IMPORTRANGE(""https://docs.google.com/spreadsheets/d/1QqKyyYR6Q21VydFLVH3TRQUabQu_ym0Zz7PgGX0-kHA/edit?usp=sharing"",""แผน!ED67"")"),15)</f>
        <v>15</v>
      </c>
      <c r="J311" s="214">
        <v>0</v>
      </c>
      <c r="K311" s="496">
        <f t="shared" ca="1" si="141"/>
        <v>0</v>
      </c>
      <c r="L311" s="496"/>
      <c r="M311" s="496"/>
      <c r="N311" s="496"/>
      <c r="O311" s="496"/>
      <c r="P311" s="496"/>
    </row>
    <row r="312" spans="1:26" ht="18.75">
      <c r="A312" s="170"/>
      <c r="B312" s="171"/>
      <c r="C312" s="171"/>
      <c r="D312" s="446" t="s">
        <v>143</v>
      </c>
      <c r="E312" s="446"/>
      <c r="F312" s="446"/>
      <c r="G312" s="179"/>
      <c r="H312" s="755" t="s">
        <v>35</v>
      </c>
      <c r="I312" s="269">
        <f ca="1">IFERROR(__xludf.DUMMYFUNCTION("IMPORTRANGE(""https://docs.google.com/spreadsheets/d/1QqKyyYR6Q21VydFLVH3TRQUabQu_ym0Zz7PgGX0-kHA/edit?usp=sharing"",""แผน!EE67"")"),3)</f>
        <v>3</v>
      </c>
      <c r="J312" s="214">
        <v>0</v>
      </c>
      <c r="K312" s="496">
        <f t="shared" ca="1" si="141"/>
        <v>0</v>
      </c>
      <c r="L312" s="496"/>
      <c r="M312" s="496"/>
      <c r="N312" s="496"/>
      <c r="O312" s="496"/>
      <c r="P312" s="496"/>
    </row>
    <row r="313" spans="1:26" ht="19.5" hidden="1">
      <c r="A313" s="431" t="s">
        <v>144</v>
      </c>
      <c r="B313" s="432"/>
      <c r="C313" s="432"/>
      <c r="D313" s="433"/>
      <c r="E313" s="432"/>
      <c r="F313" s="432"/>
      <c r="G313" s="432"/>
      <c r="H313" s="448"/>
      <c r="I313" s="436"/>
      <c r="J313" s="436"/>
      <c r="K313" s="437"/>
      <c r="L313" s="437"/>
      <c r="M313" s="437"/>
      <c r="N313" s="437"/>
      <c r="O313" s="437"/>
      <c r="P313" s="437"/>
    </row>
    <row r="314" spans="1:26" ht="19.5" hidden="1">
      <c r="A314" s="449"/>
      <c r="B314" s="439" t="s">
        <v>145</v>
      </c>
      <c r="C314" s="450"/>
      <c r="D314" s="451"/>
      <c r="E314" s="440"/>
      <c r="F314" s="440"/>
      <c r="G314" s="441"/>
      <c r="H314" s="442" t="s">
        <v>146</v>
      </c>
      <c r="I314" s="443">
        <f t="shared" ref="I314:J314" ca="1" si="142">I325</f>
        <v>0</v>
      </c>
      <c r="J314" s="443">
        <f t="shared" si="142"/>
        <v>0</v>
      </c>
      <c r="K314" s="444">
        <f ca="1">IF(I314&gt;0,J314*100/I314,0)</f>
        <v>0</v>
      </c>
      <c r="L314" s="445"/>
      <c r="M314" s="445"/>
      <c r="N314" s="445"/>
      <c r="O314" s="445"/>
      <c r="P314" s="445"/>
    </row>
    <row r="315" spans="1:26" ht="19.5" hidden="1">
      <c r="A315" s="147"/>
      <c r="B315" s="148"/>
      <c r="C315" s="149" t="s">
        <v>16</v>
      </c>
      <c r="D315" s="822" t="s">
        <v>17</v>
      </c>
      <c r="E315" s="148"/>
      <c r="F315" s="148"/>
      <c r="G315" s="151"/>
      <c r="H315" s="152" t="s">
        <v>12</v>
      </c>
      <c r="I315" s="419"/>
      <c r="J315" s="419"/>
      <c r="K315" s="154"/>
      <c r="L315" s="155">
        <f t="shared" ref="L315:N315" ca="1" si="143">L316+L317</f>
        <v>0</v>
      </c>
      <c r="M315" s="155">
        <f t="shared" ca="1" si="143"/>
        <v>0</v>
      </c>
      <c r="N315" s="155">
        <f t="shared" ca="1" si="143"/>
        <v>0</v>
      </c>
      <c r="O315" s="155">
        <f t="shared" ref="O315:O323" ca="1" si="144">IF(L315&gt;0,N315*100/L315,0)</f>
        <v>0</v>
      </c>
      <c r="P315" s="155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2" t="s">
        <v>18</v>
      </c>
      <c r="F316" s="40"/>
      <c r="G316" s="157"/>
      <c r="H316" s="158" t="s">
        <v>12</v>
      </c>
      <c r="I316" s="610"/>
      <c r="J316" s="610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2" t="s">
        <v>19</v>
      </c>
      <c r="F317" s="40"/>
      <c r="G317" s="157"/>
      <c r="H317" s="158" t="s">
        <v>12</v>
      </c>
      <c r="I317" s="610"/>
      <c r="J317" s="610"/>
      <c r="K317" s="93"/>
      <c r="L317" s="93">
        <f t="shared" ca="1" si="146"/>
        <v>0</v>
      </c>
      <c r="M317" s="93">
        <f t="shared" ca="1" si="146"/>
        <v>0</v>
      </c>
      <c r="N317" s="93">
        <f t="shared" ca="1" si="146"/>
        <v>0</v>
      </c>
      <c r="O317" s="93">
        <f t="shared" ca="1" si="144"/>
        <v>0</v>
      </c>
      <c r="P317" s="93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1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6">
        <f t="shared" ref="L318:N318" ca="1" si="147">L319+L320</f>
        <v>0</v>
      </c>
      <c r="M318" s="496">
        <f t="shared" ca="1" si="147"/>
        <v>0</v>
      </c>
      <c r="N318" s="496">
        <f t="shared" ca="1" si="147"/>
        <v>0</v>
      </c>
      <c r="O318" s="496">
        <f t="shared" ca="1" si="144"/>
        <v>0</v>
      </c>
      <c r="P318" s="496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2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2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IFERROR(__xludf.DUMMYFUNCTION("IMPORTRANGE(""https://docs.google.com/spreadsheets/d/1MeEWN-I1oV_STSDYn1IFDPWt_1FKiwhDph83XaGc0o0/edit?usp=sharing"",""งบพรบ!EC67"")"),0)</f>
        <v>0</v>
      </c>
      <c r="M320" s="93">
        <f ca="1">IFERROR(__xludf.DUMMYFUNCTION("IMPORTRANGE(""https://docs.google.com/spreadsheets/d/1MeEWN-I1oV_STSDYn1IFDPWt_1FKiwhDph83XaGc0o0/edit?usp=sharing"",""งบพรบ!EH67"")"),0)</f>
        <v>0</v>
      </c>
      <c r="N320" s="93">
        <f ca="1">IFERROR(__xludf.DUMMYFUNCTION("IMPORTRANGE(""https://docs.google.com/spreadsheets/d/1MeEWN-I1oV_STSDYn1IFDPWt_1FKiwhDph83XaGc0o0/edit?usp=sharing"",""งบพรบ!EJ67"")"),0)</f>
        <v>0</v>
      </c>
      <c r="O320" s="93">
        <f t="shared" ca="1" si="144"/>
        <v>0</v>
      </c>
      <c r="P320" s="93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1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6">
        <f t="shared" ref="L321:N321" ca="1" si="148">L322+L323</f>
        <v>0</v>
      </c>
      <c r="M321" s="496">
        <f t="shared" ca="1" si="148"/>
        <v>0</v>
      </c>
      <c r="N321" s="496">
        <f t="shared" ca="1" si="148"/>
        <v>0</v>
      </c>
      <c r="O321" s="496">
        <f t="shared" ca="1" si="144"/>
        <v>0</v>
      </c>
      <c r="P321" s="496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2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2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IFERROR(__xludf.DUMMYFUNCTION("IMPORTRANGE(""https://docs.google.com/spreadsheets/d/1MeEWN-I1oV_STSDYn1IFDPWt_1FKiwhDph83XaGc0o0/edit?usp=sharing"",""งบพรบ!EF67"")"),0)</f>
        <v>0</v>
      </c>
      <c r="M323" s="93">
        <f ca="1">IFERROR(__xludf.DUMMYFUNCTION("IMPORTRANGE(""https://docs.google.com/spreadsheets/d/1MeEWN-I1oV_STSDYn1IFDPWt_1FKiwhDph83XaGc0o0/edit?usp=sharing"",""งบพรบ!EI67"")"),0)</f>
        <v>0</v>
      </c>
      <c r="N323" s="93">
        <f ca="1">IFERROR(__xludf.DUMMYFUNCTION("IMPORTRANGE(""https://docs.google.com/spreadsheets/d/1MeEWN-I1oV_STSDYn1IFDPWt_1FKiwhDph83XaGc0o0/edit?usp=sharing"",""งบพรบ!EK67"")"),0)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23" t="s">
        <v>38</v>
      </c>
      <c r="E324" s="173"/>
      <c r="F324" s="173"/>
      <c r="G324" s="174"/>
      <c r="H324" s="753"/>
      <c r="I324" s="184"/>
      <c r="J324" s="269"/>
      <c r="K324" s="496"/>
      <c r="L324" s="496"/>
      <c r="M324" s="496"/>
      <c r="N324" s="496"/>
      <c r="O324" s="163"/>
      <c r="P324" s="163"/>
    </row>
    <row r="325" spans="1:26" ht="18.75" hidden="1">
      <c r="A325" s="170"/>
      <c r="B325" s="171"/>
      <c r="C325" s="171"/>
      <c r="D325" s="176" t="s">
        <v>147</v>
      </c>
      <c r="E325" s="178"/>
      <c r="F325" s="446"/>
      <c r="G325" s="179"/>
      <c r="H325" s="616" t="s">
        <v>146</v>
      </c>
      <c r="I325" s="269">
        <f ca="1">IFERROR(__xludf.DUMMYFUNCTION("IMPORTRANGE(""https://docs.google.com/spreadsheets/d/1QqKyyYR6Q21VydFLVH3TRQUabQu_ym0Zz7PgGX0-kHA/edit?usp=sharing"",""แผน!EF67"")"),0)</f>
        <v>0</v>
      </c>
      <c r="J325" s="214">
        <v>0</v>
      </c>
      <c r="K325" s="496">
        <f ca="1">IF(I325&gt;0,J325*100/I325,0)</f>
        <v>0</v>
      </c>
      <c r="L325" s="496"/>
      <c r="M325" s="496"/>
      <c r="N325" s="496"/>
      <c r="O325" s="163"/>
      <c r="P325" s="163"/>
    </row>
    <row r="326" spans="1:26" ht="19.5">
      <c r="A326" s="431" t="s">
        <v>148</v>
      </c>
      <c r="B326" s="432"/>
      <c r="C326" s="432"/>
      <c r="D326" s="433"/>
      <c r="E326" s="432"/>
      <c r="F326" s="432"/>
      <c r="G326" s="432"/>
      <c r="H326" s="448"/>
      <c r="I326" s="436"/>
      <c r="J326" s="436"/>
      <c r="K326" s="437"/>
      <c r="L326" s="437"/>
      <c r="M326" s="437"/>
      <c r="N326" s="437"/>
      <c r="O326" s="437"/>
      <c r="P326" s="437"/>
    </row>
    <row r="327" spans="1:26" ht="19.5">
      <c r="A327" s="438"/>
      <c r="B327" s="439" t="s">
        <v>149</v>
      </c>
      <c r="C327" s="451"/>
      <c r="D327" s="440"/>
      <c r="E327" s="440"/>
      <c r="F327" s="440"/>
      <c r="G327" s="441"/>
      <c r="H327" s="442" t="s">
        <v>35</v>
      </c>
      <c r="I327" s="443">
        <f ca="1">IFERROR(__xludf.DUMMYFUNCTION("IMPORTRANGE(""https://docs.google.com/spreadsheets/d/1QqKyyYR6Q21VydFLVH3TRQUabQu_ym0Zz7PgGX0-kHA/edit?usp=sharing"",""แผน!EG67"")"),1600)</f>
        <v>1600</v>
      </c>
      <c r="J327" s="443">
        <f ca="1">J338+J341+J342+J343</f>
        <v>779</v>
      </c>
      <c r="K327" s="444">
        <f ca="1">IF(I327&gt;0,J327*100/I327,0)</f>
        <v>48.6875</v>
      </c>
      <c r="L327" s="445"/>
      <c r="M327" s="445"/>
      <c r="N327" s="445"/>
      <c r="O327" s="445"/>
      <c r="P327" s="445"/>
    </row>
    <row r="328" spans="1:26" ht="19.5">
      <c r="A328" s="147"/>
      <c r="B328" s="148"/>
      <c r="C328" s="149" t="s">
        <v>16</v>
      </c>
      <c r="D328" s="822" t="s">
        <v>17</v>
      </c>
      <c r="E328" s="148"/>
      <c r="F328" s="148"/>
      <c r="G328" s="151"/>
      <c r="H328" s="152" t="s">
        <v>12</v>
      </c>
      <c r="I328" s="419"/>
      <c r="J328" s="419"/>
      <c r="K328" s="154"/>
      <c r="L328" s="155">
        <f t="shared" ref="L328:N328" ca="1" si="149">L329+L330</f>
        <v>687200</v>
      </c>
      <c r="M328" s="155">
        <f t="shared" ca="1" si="149"/>
        <v>343600</v>
      </c>
      <c r="N328" s="155">
        <f t="shared" ca="1" si="149"/>
        <v>194087.16</v>
      </c>
      <c r="O328" s="155">
        <f t="shared" ref="O328:O336" ca="1" si="150">IF(L328&gt;0,N328*100/L328,0)</f>
        <v>28.243183934807917</v>
      </c>
      <c r="P328" s="155">
        <f t="shared" ref="P328:P336" ca="1" si="151">IF(M328&gt;0,N328*100/M328,0)</f>
        <v>56.486367869615833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2" t="s">
        <v>18</v>
      </c>
      <c r="F329" s="40"/>
      <c r="G329" s="157"/>
      <c r="H329" s="158" t="s">
        <v>12</v>
      </c>
      <c r="I329" s="610"/>
      <c r="J329" s="610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2" t="s">
        <v>19</v>
      </c>
      <c r="F330" s="40"/>
      <c r="G330" s="157"/>
      <c r="H330" s="158" t="s">
        <v>12</v>
      </c>
      <c r="I330" s="610"/>
      <c r="J330" s="610"/>
      <c r="K330" s="93"/>
      <c r="L330" s="93">
        <f t="shared" ca="1" si="152"/>
        <v>687200</v>
      </c>
      <c r="M330" s="93">
        <f t="shared" ca="1" si="152"/>
        <v>343600</v>
      </c>
      <c r="N330" s="93">
        <f t="shared" ca="1" si="152"/>
        <v>194087.16</v>
      </c>
      <c r="O330" s="93">
        <f t="shared" ca="1" si="150"/>
        <v>28.243183934807917</v>
      </c>
      <c r="P330" s="93">
        <f t="shared" ca="1" si="151"/>
        <v>56.486367869615833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1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6">
        <f t="shared" ref="L331:N331" ca="1" si="153">L332+L333</f>
        <v>687200</v>
      </c>
      <c r="M331" s="496">
        <f t="shared" ca="1" si="153"/>
        <v>343600</v>
      </c>
      <c r="N331" s="496">
        <f t="shared" ca="1" si="153"/>
        <v>194087.16</v>
      </c>
      <c r="O331" s="496">
        <f t="shared" ca="1" si="150"/>
        <v>28.243183934807917</v>
      </c>
      <c r="P331" s="496">
        <f t="shared" ca="1" si="151"/>
        <v>56.486367869615833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2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2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IFERROR(__xludf.DUMMYFUNCTION("IMPORTRANGE(""https://docs.google.com/spreadsheets/d/1MeEWN-I1oV_STSDYn1IFDPWt_1FKiwhDph83XaGc0o0/edit?usp=sharing"",""งบพรบ!EM67"")"),687200)</f>
        <v>687200</v>
      </c>
      <c r="M333" s="93">
        <f ca="1">IFERROR(__xludf.DUMMYFUNCTION("IMPORTRANGE(""https://docs.google.com/spreadsheets/d/1MeEWN-I1oV_STSDYn1IFDPWt_1FKiwhDph83XaGc0o0/edit?usp=sharing"",""งบพรบ!ER67"")"),343600)</f>
        <v>343600</v>
      </c>
      <c r="N333" s="93">
        <f ca="1">IFERROR(__xludf.DUMMYFUNCTION("IMPORTRANGE(""https://docs.google.com/spreadsheets/d/1MeEWN-I1oV_STSDYn1IFDPWt_1FKiwhDph83XaGc0o0/edit?usp=sharing"",""งบพรบ!ET67"")"),194087.16)</f>
        <v>194087.16</v>
      </c>
      <c r="O333" s="93">
        <f t="shared" ca="1" si="150"/>
        <v>28.243183934807917</v>
      </c>
      <c r="P333" s="93">
        <f t="shared" ca="1" si="151"/>
        <v>56.486367869615833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1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6">
        <f t="shared" ref="L334:N334" ca="1" si="154">L335+L336</f>
        <v>0</v>
      </c>
      <c r="M334" s="496">
        <f t="shared" ca="1" si="154"/>
        <v>0</v>
      </c>
      <c r="N334" s="496">
        <f t="shared" ca="1" si="154"/>
        <v>0</v>
      </c>
      <c r="O334" s="496">
        <f t="shared" ca="1" si="150"/>
        <v>0</v>
      </c>
      <c r="P334" s="496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2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2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IFERROR(__xludf.DUMMYFUNCTION("IMPORTRANGE(""https://docs.google.com/spreadsheets/d/1MeEWN-I1oV_STSDYn1IFDPWt_1FKiwhDph83XaGc0o0/edit?usp=sharing"",""งบพรบ!EP67"")"),0)</f>
        <v>0</v>
      </c>
      <c r="M336" s="93">
        <f ca="1">IFERROR(__xludf.DUMMYFUNCTION("IMPORTRANGE(""https://docs.google.com/spreadsheets/d/1MeEWN-I1oV_STSDYn1IFDPWt_1FKiwhDph83XaGc0o0/edit?usp=sharing"",""งบพรบ!ES67"")"),0)</f>
        <v>0</v>
      </c>
      <c r="N336" s="93">
        <f ca="1">IFERROR(__xludf.DUMMYFUNCTION("IMPORTRANGE(""https://docs.google.com/spreadsheets/d/1MeEWN-I1oV_STSDYn1IFDPWt_1FKiwhDph83XaGc0o0/edit?usp=sharing"",""งบพรบ!EU67"")"),0)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23" t="s">
        <v>38</v>
      </c>
      <c r="E337" s="173"/>
      <c r="F337" s="173"/>
      <c r="G337" s="174"/>
      <c r="H337" s="753"/>
      <c r="I337" s="184"/>
      <c r="J337" s="269"/>
      <c r="K337" s="496"/>
      <c r="L337" s="496"/>
      <c r="M337" s="496"/>
      <c r="N337" s="496"/>
      <c r="O337" s="163"/>
      <c r="P337" s="163"/>
    </row>
    <row r="338" spans="1:26" ht="18.75">
      <c r="A338" s="284"/>
      <c r="B338" s="33"/>
      <c r="C338" s="280"/>
      <c r="D338" s="446" t="s">
        <v>150</v>
      </c>
      <c r="E338" s="171"/>
      <c r="F338" s="33"/>
      <c r="G338" s="35"/>
      <c r="H338" s="276" t="s">
        <v>35</v>
      </c>
      <c r="I338" s="269">
        <f ca="1">IFERROR(__xludf.DUMMYFUNCTION("IMPORTRANGE(""https://docs.google.com/spreadsheets/d/1QqKyyYR6Q21VydFLVH3TRQUabQu_ym0Zz7PgGX0-kHA/edit?usp=sharing"",""แผน!EG67"")"),1600)</f>
        <v>1600</v>
      </c>
      <c r="J338" s="269">
        <f ca="1">IFERROR(__xludf.DUMMYFUNCTION("IMPORTRANGE(""https://docs.google.com/spreadsheets/d/1kVcqe37tkHyjCSG3S0O1AXqVkqjo8mSIZil3BcpIysc/edit?usp=sharing"",""ศูนย์!D67"")"),751)</f>
        <v>751</v>
      </c>
      <c r="K338" s="496">
        <f ca="1">IF(I338&gt;0,J338*100/I338,0)</f>
        <v>46.9375</v>
      </c>
      <c r="L338" s="496"/>
      <c r="M338" s="496"/>
      <c r="N338" s="496"/>
      <c r="O338" s="496"/>
      <c r="P338" s="496"/>
    </row>
    <row r="339" spans="1:26" ht="18.75">
      <c r="A339" s="284"/>
      <c r="B339" s="33"/>
      <c r="C339" s="280"/>
      <c r="D339" s="446" t="s">
        <v>151</v>
      </c>
      <c r="E339" s="171"/>
      <c r="F339" s="33"/>
      <c r="G339" s="35"/>
      <c r="H339" s="276"/>
      <c r="I339" s="269"/>
      <c r="J339" s="269"/>
      <c r="K339" s="496"/>
      <c r="L339" s="496"/>
      <c r="M339" s="496"/>
      <c r="N339" s="496"/>
      <c r="O339" s="496"/>
      <c r="P339" s="496"/>
    </row>
    <row r="340" spans="1:26" ht="18.75">
      <c r="A340" s="284"/>
      <c r="B340" s="33"/>
      <c r="C340" s="280"/>
      <c r="D340" s="178"/>
      <c r="E340" s="446" t="s">
        <v>152</v>
      </c>
      <c r="F340" s="33"/>
      <c r="G340" s="35"/>
      <c r="H340" s="276" t="s">
        <v>153</v>
      </c>
      <c r="I340" s="269">
        <f ca="1">IFERROR(__xludf.DUMMYFUNCTION("IMPORTRANGE(""https://docs.google.com/spreadsheets/d/1QqKyyYR6Q21VydFLVH3TRQUabQu_ym0Zz7PgGX0-kHA/edit?usp=sharing"",""แผน!EH67"")"),6)</f>
        <v>6</v>
      </c>
      <c r="J340" s="269">
        <f ca="1">IFERROR(__xludf.DUMMYFUNCTION("IMPORTRANGE(""https://docs.google.com/spreadsheets/d/1kVcqe37tkHyjCSG3S0O1AXqVkqjo8mSIZil3BcpIysc/edit?usp=sharing"",""ศูนย์!E67"")"),1)</f>
        <v>1</v>
      </c>
      <c r="K340" s="496">
        <f ca="1">IF(I340&gt;0,J340*100/I340,0)</f>
        <v>16.666666666666668</v>
      </c>
      <c r="L340" s="496"/>
      <c r="M340" s="496"/>
      <c r="N340" s="496"/>
      <c r="O340" s="496"/>
      <c r="P340" s="496"/>
    </row>
    <row r="341" spans="1:26" ht="18.75">
      <c r="A341" s="284"/>
      <c r="B341" s="33"/>
      <c r="C341" s="280"/>
      <c r="D341" s="178"/>
      <c r="E341" s="446" t="s">
        <v>154</v>
      </c>
      <c r="F341" s="33"/>
      <c r="G341" s="35"/>
      <c r="H341" s="276" t="s">
        <v>35</v>
      </c>
      <c r="I341" s="269"/>
      <c r="J341" s="269">
        <f ca="1">IFERROR(__xludf.DUMMYFUNCTION("IMPORTRANGE(""https://docs.google.com/spreadsheets/d/1kVcqe37tkHyjCSG3S0O1AXqVkqjo8mSIZil3BcpIysc/edit?usp=sharing"",""ศูนย์!F67"")"),26)</f>
        <v>26</v>
      </c>
      <c r="K341" s="496"/>
      <c r="L341" s="496"/>
      <c r="M341" s="496"/>
      <c r="N341" s="496"/>
      <c r="O341" s="496"/>
      <c r="P341" s="496"/>
    </row>
    <row r="342" spans="1:26" ht="18.75">
      <c r="A342" s="284"/>
      <c r="B342" s="33"/>
      <c r="C342" s="280"/>
      <c r="D342" s="446" t="s">
        <v>155</v>
      </c>
      <c r="E342" s="178"/>
      <c r="F342" s="178"/>
      <c r="G342" s="35"/>
      <c r="H342" s="276" t="s">
        <v>35</v>
      </c>
      <c r="I342" s="269"/>
      <c r="J342" s="269">
        <f ca="1">IFERROR(__xludf.DUMMYFUNCTION("IMPORTRANGE(""https://docs.google.com/spreadsheets/d/1kVcqe37tkHyjCSG3S0O1AXqVkqjo8mSIZil3BcpIysc/edit?usp=sharing"",""ศูนย์!G67"")"),2)</f>
        <v>2</v>
      </c>
      <c r="K342" s="496"/>
      <c r="L342" s="496"/>
      <c r="M342" s="496"/>
      <c r="N342" s="496"/>
      <c r="O342" s="496"/>
      <c r="P342" s="496"/>
    </row>
    <row r="343" spans="1:26" ht="18.75">
      <c r="A343" s="284"/>
      <c r="B343" s="33"/>
      <c r="C343" s="280"/>
      <c r="D343" s="446" t="s">
        <v>156</v>
      </c>
      <c r="E343" s="178"/>
      <c r="F343" s="178"/>
      <c r="G343" s="35"/>
      <c r="H343" s="276" t="s">
        <v>35</v>
      </c>
      <c r="I343" s="269"/>
      <c r="J343" s="269">
        <f ca="1">IFERROR(__xludf.DUMMYFUNCTION("IMPORTRANGE(""https://docs.google.com/spreadsheets/d/1kVcqe37tkHyjCSG3S0O1AXqVkqjo8mSIZil3BcpIysc/edit?usp=sharing"",""ศูนย์!H67"")"),0)</f>
        <v>0</v>
      </c>
      <c r="K343" s="496"/>
      <c r="L343" s="496"/>
      <c r="M343" s="496"/>
      <c r="N343" s="496"/>
      <c r="O343" s="496"/>
      <c r="P343" s="496"/>
    </row>
    <row r="344" spans="1:26" ht="19.5">
      <c r="A344" s="438"/>
      <c r="B344" s="439" t="s">
        <v>157</v>
      </c>
      <c r="C344" s="451"/>
      <c r="D344" s="440"/>
      <c r="E344" s="440"/>
      <c r="F344" s="440"/>
      <c r="G344" s="441"/>
      <c r="H344" s="442"/>
      <c r="I344" s="452"/>
      <c r="J344" s="452"/>
      <c r="K344" s="445"/>
      <c r="L344" s="445"/>
      <c r="M344" s="445"/>
      <c r="N344" s="445"/>
      <c r="O344" s="445"/>
      <c r="P344" s="445"/>
    </row>
    <row r="345" spans="1:26" ht="19.5">
      <c r="A345" s="147"/>
      <c r="B345" s="148"/>
      <c r="C345" s="149" t="s">
        <v>16</v>
      </c>
      <c r="D345" s="822" t="s">
        <v>17</v>
      </c>
      <c r="E345" s="148"/>
      <c r="F345" s="148"/>
      <c r="G345" s="151"/>
      <c r="H345" s="152" t="s">
        <v>12</v>
      </c>
      <c r="I345" s="419"/>
      <c r="J345" s="419"/>
      <c r="K345" s="154"/>
      <c r="L345" s="155">
        <f t="shared" ref="L345:N345" ca="1" si="155">L346+L347</f>
        <v>372250</v>
      </c>
      <c r="M345" s="155">
        <f t="shared" ca="1" si="155"/>
        <v>193630</v>
      </c>
      <c r="N345" s="155">
        <f t="shared" ca="1" si="155"/>
        <v>107021.12</v>
      </c>
      <c r="O345" s="155">
        <f t="shared" ref="O345:O353" ca="1" si="156">IF(L345&gt;0,N345*100/L345,0)</f>
        <v>28.749797179314978</v>
      </c>
      <c r="P345" s="155">
        <f t="shared" ref="P345:P353" ca="1" si="157">IF(M345&gt;0,N345*100/M345,0)</f>
        <v>55.270939420544337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2" t="s">
        <v>18</v>
      </c>
      <c r="F346" s="40"/>
      <c r="G346" s="157"/>
      <c r="H346" s="158" t="s">
        <v>12</v>
      </c>
      <c r="I346" s="610"/>
      <c r="J346" s="610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2" t="s">
        <v>19</v>
      </c>
      <c r="F347" s="40"/>
      <c r="G347" s="157"/>
      <c r="H347" s="158" t="s">
        <v>12</v>
      </c>
      <c r="I347" s="610"/>
      <c r="J347" s="610"/>
      <c r="K347" s="93"/>
      <c r="L347" s="93">
        <f t="shared" ca="1" si="158"/>
        <v>372250</v>
      </c>
      <c r="M347" s="93">
        <f t="shared" ca="1" si="158"/>
        <v>193630</v>
      </c>
      <c r="N347" s="93">
        <f t="shared" ca="1" si="158"/>
        <v>107021.12</v>
      </c>
      <c r="O347" s="93">
        <f t="shared" ca="1" si="156"/>
        <v>28.749797179314978</v>
      </c>
      <c r="P347" s="93">
        <f t="shared" ca="1" si="157"/>
        <v>55.270939420544337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1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6">
        <f t="shared" ref="L348:N348" ca="1" si="159">L349+L350</f>
        <v>357250</v>
      </c>
      <c r="M348" s="496">
        <f t="shared" ca="1" si="159"/>
        <v>178630</v>
      </c>
      <c r="N348" s="496">
        <f t="shared" ca="1" si="159"/>
        <v>92021.119999999995</v>
      </c>
      <c r="O348" s="496">
        <f t="shared" ca="1" si="156"/>
        <v>25.758186144156753</v>
      </c>
      <c r="P348" s="496">
        <f t="shared" ca="1" si="157"/>
        <v>51.514930302860662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2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2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IFERROR(__xludf.DUMMYFUNCTION("IMPORTRANGE(""https://docs.google.com/spreadsheets/d/1MeEWN-I1oV_STSDYn1IFDPWt_1FKiwhDph83XaGc0o0/edit?usp=sharing"",""งบพรบ!EW67"")"),357250)</f>
        <v>357250</v>
      </c>
      <c r="M350" s="93">
        <f ca="1">IFERROR(__xludf.DUMMYFUNCTION("IMPORTRANGE(""https://docs.google.com/spreadsheets/d/1MeEWN-I1oV_STSDYn1IFDPWt_1FKiwhDph83XaGc0o0/edit?usp=sharing"",""งบพรบ!FB67"")"),178630)</f>
        <v>178630</v>
      </c>
      <c r="N350" s="93">
        <f ca="1">IFERROR(__xludf.DUMMYFUNCTION("IMPORTRANGE(""https://docs.google.com/spreadsheets/d/1MeEWN-I1oV_STSDYn1IFDPWt_1FKiwhDph83XaGc0o0/edit?usp=sharing"",""งบพรบ!FD67"")"),92021.12)</f>
        <v>92021.119999999995</v>
      </c>
      <c r="O350" s="93">
        <f t="shared" ca="1" si="156"/>
        <v>25.758186144156753</v>
      </c>
      <c r="P350" s="93">
        <f t="shared" ca="1" si="157"/>
        <v>51.514930302860662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1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6">
        <f t="shared" ref="L351:N351" ca="1" si="160">L352+L353</f>
        <v>15000</v>
      </c>
      <c r="M351" s="496">
        <f t="shared" ca="1" si="160"/>
        <v>15000</v>
      </c>
      <c r="N351" s="496">
        <f t="shared" ca="1" si="160"/>
        <v>15000</v>
      </c>
      <c r="O351" s="496">
        <f t="shared" ca="1" si="156"/>
        <v>100</v>
      </c>
      <c r="P351" s="496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2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2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IFERROR(__xludf.DUMMYFUNCTION("IMPORTRANGE(""https://docs.google.com/spreadsheets/d/1MeEWN-I1oV_STSDYn1IFDPWt_1FKiwhDph83XaGc0o0/edit?usp=sharing"",""งบพรบ!EZ67"")"),15000)</f>
        <v>15000</v>
      </c>
      <c r="M353" s="93">
        <f ca="1">IFERROR(__xludf.DUMMYFUNCTION("IMPORTRANGE(""https://docs.google.com/spreadsheets/d/1MeEWN-I1oV_STSDYn1IFDPWt_1FKiwhDph83XaGc0o0/edit?usp=sharing"",""งบพรบ!FC67"")"),15000)</f>
        <v>15000</v>
      </c>
      <c r="N353" s="93">
        <f ca="1">IFERROR(__xludf.DUMMYFUNCTION("IMPORTRANGE(""https://docs.google.com/spreadsheets/d/1MeEWN-I1oV_STSDYn1IFDPWt_1FKiwhDph83XaGc0o0/edit?usp=sharing"",""งบพรบ!FE67"")"),15000)</f>
        <v>15000</v>
      </c>
      <c r="O353" s="93">
        <f t="shared" ca="1" si="156"/>
        <v>100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5"/>
      <c r="B354" s="263"/>
      <c r="C354" s="256"/>
      <c r="D354" s="832" t="s">
        <v>158</v>
      </c>
      <c r="E354" s="256"/>
      <c r="F354" s="256"/>
      <c r="G354" s="258"/>
      <c r="H354" s="454"/>
      <c r="I354" s="260"/>
      <c r="J354" s="260"/>
      <c r="K354" s="261"/>
      <c r="L354" s="261"/>
      <c r="M354" s="261"/>
      <c r="N354" s="261"/>
      <c r="O354" s="261"/>
      <c r="P354" s="261"/>
    </row>
    <row r="355" spans="1:26" ht="19.5">
      <c r="A355" s="455"/>
      <c r="B355" s="456"/>
      <c r="C355" s="457"/>
      <c r="D355" s="833" t="s">
        <v>159</v>
      </c>
      <c r="E355" s="459"/>
      <c r="F355" s="459"/>
      <c r="G355" s="460"/>
      <c r="H355" s="461" t="s">
        <v>35</v>
      </c>
      <c r="I355" s="463">
        <f ca="1">IFERROR(__xludf.DUMMYFUNCTION("IMPORTRANGE(""https://docs.google.com/spreadsheets/d/1QqKyyYR6Q21VydFLVH3TRQUabQu_ym0Zz7PgGX0-kHA/edit?usp=sharing"",""แผน!EP67"")"),145)</f>
        <v>145</v>
      </c>
      <c r="J355" s="463">
        <f ca="1">J362</f>
        <v>14</v>
      </c>
      <c r="K355" s="464">
        <f ca="1">IF(I355&gt;0,J355*100/I355,0)</f>
        <v>9.6551724137931032</v>
      </c>
      <c r="L355" s="465"/>
      <c r="M355" s="465"/>
      <c r="N355" s="465"/>
      <c r="O355" s="465"/>
      <c r="P355" s="465"/>
    </row>
    <row r="356" spans="1:26" ht="19.5">
      <c r="A356" s="455"/>
      <c r="B356" s="456"/>
      <c r="C356" s="457"/>
      <c r="D356" s="466" t="s">
        <v>160</v>
      </c>
      <c r="E356" s="459"/>
      <c r="F356" s="459"/>
      <c r="G356" s="460"/>
      <c r="H356" s="467"/>
      <c r="I356" s="468"/>
      <c r="J356" s="468"/>
      <c r="K356" s="465"/>
      <c r="L356" s="465"/>
      <c r="M356" s="465"/>
      <c r="N356" s="465"/>
      <c r="O356" s="465"/>
      <c r="P356" s="465"/>
    </row>
    <row r="357" spans="1:26" ht="19.5">
      <c r="A357" s="170"/>
      <c r="B357" s="171"/>
      <c r="C357" s="164" t="s">
        <v>16</v>
      </c>
      <c r="D357" s="823" t="s">
        <v>38</v>
      </c>
      <c r="E357" s="173"/>
      <c r="F357" s="173"/>
      <c r="G357" s="174"/>
      <c r="H357" s="753"/>
      <c r="I357" s="269"/>
      <c r="J357" s="269"/>
      <c r="K357" s="496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69">
        <v>0</v>
      </c>
      <c r="J358" s="269">
        <f ca="1">IFERROR(__xludf.DUMMYFUNCTION("IMPORTRANGE(""https://docs.google.com/spreadsheets/d/1XWAQStnk-4SwqDmLtmXYiTMKHgktTP8We1SCoS47DrQ/edit?usp=sharing"",""จัดที่ดิน!W67"")"),20)</f>
        <v>20</v>
      </c>
      <c r="K358" s="496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69">
        <f ca="1">IFERROR(__xludf.DUMMYFUNCTION("IMPORTRANGE(""https://docs.google.com/spreadsheets/d/1QqKyyYR6Q21VydFLVH3TRQUabQu_ym0Zz7PgGX0-kHA/edit?usp=sharing"",""แผน!EO67"")"),1750)</f>
        <v>1750</v>
      </c>
      <c r="J359" s="269">
        <f ca="1">IFERROR(__xludf.DUMMYFUNCTION("IMPORTRANGE(""https://docs.google.com/spreadsheets/d/1XWAQStnk-4SwqDmLtmXYiTMKHgktTP8We1SCoS47DrQ/edit?usp=sharing"",""จัดที่ดิน!X67"")"),130.47)</f>
        <v>130.47</v>
      </c>
      <c r="K359" s="496">
        <f t="shared" ca="1" si="161"/>
        <v>7.4554285714285715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755" t="s">
        <v>35</v>
      </c>
      <c r="I360" s="269">
        <f ca="1">IFERROR(__xludf.DUMMYFUNCTION("IMPORTRANGE(""https://docs.google.com/spreadsheets/d/1QqKyyYR6Q21VydFLVH3TRQUabQu_ym0Zz7PgGX0-kHA/edit?usp=sharing"",""แผน!EP67"")"),145)</f>
        <v>145</v>
      </c>
      <c r="J360" s="269">
        <f ca="1">IFERROR(__xludf.DUMMYFUNCTION("IMPORTRANGE(""https://docs.google.com/spreadsheets/d/1XWAQStnk-4SwqDmLtmXYiTMKHgktTP8We1SCoS47DrQ/edit?usp=sharing"",""จัดที่ดิน!Y67"")"),22)</f>
        <v>22</v>
      </c>
      <c r="K360" s="496">
        <f t="shared" ca="1" si="161"/>
        <v>15.172413793103448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755" t="s">
        <v>46</v>
      </c>
      <c r="I361" s="269">
        <v>0</v>
      </c>
      <c r="J361" s="269">
        <f ca="1">IFERROR(__xludf.DUMMYFUNCTION("IMPORTRANGE(""https://docs.google.com/spreadsheets/d/1XWAQStnk-4SwqDmLtmXYiTMKHgktTP8We1SCoS47DrQ/edit?usp=sharing"",""จัดที่ดิน!Z67"")"),166.82)</f>
        <v>166.82</v>
      </c>
      <c r="K361" s="496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755" t="s">
        <v>35</v>
      </c>
      <c r="I362" s="269">
        <f ca="1">IFERROR(__xludf.DUMMYFUNCTION("IMPORTRANGE(""https://docs.google.com/spreadsheets/d/1QqKyyYR6Q21VydFLVH3TRQUabQu_ym0Zz7PgGX0-kHA/edit?usp=sharing"",""แผน!EP67"")"),145)</f>
        <v>145</v>
      </c>
      <c r="J362" s="269">
        <f ca="1">IFERROR(__xludf.DUMMYFUNCTION("IMPORTRANGE(""https://docs.google.com/spreadsheets/d/1XWAQStnk-4SwqDmLtmXYiTMKHgktTP8We1SCoS47DrQ/edit?usp=sharing"",""จัดที่ดิน!AA67"")"),14)</f>
        <v>14</v>
      </c>
      <c r="K362" s="496">
        <f t="shared" ca="1" si="161"/>
        <v>9.6551724137931032</v>
      </c>
      <c r="L362" s="163"/>
      <c r="M362" s="163"/>
      <c r="N362" s="163"/>
      <c r="O362" s="163"/>
      <c r="P362" s="163"/>
    </row>
    <row r="363" spans="1:26" ht="18.75">
      <c r="A363" s="469" t="s">
        <v>164</v>
      </c>
      <c r="B363" s="178"/>
      <c r="C363" s="171"/>
      <c r="D363" s="178"/>
      <c r="E363" s="446"/>
      <c r="F363" s="178"/>
      <c r="G363" s="179"/>
      <c r="H363" s="755" t="s">
        <v>46</v>
      </c>
      <c r="I363" s="269">
        <v>0</v>
      </c>
      <c r="J363" s="269">
        <f ca="1">IFERROR(__xludf.DUMMYFUNCTION("IMPORTRANGE(""https://docs.google.com/spreadsheets/d/1XWAQStnk-4SwqDmLtmXYiTMKHgktTP8We1SCoS47DrQ/edit?usp=sharing"",""จัดที่ดิน!AB67"")"),76.62)</f>
        <v>76.62</v>
      </c>
      <c r="K363" s="496">
        <f t="shared" si="161"/>
        <v>0</v>
      </c>
      <c r="L363" s="163"/>
      <c r="M363" s="163"/>
      <c r="N363" s="163"/>
      <c r="O363" s="163"/>
      <c r="P363" s="163"/>
    </row>
    <row r="364" spans="1:26" ht="19.5">
      <c r="A364" s="470"/>
      <c r="B364" s="471"/>
      <c r="C364" s="472"/>
      <c r="D364" s="473" t="s">
        <v>165</v>
      </c>
      <c r="E364" s="474"/>
      <c r="F364" s="474"/>
      <c r="G364" s="475"/>
      <c r="H364" s="476" t="s">
        <v>35</v>
      </c>
      <c r="I364" s="477">
        <f t="shared" ref="I364:J364" ca="1" si="162">I365+I374</f>
        <v>295</v>
      </c>
      <c r="J364" s="477">
        <f t="shared" ca="1" si="162"/>
        <v>52</v>
      </c>
      <c r="K364" s="478">
        <f t="shared" ca="1" si="161"/>
        <v>17.627118644067796</v>
      </c>
      <c r="L364" s="479"/>
      <c r="M364" s="479"/>
      <c r="N364" s="479"/>
      <c r="O364" s="479"/>
      <c r="P364" s="479"/>
      <c r="Q364" s="480"/>
      <c r="R364" s="480"/>
      <c r="S364" s="480"/>
      <c r="T364" s="480"/>
      <c r="U364" s="480"/>
      <c r="V364" s="480"/>
      <c r="W364" s="480"/>
      <c r="X364" s="480"/>
      <c r="Y364" s="480"/>
      <c r="Z364" s="480"/>
    </row>
    <row r="365" spans="1:26" ht="19.5">
      <c r="A365" s="481"/>
      <c r="B365" s="482"/>
      <c r="C365" s="484"/>
      <c r="D365" s="484" t="s">
        <v>166</v>
      </c>
      <c r="E365" s="485"/>
      <c r="F365" s="485"/>
      <c r="G365" s="486"/>
      <c r="H365" s="487" t="s">
        <v>35</v>
      </c>
      <c r="I365" s="489">
        <f ca="1">IFERROR(__xludf.DUMMYFUNCTION("IMPORTRANGE(""https://docs.google.com/spreadsheets/d/1QqKyyYR6Q21VydFLVH3TRQUabQu_ym0Zz7PgGX0-kHA/edit?usp=sharing"",""แผน!EJ67"")"),120)</f>
        <v>120</v>
      </c>
      <c r="J365" s="489">
        <f ca="1">J372</f>
        <v>1</v>
      </c>
      <c r="K365" s="490">
        <f t="shared" ca="1" si="161"/>
        <v>0.83333333333333337</v>
      </c>
      <c r="L365" s="491"/>
      <c r="M365" s="491"/>
      <c r="N365" s="491"/>
      <c r="O365" s="491"/>
      <c r="P365" s="491"/>
      <c r="Q365" s="480"/>
      <c r="R365" s="480"/>
      <c r="S365" s="480"/>
      <c r="T365" s="480"/>
      <c r="U365" s="480"/>
      <c r="V365" s="480"/>
      <c r="W365" s="480"/>
      <c r="X365" s="480"/>
      <c r="Y365" s="480"/>
      <c r="Z365" s="480"/>
    </row>
    <row r="366" spans="1:26" ht="19.5">
      <c r="A366" s="481"/>
      <c r="B366" s="482"/>
      <c r="C366" s="484"/>
      <c r="D366" s="492" t="s">
        <v>167</v>
      </c>
      <c r="E366" s="485"/>
      <c r="F366" s="485"/>
      <c r="G366" s="486"/>
      <c r="H366" s="493"/>
      <c r="I366" s="494"/>
      <c r="J366" s="494"/>
      <c r="K366" s="491"/>
      <c r="L366" s="491"/>
      <c r="M366" s="491"/>
      <c r="N366" s="491"/>
      <c r="O366" s="491"/>
      <c r="P366" s="491"/>
      <c r="Q366" s="480"/>
      <c r="R366" s="480"/>
      <c r="S366" s="480"/>
      <c r="T366" s="480"/>
      <c r="U366" s="480"/>
      <c r="V366" s="480"/>
      <c r="W366" s="480"/>
      <c r="X366" s="480"/>
      <c r="Y366" s="480"/>
      <c r="Z366" s="480"/>
    </row>
    <row r="367" spans="1:26" ht="19.5">
      <c r="A367" s="170"/>
      <c r="B367" s="171"/>
      <c r="C367" s="164" t="s">
        <v>16</v>
      </c>
      <c r="D367" s="823" t="s">
        <v>38</v>
      </c>
      <c r="E367" s="173"/>
      <c r="F367" s="173"/>
      <c r="G367" s="174"/>
      <c r="H367" s="753"/>
      <c r="I367" s="269"/>
      <c r="J367" s="269"/>
      <c r="K367" s="496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69">
        <v>0</v>
      </c>
      <c r="J368" s="269">
        <f ca="1">IFERROR(__xludf.DUMMYFUNCTION("IMPORTRANGE(""https://docs.google.com/spreadsheets/d/1XWAQStnk-4SwqDmLtmXYiTMKHgktTP8We1SCoS47DrQ/edit?usp=sharing"",""จัดที่ดิน!E67"")"),9)</f>
        <v>9</v>
      </c>
      <c r="K368" s="496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69">
        <f ca="1">IFERROR(__xludf.DUMMYFUNCTION("IMPORTRANGE(""https://docs.google.com/spreadsheets/d/1QqKyyYR6Q21VydFLVH3TRQUabQu_ym0Zz7PgGX0-kHA/edit?usp=sharing"",""แผน!EI67"")"),1500)</f>
        <v>1500</v>
      </c>
      <c r="J369" s="269">
        <f ca="1">IFERROR(__xludf.DUMMYFUNCTION("IMPORTRANGE(""https://docs.google.com/spreadsheets/d/1XWAQStnk-4SwqDmLtmXYiTMKHgktTP8We1SCoS47DrQ/edit?usp=sharing"",""จัดที่ดิน!F67"")"),95.2)</f>
        <v>95.2</v>
      </c>
      <c r="K369" s="496">
        <f t="shared" ca="1" si="163"/>
        <v>6.3466666666666667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55" t="s">
        <v>35</v>
      </c>
      <c r="I370" s="269">
        <f ca="1">IFERROR(__xludf.DUMMYFUNCTION("IMPORTRANGE(""https://docs.google.com/spreadsheets/d/1QqKyyYR6Q21VydFLVH3TRQUabQu_ym0Zz7PgGX0-kHA/edit?usp=sharing"",""แผน!EJ67"")"),120)</f>
        <v>120</v>
      </c>
      <c r="J370" s="269">
        <f ca="1">IFERROR(__xludf.DUMMYFUNCTION("IMPORTRANGE(""https://docs.google.com/spreadsheets/d/1XWAQStnk-4SwqDmLtmXYiTMKHgktTP8We1SCoS47DrQ/edit?usp=sharing"",""จัดที่ดิน!G67"")"),9)</f>
        <v>9</v>
      </c>
      <c r="K370" s="496">
        <f t="shared" ca="1" si="163"/>
        <v>7.5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55" t="s">
        <v>46</v>
      </c>
      <c r="I371" s="269">
        <v>0</v>
      </c>
      <c r="J371" s="269">
        <f ca="1">IFERROR(__xludf.DUMMYFUNCTION("IMPORTRANGE(""https://docs.google.com/spreadsheets/d/1XWAQStnk-4SwqDmLtmXYiTMKHgktTP8We1SCoS47DrQ/edit?usp=sharing"",""จัดที่ดิน!H67"")"),95.2)</f>
        <v>95.2</v>
      </c>
      <c r="K371" s="496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55" t="s">
        <v>35</v>
      </c>
      <c r="I372" s="269">
        <f ca="1">IFERROR(__xludf.DUMMYFUNCTION("IMPORTRANGE(""https://docs.google.com/spreadsheets/d/1QqKyyYR6Q21VydFLVH3TRQUabQu_ym0Zz7PgGX0-kHA/edit?usp=sharing"",""แผน!EJ67"")"),120)</f>
        <v>120</v>
      </c>
      <c r="J372" s="269">
        <f ca="1">IFERROR(__xludf.DUMMYFUNCTION("IMPORTRANGE(""https://docs.google.com/spreadsheets/d/1XWAQStnk-4SwqDmLtmXYiTMKHgktTP8We1SCoS47DrQ/edit?usp=sharing"",""จัดที่ดิน!I67"")"),1)</f>
        <v>1</v>
      </c>
      <c r="K372" s="496">
        <f t="shared" ca="1" si="163"/>
        <v>0.83333333333333337</v>
      </c>
      <c r="L372" s="163"/>
      <c r="M372" s="163"/>
      <c r="N372" s="163"/>
      <c r="O372" s="163"/>
      <c r="P372" s="163"/>
    </row>
    <row r="373" spans="1:26" ht="18.75">
      <c r="A373" s="469" t="s">
        <v>164</v>
      </c>
      <c r="B373" s="178"/>
      <c r="C373" s="171"/>
      <c r="D373" s="178"/>
      <c r="E373" s="446"/>
      <c r="F373" s="178"/>
      <c r="G373" s="179"/>
      <c r="H373" s="755" t="s">
        <v>46</v>
      </c>
      <c r="I373" s="269">
        <v>0</v>
      </c>
      <c r="J373" s="269">
        <f ca="1">IFERROR(__xludf.DUMMYFUNCTION("IMPORTRANGE(""https://docs.google.com/spreadsheets/d/1XWAQStnk-4SwqDmLtmXYiTMKHgktTP8We1SCoS47DrQ/edit?usp=sharing"",""จัดที่ดิน!J67"")"),5)</f>
        <v>5</v>
      </c>
      <c r="K373" s="496">
        <f t="shared" si="163"/>
        <v>0</v>
      </c>
      <c r="L373" s="163"/>
      <c r="M373" s="163"/>
      <c r="N373" s="163"/>
      <c r="O373" s="163"/>
      <c r="P373" s="163"/>
    </row>
    <row r="374" spans="1:26" ht="19.5">
      <c r="A374" s="481"/>
      <c r="B374" s="482"/>
      <c r="C374" s="484"/>
      <c r="D374" s="484" t="s">
        <v>168</v>
      </c>
      <c r="E374" s="485"/>
      <c r="F374" s="485"/>
      <c r="G374" s="486"/>
      <c r="H374" s="487" t="s">
        <v>35</v>
      </c>
      <c r="I374" s="495">
        <f ca="1">IFERROR(__xludf.DUMMYFUNCTION("IMPORTRANGE(""https://docs.google.com/spreadsheets/d/1QqKyyYR6Q21VydFLVH3TRQUabQu_ym0Zz7PgGX0-kHA/edit?usp=sharing"",""แผน!EU67"")"),175)</f>
        <v>175</v>
      </c>
      <c r="J374" s="489">
        <f ca="1">J381</f>
        <v>51</v>
      </c>
      <c r="K374" s="490">
        <f t="shared" ca="1" si="163"/>
        <v>29.142857142857142</v>
      </c>
      <c r="L374" s="491"/>
      <c r="M374" s="491"/>
      <c r="N374" s="491"/>
      <c r="O374" s="491"/>
      <c r="P374" s="491"/>
      <c r="Q374" s="480"/>
      <c r="R374" s="480"/>
      <c r="S374" s="480"/>
      <c r="T374" s="480"/>
      <c r="U374" s="480"/>
      <c r="V374" s="480"/>
      <c r="W374" s="480"/>
      <c r="X374" s="480"/>
      <c r="Y374" s="480"/>
      <c r="Z374" s="480"/>
    </row>
    <row r="375" spans="1:26" ht="19.5">
      <c r="A375" s="481"/>
      <c r="B375" s="482"/>
      <c r="C375" s="484"/>
      <c r="D375" s="492" t="s">
        <v>169</v>
      </c>
      <c r="E375" s="485"/>
      <c r="F375" s="485"/>
      <c r="G375" s="486"/>
      <c r="H375" s="493"/>
      <c r="I375" s="494"/>
      <c r="J375" s="494"/>
      <c r="K375" s="491"/>
      <c r="L375" s="491"/>
      <c r="M375" s="491"/>
      <c r="N375" s="491"/>
      <c r="O375" s="491"/>
      <c r="P375" s="491"/>
      <c r="Q375" s="480"/>
      <c r="R375" s="480"/>
      <c r="S375" s="480"/>
      <c r="T375" s="480"/>
      <c r="U375" s="480"/>
      <c r="V375" s="480"/>
      <c r="W375" s="480"/>
      <c r="X375" s="480"/>
      <c r="Y375" s="480"/>
      <c r="Z375" s="480"/>
    </row>
    <row r="376" spans="1:26" ht="19.5">
      <c r="A376" s="170"/>
      <c r="B376" s="171"/>
      <c r="C376" s="164" t="s">
        <v>16</v>
      </c>
      <c r="D376" s="823" t="s">
        <v>38</v>
      </c>
      <c r="E376" s="173"/>
      <c r="F376" s="173"/>
      <c r="G376" s="174"/>
      <c r="H376" s="753"/>
      <c r="I376" s="269"/>
      <c r="J376" s="269"/>
      <c r="K376" s="496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69">
        <v>0</v>
      </c>
      <c r="J377" s="269">
        <f ca="1">IFERROR(__xludf.DUMMYFUNCTION("IMPORTRANGE(""https://docs.google.com/spreadsheets/d/1XWAQStnk-4SwqDmLtmXYiTMKHgktTP8We1SCoS47DrQ/edit?usp=sharing"",""จัดที่ดิน!AH67"")"),11)</f>
        <v>11</v>
      </c>
      <c r="K377" s="496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69">
        <f ca="1">IFERROR(__xludf.DUMMYFUNCTION("IMPORTRANGE(""https://docs.google.com/spreadsheets/d/1QqKyyYR6Q21VydFLVH3TRQUabQu_ym0Zz7PgGX0-kHA/edit?usp=sharing"",""แผน!ET67"")"),250)</f>
        <v>250</v>
      </c>
      <c r="J378" s="269">
        <f ca="1">IFERROR(__xludf.DUMMYFUNCTION("IMPORTRANGE(""https://docs.google.com/spreadsheets/d/1XWAQStnk-4SwqDmLtmXYiTMKHgktTP8We1SCoS47DrQ/edit?usp=sharing"",""จัดที่ดิน!AI67"")"),35.27)</f>
        <v>35.270000000000003</v>
      </c>
      <c r="K378" s="496">
        <f t="shared" ca="1" si="164"/>
        <v>14.108000000000002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55" t="s">
        <v>35</v>
      </c>
      <c r="I379" s="269">
        <f ca="1">IFERROR(__xludf.DUMMYFUNCTION("IMPORTRANGE(""https://docs.google.com/spreadsheets/d/1QqKyyYR6Q21VydFLVH3TRQUabQu_ym0Zz7PgGX0-kHA/edit?usp=sharing"",""แผน!EU67"")"),175)</f>
        <v>175</v>
      </c>
      <c r="J379" s="269">
        <f ca="1">IFERROR(__xludf.DUMMYFUNCTION("IMPORTRANGE(""https://docs.google.com/spreadsheets/d/1XWAQStnk-4SwqDmLtmXYiTMKHgktTP8We1SCoS47DrQ/edit?usp=sharing"",""จัดที่ดิน!AJ67"")"),51)</f>
        <v>51</v>
      </c>
      <c r="K379" s="496">
        <f t="shared" ca="1" si="164"/>
        <v>29.142857142857142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55" t="s">
        <v>46</v>
      </c>
      <c r="I380" s="269">
        <v>0</v>
      </c>
      <c r="J380" s="269">
        <f ca="1">IFERROR(__xludf.DUMMYFUNCTION("IMPORTRANGE(""https://docs.google.com/spreadsheets/d/1XWAQStnk-4SwqDmLtmXYiTMKHgktTP8We1SCoS47DrQ/edit?usp=sharing"",""จัดที่ดิน!AK67"")"),538.77)</f>
        <v>538.77</v>
      </c>
      <c r="K380" s="496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55" t="s">
        <v>35</v>
      </c>
      <c r="I381" s="269">
        <f ca="1">IFERROR(__xludf.DUMMYFUNCTION("IMPORTRANGE(""https://docs.google.com/spreadsheets/d/1QqKyyYR6Q21VydFLVH3TRQUabQu_ym0Zz7PgGX0-kHA/edit?usp=sharing"",""แผน!EU67"")"),175)</f>
        <v>175</v>
      </c>
      <c r="J381" s="269">
        <f ca="1">IFERROR(__xludf.DUMMYFUNCTION("IMPORTRANGE(""https://docs.google.com/spreadsheets/d/1XWAQStnk-4SwqDmLtmXYiTMKHgktTP8We1SCoS47DrQ/edit?usp=sharing"",""จัดที่ดิน!AL67"")"),51)</f>
        <v>51</v>
      </c>
      <c r="K381" s="496">
        <f t="shared" ca="1" si="164"/>
        <v>29.142857142857142</v>
      </c>
      <c r="L381" s="163"/>
      <c r="M381" s="163"/>
      <c r="N381" s="163"/>
      <c r="O381" s="163"/>
      <c r="P381" s="163"/>
    </row>
    <row r="382" spans="1:26" ht="18.75">
      <c r="A382" s="469" t="s">
        <v>164</v>
      </c>
      <c r="B382" s="178"/>
      <c r="C382" s="171"/>
      <c r="D382" s="178"/>
      <c r="E382" s="446"/>
      <c r="F382" s="178"/>
      <c r="G382" s="179"/>
      <c r="H382" s="755" t="s">
        <v>46</v>
      </c>
      <c r="I382" s="269">
        <v>0</v>
      </c>
      <c r="J382" s="269">
        <f ca="1">IFERROR(__xludf.DUMMYFUNCTION("IMPORTRANGE(""https://docs.google.com/spreadsheets/d/1XWAQStnk-4SwqDmLtmXYiTMKHgktTP8We1SCoS47DrQ/edit?usp=sharing"",""จัดที่ดิน!AM67"")"),538.77)</f>
        <v>538.77</v>
      </c>
      <c r="K382" s="496">
        <f t="shared" si="164"/>
        <v>0</v>
      </c>
      <c r="L382" s="163"/>
      <c r="M382" s="163"/>
      <c r="N382" s="163"/>
      <c r="O382" s="163"/>
      <c r="P382" s="163"/>
    </row>
    <row r="383" spans="1:26" ht="19.5">
      <c r="A383" s="255"/>
      <c r="B383" s="263"/>
      <c r="C383" s="256"/>
      <c r="D383" s="832" t="s">
        <v>170</v>
      </c>
      <c r="E383" s="256"/>
      <c r="F383" s="256"/>
      <c r="G383" s="258"/>
      <c r="H383" s="454"/>
      <c r="I383" s="260"/>
      <c r="J383" s="260"/>
      <c r="K383" s="261"/>
      <c r="L383" s="261"/>
      <c r="M383" s="261"/>
      <c r="N383" s="261"/>
      <c r="O383" s="261"/>
      <c r="P383" s="261"/>
    </row>
    <row r="384" spans="1:26" ht="19.5">
      <c r="A384" s="170"/>
      <c r="B384" s="171"/>
      <c r="C384" s="33" t="s">
        <v>16</v>
      </c>
      <c r="D384" s="823" t="s">
        <v>38</v>
      </c>
      <c r="E384" s="173"/>
      <c r="F384" s="173"/>
      <c r="G384" s="174"/>
      <c r="H384" s="753"/>
      <c r="I384" s="269"/>
      <c r="J384" s="269"/>
      <c r="K384" s="496"/>
      <c r="L384" s="163"/>
      <c r="M384" s="163"/>
      <c r="N384" s="163"/>
      <c r="O384" s="163"/>
      <c r="P384" s="163"/>
    </row>
    <row r="385" spans="1:26" ht="18.75">
      <c r="A385" s="377"/>
      <c r="B385" s="380"/>
      <c r="C385" s="378"/>
      <c r="D385" s="380"/>
      <c r="E385" s="497" t="s">
        <v>163</v>
      </c>
      <c r="F385" s="380"/>
      <c r="G385" s="381"/>
      <c r="H385" s="498" t="s">
        <v>35</v>
      </c>
      <c r="I385" s="499">
        <f ca="1">IFERROR(__xludf.DUMMYFUNCTION("IMPORTRANGE(""https://docs.google.com/spreadsheets/d/1QqKyyYR6Q21VydFLVH3TRQUabQu_ym0Zz7PgGX0-kHA/edit?usp=sharing"",""แผน!EW67"")"),10)</f>
        <v>10</v>
      </c>
      <c r="J385" s="499">
        <f ca="1">IFERROR(__xludf.DUMMYFUNCTION("IMPORTRANGE(""https://docs.google.com/spreadsheets/d/1XWAQStnk-4SwqDmLtmXYiTMKHgktTP8We1SCoS47DrQ/edit?usp=sharing"",""จัดที่ดิน!AP67"")"),0)</f>
        <v>0</v>
      </c>
      <c r="K385" s="500">
        <f ca="1">IF(I385&gt;0,J385*100/I385,0)</f>
        <v>0</v>
      </c>
      <c r="L385" s="384"/>
      <c r="M385" s="384"/>
      <c r="N385" s="384"/>
      <c r="O385" s="384"/>
      <c r="P385" s="384"/>
    </row>
    <row r="386" spans="1:26" ht="19.5" hidden="1">
      <c r="A386" s="501" t="s">
        <v>171</v>
      </c>
      <c r="B386" s="502"/>
      <c r="C386" s="502"/>
      <c r="D386" s="502"/>
      <c r="E386" s="503"/>
      <c r="F386" s="503"/>
      <c r="G386" s="504"/>
      <c r="H386" s="505"/>
      <c r="I386" s="506"/>
      <c r="J386" s="506"/>
      <c r="K386" s="507"/>
      <c r="L386" s="507"/>
      <c r="M386" s="507"/>
      <c r="N386" s="507"/>
      <c r="O386" s="507"/>
      <c r="P386" s="507"/>
    </row>
    <row r="387" spans="1:26" ht="19.5" hidden="1">
      <c r="A387" s="508" t="s">
        <v>172</v>
      </c>
      <c r="B387" s="509"/>
      <c r="C387" s="509"/>
      <c r="D387" s="510"/>
      <c r="E387" s="509"/>
      <c r="F387" s="509"/>
      <c r="G387" s="509"/>
      <c r="H387" s="511"/>
      <c r="I387" s="512"/>
      <c r="J387" s="512"/>
      <c r="K387" s="513"/>
      <c r="L387" s="513"/>
      <c r="M387" s="513"/>
      <c r="N387" s="513"/>
      <c r="O387" s="513"/>
      <c r="P387" s="513"/>
    </row>
    <row r="388" spans="1:26" ht="19.5" hidden="1">
      <c r="A388" s="514"/>
      <c r="B388" s="515" t="s">
        <v>173</v>
      </c>
      <c r="C388" s="516"/>
      <c r="D388" s="517"/>
      <c r="E388" s="517"/>
      <c r="F388" s="517"/>
      <c r="G388" s="518"/>
      <c r="H388" s="519" t="s">
        <v>69</v>
      </c>
      <c r="I388" s="520">
        <f t="shared" ref="I388:J388" si="165">I400</f>
        <v>0</v>
      </c>
      <c r="J388" s="520">
        <f t="shared" si="165"/>
        <v>0</v>
      </c>
      <c r="K388" s="521">
        <f>IF(I388&gt;0,J388*100/I388,0)</f>
        <v>0</v>
      </c>
      <c r="L388" s="522"/>
      <c r="M388" s="522"/>
      <c r="N388" s="522"/>
      <c r="O388" s="522"/>
      <c r="P388" s="522"/>
    </row>
    <row r="389" spans="1:26" ht="19.5" hidden="1">
      <c r="A389" s="147"/>
      <c r="B389" s="148"/>
      <c r="C389" s="149" t="s">
        <v>16</v>
      </c>
      <c r="D389" s="822" t="s">
        <v>17</v>
      </c>
      <c r="E389" s="148"/>
      <c r="F389" s="148"/>
      <c r="G389" s="151"/>
      <c r="H389" s="152" t="s">
        <v>12</v>
      </c>
      <c r="I389" s="419"/>
      <c r="J389" s="419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2" t="s">
        <v>18</v>
      </c>
      <c r="F390" s="40"/>
      <c r="G390" s="157"/>
      <c r="H390" s="158" t="s">
        <v>12</v>
      </c>
      <c r="I390" s="610"/>
      <c r="J390" s="610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2" t="s">
        <v>19</v>
      </c>
      <c r="F391" s="40"/>
      <c r="G391" s="157"/>
      <c r="H391" s="158" t="s">
        <v>12</v>
      </c>
      <c r="I391" s="610"/>
      <c r="J391" s="610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1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6">
        <f t="shared" ref="L392:N392" ca="1" si="170">L393+L394</f>
        <v>0</v>
      </c>
      <c r="M392" s="496">
        <f t="shared" ca="1" si="170"/>
        <v>0</v>
      </c>
      <c r="N392" s="496">
        <f t="shared" ca="1" si="170"/>
        <v>0</v>
      </c>
      <c r="O392" s="496">
        <f t="shared" ca="1" si="167"/>
        <v>0</v>
      </c>
      <c r="P392" s="496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2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2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IFERROR(__xludf.DUMMYFUNCTION("IMPORTRANGE(""https://docs.google.com/spreadsheets/d/1MeEWN-I1oV_STSDYn1IFDPWt_1FKiwhDph83XaGc0o0/edit?usp=sharing"",""งบพรบ!FG67"")"),0)</f>
        <v>0</v>
      </c>
      <c r="M394" s="93">
        <f ca="1">IFERROR(__xludf.DUMMYFUNCTION("IMPORTRANGE(""https://docs.google.com/spreadsheets/d/1MeEWN-I1oV_STSDYn1IFDPWt_1FKiwhDph83XaGc0o0/edit?usp=sharing"",""งบพรบ!FL67"")"),0)</f>
        <v>0</v>
      </c>
      <c r="N394" s="93">
        <f ca="1">IFERROR(__xludf.DUMMYFUNCTION("IMPORTRANGE(""https://docs.google.com/spreadsheets/d/1MeEWN-I1oV_STSDYn1IFDPWt_1FKiwhDph83XaGc0o0/edit?usp=sharing"",""งบพรบ!FN67"")"),0)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1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6">
        <f t="shared" ref="L395:N395" ca="1" si="171">L396+L397</f>
        <v>0</v>
      </c>
      <c r="M395" s="496">
        <f t="shared" ca="1" si="171"/>
        <v>0</v>
      </c>
      <c r="N395" s="496">
        <f t="shared" ca="1" si="171"/>
        <v>0</v>
      </c>
      <c r="O395" s="496">
        <f t="shared" ca="1" si="167"/>
        <v>0</v>
      </c>
      <c r="P395" s="496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2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2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IFERROR(__xludf.DUMMYFUNCTION("IMPORTRANGE(""https://docs.google.com/spreadsheets/d/1MeEWN-I1oV_STSDYn1IFDPWt_1FKiwhDph83XaGc0o0/edit?usp=sharing"",""งบพรบ!FJ67"")"),0)</f>
        <v>0</v>
      </c>
      <c r="M397" s="93">
        <f ca="1">IFERROR(__xludf.DUMMYFUNCTION("IMPORTRANGE(""https://docs.google.com/spreadsheets/d/1MeEWN-I1oV_STSDYn1IFDPWt_1FKiwhDph83XaGc0o0/edit?usp=sharing"",""งบพรบ!FM67"")"),0)</f>
        <v>0</v>
      </c>
      <c r="N397" s="93">
        <f ca="1">IFERROR(__xludf.DUMMYFUNCTION("IMPORTRANGE(""https://docs.google.com/spreadsheets/d/1MeEWN-I1oV_STSDYn1IFDPWt_1FKiwhDph83XaGc0o0/edit?usp=sharing"",""งบพรบ!FO67"")"),0)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23" t="s">
        <v>38</v>
      </c>
      <c r="E398" s="173"/>
      <c r="F398" s="173"/>
      <c r="G398" s="174"/>
      <c r="H398" s="753"/>
      <c r="I398" s="184"/>
      <c r="J398" s="269"/>
      <c r="K398" s="496"/>
      <c r="L398" s="496"/>
      <c r="M398" s="496"/>
      <c r="N398" s="496"/>
      <c r="O398" s="163"/>
      <c r="P398" s="163"/>
    </row>
    <row r="399" spans="1:26" ht="18.75" hidden="1">
      <c r="A399" s="523"/>
      <c r="B399" s="148"/>
      <c r="C399" s="524"/>
      <c r="D399" s="525" t="s">
        <v>174</v>
      </c>
      <c r="E399" s="414"/>
      <c r="F399" s="148"/>
      <c r="G399" s="151"/>
      <c r="H399" s="526" t="s">
        <v>9</v>
      </c>
      <c r="I399" s="269">
        <v>0</v>
      </c>
      <c r="J399" s="214">
        <v>0</v>
      </c>
      <c r="K399" s="496">
        <f t="shared" ref="K399:K401" si="172">IF(I399&gt;0,J399*100/I399,0)</f>
        <v>0</v>
      </c>
      <c r="L399" s="527"/>
      <c r="M399" s="527"/>
      <c r="N399" s="527"/>
      <c r="O399" s="527"/>
      <c r="P399" s="527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4"/>
      <c r="B400" s="33"/>
      <c r="C400" s="280"/>
      <c r="D400" s="446" t="s">
        <v>175</v>
      </c>
      <c r="E400" s="171"/>
      <c r="F400" s="33"/>
      <c r="G400" s="35"/>
      <c r="H400" s="276" t="s">
        <v>69</v>
      </c>
      <c r="I400" s="269">
        <v>0</v>
      </c>
      <c r="J400" s="214">
        <v>0</v>
      </c>
      <c r="K400" s="496">
        <f t="shared" si="172"/>
        <v>0</v>
      </c>
      <c r="L400" s="496"/>
      <c r="M400" s="496"/>
      <c r="N400" s="496"/>
      <c r="O400" s="496"/>
      <c r="P400" s="496"/>
    </row>
    <row r="401" spans="1:26" ht="19.5" hidden="1">
      <c r="A401" s="514"/>
      <c r="B401" s="515" t="s">
        <v>176</v>
      </c>
      <c r="C401" s="516"/>
      <c r="D401" s="517"/>
      <c r="E401" s="517"/>
      <c r="F401" s="517"/>
      <c r="G401" s="518"/>
      <c r="H401" s="519" t="s">
        <v>69</v>
      </c>
      <c r="I401" s="520">
        <f t="shared" ref="I401:J401" si="173">I412</f>
        <v>0</v>
      </c>
      <c r="J401" s="520">
        <f t="shared" si="173"/>
        <v>0</v>
      </c>
      <c r="K401" s="521">
        <f t="shared" si="172"/>
        <v>0</v>
      </c>
      <c r="L401" s="522"/>
      <c r="M401" s="522"/>
      <c r="N401" s="522"/>
      <c r="O401" s="522"/>
      <c r="P401" s="522"/>
    </row>
    <row r="402" spans="1:26" ht="19.5" hidden="1">
      <c r="A402" s="147"/>
      <c r="B402" s="148"/>
      <c r="C402" s="149" t="s">
        <v>16</v>
      </c>
      <c r="D402" s="822" t="s">
        <v>17</v>
      </c>
      <c r="E402" s="148"/>
      <c r="F402" s="148"/>
      <c r="G402" s="151"/>
      <c r="H402" s="152" t="s">
        <v>12</v>
      </c>
      <c r="I402" s="419"/>
      <c r="J402" s="419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2" t="s">
        <v>18</v>
      </c>
      <c r="F403" s="40"/>
      <c r="G403" s="157"/>
      <c r="H403" s="158" t="s">
        <v>12</v>
      </c>
      <c r="I403" s="610"/>
      <c r="J403" s="610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2" t="s">
        <v>19</v>
      </c>
      <c r="F404" s="40"/>
      <c r="G404" s="157"/>
      <c r="H404" s="158" t="s">
        <v>12</v>
      </c>
      <c r="I404" s="610"/>
      <c r="J404" s="610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1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6">
        <f t="shared" ref="L405:N405" ca="1" si="178">L406+L407</f>
        <v>0</v>
      </c>
      <c r="M405" s="496">
        <f t="shared" ca="1" si="178"/>
        <v>0</v>
      </c>
      <c r="N405" s="496">
        <f t="shared" ca="1" si="178"/>
        <v>0</v>
      </c>
      <c r="O405" s="496">
        <f t="shared" ca="1" si="175"/>
        <v>0</v>
      </c>
      <c r="P405" s="496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2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2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IFERROR(__xludf.DUMMYFUNCTION("IMPORTRANGE(""https://docs.google.com/spreadsheets/d/1MeEWN-I1oV_STSDYn1IFDPWt_1FKiwhDph83XaGc0o0/edit?usp=sharing"",""งบพรบ!FQ67"")"),0)</f>
        <v>0</v>
      </c>
      <c r="M407" s="93">
        <f ca="1">IFERROR(__xludf.DUMMYFUNCTION("IMPORTRANGE(""https://docs.google.com/spreadsheets/d/1MeEWN-I1oV_STSDYn1IFDPWt_1FKiwhDph83XaGc0o0/edit?usp=sharing"",""งบพรบ!FV67"")"),0)</f>
        <v>0</v>
      </c>
      <c r="N407" s="93">
        <f ca="1">IFERROR(__xludf.DUMMYFUNCTION("IMPORTRANGE(""https://docs.google.com/spreadsheets/d/1MeEWN-I1oV_STSDYn1IFDPWt_1FKiwhDph83XaGc0o0/edit?usp=sharing"",""งบพรบ!FX67"")"),0)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1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6">
        <f t="shared" ref="L408:N408" ca="1" si="179">L409+L410</f>
        <v>0</v>
      </c>
      <c r="M408" s="496">
        <f t="shared" ca="1" si="179"/>
        <v>0</v>
      </c>
      <c r="N408" s="496">
        <f t="shared" ca="1" si="179"/>
        <v>0</v>
      </c>
      <c r="O408" s="496">
        <f t="shared" ca="1" si="175"/>
        <v>0</v>
      </c>
      <c r="P408" s="496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2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2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IFERROR(__xludf.DUMMYFUNCTION("IMPORTRANGE(""https://docs.google.com/spreadsheets/d/1MeEWN-I1oV_STSDYn1IFDPWt_1FKiwhDph83XaGc0o0/edit?usp=sharing"",""งบพรบ!FT67"")"),0)</f>
        <v>0</v>
      </c>
      <c r="M410" s="93">
        <f ca="1">IFERROR(__xludf.DUMMYFUNCTION("IMPORTRANGE(""https://docs.google.com/spreadsheets/d/1MeEWN-I1oV_STSDYn1IFDPWt_1FKiwhDph83XaGc0o0/edit?usp=sharing"",""งบพรบ!FW67"")"),0)</f>
        <v>0</v>
      </c>
      <c r="N410" s="93">
        <f ca="1">IFERROR(__xludf.DUMMYFUNCTION("IMPORTRANGE(""https://docs.google.com/spreadsheets/d/1MeEWN-I1oV_STSDYn1IFDPWt_1FKiwhDph83XaGc0o0/edit?usp=sharing"",""งบพรบ!FY67"")"),0)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34" t="s">
        <v>38</v>
      </c>
      <c r="E411" s="529"/>
      <c r="F411" s="529"/>
      <c r="G411" s="530"/>
      <c r="H411" s="753"/>
      <c r="I411" s="269"/>
      <c r="J411" s="269"/>
      <c r="K411" s="496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6" t="s">
        <v>177</v>
      </c>
      <c r="E412" s="178"/>
      <c r="F412" s="178"/>
      <c r="G412" s="179"/>
      <c r="H412" s="531" t="s">
        <v>69</v>
      </c>
      <c r="I412" s="269">
        <v>0</v>
      </c>
      <c r="J412" s="214">
        <v>0</v>
      </c>
      <c r="K412" s="496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2"/>
      <c r="B413" s="533"/>
      <c r="C413" s="533"/>
      <c r="D413" s="534" t="s">
        <v>178</v>
      </c>
      <c r="E413" s="533"/>
      <c r="F413" s="533"/>
      <c r="G413" s="535"/>
      <c r="H413" s="536" t="s">
        <v>179</v>
      </c>
      <c r="I413" s="537">
        <v>0</v>
      </c>
      <c r="J413" s="538">
        <v>0</v>
      </c>
      <c r="K413" s="539">
        <f t="shared" si="180"/>
        <v>0</v>
      </c>
      <c r="L413" s="540"/>
      <c r="M413" s="540"/>
      <c r="N413" s="540"/>
      <c r="O413" s="540"/>
      <c r="P413" s="540"/>
    </row>
    <row r="414" spans="1:26" ht="19.5">
      <c r="A414" s="541" t="s">
        <v>180</v>
      </c>
      <c r="B414" s="542"/>
      <c r="C414" s="542"/>
      <c r="D414" s="542"/>
      <c r="E414" s="542"/>
      <c r="F414" s="542"/>
      <c r="G414" s="543"/>
      <c r="H414" s="544"/>
      <c r="I414" s="545"/>
      <c r="J414" s="545"/>
      <c r="K414" s="546"/>
      <c r="L414" s="547">
        <f t="shared" ref="L414:N414" ca="1" si="181">L419+L444+L467+L502+L523+L544+L629+L655+L685+L737+L754+L770+L786+L805</f>
        <v>1442038</v>
      </c>
      <c r="M414" s="547">
        <f t="shared" si="181"/>
        <v>0</v>
      </c>
      <c r="N414" s="547">
        <f t="shared" si="181"/>
        <v>178800.16999999998</v>
      </c>
      <c r="O414" s="547">
        <f ca="1">IF(L414&gt;0,N414*100/L414,0)</f>
        <v>12.399130258703307</v>
      </c>
      <c r="P414" s="547">
        <f>IF(M414&gt;0,N414*100/M414,0)</f>
        <v>0</v>
      </c>
    </row>
    <row r="415" spans="1:26" ht="19.5">
      <c r="A415" s="548" t="s">
        <v>181</v>
      </c>
      <c r="B415" s="549"/>
      <c r="C415" s="549"/>
      <c r="D415" s="549"/>
      <c r="E415" s="549"/>
      <c r="F415" s="549"/>
      <c r="G415" s="549"/>
      <c r="H415" s="550"/>
      <c r="I415" s="551"/>
      <c r="J415" s="551"/>
      <c r="K415" s="552"/>
      <c r="L415" s="553"/>
      <c r="M415" s="553"/>
      <c r="N415" s="553"/>
      <c r="O415" s="553"/>
      <c r="P415" s="553"/>
    </row>
    <row r="416" spans="1:26" ht="19.5">
      <c r="A416" s="548" t="s">
        <v>182</v>
      </c>
      <c r="B416" s="549"/>
      <c r="C416" s="549"/>
      <c r="D416" s="549"/>
      <c r="E416" s="549"/>
      <c r="F416" s="549"/>
      <c r="G416" s="554"/>
      <c r="H416" s="555"/>
      <c r="I416" s="556"/>
      <c r="J416" s="556"/>
      <c r="K416" s="553"/>
      <c r="L416" s="553"/>
      <c r="M416" s="553"/>
      <c r="N416" s="553"/>
      <c r="O416" s="553"/>
      <c r="P416" s="553"/>
    </row>
    <row r="417" spans="1:26" ht="39">
      <c r="A417" s="557">
        <v>1</v>
      </c>
      <c r="B417" s="559" t="s">
        <v>183</v>
      </c>
      <c r="C417" s="559"/>
      <c r="D417" s="560"/>
      <c r="E417" s="560"/>
      <c r="F417" s="560"/>
      <c r="G417" s="561"/>
      <c r="H417" s="562" t="s">
        <v>35</v>
      </c>
      <c r="I417" s="563">
        <f t="shared" ref="I417:J418" ca="1" si="182">I433</f>
        <v>20</v>
      </c>
      <c r="J417" s="563">
        <f t="shared" ca="1" si="182"/>
        <v>0</v>
      </c>
      <c r="K417" s="564">
        <f t="shared" ref="K417:K418" ca="1" si="183">IF(I417&gt;0,J417*100/I417,0)</f>
        <v>0</v>
      </c>
      <c r="L417" s="565"/>
      <c r="M417" s="565"/>
      <c r="N417" s="565"/>
      <c r="O417" s="565"/>
      <c r="P417" s="565"/>
    </row>
    <row r="418" spans="1:26" ht="19.5">
      <c r="A418" s="566"/>
      <c r="B418" s="557"/>
      <c r="C418" s="559"/>
      <c r="D418" s="560"/>
      <c r="E418" s="560"/>
      <c r="F418" s="560"/>
      <c r="G418" s="561"/>
      <c r="H418" s="562" t="s">
        <v>49</v>
      </c>
      <c r="I418" s="563">
        <f t="shared" ca="1" si="182"/>
        <v>1</v>
      </c>
      <c r="J418" s="563">
        <f t="shared" si="182"/>
        <v>0</v>
      </c>
      <c r="K418" s="564">
        <f t="shared" ca="1" si="183"/>
        <v>0</v>
      </c>
      <c r="L418" s="565"/>
      <c r="M418" s="565"/>
      <c r="N418" s="565"/>
      <c r="O418" s="565"/>
      <c r="P418" s="565"/>
    </row>
    <row r="419" spans="1:26" ht="19.5">
      <c r="A419" s="147"/>
      <c r="B419" s="148"/>
      <c r="C419" s="148" t="s">
        <v>16</v>
      </c>
      <c r="D419" s="868" t="s">
        <v>17</v>
      </c>
      <c r="E419" s="862"/>
      <c r="F419" s="862"/>
      <c r="G419" s="151"/>
      <c r="H419" s="274" t="s">
        <v>12</v>
      </c>
      <c r="I419" s="419"/>
      <c r="J419" s="419"/>
      <c r="K419" s="154"/>
      <c r="L419" s="155">
        <f t="shared" ref="L419:N419" ca="1" si="184">L420+L421</f>
        <v>78660</v>
      </c>
      <c r="M419" s="155">
        <f t="shared" si="184"/>
        <v>0</v>
      </c>
      <c r="N419" s="155">
        <f t="shared" si="184"/>
        <v>15040</v>
      </c>
      <c r="O419" s="155">
        <f t="shared" ref="O419:O424" ca="1" si="185">IF(L419&gt;0,N419*100/L419,0)</f>
        <v>19.120264429188914</v>
      </c>
      <c r="P419" s="155">
        <f t="shared" ref="P419:P424" si="186">IF(M419&gt;0,N419*100/M419,0)</f>
        <v>0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2"/>
      <c r="E420" s="222" t="s">
        <v>184</v>
      </c>
      <c r="F420" s="40"/>
      <c r="G420" s="157"/>
      <c r="H420" s="165" t="s">
        <v>12</v>
      </c>
      <c r="I420" s="610"/>
      <c r="J420" s="610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2"/>
      <c r="E421" s="222" t="s">
        <v>185</v>
      </c>
      <c r="F421" s="40"/>
      <c r="G421" s="157"/>
      <c r="H421" s="165" t="s">
        <v>12</v>
      </c>
      <c r="I421" s="610"/>
      <c r="J421" s="610"/>
      <c r="K421" s="93"/>
      <c r="L421" s="93">
        <f t="shared" ca="1" si="187"/>
        <v>78660</v>
      </c>
      <c r="M421" s="93">
        <f t="shared" si="187"/>
        <v>0</v>
      </c>
      <c r="N421" s="93">
        <f t="shared" si="187"/>
        <v>15040</v>
      </c>
      <c r="O421" s="93">
        <f t="shared" ca="1" si="185"/>
        <v>19.120264429188914</v>
      </c>
      <c r="P421" s="93">
        <f t="shared" si="186"/>
        <v>0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0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6">
        <f t="shared" ref="L422:N422" ca="1" si="188">L423+L424</f>
        <v>78660</v>
      </c>
      <c r="M422" s="496">
        <f t="shared" si="188"/>
        <v>0</v>
      </c>
      <c r="N422" s="496">
        <f t="shared" si="188"/>
        <v>15040</v>
      </c>
      <c r="O422" s="496">
        <f t="shared" ca="1" si="185"/>
        <v>19.120264429188914</v>
      </c>
      <c r="P422" s="496">
        <f t="shared" si="186"/>
        <v>0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2"/>
      <c r="E423" s="222" t="s">
        <v>184</v>
      </c>
      <c r="F423" s="40"/>
      <c r="G423" s="157"/>
      <c r="H423" s="165" t="s">
        <v>12</v>
      </c>
      <c r="I423" s="610"/>
      <c r="J423" s="610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2"/>
      <c r="E424" s="222" t="s">
        <v>185</v>
      </c>
      <c r="F424" s="40"/>
      <c r="G424" s="157"/>
      <c r="H424" s="165" t="s">
        <v>12</v>
      </c>
      <c r="I424" s="610"/>
      <c r="J424" s="610"/>
      <c r="K424" s="93"/>
      <c r="L424" s="93">
        <f ca="1">IFERROR(__xludf.DUMMYFUNCTION("IMPORTRANGE(""https://docs.google.com/spreadsheets/d/1QqKyyYR6Q21VydFLVH3TRQUabQu_ym0Zz7PgGX0-kHA/edit?usp=sharing"",""แผน!EY67"")"),78660)</f>
        <v>78660</v>
      </c>
      <c r="M424" s="93">
        <v>0</v>
      </c>
      <c r="N424" s="93">
        <f>N425+N426+N427+N428</f>
        <v>15040</v>
      </c>
      <c r="O424" s="93">
        <f t="shared" ca="1" si="185"/>
        <v>19.120264429188914</v>
      </c>
      <c r="P424" s="93">
        <f t="shared" si="186"/>
        <v>0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67"/>
      <c r="B425" s="568"/>
      <c r="C425" s="754"/>
      <c r="D425" s="754"/>
      <c r="E425" s="754"/>
      <c r="F425" s="754" t="s">
        <v>186</v>
      </c>
      <c r="G425" s="189"/>
      <c r="H425" s="161" t="s">
        <v>12</v>
      </c>
      <c r="I425" s="269"/>
      <c r="J425" s="269"/>
      <c r="K425" s="496"/>
      <c r="L425" s="496"/>
      <c r="M425" s="496"/>
      <c r="N425" s="817">
        <v>0</v>
      </c>
      <c r="O425" s="496"/>
      <c r="P425" s="496"/>
      <c r="Q425" s="571"/>
      <c r="R425" s="571"/>
      <c r="S425" s="571"/>
      <c r="T425" s="571"/>
      <c r="U425" s="571"/>
      <c r="V425" s="571"/>
      <c r="W425" s="571"/>
      <c r="X425" s="571"/>
      <c r="Y425" s="571"/>
      <c r="Z425" s="571"/>
    </row>
    <row r="426" spans="1:26" ht="18.75">
      <c r="A426" s="567"/>
      <c r="B426" s="568"/>
      <c r="C426" s="754"/>
      <c r="D426" s="754"/>
      <c r="E426" s="754"/>
      <c r="F426" s="754" t="s">
        <v>187</v>
      </c>
      <c r="G426" s="189"/>
      <c r="H426" s="161" t="s">
        <v>12</v>
      </c>
      <c r="I426" s="269"/>
      <c r="J426" s="269"/>
      <c r="K426" s="496"/>
      <c r="L426" s="496"/>
      <c r="M426" s="496"/>
      <c r="N426" s="817">
        <v>0</v>
      </c>
      <c r="O426" s="496"/>
      <c r="P426" s="496"/>
      <c r="Q426" s="571"/>
      <c r="R426" s="571"/>
      <c r="S426" s="571"/>
      <c r="T426" s="571"/>
      <c r="U426" s="571"/>
      <c r="V426" s="571"/>
      <c r="W426" s="571"/>
      <c r="X426" s="571"/>
      <c r="Y426" s="571"/>
      <c r="Z426" s="571"/>
    </row>
    <row r="427" spans="1:26" ht="18.75">
      <c r="A427" s="567"/>
      <c r="B427" s="568"/>
      <c r="C427" s="754"/>
      <c r="D427" s="754"/>
      <c r="E427" s="754"/>
      <c r="F427" s="754" t="s">
        <v>188</v>
      </c>
      <c r="G427" s="189"/>
      <c r="H427" s="161" t="s">
        <v>12</v>
      </c>
      <c r="I427" s="269"/>
      <c r="J427" s="269"/>
      <c r="K427" s="496"/>
      <c r="L427" s="496"/>
      <c r="M427" s="496"/>
      <c r="N427" s="817">
        <v>0</v>
      </c>
      <c r="O427" s="496"/>
      <c r="P427" s="496"/>
      <c r="Q427" s="571"/>
      <c r="R427" s="571"/>
      <c r="S427" s="571"/>
      <c r="T427" s="571"/>
      <c r="U427" s="571"/>
      <c r="V427" s="571"/>
      <c r="W427" s="571"/>
      <c r="X427" s="571"/>
      <c r="Y427" s="571"/>
      <c r="Z427" s="571"/>
    </row>
    <row r="428" spans="1:26" ht="18.75">
      <c r="A428" s="284"/>
      <c r="B428" s="280"/>
      <c r="C428" s="33"/>
      <c r="D428" s="33"/>
      <c r="E428" s="33"/>
      <c r="F428" s="281" t="s">
        <v>189</v>
      </c>
      <c r="G428" s="213"/>
      <c r="H428" s="161" t="s">
        <v>12</v>
      </c>
      <c r="I428" s="269"/>
      <c r="J428" s="269"/>
      <c r="K428" s="496"/>
      <c r="L428" s="496"/>
      <c r="M428" s="496"/>
      <c r="N428" s="817">
        <v>15040</v>
      </c>
      <c r="O428" s="496"/>
      <c r="P428" s="496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0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6">
        <f t="shared" ref="L429:N429" ca="1" si="189">L430+L431</f>
        <v>0</v>
      </c>
      <c r="M429" s="496">
        <f t="shared" si="189"/>
        <v>0</v>
      </c>
      <c r="N429" s="496">
        <f t="shared" si="189"/>
        <v>0</v>
      </c>
      <c r="O429" s="496">
        <f t="shared" ref="O429:O431" ca="1" si="190">IF(L429&gt;0,N429*100/L429,0)</f>
        <v>0</v>
      </c>
      <c r="P429" s="496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6"/>
      <c r="C430" s="40"/>
      <c r="D430" s="40"/>
      <c r="E430" s="222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6"/>
      <c r="C431" s="40"/>
      <c r="D431" s="40"/>
      <c r="E431" s="222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IFERROR(__xludf.DUMMYFUNCTION("IMPORTRANGE(""https://docs.google.com/spreadsheets/d/1QqKyyYR6Q21VydFLVH3TRQUabQu_ym0Zz7PgGX0-kHA/edit?usp=sharing"",""แผน!FB67"")"),0)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3"/>
      <c r="B432" s="414"/>
      <c r="C432" s="148" t="s">
        <v>16</v>
      </c>
      <c r="D432" s="835" t="s">
        <v>38</v>
      </c>
      <c r="E432" s="573"/>
      <c r="F432" s="573"/>
      <c r="G432" s="574"/>
      <c r="H432" s="575"/>
      <c r="I432" s="419"/>
      <c r="J432" s="419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190</v>
      </c>
      <c r="E433" s="178"/>
      <c r="F433" s="178"/>
      <c r="G433" s="179"/>
      <c r="H433" s="196" t="s">
        <v>35</v>
      </c>
      <c r="I433" s="674">
        <f ca="1">I435</f>
        <v>20</v>
      </c>
      <c r="J433" s="674">
        <f ca="1">IF(AND(J435=I435,J437=I437,J439=I439),I437+I439,IF(AND(J435=I437,J437=I437),I437,IF(AND(J435=I439,J439=I439),I439,0)))</f>
        <v>0</v>
      </c>
      <c r="K433" s="195">
        <f t="shared" ref="K433:K435" ca="1" si="192">IF(I433&gt;0,J433*100/I433,0)</f>
        <v>0</v>
      </c>
      <c r="L433" s="496"/>
      <c r="M433" s="496"/>
      <c r="N433" s="496"/>
      <c r="O433" s="496"/>
      <c r="P433" s="496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191</v>
      </c>
      <c r="E434" s="178"/>
      <c r="F434" s="178"/>
      <c r="G434" s="179"/>
      <c r="H434" s="196" t="s">
        <v>49</v>
      </c>
      <c r="I434" s="674">
        <f t="shared" ref="I434:J434" ca="1" si="193">I438+I440</f>
        <v>1</v>
      </c>
      <c r="J434" s="674">
        <f t="shared" si="193"/>
        <v>0</v>
      </c>
      <c r="K434" s="195">
        <f t="shared" ca="1" si="192"/>
        <v>0</v>
      </c>
      <c r="L434" s="496"/>
      <c r="M434" s="496"/>
      <c r="N434" s="496"/>
      <c r="O434" s="496"/>
      <c r="P434" s="496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6" t="s">
        <v>192</v>
      </c>
      <c r="E435" s="178"/>
      <c r="F435" s="178"/>
      <c r="G435" s="179"/>
      <c r="H435" s="616" t="s">
        <v>35</v>
      </c>
      <c r="I435" s="576">
        <f ca="1">IFERROR(__xludf.DUMMYFUNCTION("IMPORTRANGE(""https://docs.google.com/spreadsheets/d/1QqKyyYR6Q21VydFLVH3TRQUabQu_ym0Zz7PgGX0-kHA/edit?usp=sharing"",""แผน!FC67"")"),20)</f>
        <v>20</v>
      </c>
      <c r="J435" s="577">
        <v>0</v>
      </c>
      <c r="K435" s="496">
        <f t="shared" ca="1" si="192"/>
        <v>0</v>
      </c>
      <c r="L435" s="496"/>
      <c r="M435" s="496"/>
      <c r="N435" s="496"/>
      <c r="O435" s="496"/>
      <c r="P435" s="496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6" t="s">
        <v>193</v>
      </c>
      <c r="E436" s="178"/>
      <c r="F436" s="178"/>
      <c r="G436" s="179"/>
      <c r="H436" s="616"/>
      <c r="I436" s="269"/>
      <c r="J436" s="269"/>
      <c r="K436" s="496"/>
      <c r="L436" s="496"/>
      <c r="M436" s="496"/>
      <c r="N436" s="496"/>
      <c r="O436" s="496"/>
      <c r="P436" s="496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6" t="s">
        <v>194</v>
      </c>
      <c r="E437" s="178"/>
      <c r="F437" s="178"/>
      <c r="G437" s="179"/>
      <c r="H437" s="616" t="s">
        <v>35</v>
      </c>
      <c r="I437" s="576">
        <f ca="1">IFERROR(__xludf.DUMMYFUNCTION("IMPORTRANGE(""https://docs.google.com/spreadsheets/d/1QqKyyYR6Q21VydFLVH3TRQUabQu_ym0Zz7PgGX0-kHA/edit?usp=sharing"",""แผน!FD67"")"),0)</f>
        <v>0</v>
      </c>
      <c r="J437" s="577">
        <v>0</v>
      </c>
      <c r="K437" s="496">
        <f t="shared" ref="K437:K443" ca="1" si="194">IF(I437&gt;0,J437*100/I437,0)</f>
        <v>0</v>
      </c>
      <c r="L437" s="496"/>
      <c r="M437" s="496"/>
      <c r="N437" s="496"/>
      <c r="O437" s="496"/>
      <c r="P437" s="496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6" t="s">
        <v>195</v>
      </c>
      <c r="E438" s="178"/>
      <c r="F438" s="178"/>
      <c r="G438" s="179"/>
      <c r="H438" s="616" t="s">
        <v>49</v>
      </c>
      <c r="I438" s="269">
        <f ca="1">IFERROR(__xludf.DUMMYFUNCTION("IMPORTRANGE(""https://docs.google.com/spreadsheets/d/1QqKyyYR6Q21VydFLVH3TRQUabQu_ym0Zz7PgGX0-kHA/edit?usp=sharing"",""แผน!FE67"")"),0)</f>
        <v>0</v>
      </c>
      <c r="J438" s="214">
        <v>0</v>
      </c>
      <c r="K438" s="496">
        <f t="shared" ca="1" si="194"/>
        <v>0</v>
      </c>
      <c r="L438" s="496"/>
      <c r="M438" s="496"/>
      <c r="N438" s="496"/>
      <c r="O438" s="496"/>
      <c r="P438" s="496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6" t="s">
        <v>196</v>
      </c>
      <c r="E439" s="178"/>
      <c r="F439" s="178"/>
      <c r="G439" s="179"/>
      <c r="H439" s="616" t="s">
        <v>35</v>
      </c>
      <c r="I439" s="576">
        <f ca="1">IFERROR(__xludf.DUMMYFUNCTION("IMPORTRANGE(""https://docs.google.com/spreadsheets/d/1QqKyyYR6Q21VydFLVH3TRQUabQu_ym0Zz7PgGX0-kHA/edit?usp=sharing"",""แผน!FF67"")"),20)</f>
        <v>20</v>
      </c>
      <c r="J439" s="577">
        <v>0</v>
      </c>
      <c r="K439" s="496">
        <f t="shared" ca="1" si="194"/>
        <v>0</v>
      </c>
      <c r="L439" s="496"/>
      <c r="M439" s="496"/>
      <c r="N439" s="496"/>
      <c r="O439" s="496"/>
      <c r="P439" s="496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6" t="s">
        <v>197</v>
      </c>
      <c r="E440" s="178"/>
      <c r="F440" s="178"/>
      <c r="G440" s="179"/>
      <c r="H440" s="616" t="s">
        <v>49</v>
      </c>
      <c r="I440" s="269">
        <f ca="1">IFERROR(__xludf.DUMMYFUNCTION("IMPORTRANGE(""https://docs.google.com/spreadsheets/d/1QqKyyYR6Q21VydFLVH3TRQUabQu_ym0Zz7PgGX0-kHA/edit?usp=sharing"",""แผน!FG67"")"),1)</f>
        <v>1</v>
      </c>
      <c r="J440" s="214">
        <v>0</v>
      </c>
      <c r="K440" s="496">
        <f t="shared" ca="1" si="194"/>
        <v>0</v>
      </c>
      <c r="L440" s="496"/>
      <c r="M440" s="496"/>
      <c r="N440" s="496"/>
      <c r="O440" s="496"/>
      <c r="P440" s="496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>
      <c r="A441" s="170"/>
      <c r="B441" s="171"/>
      <c r="C441" s="171"/>
      <c r="D441" s="446" t="s">
        <v>198</v>
      </c>
      <c r="E441" s="178"/>
      <c r="F441" s="178"/>
      <c r="G441" s="179"/>
      <c r="H441" s="616" t="s">
        <v>35</v>
      </c>
      <c r="I441" s="269">
        <f ca="1">IFERROR(__xludf.DUMMYFUNCTION("IMPORTRANGE(""https://docs.google.com/spreadsheets/d/1QqKyyYR6Q21VydFLVH3TRQUabQu_ym0Zz7PgGX0-kHA/edit?usp=sharing"",""แผน!FH67"")"),0)</f>
        <v>0</v>
      </c>
      <c r="J441" s="269">
        <v>0</v>
      </c>
      <c r="K441" s="496">
        <f t="shared" ca="1" si="194"/>
        <v>0</v>
      </c>
      <c r="L441" s="496"/>
      <c r="M441" s="496"/>
      <c r="N441" s="496"/>
      <c r="O441" s="496"/>
      <c r="P441" s="496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 hidden="1">
      <c r="A442" s="578">
        <v>2</v>
      </c>
      <c r="B442" s="579" t="s">
        <v>199</v>
      </c>
      <c r="C442" s="580"/>
      <c r="D442" s="580"/>
      <c r="E442" s="580"/>
      <c r="F442" s="580"/>
      <c r="G442" s="581"/>
      <c r="H442" s="582" t="s">
        <v>35</v>
      </c>
      <c r="I442" s="583">
        <f t="shared" ref="I442:J442" ca="1" si="195">I460</f>
        <v>0</v>
      </c>
      <c r="J442" s="583">
        <f t="shared" si="195"/>
        <v>0</v>
      </c>
      <c r="K442" s="584">
        <f t="shared" ca="1" si="194"/>
        <v>0</v>
      </c>
      <c r="L442" s="585"/>
      <c r="M442" s="585"/>
      <c r="N442" s="585"/>
      <c r="O442" s="585"/>
      <c r="P442" s="585"/>
      <c r="Q442" s="571"/>
      <c r="R442" s="571"/>
      <c r="S442" s="571"/>
      <c r="T442" s="571"/>
      <c r="U442" s="571"/>
      <c r="V442" s="571"/>
      <c r="W442" s="571"/>
      <c r="X442" s="571"/>
      <c r="Y442" s="571"/>
      <c r="Z442" s="571"/>
    </row>
    <row r="443" spans="1:26" ht="19.5" hidden="1">
      <c r="A443" s="586"/>
      <c r="B443" s="587"/>
      <c r="C443" s="588"/>
      <c r="D443" s="588"/>
      <c r="E443" s="588"/>
      <c r="F443" s="588"/>
      <c r="G443" s="589"/>
      <c r="H443" s="562" t="s">
        <v>46</v>
      </c>
      <c r="I443" s="563">
        <f t="shared" ref="I443:J443" ca="1" si="196">I462</f>
        <v>0</v>
      </c>
      <c r="J443" s="563">
        <f t="shared" si="196"/>
        <v>0</v>
      </c>
      <c r="K443" s="564">
        <f t="shared" ca="1" si="194"/>
        <v>0</v>
      </c>
      <c r="L443" s="565"/>
      <c r="M443" s="565"/>
      <c r="N443" s="565"/>
      <c r="O443" s="565"/>
      <c r="P443" s="565"/>
      <c r="Q443" s="571"/>
      <c r="R443" s="571"/>
      <c r="S443" s="571"/>
      <c r="T443" s="571"/>
      <c r="U443" s="571"/>
      <c r="V443" s="571"/>
      <c r="W443" s="571"/>
      <c r="X443" s="571"/>
      <c r="Y443" s="571"/>
      <c r="Z443" s="571"/>
    </row>
    <row r="444" spans="1:26" ht="19.5" hidden="1">
      <c r="A444" s="590"/>
      <c r="B444" s="754"/>
      <c r="C444" s="754" t="s">
        <v>16</v>
      </c>
      <c r="D444" s="863" t="s">
        <v>17</v>
      </c>
      <c r="E444" s="857"/>
      <c r="F444" s="857"/>
      <c r="G444" s="189"/>
      <c r="H444" s="591" t="s">
        <v>12</v>
      </c>
      <c r="I444" s="269"/>
      <c r="J444" s="269"/>
      <c r="K444" s="496"/>
      <c r="L444" s="195">
        <f t="shared" ref="L444:N444" ca="1" si="197">L445+L446</f>
        <v>0</v>
      </c>
      <c r="M444" s="195">
        <f t="shared" si="197"/>
        <v>0</v>
      </c>
      <c r="N444" s="195">
        <f t="shared" si="197"/>
        <v>0</v>
      </c>
      <c r="O444" s="195">
        <f t="shared" ref="O444:O449" ca="1" si="198">IF(L444&gt;0,N444*100/L444,0)</f>
        <v>0</v>
      </c>
      <c r="P444" s="195">
        <f t="shared" ref="P444:P449" si="199">IF(M444&gt;0,N444*100/M444,0)</f>
        <v>0</v>
      </c>
      <c r="Q444" s="571"/>
      <c r="R444" s="571"/>
      <c r="S444" s="571"/>
      <c r="T444" s="571"/>
      <c r="U444" s="571"/>
      <c r="V444" s="571"/>
      <c r="W444" s="571"/>
      <c r="X444" s="571"/>
      <c r="Y444" s="571"/>
      <c r="Z444" s="571"/>
    </row>
    <row r="445" spans="1:26" ht="18.75" hidden="1">
      <c r="A445" s="592"/>
      <c r="B445" s="750"/>
      <c r="C445" s="750"/>
      <c r="D445" s="711"/>
      <c r="E445" s="750" t="s">
        <v>184</v>
      </c>
      <c r="F445" s="750"/>
      <c r="G445" s="596"/>
      <c r="H445" s="165" t="s">
        <v>12</v>
      </c>
      <c r="I445" s="610"/>
      <c r="J445" s="610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597"/>
      <c r="R445" s="597"/>
      <c r="S445" s="597"/>
      <c r="T445" s="597"/>
      <c r="U445" s="597"/>
      <c r="V445" s="597"/>
      <c r="W445" s="597"/>
      <c r="X445" s="597"/>
      <c r="Y445" s="597"/>
      <c r="Z445" s="597"/>
    </row>
    <row r="446" spans="1:26" ht="18.75" hidden="1">
      <c r="A446" s="592"/>
      <c r="B446" s="600"/>
      <c r="C446" s="750"/>
      <c r="D446" s="711"/>
      <c r="E446" s="750" t="s">
        <v>185</v>
      </c>
      <c r="F446" s="750"/>
      <c r="G446" s="596"/>
      <c r="H446" s="165" t="s">
        <v>12</v>
      </c>
      <c r="I446" s="610"/>
      <c r="J446" s="610"/>
      <c r="K446" s="93"/>
      <c r="L446" s="93">
        <f t="shared" ca="1" si="200"/>
        <v>0</v>
      </c>
      <c r="M446" s="93">
        <f t="shared" si="200"/>
        <v>0</v>
      </c>
      <c r="N446" s="93">
        <f t="shared" si="200"/>
        <v>0</v>
      </c>
      <c r="O446" s="93">
        <f t="shared" ca="1" si="198"/>
        <v>0</v>
      </c>
      <c r="P446" s="93">
        <f t="shared" si="199"/>
        <v>0</v>
      </c>
      <c r="Q446" s="597"/>
      <c r="R446" s="597"/>
      <c r="S446" s="597"/>
      <c r="T446" s="597"/>
      <c r="U446" s="597"/>
      <c r="V446" s="597"/>
      <c r="W446" s="597"/>
      <c r="X446" s="597"/>
      <c r="Y446" s="597"/>
      <c r="Z446" s="597"/>
    </row>
    <row r="447" spans="1:26" ht="18.75" hidden="1">
      <c r="A447" s="590"/>
      <c r="B447" s="568"/>
      <c r="C447" s="754"/>
      <c r="D447" s="599" t="s">
        <v>20</v>
      </c>
      <c r="E447" s="754"/>
      <c r="F447" s="754"/>
      <c r="G447" s="189"/>
      <c r="H447" s="161" t="s">
        <v>12</v>
      </c>
      <c r="I447" s="184"/>
      <c r="J447" s="184"/>
      <c r="K447" s="163"/>
      <c r="L447" s="496">
        <f t="shared" ref="L447:N447" ca="1" si="201">L448+L449</f>
        <v>0</v>
      </c>
      <c r="M447" s="496">
        <f t="shared" si="201"/>
        <v>0</v>
      </c>
      <c r="N447" s="496">
        <f t="shared" si="201"/>
        <v>0</v>
      </c>
      <c r="O447" s="496">
        <f t="shared" ca="1" si="198"/>
        <v>0</v>
      </c>
      <c r="P447" s="496">
        <f t="shared" si="199"/>
        <v>0</v>
      </c>
      <c r="Q447" s="571"/>
      <c r="R447" s="571"/>
      <c r="S447" s="571"/>
      <c r="T447" s="571"/>
      <c r="U447" s="571"/>
      <c r="V447" s="571"/>
      <c r="W447" s="571"/>
      <c r="X447" s="571"/>
      <c r="Y447" s="571"/>
      <c r="Z447" s="571"/>
    </row>
    <row r="448" spans="1:26" ht="18.75" hidden="1">
      <c r="A448" s="592"/>
      <c r="B448" s="600"/>
      <c r="C448" s="750"/>
      <c r="D448" s="711"/>
      <c r="E448" s="750" t="s">
        <v>184</v>
      </c>
      <c r="F448" s="750"/>
      <c r="G448" s="596"/>
      <c r="H448" s="165" t="s">
        <v>12</v>
      </c>
      <c r="I448" s="610"/>
      <c r="J448" s="610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597"/>
      <c r="R448" s="597"/>
      <c r="S448" s="597"/>
      <c r="T448" s="597"/>
      <c r="U448" s="597"/>
      <c r="V448" s="597"/>
      <c r="W448" s="597"/>
      <c r="X448" s="597"/>
      <c r="Y448" s="597"/>
      <c r="Z448" s="597"/>
    </row>
    <row r="449" spans="1:26" ht="18.75" hidden="1">
      <c r="A449" s="592"/>
      <c r="B449" s="600"/>
      <c r="C449" s="750"/>
      <c r="D449" s="711"/>
      <c r="E449" s="750" t="s">
        <v>185</v>
      </c>
      <c r="F449" s="750"/>
      <c r="G449" s="596"/>
      <c r="H449" s="165" t="s">
        <v>12</v>
      </c>
      <c r="I449" s="610"/>
      <c r="J449" s="610"/>
      <c r="K449" s="93"/>
      <c r="L449" s="93">
        <f ca="1">IFERROR(__xludf.DUMMYFUNCTION("IMPORTRANGE(""https://docs.google.com/spreadsheets/d/1QqKyyYR6Q21VydFLVH3TRQUabQu_ym0Zz7PgGX0-kHA/edit?usp=sharing"",""แผน!FJ67"")"),0)</f>
        <v>0</v>
      </c>
      <c r="M449" s="93">
        <v>0</v>
      </c>
      <c r="N449" s="93">
        <f>N450+N451+N452+N453</f>
        <v>0</v>
      </c>
      <c r="O449" s="93">
        <f t="shared" ca="1" si="198"/>
        <v>0</v>
      </c>
      <c r="P449" s="93">
        <f t="shared" si="199"/>
        <v>0</v>
      </c>
      <c r="Q449" s="597"/>
      <c r="R449" s="597"/>
      <c r="S449" s="597"/>
      <c r="T449" s="597"/>
      <c r="U449" s="597"/>
      <c r="V449" s="597"/>
      <c r="W449" s="597"/>
      <c r="X449" s="597"/>
      <c r="Y449" s="597"/>
      <c r="Z449" s="597"/>
    </row>
    <row r="450" spans="1:26" ht="18.75" hidden="1">
      <c r="A450" s="567"/>
      <c r="B450" s="568"/>
      <c r="C450" s="754"/>
      <c r="D450" s="754"/>
      <c r="E450" s="754"/>
      <c r="F450" s="754" t="s">
        <v>186</v>
      </c>
      <c r="G450" s="189"/>
      <c r="H450" s="161" t="s">
        <v>12</v>
      </c>
      <c r="I450" s="269"/>
      <c r="J450" s="269"/>
      <c r="K450" s="496"/>
      <c r="L450" s="496"/>
      <c r="M450" s="496"/>
      <c r="N450" s="817">
        <v>0</v>
      </c>
      <c r="O450" s="496"/>
      <c r="P450" s="496"/>
      <c r="Q450" s="571"/>
      <c r="R450" s="571"/>
      <c r="S450" s="571"/>
      <c r="T450" s="571"/>
      <c r="U450" s="571"/>
      <c r="V450" s="571"/>
      <c r="W450" s="571"/>
      <c r="X450" s="571"/>
      <c r="Y450" s="571"/>
      <c r="Z450" s="571"/>
    </row>
    <row r="451" spans="1:26" ht="18.75" hidden="1">
      <c r="A451" s="567"/>
      <c r="B451" s="568"/>
      <c r="C451" s="754"/>
      <c r="D451" s="754"/>
      <c r="E451" s="754"/>
      <c r="F451" s="754" t="s">
        <v>187</v>
      </c>
      <c r="G451" s="189"/>
      <c r="H451" s="161" t="s">
        <v>12</v>
      </c>
      <c r="I451" s="269"/>
      <c r="J451" s="269"/>
      <c r="K451" s="496"/>
      <c r="L451" s="496"/>
      <c r="M451" s="496"/>
      <c r="N451" s="817">
        <v>0</v>
      </c>
      <c r="O451" s="496"/>
      <c r="P451" s="496"/>
      <c r="Q451" s="571"/>
      <c r="R451" s="571"/>
      <c r="S451" s="571"/>
      <c r="T451" s="571"/>
      <c r="U451" s="571"/>
      <c r="V451" s="571"/>
      <c r="W451" s="571"/>
      <c r="X451" s="571"/>
      <c r="Y451" s="571"/>
      <c r="Z451" s="571"/>
    </row>
    <row r="452" spans="1:26" ht="18.75" hidden="1">
      <c r="A452" s="567"/>
      <c r="B452" s="568"/>
      <c r="C452" s="568"/>
      <c r="D452" s="568"/>
      <c r="E452" s="568"/>
      <c r="F452" s="754" t="s">
        <v>188</v>
      </c>
      <c r="G452" s="189"/>
      <c r="H452" s="161" t="s">
        <v>12</v>
      </c>
      <c r="I452" s="269"/>
      <c r="J452" s="269"/>
      <c r="K452" s="496"/>
      <c r="L452" s="496"/>
      <c r="M452" s="496"/>
      <c r="N452" s="817">
        <v>0</v>
      </c>
      <c r="O452" s="496"/>
      <c r="P452" s="496"/>
      <c r="Q452" s="571"/>
      <c r="R452" s="571"/>
      <c r="S452" s="571"/>
      <c r="T452" s="571"/>
      <c r="U452" s="571"/>
      <c r="V452" s="571"/>
      <c r="W452" s="571"/>
      <c r="X452" s="571"/>
      <c r="Y452" s="571"/>
      <c r="Z452" s="571"/>
    </row>
    <row r="453" spans="1:26" ht="18.75" hidden="1">
      <c r="A453" s="567"/>
      <c r="B453" s="568"/>
      <c r="C453" s="568"/>
      <c r="D453" s="568"/>
      <c r="E453" s="568"/>
      <c r="F453" s="754" t="s">
        <v>189</v>
      </c>
      <c r="G453" s="189"/>
      <c r="H453" s="161" t="s">
        <v>12</v>
      </c>
      <c r="I453" s="269"/>
      <c r="J453" s="269"/>
      <c r="K453" s="496"/>
      <c r="L453" s="496"/>
      <c r="M453" s="496"/>
      <c r="N453" s="817">
        <v>0</v>
      </c>
      <c r="O453" s="496"/>
      <c r="P453" s="496"/>
      <c r="Q453" s="571"/>
      <c r="R453" s="571"/>
      <c r="S453" s="571"/>
      <c r="T453" s="571"/>
      <c r="U453" s="571"/>
      <c r="V453" s="571"/>
      <c r="W453" s="571"/>
      <c r="X453" s="571"/>
      <c r="Y453" s="571"/>
      <c r="Z453" s="571"/>
    </row>
    <row r="454" spans="1:26" ht="18.75" hidden="1">
      <c r="A454" s="590"/>
      <c r="B454" s="568"/>
      <c r="C454" s="568"/>
      <c r="D454" s="599" t="s">
        <v>21</v>
      </c>
      <c r="E454" s="568"/>
      <c r="F454" s="754"/>
      <c r="G454" s="189"/>
      <c r="H454" s="168" t="s">
        <v>12</v>
      </c>
      <c r="I454" s="184"/>
      <c r="J454" s="184"/>
      <c r="K454" s="163"/>
      <c r="L454" s="496">
        <f t="shared" ref="L454:N454" ca="1" si="202">L455+L456</f>
        <v>0</v>
      </c>
      <c r="M454" s="496">
        <f t="shared" si="202"/>
        <v>0</v>
      </c>
      <c r="N454" s="496">
        <f t="shared" si="202"/>
        <v>0</v>
      </c>
      <c r="O454" s="496">
        <f t="shared" ref="O454:O456" ca="1" si="203">IF(L454&gt;0,N454*100/L454,0)</f>
        <v>0</v>
      </c>
      <c r="P454" s="496">
        <f t="shared" ref="P454:P456" si="204">IF(M454&gt;0,N454*100/M454,0)</f>
        <v>0</v>
      </c>
      <c r="Q454" s="571"/>
      <c r="R454" s="571"/>
      <c r="S454" s="571"/>
      <c r="T454" s="571"/>
      <c r="U454" s="571"/>
      <c r="V454" s="571"/>
      <c r="W454" s="571"/>
      <c r="X454" s="571"/>
      <c r="Y454" s="571"/>
      <c r="Z454" s="571"/>
    </row>
    <row r="455" spans="1:26" ht="18.75" hidden="1">
      <c r="A455" s="592"/>
      <c r="B455" s="600"/>
      <c r="C455" s="600"/>
      <c r="D455" s="600"/>
      <c r="E455" s="600" t="s">
        <v>18</v>
      </c>
      <c r="F455" s="750"/>
      <c r="G455" s="596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597"/>
      <c r="R455" s="597"/>
      <c r="S455" s="597"/>
      <c r="T455" s="597"/>
      <c r="U455" s="597"/>
      <c r="V455" s="597"/>
      <c r="W455" s="597"/>
      <c r="X455" s="597"/>
      <c r="Y455" s="597"/>
      <c r="Z455" s="597"/>
    </row>
    <row r="456" spans="1:26" ht="18.75" hidden="1">
      <c r="A456" s="592"/>
      <c r="B456" s="600"/>
      <c r="C456" s="600"/>
      <c r="D456" s="600"/>
      <c r="E456" s="600" t="s">
        <v>19</v>
      </c>
      <c r="F456" s="750"/>
      <c r="G456" s="596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IFERROR(__xludf.DUMMYFUNCTION("IMPORTRANGE(""https://docs.google.com/spreadsheets/d/1QqKyyYR6Q21VydFLVH3TRQUabQu_ym0Zz7PgGX0-kHA/edit?usp=sharing"",""แผน!FM67"")"),0)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597"/>
      <c r="R456" s="597"/>
      <c r="S456" s="597"/>
      <c r="T456" s="597"/>
      <c r="U456" s="597"/>
      <c r="V456" s="597"/>
      <c r="W456" s="597"/>
      <c r="X456" s="597"/>
      <c r="Y456" s="597"/>
      <c r="Z456" s="597"/>
    </row>
    <row r="457" spans="1:26" ht="19.5" hidden="1">
      <c r="A457" s="601"/>
      <c r="B457" s="611"/>
      <c r="C457" s="568" t="s">
        <v>16</v>
      </c>
      <c r="D457" s="836" t="s">
        <v>38</v>
      </c>
      <c r="E457" s="604"/>
      <c r="F457" s="752"/>
      <c r="G457" s="606"/>
      <c r="H457" s="753"/>
      <c r="I457" s="269"/>
      <c r="J457" s="269"/>
      <c r="K457" s="496"/>
      <c r="L457" s="496"/>
      <c r="M457" s="496"/>
      <c r="N457" s="496"/>
      <c r="O457" s="496"/>
      <c r="P457" s="496"/>
      <c r="Q457" s="571"/>
      <c r="R457" s="571"/>
      <c r="S457" s="571"/>
      <c r="T457" s="571"/>
      <c r="U457" s="571"/>
      <c r="V457" s="571"/>
      <c r="W457" s="571"/>
      <c r="X457" s="571"/>
      <c r="Y457" s="571"/>
      <c r="Z457" s="571"/>
    </row>
    <row r="458" spans="1:26" ht="18.75" hidden="1">
      <c r="A458" s="607"/>
      <c r="B458" s="609"/>
      <c r="C458" s="609"/>
      <c r="D458" s="609" t="s">
        <v>200</v>
      </c>
      <c r="E458" s="609"/>
      <c r="F458" s="711"/>
      <c r="G458" s="365"/>
      <c r="H458" s="369" t="s">
        <v>35</v>
      </c>
      <c r="I458" s="610">
        <v>0</v>
      </c>
      <c r="J458" s="610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597"/>
      <c r="R458" s="597"/>
      <c r="S458" s="597"/>
      <c r="T458" s="597"/>
      <c r="U458" s="597"/>
      <c r="V458" s="597"/>
      <c r="W458" s="597"/>
      <c r="X458" s="597"/>
      <c r="Y458" s="597"/>
      <c r="Z458" s="597"/>
    </row>
    <row r="459" spans="1:26" ht="18.75" hidden="1">
      <c r="A459" s="607"/>
      <c r="B459" s="609"/>
      <c r="C459" s="609"/>
      <c r="D459" s="609" t="s">
        <v>201</v>
      </c>
      <c r="E459" s="609"/>
      <c r="F459" s="711"/>
      <c r="G459" s="365"/>
      <c r="H459" s="369"/>
      <c r="I459" s="610"/>
      <c r="J459" s="610"/>
      <c r="K459" s="93"/>
      <c r="L459" s="93"/>
      <c r="M459" s="93"/>
      <c r="N459" s="93"/>
      <c r="O459" s="93"/>
      <c r="P459" s="93"/>
      <c r="Q459" s="597"/>
      <c r="R459" s="597"/>
      <c r="S459" s="597"/>
      <c r="T459" s="597"/>
      <c r="U459" s="597"/>
      <c r="V459" s="597"/>
      <c r="W459" s="597"/>
      <c r="X459" s="597"/>
      <c r="Y459" s="597"/>
      <c r="Z459" s="597"/>
    </row>
    <row r="460" spans="1:26" ht="18.75" hidden="1">
      <c r="A460" s="601"/>
      <c r="B460" s="611"/>
      <c r="C460" s="611"/>
      <c r="D460" s="611" t="s">
        <v>202</v>
      </c>
      <c r="E460" s="611"/>
      <c r="F460" s="619"/>
      <c r="G460" s="753"/>
      <c r="H460" s="755" t="s">
        <v>35</v>
      </c>
      <c r="I460" s="269">
        <f ca="1">IFERROR(__xludf.DUMMYFUNCTION("IMPORTRANGE(""https://docs.google.com/spreadsheets/d/1QqKyyYR6Q21VydFLVH3TRQUabQu_ym0Zz7PgGX0-kHA/edit?usp=sharing"",""แผน!FN67"")"),0)</f>
        <v>0</v>
      </c>
      <c r="J460" s="214">
        <v>0</v>
      </c>
      <c r="K460" s="496">
        <f ca="1">IF(I460&gt;0,J460*100/I460,0)</f>
        <v>0</v>
      </c>
      <c r="L460" s="496"/>
      <c r="M460" s="496"/>
      <c r="N460" s="496"/>
      <c r="O460" s="496"/>
      <c r="P460" s="496"/>
      <c r="Q460" s="571"/>
      <c r="R460" s="571"/>
      <c r="S460" s="571"/>
      <c r="T460" s="571"/>
      <c r="U460" s="571"/>
      <c r="V460" s="571"/>
      <c r="W460" s="571"/>
      <c r="X460" s="571"/>
      <c r="Y460" s="571"/>
      <c r="Z460" s="571"/>
    </row>
    <row r="461" spans="1:26" ht="18.75" hidden="1">
      <c r="A461" s="601"/>
      <c r="B461" s="611"/>
      <c r="C461" s="611"/>
      <c r="D461" s="611" t="s">
        <v>203</v>
      </c>
      <c r="E461" s="619"/>
      <c r="F461" s="619"/>
      <c r="G461" s="753"/>
      <c r="H461" s="755"/>
      <c r="I461" s="269"/>
      <c r="J461" s="269"/>
      <c r="K461" s="496"/>
      <c r="L461" s="496"/>
      <c r="M461" s="496"/>
      <c r="N461" s="496"/>
      <c r="O461" s="496"/>
      <c r="P461" s="496"/>
      <c r="Q461" s="571"/>
      <c r="R461" s="571"/>
      <c r="S461" s="571"/>
      <c r="T461" s="571"/>
      <c r="U461" s="571"/>
      <c r="V461" s="571"/>
      <c r="W461" s="571"/>
      <c r="X461" s="571"/>
      <c r="Y461" s="571"/>
      <c r="Z461" s="571"/>
    </row>
    <row r="462" spans="1:26" ht="18.75" hidden="1">
      <c r="A462" s="601"/>
      <c r="B462" s="611"/>
      <c r="C462" s="611"/>
      <c r="D462" s="611" t="s">
        <v>204</v>
      </c>
      <c r="E462" s="619"/>
      <c r="F462" s="619"/>
      <c r="G462" s="753"/>
      <c r="H462" s="755" t="s">
        <v>46</v>
      </c>
      <c r="I462" s="269">
        <f ca="1">IFERROR(__xludf.DUMMYFUNCTION("IMPORTRANGE(""https://docs.google.com/spreadsheets/d/1QqKyyYR6Q21VydFLVH3TRQUabQu_ym0Zz7PgGX0-kHA/edit?usp=sharing"",""แผน!FO67"")"),0)</f>
        <v>0</v>
      </c>
      <c r="J462" s="214">
        <v>0</v>
      </c>
      <c r="K462" s="496">
        <f ca="1">IF(I462&gt;0,J462*100/I462,0)</f>
        <v>0</v>
      </c>
      <c r="L462" s="496"/>
      <c r="M462" s="496"/>
      <c r="N462" s="496"/>
      <c r="O462" s="496"/>
      <c r="P462" s="496"/>
      <c r="Q462" s="571"/>
      <c r="R462" s="571"/>
      <c r="S462" s="571"/>
      <c r="T462" s="571"/>
      <c r="U462" s="571"/>
      <c r="V462" s="571"/>
      <c r="W462" s="571"/>
      <c r="X462" s="571"/>
      <c r="Y462" s="571"/>
      <c r="Z462" s="571"/>
    </row>
    <row r="463" spans="1:26" ht="18.75" hidden="1">
      <c r="A463" s="601"/>
      <c r="B463" s="611"/>
      <c r="C463" s="611"/>
      <c r="D463" s="611" t="s">
        <v>59</v>
      </c>
      <c r="E463" s="619"/>
      <c r="F463" s="754"/>
      <c r="G463" s="189"/>
      <c r="H463" s="755" t="s">
        <v>46</v>
      </c>
      <c r="I463" s="269">
        <f ca="1">IFERROR(__xludf.DUMMYFUNCTION("IMPORTRANGE(""https://docs.google.com/spreadsheets/d/1QqKyyYR6Q21VydFLVH3TRQUabQu_ym0Zz7PgGX0-kHA/edit?usp=sharing"",""แผน!FO67"")"),0)</f>
        <v>0</v>
      </c>
      <c r="J463" s="214">
        <v>0</v>
      </c>
      <c r="K463" s="496"/>
      <c r="L463" s="496"/>
      <c r="M463" s="496"/>
      <c r="N463" s="496"/>
      <c r="O463" s="496"/>
      <c r="P463" s="496"/>
      <c r="Q463" s="571"/>
      <c r="R463" s="571"/>
      <c r="S463" s="571"/>
      <c r="T463" s="571"/>
      <c r="U463" s="571"/>
      <c r="V463" s="571"/>
      <c r="W463" s="571"/>
      <c r="X463" s="571"/>
      <c r="Y463" s="571"/>
      <c r="Z463" s="571"/>
    </row>
    <row r="464" spans="1:26" ht="19.5" hidden="1">
      <c r="A464" s="601"/>
      <c r="B464" s="611"/>
      <c r="C464" s="611"/>
      <c r="D464" s="611"/>
      <c r="E464" s="619"/>
      <c r="F464" s="619"/>
      <c r="G464" s="613"/>
      <c r="H464" s="755" t="s">
        <v>35</v>
      </c>
      <c r="I464" s="269">
        <f ca="1">IFERROR(__xludf.DUMMYFUNCTION("IMPORTRANGE(""https://docs.google.com/spreadsheets/d/1QqKyyYR6Q21VydFLVH3TRQUabQu_ym0Zz7PgGX0-kHA/edit?usp=sharing"",""แผน!FN67"")"),0)</f>
        <v>0</v>
      </c>
      <c r="J464" s="214">
        <v>0</v>
      </c>
      <c r="K464" s="496"/>
      <c r="L464" s="496"/>
      <c r="M464" s="496"/>
      <c r="N464" s="496"/>
      <c r="O464" s="496"/>
      <c r="P464" s="496"/>
      <c r="Q464" s="571"/>
      <c r="R464" s="571"/>
      <c r="S464" s="571"/>
      <c r="T464" s="571"/>
      <c r="U464" s="571"/>
      <c r="V464" s="571"/>
      <c r="W464" s="571"/>
      <c r="X464" s="571"/>
      <c r="Y464" s="571"/>
      <c r="Z464" s="571"/>
    </row>
    <row r="465" spans="1:26" ht="19.5">
      <c r="A465" s="578">
        <v>3</v>
      </c>
      <c r="B465" s="579" t="s">
        <v>205</v>
      </c>
      <c r="C465" s="580"/>
      <c r="D465" s="580"/>
      <c r="E465" s="580"/>
      <c r="F465" s="580"/>
      <c r="G465" s="581"/>
      <c r="H465" s="582" t="s">
        <v>35</v>
      </c>
      <c r="I465" s="583">
        <f ca="1">IFERROR(__xludf.DUMMYFUNCTION("IMPORTRANGE(""https://docs.google.com/spreadsheets/d/1QqKyyYR6Q21VydFLVH3TRQUabQu_ym0Zz7PgGX0-kHA/edit?usp=sharing"",""แผน!FX67"")"),61)</f>
        <v>61</v>
      </c>
      <c r="J465" s="583">
        <f>J485+J489+J492</f>
        <v>0</v>
      </c>
      <c r="K465" s="584">
        <f t="shared" ref="K465:K466" ca="1" si="205">IF(I465&gt;0,J465*100/I465,0)</f>
        <v>0</v>
      </c>
      <c r="L465" s="585"/>
      <c r="M465" s="585"/>
      <c r="N465" s="585"/>
      <c r="O465" s="585"/>
      <c r="P465" s="585"/>
      <c r="Q465" s="571"/>
      <c r="R465" s="571"/>
      <c r="S465" s="571"/>
      <c r="T465" s="571"/>
      <c r="U465" s="571"/>
      <c r="V465" s="571"/>
      <c r="W465" s="571"/>
      <c r="X465" s="571"/>
      <c r="Y465" s="571"/>
      <c r="Z465" s="571"/>
    </row>
    <row r="466" spans="1:26" ht="19.5">
      <c r="A466" s="586"/>
      <c r="B466" s="587"/>
      <c r="C466" s="588"/>
      <c r="D466" s="588"/>
      <c r="E466" s="588"/>
      <c r="F466" s="588"/>
      <c r="G466" s="589"/>
      <c r="H466" s="562" t="s">
        <v>46</v>
      </c>
      <c r="I466" s="563">
        <f ca="1">IFERROR(__xludf.DUMMYFUNCTION("IMPORTRANGE(""https://docs.google.com/spreadsheets/d/1QqKyyYR6Q21VydFLVH3TRQUabQu_ym0Zz7PgGX0-kHA/edit?usp=sharing"",""แผน!FW67"")"),600)</f>
        <v>600</v>
      </c>
      <c r="J466" s="563">
        <f>J483+J487</f>
        <v>0</v>
      </c>
      <c r="K466" s="564">
        <f t="shared" ca="1" si="205"/>
        <v>0</v>
      </c>
      <c r="L466" s="565"/>
      <c r="M466" s="565"/>
      <c r="N466" s="565"/>
      <c r="O466" s="565"/>
      <c r="P466" s="565"/>
      <c r="Q466" s="571"/>
      <c r="R466" s="571"/>
      <c r="S466" s="571"/>
      <c r="T466" s="571"/>
      <c r="U466" s="571"/>
      <c r="V466" s="571"/>
      <c r="W466" s="571"/>
      <c r="X466" s="571"/>
      <c r="Y466" s="571"/>
      <c r="Z466" s="571"/>
    </row>
    <row r="467" spans="1:26" ht="19.5">
      <c r="A467" s="590"/>
      <c r="B467" s="754"/>
      <c r="C467" s="754" t="s">
        <v>16</v>
      </c>
      <c r="D467" s="863" t="s">
        <v>17</v>
      </c>
      <c r="E467" s="857"/>
      <c r="F467" s="857"/>
      <c r="G467" s="189"/>
      <c r="H467" s="591" t="s">
        <v>12</v>
      </c>
      <c r="I467" s="269"/>
      <c r="J467" s="269"/>
      <c r="K467" s="496"/>
      <c r="L467" s="195">
        <f t="shared" ref="L467:N467" ca="1" si="206">L468+L469</f>
        <v>481323</v>
      </c>
      <c r="M467" s="195">
        <f t="shared" si="206"/>
        <v>0</v>
      </c>
      <c r="N467" s="195">
        <f t="shared" si="206"/>
        <v>1780</v>
      </c>
      <c r="O467" s="195">
        <f t="shared" ref="O467:O472" ca="1" si="207">IF(L467&gt;0,N467*100/L467,0)</f>
        <v>0.36981403340376423</v>
      </c>
      <c r="P467" s="195">
        <f t="shared" ref="P467:P472" si="208">IF(M467&gt;0,N467*100/M467,0)</f>
        <v>0</v>
      </c>
      <c r="Q467" s="571"/>
      <c r="R467" s="571"/>
      <c r="S467" s="571"/>
      <c r="T467" s="571"/>
      <c r="U467" s="571"/>
      <c r="V467" s="571"/>
      <c r="W467" s="571"/>
      <c r="X467" s="571"/>
      <c r="Y467" s="571"/>
      <c r="Z467" s="571"/>
    </row>
    <row r="468" spans="1:26" ht="18.75" hidden="1">
      <c r="A468" s="592"/>
      <c r="B468" s="750"/>
      <c r="C468" s="750"/>
      <c r="D468" s="711"/>
      <c r="E468" s="750" t="s">
        <v>184</v>
      </c>
      <c r="F468" s="750"/>
      <c r="G468" s="596"/>
      <c r="H468" s="165" t="s">
        <v>12</v>
      </c>
      <c r="I468" s="610"/>
      <c r="J468" s="610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597"/>
      <c r="R468" s="597"/>
      <c r="S468" s="597"/>
      <c r="T468" s="597"/>
      <c r="U468" s="597"/>
      <c r="V468" s="597"/>
      <c r="W468" s="597"/>
      <c r="X468" s="597"/>
      <c r="Y468" s="597"/>
      <c r="Z468" s="597"/>
    </row>
    <row r="469" spans="1:26" ht="18.75" hidden="1">
      <c r="A469" s="592"/>
      <c r="B469" s="600"/>
      <c r="C469" s="750"/>
      <c r="D469" s="711"/>
      <c r="E469" s="750" t="s">
        <v>185</v>
      </c>
      <c r="F469" s="750"/>
      <c r="G469" s="596"/>
      <c r="H469" s="165" t="s">
        <v>12</v>
      </c>
      <c r="I469" s="610"/>
      <c r="J469" s="610"/>
      <c r="K469" s="93"/>
      <c r="L469" s="93">
        <f t="shared" ca="1" si="209"/>
        <v>481323</v>
      </c>
      <c r="M469" s="93">
        <f t="shared" si="209"/>
        <v>0</v>
      </c>
      <c r="N469" s="93">
        <f t="shared" si="209"/>
        <v>1780</v>
      </c>
      <c r="O469" s="93">
        <f t="shared" ca="1" si="207"/>
        <v>0.36981403340376423</v>
      </c>
      <c r="P469" s="93">
        <f t="shared" si="208"/>
        <v>0</v>
      </c>
      <c r="Q469" s="597"/>
      <c r="R469" s="597"/>
      <c r="S469" s="597"/>
      <c r="T469" s="597"/>
      <c r="U469" s="597"/>
      <c r="V469" s="597"/>
      <c r="W469" s="597"/>
      <c r="X469" s="597"/>
      <c r="Y469" s="597"/>
      <c r="Z469" s="597"/>
    </row>
    <row r="470" spans="1:26" ht="18.75">
      <c r="A470" s="590"/>
      <c r="B470" s="568"/>
      <c r="C470" s="754"/>
      <c r="D470" s="599" t="s">
        <v>20</v>
      </c>
      <c r="E470" s="754"/>
      <c r="F470" s="754"/>
      <c r="G470" s="189"/>
      <c r="H470" s="161" t="s">
        <v>12</v>
      </c>
      <c r="I470" s="184"/>
      <c r="J470" s="184"/>
      <c r="K470" s="163"/>
      <c r="L470" s="496">
        <f t="shared" ref="L470:N470" ca="1" si="210">L471+L472</f>
        <v>481323</v>
      </c>
      <c r="M470" s="496">
        <f t="shared" si="210"/>
        <v>0</v>
      </c>
      <c r="N470" s="496">
        <f t="shared" si="210"/>
        <v>1780</v>
      </c>
      <c r="O470" s="496">
        <f t="shared" ca="1" si="207"/>
        <v>0.36981403340376423</v>
      </c>
      <c r="P470" s="496">
        <f t="shared" si="208"/>
        <v>0</v>
      </c>
      <c r="Q470" s="571"/>
      <c r="R470" s="571"/>
      <c r="S470" s="571"/>
      <c r="T470" s="571"/>
      <c r="U470" s="571"/>
      <c r="V470" s="571"/>
      <c r="W470" s="571"/>
      <c r="X470" s="571"/>
      <c r="Y470" s="571"/>
      <c r="Z470" s="571"/>
    </row>
    <row r="471" spans="1:26" ht="18.75" hidden="1">
      <c r="A471" s="592"/>
      <c r="B471" s="600"/>
      <c r="C471" s="750"/>
      <c r="D471" s="711"/>
      <c r="E471" s="750" t="s">
        <v>184</v>
      </c>
      <c r="F471" s="750"/>
      <c r="G471" s="596"/>
      <c r="H471" s="165" t="s">
        <v>12</v>
      </c>
      <c r="I471" s="610"/>
      <c r="J471" s="610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597"/>
      <c r="R471" s="597"/>
      <c r="S471" s="597"/>
      <c r="T471" s="597"/>
      <c r="U471" s="597"/>
      <c r="V471" s="597"/>
      <c r="W471" s="597"/>
      <c r="X471" s="597"/>
      <c r="Y471" s="597"/>
      <c r="Z471" s="597"/>
    </row>
    <row r="472" spans="1:26" ht="18.75" hidden="1">
      <c r="A472" s="592"/>
      <c r="B472" s="600"/>
      <c r="C472" s="750"/>
      <c r="D472" s="711"/>
      <c r="E472" s="750" t="s">
        <v>185</v>
      </c>
      <c r="F472" s="750"/>
      <c r="G472" s="596"/>
      <c r="H472" s="165" t="s">
        <v>12</v>
      </c>
      <c r="I472" s="610"/>
      <c r="J472" s="610"/>
      <c r="K472" s="93"/>
      <c r="L472" s="93">
        <f ca="1">IFERROR(__xludf.DUMMYFUNCTION("IMPORTRANGE(""https://docs.google.com/spreadsheets/d/1QqKyyYR6Q21VydFLVH3TRQUabQu_ym0Zz7PgGX0-kHA/edit?usp=sharing"",""แผน!FS67"")"),481323)</f>
        <v>481323</v>
      </c>
      <c r="M472" s="93">
        <v>0</v>
      </c>
      <c r="N472" s="93">
        <f>N473+N474+N475+N476</f>
        <v>1780</v>
      </c>
      <c r="O472" s="93">
        <f t="shared" ca="1" si="207"/>
        <v>0.36981403340376423</v>
      </c>
      <c r="P472" s="93">
        <f t="shared" si="208"/>
        <v>0</v>
      </c>
      <c r="Q472" s="597"/>
      <c r="R472" s="597"/>
      <c r="S472" s="597"/>
      <c r="T472" s="597"/>
      <c r="U472" s="597"/>
      <c r="V472" s="597"/>
      <c r="W472" s="597"/>
      <c r="X472" s="597"/>
      <c r="Y472" s="597"/>
      <c r="Z472" s="597"/>
    </row>
    <row r="473" spans="1:26" ht="18.75">
      <c r="A473" s="567"/>
      <c r="B473" s="568"/>
      <c r="C473" s="754"/>
      <c r="D473" s="754"/>
      <c r="E473" s="754"/>
      <c r="F473" s="754" t="s">
        <v>186</v>
      </c>
      <c r="G473" s="189"/>
      <c r="H473" s="161" t="s">
        <v>12</v>
      </c>
      <c r="I473" s="269"/>
      <c r="J473" s="269"/>
      <c r="K473" s="496"/>
      <c r="L473" s="496"/>
      <c r="M473" s="496"/>
      <c r="N473" s="817">
        <v>0</v>
      </c>
      <c r="O473" s="496"/>
      <c r="P473" s="496"/>
      <c r="Q473" s="571"/>
      <c r="R473" s="571"/>
      <c r="S473" s="571"/>
      <c r="T473" s="571"/>
      <c r="U473" s="571"/>
      <c r="V473" s="571"/>
      <c r="W473" s="571"/>
      <c r="X473" s="571"/>
      <c r="Y473" s="571"/>
      <c r="Z473" s="571"/>
    </row>
    <row r="474" spans="1:26" ht="18.75">
      <c r="A474" s="567"/>
      <c r="B474" s="568"/>
      <c r="C474" s="754"/>
      <c r="D474" s="754"/>
      <c r="E474" s="754"/>
      <c r="F474" s="754" t="s">
        <v>187</v>
      </c>
      <c r="G474" s="189"/>
      <c r="H474" s="161" t="s">
        <v>12</v>
      </c>
      <c r="I474" s="269"/>
      <c r="J474" s="269"/>
      <c r="K474" s="496"/>
      <c r="L474" s="496"/>
      <c r="M474" s="496"/>
      <c r="N474" s="817">
        <v>0</v>
      </c>
      <c r="O474" s="496"/>
      <c r="P474" s="496"/>
      <c r="Q474" s="571"/>
      <c r="R474" s="571"/>
      <c r="S474" s="571"/>
      <c r="T474" s="571"/>
      <c r="U474" s="571"/>
      <c r="V474" s="571"/>
      <c r="W474" s="571"/>
      <c r="X474" s="571"/>
      <c r="Y474" s="571"/>
      <c r="Z474" s="571"/>
    </row>
    <row r="475" spans="1:26" ht="18.75">
      <c r="A475" s="567"/>
      <c r="B475" s="568"/>
      <c r="C475" s="568"/>
      <c r="D475" s="568"/>
      <c r="E475" s="568"/>
      <c r="F475" s="754" t="s">
        <v>188</v>
      </c>
      <c r="G475" s="189"/>
      <c r="H475" s="161" t="s">
        <v>12</v>
      </c>
      <c r="I475" s="269"/>
      <c r="J475" s="269"/>
      <c r="K475" s="496"/>
      <c r="L475" s="496"/>
      <c r="M475" s="496"/>
      <c r="N475" s="817">
        <v>0</v>
      </c>
      <c r="O475" s="496"/>
      <c r="P475" s="496"/>
      <c r="Q475" s="571"/>
      <c r="R475" s="571"/>
      <c r="S475" s="571"/>
      <c r="T475" s="571"/>
      <c r="U475" s="571"/>
      <c r="V475" s="571"/>
      <c r="W475" s="571"/>
      <c r="X475" s="571"/>
      <c r="Y475" s="571"/>
      <c r="Z475" s="571"/>
    </row>
    <row r="476" spans="1:26" ht="18.75">
      <c r="A476" s="567"/>
      <c r="B476" s="568"/>
      <c r="C476" s="568"/>
      <c r="D476" s="568"/>
      <c r="E476" s="568"/>
      <c r="F476" s="754" t="s">
        <v>189</v>
      </c>
      <c r="G476" s="189"/>
      <c r="H476" s="161" t="s">
        <v>12</v>
      </c>
      <c r="I476" s="269"/>
      <c r="J476" s="269"/>
      <c r="K476" s="496"/>
      <c r="L476" s="496"/>
      <c r="M476" s="496"/>
      <c r="N476" s="817">
        <v>1780</v>
      </c>
      <c r="O476" s="496"/>
      <c r="P476" s="496"/>
      <c r="Q476" s="571"/>
      <c r="R476" s="571"/>
      <c r="S476" s="571"/>
      <c r="T476" s="571"/>
      <c r="U476" s="571"/>
      <c r="V476" s="571"/>
      <c r="W476" s="571"/>
      <c r="X476" s="571"/>
      <c r="Y476" s="571"/>
      <c r="Z476" s="571"/>
    </row>
    <row r="477" spans="1:26" ht="18.75">
      <c r="A477" s="590"/>
      <c r="B477" s="568"/>
      <c r="C477" s="568"/>
      <c r="D477" s="599" t="s">
        <v>21</v>
      </c>
      <c r="E477" s="568"/>
      <c r="F477" s="568"/>
      <c r="G477" s="189"/>
      <c r="H477" s="168" t="s">
        <v>12</v>
      </c>
      <c r="I477" s="184"/>
      <c r="J477" s="184"/>
      <c r="K477" s="163"/>
      <c r="L477" s="496">
        <f t="shared" ref="L477:N477" ca="1" si="211">L478+L479</f>
        <v>0</v>
      </c>
      <c r="M477" s="496">
        <f t="shared" si="211"/>
        <v>0</v>
      </c>
      <c r="N477" s="496">
        <f t="shared" si="211"/>
        <v>0</v>
      </c>
      <c r="O477" s="496">
        <f t="shared" ref="O477:O479" ca="1" si="212">IF(L477&gt;0,N477*100/L477,0)</f>
        <v>0</v>
      </c>
      <c r="P477" s="496">
        <f t="shared" ref="P477:P479" si="213">IF(M477&gt;0,N477*100/M477,0)</f>
        <v>0</v>
      </c>
      <c r="Q477" s="571"/>
      <c r="R477" s="571"/>
      <c r="S477" s="571"/>
      <c r="T477" s="571"/>
      <c r="U477" s="571"/>
      <c r="V477" s="571"/>
      <c r="W477" s="571"/>
      <c r="X477" s="571"/>
      <c r="Y477" s="571"/>
      <c r="Z477" s="571"/>
    </row>
    <row r="478" spans="1:26" ht="18.75" hidden="1">
      <c r="A478" s="592"/>
      <c r="B478" s="600"/>
      <c r="C478" s="600"/>
      <c r="D478" s="600"/>
      <c r="E478" s="600" t="s">
        <v>18</v>
      </c>
      <c r="F478" s="600"/>
      <c r="G478" s="596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597"/>
      <c r="R478" s="597"/>
      <c r="S478" s="597"/>
      <c r="T478" s="597"/>
      <c r="U478" s="597"/>
      <c r="V478" s="597"/>
      <c r="W478" s="597"/>
      <c r="X478" s="597"/>
      <c r="Y478" s="597"/>
      <c r="Z478" s="597"/>
    </row>
    <row r="479" spans="1:26" ht="18.75" hidden="1">
      <c r="A479" s="592"/>
      <c r="B479" s="600"/>
      <c r="C479" s="600"/>
      <c r="D479" s="600"/>
      <c r="E479" s="600" t="s">
        <v>19</v>
      </c>
      <c r="F479" s="600"/>
      <c r="G479" s="596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IFERROR(__xludf.DUMMYFUNCTION("IMPORTRANGE(""https://docs.google.com/spreadsheets/d/1QqKyyYR6Q21VydFLVH3TRQUabQu_ym0Zz7PgGX0-kHA/edit?usp=sharing"",""แผน!FV67"")"),0)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597"/>
      <c r="R479" s="597"/>
      <c r="S479" s="597"/>
      <c r="T479" s="597"/>
      <c r="U479" s="597"/>
      <c r="V479" s="597"/>
      <c r="W479" s="597"/>
      <c r="X479" s="597"/>
      <c r="Y479" s="597"/>
      <c r="Z479" s="597"/>
    </row>
    <row r="480" spans="1:26" ht="19.5">
      <c r="A480" s="601"/>
      <c r="B480" s="611"/>
      <c r="C480" s="568" t="s">
        <v>16</v>
      </c>
      <c r="D480" s="837" t="s">
        <v>38</v>
      </c>
      <c r="E480" s="604"/>
      <c r="F480" s="752"/>
      <c r="G480" s="606"/>
      <c r="H480" s="753"/>
      <c r="I480" s="269"/>
      <c r="J480" s="269"/>
      <c r="K480" s="496"/>
      <c r="L480" s="496"/>
      <c r="M480" s="496"/>
      <c r="N480" s="496"/>
      <c r="O480" s="496"/>
      <c r="P480" s="496"/>
      <c r="Q480" s="571"/>
      <c r="R480" s="571"/>
      <c r="S480" s="571"/>
      <c r="T480" s="571"/>
      <c r="U480" s="571"/>
      <c r="V480" s="571"/>
      <c r="W480" s="571"/>
      <c r="X480" s="571"/>
      <c r="Y480" s="571"/>
      <c r="Z480" s="571"/>
    </row>
    <row r="481" spans="1:26" ht="19.5">
      <c r="A481" s="601"/>
      <c r="B481" s="611"/>
      <c r="C481" s="611"/>
      <c r="D481" s="618" t="s">
        <v>206</v>
      </c>
      <c r="E481" s="611"/>
      <c r="F481" s="611"/>
      <c r="G481" s="753"/>
      <c r="H481" s="189"/>
      <c r="I481" s="269"/>
      <c r="J481" s="269"/>
      <c r="K481" s="496"/>
      <c r="L481" s="496"/>
      <c r="M481" s="496"/>
      <c r="N481" s="496"/>
      <c r="O481" s="496"/>
      <c r="P481" s="496"/>
      <c r="Q481" s="571"/>
      <c r="R481" s="571"/>
      <c r="S481" s="571"/>
      <c r="T481" s="571"/>
      <c r="U481" s="571"/>
      <c r="V481" s="571"/>
      <c r="W481" s="571"/>
      <c r="X481" s="571"/>
      <c r="Y481" s="571"/>
      <c r="Z481" s="571"/>
    </row>
    <row r="482" spans="1:26" ht="18.75">
      <c r="A482" s="601"/>
      <c r="B482" s="611"/>
      <c r="C482" s="611"/>
      <c r="D482" s="611"/>
      <c r="E482" s="611" t="s">
        <v>207</v>
      </c>
      <c r="F482" s="611"/>
      <c r="G482" s="753"/>
      <c r="H482" s="189"/>
      <c r="I482" s="269"/>
      <c r="J482" s="269"/>
      <c r="K482" s="496"/>
      <c r="L482" s="496"/>
      <c r="M482" s="496"/>
      <c r="N482" s="496"/>
      <c r="O482" s="496"/>
      <c r="P482" s="496"/>
      <c r="Q482" s="571"/>
      <c r="R482" s="571"/>
      <c r="S482" s="571"/>
      <c r="T482" s="571"/>
      <c r="U482" s="571"/>
      <c r="V482" s="571"/>
      <c r="W482" s="571"/>
      <c r="X482" s="571"/>
      <c r="Y482" s="571"/>
      <c r="Z482" s="571"/>
    </row>
    <row r="483" spans="1:26" ht="18.75">
      <c r="A483" s="601"/>
      <c r="B483" s="611"/>
      <c r="C483" s="611"/>
      <c r="D483" s="611"/>
      <c r="E483" s="611"/>
      <c r="F483" s="611" t="s">
        <v>208</v>
      </c>
      <c r="G483" s="753"/>
      <c r="H483" s="616" t="s">
        <v>46</v>
      </c>
      <c r="I483" s="269">
        <f ca="1">IFERROR(__xludf.DUMMYFUNCTION("IMPORTRANGE(""https://docs.google.com/spreadsheets/d/1QqKyyYR6Q21VydFLVH3TRQUabQu_ym0Zz7PgGX0-kHA/edit?usp=sharing"",""แผน!FY67"")"),540)</f>
        <v>540</v>
      </c>
      <c r="J483" s="214">
        <v>0</v>
      </c>
      <c r="K483" s="496">
        <f ca="1">IF(I483&gt;0,J483*100/I483,0)</f>
        <v>0</v>
      </c>
      <c r="L483" s="496"/>
      <c r="M483" s="496"/>
      <c r="N483" s="496"/>
      <c r="O483" s="496"/>
      <c r="P483" s="496"/>
      <c r="Q483" s="571"/>
      <c r="R483" s="571"/>
      <c r="S483" s="571"/>
      <c r="T483" s="571"/>
      <c r="U483" s="571"/>
      <c r="V483" s="571"/>
      <c r="W483" s="571"/>
      <c r="X483" s="571"/>
      <c r="Y483" s="571"/>
      <c r="Z483" s="571"/>
    </row>
    <row r="484" spans="1:26" ht="18.75">
      <c r="A484" s="601"/>
      <c r="B484" s="611"/>
      <c r="C484" s="611"/>
      <c r="D484" s="611"/>
      <c r="E484" s="611"/>
      <c r="F484" s="611" t="s">
        <v>209</v>
      </c>
      <c r="G484" s="753"/>
      <c r="H484" s="616" t="s">
        <v>35</v>
      </c>
      <c r="I484" s="269"/>
      <c r="J484" s="214">
        <v>0</v>
      </c>
      <c r="K484" s="496"/>
      <c r="L484" s="496"/>
      <c r="M484" s="496"/>
      <c r="N484" s="496"/>
      <c r="O484" s="496"/>
      <c r="P484" s="496"/>
      <c r="Q484" s="571"/>
      <c r="R484" s="571"/>
      <c r="S484" s="571"/>
      <c r="T484" s="571"/>
      <c r="U484" s="571"/>
      <c r="V484" s="571"/>
      <c r="W484" s="571"/>
      <c r="X484" s="571"/>
      <c r="Y484" s="571"/>
      <c r="Z484" s="571"/>
    </row>
    <row r="485" spans="1:26" ht="18.75">
      <c r="A485" s="601"/>
      <c r="B485" s="611"/>
      <c r="C485" s="611"/>
      <c r="D485" s="611"/>
      <c r="E485" s="611"/>
      <c r="F485" s="611" t="s">
        <v>210</v>
      </c>
      <c r="G485" s="753"/>
      <c r="H485" s="616" t="s">
        <v>35</v>
      </c>
      <c r="I485" s="269">
        <f ca="1">IFERROR(__xludf.DUMMYFUNCTION("IMPORTRANGE(""https://docs.google.com/spreadsheets/d/1QqKyyYR6Q21VydFLVH3TRQUabQu_ym0Zz7PgGX0-kHA/edit?usp=sharing"",""แผน!FZ67"")"),54)</f>
        <v>54</v>
      </c>
      <c r="J485" s="214">
        <v>0</v>
      </c>
      <c r="K485" s="496">
        <f ca="1">IF(I485&gt;0,J485*100/I485,0)</f>
        <v>0</v>
      </c>
      <c r="L485" s="496"/>
      <c r="M485" s="496"/>
      <c r="N485" s="496"/>
      <c r="O485" s="496"/>
      <c r="P485" s="496"/>
      <c r="Q485" s="571"/>
      <c r="R485" s="571"/>
      <c r="S485" s="571"/>
      <c r="T485" s="571"/>
      <c r="U485" s="571"/>
      <c r="V485" s="571"/>
      <c r="W485" s="571"/>
      <c r="X485" s="571"/>
      <c r="Y485" s="571"/>
      <c r="Z485" s="571"/>
    </row>
    <row r="486" spans="1:26" ht="18.75">
      <c r="A486" s="601"/>
      <c r="B486" s="611"/>
      <c r="C486" s="611"/>
      <c r="D486" s="611"/>
      <c r="E486" s="611" t="s">
        <v>62</v>
      </c>
      <c r="F486" s="611"/>
      <c r="G486" s="753"/>
      <c r="H486" s="616"/>
      <c r="I486" s="269"/>
      <c r="J486" s="269"/>
      <c r="K486" s="496"/>
      <c r="L486" s="496"/>
      <c r="M486" s="496"/>
      <c r="N486" s="496"/>
      <c r="O486" s="496"/>
      <c r="P486" s="496"/>
      <c r="Q486" s="571"/>
      <c r="R486" s="571"/>
      <c r="S486" s="571"/>
      <c r="T486" s="571"/>
      <c r="U486" s="571"/>
      <c r="V486" s="571"/>
      <c r="W486" s="571"/>
      <c r="X486" s="571"/>
      <c r="Y486" s="571"/>
      <c r="Z486" s="571"/>
    </row>
    <row r="487" spans="1:26" ht="18.75">
      <c r="A487" s="601"/>
      <c r="B487" s="611"/>
      <c r="C487" s="611"/>
      <c r="D487" s="611"/>
      <c r="E487" s="611"/>
      <c r="F487" s="611" t="s">
        <v>208</v>
      </c>
      <c r="G487" s="753"/>
      <c r="H487" s="616" t="s">
        <v>46</v>
      </c>
      <c r="I487" s="269">
        <f ca="1">IFERROR(__xludf.DUMMYFUNCTION("IMPORTRANGE(""https://docs.google.com/spreadsheets/d/1QqKyyYR6Q21VydFLVH3TRQUabQu_ym0Zz7PgGX0-kHA/edit?usp=sharing"",""แผน!GA67"")"),60)</f>
        <v>60</v>
      </c>
      <c r="J487" s="214">
        <v>0</v>
      </c>
      <c r="K487" s="496">
        <f ca="1">IF(I487&gt;0,J487*100/I487,0)</f>
        <v>0</v>
      </c>
      <c r="L487" s="496"/>
      <c r="M487" s="496"/>
      <c r="N487" s="496"/>
      <c r="O487" s="496"/>
      <c r="P487" s="496"/>
      <c r="Q487" s="571"/>
      <c r="R487" s="571"/>
      <c r="S487" s="571"/>
      <c r="T487" s="571"/>
      <c r="U487" s="571"/>
      <c r="V487" s="571"/>
      <c r="W487" s="571"/>
      <c r="X487" s="571"/>
      <c r="Y487" s="571"/>
      <c r="Z487" s="571"/>
    </row>
    <row r="488" spans="1:26" ht="18.75">
      <c r="A488" s="601"/>
      <c r="B488" s="611"/>
      <c r="C488" s="611"/>
      <c r="D488" s="611"/>
      <c r="E488" s="611"/>
      <c r="F488" s="611" t="s">
        <v>211</v>
      </c>
      <c r="G488" s="753"/>
      <c r="H488" s="616" t="s">
        <v>35</v>
      </c>
      <c r="I488" s="269"/>
      <c r="J488" s="214">
        <v>0</v>
      </c>
      <c r="K488" s="496"/>
      <c r="L488" s="496"/>
      <c r="M488" s="496"/>
      <c r="N488" s="496"/>
      <c r="O488" s="496"/>
      <c r="P488" s="496"/>
      <c r="Q488" s="571"/>
      <c r="R488" s="571"/>
      <c r="S488" s="571"/>
      <c r="T488" s="571"/>
      <c r="U488" s="571"/>
      <c r="V488" s="571"/>
      <c r="W488" s="571"/>
      <c r="X488" s="571"/>
      <c r="Y488" s="571"/>
      <c r="Z488" s="571"/>
    </row>
    <row r="489" spans="1:26" ht="18.75">
      <c r="A489" s="601"/>
      <c r="B489" s="611"/>
      <c r="C489" s="611"/>
      <c r="D489" s="611"/>
      <c r="E489" s="611"/>
      <c r="F489" s="611" t="s">
        <v>212</v>
      </c>
      <c r="G489" s="753"/>
      <c r="H489" s="616" t="s">
        <v>35</v>
      </c>
      <c r="I489" s="269">
        <f ca="1">IFERROR(__xludf.DUMMYFUNCTION("IMPORTRANGE(""https://docs.google.com/spreadsheets/d/1QqKyyYR6Q21VydFLVH3TRQUabQu_ym0Zz7PgGX0-kHA/edit?usp=sharing"",""แผน!GB67"")"),6)</f>
        <v>6</v>
      </c>
      <c r="J489" s="214">
        <v>0</v>
      </c>
      <c r="K489" s="496">
        <f ca="1">IF(I489&gt;0,J489*100/I489,0)</f>
        <v>0</v>
      </c>
      <c r="L489" s="496"/>
      <c r="M489" s="496"/>
      <c r="N489" s="496"/>
      <c r="O489" s="496"/>
      <c r="P489" s="496"/>
      <c r="Q489" s="571"/>
      <c r="R489" s="571"/>
      <c r="S489" s="571"/>
      <c r="T489" s="571"/>
      <c r="U489" s="571"/>
      <c r="V489" s="571"/>
      <c r="W489" s="571"/>
      <c r="X489" s="571"/>
      <c r="Y489" s="571"/>
      <c r="Z489" s="571"/>
    </row>
    <row r="490" spans="1:26" ht="18.75">
      <c r="A490" s="601"/>
      <c r="B490" s="611"/>
      <c r="C490" s="611"/>
      <c r="D490" s="611"/>
      <c r="E490" s="611" t="s">
        <v>63</v>
      </c>
      <c r="F490" s="619"/>
      <c r="G490" s="753"/>
      <c r="H490" s="616"/>
      <c r="I490" s="269"/>
      <c r="J490" s="269"/>
      <c r="K490" s="496"/>
      <c r="L490" s="496"/>
      <c r="M490" s="496"/>
      <c r="N490" s="496"/>
      <c r="O490" s="496"/>
      <c r="P490" s="496"/>
      <c r="Q490" s="571"/>
      <c r="R490" s="571"/>
      <c r="S490" s="571"/>
      <c r="T490" s="571"/>
      <c r="U490" s="571"/>
      <c r="V490" s="571"/>
      <c r="W490" s="571"/>
      <c r="X490" s="571"/>
      <c r="Y490" s="571"/>
      <c r="Z490" s="571"/>
    </row>
    <row r="491" spans="1:26" ht="18.75">
      <c r="A491" s="601"/>
      <c r="B491" s="611"/>
      <c r="C491" s="611"/>
      <c r="D491" s="611"/>
      <c r="E491" s="611"/>
      <c r="F491" s="611" t="s">
        <v>213</v>
      </c>
      <c r="G491" s="753"/>
      <c r="H491" s="616" t="s">
        <v>35</v>
      </c>
      <c r="I491" s="269"/>
      <c r="J491" s="214">
        <v>0</v>
      </c>
      <c r="K491" s="496"/>
      <c r="L491" s="496"/>
      <c r="M491" s="496"/>
      <c r="N491" s="496"/>
      <c r="O491" s="496"/>
      <c r="P491" s="496"/>
      <c r="Q491" s="571"/>
      <c r="R491" s="571"/>
      <c r="S491" s="571"/>
      <c r="T491" s="571"/>
      <c r="U491" s="571"/>
      <c r="V491" s="571"/>
      <c r="W491" s="571"/>
      <c r="X491" s="571"/>
      <c r="Y491" s="571"/>
      <c r="Z491" s="571"/>
    </row>
    <row r="492" spans="1:26" ht="18.75">
      <c r="A492" s="601"/>
      <c r="B492" s="611"/>
      <c r="C492" s="611"/>
      <c r="D492" s="611"/>
      <c r="E492" s="611"/>
      <c r="F492" s="611" t="s">
        <v>214</v>
      </c>
      <c r="G492" s="753"/>
      <c r="H492" s="616" t="s">
        <v>35</v>
      </c>
      <c r="I492" s="269">
        <f ca="1">IFERROR(__xludf.DUMMYFUNCTION("IMPORTRANGE(""https://docs.google.com/spreadsheets/d/1QqKyyYR6Q21VydFLVH3TRQUabQu_ym0Zz7PgGX0-kHA/edit?usp=sharing"",""แผน!GC67"")"),1)</f>
        <v>1</v>
      </c>
      <c r="J492" s="214">
        <v>0</v>
      </c>
      <c r="K492" s="496">
        <f ca="1">IF(I492&gt;0,J492*100/I492,0)</f>
        <v>0</v>
      </c>
      <c r="L492" s="496"/>
      <c r="M492" s="496"/>
      <c r="N492" s="496"/>
      <c r="O492" s="496"/>
      <c r="P492" s="496"/>
      <c r="Q492" s="571"/>
      <c r="R492" s="571"/>
      <c r="S492" s="571"/>
      <c r="T492" s="571"/>
      <c r="U492" s="571"/>
      <c r="V492" s="571"/>
      <c r="W492" s="571"/>
      <c r="X492" s="571"/>
      <c r="Y492" s="571"/>
      <c r="Z492" s="571"/>
    </row>
    <row r="493" spans="1:26" ht="19.5">
      <c r="A493" s="601"/>
      <c r="B493" s="611"/>
      <c r="C493" s="611"/>
      <c r="D493" s="618" t="s">
        <v>59</v>
      </c>
      <c r="E493" s="611"/>
      <c r="F493" s="619"/>
      <c r="G493" s="753"/>
      <c r="H493" s="189"/>
      <c r="I493" s="269"/>
      <c r="J493" s="269"/>
      <c r="K493" s="496"/>
      <c r="L493" s="496"/>
      <c r="M493" s="496"/>
      <c r="N493" s="496"/>
      <c r="O493" s="496"/>
      <c r="P493" s="496"/>
      <c r="Q493" s="571"/>
      <c r="R493" s="571"/>
      <c r="S493" s="571"/>
      <c r="T493" s="571"/>
      <c r="U493" s="571"/>
      <c r="V493" s="571"/>
      <c r="W493" s="571"/>
      <c r="X493" s="571"/>
      <c r="Y493" s="571"/>
      <c r="Z493" s="571"/>
    </row>
    <row r="494" spans="1:26" ht="18.75">
      <c r="A494" s="601"/>
      <c r="B494" s="611"/>
      <c r="C494" s="611"/>
      <c r="D494" s="611"/>
      <c r="E494" s="611" t="s">
        <v>207</v>
      </c>
      <c r="F494" s="619"/>
      <c r="G494" s="753"/>
      <c r="H494" s="189"/>
      <c r="I494" s="269"/>
      <c r="J494" s="269"/>
      <c r="K494" s="496"/>
      <c r="L494" s="496"/>
      <c r="M494" s="496"/>
      <c r="N494" s="496"/>
      <c r="O494" s="496"/>
      <c r="P494" s="496"/>
      <c r="Q494" s="571"/>
      <c r="R494" s="571"/>
      <c r="S494" s="571"/>
      <c r="T494" s="571"/>
      <c r="U494" s="571"/>
      <c r="V494" s="571"/>
      <c r="W494" s="571"/>
      <c r="X494" s="571"/>
      <c r="Y494" s="571"/>
      <c r="Z494" s="571"/>
    </row>
    <row r="495" spans="1:26" ht="18.75">
      <c r="A495" s="601"/>
      <c r="B495" s="611"/>
      <c r="C495" s="611"/>
      <c r="D495" s="611"/>
      <c r="E495" s="611"/>
      <c r="F495" s="619" t="s">
        <v>215</v>
      </c>
      <c r="G495" s="753"/>
      <c r="H495" s="616" t="s">
        <v>46</v>
      </c>
      <c r="I495" s="269">
        <f ca="1">IFERROR(__xludf.DUMMYFUNCTION("IMPORTRANGE(""https://docs.google.com/spreadsheets/d/1QqKyyYR6Q21VydFLVH3TRQUabQu_ym0Zz7PgGX0-kHA/edit?usp=sharing"",""แผน!FY67"")"),540)</f>
        <v>540</v>
      </c>
      <c r="J495" s="214">
        <v>0</v>
      </c>
      <c r="K495" s="496">
        <f ca="1">IF(I495&gt;0,J495*100/I495,0)</f>
        <v>0</v>
      </c>
      <c r="L495" s="496"/>
      <c r="M495" s="496"/>
      <c r="N495" s="496"/>
      <c r="O495" s="496"/>
      <c r="P495" s="496"/>
      <c r="Q495" s="571"/>
      <c r="R495" s="571"/>
      <c r="S495" s="571"/>
      <c r="T495" s="571"/>
      <c r="U495" s="571"/>
      <c r="V495" s="571"/>
      <c r="W495" s="571"/>
      <c r="X495" s="571"/>
      <c r="Y495" s="571"/>
      <c r="Z495" s="571"/>
    </row>
    <row r="496" spans="1:26" ht="18.75">
      <c r="A496" s="601"/>
      <c r="B496" s="611"/>
      <c r="C496" s="611"/>
      <c r="D496" s="611"/>
      <c r="E496" s="611"/>
      <c r="F496" s="619" t="s">
        <v>216</v>
      </c>
      <c r="G496" s="753"/>
      <c r="H496" s="616" t="s">
        <v>46</v>
      </c>
      <c r="I496" s="269"/>
      <c r="J496" s="214">
        <v>0</v>
      </c>
      <c r="K496" s="496"/>
      <c r="L496" s="496"/>
      <c r="M496" s="496"/>
      <c r="N496" s="496"/>
      <c r="O496" s="496"/>
      <c r="P496" s="496"/>
      <c r="Q496" s="571"/>
      <c r="R496" s="571"/>
      <c r="S496" s="571"/>
      <c r="T496" s="571"/>
      <c r="U496" s="571"/>
      <c r="V496" s="571"/>
      <c r="W496" s="571"/>
      <c r="X496" s="571"/>
      <c r="Y496" s="571"/>
      <c r="Z496" s="571"/>
    </row>
    <row r="497" spans="1:26" ht="18.75">
      <c r="A497" s="601"/>
      <c r="B497" s="611"/>
      <c r="C497" s="611"/>
      <c r="D497" s="611"/>
      <c r="E497" s="611" t="s">
        <v>62</v>
      </c>
      <c r="F497" s="619"/>
      <c r="G497" s="753"/>
      <c r="H497" s="189"/>
      <c r="I497" s="269"/>
      <c r="J497" s="269"/>
      <c r="K497" s="496"/>
      <c r="L497" s="496"/>
      <c r="M497" s="496"/>
      <c r="N497" s="496"/>
      <c r="O497" s="496"/>
      <c r="P497" s="496"/>
      <c r="Q497" s="571"/>
      <c r="R497" s="571"/>
      <c r="S497" s="571"/>
      <c r="T497" s="571"/>
      <c r="U497" s="571"/>
      <c r="V497" s="571"/>
      <c r="W497" s="571"/>
      <c r="X497" s="571"/>
      <c r="Y497" s="571"/>
      <c r="Z497" s="571"/>
    </row>
    <row r="498" spans="1:26" ht="18.75">
      <c r="A498" s="601"/>
      <c r="B498" s="611"/>
      <c r="C498" s="611"/>
      <c r="D498" s="611"/>
      <c r="E498" s="619"/>
      <c r="F498" s="619" t="s">
        <v>217</v>
      </c>
      <c r="G498" s="753"/>
      <c r="H498" s="616" t="s">
        <v>46</v>
      </c>
      <c r="I498" s="269">
        <f ca="1">IFERROR(__xludf.DUMMYFUNCTION("IMPORTRANGE(""https://docs.google.com/spreadsheets/d/1QqKyyYR6Q21VydFLVH3TRQUabQu_ym0Zz7PgGX0-kHA/edit?usp=sharing"",""แผน!GA67"")"),60)</f>
        <v>60</v>
      </c>
      <c r="J498" s="214">
        <v>0</v>
      </c>
      <c r="K498" s="496">
        <f ca="1">IF(I498&gt;0,J498*100/I498,0)</f>
        <v>0</v>
      </c>
      <c r="L498" s="496"/>
      <c r="M498" s="496"/>
      <c r="N498" s="496"/>
      <c r="O498" s="496"/>
      <c r="P498" s="496"/>
      <c r="Q498" s="571"/>
      <c r="R498" s="571"/>
      <c r="S498" s="571"/>
      <c r="T498" s="571"/>
      <c r="U498" s="571"/>
      <c r="V498" s="571"/>
      <c r="W498" s="571"/>
      <c r="X498" s="571"/>
      <c r="Y498" s="571"/>
      <c r="Z498" s="571"/>
    </row>
    <row r="499" spans="1:26" ht="18.75">
      <c r="A499" s="601"/>
      <c r="B499" s="611"/>
      <c r="C499" s="611"/>
      <c r="D499" s="611"/>
      <c r="E499" s="619"/>
      <c r="F499" s="619" t="s">
        <v>218</v>
      </c>
      <c r="G499" s="753"/>
      <c r="H499" s="616" t="s">
        <v>46</v>
      </c>
      <c r="I499" s="269"/>
      <c r="J499" s="214">
        <v>0</v>
      </c>
      <c r="K499" s="496"/>
      <c r="L499" s="496"/>
      <c r="M499" s="496"/>
      <c r="N499" s="496"/>
      <c r="O499" s="496"/>
      <c r="P499" s="496"/>
      <c r="Q499" s="571"/>
      <c r="R499" s="571"/>
      <c r="S499" s="571"/>
      <c r="T499" s="571"/>
      <c r="U499" s="571"/>
      <c r="V499" s="571"/>
      <c r="W499" s="571"/>
      <c r="X499" s="571"/>
      <c r="Y499" s="571"/>
      <c r="Z499" s="571"/>
    </row>
    <row r="500" spans="1:26" ht="19.5" hidden="1">
      <c r="A500" s="620">
        <v>4</v>
      </c>
      <c r="B500" s="621" t="s">
        <v>219</v>
      </c>
      <c r="C500" s="622"/>
      <c r="D500" s="623"/>
      <c r="E500" s="623"/>
      <c r="F500" s="623"/>
      <c r="G500" s="624"/>
      <c r="H500" s="625" t="s">
        <v>109</v>
      </c>
      <c r="I500" s="626"/>
      <c r="J500" s="626">
        <f t="shared" ref="J500:J501" si="214">J516</f>
        <v>0</v>
      </c>
      <c r="K500" s="627">
        <f t="shared" ref="K500:K501" si="215">IF(I500&gt;0,J500*100/I500,0)</f>
        <v>0</v>
      </c>
      <c r="L500" s="628"/>
      <c r="M500" s="628"/>
      <c r="N500" s="628"/>
      <c r="O500" s="628"/>
      <c r="P500" s="628"/>
      <c r="Q500" s="597"/>
      <c r="R500" s="597"/>
      <c r="S500" s="597"/>
      <c r="T500" s="597"/>
      <c r="U500" s="597"/>
      <c r="V500" s="597"/>
      <c r="W500" s="597"/>
      <c r="X500" s="597"/>
      <c r="Y500" s="597"/>
      <c r="Z500" s="597"/>
    </row>
    <row r="501" spans="1:26" ht="19.5" hidden="1">
      <c r="A501" s="629"/>
      <c r="B501" s="631" t="s">
        <v>220</v>
      </c>
      <c r="C501" s="631"/>
      <c r="D501" s="632"/>
      <c r="E501" s="632"/>
      <c r="F501" s="632"/>
      <c r="G501" s="633"/>
      <c r="H501" s="634" t="s">
        <v>35</v>
      </c>
      <c r="I501" s="635"/>
      <c r="J501" s="635">
        <f t="shared" si="214"/>
        <v>0</v>
      </c>
      <c r="K501" s="636">
        <f t="shared" si="215"/>
        <v>0</v>
      </c>
      <c r="L501" s="637"/>
      <c r="M501" s="637"/>
      <c r="N501" s="637"/>
      <c r="O501" s="637"/>
      <c r="P501" s="637"/>
      <c r="Q501" s="597"/>
      <c r="R501" s="597"/>
      <c r="S501" s="597"/>
      <c r="T501" s="597"/>
      <c r="U501" s="597"/>
      <c r="V501" s="597"/>
      <c r="W501" s="597"/>
      <c r="X501" s="597"/>
      <c r="Y501" s="597"/>
      <c r="Z501" s="597"/>
    </row>
    <row r="502" spans="1:26" ht="19.5" hidden="1">
      <c r="A502" s="592"/>
      <c r="B502" s="750"/>
      <c r="C502" s="750" t="s">
        <v>16</v>
      </c>
      <c r="D502" s="864" t="s">
        <v>17</v>
      </c>
      <c r="E502" s="857"/>
      <c r="F502" s="857"/>
      <c r="G502" s="596"/>
      <c r="H502" s="639" t="s">
        <v>12</v>
      </c>
      <c r="I502" s="610"/>
      <c r="J502" s="610"/>
      <c r="K502" s="93"/>
      <c r="L502" s="640">
        <f t="shared" ref="L502:N502" si="216">L503+L504</f>
        <v>0</v>
      </c>
      <c r="M502" s="640">
        <f t="shared" si="216"/>
        <v>0</v>
      </c>
      <c r="N502" s="640">
        <f t="shared" si="216"/>
        <v>0</v>
      </c>
      <c r="O502" s="640">
        <f t="shared" ref="O502:O507" si="217">IF(L502&gt;0,N502*100/L502,0)</f>
        <v>0</v>
      </c>
      <c r="P502" s="640">
        <f t="shared" ref="P502:P507" si="218">IF(M502&gt;0,N502*100/M502,0)</f>
        <v>0</v>
      </c>
      <c r="Q502" s="597"/>
      <c r="R502" s="597"/>
      <c r="S502" s="597"/>
      <c r="T502" s="597"/>
      <c r="U502" s="597"/>
      <c r="V502" s="597"/>
      <c r="W502" s="597"/>
      <c r="X502" s="597"/>
      <c r="Y502" s="597"/>
      <c r="Z502" s="597"/>
    </row>
    <row r="503" spans="1:26" ht="18.75" hidden="1">
      <c r="A503" s="592"/>
      <c r="B503" s="750"/>
      <c r="C503" s="750"/>
      <c r="D503" s="711"/>
      <c r="E503" s="750" t="s">
        <v>184</v>
      </c>
      <c r="F503" s="750"/>
      <c r="G503" s="596"/>
      <c r="H503" s="165" t="s">
        <v>12</v>
      </c>
      <c r="I503" s="610"/>
      <c r="J503" s="610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597"/>
      <c r="R503" s="597"/>
      <c r="S503" s="597"/>
      <c r="T503" s="597"/>
      <c r="U503" s="597"/>
      <c r="V503" s="597"/>
      <c r="W503" s="597"/>
      <c r="X503" s="597"/>
      <c r="Y503" s="597"/>
      <c r="Z503" s="597"/>
    </row>
    <row r="504" spans="1:26" ht="18.75" hidden="1">
      <c r="A504" s="592"/>
      <c r="B504" s="600"/>
      <c r="C504" s="750"/>
      <c r="D504" s="711"/>
      <c r="E504" s="750" t="s">
        <v>185</v>
      </c>
      <c r="F504" s="750"/>
      <c r="G504" s="596"/>
      <c r="H504" s="165" t="s">
        <v>12</v>
      </c>
      <c r="I504" s="610"/>
      <c r="J504" s="610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597"/>
      <c r="R504" s="597"/>
      <c r="S504" s="597"/>
      <c r="T504" s="597"/>
      <c r="U504" s="597"/>
      <c r="V504" s="597"/>
      <c r="W504" s="597"/>
      <c r="X504" s="597"/>
      <c r="Y504" s="597"/>
      <c r="Z504" s="597"/>
    </row>
    <row r="505" spans="1:26" ht="18.75" hidden="1">
      <c r="A505" s="592"/>
      <c r="B505" s="600"/>
      <c r="C505" s="750"/>
      <c r="D505" s="641" t="s">
        <v>20</v>
      </c>
      <c r="E505" s="750"/>
      <c r="F505" s="750"/>
      <c r="G505" s="596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597"/>
      <c r="R505" s="597"/>
      <c r="S505" s="597"/>
      <c r="T505" s="597"/>
      <c r="U505" s="597"/>
      <c r="V505" s="597"/>
      <c r="W505" s="597"/>
      <c r="X505" s="597"/>
      <c r="Y505" s="597"/>
      <c r="Z505" s="597"/>
    </row>
    <row r="506" spans="1:26" ht="18.75" hidden="1">
      <c r="A506" s="592"/>
      <c r="B506" s="600"/>
      <c r="C506" s="750"/>
      <c r="D506" s="711"/>
      <c r="E506" s="750" t="s">
        <v>184</v>
      </c>
      <c r="F506" s="750"/>
      <c r="G506" s="596"/>
      <c r="H506" s="165" t="s">
        <v>12</v>
      </c>
      <c r="I506" s="610"/>
      <c r="J506" s="610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597"/>
      <c r="R506" s="597"/>
      <c r="S506" s="597"/>
      <c r="T506" s="597"/>
      <c r="U506" s="597"/>
      <c r="V506" s="597"/>
      <c r="W506" s="597"/>
      <c r="X506" s="597"/>
      <c r="Y506" s="597"/>
      <c r="Z506" s="597"/>
    </row>
    <row r="507" spans="1:26" ht="18.75" hidden="1">
      <c r="A507" s="592"/>
      <c r="B507" s="600"/>
      <c r="C507" s="750"/>
      <c r="D507" s="711"/>
      <c r="E507" s="750" t="s">
        <v>185</v>
      </c>
      <c r="F507" s="750"/>
      <c r="G507" s="596"/>
      <c r="H507" s="165" t="s">
        <v>12</v>
      </c>
      <c r="I507" s="610"/>
      <c r="J507" s="610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597"/>
      <c r="R507" s="597"/>
      <c r="S507" s="597"/>
      <c r="T507" s="597"/>
      <c r="U507" s="597"/>
      <c r="V507" s="597"/>
      <c r="W507" s="597"/>
      <c r="X507" s="597"/>
      <c r="Y507" s="597"/>
      <c r="Z507" s="597"/>
    </row>
    <row r="508" spans="1:26" ht="18.75" hidden="1">
      <c r="A508" s="642"/>
      <c r="B508" s="600"/>
      <c r="C508" s="750"/>
      <c r="D508" s="750"/>
      <c r="E508" s="750"/>
      <c r="F508" s="750" t="s">
        <v>186</v>
      </c>
      <c r="G508" s="596"/>
      <c r="H508" s="165" t="s">
        <v>12</v>
      </c>
      <c r="I508" s="610"/>
      <c r="J508" s="610"/>
      <c r="K508" s="93"/>
      <c r="L508" s="93"/>
      <c r="M508" s="93"/>
      <c r="N508" s="93">
        <v>0</v>
      </c>
      <c r="O508" s="93"/>
      <c r="P508" s="93"/>
      <c r="Q508" s="597"/>
      <c r="R508" s="597"/>
      <c r="S508" s="597"/>
      <c r="T508" s="597"/>
      <c r="U508" s="597"/>
      <c r="V508" s="597"/>
      <c r="W508" s="597"/>
      <c r="X508" s="597"/>
      <c r="Y508" s="597"/>
      <c r="Z508" s="597"/>
    </row>
    <row r="509" spans="1:26" ht="18.75" hidden="1">
      <c r="A509" s="642"/>
      <c r="B509" s="600"/>
      <c r="C509" s="750"/>
      <c r="D509" s="750"/>
      <c r="E509" s="750"/>
      <c r="F509" s="750" t="s">
        <v>187</v>
      </c>
      <c r="G509" s="596"/>
      <c r="H509" s="165" t="s">
        <v>12</v>
      </c>
      <c r="I509" s="610"/>
      <c r="J509" s="610"/>
      <c r="K509" s="93"/>
      <c r="L509" s="93"/>
      <c r="M509" s="93"/>
      <c r="N509" s="93">
        <v>0</v>
      </c>
      <c r="O509" s="93"/>
      <c r="P509" s="93"/>
      <c r="Q509" s="597"/>
      <c r="R509" s="597"/>
      <c r="S509" s="597"/>
      <c r="T509" s="597"/>
      <c r="U509" s="597"/>
      <c r="V509" s="597"/>
      <c r="W509" s="597"/>
      <c r="X509" s="597"/>
      <c r="Y509" s="597"/>
      <c r="Z509" s="597"/>
    </row>
    <row r="510" spans="1:26" ht="18.75" hidden="1">
      <c r="A510" s="642"/>
      <c r="B510" s="600"/>
      <c r="C510" s="600"/>
      <c r="D510" s="600"/>
      <c r="E510" s="750"/>
      <c r="F510" s="750" t="s">
        <v>188</v>
      </c>
      <c r="G510" s="596"/>
      <c r="H510" s="165" t="s">
        <v>12</v>
      </c>
      <c r="I510" s="610"/>
      <c r="J510" s="610"/>
      <c r="K510" s="93"/>
      <c r="L510" s="93"/>
      <c r="M510" s="93"/>
      <c r="N510" s="93">
        <v>0</v>
      </c>
      <c r="O510" s="93"/>
      <c r="P510" s="93"/>
      <c r="Q510" s="597"/>
      <c r="R510" s="597"/>
      <c r="S510" s="597"/>
      <c r="T510" s="597"/>
      <c r="U510" s="597"/>
      <c r="V510" s="597"/>
      <c r="W510" s="597"/>
      <c r="X510" s="597"/>
      <c r="Y510" s="597"/>
      <c r="Z510" s="597"/>
    </row>
    <row r="511" spans="1:26" ht="18.75" hidden="1">
      <c r="A511" s="642"/>
      <c r="B511" s="600"/>
      <c r="C511" s="600"/>
      <c r="D511" s="600"/>
      <c r="E511" s="750"/>
      <c r="F511" s="750" t="s">
        <v>189</v>
      </c>
      <c r="G511" s="596"/>
      <c r="H511" s="165" t="s">
        <v>12</v>
      </c>
      <c r="I511" s="610"/>
      <c r="J511" s="610"/>
      <c r="K511" s="93"/>
      <c r="L511" s="93"/>
      <c r="M511" s="93"/>
      <c r="N511" s="93">
        <v>0</v>
      </c>
      <c r="O511" s="93"/>
      <c r="P511" s="93"/>
      <c r="Q511" s="597"/>
      <c r="R511" s="597"/>
      <c r="S511" s="597"/>
      <c r="T511" s="597"/>
      <c r="U511" s="597"/>
      <c r="V511" s="597"/>
      <c r="W511" s="597"/>
      <c r="X511" s="597"/>
      <c r="Y511" s="597"/>
      <c r="Z511" s="597"/>
    </row>
    <row r="512" spans="1:26" ht="18.75" hidden="1">
      <c r="A512" s="592"/>
      <c r="B512" s="600"/>
      <c r="C512" s="600"/>
      <c r="D512" s="641" t="s">
        <v>21</v>
      </c>
      <c r="E512" s="600"/>
      <c r="F512" s="750"/>
      <c r="G512" s="596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597"/>
      <c r="R512" s="597"/>
      <c r="S512" s="597"/>
      <c r="T512" s="597"/>
      <c r="U512" s="597"/>
      <c r="V512" s="597"/>
      <c r="W512" s="597"/>
      <c r="X512" s="597"/>
      <c r="Y512" s="597"/>
      <c r="Z512" s="597"/>
    </row>
    <row r="513" spans="1:26" ht="18.75" hidden="1">
      <c r="A513" s="592"/>
      <c r="B513" s="600"/>
      <c r="C513" s="600"/>
      <c r="D513" s="600"/>
      <c r="E513" s="600" t="s">
        <v>18</v>
      </c>
      <c r="F513" s="750"/>
      <c r="G513" s="596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597"/>
      <c r="R513" s="597"/>
      <c r="S513" s="597"/>
      <c r="T513" s="597"/>
      <c r="U513" s="597"/>
      <c r="V513" s="597"/>
      <c r="W513" s="597"/>
      <c r="X513" s="597"/>
      <c r="Y513" s="597"/>
      <c r="Z513" s="597"/>
    </row>
    <row r="514" spans="1:26" ht="18.75" hidden="1">
      <c r="A514" s="592"/>
      <c r="B514" s="600"/>
      <c r="C514" s="600"/>
      <c r="D514" s="750"/>
      <c r="E514" s="600" t="s">
        <v>19</v>
      </c>
      <c r="F514" s="750"/>
      <c r="G514" s="596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597"/>
      <c r="R514" s="597"/>
      <c r="S514" s="597"/>
      <c r="T514" s="597"/>
      <c r="U514" s="597"/>
      <c r="V514" s="597"/>
      <c r="W514" s="597"/>
      <c r="X514" s="597"/>
      <c r="Y514" s="597"/>
      <c r="Z514" s="597"/>
    </row>
    <row r="515" spans="1:26" ht="19.5" hidden="1">
      <c r="A515" s="607"/>
      <c r="B515" s="609"/>
      <c r="C515" s="600" t="s">
        <v>16</v>
      </c>
      <c r="D515" s="838" t="s">
        <v>38</v>
      </c>
      <c r="E515" s="644"/>
      <c r="F515" s="644"/>
      <c r="G515" s="645"/>
      <c r="H515" s="365"/>
      <c r="I515" s="166"/>
      <c r="J515" s="166"/>
      <c r="K515" s="167"/>
      <c r="L515" s="167"/>
      <c r="M515" s="167"/>
      <c r="N515" s="167"/>
      <c r="O515" s="167"/>
      <c r="P515" s="167"/>
      <c r="Q515" s="597"/>
      <c r="R515" s="597"/>
      <c r="S515" s="597"/>
      <c r="T515" s="597"/>
      <c r="U515" s="597"/>
      <c r="V515" s="597"/>
      <c r="W515" s="597"/>
      <c r="X515" s="597"/>
      <c r="Y515" s="597"/>
      <c r="Z515" s="597"/>
    </row>
    <row r="516" spans="1:26" ht="18.75" hidden="1">
      <c r="A516" s="607"/>
      <c r="B516" s="609"/>
      <c r="C516" s="609"/>
      <c r="D516" s="609" t="s">
        <v>221</v>
      </c>
      <c r="E516" s="711"/>
      <c r="F516" s="711"/>
      <c r="G516" s="365"/>
      <c r="H516" s="646" t="s">
        <v>109</v>
      </c>
      <c r="I516" s="610"/>
      <c r="J516" s="610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597"/>
      <c r="R516" s="597"/>
      <c r="S516" s="597"/>
      <c r="T516" s="597"/>
      <c r="U516" s="597"/>
      <c r="V516" s="597"/>
      <c r="W516" s="597"/>
      <c r="X516" s="597"/>
      <c r="Y516" s="597"/>
      <c r="Z516" s="597"/>
    </row>
    <row r="517" spans="1:26" ht="19.5" hidden="1">
      <c r="A517" s="607"/>
      <c r="B517" s="609"/>
      <c r="C517" s="609"/>
      <c r="D517" s="609" t="s">
        <v>222</v>
      </c>
      <c r="E517" s="711"/>
      <c r="F517" s="711"/>
      <c r="G517" s="365"/>
      <c r="H517" s="647" t="s">
        <v>35</v>
      </c>
      <c r="I517" s="648"/>
      <c r="J517" s="648">
        <f>J518+J519</f>
        <v>0</v>
      </c>
      <c r="K517" s="649">
        <f t="shared" si="224"/>
        <v>0</v>
      </c>
      <c r="L517" s="167"/>
      <c r="M517" s="167"/>
      <c r="N517" s="167"/>
      <c r="O517" s="167"/>
      <c r="P517" s="167"/>
      <c r="Q517" s="597"/>
      <c r="R517" s="597"/>
      <c r="S517" s="597"/>
      <c r="T517" s="597"/>
      <c r="U517" s="597"/>
      <c r="V517" s="597"/>
      <c r="W517" s="597"/>
      <c r="X517" s="597"/>
      <c r="Y517" s="597"/>
      <c r="Z517" s="597"/>
    </row>
    <row r="518" spans="1:26" ht="18.75" hidden="1">
      <c r="A518" s="607"/>
      <c r="B518" s="609"/>
      <c r="C518" s="609"/>
      <c r="D518" s="609"/>
      <c r="E518" s="609" t="s">
        <v>223</v>
      </c>
      <c r="F518" s="711"/>
      <c r="G518" s="365"/>
      <c r="H518" s="369" t="s">
        <v>35</v>
      </c>
      <c r="I518" s="610"/>
      <c r="J518" s="610"/>
      <c r="K518" s="167"/>
      <c r="L518" s="167"/>
      <c r="M518" s="167"/>
      <c r="N518" s="167"/>
      <c r="O518" s="167"/>
      <c r="P518" s="167"/>
      <c r="Q518" s="597"/>
      <c r="R518" s="597"/>
      <c r="S518" s="597"/>
      <c r="T518" s="597"/>
      <c r="U518" s="597"/>
      <c r="V518" s="597"/>
      <c r="W518" s="597"/>
      <c r="X518" s="597"/>
      <c r="Y518" s="597"/>
      <c r="Z518" s="597"/>
    </row>
    <row r="519" spans="1:26" ht="18.75" hidden="1">
      <c r="A519" s="607"/>
      <c r="B519" s="609"/>
      <c r="C519" s="609"/>
      <c r="D519" s="609"/>
      <c r="E519" s="609" t="s">
        <v>224</v>
      </c>
      <c r="F519" s="711"/>
      <c r="G519" s="365"/>
      <c r="H519" s="646" t="s">
        <v>35</v>
      </c>
      <c r="I519" s="610"/>
      <c r="J519" s="610"/>
      <c r="K519" s="167"/>
      <c r="L519" s="167"/>
      <c r="M519" s="167"/>
      <c r="N519" s="167"/>
      <c r="O519" s="167"/>
      <c r="P519" s="167"/>
      <c r="Q519" s="597"/>
      <c r="R519" s="597"/>
      <c r="S519" s="597"/>
      <c r="T519" s="597"/>
      <c r="U519" s="597"/>
      <c r="V519" s="597"/>
      <c r="W519" s="597"/>
      <c r="X519" s="597"/>
      <c r="Y519" s="597"/>
      <c r="Z519" s="597"/>
    </row>
    <row r="520" spans="1:26" ht="19.5">
      <c r="A520" s="650" t="s">
        <v>137</v>
      </c>
      <c r="B520" s="651"/>
      <c r="C520" s="651"/>
      <c r="D520" s="652"/>
      <c r="E520" s="652"/>
      <c r="F520" s="652"/>
      <c r="G520" s="653"/>
      <c r="H520" s="654"/>
      <c r="I520" s="655"/>
      <c r="J520" s="655"/>
      <c r="K520" s="656"/>
      <c r="L520" s="656"/>
      <c r="M520" s="656"/>
      <c r="N520" s="656"/>
      <c r="O520" s="656"/>
      <c r="P520" s="656"/>
    </row>
    <row r="521" spans="1:26" ht="19.5" hidden="1">
      <c r="A521" s="657">
        <v>5</v>
      </c>
      <c r="B521" s="658" t="s">
        <v>225</v>
      </c>
      <c r="C521" s="659"/>
      <c r="D521" s="660"/>
      <c r="E521" s="660"/>
      <c r="F521" s="660"/>
      <c r="G521" s="660"/>
      <c r="H521" s="661"/>
      <c r="I521" s="662"/>
      <c r="J521" s="662"/>
      <c r="K521" s="663"/>
      <c r="L521" s="663"/>
      <c r="M521" s="663"/>
      <c r="N521" s="663"/>
      <c r="O521" s="663"/>
      <c r="P521" s="663"/>
      <c r="Q521" s="571"/>
      <c r="R521" s="571"/>
      <c r="S521" s="571"/>
      <c r="T521" s="571"/>
      <c r="U521" s="571"/>
      <c r="V521" s="571"/>
      <c r="W521" s="571"/>
      <c r="X521" s="571"/>
      <c r="Y521" s="571"/>
      <c r="Z521" s="571"/>
    </row>
    <row r="522" spans="1:26" ht="19.5" hidden="1">
      <c r="A522" s="664"/>
      <c r="B522" s="665" t="s">
        <v>226</v>
      </c>
      <c r="C522" s="666"/>
      <c r="D522" s="666"/>
      <c r="E522" s="666"/>
      <c r="F522" s="666"/>
      <c r="G522" s="667"/>
      <c r="H522" s="668" t="s">
        <v>35</v>
      </c>
      <c r="I522" s="699">
        <f t="shared" ref="I522:J522" ca="1" si="225">I537</f>
        <v>0</v>
      </c>
      <c r="J522" s="699">
        <f t="shared" ca="1" si="225"/>
        <v>0</v>
      </c>
      <c r="K522" s="670">
        <f ca="1">IF(I522&gt;0,J522*100/I522,0)</f>
        <v>0</v>
      </c>
      <c r="L522" s="671"/>
      <c r="M522" s="671"/>
      <c r="N522" s="671"/>
      <c r="O522" s="671"/>
      <c r="P522" s="671"/>
      <c r="Q522" s="571"/>
      <c r="R522" s="571"/>
      <c r="S522" s="571"/>
      <c r="T522" s="571"/>
      <c r="U522" s="571"/>
      <c r="V522" s="571"/>
      <c r="W522" s="571"/>
      <c r="X522" s="571"/>
      <c r="Y522" s="571"/>
      <c r="Z522" s="571"/>
    </row>
    <row r="523" spans="1:26" ht="19.5" hidden="1">
      <c r="A523" s="590"/>
      <c r="B523" s="754"/>
      <c r="C523" s="754" t="s">
        <v>16</v>
      </c>
      <c r="D523" s="863" t="s">
        <v>17</v>
      </c>
      <c r="E523" s="857"/>
      <c r="F523" s="857"/>
      <c r="G523" s="189"/>
      <c r="H523" s="591" t="s">
        <v>12</v>
      </c>
      <c r="I523" s="269"/>
      <c r="J523" s="269"/>
      <c r="K523" s="496"/>
      <c r="L523" s="195">
        <f t="shared" ref="L523:N523" ca="1" si="226">L524+L525</f>
        <v>0</v>
      </c>
      <c r="M523" s="195">
        <f t="shared" si="226"/>
        <v>0</v>
      </c>
      <c r="N523" s="195">
        <f t="shared" si="226"/>
        <v>0</v>
      </c>
      <c r="O523" s="195">
        <f t="shared" ref="O523:O528" ca="1" si="227">IF(L523&gt;0,N523*100/L523,0)</f>
        <v>0</v>
      </c>
      <c r="P523" s="195">
        <f t="shared" ref="P523:P528" si="228">IF(M523&gt;0,N523*100/M523,0)</f>
        <v>0</v>
      </c>
      <c r="Q523" s="571"/>
      <c r="R523" s="571"/>
      <c r="S523" s="571"/>
      <c r="T523" s="571"/>
      <c r="U523" s="571"/>
      <c r="V523" s="571"/>
      <c r="W523" s="571"/>
      <c r="X523" s="571"/>
      <c r="Y523" s="571"/>
      <c r="Z523" s="571"/>
    </row>
    <row r="524" spans="1:26" ht="18.75" hidden="1">
      <c r="A524" s="592"/>
      <c r="B524" s="750"/>
      <c r="C524" s="750"/>
      <c r="D524" s="711"/>
      <c r="E524" s="750" t="s">
        <v>184</v>
      </c>
      <c r="F524" s="750"/>
      <c r="G524" s="596"/>
      <c r="H524" s="165" t="s">
        <v>12</v>
      </c>
      <c r="I524" s="610"/>
      <c r="J524" s="610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597"/>
      <c r="R524" s="597"/>
      <c r="S524" s="597"/>
      <c r="T524" s="597"/>
      <c r="U524" s="597"/>
      <c r="V524" s="597"/>
      <c r="W524" s="597"/>
      <c r="X524" s="597"/>
      <c r="Y524" s="597"/>
      <c r="Z524" s="597"/>
    </row>
    <row r="525" spans="1:26" ht="18.75" hidden="1">
      <c r="A525" s="592"/>
      <c r="B525" s="600"/>
      <c r="C525" s="750"/>
      <c r="D525" s="711"/>
      <c r="E525" s="750" t="s">
        <v>185</v>
      </c>
      <c r="F525" s="750"/>
      <c r="G525" s="596"/>
      <c r="H525" s="165" t="s">
        <v>12</v>
      </c>
      <c r="I525" s="610"/>
      <c r="J525" s="610"/>
      <c r="K525" s="93"/>
      <c r="L525" s="93">
        <f t="shared" ca="1" si="229"/>
        <v>0</v>
      </c>
      <c r="M525" s="93">
        <f t="shared" si="229"/>
        <v>0</v>
      </c>
      <c r="N525" s="93">
        <f t="shared" si="229"/>
        <v>0</v>
      </c>
      <c r="O525" s="93">
        <f t="shared" ca="1" si="227"/>
        <v>0</v>
      </c>
      <c r="P525" s="93">
        <f t="shared" si="228"/>
        <v>0</v>
      </c>
      <c r="Q525" s="597"/>
      <c r="R525" s="597"/>
      <c r="S525" s="597"/>
      <c r="T525" s="597"/>
      <c r="U525" s="597"/>
      <c r="V525" s="597"/>
      <c r="W525" s="597"/>
      <c r="X525" s="597"/>
      <c r="Y525" s="597"/>
      <c r="Z525" s="597"/>
    </row>
    <row r="526" spans="1:26" ht="18.75" hidden="1">
      <c r="A526" s="590"/>
      <c r="B526" s="568"/>
      <c r="C526" s="754"/>
      <c r="D526" s="599" t="s">
        <v>20</v>
      </c>
      <c r="E526" s="754"/>
      <c r="F526" s="754"/>
      <c r="G526" s="189"/>
      <c r="H526" s="161" t="s">
        <v>12</v>
      </c>
      <c r="I526" s="184"/>
      <c r="J526" s="184"/>
      <c r="K526" s="163"/>
      <c r="L526" s="496">
        <f t="shared" ref="L526:N526" ca="1" si="230">L527+L528</f>
        <v>0</v>
      </c>
      <c r="M526" s="496">
        <f t="shared" si="230"/>
        <v>0</v>
      </c>
      <c r="N526" s="496">
        <f t="shared" si="230"/>
        <v>0</v>
      </c>
      <c r="O526" s="496">
        <f t="shared" ca="1" si="227"/>
        <v>0</v>
      </c>
      <c r="P526" s="496">
        <f t="shared" si="228"/>
        <v>0</v>
      </c>
      <c r="Q526" s="571"/>
      <c r="R526" s="571"/>
      <c r="S526" s="571"/>
      <c r="T526" s="571"/>
      <c r="U526" s="571"/>
      <c r="V526" s="571"/>
      <c r="W526" s="571"/>
      <c r="X526" s="571"/>
      <c r="Y526" s="571"/>
      <c r="Z526" s="571"/>
    </row>
    <row r="527" spans="1:26" ht="18.75" hidden="1">
      <c r="A527" s="592"/>
      <c r="B527" s="600"/>
      <c r="C527" s="750"/>
      <c r="D527" s="711"/>
      <c r="E527" s="750" t="s">
        <v>184</v>
      </c>
      <c r="F527" s="750"/>
      <c r="G527" s="596"/>
      <c r="H527" s="165" t="s">
        <v>12</v>
      </c>
      <c r="I527" s="610"/>
      <c r="J527" s="610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597"/>
      <c r="R527" s="597"/>
      <c r="S527" s="597"/>
      <c r="T527" s="597"/>
      <c r="U527" s="597"/>
      <c r="V527" s="597"/>
      <c r="W527" s="597"/>
      <c r="X527" s="597"/>
      <c r="Y527" s="597"/>
      <c r="Z527" s="597"/>
    </row>
    <row r="528" spans="1:26" ht="18.75" hidden="1">
      <c r="A528" s="592"/>
      <c r="B528" s="600"/>
      <c r="C528" s="750"/>
      <c r="D528" s="711"/>
      <c r="E528" s="750" t="s">
        <v>185</v>
      </c>
      <c r="F528" s="750"/>
      <c r="G528" s="596"/>
      <c r="H528" s="165" t="s">
        <v>12</v>
      </c>
      <c r="I528" s="610"/>
      <c r="J528" s="610"/>
      <c r="K528" s="93"/>
      <c r="L528" s="93">
        <f ca="1">IFERROR(__xludf.DUMMYFUNCTION("IMPORTRANGE(""https://docs.google.com/spreadsheets/d/1QqKyyYR6Q21VydFLVH3TRQUabQu_ym0Zz7PgGX0-kHA/edit?usp=sharing"",""แผน!GQ67"")"),0)</f>
        <v>0</v>
      </c>
      <c r="M528" s="93">
        <v>0</v>
      </c>
      <c r="N528" s="93">
        <f>N529+N530+N531+N532</f>
        <v>0</v>
      </c>
      <c r="O528" s="93">
        <f t="shared" ca="1" si="227"/>
        <v>0</v>
      </c>
      <c r="P528" s="93">
        <f t="shared" si="228"/>
        <v>0</v>
      </c>
      <c r="Q528" s="597"/>
      <c r="R528" s="597"/>
      <c r="S528" s="597"/>
      <c r="T528" s="597"/>
      <c r="U528" s="597"/>
      <c r="V528" s="597"/>
      <c r="W528" s="597"/>
      <c r="X528" s="597"/>
      <c r="Y528" s="597"/>
      <c r="Z528" s="597"/>
    </row>
    <row r="529" spans="1:26" ht="18.75" hidden="1">
      <c r="A529" s="567"/>
      <c r="B529" s="568"/>
      <c r="C529" s="754"/>
      <c r="D529" s="754"/>
      <c r="E529" s="754"/>
      <c r="F529" s="754" t="s">
        <v>186</v>
      </c>
      <c r="G529" s="189"/>
      <c r="H529" s="161" t="s">
        <v>12</v>
      </c>
      <c r="I529" s="269"/>
      <c r="J529" s="269"/>
      <c r="K529" s="496"/>
      <c r="L529" s="496"/>
      <c r="M529" s="496"/>
      <c r="N529" s="817">
        <v>0</v>
      </c>
      <c r="O529" s="496"/>
      <c r="P529" s="496"/>
      <c r="Q529" s="571"/>
      <c r="R529" s="571"/>
      <c r="S529" s="571"/>
      <c r="T529" s="571"/>
      <c r="U529" s="571"/>
      <c r="V529" s="571"/>
      <c r="W529" s="571"/>
      <c r="X529" s="571"/>
      <c r="Y529" s="571"/>
      <c r="Z529" s="571"/>
    </row>
    <row r="530" spans="1:26" ht="18.75" hidden="1">
      <c r="A530" s="567"/>
      <c r="B530" s="568"/>
      <c r="C530" s="754"/>
      <c r="D530" s="754"/>
      <c r="E530" s="754"/>
      <c r="F530" s="754" t="s">
        <v>187</v>
      </c>
      <c r="G530" s="189"/>
      <c r="H530" s="161" t="s">
        <v>12</v>
      </c>
      <c r="I530" s="269"/>
      <c r="J530" s="269"/>
      <c r="K530" s="496"/>
      <c r="L530" s="496"/>
      <c r="M530" s="496"/>
      <c r="N530" s="817">
        <v>0</v>
      </c>
      <c r="O530" s="496"/>
      <c r="P530" s="496"/>
      <c r="Q530" s="571"/>
      <c r="R530" s="571"/>
      <c r="S530" s="571"/>
      <c r="T530" s="571"/>
      <c r="U530" s="571"/>
      <c r="V530" s="571"/>
      <c r="W530" s="571"/>
      <c r="X530" s="571"/>
      <c r="Y530" s="571"/>
      <c r="Z530" s="571"/>
    </row>
    <row r="531" spans="1:26" ht="18.75" hidden="1">
      <c r="A531" s="567"/>
      <c r="B531" s="568"/>
      <c r="C531" s="754"/>
      <c r="D531" s="754"/>
      <c r="E531" s="754"/>
      <c r="F531" s="754" t="s">
        <v>188</v>
      </c>
      <c r="G531" s="189"/>
      <c r="H531" s="161" t="s">
        <v>12</v>
      </c>
      <c r="I531" s="269"/>
      <c r="J531" s="269"/>
      <c r="K531" s="496"/>
      <c r="L531" s="496"/>
      <c r="M531" s="496"/>
      <c r="N531" s="817">
        <v>0</v>
      </c>
      <c r="O531" s="496"/>
      <c r="P531" s="496"/>
      <c r="Q531" s="571"/>
      <c r="R531" s="571"/>
      <c r="S531" s="571"/>
      <c r="T531" s="571"/>
      <c r="U531" s="571"/>
      <c r="V531" s="571"/>
      <c r="W531" s="571"/>
      <c r="X531" s="571"/>
      <c r="Y531" s="571"/>
      <c r="Z531" s="571"/>
    </row>
    <row r="532" spans="1:26" ht="18.75" hidden="1">
      <c r="A532" s="567"/>
      <c r="B532" s="568"/>
      <c r="C532" s="754"/>
      <c r="D532" s="754"/>
      <c r="E532" s="754"/>
      <c r="F532" s="754" t="s">
        <v>189</v>
      </c>
      <c r="G532" s="189"/>
      <c r="H532" s="161" t="s">
        <v>12</v>
      </c>
      <c r="I532" s="269"/>
      <c r="J532" s="269"/>
      <c r="K532" s="496"/>
      <c r="L532" s="496"/>
      <c r="M532" s="496"/>
      <c r="N532" s="817">
        <v>0</v>
      </c>
      <c r="O532" s="496"/>
      <c r="P532" s="496"/>
      <c r="Q532" s="571"/>
      <c r="R532" s="571"/>
      <c r="S532" s="571"/>
      <c r="T532" s="571"/>
      <c r="U532" s="571"/>
      <c r="V532" s="571"/>
      <c r="W532" s="571"/>
      <c r="X532" s="571"/>
      <c r="Y532" s="571"/>
      <c r="Z532" s="571"/>
    </row>
    <row r="533" spans="1:26" ht="18.75" hidden="1">
      <c r="A533" s="590"/>
      <c r="B533" s="568"/>
      <c r="C533" s="754"/>
      <c r="D533" s="599" t="s">
        <v>21</v>
      </c>
      <c r="E533" s="754"/>
      <c r="F533" s="754"/>
      <c r="G533" s="189"/>
      <c r="H533" s="168" t="s">
        <v>12</v>
      </c>
      <c r="I533" s="184"/>
      <c r="J533" s="184"/>
      <c r="K533" s="163"/>
      <c r="L533" s="496">
        <f t="shared" ref="L533:N533" ca="1" si="231">L534+L535</f>
        <v>0</v>
      </c>
      <c r="M533" s="496">
        <f t="shared" si="231"/>
        <v>0</v>
      </c>
      <c r="N533" s="496">
        <f t="shared" si="231"/>
        <v>0</v>
      </c>
      <c r="O533" s="496">
        <f t="shared" ref="O533:O535" ca="1" si="232">IF(L533&gt;0,N533*100/L533,0)</f>
        <v>0</v>
      </c>
      <c r="P533" s="496">
        <f t="shared" ref="P533:P535" si="233">IF(M533&gt;0,N533*100/M533,0)</f>
        <v>0</v>
      </c>
      <c r="Q533" s="571"/>
      <c r="R533" s="571"/>
      <c r="S533" s="571"/>
      <c r="T533" s="571"/>
      <c r="U533" s="571"/>
      <c r="V533" s="571"/>
      <c r="W533" s="571"/>
      <c r="X533" s="571"/>
      <c r="Y533" s="571"/>
      <c r="Z533" s="571"/>
    </row>
    <row r="534" spans="1:26" ht="18.75" hidden="1">
      <c r="A534" s="592"/>
      <c r="B534" s="600"/>
      <c r="C534" s="750"/>
      <c r="D534" s="750"/>
      <c r="E534" s="750" t="s">
        <v>18</v>
      </c>
      <c r="F534" s="750"/>
      <c r="G534" s="596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597"/>
      <c r="R534" s="597"/>
      <c r="S534" s="597"/>
      <c r="T534" s="597"/>
      <c r="U534" s="597"/>
      <c r="V534" s="597"/>
      <c r="W534" s="597"/>
      <c r="X534" s="597"/>
      <c r="Y534" s="597"/>
      <c r="Z534" s="597"/>
    </row>
    <row r="535" spans="1:26" ht="18.75" hidden="1">
      <c r="A535" s="592"/>
      <c r="B535" s="600"/>
      <c r="C535" s="750"/>
      <c r="D535" s="750"/>
      <c r="E535" s="750" t="s">
        <v>19</v>
      </c>
      <c r="F535" s="750"/>
      <c r="G535" s="596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IFERROR(__xludf.DUMMYFUNCTION("IMPORTRANGE(""https://docs.google.com/spreadsheets/d/1QqKyyYR6Q21VydFLVH3TRQUabQu_ym0Zz7PgGX0-kHA/edit?usp=sharing"",""แผน!GT67"")"),0)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597"/>
      <c r="R535" s="597"/>
      <c r="S535" s="597"/>
      <c r="T535" s="597"/>
      <c r="U535" s="597"/>
      <c r="V535" s="597"/>
      <c r="W535" s="597"/>
      <c r="X535" s="597"/>
      <c r="Y535" s="597"/>
      <c r="Z535" s="597"/>
    </row>
    <row r="536" spans="1:26" ht="19.5" hidden="1">
      <c r="A536" s="601"/>
      <c r="B536" s="611"/>
      <c r="C536" s="754" t="s">
        <v>16</v>
      </c>
      <c r="D536" s="839" t="s">
        <v>38</v>
      </c>
      <c r="E536" s="752"/>
      <c r="F536" s="752"/>
      <c r="G536" s="606"/>
      <c r="H536" s="753"/>
      <c r="I536" s="184"/>
      <c r="J536" s="184"/>
      <c r="K536" s="163"/>
      <c r="L536" s="163"/>
      <c r="M536" s="163"/>
      <c r="N536" s="163"/>
      <c r="O536" s="163"/>
      <c r="P536" s="163"/>
      <c r="Q536" s="571"/>
      <c r="R536" s="571"/>
      <c r="S536" s="571"/>
      <c r="T536" s="571"/>
      <c r="U536" s="571"/>
      <c r="V536" s="571"/>
      <c r="W536" s="571"/>
      <c r="X536" s="571"/>
      <c r="Y536" s="571"/>
      <c r="Z536" s="571"/>
    </row>
    <row r="537" spans="1:26" ht="19.5" hidden="1">
      <c r="A537" s="567"/>
      <c r="B537" s="568"/>
      <c r="C537" s="754"/>
      <c r="D537" s="754" t="s">
        <v>227</v>
      </c>
      <c r="E537" s="754"/>
      <c r="F537" s="754"/>
      <c r="G537" s="189"/>
      <c r="H537" s="616" t="s">
        <v>35</v>
      </c>
      <c r="I537" s="674">
        <f ca="1">IFERROR(__xludf.DUMMYFUNCTION("IMPORTRANGE(""https://docs.google.com/spreadsheets/d/1QqKyyYR6Q21VydFLVH3TRQUabQu_ym0Zz7PgGX0-kHA/edit?usp=sharing"",""แผน!GU67"")"),0)</f>
        <v>0</v>
      </c>
      <c r="J537" s="674">
        <f ca="1">IF(AND(J538=I538,J539=I539,J540=I540,J541=I541),I537,0)</f>
        <v>0</v>
      </c>
      <c r="K537" s="496">
        <f t="shared" ref="K537:K543" ca="1" si="234">IF(I537&gt;0,J537*100/I537,0)</f>
        <v>0</v>
      </c>
      <c r="L537" s="496"/>
      <c r="M537" s="496"/>
      <c r="N537" s="496"/>
      <c r="O537" s="496"/>
      <c r="P537" s="496"/>
      <c r="Q537" s="675"/>
      <c r="R537" s="675"/>
      <c r="S537" s="675"/>
      <c r="T537" s="675"/>
      <c r="U537" s="675"/>
      <c r="V537" s="675"/>
      <c r="W537" s="675"/>
      <c r="X537" s="675"/>
      <c r="Y537" s="675"/>
      <c r="Z537" s="675"/>
    </row>
    <row r="538" spans="1:26" ht="18.75" hidden="1">
      <c r="A538" s="567"/>
      <c r="B538" s="568"/>
      <c r="C538" s="754"/>
      <c r="D538" s="754"/>
      <c r="E538" s="754" t="s">
        <v>228</v>
      </c>
      <c r="F538" s="754"/>
      <c r="G538" s="189"/>
      <c r="H538" s="616" t="s">
        <v>35</v>
      </c>
      <c r="I538" s="269">
        <f ca="1">IFERROR(__xludf.DUMMYFUNCTION("IMPORTRANGE(""https://docs.google.com/spreadsheets/d/1QqKyyYR6Q21VydFLVH3TRQUabQu_ym0Zz7PgGX0-kHA/edit?usp=sharing"",""แผน!GV67"")"),0)</f>
        <v>0</v>
      </c>
      <c r="J538" s="214">
        <v>0</v>
      </c>
      <c r="K538" s="496">
        <f t="shared" ca="1" si="234"/>
        <v>0</v>
      </c>
      <c r="L538" s="496"/>
      <c r="M538" s="496"/>
      <c r="N538" s="496"/>
      <c r="O538" s="496"/>
      <c r="P538" s="496"/>
      <c r="Q538" s="675"/>
      <c r="R538" s="675"/>
      <c r="S538" s="675"/>
      <c r="T538" s="675"/>
      <c r="U538" s="675"/>
      <c r="V538" s="675"/>
      <c r="W538" s="675"/>
      <c r="X538" s="675"/>
      <c r="Y538" s="675"/>
      <c r="Z538" s="675"/>
    </row>
    <row r="539" spans="1:26" ht="18.75" hidden="1">
      <c r="A539" s="567"/>
      <c r="B539" s="568"/>
      <c r="C539" s="754"/>
      <c r="D539" s="754"/>
      <c r="E539" s="754" t="s">
        <v>229</v>
      </c>
      <c r="F539" s="754"/>
      <c r="G539" s="189"/>
      <c r="H539" s="616" t="s">
        <v>35</v>
      </c>
      <c r="I539" s="269">
        <f ca="1">IFERROR(__xludf.DUMMYFUNCTION("IMPORTRANGE(""https://docs.google.com/spreadsheets/d/1QqKyyYR6Q21VydFLVH3TRQUabQu_ym0Zz7PgGX0-kHA/edit?usp=sharing"",""แผน!GW67"")"),0)</f>
        <v>0</v>
      </c>
      <c r="J539" s="214">
        <v>0</v>
      </c>
      <c r="K539" s="496">
        <f t="shared" ca="1" si="234"/>
        <v>0</v>
      </c>
      <c r="L539" s="496"/>
      <c r="M539" s="496"/>
      <c r="N539" s="496"/>
      <c r="O539" s="496"/>
      <c r="P539" s="496"/>
      <c r="Q539" s="675"/>
      <c r="R539" s="675"/>
      <c r="S539" s="675"/>
      <c r="T539" s="675"/>
      <c r="U539" s="675"/>
      <c r="V539" s="675"/>
      <c r="W539" s="675"/>
      <c r="X539" s="675"/>
      <c r="Y539" s="675"/>
      <c r="Z539" s="675"/>
    </row>
    <row r="540" spans="1:26" ht="18.75" hidden="1">
      <c r="A540" s="567"/>
      <c r="B540" s="568"/>
      <c r="C540" s="754"/>
      <c r="D540" s="754"/>
      <c r="E540" s="754" t="s">
        <v>230</v>
      </c>
      <c r="F540" s="754"/>
      <c r="G540" s="189"/>
      <c r="H540" s="616" t="s">
        <v>35</v>
      </c>
      <c r="I540" s="269">
        <f ca="1">IFERROR(__xludf.DUMMYFUNCTION("IMPORTRANGE(""https://docs.google.com/spreadsheets/d/1QqKyyYR6Q21VydFLVH3TRQUabQu_ym0Zz7PgGX0-kHA/edit?usp=sharing"",""แผน!GX67"")"),0)</f>
        <v>0</v>
      </c>
      <c r="J540" s="214">
        <v>0</v>
      </c>
      <c r="K540" s="496">
        <f t="shared" ca="1" si="234"/>
        <v>0</v>
      </c>
      <c r="L540" s="496"/>
      <c r="M540" s="496"/>
      <c r="N540" s="496"/>
      <c r="O540" s="496"/>
      <c r="P540" s="496"/>
      <c r="Q540" s="675"/>
      <c r="R540" s="675"/>
      <c r="S540" s="675"/>
      <c r="T540" s="675"/>
      <c r="U540" s="675"/>
      <c r="V540" s="675"/>
      <c r="W540" s="675"/>
      <c r="X540" s="675"/>
      <c r="Y540" s="675"/>
      <c r="Z540" s="675"/>
    </row>
    <row r="541" spans="1:26" ht="18.75" hidden="1">
      <c r="A541" s="567"/>
      <c r="B541" s="568"/>
      <c r="C541" s="754"/>
      <c r="D541" s="754"/>
      <c r="E541" s="760" t="s">
        <v>231</v>
      </c>
      <c r="F541" s="754"/>
      <c r="G541" s="189"/>
      <c r="H541" s="616" t="s">
        <v>35</v>
      </c>
      <c r="I541" s="269">
        <f ca="1">IFERROR(__xludf.DUMMYFUNCTION("IMPORTRANGE(""https://docs.google.com/spreadsheets/d/1QqKyyYR6Q21VydFLVH3TRQUabQu_ym0Zz7PgGX0-kHA/edit?usp=sharing"",""แผน!GY67"")"),0)</f>
        <v>0</v>
      </c>
      <c r="J541" s="214">
        <v>0</v>
      </c>
      <c r="K541" s="496">
        <f t="shared" ca="1" si="234"/>
        <v>0</v>
      </c>
      <c r="L541" s="496"/>
      <c r="M541" s="496"/>
      <c r="N541" s="496"/>
      <c r="O541" s="496"/>
      <c r="P541" s="496"/>
      <c r="Q541" s="675"/>
      <c r="R541" s="675"/>
      <c r="S541" s="675"/>
      <c r="T541" s="675"/>
      <c r="U541" s="675"/>
      <c r="V541" s="675"/>
      <c r="W541" s="675"/>
      <c r="X541" s="675"/>
      <c r="Y541" s="675"/>
      <c r="Z541" s="675"/>
    </row>
    <row r="542" spans="1:26" ht="18.75" hidden="1">
      <c r="A542" s="567"/>
      <c r="B542" s="568"/>
      <c r="C542" s="754"/>
      <c r="D542" s="754" t="s">
        <v>59</v>
      </c>
      <c r="E542" s="754"/>
      <c r="F542" s="754"/>
      <c r="G542" s="189"/>
      <c r="H542" s="616" t="s">
        <v>35</v>
      </c>
      <c r="I542" s="269">
        <f ca="1">IFERROR(__xludf.DUMMYFUNCTION("IMPORTRANGE(""https://docs.google.com/spreadsheets/d/1QqKyyYR6Q21VydFLVH3TRQUabQu_ym0Zz7PgGX0-kHA/edit?usp=sharing"",""แผน!GZ67"")"),0)</f>
        <v>0</v>
      </c>
      <c r="J542" s="214">
        <v>0</v>
      </c>
      <c r="K542" s="496">
        <f t="shared" ca="1" si="234"/>
        <v>0</v>
      </c>
      <c r="L542" s="496"/>
      <c r="M542" s="496"/>
      <c r="N542" s="496"/>
      <c r="O542" s="496"/>
      <c r="P542" s="496"/>
      <c r="Q542" s="675"/>
      <c r="R542" s="675"/>
      <c r="S542" s="675"/>
      <c r="T542" s="675"/>
      <c r="U542" s="675"/>
      <c r="V542" s="675"/>
      <c r="W542" s="675"/>
      <c r="X542" s="675"/>
      <c r="Y542" s="675"/>
      <c r="Z542" s="675"/>
    </row>
    <row r="543" spans="1:26" ht="19.5">
      <c r="A543" s="657">
        <v>6</v>
      </c>
      <c r="B543" s="678" t="s">
        <v>232</v>
      </c>
      <c r="C543" s="660"/>
      <c r="D543" s="660"/>
      <c r="E543" s="660"/>
      <c r="F543" s="660"/>
      <c r="G543" s="661"/>
      <c r="H543" s="679" t="s">
        <v>46</v>
      </c>
      <c r="I543" s="680">
        <f t="shared" ref="I543:J543" ca="1" si="235">I559</f>
        <v>0</v>
      </c>
      <c r="J543" s="680">
        <f t="shared" si="235"/>
        <v>0</v>
      </c>
      <c r="K543" s="681">
        <f t="shared" ca="1" si="234"/>
        <v>0</v>
      </c>
      <c r="L543" s="663"/>
      <c r="M543" s="663"/>
      <c r="N543" s="663"/>
      <c r="O543" s="663"/>
      <c r="P543" s="663"/>
      <c r="Q543" s="571"/>
      <c r="R543" s="571"/>
      <c r="S543" s="571"/>
      <c r="T543" s="571"/>
      <c r="U543" s="571"/>
      <c r="V543" s="571"/>
      <c r="W543" s="571"/>
      <c r="X543" s="571"/>
      <c r="Y543" s="571"/>
      <c r="Z543" s="571"/>
    </row>
    <row r="544" spans="1:26" ht="19.5">
      <c r="A544" s="682"/>
      <c r="B544" s="683"/>
      <c r="C544" s="683" t="s">
        <v>16</v>
      </c>
      <c r="D544" s="867" t="s">
        <v>17</v>
      </c>
      <c r="E544" s="862"/>
      <c r="F544" s="862"/>
      <c r="G544" s="684"/>
      <c r="H544" s="274" t="s">
        <v>12</v>
      </c>
      <c r="I544" s="419"/>
      <c r="J544" s="419"/>
      <c r="K544" s="154"/>
      <c r="L544" s="155">
        <f t="shared" ref="L544:N544" ca="1" si="236">L545+L546</f>
        <v>255500</v>
      </c>
      <c r="M544" s="155">
        <f t="shared" si="236"/>
        <v>0</v>
      </c>
      <c r="N544" s="155">
        <f t="shared" si="236"/>
        <v>60902.84</v>
      </c>
      <c r="O544" s="155">
        <f t="shared" ref="O544:O549" ca="1" si="237">IF(L544&gt;0,N544*100/L544,0)</f>
        <v>23.836727984344424</v>
      </c>
      <c r="P544" s="155">
        <f t="shared" ref="P544:P549" si="238">IF(M544&gt;0,N544*100/M544,0)</f>
        <v>0</v>
      </c>
      <c r="Q544" s="571"/>
      <c r="R544" s="571"/>
      <c r="S544" s="571"/>
      <c r="T544" s="571"/>
      <c r="U544" s="571"/>
      <c r="V544" s="571"/>
      <c r="W544" s="571"/>
      <c r="X544" s="571"/>
      <c r="Y544" s="571"/>
      <c r="Z544" s="571"/>
    </row>
    <row r="545" spans="1:26" ht="18.75" hidden="1">
      <c r="A545" s="592"/>
      <c r="B545" s="750"/>
      <c r="C545" s="750"/>
      <c r="D545" s="750"/>
      <c r="E545" s="750" t="s">
        <v>184</v>
      </c>
      <c r="F545" s="750"/>
      <c r="G545" s="596"/>
      <c r="H545" s="165" t="s">
        <v>12</v>
      </c>
      <c r="I545" s="610"/>
      <c r="J545" s="610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597"/>
      <c r="R545" s="597"/>
      <c r="S545" s="597"/>
      <c r="T545" s="597"/>
      <c r="U545" s="597"/>
      <c r="V545" s="597"/>
      <c r="W545" s="597"/>
      <c r="X545" s="597"/>
      <c r="Y545" s="597"/>
      <c r="Z545" s="597"/>
    </row>
    <row r="546" spans="1:26" ht="18.75" hidden="1">
      <c r="A546" s="592"/>
      <c r="B546" s="600"/>
      <c r="C546" s="750"/>
      <c r="D546" s="750"/>
      <c r="E546" s="750" t="s">
        <v>185</v>
      </c>
      <c r="F546" s="750"/>
      <c r="G546" s="596"/>
      <c r="H546" s="165" t="s">
        <v>12</v>
      </c>
      <c r="I546" s="610"/>
      <c r="J546" s="610"/>
      <c r="K546" s="93"/>
      <c r="L546" s="93">
        <f t="shared" ca="1" si="239"/>
        <v>255500</v>
      </c>
      <c r="M546" s="93">
        <f t="shared" si="240"/>
        <v>0</v>
      </c>
      <c r="N546" s="93">
        <f t="shared" si="240"/>
        <v>60902.84</v>
      </c>
      <c r="O546" s="93">
        <f t="shared" ca="1" si="237"/>
        <v>23.836727984344424</v>
      </c>
      <c r="P546" s="93">
        <f t="shared" si="238"/>
        <v>0</v>
      </c>
      <c r="Q546" s="597"/>
      <c r="R546" s="597"/>
      <c r="S546" s="597"/>
      <c r="T546" s="597"/>
      <c r="U546" s="597"/>
      <c r="V546" s="597"/>
      <c r="W546" s="597"/>
      <c r="X546" s="597"/>
      <c r="Y546" s="597"/>
      <c r="Z546" s="597"/>
    </row>
    <row r="547" spans="1:26" ht="18.75">
      <c r="A547" s="590"/>
      <c r="B547" s="568"/>
      <c r="C547" s="754"/>
      <c r="D547" s="599" t="s">
        <v>20</v>
      </c>
      <c r="E547" s="754"/>
      <c r="F547" s="754"/>
      <c r="G547" s="189"/>
      <c r="H547" s="161" t="s">
        <v>12</v>
      </c>
      <c r="I547" s="184"/>
      <c r="J547" s="184"/>
      <c r="K547" s="163"/>
      <c r="L547" s="496">
        <f t="shared" ref="L547:N547" ca="1" si="241">L548+L549</f>
        <v>255500</v>
      </c>
      <c r="M547" s="496">
        <f t="shared" si="241"/>
        <v>0</v>
      </c>
      <c r="N547" s="496">
        <f t="shared" si="241"/>
        <v>60902.84</v>
      </c>
      <c r="O547" s="496">
        <f t="shared" ca="1" si="237"/>
        <v>23.836727984344424</v>
      </c>
      <c r="P547" s="496">
        <f t="shared" si="238"/>
        <v>0</v>
      </c>
      <c r="Q547" s="571"/>
      <c r="R547" s="571"/>
      <c r="S547" s="571"/>
      <c r="T547" s="571"/>
      <c r="U547" s="571"/>
      <c r="V547" s="571"/>
      <c r="W547" s="571"/>
      <c r="X547" s="571"/>
      <c r="Y547" s="571"/>
      <c r="Z547" s="571"/>
    </row>
    <row r="548" spans="1:26" ht="18.75" hidden="1">
      <c r="A548" s="592"/>
      <c r="B548" s="600"/>
      <c r="C548" s="750"/>
      <c r="D548" s="711"/>
      <c r="E548" s="750" t="s">
        <v>184</v>
      </c>
      <c r="F548" s="750"/>
      <c r="G548" s="596"/>
      <c r="H548" s="165" t="s">
        <v>12</v>
      </c>
      <c r="I548" s="610"/>
      <c r="J548" s="610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597"/>
      <c r="R548" s="597"/>
      <c r="S548" s="597"/>
      <c r="T548" s="597"/>
      <c r="U548" s="597"/>
      <c r="V548" s="597"/>
      <c r="W548" s="597"/>
      <c r="X548" s="597"/>
      <c r="Y548" s="597"/>
      <c r="Z548" s="597"/>
    </row>
    <row r="549" spans="1:26" ht="18.75" hidden="1">
      <c r="A549" s="592"/>
      <c r="B549" s="600"/>
      <c r="C549" s="750"/>
      <c r="D549" s="711"/>
      <c r="E549" s="750" t="s">
        <v>185</v>
      </c>
      <c r="F549" s="750"/>
      <c r="G549" s="596"/>
      <c r="H549" s="165" t="s">
        <v>12</v>
      </c>
      <c r="I549" s="610"/>
      <c r="J549" s="610"/>
      <c r="K549" s="93"/>
      <c r="L549" s="93">
        <f ca="1">IFERROR(__xludf.DUMMYFUNCTION("IMPORTRANGE(""https://docs.google.com/spreadsheets/d/1QqKyyYR6Q21VydFLVH3TRQUabQu_ym0Zz7PgGX0-kHA/edit?usp=sharing"",""แผน!HB67"")"),255500)</f>
        <v>255500</v>
      </c>
      <c r="M549" s="93">
        <v>0</v>
      </c>
      <c r="N549" s="93">
        <f>N550+N551+N552+N553+N554</f>
        <v>60902.84</v>
      </c>
      <c r="O549" s="93">
        <f t="shared" ca="1" si="237"/>
        <v>23.836727984344424</v>
      </c>
      <c r="P549" s="93">
        <f t="shared" si="238"/>
        <v>0</v>
      </c>
      <c r="Q549" s="597"/>
      <c r="R549" s="597"/>
      <c r="S549" s="597"/>
      <c r="T549" s="597"/>
      <c r="U549" s="597"/>
      <c r="V549" s="597"/>
      <c r="W549" s="597"/>
      <c r="X549" s="597"/>
      <c r="Y549" s="597"/>
      <c r="Z549" s="597"/>
    </row>
    <row r="550" spans="1:26" ht="18.75">
      <c r="A550" s="567"/>
      <c r="B550" s="568"/>
      <c r="C550" s="754"/>
      <c r="D550" s="754"/>
      <c r="E550" s="754"/>
      <c r="F550" s="754" t="s">
        <v>186</v>
      </c>
      <c r="G550" s="189"/>
      <c r="H550" s="161" t="s">
        <v>12</v>
      </c>
      <c r="I550" s="269"/>
      <c r="J550" s="269"/>
      <c r="K550" s="496"/>
      <c r="L550" s="496"/>
      <c r="M550" s="496"/>
      <c r="N550" s="817">
        <v>0</v>
      </c>
      <c r="O550" s="496"/>
      <c r="P550" s="496"/>
      <c r="Q550" s="571"/>
      <c r="R550" s="571"/>
      <c r="S550" s="571"/>
      <c r="T550" s="571"/>
      <c r="U550" s="571"/>
      <c r="V550" s="571"/>
      <c r="W550" s="571"/>
      <c r="X550" s="571"/>
      <c r="Y550" s="571"/>
      <c r="Z550" s="571"/>
    </row>
    <row r="551" spans="1:26" ht="18.75">
      <c r="A551" s="567"/>
      <c r="B551" s="568"/>
      <c r="C551" s="568"/>
      <c r="D551" s="568"/>
      <c r="E551" s="754"/>
      <c r="F551" s="754" t="s">
        <v>187</v>
      </c>
      <c r="G551" s="189"/>
      <c r="H551" s="161" t="s">
        <v>12</v>
      </c>
      <c r="I551" s="269"/>
      <c r="J551" s="269"/>
      <c r="K551" s="496"/>
      <c r="L551" s="496"/>
      <c r="M551" s="496"/>
      <c r="N551" s="817">
        <v>0</v>
      </c>
      <c r="O551" s="496"/>
      <c r="P551" s="496"/>
      <c r="Q551" s="571"/>
      <c r="R551" s="571"/>
      <c r="S551" s="571"/>
      <c r="T551" s="571"/>
      <c r="U551" s="571"/>
      <c r="V551" s="571"/>
      <c r="W551" s="571"/>
      <c r="X551" s="571"/>
      <c r="Y551" s="571"/>
      <c r="Z551" s="571"/>
    </row>
    <row r="552" spans="1:26" ht="18.75">
      <c r="A552" s="567"/>
      <c r="B552" s="568"/>
      <c r="C552" s="754"/>
      <c r="D552" s="754"/>
      <c r="E552" s="754"/>
      <c r="F552" s="754" t="s">
        <v>188</v>
      </c>
      <c r="G552" s="189"/>
      <c r="H552" s="161" t="s">
        <v>12</v>
      </c>
      <c r="I552" s="269"/>
      <c r="J552" s="269"/>
      <c r="K552" s="496"/>
      <c r="L552" s="496"/>
      <c r="M552" s="496"/>
      <c r="N552" s="817">
        <v>12133.24</v>
      </c>
      <c r="O552" s="496"/>
      <c r="P552" s="496"/>
      <c r="Q552" s="571"/>
      <c r="R552" s="571"/>
      <c r="S552" s="571"/>
      <c r="T552" s="571"/>
      <c r="U552" s="571"/>
      <c r="V552" s="571"/>
      <c r="W552" s="571"/>
      <c r="X552" s="571"/>
      <c r="Y552" s="571"/>
      <c r="Z552" s="571"/>
    </row>
    <row r="553" spans="1:26" ht="18.75">
      <c r="A553" s="567"/>
      <c r="B553" s="568"/>
      <c r="C553" s="568"/>
      <c r="D553" s="568"/>
      <c r="E553" s="754"/>
      <c r="F553" s="754" t="s">
        <v>189</v>
      </c>
      <c r="G553" s="189"/>
      <c r="H553" s="161" t="s">
        <v>12</v>
      </c>
      <c r="I553" s="269"/>
      <c r="J553" s="269"/>
      <c r="K553" s="496"/>
      <c r="L553" s="496"/>
      <c r="M553" s="496"/>
      <c r="N553" s="817">
        <v>48769.599999999999</v>
      </c>
      <c r="O553" s="496"/>
      <c r="P553" s="496"/>
      <c r="Q553" s="571"/>
      <c r="R553" s="571"/>
      <c r="S553" s="571"/>
      <c r="T553" s="571"/>
      <c r="U553" s="571"/>
      <c r="V553" s="571"/>
      <c r="W553" s="571"/>
      <c r="X553" s="571"/>
      <c r="Y553" s="571"/>
      <c r="Z553" s="571"/>
    </row>
    <row r="554" spans="1:26" ht="18.75">
      <c r="A554" s="567"/>
      <c r="B554" s="568"/>
      <c r="C554" s="568"/>
      <c r="D554" s="568"/>
      <c r="E554" s="754"/>
      <c r="F554" s="754" t="s">
        <v>233</v>
      </c>
      <c r="G554" s="189"/>
      <c r="H554" s="161" t="s">
        <v>12</v>
      </c>
      <c r="I554" s="269"/>
      <c r="J554" s="269"/>
      <c r="K554" s="496"/>
      <c r="L554" s="496"/>
      <c r="M554" s="496"/>
      <c r="N554" s="817">
        <v>0</v>
      </c>
      <c r="O554" s="496"/>
      <c r="P554" s="496"/>
      <c r="Q554" s="571"/>
      <c r="R554" s="571"/>
      <c r="S554" s="571"/>
      <c r="T554" s="571"/>
      <c r="U554" s="571"/>
      <c r="V554" s="571"/>
      <c r="W554" s="571"/>
      <c r="X554" s="571"/>
      <c r="Y554" s="571"/>
      <c r="Z554" s="571"/>
    </row>
    <row r="555" spans="1:26" ht="18.75">
      <c r="A555" s="590"/>
      <c r="B555" s="568"/>
      <c r="C555" s="568"/>
      <c r="D555" s="599" t="s">
        <v>21</v>
      </c>
      <c r="E555" s="754"/>
      <c r="F555" s="754"/>
      <c r="G555" s="189"/>
      <c r="H555" s="168" t="s">
        <v>12</v>
      </c>
      <c r="I555" s="184"/>
      <c r="J555" s="184"/>
      <c r="K555" s="163"/>
      <c r="L555" s="496">
        <f t="shared" ref="L555:N555" ca="1" si="242">L556+L557</f>
        <v>0</v>
      </c>
      <c r="M555" s="496">
        <f t="shared" si="242"/>
        <v>0</v>
      </c>
      <c r="N555" s="496">
        <f t="shared" si="242"/>
        <v>0</v>
      </c>
      <c r="O555" s="496">
        <f t="shared" ref="O555:O557" ca="1" si="243">IF(L555&gt;0,N555*100/L555,0)</f>
        <v>0</v>
      </c>
      <c r="P555" s="496">
        <f t="shared" ref="P555:P557" si="244">IF(M555&gt;0,N555*100/M555,0)</f>
        <v>0</v>
      </c>
      <c r="Q555" s="571"/>
      <c r="R555" s="571"/>
      <c r="S555" s="571"/>
      <c r="T555" s="571"/>
      <c r="U555" s="571"/>
      <c r="V555" s="571"/>
      <c r="W555" s="571"/>
      <c r="X555" s="571"/>
      <c r="Y555" s="571"/>
      <c r="Z555" s="571"/>
    </row>
    <row r="556" spans="1:26" ht="18.75" hidden="1">
      <c r="A556" s="592"/>
      <c r="B556" s="600"/>
      <c r="C556" s="600"/>
      <c r="D556" s="750"/>
      <c r="E556" s="750" t="s">
        <v>18</v>
      </c>
      <c r="F556" s="750"/>
      <c r="G556" s="596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597"/>
      <c r="R556" s="597"/>
      <c r="S556" s="597"/>
      <c r="T556" s="597"/>
      <c r="U556" s="597"/>
      <c r="V556" s="597"/>
      <c r="W556" s="597"/>
      <c r="X556" s="597"/>
      <c r="Y556" s="597"/>
      <c r="Z556" s="597"/>
    </row>
    <row r="557" spans="1:26" ht="18.75" hidden="1">
      <c r="A557" s="592"/>
      <c r="B557" s="600"/>
      <c r="C557" s="600"/>
      <c r="D557" s="750"/>
      <c r="E557" s="750" t="s">
        <v>19</v>
      </c>
      <c r="F557" s="750"/>
      <c r="G557" s="596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IFERROR(__xludf.DUMMYFUNCTION("IMPORTRANGE(""https://docs.google.com/spreadsheets/d/1QqKyyYR6Q21VydFLVH3TRQUabQu_ym0Zz7PgGX0-kHA/edit?usp=sharing"",""แผน!HF67"")"),0)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597"/>
      <c r="R557" s="597"/>
      <c r="S557" s="597"/>
      <c r="T557" s="597"/>
      <c r="U557" s="597"/>
      <c r="V557" s="597"/>
      <c r="W557" s="597"/>
      <c r="X557" s="597"/>
      <c r="Y557" s="597"/>
      <c r="Z557" s="597"/>
    </row>
    <row r="558" spans="1:26" ht="19.5">
      <c r="A558" s="601"/>
      <c r="B558" s="611"/>
      <c r="C558" s="568" t="s">
        <v>16</v>
      </c>
      <c r="D558" s="839" t="s">
        <v>38</v>
      </c>
      <c r="E558" s="752"/>
      <c r="F558" s="752"/>
      <c r="G558" s="606"/>
      <c r="H558" s="753"/>
      <c r="I558" s="184"/>
      <c r="J558" s="184"/>
      <c r="K558" s="163"/>
      <c r="L558" s="163"/>
      <c r="M558" s="163"/>
      <c r="N558" s="163"/>
      <c r="O558" s="163"/>
      <c r="P558" s="163"/>
      <c r="Q558" s="571"/>
      <c r="R558" s="571"/>
      <c r="S558" s="571"/>
      <c r="T558" s="571"/>
      <c r="U558" s="571"/>
      <c r="V558" s="571"/>
      <c r="W558" s="571"/>
      <c r="X558" s="571"/>
      <c r="Y558" s="571"/>
      <c r="Z558" s="571"/>
    </row>
    <row r="559" spans="1:26" ht="19.5" hidden="1">
      <c r="A559" s="685"/>
      <c r="B559" s="686" t="s">
        <v>234</v>
      </c>
      <c r="C559" s="687"/>
      <c r="D559" s="687"/>
      <c r="E559" s="666"/>
      <c r="F559" s="666"/>
      <c r="G559" s="667"/>
      <c r="H559" s="688" t="s">
        <v>46</v>
      </c>
      <c r="I559" s="699">
        <f t="shared" ref="I559:J559" ca="1" si="245">I576</f>
        <v>0</v>
      </c>
      <c r="J559" s="699">
        <f t="shared" si="245"/>
        <v>0</v>
      </c>
      <c r="K559" s="670">
        <f t="shared" ref="K559:K561" ca="1" si="246">IF(I559&gt;0,J559*100/I559,0)</f>
        <v>0</v>
      </c>
      <c r="L559" s="671"/>
      <c r="M559" s="671"/>
      <c r="N559" s="671"/>
      <c r="O559" s="671"/>
      <c r="P559" s="671"/>
      <c r="Q559" s="571"/>
      <c r="R559" s="571"/>
      <c r="S559" s="571"/>
      <c r="T559" s="571"/>
      <c r="U559" s="571"/>
      <c r="V559" s="571"/>
      <c r="W559" s="571"/>
      <c r="X559" s="571"/>
      <c r="Y559" s="571"/>
      <c r="Z559" s="571"/>
    </row>
    <row r="560" spans="1:26" ht="19.5" hidden="1">
      <c r="A560" s="601"/>
      <c r="B560" s="611"/>
      <c r="C560" s="618" t="s">
        <v>235</v>
      </c>
      <c r="D560" s="611"/>
      <c r="E560" s="619"/>
      <c r="F560" s="619"/>
      <c r="G560" s="753"/>
      <c r="H560" s="758" t="s">
        <v>46</v>
      </c>
      <c r="I560" s="193">
        <f ca="1">IFERROR(__xludf.DUMMYFUNCTION("IMPORTRANGE(""https://docs.google.com/spreadsheets/d/1QqKyyYR6Q21VydFLVH3TRQUabQu_ym0Zz7PgGX0-kHA/edit?usp=sharing"",""แผน!HH67"")"),0)</f>
        <v>0</v>
      </c>
      <c r="J560" s="193">
        <f t="shared" ref="J560:J561" si="247">J562+J564+J566</f>
        <v>0</v>
      </c>
      <c r="K560" s="410">
        <f t="shared" ca="1" si="246"/>
        <v>0</v>
      </c>
      <c r="L560" s="163"/>
      <c r="M560" s="163"/>
      <c r="N560" s="163"/>
      <c r="O560" s="163"/>
      <c r="P560" s="163"/>
      <c r="Q560" s="571"/>
      <c r="R560" s="571"/>
      <c r="S560" s="571"/>
      <c r="T560" s="571"/>
      <c r="U560" s="571"/>
      <c r="V560" s="571"/>
      <c r="W560" s="571"/>
      <c r="X560" s="571"/>
      <c r="Y560" s="571"/>
      <c r="Z560" s="571"/>
    </row>
    <row r="561" spans="1:26" ht="19.5" hidden="1">
      <c r="A561" s="601"/>
      <c r="B561" s="611"/>
      <c r="C561" s="611"/>
      <c r="D561" s="619"/>
      <c r="E561" s="619"/>
      <c r="F561" s="619"/>
      <c r="G561" s="753"/>
      <c r="H561" s="758" t="s">
        <v>34</v>
      </c>
      <c r="I561" s="193">
        <f ca="1">IFERROR(__xludf.DUMMYFUNCTION("IMPORTRANGE(""https://docs.google.com/spreadsheets/d/1QqKyyYR6Q21VydFLVH3TRQUabQu_ym0Zz7PgGX0-kHA/edit?usp=sharing"",""แผน!HG67"")"),0)</f>
        <v>0</v>
      </c>
      <c r="J561" s="193">
        <f t="shared" si="247"/>
        <v>0</v>
      </c>
      <c r="K561" s="410">
        <f t="shared" ca="1" si="246"/>
        <v>0</v>
      </c>
      <c r="L561" s="163"/>
      <c r="M561" s="163"/>
      <c r="N561" s="163"/>
      <c r="O561" s="163"/>
      <c r="P561" s="163"/>
      <c r="Q561" s="571"/>
      <c r="R561" s="571"/>
      <c r="S561" s="571"/>
      <c r="T561" s="571"/>
      <c r="U561" s="571"/>
      <c r="V561" s="571"/>
      <c r="W561" s="571"/>
      <c r="X561" s="571"/>
      <c r="Y561" s="571"/>
      <c r="Z561" s="571"/>
    </row>
    <row r="562" spans="1:26" ht="18.75" hidden="1">
      <c r="A562" s="601"/>
      <c r="B562" s="611"/>
      <c r="C562" s="611"/>
      <c r="D562" s="619" t="s">
        <v>236</v>
      </c>
      <c r="E562" s="619"/>
      <c r="F562" s="619"/>
      <c r="G562" s="753"/>
      <c r="H562" s="755" t="s">
        <v>46</v>
      </c>
      <c r="I562" s="184"/>
      <c r="J562" s="214">
        <v>0</v>
      </c>
      <c r="K562" s="163"/>
      <c r="L562" s="163"/>
      <c r="M562" s="163"/>
      <c r="N562" s="163"/>
      <c r="O562" s="163"/>
      <c r="P562" s="163"/>
      <c r="Q562" s="571"/>
      <c r="R562" s="571"/>
      <c r="S562" s="571"/>
      <c r="T562" s="571"/>
      <c r="U562" s="571"/>
      <c r="V562" s="571"/>
      <c r="W562" s="571"/>
      <c r="X562" s="571"/>
      <c r="Y562" s="571"/>
      <c r="Z562" s="571"/>
    </row>
    <row r="563" spans="1:26" ht="18.75" hidden="1">
      <c r="A563" s="601"/>
      <c r="B563" s="611"/>
      <c r="C563" s="611"/>
      <c r="D563" s="611"/>
      <c r="E563" s="619"/>
      <c r="F563" s="619"/>
      <c r="G563" s="753"/>
      <c r="H563" s="755" t="s">
        <v>34</v>
      </c>
      <c r="I563" s="184"/>
      <c r="J563" s="214">
        <v>0</v>
      </c>
      <c r="K563" s="163"/>
      <c r="L563" s="163"/>
      <c r="M563" s="163"/>
      <c r="N563" s="163"/>
      <c r="O563" s="163"/>
      <c r="P563" s="163"/>
      <c r="Q563" s="571"/>
      <c r="R563" s="571"/>
      <c r="S563" s="571"/>
      <c r="T563" s="571"/>
      <c r="U563" s="571"/>
      <c r="V563" s="571"/>
      <c r="W563" s="571"/>
      <c r="X563" s="571"/>
      <c r="Y563" s="571"/>
      <c r="Z563" s="571"/>
    </row>
    <row r="564" spans="1:26" ht="18.75" hidden="1">
      <c r="A564" s="601"/>
      <c r="B564" s="611"/>
      <c r="C564" s="611"/>
      <c r="D564" s="619" t="s">
        <v>237</v>
      </c>
      <c r="E564" s="619"/>
      <c r="F564" s="619"/>
      <c r="G564" s="753"/>
      <c r="H564" s="755" t="s">
        <v>46</v>
      </c>
      <c r="I564" s="184"/>
      <c r="J564" s="214">
        <v>0</v>
      </c>
      <c r="K564" s="163"/>
      <c r="L564" s="163"/>
      <c r="M564" s="163"/>
      <c r="N564" s="163"/>
      <c r="O564" s="163"/>
      <c r="P564" s="163"/>
      <c r="Q564" s="571"/>
      <c r="R564" s="571"/>
      <c r="S564" s="571"/>
      <c r="T564" s="571"/>
      <c r="U564" s="571"/>
      <c r="V564" s="571"/>
      <c r="W564" s="571"/>
      <c r="X564" s="571"/>
      <c r="Y564" s="571"/>
      <c r="Z564" s="571"/>
    </row>
    <row r="565" spans="1:26" ht="18.75" hidden="1">
      <c r="A565" s="601"/>
      <c r="B565" s="611"/>
      <c r="C565" s="611"/>
      <c r="D565" s="619"/>
      <c r="E565" s="619"/>
      <c r="F565" s="619"/>
      <c r="G565" s="753"/>
      <c r="H565" s="755" t="s">
        <v>34</v>
      </c>
      <c r="I565" s="184"/>
      <c r="J565" s="214">
        <v>0</v>
      </c>
      <c r="K565" s="163"/>
      <c r="L565" s="163"/>
      <c r="M565" s="163"/>
      <c r="N565" s="163"/>
      <c r="O565" s="163"/>
      <c r="P565" s="163"/>
      <c r="Q565" s="571"/>
      <c r="R565" s="571"/>
      <c r="S565" s="571"/>
      <c r="T565" s="571"/>
      <c r="U565" s="571"/>
      <c r="V565" s="571"/>
      <c r="W565" s="571"/>
      <c r="X565" s="571"/>
      <c r="Y565" s="571"/>
      <c r="Z565" s="571"/>
    </row>
    <row r="566" spans="1:26" ht="18.75" hidden="1">
      <c r="A566" s="601"/>
      <c r="B566" s="611"/>
      <c r="C566" s="611"/>
      <c r="D566" s="619" t="s">
        <v>238</v>
      </c>
      <c r="E566" s="619"/>
      <c r="F566" s="619"/>
      <c r="G566" s="753"/>
      <c r="H566" s="755" t="s">
        <v>46</v>
      </c>
      <c r="I566" s="184"/>
      <c r="J566" s="214">
        <v>0</v>
      </c>
      <c r="K566" s="163"/>
      <c r="L566" s="163"/>
      <c r="M566" s="163"/>
      <c r="N566" s="163"/>
      <c r="O566" s="163"/>
      <c r="P566" s="163"/>
      <c r="Q566" s="571"/>
      <c r="R566" s="571"/>
      <c r="S566" s="571"/>
      <c r="T566" s="571"/>
      <c r="U566" s="571"/>
      <c r="V566" s="571"/>
      <c r="W566" s="571"/>
      <c r="X566" s="571"/>
      <c r="Y566" s="571"/>
      <c r="Z566" s="571"/>
    </row>
    <row r="567" spans="1:26" ht="18.75" hidden="1">
      <c r="A567" s="601"/>
      <c r="B567" s="611"/>
      <c r="C567" s="611"/>
      <c r="D567" s="619"/>
      <c r="E567" s="619"/>
      <c r="F567" s="619"/>
      <c r="G567" s="753"/>
      <c r="H567" s="755" t="s">
        <v>34</v>
      </c>
      <c r="I567" s="184"/>
      <c r="J567" s="214">
        <v>0</v>
      </c>
      <c r="K567" s="163"/>
      <c r="L567" s="163"/>
      <c r="M567" s="163"/>
      <c r="N567" s="163"/>
      <c r="O567" s="163"/>
      <c r="P567" s="163"/>
      <c r="Q567" s="571"/>
      <c r="R567" s="571"/>
      <c r="S567" s="571"/>
      <c r="T567" s="571"/>
      <c r="U567" s="571"/>
      <c r="V567" s="571"/>
      <c r="W567" s="571"/>
      <c r="X567" s="571"/>
      <c r="Y567" s="571"/>
      <c r="Z567" s="571"/>
    </row>
    <row r="568" spans="1:26" ht="19.5" hidden="1">
      <c r="A568" s="601"/>
      <c r="B568" s="611"/>
      <c r="C568" s="618" t="s">
        <v>239</v>
      </c>
      <c r="D568" s="619"/>
      <c r="E568" s="619"/>
      <c r="F568" s="619"/>
      <c r="G568" s="753"/>
      <c r="H568" s="758" t="s">
        <v>46</v>
      </c>
      <c r="I568" s="193">
        <f ca="1">IFERROR(__xludf.DUMMYFUNCTION("IMPORTRANGE(""https://docs.google.com/spreadsheets/d/1QqKyyYR6Q21VydFLVH3TRQUabQu_ym0Zz7PgGX0-kHA/edit?usp=sharing"",""แผน!HH67"")"),0)</f>
        <v>0</v>
      </c>
      <c r="J568" s="674">
        <f t="shared" ref="J568:J569" si="248">J570+J572+J574</f>
        <v>0</v>
      </c>
      <c r="K568" s="410">
        <f t="shared" ref="K568:K569" ca="1" si="249">IF(I568&gt;0,J568*100/I568,0)</f>
        <v>0</v>
      </c>
      <c r="L568" s="163"/>
      <c r="M568" s="163"/>
      <c r="N568" s="163"/>
      <c r="O568" s="163"/>
      <c r="P568" s="163"/>
      <c r="Q568" s="571"/>
      <c r="R568" s="571"/>
      <c r="S568" s="571"/>
      <c r="T568" s="571"/>
      <c r="U568" s="571"/>
      <c r="V568" s="571"/>
      <c r="W568" s="571"/>
      <c r="X568" s="571"/>
      <c r="Y568" s="571"/>
      <c r="Z568" s="571"/>
    </row>
    <row r="569" spans="1:26" ht="19.5" hidden="1">
      <c r="A569" s="601"/>
      <c r="B569" s="611"/>
      <c r="C569" s="611"/>
      <c r="D569" s="611"/>
      <c r="E569" s="619"/>
      <c r="F569" s="619"/>
      <c r="G569" s="753"/>
      <c r="H569" s="758" t="s">
        <v>34</v>
      </c>
      <c r="I569" s="193">
        <f ca="1">IFERROR(__xludf.DUMMYFUNCTION("IMPORTRANGE(""https://docs.google.com/spreadsheets/d/1QqKyyYR6Q21VydFLVH3TRQUabQu_ym0Zz7PgGX0-kHA/edit?usp=sharing"",""แผน!HG67"")"),0)</f>
        <v>0</v>
      </c>
      <c r="J569" s="674">
        <f t="shared" si="248"/>
        <v>0</v>
      </c>
      <c r="K569" s="410">
        <f t="shared" ca="1" si="249"/>
        <v>0</v>
      </c>
      <c r="L569" s="163"/>
      <c r="M569" s="163"/>
      <c r="N569" s="163"/>
      <c r="O569" s="163"/>
      <c r="P569" s="163"/>
      <c r="Q569" s="571"/>
      <c r="R569" s="571"/>
      <c r="S569" s="571"/>
      <c r="T569" s="571"/>
      <c r="U569" s="571"/>
      <c r="V569" s="571"/>
      <c r="W569" s="571"/>
      <c r="X569" s="571"/>
      <c r="Y569" s="571"/>
      <c r="Z569" s="571"/>
    </row>
    <row r="570" spans="1:26" ht="18.75" hidden="1">
      <c r="A570" s="601"/>
      <c r="B570" s="611"/>
      <c r="C570" s="611"/>
      <c r="D570" s="619" t="s">
        <v>240</v>
      </c>
      <c r="E570" s="611"/>
      <c r="F570" s="619"/>
      <c r="G570" s="753"/>
      <c r="H570" s="755" t="s">
        <v>46</v>
      </c>
      <c r="I570" s="184"/>
      <c r="J570" s="214">
        <v>0</v>
      </c>
      <c r="K570" s="163"/>
      <c r="L570" s="163"/>
      <c r="M570" s="163"/>
      <c r="N570" s="163"/>
      <c r="O570" s="163"/>
      <c r="P570" s="163"/>
      <c r="Q570" s="571"/>
      <c r="R570" s="571"/>
      <c r="S570" s="571"/>
      <c r="T570" s="571"/>
      <c r="U570" s="571"/>
      <c r="V570" s="571"/>
      <c r="W570" s="571"/>
      <c r="X570" s="571"/>
      <c r="Y570" s="571"/>
      <c r="Z570" s="571"/>
    </row>
    <row r="571" spans="1:26" ht="18.75" hidden="1">
      <c r="A571" s="601"/>
      <c r="B571" s="611"/>
      <c r="C571" s="611"/>
      <c r="D571" s="611"/>
      <c r="E571" s="619"/>
      <c r="F571" s="619"/>
      <c r="G571" s="753"/>
      <c r="H571" s="755" t="s">
        <v>34</v>
      </c>
      <c r="I571" s="184"/>
      <c r="J571" s="214">
        <v>0</v>
      </c>
      <c r="K571" s="163"/>
      <c r="L571" s="163"/>
      <c r="M571" s="163"/>
      <c r="N571" s="163"/>
      <c r="O571" s="163"/>
      <c r="P571" s="163"/>
      <c r="Q571" s="571"/>
      <c r="R571" s="571"/>
      <c r="S571" s="571"/>
      <c r="T571" s="571"/>
      <c r="U571" s="571"/>
      <c r="V571" s="571"/>
      <c r="W571" s="571"/>
      <c r="X571" s="571"/>
      <c r="Y571" s="571"/>
      <c r="Z571" s="571"/>
    </row>
    <row r="572" spans="1:26" ht="18.75" hidden="1">
      <c r="A572" s="601"/>
      <c r="B572" s="611"/>
      <c r="C572" s="611"/>
      <c r="D572" s="619" t="s">
        <v>241</v>
      </c>
      <c r="E572" s="619"/>
      <c r="F572" s="619"/>
      <c r="G572" s="753"/>
      <c r="H572" s="755" t="s">
        <v>46</v>
      </c>
      <c r="I572" s="184"/>
      <c r="J572" s="214">
        <v>0</v>
      </c>
      <c r="K572" s="163"/>
      <c r="L572" s="163"/>
      <c r="M572" s="163"/>
      <c r="N572" s="163"/>
      <c r="O572" s="163"/>
      <c r="P572" s="163"/>
      <c r="Q572" s="571"/>
      <c r="R572" s="571"/>
      <c r="S572" s="571"/>
      <c r="T572" s="571"/>
      <c r="U572" s="571"/>
      <c r="V572" s="571"/>
      <c r="W572" s="571"/>
      <c r="X572" s="571"/>
      <c r="Y572" s="571"/>
      <c r="Z572" s="571"/>
    </row>
    <row r="573" spans="1:26" ht="18.75" hidden="1">
      <c r="A573" s="601"/>
      <c r="B573" s="611"/>
      <c r="C573" s="611"/>
      <c r="D573" s="619"/>
      <c r="E573" s="619"/>
      <c r="F573" s="619"/>
      <c r="G573" s="753"/>
      <c r="H573" s="755" t="s">
        <v>34</v>
      </c>
      <c r="I573" s="184"/>
      <c r="J573" s="214">
        <v>0</v>
      </c>
      <c r="K573" s="163"/>
      <c r="L573" s="163"/>
      <c r="M573" s="163"/>
      <c r="N573" s="163"/>
      <c r="O573" s="163"/>
      <c r="P573" s="163"/>
      <c r="Q573" s="571"/>
      <c r="R573" s="571"/>
      <c r="S573" s="571"/>
      <c r="T573" s="571"/>
      <c r="U573" s="571"/>
      <c r="V573" s="571"/>
      <c r="W573" s="571"/>
      <c r="X573" s="571"/>
      <c r="Y573" s="571"/>
      <c r="Z573" s="571"/>
    </row>
    <row r="574" spans="1:26" ht="18.75" hidden="1">
      <c r="A574" s="601"/>
      <c r="B574" s="611"/>
      <c r="C574" s="611"/>
      <c r="D574" s="619" t="s">
        <v>242</v>
      </c>
      <c r="E574" s="619"/>
      <c r="F574" s="619"/>
      <c r="G574" s="753"/>
      <c r="H574" s="755" t="s">
        <v>46</v>
      </c>
      <c r="I574" s="184"/>
      <c r="J574" s="214">
        <v>0</v>
      </c>
      <c r="K574" s="163"/>
      <c r="L574" s="163"/>
      <c r="M574" s="163"/>
      <c r="N574" s="163"/>
      <c r="O574" s="163"/>
      <c r="P574" s="163"/>
      <c r="Q574" s="571"/>
      <c r="R574" s="571"/>
      <c r="S574" s="571"/>
      <c r="T574" s="571"/>
      <c r="U574" s="571"/>
      <c r="V574" s="571"/>
      <c r="W574" s="571"/>
      <c r="X574" s="571"/>
      <c r="Y574" s="571"/>
      <c r="Z574" s="571"/>
    </row>
    <row r="575" spans="1:26" ht="18.75" hidden="1">
      <c r="A575" s="601"/>
      <c r="B575" s="611"/>
      <c r="C575" s="611"/>
      <c r="D575" s="611"/>
      <c r="E575" s="619"/>
      <c r="F575" s="619"/>
      <c r="G575" s="753"/>
      <c r="H575" s="755" t="s">
        <v>34</v>
      </c>
      <c r="I575" s="184"/>
      <c r="J575" s="214">
        <v>0</v>
      </c>
      <c r="K575" s="163"/>
      <c r="L575" s="163"/>
      <c r="M575" s="163"/>
      <c r="N575" s="163"/>
      <c r="O575" s="163"/>
      <c r="P575" s="163"/>
      <c r="Q575" s="571"/>
      <c r="R575" s="571"/>
      <c r="S575" s="571"/>
      <c r="T575" s="571"/>
      <c r="U575" s="571"/>
      <c r="V575" s="571"/>
      <c r="W575" s="571"/>
      <c r="X575" s="571"/>
      <c r="Y575" s="571"/>
      <c r="Z575" s="571"/>
    </row>
    <row r="576" spans="1:26" ht="19.5" hidden="1">
      <c r="A576" s="601"/>
      <c r="B576" s="611"/>
      <c r="C576" s="618" t="s">
        <v>243</v>
      </c>
      <c r="D576" s="611"/>
      <c r="E576" s="611"/>
      <c r="F576" s="619"/>
      <c r="G576" s="753"/>
      <c r="H576" s="758" t="s">
        <v>46</v>
      </c>
      <c r="I576" s="193">
        <f ca="1">IFERROR(__xludf.DUMMYFUNCTION("IMPORTRANGE(""https://docs.google.com/spreadsheets/d/1QqKyyYR6Q21VydFLVH3TRQUabQu_ym0Zz7PgGX0-kHA/edit?usp=sharing"",""แผน!HH67"")"),0)</f>
        <v>0</v>
      </c>
      <c r="J576" s="674">
        <f t="shared" ref="J576:J577" si="250">J578+J580+J582+J588+J590</f>
        <v>0</v>
      </c>
      <c r="K576" s="410">
        <f t="shared" ref="K576:K577" ca="1" si="251">IF(I576&gt;0,J576*100/I576,0)</f>
        <v>0</v>
      </c>
      <c r="L576" s="163"/>
      <c r="M576" s="163"/>
      <c r="N576" s="163"/>
      <c r="O576" s="163"/>
      <c r="P576" s="163"/>
      <c r="Q576" s="571"/>
      <c r="R576" s="571"/>
      <c r="S576" s="571"/>
      <c r="T576" s="571"/>
      <c r="U576" s="571"/>
      <c r="V576" s="571"/>
      <c r="W576" s="571"/>
      <c r="X576" s="571"/>
      <c r="Y576" s="571"/>
      <c r="Z576" s="571"/>
    </row>
    <row r="577" spans="1:26" ht="19.5" hidden="1">
      <c r="A577" s="601"/>
      <c r="B577" s="611"/>
      <c r="C577" s="611"/>
      <c r="D577" s="611"/>
      <c r="E577" s="619"/>
      <c r="F577" s="619"/>
      <c r="G577" s="753"/>
      <c r="H577" s="758" t="s">
        <v>34</v>
      </c>
      <c r="I577" s="193">
        <f ca="1">IFERROR(__xludf.DUMMYFUNCTION("IMPORTRANGE(""https://docs.google.com/spreadsheets/d/1QqKyyYR6Q21VydFLVH3TRQUabQu_ym0Zz7PgGX0-kHA/edit?usp=sharing"",""แผน!HG67"")"),0)</f>
        <v>0</v>
      </c>
      <c r="J577" s="674">
        <f t="shared" si="250"/>
        <v>0</v>
      </c>
      <c r="K577" s="410">
        <f t="shared" ca="1" si="251"/>
        <v>0</v>
      </c>
      <c r="L577" s="163"/>
      <c r="M577" s="163"/>
      <c r="N577" s="163"/>
      <c r="O577" s="163"/>
      <c r="P577" s="163"/>
      <c r="Q577" s="571"/>
      <c r="R577" s="571"/>
      <c r="S577" s="571"/>
      <c r="T577" s="571"/>
      <c r="U577" s="571"/>
      <c r="V577" s="571"/>
      <c r="W577" s="571"/>
      <c r="X577" s="571"/>
      <c r="Y577" s="571"/>
      <c r="Z577" s="571"/>
    </row>
    <row r="578" spans="1:26" ht="18.75" hidden="1">
      <c r="A578" s="601"/>
      <c r="B578" s="611"/>
      <c r="C578" s="611"/>
      <c r="D578" s="619" t="s">
        <v>244</v>
      </c>
      <c r="E578" s="619"/>
      <c r="F578" s="619"/>
      <c r="G578" s="753"/>
      <c r="H578" s="755" t="s">
        <v>46</v>
      </c>
      <c r="I578" s="184"/>
      <c r="J578" s="214">
        <v>0</v>
      </c>
      <c r="K578" s="163"/>
      <c r="L578" s="163"/>
      <c r="M578" s="163"/>
      <c r="N578" s="163"/>
      <c r="O578" s="163"/>
      <c r="P578" s="163"/>
      <c r="Q578" s="571"/>
      <c r="R578" s="571"/>
      <c r="S578" s="571"/>
      <c r="T578" s="571"/>
      <c r="U578" s="571"/>
      <c r="V578" s="571"/>
      <c r="W578" s="571"/>
      <c r="X578" s="571"/>
      <c r="Y578" s="571"/>
      <c r="Z578" s="571"/>
    </row>
    <row r="579" spans="1:26" ht="18.75" hidden="1">
      <c r="A579" s="601"/>
      <c r="B579" s="611"/>
      <c r="C579" s="611"/>
      <c r="D579" s="611"/>
      <c r="E579" s="619"/>
      <c r="F579" s="619"/>
      <c r="G579" s="753"/>
      <c r="H579" s="755" t="s">
        <v>34</v>
      </c>
      <c r="I579" s="184"/>
      <c r="J579" s="214">
        <v>0</v>
      </c>
      <c r="K579" s="163"/>
      <c r="L579" s="163"/>
      <c r="M579" s="163"/>
      <c r="N579" s="163"/>
      <c r="O579" s="163"/>
      <c r="P579" s="163"/>
      <c r="Q579" s="571"/>
      <c r="R579" s="571"/>
      <c r="S579" s="571"/>
      <c r="T579" s="571"/>
      <c r="U579" s="571"/>
      <c r="V579" s="571"/>
      <c r="W579" s="571"/>
      <c r="X579" s="571"/>
      <c r="Y579" s="571"/>
      <c r="Z579" s="571"/>
    </row>
    <row r="580" spans="1:26" ht="18.75" hidden="1">
      <c r="A580" s="601"/>
      <c r="B580" s="611"/>
      <c r="C580" s="611"/>
      <c r="D580" s="619" t="s">
        <v>245</v>
      </c>
      <c r="E580" s="619"/>
      <c r="F580" s="619"/>
      <c r="G580" s="753"/>
      <c r="H580" s="755" t="s">
        <v>46</v>
      </c>
      <c r="I580" s="184"/>
      <c r="J580" s="214">
        <v>0</v>
      </c>
      <c r="K580" s="163"/>
      <c r="L580" s="163"/>
      <c r="M580" s="163"/>
      <c r="N580" s="163"/>
      <c r="O580" s="163"/>
      <c r="P580" s="163"/>
      <c r="Q580" s="571"/>
      <c r="R580" s="571"/>
      <c r="S580" s="571"/>
      <c r="T580" s="571"/>
      <c r="U580" s="571"/>
      <c r="V580" s="571"/>
      <c r="W580" s="571"/>
      <c r="X580" s="571"/>
      <c r="Y580" s="571"/>
      <c r="Z580" s="571"/>
    </row>
    <row r="581" spans="1:26" ht="18.75" hidden="1">
      <c r="A581" s="601"/>
      <c r="B581" s="611"/>
      <c r="C581" s="611"/>
      <c r="D581" s="611"/>
      <c r="E581" s="619"/>
      <c r="F581" s="619"/>
      <c r="G581" s="753"/>
      <c r="H581" s="755" t="s">
        <v>34</v>
      </c>
      <c r="I581" s="184"/>
      <c r="J581" s="214">
        <v>0</v>
      </c>
      <c r="K581" s="163"/>
      <c r="L581" s="163"/>
      <c r="M581" s="163"/>
      <c r="N581" s="163"/>
      <c r="O581" s="163"/>
      <c r="P581" s="163"/>
      <c r="Q581" s="571"/>
      <c r="R581" s="571"/>
      <c r="S581" s="571"/>
      <c r="T581" s="571"/>
      <c r="U581" s="571"/>
      <c r="V581" s="571"/>
      <c r="W581" s="571"/>
      <c r="X581" s="571"/>
      <c r="Y581" s="571"/>
      <c r="Z581" s="571"/>
    </row>
    <row r="582" spans="1:26" ht="19.5" hidden="1">
      <c r="A582" s="601"/>
      <c r="B582" s="611"/>
      <c r="C582" s="611"/>
      <c r="D582" s="619" t="s">
        <v>246</v>
      </c>
      <c r="E582" s="619"/>
      <c r="F582" s="619"/>
      <c r="G582" s="753"/>
      <c r="H582" s="755" t="s">
        <v>46</v>
      </c>
      <c r="I582" s="184"/>
      <c r="J582" s="674">
        <f t="shared" ref="J582:J583" si="252">J584+J586</f>
        <v>0</v>
      </c>
      <c r="K582" s="410"/>
      <c r="L582" s="163"/>
      <c r="M582" s="163"/>
      <c r="N582" s="163"/>
      <c r="O582" s="163"/>
      <c r="P582" s="163"/>
      <c r="Q582" s="571"/>
      <c r="R582" s="571"/>
      <c r="S582" s="571"/>
      <c r="T582" s="571"/>
      <c r="U582" s="571"/>
      <c r="V582" s="571"/>
      <c r="W582" s="571"/>
      <c r="X582" s="571"/>
      <c r="Y582" s="571"/>
      <c r="Z582" s="571"/>
    </row>
    <row r="583" spans="1:26" ht="19.5" hidden="1">
      <c r="A583" s="601"/>
      <c r="B583" s="611"/>
      <c r="C583" s="611"/>
      <c r="D583" s="611"/>
      <c r="E583" s="619"/>
      <c r="F583" s="619"/>
      <c r="G583" s="753"/>
      <c r="H583" s="755" t="s">
        <v>34</v>
      </c>
      <c r="I583" s="184"/>
      <c r="J583" s="674">
        <f t="shared" si="252"/>
        <v>0</v>
      </c>
      <c r="K583" s="410"/>
      <c r="L583" s="163"/>
      <c r="M583" s="163"/>
      <c r="N583" s="163"/>
      <c r="O583" s="163"/>
      <c r="P583" s="163"/>
      <c r="Q583" s="571"/>
      <c r="R583" s="571"/>
      <c r="S583" s="571"/>
      <c r="T583" s="571"/>
      <c r="U583" s="571"/>
      <c r="V583" s="571"/>
      <c r="W583" s="571"/>
      <c r="X583" s="571"/>
      <c r="Y583" s="571"/>
      <c r="Z583" s="571"/>
    </row>
    <row r="584" spans="1:26" ht="18.75" hidden="1">
      <c r="A584" s="601"/>
      <c r="B584" s="611"/>
      <c r="C584" s="611"/>
      <c r="D584" s="611"/>
      <c r="E584" s="619" t="s">
        <v>247</v>
      </c>
      <c r="F584" s="619"/>
      <c r="G584" s="753"/>
      <c r="H584" s="755" t="s">
        <v>46</v>
      </c>
      <c r="I584" s="184"/>
      <c r="J584" s="214">
        <v>0</v>
      </c>
      <c r="K584" s="163"/>
      <c r="L584" s="163"/>
      <c r="M584" s="163"/>
      <c r="N584" s="163"/>
      <c r="O584" s="163"/>
      <c r="P584" s="163"/>
      <c r="Q584" s="571"/>
      <c r="R584" s="571"/>
      <c r="S584" s="571"/>
      <c r="T584" s="571"/>
      <c r="U584" s="571"/>
      <c r="V584" s="571"/>
      <c r="W584" s="571"/>
      <c r="X584" s="571"/>
      <c r="Y584" s="571"/>
      <c r="Z584" s="571"/>
    </row>
    <row r="585" spans="1:26" ht="18.75" hidden="1">
      <c r="A585" s="601"/>
      <c r="B585" s="611"/>
      <c r="C585" s="611"/>
      <c r="D585" s="611"/>
      <c r="E585" s="619"/>
      <c r="F585" s="619"/>
      <c r="G585" s="753"/>
      <c r="H585" s="755" t="s">
        <v>34</v>
      </c>
      <c r="I585" s="184"/>
      <c r="J585" s="214">
        <v>0</v>
      </c>
      <c r="K585" s="163"/>
      <c r="L585" s="163"/>
      <c r="M585" s="163"/>
      <c r="N585" s="163"/>
      <c r="O585" s="163"/>
      <c r="P585" s="163"/>
      <c r="Q585" s="571"/>
      <c r="R585" s="571"/>
      <c r="S585" s="571"/>
      <c r="T585" s="571"/>
      <c r="U585" s="571"/>
      <c r="V585" s="571"/>
      <c r="W585" s="571"/>
      <c r="X585" s="571"/>
      <c r="Y585" s="571"/>
      <c r="Z585" s="571"/>
    </row>
    <row r="586" spans="1:26" ht="18.75" hidden="1">
      <c r="A586" s="601"/>
      <c r="B586" s="611"/>
      <c r="C586" s="611"/>
      <c r="D586" s="611"/>
      <c r="E586" s="619" t="s">
        <v>248</v>
      </c>
      <c r="F586" s="619"/>
      <c r="G586" s="753"/>
      <c r="H586" s="755" t="s">
        <v>46</v>
      </c>
      <c r="I586" s="184"/>
      <c r="J586" s="214">
        <v>0</v>
      </c>
      <c r="K586" s="163"/>
      <c r="L586" s="163"/>
      <c r="M586" s="163"/>
      <c r="N586" s="163"/>
      <c r="O586" s="163"/>
      <c r="P586" s="163"/>
      <c r="Q586" s="571"/>
      <c r="R586" s="571"/>
      <c r="S586" s="571"/>
      <c r="T586" s="571"/>
      <c r="U586" s="571"/>
      <c r="V586" s="571"/>
      <c r="W586" s="571"/>
      <c r="X586" s="571"/>
      <c r="Y586" s="571"/>
      <c r="Z586" s="571"/>
    </row>
    <row r="587" spans="1:26" ht="18.75" hidden="1">
      <c r="A587" s="601"/>
      <c r="B587" s="611"/>
      <c r="C587" s="611"/>
      <c r="D587" s="611"/>
      <c r="E587" s="611"/>
      <c r="F587" s="619"/>
      <c r="G587" s="753"/>
      <c r="H587" s="755" t="s">
        <v>34</v>
      </c>
      <c r="I587" s="184"/>
      <c r="J587" s="214">
        <v>0</v>
      </c>
      <c r="K587" s="163"/>
      <c r="L587" s="163"/>
      <c r="M587" s="163"/>
      <c r="N587" s="163"/>
      <c r="O587" s="163"/>
      <c r="P587" s="163"/>
      <c r="Q587" s="571"/>
      <c r="R587" s="571"/>
      <c r="S587" s="571"/>
      <c r="T587" s="571"/>
      <c r="U587" s="571"/>
      <c r="V587" s="571"/>
      <c r="W587" s="571"/>
      <c r="X587" s="571"/>
      <c r="Y587" s="571"/>
      <c r="Z587" s="571"/>
    </row>
    <row r="588" spans="1:26" ht="18.75" hidden="1">
      <c r="A588" s="601"/>
      <c r="B588" s="611"/>
      <c r="C588" s="611"/>
      <c r="D588" s="619" t="s">
        <v>249</v>
      </c>
      <c r="E588" s="619"/>
      <c r="F588" s="619"/>
      <c r="G588" s="753"/>
      <c r="H588" s="755" t="s">
        <v>46</v>
      </c>
      <c r="I588" s="184"/>
      <c r="J588" s="214">
        <v>0</v>
      </c>
      <c r="K588" s="163"/>
      <c r="L588" s="163"/>
      <c r="M588" s="163"/>
      <c r="N588" s="163"/>
      <c r="O588" s="163"/>
      <c r="P588" s="163"/>
      <c r="Q588" s="571"/>
      <c r="R588" s="571"/>
      <c r="S588" s="571"/>
      <c r="T588" s="571"/>
      <c r="U588" s="571"/>
      <c r="V588" s="571"/>
      <c r="W588" s="571"/>
      <c r="X588" s="571"/>
      <c r="Y588" s="571"/>
      <c r="Z588" s="571"/>
    </row>
    <row r="589" spans="1:26" ht="18.75" hidden="1">
      <c r="A589" s="601"/>
      <c r="B589" s="611"/>
      <c r="C589" s="611"/>
      <c r="D589" s="611"/>
      <c r="E589" s="611"/>
      <c r="F589" s="619"/>
      <c r="G589" s="753"/>
      <c r="H589" s="755" t="s">
        <v>34</v>
      </c>
      <c r="I589" s="184"/>
      <c r="J589" s="214">
        <v>0</v>
      </c>
      <c r="K589" s="163"/>
      <c r="L589" s="163"/>
      <c r="M589" s="163"/>
      <c r="N589" s="163"/>
      <c r="O589" s="163"/>
      <c r="P589" s="163"/>
      <c r="Q589" s="571"/>
      <c r="R589" s="571"/>
      <c r="S589" s="571"/>
      <c r="T589" s="571"/>
      <c r="U589" s="571"/>
      <c r="V589" s="571"/>
      <c r="W589" s="571"/>
      <c r="X589" s="571"/>
      <c r="Y589" s="571"/>
      <c r="Z589" s="571"/>
    </row>
    <row r="590" spans="1:26" ht="18.75" hidden="1">
      <c r="A590" s="601"/>
      <c r="B590" s="611"/>
      <c r="C590" s="611"/>
      <c r="D590" s="619" t="s">
        <v>250</v>
      </c>
      <c r="E590" s="619"/>
      <c r="F590" s="619"/>
      <c r="G590" s="753"/>
      <c r="H590" s="755" t="s">
        <v>46</v>
      </c>
      <c r="I590" s="184"/>
      <c r="J590" s="214">
        <v>0</v>
      </c>
      <c r="K590" s="163"/>
      <c r="L590" s="163"/>
      <c r="M590" s="163"/>
      <c r="N590" s="163"/>
      <c r="O590" s="163"/>
      <c r="P590" s="163"/>
      <c r="Q590" s="571"/>
      <c r="R590" s="571"/>
      <c r="S590" s="571"/>
      <c r="T590" s="571"/>
      <c r="U590" s="571"/>
      <c r="V590" s="571"/>
      <c r="W590" s="571"/>
      <c r="X590" s="571"/>
      <c r="Y590" s="571"/>
      <c r="Z590" s="571"/>
    </row>
    <row r="591" spans="1:26" ht="18.75" hidden="1">
      <c r="A591" s="689"/>
      <c r="B591" s="690"/>
      <c r="C591" s="690"/>
      <c r="D591" s="690"/>
      <c r="E591" s="571"/>
      <c r="F591" s="571"/>
      <c r="G591" s="691"/>
      <c r="H591" s="692" t="s">
        <v>34</v>
      </c>
      <c r="I591" s="693"/>
      <c r="J591" s="694">
        <v>0</v>
      </c>
      <c r="K591" s="695"/>
      <c r="L591" s="695"/>
      <c r="M591" s="695"/>
      <c r="N591" s="695"/>
      <c r="O591" s="695"/>
      <c r="P591" s="695"/>
      <c r="Q591" s="571"/>
      <c r="R591" s="571"/>
      <c r="S591" s="571"/>
      <c r="T591" s="571"/>
      <c r="U591" s="571"/>
      <c r="V591" s="571"/>
      <c r="W591" s="571"/>
      <c r="X591" s="571"/>
      <c r="Y591" s="571"/>
      <c r="Z591" s="571"/>
    </row>
    <row r="592" spans="1:26" ht="19.5">
      <c r="A592" s="685"/>
      <c r="B592" s="686" t="s">
        <v>251</v>
      </c>
      <c r="C592" s="687"/>
      <c r="D592" s="687"/>
      <c r="E592" s="666"/>
      <c r="F592" s="666"/>
      <c r="G592" s="667"/>
      <c r="H592" s="688" t="s">
        <v>46</v>
      </c>
      <c r="I592" s="699">
        <f t="shared" ref="I592:J592" ca="1" si="253">I593</f>
        <v>347</v>
      </c>
      <c r="J592" s="699">
        <f t="shared" si="253"/>
        <v>10</v>
      </c>
      <c r="K592" s="670">
        <f t="shared" ref="K592:K594" ca="1" si="254">IF(I592&gt;0,J592*100/I592,0)</f>
        <v>2.8818443804034581</v>
      </c>
      <c r="L592" s="671"/>
      <c r="M592" s="671"/>
      <c r="N592" s="671"/>
      <c r="O592" s="671"/>
      <c r="P592" s="671"/>
      <c r="Q592" s="571"/>
      <c r="R592" s="571"/>
      <c r="S592" s="571"/>
      <c r="T592" s="571"/>
      <c r="U592" s="571"/>
      <c r="V592" s="571"/>
      <c r="W592" s="571"/>
      <c r="X592" s="571"/>
      <c r="Y592" s="571"/>
      <c r="Z592" s="571"/>
    </row>
    <row r="593" spans="1:26" ht="19.5">
      <c r="A593" s="601"/>
      <c r="B593" s="611"/>
      <c r="C593" s="618" t="s">
        <v>252</v>
      </c>
      <c r="D593" s="611"/>
      <c r="E593" s="611"/>
      <c r="F593" s="619"/>
      <c r="G593" s="753"/>
      <c r="H593" s="758" t="s">
        <v>46</v>
      </c>
      <c r="I593" s="193">
        <f ca="1">IFERROR(__xludf.DUMMYFUNCTION("IMPORTRANGE(""https://docs.google.com/spreadsheets/d/1QqKyyYR6Q21VydFLVH3TRQUabQu_ym0Zz7PgGX0-kHA/edit?usp=sharing"",""แผน!HJ67"")"),347)</f>
        <v>347</v>
      </c>
      <c r="J593" s="193">
        <f t="shared" ref="J593:J594" si="255">J595+J603+J609</f>
        <v>10</v>
      </c>
      <c r="K593" s="410">
        <f t="shared" ca="1" si="254"/>
        <v>2.8818443804034581</v>
      </c>
      <c r="L593" s="163"/>
      <c r="M593" s="163"/>
      <c r="N593" s="163"/>
      <c r="O593" s="163"/>
      <c r="P593" s="163"/>
      <c r="Q593" s="571"/>
      <c r="R593" s="571"/>
      <c r="S593" s="571"/>
      <c r="T593" s="571"/>
      <c r="U593" s="571"/>
      <c r="V593" s="571"/>
      <c r="W593" s="571"/>
      <c r="X593" s="571"/>
      <c r="Y593" s="571"/>
      <c r="Z593" s="571"/>
    </row>
    <row r="594" spans="1:26" ht="19.5">
      <c r="A594" s="601"/>
      <c r="B594" s="611"/>
      <c r="C594" s="611"/>
      <c r="D594" s="611"/>
      <c r="E594" s="619"/>
      <c r="F594" s="619"/>
      <c r="G594" s="753"/>
      <c r="H594" s="758" t="s">
        <v>34</v>
      </c>
      <c r="I594" s="193">
        <f ca="1">IFERROR(__xludf.DUMMYFUNCTION("IMPORTRANGE(""https://docs.google.com/spreadsheets/d/1QqKyyYR6Q21VydFLVH3TRQUabQu_ym0Zz7PgGX0-kHA/edit?usp=sharing"",""แผน!HI67"")"),145)</f>
        <v>145</v>
      </c>
      <c r="J594" s="193">
        <f t="shared" si="255"/>
        <v>1</v>
      </c>
      <c r="K594" s="410">
        <f t="shared" ca="1" si="254"/>
        <v>0.68965517241379315</v>
      </c>
      <c r="L594" s="163"/>
      <c r="M594" s="163"/>
      <c r="N594" s="163"/>
      <c r="O594" s="163"/>
      <c r="P594" s="163"/>
      <c r="Q594" s="571"/>
      <c r="R594" s="571"/>
      <c r="S594" s="571"/>
      <c r="T594" s="571"/>
      <c r="U594" s="571"/>
      <c r="V594" s="571"/>
      <c r="W594" s="571"/>
      <c r="X594" s="571"/>
      <c r="Y594" s="571"/>
      <c r="Z594" s="571"/>
    </row>
    <row r="595" spans="1:26" ht="18.75">
      <c r="A595" s="601"/>
      <c r="B595" s="611"/>
      <c r="C595" s="611" t="s">
        <v>253</v>
      </c>
      <c r="D595" s="611"/>
      <c r="E595" s="611"/>
      <c r="F595" s="619"/>
      <c r="G595" s="753"/>
      <c r="H595" s="755" t="s">
        <v>46</v>
      </c>
      <c r="I595" s="184"/>
      <c r="J595" s="184">
        <f t="shared" ref="J595:J596" si="256">J597+J599</f>
        <v>10</v>
      </c>
      <c r="K595" s="163"/>
      <c r="L595" s="163"/>
      <c r="M595" s="163"/>
      <c r="N595" s="163"/>
      <c r="O595" s="163"/>
      <c r="P595" s="163"/>
      <c r="Q595" s="571"/>
      <c r="R595" s="571"/>
      <c r="S595" s="571"/>
      <c r="T595" s="571"/>
      <c r="U595" s="571"/>
      <c r="V595" s="571"/>
      <c r="W595" s="571"/>
      <c r="X595" s="571"/>
      <c r="Y595" s="571"/>
      <c r="Z595" s="571"/>
    </row>
    <row r="596" spans="1:26" ht="18.75">
      <c r="A596" s="601"/>
      <c r="B596" s="611"/>
      <c r="C596" s="611"/>
      <c r="D596" s="611"/>
      <c r="E596" s="619"/>
      <c r="F596" s="619"/>
      <c r="G596" s="753"/>
      <c r="H596" s="755" t="s">
        <v>34</v>
      </c>
      <c r="I596" s="184"/>
      <c r="J596" s="184">
        <f t="shared" si="256"/>
        <v>1</v>
      </c>
      <c r="K596" s="163"/>
      <c r="L596" s="163"/>
      <c r="M596" s="163"/>
      <c r="N596" s="163"/>
      <c r="O596" s="163"/>
      <c r="P596" s="163"/>
      <c r="Q596" s="571"/>
      <c r="R596" s="571"/>
      <c r="S596" s="571"/>
      <c r="T596" s="571"/>
      <c r="U596" s="571"/>
      <c r="V596" s="571"/>
      <c r="W596" s="571"/>
      <c r="X596" s="571"/>
      <c r="Y596" s="571"/>
      <c r="Z596" s="571"/>
    </row>
    <row r="597" spans="1:26" ht="18.75">
      <c r="A597" s="601"/>
      <c r="B597" s="611"/>
      <c r="C597" s="611"/>
      <c r="D597" s="737" t="s">
        <v>254</v>
      </c>
      <c r="E597" s="619"/>
      <c r="F597" s="619"/>
      <c r="G597" s="753"/>
      <c r="H597" s="755" t="s">
        <v>46</v>
      </c>
      <c r="I597" s="184"/>
      <c r="J597" s="214">
        <v>10</v>
      </c>
      <c r="K597" s="163"/>
      <c r="L597" s="163"/>
      <c r="M597" s="163"/>
      <c r="N597" s="163"/>
      <c r="O597" s="163"/>
      <c r="P597" s="163"/>
      <c r="Q597" s="571"/>
      <c r="R597" s="571"/>
      <c r="S597" s="571"/>
      <c r="T597" s="571"/>
      <c r="U597" s="571"/>
      <c r="V597" s="571"/>
      <c r="W597" s="571"/>
      <c r="X597" s="571"/>
      <c r="Y597" s="571"/>
      <c r="Z597" s="571"/>
    </row>
    <row r="598" spans="1:26" ht="18.75">
      <c r="A598" s="601"/>
      <c r="B598" s="611"/>
      <c r="C598" s="611"/>
      <c r="D598" s="611"/>
      <c r="E598" s="619"/>
      <c r="F598" s="619"/>
      <c r="G598" s="753"/>
      <c r="H598" s="755" t="s">
        <v>34</v>
      </c>
      <c r="I598" s="269"/>
      <c r="J598" s="214">
        <v>1</v>
      </c>
      <c r="K598" s="163"/>
      <c r="L598" s="163"/>
      <c r="M598" s="163"/>
      <c r="N598" s="163"/>
      <c r="O598" s="163"/>
      <c r="P598" s="163"/>
      <c r="Q598" s="571"/>
      <c r="R598" s="571"/>
      <c r="S598" s="571"/>
      <c r="T598" s="571"/>
      <c r="U598" s="571"/>
      <c r="V598" s="571"/>
      <c r="W598" s="571"/>
      <c r="X598" s="571"/>
      <c r="Y598" s="571"/>
      <c r="Z598" s="571"/>
    </row>
    <row r="599" spans="1:26" ht="18.75">
      <c r="A599" s="601"/>
      <c r="B599" s="611"/>
      <c r="C599" s="611"/>
      <c r="D599" s="737" t="s">
        <v>255</v>
      </c>
      <c r="E599" s="619"/>
      <c r="F599" s="619"/>
      <c r="G599" s="753"/>
      <c r="H599" s="755" t="s">
        <v>46</v>
      </c>
      <c r="I599" s="269"/>
      <c r="J599" s="214">
        <v>0</v>
      </c>
      <c r="K599" s="163"/>
      <c r="L599" s="163"/>
      <c r="M599" s="163"/>
      <c r="N599" s="163"/>
      <c r="O599" s="163"/>
      <c r="P599" s="163"/>
      <c r="Q599" s="571"/>
      <c r="R599" s="571"/>
      <c r="S599" s="571"/>
      <c r="T599" s="571"/>
      <c r="U599" s="571"/>
      <c r="V599" s="571"/>
      <c r="W599" s="571"/>
      <c r="X599" s="571"/>
      <c r="Y599" s="571"/>
      <c r="Z599" s="571"/>
    </row>
    <row r="600" spans="1:26" ht="18.75">
      <c r="A600" s="601"/>
      <c r="B600" s="611"/>
      <c r="C600" s="611"/>
      <c r="D600" s="611"/>
      <c r="E600" s="619"/>
      <c r="F600" s="619"/>
      <c r="G600" s="753"/>
      <c r="H600" s="755" t="s">
        <v>34</v>
      </c>
      <c r="I600" s="269"/>
      <c r="J600" s="214">
        <v>0</v>
      </c>
      <c r="K600" s="163"/>
      <c r="L600" s="163"/>
      <c r="M600" s="163"/>
      <c r="N600" s="163"/>
      <c r="O600" s="163"/>
      <c r="P600" s="163"/>
      <c r="Q600" s="571"/>
      <c r="R600" s="571"/>
      <c r="S600" s="571"/>
      <c r="T600" s="571"/>
      <c r="U600" s="571"/>
      <c r="V600" s="571"/>
      <c r="W600" s="571"/>
      <c r="X600" s="571"/>
      <c r="Y600" s="571"/>
      <c r="Z600" s="571"/>
    </row>
    <row r="601" spans="1:26" ht="18.75">
      <c r="A601" s="601"/>
      <c r="B601" s="611"/>
      <c r="C601" s="611"/>
      <c r="D601" s="737" t="s">
        <v>256</v>
      </c>
      <c r="E601" s="619"/>
      <c r="F601" s="619"/>
      <c r="G601" s="753"/>
      <c r="H601" s="755" t="s">
        <v>46</v>
      </c>
      <c r="I601" s="269"/>
      <c r="J601" s="214">
        <v>0</v>
      </c>
      <c r="K601" s="163"/>
      <c r="L601" s="163"/>
      <c r="M601" s="163"/>
      <c r="N601" s="163"/>
      <c r="O601" s="163"/>
      <c r="P601" s="163"/>
      <c r="Q601" s="571"/>
      <c r="R601" s="571"/>
      <c r="S601" s="571"/>
      <c r="T601" s="571"/>
      <c r="U601" s="571"/>
      <c r="V601" s="571"/>
      <c r="W601" s="571"/>
      <c r="X601" s="571"/>
      <c r="Y601" s="571"/>
      <c r="Z601" s="571"/>
    </row>
    <row r="602" spans="1:26" ht="18.75">
      <c r="A602" s="601"/>
      <c r="B602" s="611"/>
      <c r="C602" s="611"/>
      <c r="D602" s="611"/>
      <c r="E602" s="619"/>
      <c r="F602" s="619"/>
      <c r="G602" s="753"/>
      <c r="H602" s="755" t="s">
        <v>34</v>
      </c>
      <c r="I602" s="269"/>
      <c r="J602" s="214">
        <v>0</v>
      </c>
      <c r="K602" s="163"/>
      <c r="L602" s="163"/>
      <c r="M602" s="163"/>
      <c r="N602" s="163"/>
      <c r="O602" s="163"/>
      <c r="P602" s="163"/>
      <c r="Q602" s="571"/>
      <c r="R602" s="571"/>
      <c r="S602" s="571"/>
      <c r="T602" s="571"/>
      <c r="U602" s="571"/>
      <c r="V602" s="571"/>
      <c r="W602" s="571"/>
      <c r="X602" s="571"/>
      <c r="Y602" s="571"/>
      <c r="Z602" s="571"/>
    </row>
    <row r="603" spans="1:26" ht="18.75">
      <c r="A603" s="601"/>
      <c r="B603" s="611"/>
      <c r="C603" s="696" t="s">
        <v>257</v>
      </c>
      <c r="D603" s="611"/>
      <c r="E603" s="611"/>
      <c r="F603" s="619"/>
      <c r="G603" s="753"/>
      <c r="H603" s="755" t="s">
        <v>46</v>
      </c>
      <c r="I603" s="269"/>
      <c r="J603" s="269">
        <f t="shared" ref="J603:J604" si="257">J605+J607</f>
        <v>0</v>
      </c>
      <c r="K603" s="163"/>
      <c r="L603" s="163"/>
      <c r="M603" s="163"/>
      <c r="N603" s="163"/>
      <c r="O603" s="163"/>
      <c r="P603" s="163"/>
      <c r="Q603" s="571"/>
      <c r="R603" s="571"/>
      <c r="S603" s="571"/>
      <c r="T603" s="571"/>
      <c r="U603" s="571"/>
      <c r="V603" s="571"/>
      <c r="W603" s="571"/>
      <c r="X603" s="571"/>
      <c r="Y603" s="571"/>
      <c r="Z603" s="571"/>
    </row>
    <row r="604" spans="1:26" ht="18.75">
      <c r="A604" s="601"/>
      <c r="B604" s="611"/>
      <c r="C604" s="611"/>
      <c r="D604" s="611"/>
      <c r="E604" s="619"/>
      <c r="F604" s="619"/>
      <c r="G604" s="753"/>
      <c r="H604" s="755" t="s">
        <v>34</v>
      </c>
      <c r="I604" s="269"/>
      <c r="J604" s="269">
        <f t="shared" si="257"/>
        <v>0</v>
      </c>
      <c r="K604" s="163"/>
      <c r="L604" s="163"/>
      <c r="M604" s="163"/>
      <c r="N604" s="163"/>
      <c r="O604" s="163"/>
      <c r="P604" s="163"/>
      <c r="Q604" s="571"/>
      <c r="R604" s="571"/>
      <c r="S604" s="571"/>
      <c r="T604" s="571"/>
      <c r="U604" s="571"/>
      <c r="V604" s="571"/>
      <c r="W604" s="571"/>
      <c r="X604" s="571"/>
      <c r="Y604" s="571"/>
      <c r="Z604" s="571"/>
    </row>
    <row r="605" spans="1:26" ht="18.75">
      <c r="A605" s="601"/>
      <c r="B605" s="611"/>
      <c r="C605" s="611"/>
      <c r="D605" s="696" t="s">
        <v>258</v>
      </c>
      <c r="E605" s="619"/>
      <c r="F605" s="619"/>
      <c r="G605" s="753"/>
      <c r="H605" s="755" t="s">
        <v>46</v>
      </c>
      <c r="I605" s="269"/>
      <c r="J605" s="214">
        <v>0</v>
      </c>
      <c r="K605" s="163"/>
      <c r="L605" s="163"/>
      <c r="M605" s="163"/>
      <c r="N605" s="163"/>
      <c r="O605" s="163"/>
      <c r="P605" s="163"/>
      <c r="Q605" s="571"/>
      <c r="R605" s="571"/>
      <c r="S605" s="571"/>
      <c r="T605" s="571"/>
      <c r="U605" s="571"/>
      <c r="V605" s="571"/>
      <c r="W605" s="571"/>
      <c r="X605" s="571"/>
      <c r="Y605" s="571"/>
      <c r="Z605" s="571"/>
    </row>
    <row r="606" spans="1:26" ht="18.75">
      <c r="A606" s="601"/>
      <c r="B606" s="611"/>
      <c r="C606" s="611"/>
      <c r="D606" s="611"/>
      <c r="E606" s="611"/>
      <c r="F606" s="619"/>
      <c r="G606" s="753"/>
      <c r="H606" s="755" t="s">
        <v>34</v>
      </c>
      <c r="I606" s="269"/>
      <c r="J606" s="214">
        <v>0</v>
      </c>
      <c r="K606" s="163"/>
      <c r="L606" s="163"/>
      <c r="M606" s="163"/>
      <c r="N606" s="163"/>
      <c r="O606" s="163"/>
      <c r="P606" s="163"/>
      <c r="Q606" s="571"/>
      <c r="R606" s="571"/>
      <c r="S606" s="571"/>
      <c r="T606" s="571"/>
      <c r="U606" s="571"/>
      <c r="V606" s="571"/>
      <c r="W606" s="571"/>
      <c r="X606" s="571"/>
      <c r="Y606" s="571"/>
      <c r="Z606" s="571"/>
    </row>
    <row r="607" spans="1:26" ht="18.75">
      <c r="A607" s="601"/>
      <c r="B607" s="611"/>
      <c r="C607" s="611"/>
      <c r="D607" s="696" t="s">
        <v>259</v>
      </c>
      <c r="E607" s="611"/>
      <c r="F607" s="619"/>
      <c r="G607" s="753"/>
      <c r="H607" s="755" t="s">
        <v>46</v>
      </c>
      <c r="I607" s="269"/>
      <c r="J607" s="214">
        <v>0</v>
      </c>
      <c r="K607" s="163"/>
      <c r="L607" s="163"/>
      <c r="M607" s="163"/>
      <c r="N607" s="163"/>
      <c r="O607" s="163"/>
      <c r="P607" s="163"/>
      <c r="Q607" s="571"/>
      <c r="R607" s="571"/>
      <c r="S607" s="571"/>
      <c r="T607" s="571"/>
      <c r="U607" s="571"/>
      <c r="V607" s="571"/>
      <c r="W607" s="571"/>
      <c r="X607" s="571"/>
      <c r="Y607" s="571"/>
      <c r="Z607" s="571"/>
    </row>
    <row r="608" spans="1:26" ht="18.75">
      <c r="A608" s="601"/>
      <c r="B608" s="611"/>
      <c r="C608" s="611"/>
      <c r="D608" s="611"/>
      <c r="E608" s="619"/>
      <c r="F608" s="619"/>
      <c r="G608" s="753"/>
      <c r="H608" s="755" t="s">
        <v>34</v>
      </c>
      <c r="I608" s="269"/>
      <c r="J608" s="214">
        <v>0</v>
      </c>
      <c r="K608" s="163"/>
      <c r="L608" s="163"/>
      <c r="M608" s="163"/>
      <c r="N608" s="163"/>
      <c r="O608" s="163"/>
      <c r="P608" s="163"/>
      <c r="Q608" s="571"/>
      <c r="R608" s="571"/>
      <c r="S608" s="571"/>
      <c r="T608" s="571"/>
      <c r="U608" s="571"/>
      <c r="V608" s="571"/>
      <c r="W608" s="571"/>
      <c r="X608" s="571"/>
      <c r="Y608" s="571"/>
      <c r="Z608" s="571"/>
    </row>
    <row r="609" spans="1:26" ht="18.75">
      <c r="A609" s="601"/>
      <c r="B609" s="611"/>
      <c r="C609" s="611" t="s">
        <v>260</v>
      </c>
      <c r="D609" s="611"/>
      <c r="E609" s="611"/>
      <c r="F609" s="619"/>
      <c r="G609" s="753"/>
      <c r="H609" s="755" t="s">
        <v>46</v>
      </c>
      <c r="I609" s="269"/>
      <c r="J609" s="214">
        <v>0</v>
      </c>
      <c r="K609" s="163"/>
      <c r="L609" s="163"/>
      <c r="M609" s="163"/>
      <c r="N609" s="163"/>
      <c r="O609" s="163"/>
      <c r="P609" s="163"/>
      <c r="Q609" s="571"/>
      <c r="R609" s="571"/>
      <c r="S609" s="571"/>
      <c r="T609" s="571"/>
      <c r="U609" s="571"/>
      <c r="V609" s="571"/>
      <c r="W609" s="571"/>
      <c r="X609" s="571"/>
      <c r="Y609" s="571"/>
      <c r="Z609" s="571"/>
    </row>
    <row r="610" spans="1:26" ht="18.75">
      <c r="A610" s="601"/>
      <c r="B610" s="611"/>
      <c r="C610" s="611"/>
      <c r="D610" s="611"/>
      <c r="E610" s="619"/>
      <c r="F610" s="619"/>
      <c r="G610" s="753"/>
      <c r="H610" s="755" t="s">
        <v>34</v>
      </c>
      <c r="I610" s="269"/>
      <c r="J610" s="214">
        <v>0</v>
      </c>
      <c r="K610" s="163"/>
      <c r="L610" s="163"/>
      <c r="M610" s="163"/>
      <c r="N610" s="163"/>
      <c r="O610" s="163"/>
      <c r="P610" s="163"/>
      <c r="Q610" s="571"/>
      <c r="R610" s="571"/>
      <c r="S610" s="571"/>
      <c r="T610" s="571"/>
      <c r="U610" s="571"/>
      <c r="V610" s="571"/>
      <c r="W610" s="571"/>
      <c r="X610" s="571"/>
      <c r="Y610" s="571"/>
      <c r="Z610" s="571"/>
    </row>
    <row r="611" spans="1:26" ht="19.5" hidden="1">
      <c r="A611" s="685"/>
      <c r="B611" s="697" t="s">
        <v>261</v>
      </c>
      <c r="C611" s="687"/>
      <c r="D611" s="687"/>
      <c r="E611" s="666"/>
      <c r="F611" s="666"/>
      <c r="G611" s="667"/>
      <c r="H611" s="698" t="s">
        <v>46</v>
      </c>
      <c r="I611" s="699">
        <v>0</v>
      </c>
      <c r="J611" s="699">
        <f>J614+J616</f>
        <v>0</v>
      </c>
      <c r="K611" s="670">
        <f t="shared" ref="K611:K613" si="258">IF(I611&gt;0,J611*100/I611,0)</f>
        <v>0</v>
      </c>
      <c r="L611" s="671"/>
      <c r="M611" s="671"/>
      <c r="N611" s="671"/>
      <c r="O611" s="671"/>
      <c r="P611" s="671"/>
      <c r="Q611" s="571"/>
      <c r="R611" s="571"/>
      <c r="S611" s="571"/>
      <c r="T611" s="571"/>
      <c r="U611" s="571"/>
      <c r="V611" s="571"/>
      <c r="W611" s="571"/>
      <c r="X611" s="571"/>
      <c r="Y611" s="571"/>
      <c r="Z611" s="571"/>
    </row>
    <row r="612" spans="1:26" ht="19.5" hidden="1">
      <c r="A612" s="700"/>
      <c r="B612" s="710"/>
      <c r="C612" s="702" t="s">
        <v>262</v>
      </c>
      <c r="D612" s="710"/>
      <c r="E612" s="710"/>
      <c r="F612" s="703"/>
      <c r="G612" s="704"/>
      <c r="H612" s="705" t="s">
        <v>46</v>
      </c>
      <c r="I612" s="707">
        <v>0</v>
      </c>
      <c r="J612" s="707">
        <f t="shared" ref="J612:J613" si="259">J614+J616</f>
        <v>0</v>
      </c>
      <c r="K612" s="708">
        <f t="shared" si="258"/>
        <v>0</v>
      </c>
      <c r="L612" s="709"/>
      <c r="M612" s="709"/>
      <c r="N612" s="709"/>
      <c r="O612" s="709"/>
      <c r="P612" s="709"/>
      <c r="Q612" s="597"/>
      <c r="R612" s="597"/>
      <c r="S612" s="597"/>
      <c r="T612" s="597"/>
      <c r="U612" s="597"/>
      <c r="V612" s="597"/>
      <c r="W612" s="597"/>
      <c r="X612" s="597"/>
      <c r="Y612" s="597"/>
      <c r="Z612" s="597"/>
    </row>
    <row r="613" spans="1:26" ht="19.5" hidden="1">
      <c r="A613" s="700"/>
      <c r="B613" s="710"/>
      <c r="C613" s="710" t="s">
        <v>263</v>
      </c>
      <c r="D613" s="710"/>
      <c r="E613" s="710"/>
      <c r="F613" s="703"/>
      <c r="G613" s="704"/>
      <c r="H613" s="705" t="s">
        <v>34</v>
      </c>
      <c r="I613" s="707">
        <v>0</v>
      </c>
      <c r="J613" s="707">
        <f t="shared" si="259"/>
        <v>0</v>
      </c>
      <c r="K613" s="708">
        <f t="shared" si="258"/>
        <v>0</v>
      </c>
      <c r="L613" s="709"/>
      <c r="M613" s="709"/>
      <c r="N613" s="709"/>
      <c r="O613" s="709"/>
      <c r="P613" s="709"/>
      <c r="Q613" s="597"/>
      <c r="R613" s="597"/>
      <c r="S613" s="597"/>
      <c r="T613" s="597"/>
      <c r="U613" s="597"/>
      <c r="V613" s="597"/>
      <c r="W613" s="597"/>
      <c r="X613" s="597"/>
      <c r="Y613" s="597"/>
      <c r="Z613" s="597"/>
    </row>
    <row r="614" spans="1:26" ht="18.75" hidden="1">
      <c r="A614" s="607"/>
      <c r="B614" s="609"/>
      <c r="C614" s="609"/>
      <c r="D614" s="711" t="s">
        <v>264</v>
      </c>
      <c r="E614" s="609"/>
      <c r="F614" s="711"/>
      <c r="G614" s="365"/>
      <c r="H614" s="369" t="s">
        <v>46</v>
      </c>
      <c r="I614" s="610"/>
      <c r="J614" s="610">
        <v>0</v>
      </c>
      <c r="K614" s="167"/>
      <c r="L614" s="167"/>
      <c r="M614" s="167"/>
      <c r="N614" s="167"/>
      <c r="O614" s="167"/>
      <c r="P614" s="167"/>
      <c r="Q614" s="597"/>
      <c r="R614" s="597"/>
      <c r="S614" s="597"/>
      <c r="T614" s="597"/>
      <c r="U614" s="597"/>
      <c r="V614" s="597"/>
      <c r="W614" s="597"/>
      <c r="X614" s="597"/>
      <c r="Y614" s="597"/>
      <c r="Z614" s="597"/>
    </row>
    <row r="615" spans="1:26" ht="18.75" hidden="1">
      <c r="A615" s="607"/>
      <c r="B615" s="609"/>
      <c r="C615" s="609"/>
      <c r="D615" s="609"/>
      <c r="E615" s="609"/>
      <c r="F615" s="711"/>
      <c r="G615" s="365"/>
      <c r="H615" s="369" t="s">
        <v>34</v>
      </c>
      <c r="I615" s="610"/>
      <c r="J615" s="610">
        <v>0</v>
      </c>
      <c r="K615" s="167"/>
      <c r="L615" s="167"/>
      <c r="M615" s="167"/>
      <c r="N615" s="167"/>
      <c r="O615" s="167"/>
      <c r="P615" s="167"/>
      <c r="Q615" s="597"/>
      <c r="R615" s="597"/>
      <c r="S615" s="597"/>
      <c r="T615" s="597"/>
      <c r="U615" s="597"/>
      <c r="V615" s="597"/>
      <c r="W615" s="597"/>
      <c r="X615" s="597"/>
      <c r="Y615" s="597"/>
      <c r="Z615" s="597"/>
    </row>
    <row r="616" spans="1:26" ht="18.75" hidden="1">
      <c r="A616" s="607"/>
      <c r="B616" s="609"/>
      <c r="C616" s="609"/>
      <c r="D616" s="712" t="s">
        <v>264</v>
      </c>
      <c r="E616" s="711"/>
      <c r="F616" s="711"/>
      <c r="G616" s="365"/>
      <c r="H616" s="369" t="s">
        <v>46</v>
      </c>
      <c r="I616" s="610"/>
      <c r="J616" s="610">
        <v>0</v>
      </c>
      <c r="K616" s="167"/>
      <c r="L616" s="167"/>
      <c r="M616" s="167"/>
      <c r="N616" s="167"/>
      <c r="O616" s="167"/>
      <c r="P616" s="167"/>
      <c r="Q616" s="597"/>
      <c r="R616" s="597"/>
      <c r="S616" s="597"/>
      <c r="T616" s="597"/>
      <c r="U616" s="597"/>
      <c r="V616" s="597"/>
      <c r="W616" s="597"/>
      <c r="X616" s="597"/>
      <c r="Y616" s="597"/>
      <c r="Z616" s="597"/>
    </row>
    <row r="617" spans="1:26" ht="18.75" hidden="1">
      <c r="A617" s="607"/>
      <c r="B617" s="609"/>
      <c r="C617" s="609"/>
      <c r="D617" s="609"/>
      <c r="E617" s="711"/>
      <c r="F617" s="711"/>
      <c r="G617" s="365"/>
      <c r="H617" s="369" t="s">
        <v>34</v>
      </c>
      <c r="I617" s="610"/>
      <c r="J617" s="610">
        <v>0</v>
      </c>
      <c r="K617" s="167"/>
      <c r="L617" s="167"/>
      <c r="M617" s="167"/>
      <c r="N617" s="167"/>
      <c r="O617" s="167"/>
      <c r="P617" s="167"/>
      <c r="Q617" s="597"/>
      <c r="R617" s="597"/>
      <c r="S617" s="597"/>
      <c r="T617" s="597"/>
      <c r="U617" s="597"/>
      <c r="V617" s="597"/>
      <c r="W617" s="597"/>
      <c r="X617" s="597"/>
      <c r="Y617" s="597"/>
      <c r="Z617" s="597"/>
    </row>
    <row r="618" spans="1:26" ht="18.75" hidden="1">
      <c r="A618" s="607"/>
      <c r="B618" s="609"/>
      <c r="C618" s="609"/>
      <c r="D618" s="712" t="s">
        <v>265</v>
      </c>
      <c r="E618" s="711"/>
      <c r="F618" s="711"/>
      <c r="G618" s="365"/>
      <c r="H618" s="369" t="s">
        <v>46</v>
      </c>
      <c r="I618" s="610"/>
      <c r="J618" s="610">
        <v>0</v>
      </c>
      <c r="K618" s="167"/>
      <c r="L618" s="167"/>
      <c r="M618" s="167"/>
      <c r="N618" s="167"/>
      <c r="O618" s="167"/>
      <c r="P618" s="167"/>
      <c r="Q618" s="597"/>
      <c r="R618" s="597"/>
      <c r="S618" s="597"/>
      <c r="T618" s="597"/>
      <c r="U618" s="597"/>
      <c r="V618" s="597"/>
      <c r="W618" s="597"/>
      <c r="X618" s="597"/>
      <c r="Y618" s="597"/>
      <c r="Z618" s="597"/>
    </row>
    <row r="619" spans="1:26" ht="18.75" hidden="1">
      <c r="A619" s="607"/>
      <c r="B619" s="609"/>
      <c r="C619" s="609"/>
      <c r="D619" s="609"/>
      <c r="E619" s="711"/>
      <c r="F619" s="711"/>
      <c r="G619" s="365"/>
      <c r="H619" s="369" t="s">
        <v>34</v>
      </c>
      <c r="I619" s="610"/>
      <c r="J619" s="610">
        <v>0</v>
      </c>
      <c r="K619" s="167"/>
      <c r="L619" s="167"/>
      <c r="M619" s="167"/>
      <c r="N619" s="167"/>
      <c r="O619" s="167"/>
      <c r="P619" s="167"/>
      <c r="Q619" s="597"/>
      <c r="R619" s="597"/>
      <c r="S619" s="597"/>
      <c r="T619" s="597"/>
      <c r="U619" s="597"/>
      <c r="V619" s="597"/>
      <c r="W619" s="597"/>
      <c r="X619" s="597"/>
      <c r="Y619" s="597"/>
      <c r="Z619" s="597"/>
    </row>
    <row r="620" spans="1:26" ht="19.5" hidden="1">
      <c r="A620" s="713"/>
      <c r="B620" s="722"/>
      <c r="C620" s="715" t="s">
        <v>266</v>
      </c>
      <c r="D620" s="722"/>
      <c r="E620" s="722"/>
      <c r="F620" s="716"/>
      <c r="G620" s="717"/>
      <c r="H620" s="718" t="s">
        <v>46</v>
      </c>
      <c r="I620" s="719">
        <f ca="1">IFERROR(__xludf.DUMMYFUNCTION("IMPORTRANGE(""https://docs.google.com/spreadsheets/d/1QqKyyYR6Q21VydFLVH3TRQUabQu_ym0Zz7PgGX0-kHA/edit?usp=sharing"",""แผน!HL67"")"),0)</f>
        <v>0</v>
      </c>
      <c r="J620" s="719">
        <f t="shared" ref="J620:J621" si="260">J622+J624+J626</f>
        <v>0</v>
      </c>
      <c r="K620" s="720">
        <f t="shared" ref="K620:K621" ca="1" si="261">IF(I620&gt;0,J620*100/I620,0)</f>
        <v>0</v>
      </c>
      <c r="L620" s="721"/>
      <c r="M620" s="721"/>
      <c r="N620" s="721"/>
      <c r="O620" s="721"/>
      <c r="P620" s="721"/>
      <c r="Q620" s="571"/>
      <c r="R620" s="571"/>
      <c r="S620" s="571"/>
      <c r="T620" s="571"/>
      <c r="U620" s="571"/>
      <c r="V620" s="571"/>
      <c r="W620" s="571"/>
      <c r="X620" s="571"/>
      <c r="Y620" s="571"/>
      <c r="Z620" s="571"/>
    </row>
    <row r="621" spans="1:26" ht="19.5" hidden="1">
      <c r="A621" s="713"/>
      <c r="B621" s="722"/>
      <c r="C621" s="722" t="s">
        <v>267</v>
      </c>
      <c r="D621" s="722"/>
      <c r="E621" s="722"/>
      <c r="F621" s="716"/>
      <c r="G621" s="717"/>
      <c r="H621" s="718" t="s">
        <v>34</v>
      </c>
      <c r="I621" s="719">
        <f ca="1">IFERROR(__xludf.DUMMYFUNCTION("IMPORTRANGE(""https://docs.google.com/spreadsheets/d/1QqKyyYR6Q21VydFLVH3TRQUabQu_ym0Zz7PgGX0-kHA/edit?usp=sharing"",""แผน!HK67"")"),0)</f>
        <v>0</v>
      </c>
      <c r="J621" s="719">
        <f t="shared" si="260"/>
        <v>0</v>
      </c>
      <c r="K621" s="720">
        <f t="shared" ca="1" si="261"/>
        <v>0</v>
      </c>
      <c r="L621" s="721"/>
      <c r="M621" s="721"/>
      <c r="N621" s="721"/>
      <c r="O621" s="721"/>
      <c r="P621" s="721"/>
      <c r="Q621" s="571"/>
      <c r="R621" s="571"/>
      <c r="S621" s="571"/>
      <c r="T621" s="571"/>
      <c r="U621" s="571"/>
      <c r="V621" s="571"/>
      <c r="W621" s="571"/>
      <c r="X621" s="571"/>
      <c r="Y621" s="571"/>
      <c r="Z621" s="571"/>
    </row>
    <row r="622" spans="1:26" ht="18.75" hidden="1">
      <c r="A622" s="601"/>
      <c r="B622" s="611"/>
      <c r="C622" s="611"/>
      <c r="D622" s="737" t="s">
        <v>268</v>
      </c>
      <c r="E622" s="619"/>
      <c r="F622" s="619"/>
      <c r="G622" s="753"/>
      <c r="H622" s="755" t="s">
        <v>46</v>
      </c>
      <c r="I622" s="269"/>
      <c r="J622" s="214">
        <v>0</v>
      </c>
      <c r="K622" s="163"/>
      <c r="L622" s="163"/>
      <c r="M622" s="163"/>
      <c r="N622" s="163"/>
      <c r="O622" s="163"/>
      <c r="P622" s="163"/>
      <c r="Q622" s="571"/>
      <c r="R622" s="571"/>
      <c r="S622" s="571"/>
      <c r="T622" s="571"/>
      <c r="U622" s="571"/>
      <c r="V622" s="571"/>
      <c r="W622" s="571"/>
      <c r="X622" s="571"/>
      <c r="Y622" s="571"/>
      <c r="Z622" s="571"/>
    </row>
    <row r="623" spans="1:26" ht="18.75" hidden="1">
      <c r="A623" s="601"/>
      <c r="B623" s="611"/>
      <c r="C623" s="611"/>
      <c r="D623" s="611"/>
      <c r="E623" s="619"/>
      <c r="F623" s="619"/>
      <c r="G623" s="753"/>
      <c r="H623" s="755" t="s">
        <v>34</v>
      </c>
      <c r="I623" s="269"/>
      <c r="J623" s="214">
        <v>0</v>
      </c>
      <c r="K623" s="163"/>
      <c r="L623" s="163"/>
      <c r="M623" s="163"/>
      <c r="N623" s="163"/>
      <c r="O623" s="163"/>
      <c r="P623" s="163"/>
      <c r="Q623" s="571"/>
      <c r="R623" s="571"/>
      <c r="S623" s="571"/>
      <c r="T623" s="571"/>
      <c r="U623" s="571"/>
      <c r="V623" s="571"/>
      <c r="W623" s="571"/>
      <c r="X623" s="571"/>
      <c r="Y623" s="571"/>
      <c r="Z623" s="571"/>
    </row>
    <row r="624" spans="1:26" ht="18.75" hidden="1">
      <c r="A624" s="601"/>
      <c r="B624" s="611"/>
      <c r="C624" s="611"/>
      <c r="D624" s="737" t="s">
        <v>264</v>
      </c>
      <c r="E624" s="619"/>
      <c r="F624" s="619"/>
      <c r="G624" s="753"/>
      <c r="H624" s="755" t="s">
        <v>46</v>
      </c>
      <c r="I624" s="269"/>
      <c r="J624" s="214">
        <v>0</v>
      </c>
      <c r="K624" s="163"/>
      <c r="L624" s="163"/>
      <c r="M624" s="163"/>
      <c r="N624" s="163"/>
      <c r="O624" s="163"/>
      <c r="P624" s="163"/>
      <c r="Q624" s="571"/>
      <c r="R624" s="571"/>
      <c r="S624" s="571"/>
      <c r="T624" s="571"/>
      <c r="U624" s="571"/>
      <c r="V624" s="571"/>
      <c r="W624" s="571"/>
      <c r="X624" s="571"/>
      <c r="Y624" s="571"/>
      <c r="Z624" s="571"/>
    </row>
    <row r="625" spans="1:26" ht="18.75" hidden="1">
      <c r="A625" s="601"/>
      <c r="B625" s="611"/>
      <c r="C625" s="611"/>
      <c r="D625" s="611"/>
      <c r="E625" s="619"/>
      <c r="F625" s="619"/>
      <c r="G625" s="753"/>
      <c r="H625" s="755" t="s">
        <v>34</v>
      </c>
      <c r="I625" s="269"/>
      <c r="J625" s="214">
        <v>0</v>
      </c>
      <c r="K625" s="163"/>
      <c r="L625" s="163"/>
      <c r="M625" s="163"/>
      <c r="N625" s="163"/>
      <c r="O625" s="163"/>
      <c r="P625" s="163"/>
      <c r="Q625" s="571"/>
      <c r="R625" s="571"/>
      <c r="S625" s="571"/>
      <c r="T625" s="571"/>
      <c r="U625" s="571"/>
      <c r="V625" s="571"/>
      <c r="W625" s="571"/>
      <c r="X625" s="571"/>
      <c r="Y625" s="571"/>
      <c r="Z625" s="571"/>
    </row>
    <row r="626" spans="1:26" ht="18.75" hidden="1">
      <c r="A626" s="601"/>
      <c r="B626" s="611"/>
      <c r="C626" s="611"/>
      <c r="D626" s="737" t="s">
        <v>269</v>
      </c>
      <c r="E626" s="619"/>
      <c r="F626" s="619"/>
      <c r="G626" s="753"/>
      <c r="H626" s="755" t="s">
        <v>46</v>
      </c>
      <c r="I626" s="269"/>
      <c r="J626" s="214">
        <v>0</v>
      </c>
      <c r="K626" s="163"/>
      <c r="L626" s="163"/>
      <c r="M626" s="163"/>
      <c r="N626" s="163"/>
      <c r="O626" s="163"/>
      <c r="P626" s="163"/>
      <c r="Q626" s="571"/>
      <c r="R626" s="571"/>
      <c r="S626" s="571"/>
      <c r="T626" s="571"/>
      <c r="U626" s="571"/>
      <c r="V626" s="571"/>
      <c r="W626" s="571"/>
      <c r="X626" s="571"/>
      <c r="Y626" s="571"/>
      <c r="Z626" s="571"/>
    </row>
    <row r="627" spans="1:26" ht="18.75" hidden="1">
      <c r="A627" s="723"/>
      <c r="B627" s="724"/>
      <c r="C627" s="724"/>
      <c r="D627" s="724"/>
      <c r="E627" s="725"/>
      <c r="F627" s="725"/>
      <c r="G627" s="726"/>
      <c r="H627" s="421" t="s">
        <v>34</v>
      </c>
      <c r="I627" s="499"/>
      <c r="J627" s="423">
        <v>0</v>
      </c>
      <c r="K627" s="384"/>
      <c r="L627" s="384"/>
      <c r="M627" s="384"/>
      <c r="N627" s="384"/>
      <c r="O627" s="384"/>
      <c r="P627" s="384"/>
      <c r="Q627" s="571"/>
      <c r="R627" s="571"/>
      <c r="S627" s="571"/>
      <c r="T627" s="571"/>
      <c r="U627" s="571"/>
      <c r="V627" s="571"/>
      <c r="W627" s="571"/>
      <c r="X627" s="571"/>
      <c r="Y627" s="571"/>
      <c r="Z627" s="571"/>
    </row>
    <row r="628" spans="1:26" ht="19.5">
      <c r="A628" s="727">
        <v>7</v>
      </c>
      <c r="B628" s="728" t="s">
        <v>270</v>
      </c>
      <c r="C628" s="729"/>
      <c r="D628" s="729"/>
      <c r="E628" s="729"/>
      <c r="F628" s="729"/>
      <c r="G628" s="730"/>
      <c r="H628" s="731" t="s">
        <v>35</v>
      </c>
      <c r="I628" s="732">
        <f t="shared" ref="I628:J628" ca="1" si="262">I651</f>
        <v>400</v>
      </c>
      <c r="J628" s="732">
        <f t="shared" ca="1" si="262"/>
        <v>0</v>
      </c>
      <c r="K628" s="733">
        <f ca="1">IF(I628&gt;0,J628*100/I628,0)</f>
        <v>0</v>
      </c>
      <c r="L628" s="734"/>
      <c r="M628" s="734"/>
      <c r="N628" s="734"/>
      <c r="O628" s="734"/>
      <c r="P628" s="734"/>
      <c r="Q628" s="571"/>
      <c r="R628" s="571"/>
      <c r="S628" s="571"/>
      <c r="T628" s="571"/>
      <c r="U628" s="571"/>
      <c r="V628" s="571"/>
      <c r="W628" s="571"/>
      <c r="X628" s="571"/>
      <c r="Y628" s="571"/>
      <c r="Z628" s="571"/>
    </row>
    <row r="629" spans="1:26" ht="19.5">
      <c r="A629" s="590"/>
      <c r="B629" s="754"/>
      <c r="C629" s="754" t="s">
        <v>16</v>
      </c>
      <c r="D629" s="863" t="s">
        <v>17</v>
      </c>
      <c r="E629" s="857"/>
      <c r="F629" s="857"/>
      <c r="G629" s="189"/>
      <c r="H629" s="591" t="s">
        <v>12</v>
      </c>
      <c r="I629" s="269"/>
      <c r="J629" s="269"/>
      <c r="K629" s="496"/>
      <c r="L629" s="195">
        <f t="shared" ref="L629:N629" ca="1" si="263">L630+L631</f>
        <v>619055</v>
      </c>
      <c r="M629" s="195">
        <f t="shared" si="263"/>
        <v>0</v>
      </c>
      <c r="N629" s="195">
        <f t="shared" si="263"/>
        <v>99397.33</v>
      </c>
      <c r="O629" s="195">
        <f t="shared" ref="O629:O634" ca="1" si="264">IF(L629&gt;0,N629*100/L629,0)</f>
        <v>16.056300328726849</v>
      </c>
      <c r="P629" s="195">
        <f t="shared" ref="P629:P634" si="265">IF(M629&gt;0,N629*100/M629,0)</f>
        <v>0</v>
      </c>
      <c r="Q629" s="571"/>
      <c r="R629" s="571"/>
      <c r="S629" s="571"/>
      <c r="T629" s="571"/>
      <c r="U629" s="571"/>
      <c r="V629" s="571"/>
      <c r="W629" s="571"/>
      <c r="X629" s="571"/>
      <c r="Y629" s="571"/>
      <c r="Z629" s="571"/>
    </row>
    <row r="630" spans="1:26" ht="18.75" hidden="1">
      <c r="A630" s="592"/>
      <c r="B630" s="750"/>
      <c r="C630" s="750"/>
      <c r="D630" s="711"/>
      <c r="E630" s="750" t="s">
        <v>184</v>
      </c>
      <c r="F630" s="750"/>
      <c r="G630" s="596"/>
      <c r="H630" s="165" t="s">
        <v>12</v>
      </c>
      <c r="I630" s="610"/>
      <c r="J630" s="610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597"/>
      <c r="R630" s="597"/>
      <c r="S630" s="597"/>
      <c r="T630" s="597"/>
      <c r="U630" s="597"/>
      <c r="V630" s="597"/>
      <c r="W630" s="597"/>
      <c r="X630" s="597"/>
      <c r="Y630" s="597"/>
      <c r="Z630" s="597"/>
    </row>
    <row r="631" spans="1:26" ht="18.75" hidden="1">
      <c r="A631" s="592"/>
      <c r="B631" s="600"/>
      <c r="C631" s="750"/>
      <c r="D631" s="711"/>
      <c r="E631" s="750" t="s">
        <v>185</v>
      </c>
      <c r="F631" s="750"/>
      <c r="G631" s="596"/>
      <c r="H631" s="165" t="s">
        <v>12</v>
      </c>
      <c r="I631" s="610"/>
      <c r="J631" s="610"/>
      <c r="K631" s="93"/>
      <c r="L631" s="93">
        <f t="shared" ca="1" si="266"/>
        <v>619055</v>
      </c>
      <c r="M631" s="93">
        <f t="shared" si="266"/>
        <v>0</v>
      </c>
      <c r="N631" s="93">
        <f t="shared" si="266"/>
        <v>99397.33</v>
      </c>
      <c r="O631" s="93">
        <f t="shared" ca="1" si="264"/>
        <v>16.056300328726849</v>
      </c>
      <c r="P631" s="93">
        <f t="shared" si="265"/>
        <v>0</v>
      </c>
      <c r="Q631" s="597"/>
      <c r="R631" s="597"/>
      <c r="S631" s="597"/>
      <c r="T631" s="597"/>
      <c r="U631" s="597"/>
      <c r="V631" s="597"/>
      <c r="W631" s="597"/>
      <c r="X631" s="597"/>
      <c r="Y631" s="597"/>
      <c r="Z631" s="597"/>
    </row>
    <row r="632" spans="1:26" ht="18.75">
      <c r="A632" s="590"/>
      <c r="B632" s="568"/>
      <c r="C632" s="754"/>
      <c r="D632" s="599" t="s">
        <v>20</v>
      </c>
      <c r="E632" s="754"/>
      <c r="F632" s="754"/>
      <c r="G632" s="189"/>
      <c r="H632" s="161" t="s">
        <v>12</v>
      </c>
      <c r="I632" s="184"/>
      <c r="J632" s="184"/>
      <c r="K632" s="163"/>
      <c r="L632" s="496">
        <f t="shared" ref="L632:N632" ca="1" si="267">L633+L634</f>
        <v>619055</v>
      </c>
      <c r="M632" s="496">
        <f t="shared" si="267"/>
        <v>0</v>
      </c>
      <c r="N632" s="496">
        <f t="shared" si="267"/>
        <v>99397.33</v>
      </c>
      <c r="O632" s="496">
        <f t="shared" ca="1" si="264"/>
        <v>16.056300328726849</v>
      </c>
      <c r="P632" s="496">
        <f t="shared" si="265"/>
        <v>0</v>
      </c>
      <c r="Q632" s="571"/>
      <c r="R632" s="571"/>
      <c r="S632" s="571"/>
      <c r="T632" s="571"/>
      <c r="U632" s="571"/>
      <c r="V632" s="571"/>
      <c r="W632" s="571"/>
      <c r="X632" s="571"/>
      <c r="Y632" s="571"/>
      <c r="Z632" s="571"/>
    </row>
    <row r="633" spans="1:26" ht="18.75" hidden="1">
      <c r="A633" s="592"/>
      <c r="B633" s="600"/>
      <c r="C633" s="750"/>
      <c r="D633" s="711"/>
      <c r="E633" s="750" t="s">
        <v>184</v>
      </c>
      <c r="F633" s="750"/>
      <c r="G633" s="596"/>
      <c r="H633" s="165" t="s">
        <v>12</v>
      </c>
      <c r="I633" s="610"/>
      <c r="J633" s="610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597"/>
      <c r="R633" s="597"/>
      <c r="S633" s="597"/>
      <c r="T633" s="597"/>
      <c r="U633" s="597"/>
      <c r="V633" s="597"/>
      <c r="W633" s="597"/>
      <c r="X633" s="597"/>
      <c r="Y633" s="597"/>
      <c r="Z633" s="597"/>
    </row>
    <row r="634" spans="1:26" ht="18.75" hidden="1">
      <c r="A634" s="592"/>
      <c r="B634" s="600"/>
      <c r="C634" s="750"/>
      <c r="D634" s="711"/>
      <c r="E634" s="750" t="s">
        <v>185</v>
      </c>
      <c r="F634" s="750"/>
      <c r="G634" s="596"/>
      <c r="H634" s="165" t="s">
        <v>12</v>
      </c>
      <c r="I634" s="610"/>
      <c r="J634" s="610"/>
      <c r="K634" s="93"/>
      <c r="L634" s="93">
        <f ca="1">IFERROR(__xludf.DUMMYFUNCTION("IMPORTRANGE(""https://docs.google.com/spreadsheets/d/1QqKyyYR6Q21VydFLVH3TRQUabQu_ym0Zz7PgGX0-kHA/edit?usp=sharing"",""แผน!HN67"")"),619055)</f>
        <v>619055</v>
      </c>
      <c r="M634" s="93">
        <v>0</v>
      </c>
      <c r="N634" s="93">
        <f>N635+N636+N637+N638</f>
        <v>99397.33</v>
      </c>
      <c r="O634" s="93">
        <f t="shared" ca="1" si="264"/>
        <v>16.056300328726849</v>
      </c>
      <c r="P634" s="93">
        <f t="shared" si="265"/>
        <v>0</v>
      </c>
      <c r="Q634" s="597"/>
      <c r="R634" s="597"/>
      <c r="S634" s="597"/>
      <c r="T634" s="597"/>
      <c r="U634" s="597"/>
      <c r="V634" s="597"/>
      <c r="W634" s="597"/>
      <c r="X634" s="597"/>
      <c r="Y634" s="597"/>
      <c r="Z634" s="597"/>
    </row>
    <row r="635" spans="1:26" ht="18.75">
      <c r="A635" s="567"/>
      <c r="B635" s="568"/>
      <c r="C635" s="754"/>
      <c r="D635" s="754"/>
      <c r="E635" s="754"/>
      <c r="F635" s="754" t="s">
        <v>186</v>
      </c>
      <c r="G635" s="189"/>
      <c r="H635" s="161" t="s">
        <v>12</v>
      </c>
      <c r="I635" s="269"/>
      <c r="J635" s="269"/>
      <c r="K635" s="496"/>
      <c r="L635" s="496"/>
      <c r="M635" s="496"/>
      <c r="N635" s="817">
        <v>0</v>
      </c>
      <c r="O635" s="496"/>
      <c r="P635" s="496"/>
      <c r="Q635" s="571"/>
      <c r="R635" s="571"/>
      <c r="S635" s="571"/>
      <c r="T635" s="571"/>
      <c r="U635" s="571"/>
      <c r="V635" s="571"/>
      <c r="W635" s="571"/>
      <c r="X635" s="571"/>
      <c r="Y635" s="571"/>
      <c r="Z635" s="571"/>
    </row>
    <row r="636" spans="1:26" ht="18.75">
      <c r="A636" s="567"/>
      <c r="B636" s="568"/>
      <c r="C636" s="754"/>
      <c r="D636" s="754"/>
      <c r="E636" s="754"/>
      <c r="F636" s="754" t="s">
        <v>187</v>
      </c>
      <c r="G636" s="189"/>
      <c r="H636" s="161" t="s">
        <v>12</v>
      </c>
      <c r="I636" s="269"/>
      <c r="J636" s="269"/>
      <c r="K636" s="496"/>
      <c r="L636" s="496"/>
      <c r="M636" s="496"/>
      <c r="N636" s="817">
        <v>0</v>
      </c>
      <c r="O636" s="496"/>
      <c r="P636" s="496"/>
      <c r="Q636" s="571"/>
      <c r="R636" s="571"/>
      <c r="S636" s="571"/>
      <c r="T636" s="571"/>
      <c r="U636" s="571"/>
      <c r="V636" s="571"/>
      <c r="W636" s="571"/>
      <c r="X636" s="571"/>
      <c r="Y636" s="571"/>
      <c r="Z636" s="571"/>
    </row>
    <row r="637" spans="1:26" ht="18.75">
      <c r="A637" s="567"/>
      <c r="B637" s="568"/>
      <c r="C637" s="754"/>
      <c r="D637" s="754"/>
      <c r="E637" s="754"/>
      <c r="F637" s="754" t="s">
        <v>188</v>
      </c>
      <c r="G637" s="189"/>
      <c r="H637" s="161" t="s">
        <v>12</v>
      </c>
      <c r="I637" s="269"/>
      <c r="J637" s="269"/>
      <c r="K637" s="496"/>
      <c r="L637" s="496"/>
      <c r="M637" s="496"/>
      <c r="N637" s="817">
        <v>13000</v>
      </c>
      <c r="O637" s="496"/>
      <c r="P637" s="496"/>
      <c r="Q637" s="571"/>
      <c r="R637" s="571"/>
      <c r="S637" s="571"/>
      <c r="T637" s="571"/>
      <c r="U637" s="571"/>
      <c r="V637" s="571"/>
      <c r="W637" s="571"/>
      <c r="X637" s="571"/>
      <c r="Y637" s="571"/>
      <c r="Z637" s="571"/>
    </row>
    <row r="638" spans="1:26" ht="18.75">
      <c r="A638" s="567"/>
      <c r="B638" s="568"/>
      <c r="C638" s="754"/>
      <c r="D638" s="754"/>
      <c r="E638" s="754"/>
      <c r="F638" s="754" t="s">
        <v>189</v>
      </c>
      <c r="G638" s="189"/>
      <c r="H638" s="161" t="s">
        <v>12</v>
      </c>
      <c r="I638" s="269"/>
      <c r="J638" s="269"/>
      <c r="K638" s="496"/>
      <c r="L638" s="496"/>
      <c r="M638" s="496"/>
      <c r="N638" s="817">
        <v>86397.33</v>
      </c>
      <c r="O638" s="496"/>
      <c r="P638" s="496"/>
      <c r="Q638" s="571"/>
      <c r="R638" s="571"/>
      <c r="S638" s="571"/>
      <c r="T638" s="571"/>
      <c r="U638" s="571"/>
      <c r="V638" s="571"/>
      <c r="W638" s="571"/>
      <c r="X638" s="571"/>
      <c r="Y638" s="571"/>
      <c r="Z638" s="571"/>
    </row>
    <row r="639" spans="1:26" ht="18.75">
      <c r="A639" s="590"/>
      <c r="B639" s="568"/>
      <c r="C639" s="754"/>
      <c r="D639" s="599" t="s">
        <v>21</v>
      </c>
      <c r="E639" s="754"/>
      <c r="F639" s="754"/>
      <c r="G639" s="189"/>
      <c r="H639" s="168" t="s">
        <v>12</v>
      </c>
      <c r="I639" s="184"/>
      <c r="J639" s="184"/>
      <c r="K639" s="163"/>
      <c r="L639" s="496">
        <f t="shared" ref="L639:N639" ca="1" si="268">L640+L641</f>
        <v>0</v>
      </c>
      <c r="M639" s="496">
        <f t="shared" si="268"/>
        <v>0</v>
      </c>
      <c r="N639" s="496">
        <f t="shared" si="268"/>
        <v>0</v>
      </c>
      <c r="O639" s="496">
        <f t="shared" ref="O639:O641" ca="1" si="269">IF(L639&gt;0,N639*100/L639,0)</f>
        <v>0</v>
      </c>
      <c r="P639" s="496">
        <f t="shared" ref="P639:P641" si="270">IF(M639&gt;0,N639*100/M639,0)</f>
        <v>0</v>
      </c>
      <c r="Q639" s="571"/>
      <c r="R639" s="571"/>
      <c r="S639" s="571"/>
      <c r="T639" s="571"/>
      <c r="U639" s="571"/>
      <c r="V639" s="571"/>
      <c r="W639" s="571"/>
      <c r="X639" s="571"/>
      <c r="Y639" s="571"/>
      <c r="Z639" s="571"/>
    </row>
    <row r="640" spans="1:26" ht="18.75" hidden="1">
      <c r="A640" s="592"/>
      <c r="B640" s="600"/>
      <c r="C640" s="750"/>
      <c r="D640" s="750"/>
      <c r="E640" s="750" t="s">
        <v>18</v>
      </c>
      <c r="F640" s="750"/>
      <c r="G640" s="596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597"/>
      <c r="R640" s="597"/>
      <c r="S640" s="597"/>
      <c r="T640" s="597"/>
      <c r="U640" s="597"/>
      <c r="V640" s="597"/>
      <c r="W640" s="597"/>
      <c r="X640" s="597"/>
      <c r="Y640" s="597"/>
      <c r="Z640" s="597"/>
    </row>
    <row r="641" spans="1:26" ht="18.75" hidden="1">
      <c r="A641" s="592"/>
      <c r="B641" s="600"/>
      <c r="C641" s="750"/>
      <c r="D641" s="750"/>
      <c r="E641" s="750" t="s">
        <v>19</v>
      </c>
      <c r="F641" s="750"/>
      <c r="G641" s="596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IFERROR(__xludf.DUMMYFUNCTION("IMPORTRANGE(""https://docs.google.com/spreadsheets/d/1QqKyyYR6Q21VydFLVH3TRQUabQu_ym0Zz7PgGX0-kHA/edit?usp=sharing"",""แผน!HQ67"")"),0)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597"/>
      <c r="R641" s="597"/>
      <c r="S641" s="597"/>
      <c r="T641" s="597"/>
      <c r="U641" s="597"/>
      <c r="V641" s="597"/>
      <c r="W641" s="597"/>
      <c r="X641" s="597"/>
      <c r="Y641" s="597"/>
      <c r="Z641" s="597"/>
    </row>
    <row r="642" spans="1:26" ht="19.5">
      <c r="A642" s="601"/>
      <c r="B642" s="611"/>
      <c r="C642" s="754" t="s">
        <v>16</v>
      </c>
      <c r="D642" s="839" t="s">
        <v>38</v>
      </c>
      <c r="E642" s="752"/>
      <c r="F642" s="752"/>
      <c r="G642" s="606"/>
      <c r="H642" s="753"/>
      <c r="I642" s="184"/>
      <c r="J642" s="184"/>
      <c r="K642" s="163"/>
      <c r="L642" s="163"/>
      <c r="M642" s="163"/>
      <c r="N642" s="163"/>
      <c r="O642" s="163"/>
      <c r="P642" s="163"/>
      <c r="Q642" s="571"/>
      <c r="R642" s="571"/>
      <c r="S642" s="571"/>
      <c r="T642" s="571"/>
      <c r="U642" s="571"/>
      <c r="V642" s="571"/>
      <c r="W642" s="571"/>
      <c r="X642" s="571"/>
      <c r="Y642" s="571"/>
      <c r="Z642" s="571"/>
    </row>
    <row r="643" spans="1:26" ht="18.75">
      <c r="A643" s="735"/>
      <c r="B643" s="568"/>
      <c r="C643" s="754"/>
      <c r="D643" s="619"/>
      <c r="E643" s="737" t="s">
        <v>271</v>
      </c>
      <c r="F643" s="619"/>
      <c r="G643" s="753"/>
      <c r="H643" s="755" t="s">
        <v>272</v>
      </c>
      <c r="I643" s="269">
        <f ca="1">IFERROR(__xludf.DUMMYFUNCTION("IMPORTRANGE(""https://docs.google.com/spreadsheets/d/1QqKyyYR6Q21VydFLVH3TRQUabQu_ym0Zz7PgGX0-kHA/edit?usp=sharing"",""แผน!HR67"")"),7)</f>
        <v>7</v>
      </c>
      <c r="J643" s="214">
        <v>7</v>
      </c>
      <c r="K643" s="163">
        <f t="shared" ref="K643:K652" ca="1" si="271">IF(I643&gt;0,J643*100/I643,0)</f>
        <v>100</v>
      </c>
      <c r="L643" s="163"/>
      <c r="M643" s="163"/>
      <c r="N643" s="496"/>
      <c r="O643" s="163"/>
      <c r="P643" s="163"/>
      <c r="Q643" s="571"/>
      <c r="R643" s="571"/>
      <c r="S643" s="571"/>
      <c r="T643" s="571"/>
      <c r="U643" s="571"/>
      <c r="V643" s="571"/>
      <c r="W643" s="571"/>
      <c r="X643" s="571"/>
      <c r="Y643" s="571"/>
      <c r="Z643" s="571"/>
    </row>
    <row r="644" spans="1:26" ht="18.75">
      <c r="A644" s="735"/>
      <c r="B644" s="568"/>
      <c r="C644" s="754"/>
      <c r="D644" s="619"/>
      <c r="E644" s="737" t="s">
        <v>273</v>
      </c>
      <c r="F644" s="619"/>
      <c r="G644" s="753"/>
      <c r="H644" s="755" t="s">
        <v>274</v>
      </c>
      <c r="I644" s="269">
        <f ca="1">IFERROR(__xludf.DUMMYFUNCTION("IMPORTRANGE(""https://docs.google.com/spreadsheets/d/1QqKyyYR6Q21VydFLVH3TRQUabQu_ym0Zz7PgGX0-kHA/edit?usp=sharing"",""แผน!HR67"")"),7)</f>
        <v>7</v>
      </c>
      <c r="J644" s="214">
        <v>0</v>
      </c>
      <c r="K644" s="163">
        <f t="shared" ca="1" si="271"/>
        <v>0</v>
      </c>
      <c r="L644" s="163"/>
      <c r="M644" s="163"/>
      <c r="N644" s="496"/>
      <c r="O644" s="163"/>
      <c r="P644" s="163"/>
      <c r="Q644" s="571"/>
      <c r="R644" s="571"/>
      <c r="S644" s="571"/>
      <c r="T644" s="571"/>
      <c r="U644" s="571"/>
      <c r="V644" s="571"/>
      <c r="W644" s="571"/>
      <c r="X644" s="571"/>
      <c r="Y644" s="571"/>
      <c r="Z644" s="571"/>
    </row>
    <row r="645" spans="1:26" ht="18.75">
      <c r="A645" s="735"/>
      <c r="B645" s="568"/>
      <c r="C645" s="754"/>
      <c r="D645" s="619"/>
      <c r="E645" s="737" t="s">
        <v>275</v>
      </c>
      <c r="F645" s="619"/>
      <c r="G645" s="753"/>
      <c r="H645" s="755" t="s">
        <v>34</v>
      </c>
      <c r="I645" s="269">
        <v>0</v>
      </c>
      <c r="J645" s="269">
        <f ca="1">IFERROR(__xludf.DUMMYFUNCTION("IMPORTRANGE(""https://docs.google.com/spreadsheets/d/1XWAQStnk-4SwqDmLtmXYiTMKHgktTP8We1SCoS47DrQ/edit?usp=sharing"",""จัดที่ดิน!AS67"")"),0)</f>
        <v>0</v>
      </c>
      <c r="K645" s="163">
        <f t="shared" si="271"/>
        <v>0</v>
      </c>
      <c r="L645" s="163"/>
      <c r="M645" s="163"/>
      <c r="N645" s="496"/>
      <c r="O645" s="163"/>
      <c r="P645" s="163"/>
      <c r="Q645" s="571"/>
      <c r="R645" s="571"/>
      <c r="S645" s="571"/>
      <c r="T645" s="571"/>
      <c r="U645" s="571"/>
      <c r="V645" s="571"/>
      <c r="W645" s="571"/>
      <c r="X645" s="571"/>
      <c r="Y645" s="571"/>
      <c r="Z645" s="571"/>
    </row>
    <row r="646" spans="1:26" ht="18.75">
      <c r="A646" s="735"/>
      <c r="B646" s="568"/>
      <c r="C646" s="754"/>
      <c r="D646" s="619"/>
      <c r="E646" s="619"/>
      <c r="F646" s="619"/>
      <c r="G646" s="753"/>
      <c r="H646" s="755" t="s">
        <v>46</v>
      </c>
      <c r="I646" s="269">
        <v>0</v>
      </c>
      <c r="J646" s="269">
        <f ca="1">IFERROR(__xludf.DUMMYFUNCTION("IMPORTRANGE(""https://docs.google.com/spreadsheets/d/1XWAQStnk-4SwqDmLtmXYiTMKHgktTP8We1SCoS47DrQ/edit?usp=sharing"",""จัดที่ดิน!AT67"")"),0)</f>
        <v>0</v>
      </c>
      <c r="K646" s="496">
        <f t="shared" si="271"/>
        <v>0</v>
      </c>
      <c r="L646" s="163"/>
      <c r="M646" s="163"/>
      <c r="N646" s="496"/>
      <c r="O646" s="163"/>
      <c r="P646" s="163"/>
      <c r="Q646" s="571"/>
      <c r="R646" s="571"/>
      <c r="S646" s="571"/>
      <c r="T646" s="571"/>
      <c r="U646" s="571"/>
      <c r="V646" s="571"/>
      <c r="W646" s="571"/>
      <c r="X646" s="571"/>
      <c r="Y646" s="571"/>
      <c r="Z646" s="571"/>
    </row>
    <row r="647" spans="1:26" ht="18.75">
      <c r="A647" s="735"/>
      <c r="B647" s="568"/>
      <c r="C647" s="754"/>
      <c r="D647" s="619"/>
      <c r="E647" s="737" t="s">
        <v>162</v>
      </c>
      <c r="F647" s="619"/>
      <c r="G647" s="753"/>
      <c r="H647" s="755" t="s">
        <v>35</v>
      </c>
      <c r="I647" s="269">
        <f ca="1">IFERROR(__xludf.DUMMYFUNCTION("IMPORTRANGE(""https://docs.google.com/spreadsheets/d/1QqKyyYR6Q21VydFLVH3TRQUabQu_ym0Zz7PgGX0-kHA/edit?usp=sharing"",""แผน!HS67"")"),400)</f>
        <v>400</v>
      </c>
      <c r="J647" s="269">
        <f ca="1">IFERROR(__xludf.DUMMYFUNCTION("IMPORTRANGE(""https://docs.google.com/spreadsheets/d/1XWAQStnk-4SwqDmLtmXYiTMKHgktTP8We1SCoS47DrQ/edit?usp=sharing"",""จัดที่ดิน!AU67"")"),0)</f>
        <v>0</v>
      </c>
      <c r="K647" s="163">
        <f t="shared" ca="1" si="271"/>
        <v>0</v>
      </c>
      <c r="L647" s="163"/>
      <c r="M647" s="163"/>
      <c r="N647" s="163"/>
      <c r="O647" s="163"/>
      <c r="P647" s="163"/>
      <c r="Q647" s="571"/>
      <c r="R647" s="571"/>
      <c r="S647" s="571"/>
      <c r="T647" s="571"/>
      <c r="U647" s="571"/>
      <c r="V647" s="571"/>
      <c r="W647" s="571"/>
      <c r="X647" s="571"/>
      <c r="Y647" s="571"/>
      <c r="Z647" s="571"/>
    </row>
    <row r="648" spans="1:26" ht="18.75">
      <c r="A648" s="735"/>
      <c r="B648" s="568"/>
      <c r="C648" s="754"/>
      <c r="D648" s="619"/>
      <c r="E648" s="619"/>
      <c r="F648" s="619"/>
      <c r="G648" s="753"/>
      <c r="H648" s="755" t="s">
        <v>46</v>
      </c>
      <c r="I648" s="269">
        <v>0</v>
      </c>
      <c r="J648" s="269">
        <f ca="1">IFERROR(__xludf.DUMMYFUNCTION("IMPORTRANGE(""https://docs.google.com/spreadsheets/d/1XWAQStnk-4SwqDmLtmXYiTMKHgktTP8We1SCoS47DrQ/edit?usp=sharing"",""จัดที่ดิน!AV67"")"),0)</f>
        <v>0</v>
      </c>
      <c r="K648" s="496">
        <f t="shared" si="271"/>
        <v>0</v>
      </c>
      <c r="L648" s="163"/>
      <c r="M648" s="163"/>
      <c r="N648" s="163"/>
      <c r="O648" s="163"/>
      <c r="P648" s="163"/>
      <c r="Q648" s="571"/>
      <c r="R648" s="571"/>
      <c r="S648" s="571"/>
      <c r="T648" s="571"/>
      <c r="U648" s="571"/>
      <c r="V648" s="571"/>
      <c r="W648" s="571"/>
      <c r="X648" s="571"/>
      <c r="Y648" s="571"/>
      <c r="Z648" s="571"/>
    </row>
    <row r="649" spans="1:26" ht="18.75">
      <c r="A649" s="735"/>
      <c r="B649" s="568"/>
      <c r="C649" s="754"/>
      <c r="D649" s="619"/>
      <c r="E649" s="737" t="s">
        <v>276</v>
      </c>
      <c r="F649" s="619"/>
      <c r="G649" s="753"/>
      <c r="H649" s="755" t="s">
        <v>35</v>
      </c>
      <c r="I649" s="269">
        <f ca="1">IFERROR(__xludf.DUMMYFUNCTION("IMPORTRANGE(""https://docs.google.com/spreadsheets/d/1QqKyyYR6Q21VydFLVH3TRQUabQu_ym0Zz7PgGX0-kHA/edit?usp=sharing"",""แผน!HS67"")"),400)</f>
        <v>400</v>
      </c>
      <c r="J649" s="269">
        <f ca="1">IFERROR(__xludf.DUMMYFUNCTION("IMPORTRANGE(""https://docs.google.com/spreadsheets/d/1XWAQStnk-4SwqDmLtmXYiTMKHgktTP8We1SCoS47DrQ/edit?usp=sharing"",""จัดที่ดิน!AW67"")"),0)</f>
        <v>0</v>
      </c>
      <c r="K649" s="163">
        <f t="shared" ca="1" si="271"/>
        <v>0</v>
      </c>
      <c r="L649" s="163"/>
      <c r="M649" s="163"/>
      <c r="N649" s="163"/>
      <c r="O649" s="163"/>
      <c r="P649" s="163"/>
      <c r="Q649" s="571"/>
      <c r="R649" s="571"/>
      <c r="S649" s="571"/>
      <c r="T649" s="571"/>
      <c r="U649" s="571"/>
      <c r="V649" s="571"/>
      <c r="W649" s="571"/>
      <c r="X649" s="571"/>
      <c r="Y649" s="571"/>
      <c r="Z649" s="571"/>
    </row>
    <row r="650" spans="1:26" ht="18.75">
      <c r="A650" s="735"/>
      <c r="B650" s="568"/>
      <c r="C650" s="754"/>
      <c r="D650" s="619"/>
      <c r="E650" s="619"/>
      <c r="F650" s="619"/>
      <c r="G650" s="753"/>
      <c r="H650" s="755" t="s">
        <v>46</v>
      </c>
      <c r="I650" s="269">
        <v>0</v>
      </c>
      <c r="J650" s="269">
        <f ca="1">IFERROR(__xludf.DUMMYFUNCTION("IMPORTRANGE(""https://docs.google.com/spreadsheets/d/1XWAQStnk-4SwqDmLtmXYiTMKHgktTP8We1SCoS47DrQ/edit?usp=sharing"",""จัดที่ดิน!AX67"")"),0)</f>
        <v>0</v>
      </c>
      <c r="K650" s="496">
        <f t="shared" si="271"/>
        <v>0</v>
      </c>
      <c r="L650" s="163"/>
      <c r="M650" s="163"/>
      <c r="N650" s="163"/>
      <c r="O650" s="163"/>
      <c r="P650" s="163"/>
      <c r="Q650" s="571"/>
      <c r="R650" s="571"/>
      <c r="S650" s="571"/>
      <c r="T650" s="571"/>
      <c r="U650" s="571"/>
      <c r="V650" s="571"/>
      <c r="W650" s="571"/>
      <c r="X650" s="571"/>
      <c r="Y650" s="571"/>
      <c r="Z650" s="571"/>
    </row>
    <row r="651" spans="1:26" ht="18.75">
      <c r="A651" s="735"/>
      <c r="B651" s="568"/>
      <c r="C651" s="754"/>
      <c r="D651" s="619"/>
      <c r="E651" s="737" t="s">
        <v>277</v>
      </c>
      <c r="F651" s="619"/>
      <c r="G651" s="753"/>
      <c r="H651" s="755" t="s">
        <v>35</v>
      </c>
      <c r="I651" s="269">
        <f ca="1">IFERROR(__xludf.DUMMYFUNCTION("IMPORTRANGE(""https://docs.google.com/spreadsheets/d/1QqKyyYR6Q21VydFLVH3TRQUabQu_ym0Zz7PgGX0-kHA/edit?usp=sharing"",""แผน!HS67"")"),400)</f>
        <v>400</v>
      </c>
      <c r="J651" s="269">
        <f ca="1">IFERROR(__xludf.DUMMYFUNCTION("IMPORTRANGE(""https://docs.google.com/spreadsheets/d/1XWAQStnk-4SwqDmLtmXYiTMKHgktTP8We1SCoS47DrQ/edit?usp=sharing"",""จัดที่ดิน!AY67"")"),0)</f>
        <v>0</v>
      </c>
      <c r="K651" s="163">
        <f t="shared" ca="1" si="271"/>
        <v>0</v>
      </c>
      <c r="L651" s="163"/>
      <c r="M651" s="163"/>
      <c r="N651" s="163"/>
      <c r="O651" s="163"/>
      <c r="P651" s="163"/>
      <c r="Q651" s="571"/>
      <c r="R651" s="571"/>
      <c r="S651" s="571"/>
      <c r="T651" s="571"/>
      <c r="U651" s="571"/>
      <c r="V651" s="571"/>
      <c r="W651" s="571"/>
      <c r="X651" s="571"/>
      <c r="Y651" s="571"/>
      <c r="Z651" s="571"/>
    </row>
    <row r="652" spans="1:26" ht="18.75">
      <c r="A652" s="738"/>
      <c r="B652" s="739"/>
      <c r="C652" s="740"/>
      <c r="D652" s="725"/>
      <c r="E652" s="725"/>
      <c r="F652" s="725"/>
      <c r="G652" s="726"/>
      <c r="H652" s="498" t="s">
        <v>46</v>
      </c>
      <c r="I652" s="499">
        <v>0</v>
      </c>
      <c r="J652" s="499">
        <f ca="1">IFERROR(__xludf.DUMMYFUNCTION("IMPORTRANGE(""https://docs.google.com/spreadsheets/d/1XWAQStnk-4SwqDmLtmXYiTMKHgktTP8We1SCoS47DrQ/edit?usp=sharing"",""จัดที่ดิน!AZ67"")"),0)</f>
        <v>0</v>
      </c>
      <c r="K652" s="500">
        <f t="shared" si="271"/>
        <v>0</v>
      </c>
      <c r="L652" s="384"/>
      <c r="M652" s="384"/>
      <c r="N652" s="384"/>
      <c r="O652" s="384"/>
      <c r="P652" s="384"/>
      <c r="Q652" s="571"/>
      <c r="R652" s="571"/>
      <c r="S652" s="571"/>
      <c r="T652" s="571"/>
      <c r="U652" s="571"/>
      <c r="V652" s="571"/>
      <c r="W652" s="571"/>
      <c r="X652" s="571"/>
      <c r="Y652" s="571"/>
      <c r="Z652" s="571"/>
    </row>
    <row r="653" spans="1:26" ht="19.5">
      <c r="A653" s="741">
        <v>8</v>
      </c>
      <c r="B653" s="728" t="s">
        <v>278</v>
      </c>
      <c r="C653" s="729"/>
      <c r="D653" s="729"/>
      <c r="E653" s="729"/>
      <c r="F653" s="729"/>
      <c r="G653" s="730"/>
      <c r="H653" s="730"/>
      <c r="I653" s="742"/>
      <c r="J653" s="742"/>
      <c r="K653" s="734"/>
      <c r="L653" s="734"/>
      <c r="M653" s="734"/>
      <c r="N653" s="734"/>
      <c r="O653" s="734"/>
      <c r="P653" s="734"/>
      <c r="Q653" s="571"/>
      <c r="R653" s="571"/>
      <c r="S653" s="571"/>
      <c r="T653" s="571"/>
      <c r="U653" s="571"/>
      <c r="V653" s="571"/>
      <c r="W653" s="571"/>
      <c r="X653" s="571"/>
      <c r="Y653" s="571"/>
      <c r="Z653" s="571"/>
    </row>
    <row r="654" spans="1:26" ht="19.5" hidden="1">
      <c r="A654" s="666"/>
      <c r="B654" s="665" t="s">
        <v>279</v>
      </c>
      <c r="C654" s="666"/>
      <c r="D654" s="666"/>
      <c r="E654" s="666"/>
      <c r="F654" s="666"/>
      <c r="G654" s="667"/>
      <c r="H654" s="698" t="s">
        <v>46</v>
      </c>
      <c r="I654" s="699">
        <f t="shared" ref="I654:J654" ca="1" si="272">I669</f>
        <v>0</v>
      </c>
      <c r="J654" s="699">
        <f t="shared" si="272"/>
        <v>0</v>
      </c>
      <c r="K654" s="670">
        <f ca="1">IF(I654&gt;0,J654*100/I654,0)</f>
        <v>0</v>
      </c>
      <c r="L654" s="671"/>
      <c r="M654" s="671"/>
      <c r="N654" s="671"/>
      <c r="O654" s="671"/>
      <c r="P654" s="671"/>
      <c r="Q654" s="571"/>
      <c r="R654" s="571"/>
      <c r="S654" s="571"/>
      <c r="T654" s="571"/>
      <c r="U654" s="571"/>
      <c r="V654" s="571"/>
      <c r="W654" s="571"/>
      <c r="X654" s="571"/>
      <c r="Y654" s="571"/>
      <c r="Z654" s="571"/>
    </row>
    <row r="655" spans="1:26" ht="19.5" hidden="1">
      <c r="A655" s="590"/>
      <c r="B655" s="754"/>
      <c r="C655" s="754" t="s">
        <v>16</v>
      </c>
      <c r="D655" s="863" t="s">
        <v>17</v>
      </c>
      <c r="E655" s="857"/>
      <c r="F655" s="857"/>
      <c r="G655" s="189"/>
      <c r="H655" s="591" t="s">
        <v>12</v>
      </c>
      <c r="I655" s="269"/>
      <c r="J655" s="269"/>
      <c r="K655" s="496"/>
      <c r="L655" s="195">
        <f t="shared" ref="L655:N655" ca="1" si="273">L656+L657</f>
        <v>0</v>
      </c>
      <c r="M655" s="195">
        <f t="shared" si="273"/>
        <v>0</v>
      </c>
      <c r="N655" s="195">
        <f t="shared" si="273"/>
        <v>0</v>
      </c>
      <c r="O655" s="195">
        <f t="shared" ref="O655:O660" ca="1" si="274">IF(L655&gt;0,N655*100/L655,0)</f>
        <v>0</v>
      </c>
      <c r="P655" s="195">
        <f t="shared" ref="P655:P660" si="275">IF(M655&gt;0,N655*100/M655,0)</f>
        <v>0</v>
      </c>
      <c r="Q655" s="571"/>
      <c r="R655" s="571"/>
      <c r="S655" s="571"/>
      <c r="T655" s="571"/>
      <c r="U655" s="571"/>
      <c r="V655" s="571"/>
      <c r="W655" s="571"/>
      <c r="X655" s="571"/>
      <c r="Y655" s="571"/>
      <c r="Z655" s="571"/>
    </row>
    <row r="656" spans="1:26" ht="18.75" hidden="1">
      <c r="A656" s="592"/>
      <c r="B656" s="750"/>
      <c r="C656" s="750"/>
      <c r="D656" s="711"/>
      <c r="E656" s="750" t="s">
        <v>184</v>
      </c>
      <c r="F656" s="750"/>
      <c r="G656" s="596"/>
      <c r="H656" s="165" t="s">
        <v>12</v>
      </c>
      <c r="I656" s="610"/>
      <c r="J656" s="610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597"/>
      <c r="R656" s="597"/>
      <c r="S656" s="597"/>
      <c r="T656" s="597"/>
      <c r="U656" s="597"/>
      <c r="V656" s="597"/>
      <c r="W656" s="597"/>
      <c r="X656" s="597"/>
      <c r="Y656" s="597"/>
      <c r="Z656" s="597"/>
    </row>
    <row r="657" spans="1:26" ht="18.75" hidden="1">
      <c r="A657" s="592"/>
      <c r="B657" s="600"/>
      <c r="C657" s="750"/>
      <c r="D657" s="711"/>
      <c r="E657" s="750" t="s">
        <v>185</v>
      </c>
      <c r="F657" s="750"/>
      <c r="G657" s="596"/>
      <c r="H657" s="165" t="s">
        <v>12</v>
      </c>
      <c r="I657" s="610"/>
      <c r="J657" s="610"/>
      <c r="K657" s="93"/>
      <c r="L657" s="93">
        <f t="shared" ca="1" si="276"/>
        <v>0</v>
      </c>
      <c r="M657" s="93">
        <f t="shared" si="276"/>
        <v>0</v>
      </c>
      <c r="N657" s="93">
        <f t="shared" si="276"/>
        <v>0</v>
      </c>
      <c r="O657" s="93">
        <f t="shared" ca="1" si="274"/>
        <v>0</v>
      </c>
      <c r="P657" s="93">
        <f t="shared" si="275"/>
        <v>0</v>
      </c>
      <c r="Q657" s="597"/>
      <c r="R657" s="597"/>
      <c r="S657" s="597"/>
      <c r="T657" s="597"/>
      <c r="U657" s="597"/>
      <c r="V657" s="597"/>
      <c r="W657" s="597"/>
      <c r="X657" s="597"/>
      <c r="Y657" s="597"/>
      <c r="Z657" s="597"/>
    </row>
    <row r="658" spans="1:26" ht="18.75" hidden="1">
      <c r="A658" s="590"/>
      <c r="B658" s="568"/>
      <c r="C658" s="754"/>
      <c r="D658" s="599" t="s">
        <v>20</v>
      </c>
      <c r="E658" s="754"/>
      <c r="F658" s="754"/>
      <c r="G658" s="189"/>
      <c r="H658" s="161" t="s">
        <v>12</v>
      </c>
      <c r="I658" s="184"/>
      <c r="J658" s="184"/>
      <c r="K658" s="163"/>
      <c r="L658" s="496">
        <f t="shared" ref="L658:N658" ca="1" si="277">L659+L660</f>
        <v>0</v>
      </c>
      <c r="M658" s="496">
        <f t="shared" si="277"/>
        <v>0</v>
      </c>
      <c r="N658" s="496">
        <f t="shared" si="277"/>
        <v>0</v>
      </c>
      <c r="O658" s="496">
        <f t="shared" ca="1" si="274"/>
        <v>0</v>
      </c>
      <c r="P658" s="496">
        <f t="shared" si="275"/>
        <v>0</v>
      </c>
      <c r="Q658" s="571"/>
      <c r="R658" s="571"/>
      <c r="S658" s="571"/>
      <c r="T658" s="571"/>
      <c r="U658" s="571"/>
      <c r="V658" s="571"/>
      <c r="W658" s="571"/>
      <c r="X658" s="571"/>
      <c r="Y658" s="571"/>
      <c r="Z658" s="571"/>
    </row>
    <row r="659" spans="1:26" ht="18.75" hidden="1">
      <c r="A659" s="592"/>
      <c r="B659" s="600"/>
      <c r="C659" s="750"/>
      <c r="D659" s="711"/>
      <c r="E659" s="750" t="s">
        <v>184</v>
      </c>
      <c r="F659" s="750"/>
      <c r="G659" s="596"/>
      <c r="H659" s="165" t="s">
        <v>12</v>
      </c>
      <c r="I659" s="610"/>
      <c r="J659" s="610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597"/>
      <c r="R659" s="597"/>
      <c r="S659" s="597"/>
      <c r="T659" s="597"/>
      <c r="U659" s="597"/>
      <c r="V659" s="597"/>
      <c r="W659" s="597"/>
      <c r="X659" s="597"/>
      <c r="Y659" s="597"/>
      <c r="Z659" s="597"/>
    </row>
    <row r="660" spans="1:26" ht="18.75" hidden="1">
      <c r="A660" s="592"/>
      <c r="B660" s="600"/>
      <c r="C660" s="750"/>
      <c r="D660" s="711"/>
      <c r="E660" s="750" t="s">
        <v>185</v>
      </c>
      <c r="F660" s="750"/>
      <c r="G660" s="596"/>
      <c r="H660" s="165" t="s">
        <v>12</v>
      </c>
      <c r="I660" s="610"/>
      <c r="J660" s="610"/>
      <c r="K660" s="93"/>
      <c r="L660" s="93">
        <f ca="1">IFERROR(__xludf.DUMMYFUNCTION("IMPORTRANGE(""https://docs.google.com/spreadsheets/d/1QqKyyYR6Q21VydFLVH3TRQUabQu_ym0Zz7PgGX0-kHA/edit?usp=sharing"",""แผน!HV67"")"),0)</f>
        <v>0</v>
      </c>
      <c r="M660" s="93">
        <v>0</v>
      </c>
      <c r="N660" s="93">
        <f>N661+N662+N663+N664</f>
        <v>0</v>
      </c>
      <c r="O660" s="93">
        <f t="shared" ca="1" si="274"/>
        <v>0</v>
      </c>
      <c r="P660" s="93">
        <f t="shared" si="275"/>
        <v>0</v>
      </c>
      <c r="Q660" s="597"/>
      <c r="R660" s="597"/>
      <c r="S660" s="597"/>
      <c r="T660" s="597"/>
      <c r="U660" s="597"/>
      <c r="V660" s="597"/>
      <c r="W660" s="597"/>
      <c r="X660" s="597"/>
      <c r="Y660" s="597"/>
      <c r="Z660" s="597"/>
    </row>
    <row r="661" spans="1:26" ht="18.75" hidden="1">
      <c r="A661" s="567"/>
      <c r="B661" s="568"/>
      <c r="C661" s="754"/>
      <c r="D661" s="754"/>
      <c r="E661" s="754"/>
      <c r="F661" s="754" t="s">
        <v>186</v>
      </c>
      <c r="G661" s="189"/>
      <c r="H661" s="161" t="s">
        <v>12</v>
      </c>
      <c r="I661" s="269"/>
      <c r="J661" s="269"/>
      <c r="K661" s="496"/>
      <c r="L661" s="496"/>
      <c r="M661" s="496"/>
      <c r="N661" s="817">
        <v>0</v>
      </c>
      <c r="O661" s="496"/>
      <c r="P661" s="496"/>
      <c r="Q661" s="571"/>
      <c r="R661" s="571"/>
      <c r="S661" s="571"/>
      <c r="T661" s="571"/>
      <c r="U661" s="571"/>
      <c r="V661" s="571"/>
      <c r="W661" s="571"/>
      <c r="X661" s="571"/>
      <c r="Y661" s="571"/>
      <c r="Z661" s="571"/>
    </row>
    <row r="662" spans="1:26" ht="18.75" hidden="1">
      <c r="A662" s="567"/>
      <c r="B662" s="568"/>
      <c r="C662" s="754"/>
      <c r="D662" s="754"/>
      <c r="E662" s="754"/>
      <c r="F662" s="754" t="s">
        <v>187</v>
      </c>
      <c r="G662" s="189"/>
      <c r="H662" s="161" t="s">
        <v>12</v>
      </c>
      <c r="I662" s="269"/>
      <c r="J662" s="269"/>
      <c r="K662" s="496"/>
      <c r="L662" s="496"/>
      <c r="M662" s="496"/>
      <c r="N662" s="817">
        <v>0</v>
      </c>
      <c r="O662" s="496"/>
      <c r="P662" s="496"/>
      <c r="Q662" s="571"/>
      <c r="R662" s="571"/>
      <c r="S662" s="571"/>
      <c r="T662" s="571"/>
      <c r="U662" s="571"/>
      <c r="V662" s="571"/>
      <c r="W662" s="571"/>
      <c r="X662" s="571"/>
      <c r="Y662" s="571"/>
      <c r="Z662" s="571"/>
    </row>
    <row r="663" spans="1:26" ht="18.75" hidden="1">
      <c r="A663" s="567"/>
      <c r="B663" s="568"/>
      <c r="C663" s="568"/>
      <c r="D663" s="754"/>
      <c r="E663" s="754"/>
      <c r="F663" s="754" t="s">
        <v>188</v>
      </c>
      <c r="G663" s="189"/>
      <c r="H663" s="161" t="s">
        <v>12</v>
      </c>
      <c r="I663" s="269"/>
      <c r="J663" s="269"/>
      <c r="K663" s="496"/>
      <c r="L663" s="496"/>
      <c r="M663" s="496"/>
      <c r="N663" s="817">
        <v>0</v>
      </c>
      <c r="O663" s="496"/>
      <c r="P663" s="496"/>
      <c r="Q663" s="571"/>
      <c r="R663" s="571"/>
      <c r="S663" s="571"/>
      <c r="T663" s="571"/>
      <c r="U663" s="571"/>
      <c r="V663" s="571"/>
      <c r="W663" s="571"/>
      <c r="X663" s="571"/>
      <c r="Y663" s="571"/>
      <c r="Z663" s="571"/>
    </row>
    <row r="664" spans="1:26" ht="18.75" hidden="1">
      <c r="A664" s="567"/>
      <c r="B664" s="568"/>
      <c r="C664" s="568"/>
      <c r="D664" s="568"/>
      <c r="E664" s="754"/>
      <c r="F664" s="754" t="s">
        <v>189</v>
      </c>
      <c r="G664" s="189"/>
      <c r="H664" s="161" t="s">
        <v>12</v>
      </c>
      <c r="I664" s="269"/>
      <c r="J664" s="269"/>
      <c r="K664" s="496"/>
      <c r="L664" s="496"/>
      <c r="M664" s="496"/>
      <c r="N664" s="817">
        <v>0</v>
      </c>
      <c r="O664" s="496"/>
      <c r="P664" s="496"/>
      <c r="Q664" s="571"/>
      <c r="R664" s="571"/>
      <c r="S664" s="571"/>
      <c r="T664" s="571"/>
      <c r="U664" s="571"/>
      <c r="V664" s="571"/>
      <c r="W664" s="571"/>
      <c r="X664" s="571"/>
      <c r="Y664" s="571"/>
      <c r="Z664" s="571"/>
    </row>
    <row r="665" spans="1:26" ht="18.75" hidden="1">
      <c r="A665" s="590"/>
      <c r="B665" s="568"/>
      <c r="C665" s="568"/>
      <c r="D665" s="599" t="s">
        <v>21</v>
      </c>
      <c r="E665" s="754"/>
      <c r="F665" s="754"/>
      <c r="G665" s="189"/>
      <c r="H665" s="168" t="s">
        <v>12</v>
      </c>
      <c r="I665" s="184"/>
      <c r="J665" s="184"/>
      <c r="K665" s="163"/>
      <c r="L665" s="496">
        <f t="shared" ref="L665:N665" si="278">L666+L667</f>
        <v>0</v>
      </c>
      <c r="M665" s="496">
        <f t="shared" si="278"/>
        <v>0</v>
      </c>
      <c r="N665" s="496">
        <f t="shared" si="278"/>
        <v>0</v>
      </c>
      <c r="O665" s="496">
        <f t="shared" ref="O665:O667" si="279">IF(L665&gt;0,N665*100/L665,0)</f>
        <v>0</v>
      </c>
      <c r="P665" s="496">
        <f t="shared" ref="P665:P667" si="280">IF(M665&gt;0,N665*100/M665,0)</f>
        <v>0</v>
      </c>
      <c r="Q665" s="571"/>
      <c r="R665" s="571"/>
      <c r="S665" s="571"/>
      <c r="T665" s="571"/>
      <c r="U665" s="571"/>
      <c r="V665" s="571"/>
      <c r="W665" s="571"/>
      <c r="X665" s="571"/>
      <c r="Y665" s="571"/>
      <c r="Z665" s="571"/>
    </row>
    <row r="666" spans="1:26" ht="18.75" hidden="1">
      <c r="A666" s="592"/>
      <c r="B666" s="600"/>
      <c r="C666" s="600"/>
      <c r="D666" s="600"/>
      <c r="E666" s="750" t="s">
        <v>18</v>
      </c>
      <c r="F666" s="750"/>
      <c r="G666" s="596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597"/>
      <c r="R666" s="597"/>
      <c r="S666" s="597"/>
      <c r="T666" s="597"/>
      <c r="U666" s="597"/>
      <c r="V666" s="597"/>
      <c r="W666" s="597"/>
      <c r="X666" s="597"/>
      <c r="Y666" s="597"/>
      <c r="Z666" s="597"/>
    </row>
    <row r="667" spans="1:26" ht="18.75" hidden="1">
      <c r="A667" s="592"/>
      <c r="B667" s="600"/>
      <c r="C667" s="600"/>
      <c r="D667" s="600"/>
      <c r="E667" s="750" t="s">
        <v>19</v>
      </c>
      <c r="F667" s="750"/>
      <c r="G667" s="596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597"/>
      <c r="R667" s="597"/>
      <c r="S667" s="597"/>
      <c r="T667" s="597"/>
      <c r="U667" s="597"/>
      <c r="V667" s="597"/>
      <c r="W667" s="597"/>
      <c r="X667" s="597"/>
      <c r="Y667" s="597"/>
      <c r="Z667" s="597"/>
    </row>
    <row r="668" spans="1:26" ht="19.5" hidden="1">
      <c r="A668" s="601"/>
      <c r="B668" s="611"/>
      <c r="C668" s="568" t="s">
        <v>16</v>
      </c>
      <c r="D668" s="836" t="s">
        <v>38</v>
      </c>
      <c r="E668" s="752"/>
      <c r="F668" s="752"/>
      <c r="G668" s="606"/>
      <c r="H668" s="753"/>
      <c r="I668" s="184"/>
      <c r="J668" s="184"/>
      <c r="K668" s="163"/>
      <c r="L668" s="163"/>
      <c r="M668" s="163"/>
      <c r="N668" s="163"/>
      <c r="O668" s="163"/>
      <c r="P668" s="163"/>
      <c r="Q668" s="571"/>
      <c r="R668" s="571"/>
      <c r="S668" s="571"/>
      <c r="T668" s="571"/>
      <c r="U668" s="571"/>
      <c r="V668" s="571"/>
      <c r="W668" s="571"/>
      <c r="X668" s="571"/>
      <c r="Y668" s="571"/>
      <c r="Z668" s="571"/>
    </row>
    <row r="669" spans="1:26" ht="19.5" hidden="1">
      <c r="A669" s="601"/>
      <c r="B669" s="611"/>
      <c r="C669" s="611"/>
      <c r="D669" s="611" t="s">
        <v>280</v>
      </c>
      <c r="E669" s="619"/>
      <c r="F669" s="619"/>
      <c r="G669" s="753"/>
      <c r="H669" s="758" t="s">
        <v>46</v>
      </c>
      <c r="I669" s="674">
        <f ca="1">IFERROR(__xludf.DUMMYFUNCTION("IMPORTRANGE(""https://docs.google.com/spreadsheets/d/1QqKyyYR6Q21VydFLVH3TRQUabQu_ym0Zz7PgGX0-kHA/edit?usp=sharing"",""แผน!IA67"")"),0)</f>
        <v>0</v>
      </c>
      <c r="J669" s="674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1"/>
      <c r="R669" s="571"/>
      <c r="S669" s="571"/>
      <c r="T669" s="571"/>
      <c r="U669" s="571"/>
      <c r="V669" s="571"/>
      <c r="W669" s="571"/>
      <c r="X669" s="571"/>
      <c r="Y669" s="571"/>
      <c r="Z669" s="571"/>
    </row>
    <row r="670" spans="1:26" ht="18.75" hidden="1">
      <c r="A670" s="601"/>
      <c r="B670" s="611"/>
      <c r="C670" s="611"/>
      <c r="D670" s="611"/>
      <c r="E670" s="619" t="s">
        <v>281</v>
      </c>
      <c r="F670" s="619"/>
      <c r="G670" s="753"/>
      <c r="H670" s="755" t="s">
        <v>69</v>
      </c>
      <c r="I670" s="269">
        <f ca="1">IFERROR(__xludf.DUMMYFUNCTION("IMPORTRANGE(""https://docs.google.com/spreadsheets/d/1QqKyyYR6Q21VydFLVH3TRQUabQu_ym0Zz7PgGX0-kHA/edit?usp=sharing"",""แผน!HZ67"")"),0)</f>
        <v>0</v>
      </c>
      <c r="J670" s="214">
        <v>0</v>
      </c>
      <c r="K670" s="496">
        <f ca="1">IF(I670&gt;0,(J670*100)/I670,0)</f>
        <v>0</v>
      </c>
      <c r="L670" s="163"/>
      <c r="M670" s="163"/>
      <c r="N670" s="163"/>
      <c r="O670" s="163"/>
      <c r="P670" s="163"/>
      <c r="Q670" s="571"/>
      <c r="R670" s="571"/>
      <c r="S670" s="571"/>
      <c r="T670" s="571"/>
      <c r="U670" s="571"/>
      <c r="V670" s="571"/>
      <c r="W670" s="571"/>
      <c r="X670" s="571"/>
      <c r="Y670" s="571"/>
      <c r="Z670" s="571"/>
    </row>
    <row r="671" spans="1:26" ht="18.75" hidden="1">
      <c r="A671" s="601"/>
      <c r="B671" s="611"/>
      <c r="C671" s="611"/>
      <c r="D671" s="611"/>
      <c r="E671" s="619" t="s">
        <v>282</v>
      </c>
      <c r="F671" s="619"/>
      <c r="G671" s="753"/>
      <c r="H671" s="755" t="s">
        <v>69</v>
      </c>
      <c r="I671" s="269">
        <f ca="1">IFERROR(__xludf.DUMMYFUNCTION("IMPORTRANGE(""https://docs.google.com/spreadsheets/d/1QqKyyYR6Q21VydFLVH3TRQUabQu_ym0Zz7PgGX0-kHA/edit?usp=sharing"",""แผน!HZ67"")"),0)</f>
        <v>0</v>
      </c>
      <c r="J671" s="214">
        <v>0</v>
      </c>
      <c r="K671" s="496">
        <f ca="1">IF(I$671&gt;0,J671*100/I$671,0)</f>
        <v>0</v>
      </c>
      <c r="L671" s="163"/>
      <c r="M671" s="163"/>
      <c r="N671" s="163"/>
      <c r="O671" s="163"/>
      <c r="P671" s="163"/>
      <c r="Q671" s="571"/>
      <c r="R671" s="571"/>
      <c r="S671" s="571"/>
      <c r="T671" s="571"/>
      <c r="U671" s="571"/>
      <c r="V671" s="571"/>
      <c r="W671" s="571"/>
      <c r="X671" s="571"/>
      <c r="Y671" s="571"/>
      <c r="Z671" s="571"/>
    </row>
    <row r="672" spans="1:26" ht="18.75" hidden="1">
      <c r="A672" s="601"/>
      <c r="B672" s="611"/>
      <c r="C672" s="611"/>
      <c r="D672" s="611"/>
      <c r="E672" s="619" t="s">
        <v>283</v>
      </c>
      <c r="F672" s="619"/>
      <c r="G672" s="753"/>
      <c r="H672" s="755" t="s">
        <v>46</v>
      </c>
      <c r="I672" s="269"/>
      <c r="J672" s="214">
        <v>0</v>
      </c>
      <c r="K672" s="496">
        <f t="shared" ref="K672:K675" ca="1" si="281">IF(I$669&gt;0,J672*100/I$669,0)</f>
        <v>0</v>
      </c>
      <c r="L672" s="163"/>
      <c r="M672" s="163"/>
      <c r="N672" s="163"/>
      <c r="O672" s="163"/>
      <c r="P672" s="163"/>
      <c r="Q672" s="571"/>
      <c r="R672" s="571"/>
      <c r="S672" s="571"/>
      <c r="T672" s="571"/>
      <c r="U672" s="571"/>
      <c r="V672" s="571"/>
      <c r="W672" s="571"/>
      <c r="X672" s="571"/>
      <c r="Y672" s="571"/>
      <c r="Z672" s="571"/>
    </row>
    <row r="673" spans="1:26" ht="18.75" hidden="1">
      <c r="A673" s="601"/>
      <c r="B673" s="611"/>
      <c r="C673" s="611"/>
      <c r="D673" s="611"/>
      <c r="E673" s="619" t="s">
        <v>284</v>
      </c>
      <c r="F673" s="619"/>
      <c r="G673" s="753"/>
      <c r="H673" s="755" t="s">
        <v>46</v>
      </c>
      <c r="I673" s="269"/>
      <c r="J673" s="214">
        <v>0</v>
      </c>
      <c r="K673" s="496">
        <f t="shared" ca="1" si="281"/>
        <v>0</v>
      </c>
      <c r="L673" s="163"/>
      <c r="M673" s="163"/>
      <c r="N673" s="163"/>
      <c r="O673" s="163"/>
      <c r="P673" s="163"/>
      <c r="Q673" s="571"/>
      <c r="R673" s="571"/>
      <c r="S673" s="571"/>
      <c r="T673" s="571"/>
      <c r="U673" s="571"/>
      <c r="V673" s="571"/>
      <c r="W673" s="571"/>
      <c r="X673" s="571"/>
      <c r="Y673" s="571"/>
      <c r="Z673" s="571"/>
    </row>
    <row r="674" spans="1:26" ht="18.75" hidden="1">
      <c r="A674" s="601"/>
      <c r="B674" s="611"/>
      <c r="C674" s="611"/>
      <c r="D674" s="611"/>
      <c r="E674" s="619" t="s">
        <v>285</v>
      </c>
      <c r="F674" s="619"/>
      <c r="G674" s="753"/>
      <c r="H674" s="755" t="s">
        <v>46</v>
      </c>
      <c r="I674" s="269"/>
      <c r="J674" s="214">
        <v>0</v>
      </c>
      <c r="K674" s="496">
        <f t="shared" ca="1" si="281"/>
        <v>0</v>
      </c>
      <c r="L674" s="163"/>
      <c r="M674" s="163"/>
      <c r="N674" s="163"/>
      <c r="O674" s="163"/>
      <c r="P674" s="163"/>
      <c r="Q674" s="571"/>
      <c r="R674" s="571"/>
      <c r="S674" s="571"/>
      <c r="T674" s="571"/>
      <c r="U674" s="571"/>
      <c r="V674" s="571"/>
      <c r="W674" s="571"/>
      <c r="X674" s="571"/>
      <c r="Y674" s="571"/>
      <c r="Z674" s="571"/>
    </row>
    <row r="675" spans="1:26" ht="19.5" hidden="1">
      <c r="A675" s="601"/>
      <c r="B675" s="611"/>
      <c r="C675" s="611"/>
      <c r="D675" s="611"/>
      <c r="E675" s="619" t="s">
        <v>286</v>
      </c>
      <c r="F675" s="619"/>
      <c r="G675" s="753"/>
      <c r="H675" s="755" t="s">
        <v>46</v>
      </c>
      <c r="I675" s="269"/>
      <c r="J675" s="674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71"/>
      <c r="R675" s="571"/>
      <c r="S675" s="571"/>
      <c r="T675" s="571"/>
      <c r="U675" s="571"/>
      <c r="V675" s="571"/>
      <c r="W675" s="571"/>
      <c r="X675" s="571"/>
      <c r="Y675" s="571"/>
      <c r="Z675" s="571"/>
    </row>
    <row r="676" spans="1:26" ht="18.75" hidden="1">
      <c r="A676" s="601"/>
      <c r="B676" s="611"/>
      <c r="C676" s="611"/>
      <c r="D676" s="611"/>
      <c r="E676" s="619"/>
      <c r="F676" s="619" t="s">
        <v>287</v>
      </c>
      <c r="G676" s="753"/>
      <c r="H676" s="755" t="s">
        <v>46</v>
      </c>
      <c r="I676" s="269"/>
      <c r="J676" s="214">
        <v>0</v>
      </c>
      <c r="K676" s="496"/>
      <c r="L676" s="163"/>
      <c r="M676" s="163"/>
      <c r="N676" s="163"/>
      <c r="O676" s="163"/>
      <c r="P676" s="163"/>
      <c r="Q676" s="571"/>
      <c r="R676" s="571"/>
      <c r="S676" s="571"/>
      <c r="T676" s="571"/>
      <c r="U676" s="571"/>
      <c r="V676" s="571"/>
      <c r="W676" s="571"/>
      <c r="X676" s="571"/>
      <c r="Y676" s="571"/>
      <c r="Z676" s="571"/>
    </row>
    <row r="677" spans="1:26" ht="18.75" hidden="1">
      <c r="A677" s="601"/>
      <c r="B677" s="611"/>
      <c r="C677" s="611"/>
      <c r="D677" s="611"/>
      <c r="E677" s="619"/>
      <c r="F677" s="619" t="s">
        <v>288</v>
      </c>
      <c r="G677" s="753"/>
      <c r="H677" s="755" t="s">
        <v>46</v>
      </c>
      <c r="I677" s="269"/>
      <c r="J677" s="214">
        <v>0</v>
      </c>
      <c r="K677" s="496"/>
      <c r="L677" s="163"/>
      <c r="M677" s="163"/>
      <c r="N677" s="163"/>
      <c r="O677" s="163"/>
      <c r="P677" s="163"/>
      <c r="Q677" s="571"/>
      <c r="R677" s="571"/>
      <c r="S677" s="571"/>
      <c r="T677" s="571"/>
      <c r="U677" s="571"/>
      <c r="V677" s="571"/>
      <c r="W677" s="571"/>
      <c r="X677" s="571"/>
      <c r="Y677" s="571"/>
      <c r="Z677" s="571"/>
    </row>
    <row r="678" spans="1:26" ht="19.5" hidden="1">
      <c r="A678" s="601"/>
      <c r="B678" s="611"/>
      <c r="C678" s="611"/>
      <c r="D678" s="611" t="s">
        <v>289</v>
      </c>
      <c r="E678" s="619"/>
      <c r="F678" s="619"/>
      <c r="G678" s="753"/>
      <c r="H678" s="755" t="s">
        <v>46</v>
      </c>
      <c r="I678" s="674">
        <f ca="1">IFERROR(__xludf.DUMMYFUNCTION("IMPORTRANGE(""https://docs.google.com/spreadsheets/d/1QqKyyYR6Q21VydFLVH3TRQUabQu_ym0Zz7PgGX0-kHA/edit?usp=sharing"",""แผน!IB67"")"),0)</f>
        <v>0</v>
      </c>
      <c r="J678" s="674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1"/>
      <c r="R678" s="571"/>
      <c r="S678" s="571"/>
      <c r="T678" s="571"/>
      <c r="U678" s="571"/>
      <c r="V678" s="571"/>
      <c r="W678" s="571"/>
      <c r="X678" s="571"/>
      <c r="Y678" s="571"/>
      <c r="Z678" s="571"/>
    </row>
    <row r="679" spans="1:26" ht="18.75" hidden="1">
      <c r="A679" s="601"/>
      <c r="B679" s="611"/>
      <c r="C679" s="611"/>
      <c r="D679" s="611"/>
      <c r="E679" s="619" t="s">
        <v>290</v>
      </c>
      <c r="F679" s="619"/>
      <c r="G679" s="753"/>
      <c r="H679" s="755" t="s">
        <v>46</v>
      </c>
      <c r="I679" s="269"/>
      <c r="J679" s="269">
        <f>J680+J681</f>
        <v>0</v>
      </c>
      <c r="K679" s="496"/>
      <c r="L679" s="163"/>
      <c r="M679" s="163"/>
      <c r="N679" s="163"/>
      <c r="O679" s="163"/>
      <c r="P679" s="163"/>
      <c r="Q679" s="571"/>
      <c r="R679" s="571"/>
      <c r="S679" s="571"/>
      <c r="T679" s="571"/>
      <c r="U679" s="571"/>
      <c r="V679" s="571"/>
      <c r="W679" s="571"/>
      <c r="X679" s="571"/>
      <c r="Y679" s="571"/>
      <c r="Z679" s="571"/>
    </row>
    <row r="680" spans="1:26" ht="18.75" hidden="1">
      <c r="A680" s="601"/>
      <c r="B680" s="611"/>
      <c r="C680" s="611"/>
      <c r="D680" s="611"/>
      <c r="E680" s="619"/>
      <c r="F680" s="619" t="s">
        <v>287</v>
      </c>
      <c r="G680" s="753"/>
      <c r="H680" s="755" t="s">
        <v>46</v>
      </c>
      <c r="I680" s="269"/>
      <c r="J680" s="214">
        <v>0</v>
      </c>
      <c r="K680" s="496"/>
      <c r="L680" s="163"/>
      <c r="M680" s="163"/>
      <c r="N680" s="163"/>
      <c r="O680" s="163"/>
      <c r="P680" s="163"/>
      <c r="Q680" s="571"/>
      <c r="R680" s="571"/>
      <c r="S680" s="571"/>
      <c r="T680" s="571"/>
      <c r="U680" s="571"/>
      <c r="V680" s="571"/>
      <c r="W680" s="571"/>
      <c r="X680" s="571"/>
      <c r="Y680" s="571"/>
      <c r="Z680" s="571"/>
    </row>
    <row r="681" spans="1:26" ht="18.75" hidden="1">
      <c r="A681" s="601"/>
      <c r="B681" s="611"/>
      <c r="C681" s="611"/>
      <c r="D681" s="611"/>
      <c r="E681" s="619"/>
      <c r="F681" s="619" t="s">
        <v>288</v>
      </c>
      <c r="G681" s="753"/>
      <c r="H681" s="755" t="s">
        <v>46</v>
      </c>
      <c r="I681" s="269"/>
      <c r="J681" s="214">
        <v>0</v>
      </c>
      <c r="K681" s="496"/>
      <c r="L681" s="163"/>
      <c r="M681" s="163"/>
      <c r="N681" s="163"/>
      <c r="O681" s="163"/>
      <c r="P681" s="163"/>
      <c r="Q681" s="571"/>
      <c r="R681" s="571"/>
      <c r="S681" s="571"/>
      <c r="T681" s="571"/>
      <c r="U681" s="571"/>
      <c r="V681" s="571"/>
      <c r="W681" s="571"/>
      <c r="X681" s="571"/>
      <c r="Y681" s="571"/>
      <c r="Z681" s="571"/>
    </row>
    <row r="682" spans="1:26" ht="18.75" hidden="1">
      <c r="A682" s="601"/>
      <c r="B682" s="611"/>
      <c r="C682" s="611"/>
      <c r="D682" s="611"/>
      <c r="E682" s="619" t="s">
        <v>291</v>
      </c>
      <c r="F682" s="619"/>
      <c r="G682" s="753"/>
      <c r="H682" s="755" t="s">
        <v>46</v>
      </c>
      <c r="I682" s="269"/>
      <c r="J682" s="214">
        <v>0</v>
      </c>
      <c r="K682" s="496"/>
      <c r="L682" s="163"/>
      <c r="M682" s="163"/>
      <c r="N682" s="163"/>
      <c r="O682" s="163"/>
      <c r="P682" s="163"/>
      <c r="Q682" s="571"/>
      <c r="R682" s="571"/>
      <c r="S682" s="571"/>
      <c r="T682" s="571"/>
      <c r="U682" s="571"/>
      <c r="V682" s="571"/>
      <c r="W682" s="571"/>
      <c r="X682" s="571"/>
      <c r="Y682" s="571"/>
      <c r="Z682" s="571"/>
    </row>
    <row r="683" spans="1:26" ht="18.75" hidden="1">
      <c r="A683" s="601"/>
      <c r="B683" s="611"/>
      <c r="C683" s="611"/>
      <c r="D683" s="611"/>
      <c r="E683" s="619"/>
      <c r="F683" s="619" t="s">
        <v>292</v>
      </c>
      <c r="G683" s="753"/>
      <c r="H683" s="755" t="s">
        <v>46</v>
      </c>
      <c r="I683" s="269"/>
      <c r="J683" s="214">
        <v>0</v>
      </c>
      <c r="K683" s="496"/>
      <c r="L683" s="163"/>
      <c r="M683" s="163"/>
      <c r="N683" s="163"/>
      <c r="O683" s="163"/>
      <c r="P683" s="163"/>
      <c r="Q683" s="571"/>
      <c r="R683" s="571"/>
      <c r="S683" s="571"/>
      <c r="T683" s="571"/>
      <c r="U683" s="571"/>
      <c r="V683" s="571"/>
      <c r="W683" s="571"/>
      <c r="X683" s="571"/>
      <c r="Y683" s="571"/>
      <c r="Z683" s="571"/>
    </row>
    <row r="684" spans="1:26" ht="19.5">
      <c r="A684" s="744"/>
      <c r="B684" s="745" t="s">
        <v>293</v>
      </c>
      <c r="C684" s="744"/>
      <c r="D684" s="744"/>
      <c r="E684" s="744"/>
      <c r="F684" s="744"/>
      <c r="G684" s="746"/>
      <c r="H684" s="746"/>
      <c r="I684" s="747"/>
      <c r="J684" s="747"/>
      <c r="K684" s="748"/>
      <c r="L684" s="748"/>
      <c r="M684" s="748"/>
      <c r="N684" s="748"/>
      <c r="O684" s="748"/>
      <c r="P684" s="748"/>
      <c r="Q684" s="571"/>
      <c r="R684" s="571"/>
      <c r="S684" s="571"/>
      <c r="T684" s="571"/>
      <c r="U684" s="571"/>
      <c r="V684" s="571"/>
      <c r="W684" s="571"/>
      <c r="X684" s="571"/>
      <c r="Y684" s="571"/>
      <c r="Z684" s="571"/>
    </row>
    <row r="685" spans="1:26" ht="19.5">
      <c r="A685" s="590"/>
      <c r="B685" s="754"/>
      <c r="C685" s="754" t="s">
        <v>16</v>
      </c>
      <c r="D685" s="863" t="s">
        <v>17</v>
      </c>
      <c r="E685" s="857"/>
      <c r="F685" s="857"/>
      <c r="G685" s="189"/>
      <c r="H685" s="591" t="s">
        <v>12</v>
      </c>
      <c r="I685" s="269"/>
      <c r="J685" s="269"/>
      <c r="K685" s="496"/>
      <c r="L685" s="195">
        <f t="shared" ref="L685:N685" ca="1" si="282">L686+L687</f>
        <v>7500</v>
      </c>
      <c r="M685" s="195">
        <f t="shared" si="282"/>
        <v>0</v>
      </c>
      <c r="N685" s="195">
        <f t="shared" si="282"/>
        <v>1680</v>
      </c>
      <c r="O685" s="195">
        <f t="shared" ref="O685:O688" ca="1" si="283">IF(L685&gt;0,N685*100/L685,0)</f>
        <v>22.4</v>
      </c>
      <c r="P685" s="195">
        <f t="shared" ref="P685:P688" si="284">IF(M685&gt;0,N685*100/M685,0)</f>
        <v>0</v>
      </c>
      <c r="Q685" s="571"/>
      <c r="R685" s="571"/>
      <c r="S685" s="571"/>
      <c r="T685" s="571"/>
      <c r="U685" s="571"/>
      <c r="V685" s="571"/>
      <c r="W685" s="571"/>
      <c r="X685" s="571"/>
      <c r="Y685" s="571"/>
      <c r="Z685" s="571"/>
    </row>
    <row r="686" spans="1:26" ht="18.75" hidden="1">
      <c r="A686" s="592"/>
      <c r="B686" s="750"/>
      <c r="C686" s="750"/>
      <c r="D686" s="711"/>
      <c r="E686" s="750" t="s">
        <v>184</v>
      </c>
      <c r="F686" s="750"/>
      <c r="G686" s="596"/>
      <c r="H686" s="165" t="s">
        <v>12</v>
      </c>
      <c r="I686" s="610"/>
      <c r="J686" s="610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597"/>
      <c r="R686" s="597"/>
      <c r="S686" s="597"/>
      <c r="T686" s="597"/>
      <c r="U686" s="597"/>
      <c r="V686" s="597"/>
      <c r="W686" s="597"/>
      <c r="X686" s="597"/>
      <c r="Y686" s="597"/>
      <c r="Z686" s="597"/>
    </row>
    <row r="687" spans="1:26" ht="18.75" hidden="1">
      <c r="A687" s="592"/>
      <c r="B687" s="600"/>
      <c r="C687" s="750"/>
      <c r="D687" s="711"/>
      <c r="E687" s="750" t="s">
        <v>185</v>
      </c>
      <c r="F687" s="750"/>
      <c r="G687" s="596"/>
      <c r="H687" s="165" t="s">
        <v>12</v>
      </c>
      <c r="I687" s="610"/>
      <c r="J687" s="610"/>
      <c r="K687" s="93"/>
      <c r="L687" s="93">
        <f t="shared" ca="1" si="285"/>
        <v>7500</v>
      </c>
      <c r="M687" s="93">
        <f t="shared" si="285"/>
        <v>0</v>
      </c>
      <c r="N687" s="93">
        <f t="shared" si="285"/>
        <v>1680</v>
      </c>
      <c r="O687" s="93">
        <f t="shared" ca="1" si="283"/>
        <v>22.4</v>
      </c>
      <c r="P687" s="93">
        <f t="shared" si="284"/>
        <v>0</v>
      </c>
      <c r="Q687" s="597"/>
      <c r="R687" s="597"/>
      <c r="S687" s="597"/>
      <c r="T687" s="597"/>
      <c r="U687" s="597"/>
      <c r="V687" s="597"/>
      <c r="W687" s="597"/>
      <c r="X687" s="597"/>
      <c r="Y687" s="597"/>
      <c r="Z687" s="597"/>
    </row>
    <row r="688" spans="1:26" ht="18.75">
      <c r="A688" s="590"/>
      <c r="B688" s="568"/>
      <c r="C688" s="754"/>
      <c r="D688" s="599" t="s">
        <v>20</v>
      </c>
      <c r="E688" s="754"/>
      <c r="F688" s="754"/>
      <c r="G688" s="189"/>
      <c r="H688" s="161" t="s">
        <v>12</v>
      </c>
      <c r="I688" s="184"/>
      <c r="J688" s="184"/>
      <c r="K688" s="163"/>
      <c r="L688" s="496">
        <f t="shared" ref="L688:N688" ca="1" si="286">L689+L690</f>
        <v>7500</v>
      </c>
      <c r="M688" s="496">
        <f t="shared" si="286"/>
        <v>0</v>
      </c>
      <c r="N688" s="496">
        <f t="shared" si="286"/>
        <v>1680</v>
      </c>
      <c r="O688" s="496">
        <f t="shared" ca="1" si="283"/>
        <v>22.4</v>
      </c>
      <c r="P688" s="496">
        <f t="shared" si="284"/>
        <v>0</v>
      </c>
      <c r="Q688" s="571"/>
      <c r="R688" s="571"/>
      <c r="S688" s="571"/>
      <c r="T688" s="571"/>
      <c r="U688" s="571"/>
      <c r="V688" s="571"/>
      <c r="W688" s="571"/>
      <c r="X688" s="571"/>
      <c r="Y688" s="571"/>
      <c r="Z688" s="571"/>
    </row>
    <row r="689" spans="1:26" ht="18.75" hidden="1">
      <c r="A689" s="592"/>
      <c r="B689" s="600"/>
      <c r="C689" s="750"/>
      <c r="D689" s="711"/>
      <c r="E689" s="750" t="s">
        <v>184</v>
      </c>
      <c r="F689" s="750"/>
      <c r="G689" s="596"/>
      <c r="H689" s="165" t="s">
        <v>12</v>
      </c>
      <c r="I689" s="610"/>
      <c r="J689" s="610"/>
      <c r="K689" s="93"/>
      <c r="L689" s="93">
        <v>0</v>
      </c>
      <c r="M689" s="93">
        <v>0</v>
      </c>
      <c r="N689" s="93">
        <v>0</v>
      </c>
      <c r="O689" s="93"/>
      <c r="P689" s="93"/>
      <c r="Q689" s="597"/>
      <c r="R689" s="597"/>
      <c r="S689" s="597"/>
      <c r="T689" s="597"/>
      <c r="U689" s="597"/>
      <c r="V689" s="597"/>
      <c r="W689" s="597"/>
      <c r="X689" s="597"/>
      <c r="Y689" s="597"/>
      <c r="Z689" s="597"/>
    </row>
    <row r="690" spans="1:26" ht="18.75" hidden="1">
      <c r="A690" s="592"/>
      <c r="B690" s="600"/>
      <c r="C690" s="750"/>
      <c r="D690" s="711"/>
      <c r="E690" s="750" t="s">
        <v>185</v>
      </c>
      <c r="F690" s="750"/>
      <c r="G690" s="596"/>
      <c r="H690" s="165" t="s">
        <v>12</v>
      </c>
      <c r="I690" s="610"/>
      <c r="J690" s="610"/>
      <c r="K690" s="93"/>
      <c r="L690" s="93">
        <f ca="1">IFERROR(__xludf.DUMMYFUNCTION("IMPORTRANGE(""https://docs.google.com/spreadsheets/d/1QqKyyYR6Q21VydFLVH3TRQUabQu_ym0Zz7PgGX0-kHA/edit?usp=sharing"",""แผน!HW67"")"),7500)</f>
        <v>7500</v>
      </c>
      <c r="M690" s="93">
        <v>0</v>
      </c>
      <c r="N690" s="93">
        <f>N691+N692+N693+N694</f>
        <v>1680</v>
      </c>
      <c r="O690" s="93">
        <f ca="1">IF(L690&gt;0,N690*100/L690,0)</f>
        <v>22.4</v>
      </c>
      <c r="P690" s="93">
        <f>IF(M690&gt;0,N690*100/M690,0)</f>
        <v>0</v>
      </c>
      <c r="Q690" s="597"/>
      <c r="R690" s="597"/>
      <c r="S690" s="597"/>
      <c r="T690" s="597"/>
      <c r="U690" s="597"/>
      <c r="V690" s="597"/>
      <c r="W690" s="597"/>
      <c r="X690" s="597"/>
      <c r="Y690" s="597"/>
      <c r="Z690" s="597"/>
    </row>
    <row r="691" spans="1:26" ht="18.75">
      <c r="A691" s="567"/>
      <c r="B691" s="568"/>
      <c r="C691" s="754"/>
      <c r="D691" s="754"/>
      <c r="E691" s="754"/>
      <c r="F691" s="754" t="s">
        <v>186</v>
      </c>
      <c r="G691" s="189"/>
      <c r="H691" s="161" t="s">
        <v>12</v>
      </c>
      <c r="I691" s="269"/>
      <c r="J691" s="269"/>
      <c r="K691" s="496"/>
      <c r="L691" s="496"/>
      <c r="M691" s="496"/>
      <c r="N691" s="817">
        <v>0</v>
      </c>
      <c r="O691" s="496"/>
      <c r="P691" s="496"/>
      <c r="Q691" s="571"/>
      <c r="R691" s="571"/>
      <c r="S691" s="571"/>
      <c r="T691" s="571"/>
      <c r="U691" s="571"/>
      <c r="V691" s="571"/>
      <c r="W691" s="571"/>
      <c r="X691" s="571"/>
      <c r="Y691" s="571"/>
      <c r="Z691" s="571"/>
    </row>
    <row r="692" spans="1:26" ht="18.75">
      <c r="A692" s="567"/>
      <c r="B692" s="568"/>
      <c r="C692" s="754"/>
      <c r="D692" s="754"/>
      <c r="E692" s="754"/>
      <c r="F692" s="754" t="s">
        <v>187</v>
      </c>
      <c r="G692" s="189"/>
      <c r="H692" s="161" t="s">
        <v>12</v>
      </c>
      <c r="I692" s="269"/>
      <c r="J692" s="269"/>
      <c r="K692" s="496"/>
      <c r="L692" s="496"/>
      <c r="M692" s="496"/>
      <c r="N692" s="817">
        <v>0</v>
      </c>
      <c r="O692" s="496"/>
      <c r="P692" s="496"/>
      <c r="Q692" s="571"/>
      <c r="R692" s="571"/>
      <c r="S692" s="571"/>
      <c r="T692" s="571"/>
      <c r="U692" s="571"/>
      <c r="V692" s="571"/>
      <c r="W692" s="571"/>
      <c r="X692" s="571"/>
      <c r="Y692" s="571"/>
      <c r="Z692" s="571"/>
    </row>
    <row r="693" spans="1:26" ht="18.75">
      <c r="A693" s="567"/>
      <c r="B693" s="568"/>
      <c r="C693" s="754"/>
      <c r="D693" s="754"/>
      <c r="E693" s="754"/>
      <c r="F693" s="754" t="s">
        <v>188</v>
      </c>
      <c r="G693" s="189"/>
      <c r="H693" s="161" t="s">
        <v>12</v>
      </c>
      <c r="I693" s="269"/>
      <c r="J693" s="269"/>
      <c r="K693" s="496"/>
      <c r="L693" s="496"/>
      <c r="M693" s="496"/>
      <c r="N693" s="817">
        <v>0</v>
      </c>
      <c r="O693" s="496"/>
      <c r="P693" s="496"/>
      <c r="Q693" s="571"/>
      <c r="R693" s="571"/>
      <c r="S693" s="571"/>
      <c r="T693" s="571"/>
      <c r="U693" s="571"/>
      <c r="V693" s="571"/>
      <c r="W693" s="571"/>
      <c r="X693" s="571"/>
      <c r="Y693" s="571"/>
      <c r="Z693" s="571"/>
    </row>
    <row r="694" spans="1:26" ht="18.75">
      <c r="A694" s="567"/>
      <c r="B694" s="568"/>
      <c r="C694" s="754"/>
      <c r="D694" s="754"/>
      <c r="E694" s="754"/>
      <c r="F694" s="754" t="s">
        <v>189</v>
      </c>
      <c r="G694" s="189"/>
      <c r="H694" s="161" t="s">
        <v>12</v>
      </c>
      <c r="I694" s="269"/>
      <c r="J694" s="269"/>
      <c r="K694" s="496"/>
      <c r="L694" s="496"/>
      <c r="M694" s="496"/>
      <c r="N694" s="817">
        <v>1680</v>
      </c>
      <c r="O694" s="496"/>
      <c r="P694" s="496"/>
      <c r="Q694" s="571"/>
      <c r="R694" s="571"/>
      <c r="S694" s="571"/>
      <c r="T694" s="571"/>
      <c r="U694" s="571"/>
      <c r="V694" s="571"/>
      <c r="W694" s="571"/>
      <c r="X694" s="571"/>
      <c r="Y694" s="571"/>
      <c r="Z694" s="571"/>
    </row>
    <row r="695" spans="1:26" ht="18.75">
      <c r="A695" s="590"/>
      <c r="B695" s="568"/>
      <c r="C695" s="754"/>
      <c r="D695" s="599" t="s">
        <v>21</v>
      </c>
      <c r="E695" s="754"/>
      <c r="F695" s="754"/>
      <c r="G695" s="189"/>
      <c r="H695" s="168" t="s">
        <v>12</v>
      </c>
      <c r="I695" s="184"/>
      <c r="J695" s="184"/>
      <c r="K695" s="163"/>
      <c r="L695" s="496">
        <f t="shared" ref="L695:N695" si="287">L696+L697</f>
        <v>0</v>
      </c>
      <c r="M695" s="496">
        <f t="shared" si="287"/>
        <v>0</v>
      </c>
      <c r="N695" s="496">
        <f t="shared" si="287"/>
        <v>0</v>
      </c>
      <c r="O695" s="496">
        <f t="shared" ref="O695:O697" si="288">IF(L695&gt;0,N695*100/L695,0)</f>
        <v>0</v>
      </c>
      <c r="P695" s="496">
        <f t="shared" ref="P695:P697" si="289">IF(M695&gt;0,N695*100/M695,0)</f>
        <v>0</v>
      </c>
      <c r="Q695" s="571"/>
      <c r="R695" s="571"/>
      <c r="S695" s="571"/>
      <c r="T695" s="571"/>
      <c r="U695" s="571"/>
      <c r="V695" s="571"/>
      <c r="W695" s="571"/>
      <c r="X695" s="571"/>
      <c r="Y695" s="571"/>
      <c r="Z695" s="571"/>
    </row>
    <row r="696" spans="1:26" ht="18.75" hidden="1">
      <c r="A696" s="592"/>
      <c r="B696" s="600"/>
      <c r="C696" s="750"/>
      <c r="D696" s="750"/>
      <c r="E696" s="750" t="s">
        <v>18</v>
      </c>
      <c r="F696" s="750"/>
      <c r="G696" s="596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597"/>
      <c r="R696" s="597"/>
      <c r="S696" s="597"/>
      <c r="T696" s="597"/>
      <c r="U696" s="597"/>
      <c r="V696" s="597"/>
      <c r="W696" s="597"/>
      <c r="X696" s="597"/>
      <c r="Y696" s="597"/>
      <c r="Z696" s="597"/>
    </row>
    <row r="697" spans="1:26" ht="18.75" hidden="1">
      <c r="A697" s="592"/>
      <c r="B697" s="600"/>
      <c r="C697" s="750"/>
      <c r="D697" s="750"/>
      <c r="E697" s="750" t="s">
        <v>19</v>
      </c>
      <c r="F697" s="750"/>
      <c r="G697" s="596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597"/>
      <c r="R697" s="597"/>
      <c r="S697" s="597"/>
      <c r="T697" s="597"/>
      <c r="U697" s="597"/>
      <c r="V697" s="597"/>
      <c r="W697" s="597"/>
      <c r="X697" s="597"/>
      <c r="Y697" s="597"/>
      <c r="Z697" s="597"/>
    </row>
    <row r="698" spans="1:26" ht="19.5">
      <c r="A698" s="601"/>
      <c r="B698" s="611"/>
      <c r="C698" s="754" t="s">
        <v>16</v>
      </c>
      <c r="D698" s="840" t="s">
        <v>38</v>
      </c>
      <c r="E698" s="752"/>
      <c r="F698" s="752"/>
      <c r="G698" s="606"/>
      <c r="H698" s="753"/>
      <c r="I698" s="184"/>
      <c r="J698" s="184"/>
      <c r="K698" s="163"/>
      <c r="L698" s="163"/>
      <c r="M698" s="163"/>
      <c r="N698" s="163"/>
      <c r="O698" s="163"/>
      <c r="P698" s="163"/>
      <c r="Q698" s="571"/>
      <c r="R698" s="571"/>
      <c r="S698" s="571"/>
      <c r="T698" s="571"/>
      <c r="U698" s="571"/>
      <c r="V698" s="571"/>
      <c r="W698" s="571"/>
      <c r="X698" s="571"/>
      <c r="Y698" s="571"/>
      <c r="Z698" s="571"/>
    </row>
    <row r="699" spans="1:26" ht="18.75">
      <c r="A699" s="735"/>
      <c r="B699" s="754"/>
      <c r="C699" s="754"/>
      <c r="D699" s="754" t="s">
        <v>294</v>
      </c>
      <c r="E699" s="754"/>
      <c r="F699" s="754"/>
      <c r="G699" s="189"/>
      <c r="H699" s="755" t="s">
        <v>46</v>
      </c>
      <c r="I699" s="756">
        <f ca="1">IFERROR(__xludf.DUMMYFUNCTION("IMPORTRANGE(""https://docs.google.com/spreadsheets/d/1QqKyyYR6Q21VydFLVH3TRQUabQu_ym0Zz7PgGX0-kHA/edit?usp=sharing"",""แผน!IC67"")"),50)</f>
        <v>50</v>
      </c>
      <c r="J699" s="269">
        <f ca="1">IFERROR(__xludf.DUMMYFUNCTION("IMPORTRANGE(""https://docs.google.com/spreadsheets/d/1XWAQStnk-4SwqDmLtmXYiTMKHgktTP8We1SCoS47DrQ/edit?usp=sharing"",""จัดที่ดิน!BB67"")"),0)</f>
        <v>0</v>
      </c>
      <c r="K699" s="496">
        <f t="shared" ref="K699:K701" ca="1" si="290">IF(I699&gt;0,J699*100/I699,0)</f>
        <v>0</v>
      </c>
      <c r="L699" s="496"/>
      <c r="M699" s="189"/>
      <c r="N699" s="757"/>
      <c r="O699" s="496"/>
      <c r="P699" s="496"/>
      <c r="Q699" s="571"/>
      <c r="R699" s="571"/>
      <c r="S699" s="571"/>
      <c r="T699" s="571"/>
      <c r="U699" s="571"/>
      <c r="V699" s="571"/>
      <c r="W699" s="571"/>
      <c r="X699" s="571"/>
      <c r="Y699" s="571"/>
      <c r="Z699" s="571"/>
    </row>
    <row r="700" spans="1:26" ht="18.75">
      <c r="A700" s="735"/>
      <c r="B700" s="754"/>
      <c r="C700" s="754"/>
      <c r="D700" s="754" t="s">
        <v>295</v>
      </c>
      <c r="E700" s="754"/>
      <c r="F700" s="754"/>
      <c r="G700" s="189"/>
      <c r="H700" s="755" t="s">
        <v>35</v>
      </c>
      <c r="I700" s="756">
        <f ca="1">IFERROR(__xludf.DUMMYFUNCTION("IMPORTRANGE(""https://docs.google.com/spreadsheets/d/1QqKyyYR6Q21VydFLVH3TRQUabQu_ym0Zz7PgGX0-kHA/edit?usp=sharing"",""แผน!ID67"")"),2)</f>
        <v>2</v>
      </c>
      <c r="J700" s="269">
        <f ca="1">IFERROR(__xludf.DUMMYFUNCTION("IMPORTRANGE(""https://docs.google.com/spreadsheets/d/1XWAQStnk-4SwqDmLtmXYiTMKHgktTP8We1SCoS47DrQ/edit?usp=sharing"",""จัดที่ดิน!BD67"")"),0)</f>
        <v>0</v>
      </c>
      <c r="K700" s="496">
        <f t="shared" ca="1" si="290"/>
        <v>0</v>
      </c>
      <c r="L700" s="496"/>
      <c r="M700" s="189"/>
      <c r="N700" s="757"/>
      <c r="O700" s="496"/>
      <c r="P700" s="496"/>
      <c r="Q700" s="571"/>
      <c r="R700" s="571"/>
      <c r="S700" s="571"/>
      <c r="T700" s="571"/>
      <c r="U700" s="571"/>
      <c r="V700" s="571"/>
      <c r="W700" s="571"/>
      <c r="X700" s="571"/>
      <c r="Y700" s="571"/>
      <c r="Z700" s="571"/>
    </row>
    <row r="701" spans="1:26" ht="19.5">
      <c r="A701" s="735"/>
      <c r="B701" s="754"/>
      <c r="C701" s="754"/>
      <c r="D701" s="754" t="s">
        <v>296</v>
      </c>
      <c r="E701" s="754"/>
      <c r="F701" s="754"/>
      <c r="G701" s="189"/>
      <c r="H701" s="758" t="s">
        <v>46</v>
      </c>
      <c r="I701" s="759">
        <f ca="1">IFERROR(__xludf.DUMMYFUNCTION("IMPORTRANGE(""https://docs.google.com/spreadsheets/d/1QqKyyYR6Q21VydFLVH3TRQUabQu_ym0Zz7PgGX0-kHA/edit?usp=sharing"",""แผน!IE67"")"),12)</f>
        <v>12</v>
      </c>
      <c r="J701" s="674">
        <f>J704+J707</f>
        <v>0</v>
      </c>
      <c r="K701" s="195">
        <f t="shared" ca="1" si="290"/>
        <v>0</v>
      </c>
      <c r="L701" s="496"/>
      <c r="M701" s="189"/>
      <c r="N701" s="757"/>
      <c r="O701" s="496"/>
      <c r="P701" s="496"/>
      <c r="Q701" s="571"/>
      <c r="R701" s="571"/>
      <c r="S701" s="571"/>
      <c r="T701" s="571"/>
      <c r="U701" s="571"/>
      <c r="V701" s="571"/>
      <c r="W701" s="571"/>
      <c r="X701" s="571"/>
      <c r="Y701" s="571"/>
      <c r="Z701" s="571"/>
    </row>
    <row r="702" spans="1:26" ht="18.75">
      <c r="A702" s="735"/>
      <c r="B702" s="754"/>
      <c r="C702" s="754"/>
      <c r="D702" s="754"/>
      <c r="E702" s="754" t="s">
        <v>297</v>
      </c>
      <c r="F702" s="754"/>
      <c r="G702" s="189"/>
      <c r="H702" s="755" t="s">
        <v>35</v>
      </c>
      <c r="I702" s="756"/>
      <c r="J702" s="214">
        <v>0</v>
      </c>
      <c r="K702" s="496"/>
      <c r="L702" s="496"/>
      <c r="M702" s="189"/>
      <c r="N702" s="757"/>
      <c r="O702" s="496"/>
      <c r="P702" s="496"/>
      <c r="Q702" s="571"/>
      <c r="R702" s="571"/>
      <c r="S702" s="571"/>
      <c r="T702" s="571"/>
      <c r="U702" s="571"/>
      <c r="V702" s="571"/>
      <c r="W702" s="571"/>
      <c r="X702" s="571"/>
      <c r="Y702" s="571"/>
      <c r="Z702" s="571"/>
    </row>
    <row r="703" spans="1:26" ht="18.75">
      <c r="A703" s="735"/>
      <c r="B703" s="754"/>
      <c r="C703" s="754"/>
      <c r="D703" s="754"/>
      <c r="E703" s="754"/>
      <c r="F703" s="754"/>
      <c r="G703" s="189"/>
      <c r="H703" s="755" t="s">
        <v>34</v>
      </c>
      <c r="I703" s="756"/>
      <c r="J703" s="214">
        <v>0</v>
      </c>
      <c r="K703" s="496"/>
      <c r="L703" s="496"/>
      <c r="M703" s="189"/>
      <c r="N703" s="757"/>
      <c r="O703" s="496"/>
      <c r="P703" s="496"/>
      <c r="Q703" s="571"/>
      <c r="R703" s="571"/>
      <c r="S703" s="571"/>
      <c r="T703" s="571"/>
      <c r="U703" s="571"/>
      <c r="V703" s="571"/>
      <c r="W703" s="571"/>
      <c r="X703" s="571"/>
      <c r="Y703" s="571"/>
      <c r="Z703" s="571"/>
    </row>
    <row r="704" spans="1:26" ht="18.75">
      <c r="A704" s="735"/>
      <c r="B704" s="754"/>
      <c r="C704" s="754"/>
      <c r="D704" s="754"/>
      <c r="E704" s="754"/>
      <c r="F704" s="754"/>
      <c r="G704" s="189"/>
      <c r="H704" s="755" t="s">
        <v>46</v>
      </c>
      <c r="I704" s="756">
        <f ca="1">IFERROR(__xludf.DUMMYFUNCTION("IMPORTRANGE(""https://docs.google.com/spreadsheets/d/1QqKyyYR6Q21VydFLVH3TRQUabQu_ym0Zz7PgGX0-kHA/edit?usp=sharing"",""แผน!IF67"")"),12)</f>
        <v>12</v>
      </c>
      <c r="J704" s="214">
        <v>0</v>
      </c>
      <c r="K704" s="496"/>
      <c r="L704" s="496"/>
      <c r="M704" s="189"/>
      <c r="N704" s="757"/>
      <c r="O704" s="496"/>
      <c r="P704" s="496"/>
      <c r="Q704" s="571"/>
      <c r="R704" s="571"/>
      <c r="S704" s="571"/>
      <c r="T704" s="571"/>
      <c r="U704" s="571"/>
      <c r="V704" s="571"/>
      <c r="W704" s="571"/>
      <c r="X704" s="571"/>
      <c r="Y704" s="571"/>
      <c r="Z704" s="571"/>
    </row>
    <row r="705" spans="1:26" ht="18.75">
      <c r="A705" s="735"/>
      <c r="B705" s="754"/>
      <c r="C705" s="754"/>
      <c r="D705" s="754"/>
      <c r="E705" s="754" t="s">
        <v>298</v>
      </c>
      <c r="F705" s="754"/>
      <c r="G705" s="189"/>
      <c r="H705" s="755" t="s">
        <v>35</v>
      </c>
      <c r="I705" s="756"/>
      <c r="J705" s="214">
        <v>0</v>
      </c>
      <c r="K705" s="496"/>
      <c r="L705" s="496"/>
      <c r="M705" s="189"/>
      <c r="N705" s="757"/>
      <c r="O705" s="496"/>
      <c r="P705" s="496"/>
      <c r="Q705" s="571"/>
      <c r="R705" s="571"/>
      <c r="S705" s="571"/>
      <c r="T705" s="571"/>
      <c r="U705" s="571"/>
      <c r="V705" s="571"/>
      <c r="W705" s="571"/>
      <c r="X705" s="571"/>
      <c r="Y705" s="571"/>
      <c r="Z705" s="571"/>
    </row>
    <row r="706" spans="1:26" ht="18.75">
      <c r="A706" s="735"/>
      <c r="B706" s="754"/>
      <c r="C706" s="754"/>
      <c r="D706" s="754"/>
      <c r="E706" s="754"/>
      <c r="F706" s="754"/>
      <c r="G706" s="189"/>
      <c r="H706" s="755" t="s">
        <v>34</v>
      </c>
      <c r="I706" s="756"/>
      <c r="J706" s="214">
        <v>0</v>
      </c>
      <c r="K706" s="496"/>
      <c r="L706" s="496"/>
      <c r="M706" s="189"/>
      <c r="N706" s="757"/>
      <c r="O706" s="496"/>
      <c r="P706" s="496"/>
      <c r="Q706" s="571"/>
      <c r="R706" s="571"/>
      <c r="S706" s="571"/>
      <c r="T706" s="571"/>
      <c r="U706" s="571"/>
      <c r="V706" s="571"/>
      <c r="W706" s="571"/>
      <c r="X706" s="571"/>
      <c r="Y706" s="571"/>
      <c r="Z706" s="571"/>
    </row>
    <row r="707" spans="1:26" ht="18.75">
      <c r="A707" s="735"/>
      <c r="B707" s="754"/>
      <c r="C707" s="754"/>
      <c r="D707" s="754"/>
      <c r="E707" s="754"/>
      <c r="F707" s="754"/>
      <c r="G707" s="189"/>
      <c r="H707" s="755" t="s">
        <v>46</v>
      </c>
      <c r="I707" s="756">
        <f ca="1">IFERROR(__xludf.DUMMYFUNCTION("IMPORTRANGE(""https://docs.google.com/spreadsheets/d/1QqKyyYR6Q21VydFLVH3TRQUabQu_ym0Zz7PgGX0-kHA/edit?usp=sharing"",""แผน!IG67"")"),0)</f>
        <v>0</v>
      </c>
      <c r="J707" s="214">
        <v>0</v>
      </c>
      <c r="K707" s="496"/>
      <c r="L707" s="496"/>
      <c r="M707" s="189"/>
      <c r="N707" s="757"/>
      <c r="O707" s="496"/>
      <c r="P707" s="496"/>
      <c r="Q707" s="571"/>
      <c r="R707" s="571"/>
      <c r="S707" s="571"/>
      <c r="T707" s="571"/>
      <c r="U707" s="571"/>
      <c r="V707" s="571"/>
      <c r="W707" s="571"/>
      <c r="X707" s="571"/>
      <c r="Y707" s="571"/>
      <c r="Z707" s="571"/>
    </row>
    <row r="708" spans="1:26" ht="19.5">
      <c r="A708" s="735"/>
      <c r="B708" s="754"/>
      <c r="C708" s="754"/>
      <c r="D708" s="760" t="s">
        <v>299</v>
      </c>
      <c r="E708" s="754"/>
      <c r="F708" s="754"/>
      <c r="G708" s="189"/>
      <c r="H708" s="758" t="s">
        <v>46</v>
      </c>
      <c r="I708" s="759">
        <f ca="1">IFERROR(__xludf.DUMMYFUNCTION("IMPORTRANGE(""https://docs.google.com/spreadsheets/d/1QqKyyYR6Q21VydFLVH3TRQUabQu_ym0Zz7PgGX0-kHA/edit?usp=sharing"",""แผน!IH67"")"),0)</f>
        <v>0</v>
      </c>
      <c r="J708" s="674">
        <f>J714+J717</f>
        <v>0</v>
      </c>
      <c r="K708" s="195">
        <f ca="1">IF(I708&gt;0,J708*100/I708,0)</f>
        <v>0</v>
      </c>
      <c r="L708" s="496"/>
      <c r="M708" s="189"/>
      <c r="N708" s="757"/>
      <c r="O708" s="496"/>
      <c r="P708" s="496"/>
      <c r="Q708" s="571"/>
      <c r="R708" s="571"/>
      <c r="S708" s="571"/>
      <c r="T708" s="571"/>
      <c r="U708" s="571"/>
      <c r="V708" s="571"/>
      <c r="W708" s="571"/>
      <c r="X708" s="571"/>
      <c r="Y708" s="571"/>
      <c r="Z708" s="571"/>
    </row>
    <row r="709" spans="1:26" ht="18.75">
      <c r="A709" s="735"/>
      <c r="B709" s="754"/>
      <c r="C709" s="754"/>
      <c r="D709" s="754"/>
      <c r="E709" s="754" t="s">
        <v>300</v>
      </c>
      <c r="F709" s="754"/>
      <c r="G709" s="189"/>
      <c r="H709" s="755" t="s">
        <v>34</v>
      </c>
      <c r="I709" s="756"/>
      <c r="J709" s="214">
        <v>0</v>
      </c>
      <c r="K709" s="496"/>
      <c r="L709" s="757"/>
      <c r="M709" s="189"/>
      <c r="N709" s="757"/>
      <c r="O709" s="496"/>
      <c r="P709" s="496"/>
      <c r="Q709" s="571"/>
      <c r="R709" s="571"/>
      <c r="S709" s="571"/>
      <c r="T709" s="571"/>
      <c r="U709" s="571"/>
      <c r="V709" s="571"/>
      <c r="W709" s="571"/>
      <c r="X709" s="571"/>
      <c r="Y709" s="571"/>
      <c r="Z709" s="571"/>
    </row>
    <row r="710" spans="1:26" ht="18.75">
      <c r="A710" s="735"/>
      <c r="B710" s="754"/>
      <c r="C710" s="754"/>
      <c r="D710" s="754"/>
      <c r="E710" s="754"/>
      <c r="F710" s="754"/>
      <c r="G710" s="189"/>
      <c r="H710" s="755" t="s">
        <v>46</v>
      </c>
      <c r="I710" s="756"/>
      <c r="J710" s="214">
        <v>0</v>
      </c>
      <c r="K710" s="496"/>
      <c r="L710" s="757"/>
      <c r="M710" s="189"/>
      <c r="N710" s="757"/>
      <c r="O710" s="496"/>
      <c r="P710" s="496"/>
      <c r="Q710" s="571"/>
      <c r="R710" s="571"/>
      <c r="S710" s="571"/>
      <c r="T710" s="571"/>
      <c r="U710" s="571"/>
      <c r="V710" s="571"/>
      <c r="W710" s="571"/>
      <c r="X710" s="571"/>
      <c r="Y710" s="571"/>
      <c r="Z710" s="571"/>
    </row>
    <row r="711" spans="1:26" ht="18.75">
      <c r="A711" s="735"/>
      <c r="B711" s="754"/>
      <c r="C711" s="754"/>
      <c r="D711" s="754"/>
      <c r="E711" s="754" t="s">
        <v>301</v>
      </c>
      <c r="F711" s="754"/>
      <c r="G711" s="189"/>
      <c r="H711" s="753"/>
      <c r="I711" s="756"/>
      <c r="J711" s="269"/>
      <c r="K711" s="496"/>
      <c r="L711" s="757"/>
      <c r="M711" s="189"/>
      <c r="N711" s="757"/>
      <c r="O711" s="496"/>
      <c r="P711" s="496"/>
      <c r="Q711" s="571"/>
      <c r="R711" s="571"/>
      <c r="S711" s="571"/>
      <c r="T711" s="571"/>
      <c r="U711" s="571"/>
      <c r="V711" s="571"/>
      <c r="W711" s="571"/>
      <c r="X711" s="571"/>
      <c r="Y711" s="571"/>
      <c r="Z711" s="571"/>
    </row>
    <row r="712" spans="1:26" ht="18.75">
      <c r="A712" s="735"/>
      <c r="B712" s="754"/>
      <c r="C712" s="754"/>
      <c r="D712" s="754"/>
      <c r="E712" s="754"/>
      <c r="F712" s="754" t="s">
        <v>302</v>
      </c>
      <c r="G712" s="189"/>
      <c r="H712" s="755" t="s">
        <v>35</v>
      </c>
      <c r="I712" s="756"/>
      <c r="J712" s="214">
        <v>0</v>
      </c>
      <c r="K712" s="496"/>
      <c r="L712" s="757"/>
      <c r="M712" s="189"/>
      <c r="N712" s="757"/>
      <c r="O712" s="496"/>
      <c r="P712" s="496"/>
      <c r="Q712" s="571"/>
      <c r="R712" s="571"/>
      <c r="S712" s="571"/>
      <c r="T712" s="571"/>
      <c r="U712" s="571"/>
      <c r="V712" s="571"/>
      <c r="W712" s="571"/>
      <c r="X712" s="571"/>
      <c r="Y712" s="571"/>
      <c r="Z712" s="571"/>
    </row>
    <row r="713" spans="1:26" ht="18.75">
      <c r="A713" s="735"/>
      <c r="B713" s="754"/>
      <c r="C713" s="754"/>
      <c r="D713" s="754"/>
      <c r="E713" s="754"/>
      <c r="F713" s="754"/>
      <c r="G713" s="189"/>
      <c r="H713" s="755" t="s">
        <v>34</v>
      </c>
      <c r="I713" s="756"/>
      <c r="J713" s="214">
        <v>0</v>
      </c>
      <c r="K713" s="496"/>
      <c r="L713" s="757"/>
      <c r="M713" s="189"/>
      <c r="N713" s="757"/>
      <c r="O713" s="496"/>
      <c r="P713" s="496"/>
      <c r="Q713" s="571"/>
      <c r="R713" s="571"/>
      <c r="S713" s="571"/>
      <c r="T713" s="571"/>
      <c r="U713" s="571"/>
      <c r="V713" s="571"/>
      <c r="W713" s="571"/>
      <c r="X713" s="571"/>
      <c r="Y713" s="571"/>
      <c r="Z713" s="571"/>
    </row>
    <row r="714" spans="1:26" ht="18.75">
      <c r="A714" s="735"/>
      <c r="B714" s="754"/>
      <c r="C714" s="754"/>
      <c r="D714" s="754"/>
      <c r="E714" s="754"/>
      <c r="F714" s="754"/>
      <c r="G714" s="189"/>
      <c r="H714" s="755" t="s">
        <v>46</v>
      </c>
      <c r="I714" s="756"/>
      <c r="J714" s="214">
        <v>0</v>
      </c>
      <c r="K714" s="496"/>
      <c r="L714" s="757"/>
      <c r="M714" s="189"/>
      <c r="N714" s="757"/>
      <c r="O714" s="496"/>
      <c r="P714" s="496"/>
      <c r="Q714" s="571"/>
      <c r="R714" s="571"/>
      <c r="S714" s="571"/>
      <c r="T714" s="571"/>
      <c r="U714" s="571"/>
      <c r="V714" s="571"/>
      <c r="W714" s="571"/>
      <c r="X714" s="571"/>
      <c r="Y714" s="571"/>
      <c r="Z714" s="571"/>
    </row>
    <row r="715" spans="1:26" ht="18.75">
      <c r="A715" s="735"/>
      <c r="B715" s="754"/>
      <c r="C715" s="754"/>
      <c r="D715" s="754"/>
      <c r="E715" s="754"/>
      <c r="F715" s="754" t="s">
        <v>303</v>
      </c>
      <c r="G715" s="189"/>
      <c r="H715" s="755" t="s">
        <v>35</v>
      </c>
      <c r="I715" s="756"/>
      <c r="J715" s="214">
        <v>0</v>
      </c>
      <c r="K715" s="496"/>
      <c r="L715" s="757"/>
      <c r="M715" s="189"/>
      <c r="N715" s="757"/>
      <c r="O715" s="496"/>
      <c r="P715" s="496"/>
      <c r="Q715" s="571"/>
      <c r="R715" s="571"/>
      <c r="S715" s="571"/>
      <c r="T715" s="571"/>
      <c r="U715" s="571"/>
      <c r="V715" s="571"/>
      <c r="W715" s="571"/>
      <c r="X715" s="571"/>
      <c r="Y715" s="571"/>
      <c r="Z715" s="571"/>
    </row>
    <row r="716" spans="1:26" ht="18.75">
      <c r="A716" s="735"/>
      <c r="B716" s="754"/>
      <c r="C716" s="754"/>
      <c r="D716" s="754"/>
      <c r="E716" s="754"/>
      <c r="F716" s="754"/>
      <c r="G716" s="189"/>
      <c r="H716" s="755" t="s">
        <v>34</v>
      </c>
      <c r="I716" s="756"/>
      <c r="J716" s="214">
        <v>0</v>
      </c>
      <c r="K716" s="496"/>
      <c r="L716" s="757"/>
      <c r="M716" s="189"/>
      <c r="N716" s="757"/>
      <c r="O716" s="496"/>
      <c r="P716" s="496"/>
      <c r="Q716" s="571"/>
      <c r="R716" s="571"/>
      <c r="S716" s="571"/>
      <c r="T716" s="571"/>
      <c r="U716" s="571"/>
      <c r="V716" s="571"/>
      <c r="W716" s="571"/>
      <c r="X716" s="571"/>
      <c r="Y716" s="571"/>
      <c r="Z716" s="571"/>
    </row>
    <row r="717" spans="1:26" ht="18.75">
      <c r="A717" s="735"/>
      <c r="B717" s="754"/>
      <c r="C717" s="754"/>
      <c r="D717" s="754"/>
      <c r="E717" s="754"/>
      <c r="F717" s="754"/>
      <c r="G717" s="189"/>
      <c r="H717" s="755" t="s">
        <v>46</v>
      </c>
      <c r="I717" s="756"/>
      <c r="J717" s="214">
        <v>0</v>
      </c>
      <c r="K717" s="496"/>
      <c r="L717" s="757"/>
      <c r="M717" s="189"/>
      <c r="N717" s="757"/>
      <c r="O717" s="496"/>
      <c r="P717" s="496"/>
      <c r="Q717" s="571"/>
      <c r="R717" s="571"/>
      <c r="S717" s="571"/>
      <c r="T717" s="571"/>
      <c r="U717" s="571"/>
      <c r="V717" s="571"/>
      <c r="W717" s="571"/>
      <c r="X717" s="571"/>
      <c r="Y717" s="571"/>
      <c r="Z717" s="571"/>
    </row>
    <row r="718" spans="1:26" ht="18.75">
      <c r="A718" s="735"/>
      <c r="B718" s="754"/>
      <c r="C718" s="754"/>
      <c r="D718" s="754" t="s">
        <v>304</v>
      </c>
      <c r="E718" s="754"/>
      <c r="F718" s="754"/>
      <c r="G718" s="189"/>
      <c r="H718" s="755" t="s">
        <v>35</v>
      </c>
      <c r="I718" s="756"/>
      <c r="J718" s="269">
        <f ca="1">IFERROR(__xludf.DUMMYFUNCTION("IMPORTRANGE(""https://docs.google.com/spreadsheets/d/1XWAQStnk-4SwqDmLtmXYiTMKHgktTP8We1SCoS47DrQ/edit?usp=sharing"",""จัดที่ดิน!BF67"")"),0)</f>
        <v>0</v>
      </c>
      <c r="K718" s="496"/>
      <c r="L718" s="496"/>
      <c r="M718" s="189"/>
      <c r="N718" s="757"/>
      <c r="O718" s="496"/>
      <c r="P718" s="496"/>
      <c r="Q718" s="571"/>
      <c r="R718" s="571"/>
      <c r="S718" s="571"/>
      <c r="T718" s="571"/>
      <c r="U718" s="571"/>
      <c r="V718" s="571"/>
      <c r="W718" s="571"/>
      <c r="X718" s="571"/>
      <c r="Y718" s="571"/>
      <c r="Z718" s="571"/>
    </row>
    <row r="719" spans="1:26" ht="18.75">
      <c r="A719" s="735"/>
      <c r="B719" s="754"/>
      <c r="C719" s="754"/>
      <c r="D719" s="754"/>
      <c r="E719" s="754"/>
      <c r="F719" s="754"/>
      <c r="G719" s="189"/>
      <c r="H719" s="755" t="s">
        <v>34</v>
      </c>
      <c r="I719" s="756"/>
      <c r="J719" s="269">
        <f ca="1">IFERROR(__xludf.DUMMYFUNCTION("IMPORTRANGE(""https://docs.google.com/spreadsheets/d/1XWAQStnk-4SwqDmLtmXYiTMKHgktTP8We1SCoS47DrQ/edit?usp=sharing"",""จัดที่ดิน!BG67"")"),0)</f>
        <v>0</v>
      </c>
      <c r="K719" s="496"/>
      <c r="L719" s="757"/>
      <c r="M719" s="189"/>
      <c r="N719" s="757"/>
      <c r="O719" s="496"/>
      <c r="P719" s="496"/>
      <c r="Q719" s="571"/>
      <c r="R719" s="571"/>
      <c r="S719" s="571"/>
      <c r="T719" s="571"/>
      <c r="U719" s="571"/>
      <c r="V719" s="571"/>
      <c r="W719" s="571"/>
      <c r="X719" s="571"/>
      <c r="Y719" s="571"/>
      <c r="Z719" s="571"/>
    </row>
    <row r="720" spans="1:26" ht="18.75">
      <c r="A720" s="735"/>
      <c r="B720" s="754"/>
      <c r="C720" s="754"/>
      <c r="D720" s="754"/>
      <c r="E720" s="754"/>
      <c r="F720" s="754"/>
      <c r="G720" s="189"/>
      <c r="H720" s="755" t="s">
        <v>46</v>
      </c>
      <c r="I720" s="756">
        <f ca="1">IFERROR(__xludf.DUMMYFUNCTION("IMPORTRANGE(""https://docs.google.com/spreadsheets/d/1QqKyyYR6Q21VydFLVH3TRQUabQu_ym0Zz7PgGX0-kHA/edit?usp=sharing"",""แผน!II67"")"),30)</f>
        <v>30</v>
      </c>
      <c r="J720" s="269">
        <f ca="1">IFERROR(__xludf.DUMMYFUNCTION("IMPORTRANGE(""https://docs.google.com/spreadsheets/d/1XWAQStnk-4SwqDmLtmXYiTMKHgktTP8We1SCoS47DrQ/edit?usp=sharing"",""จัดที่ดิน!BH67"")"),0)</f>
        <v>0</v>
      </c>
      <c r="K720" s="496">
        <f t="shared" ref="K720:K723" ca="1" si="291">IF(I720&gt;0,J720*100/I720,0)</f>
        <v>0</v>
      </c>
      <c r="L720" s="757"/>
      <c r="M720" s="189"/>
      <c r="N720" s="757"/>
      <c r="O720" s="496"/>
      <c r="P720" s="496"/>
      <c r="Q720" s="571"/>
      <c r="R720" s="571"/>
      <c r="S720" s="571"/>
      <c r="T720" s="571"/>
      <c r="U720" s="571"/>
      <c r="V720" s="571"/>
      <c r="W720" s="571"/>
      <c r="X720" s="571"/>
      <c r="Y720" s="571"/>
      <c r="Z720" s="571"/>
    </row>
    <row r="721" spans="1:26" ht="19.5">
      <c r="A721" s="735"/>
      <c r="B721" s="754"/>
      <c r="C721" s="754"/>
      <c r="D721" s="754" t="s">
        <v>305</v>
      </c>
      <c r="E721" s="754"/>
      <c r="F721" s="754"/>
      <c r="G721" s="189"/>
      <c r="H721" s="758" t="s">
        <v>35</v>
      </c>
      <c r="I721" s="759">
        <f ca="1">IFERROR(__xludf.DUMMYFUNCTION("IMPORTRANGE(""https://docs.google.com/spreadsheets/d/1QqKyyYR6Q21VydFLVH3TRQUabQu_ym0Zz7PgGX0-kHA/edit?usp=sharing"",""แผน!IJ67"")"),1)</f>
        <v>1</v>
      </c>
      <c r="J721" s="674">
        <f ca="1">J723+J726</f>
        <v>0</v>
      </c>
      <c r="K721" s="195">
        <f t="shared" ca="1" si="291"/>
        <v>0</v>
      </c>
      <c r="L721" s="757"/>
      <c r="M721" s="189"/>
      <c r="N721" s="757"/>
      <c r="O721" s="496"/>
      <c r="P721" s="496"/>
      <c r="Q721" s="571"/>
      <c r="R721" s="571"/>
      <c r="S721" s="571"/>
      <c r="T721" s="571"/>
      <c r="U721" s="571"/>
      <c r="V721" s="571"/>
      <c r="W721" s="571"/>
      <c r="X721" s="571"/>
      <c r="Y721" s="571"/>
      <c r="Z721" s="571"/>
    </row>
    <row r="722" spans="1:26" ht="19.5">
      <c r="A722" s="735"/>
      <c r="B722" s="754"/>
      <c r="C722" s="754"/>
      <c r="D722" s="754"/>
      <c r="E722" s="754"/>
      <c r="F722" s="754"/>
      <c r="G722" s="189"/>
      <c r="H722" s="758" t="s">
        <v>46</v>
      </c>
      <c r="I722" s="759">
        <f ca="1">IFERROR(__xludf.DUMMYFUNCTION("IMPORTRANGE(""https://docs.google.com/spreadsheets/d/1QqKyyYR6Q21VydFLVH3TRQUabQu_ym0Zz7PgGX0-kHA/edit?usp=sharing"",""แผน!IK67"")"),10)</f>
        <v>10</v>
      </c>
      <c r="J722" s="674">
        <f ca="1">J725+J728</f>
        <v>0</v>
      </c>
      <c r="K722" s="195">
        <f t="shared" ca="1" si="291"/>
        <v>0</v>
      </c>
      <c r="L722" s="496"/>
      <c r="M722" s="189"/>
      <c r="N722" s="757"/>
      <c r="O722" s="496"/>
      <c r="P722" s="496"/>
      <c r="Q722" s="571"/>
      <c r="R722" s="571"/>
      <c r="S722" s="571"/>
      <c r="T722" s="571"/>
      <c r="U722" s="571"/>
      <c r="V722" s="571"/>
      <c r="W722" s="571"/>
      <c r="X722" s="571"/>
      <c r="Y722" s="571"/>
      <c r="Z722" s="571"/>
    </row>
    <row r="723" spans="1:26" ht="18.75">
      <c r="A723" s="735"/>
      <c r="B723" s="754"/>
      <c r="C723" s="754"/>
      <c r="D723" s="754"/>
      <c r="E723" s="754" t="s">
        <v>306</v>
      </c>
      <c r="F723" s="754"/>
      <c r="G723" s="189"/>
      <c r="H723" s="755" t="s">
        <v>35</v>
      </c>
      <c r="I723" s="756">
        <f ca="1">IFERROR(__xludf.DUMMYFUNCTION("IMPORTRANGE(""https://docs.google.com/spreadsheets/d/1QqKyyYR6Q21VydFLVH3TRQUabQu_ym0Zz7PgGX0-kHA/edit?usp=sharing"",""แผน!IL67"")"),1)</f>
        <v>1</v>
      </c>
      <c r="J723" s="269">
        <f ca="1">IFERROR(__xludf.DUMMYFUNCTION("IMPORTRANGE(""https://docs.google.com/spreadsheets/d/1XWAQStnk-4SwqDmLtmXYiTMKHgktTP8We1SCoS47DrQ/edit?usp=sharing"",""จัดที่ดิน!BM67"")"),0)</f>
        <v>0</v>
      </c>
      <c r="K723" s="496">
        <f t="shared" ca="1" si="291"/>
        <v>0</v>
      </c>
      <c r="L723" s="496"/>
      <c r="M723" s="189"/>
      <c r="N723" s="757"/>
      <c r="O723" s="496"/>
      <c r="P723" s="496"/>
      <c r="Q723" s="571"/>
      <c r="R723" s="571"/>
      <c r="S723" s="571"/>
      <c r="T723" s="571"/>
      <c r="U723" s="571"/>
      <c r="V723" s="571"/>
      <c r="W723" s="571"/>
      <c r="X723" s="571"/>
      <c r="Y723" s="571"/>
      <c r="Z723" s="571"/>
    </row>
    <row r="724" spans="1:26" ht="18.75">
      <c r="A724" s="735"/>
      <c r="B724" s="754"/>
      <c r="C724" s="754"/>
      <c r="D724" s="754"/>
      <c r="E724" s="754"/>
      <c r="F724" s="754"/>
      <c r="G724" s="189"/>
      <c r="H724" s="755" t="s">
        <v>34</v>
      </c>
      <c r="I724" s="756"/>
      <c r="J724" s="269">
        <f ca="1">IFERROR(__xludf.DUMMYFUNCTION("IMPORTRANGE(""https://docs.google.com/spreadsheets/d/1XWAQStnk-4SwqDmLtmXYiTMKHgktTP8We1SCoS47DrQ/edit?usp=sharing"",""จัดที่ดิน!BN67"")"),0)</f>
        <v>0</v>
      </c>
      <c r="K724" s="496"/>
      <c r="L724" s="757"/>
      <c r="M724" s="189"/>
      <c r="N724" s="757"/>
      <c r="O724" s="496"/>
      <c r="P724" s="496"/>
      <c r="Q724" s="571"/>
      <c r="R724" s="571"/>
      <c r="S724" s="571"/>
      <c r="T724" s="571"/>
      <c r="U724" s="571"/>
      <c r="V724" s="571"/>
      <c r="W724" s="571"/>
      <c r="X724" s="571"/>
      <c r="Y724" s="571"/>
      <c r="Z724" s="571"/>
    </row>
    <row r="725" spans="1:26" ht="18.75">
      <c r="A725" s="735"/>
      <c r="B725" s="754"/>
      <c r="C725" s="754"/>
      <c r="D725" s="754"/>
      <c r="E725" s="754"/>
      <c r="F725" s="754"/>
      <c r="G725" s="189"/>
      <c r="H725" s="755" t="s">
        <v>46</v>
      </c>
      <c r="I725" s="756">
        <f ca="1">IFERROR(__xludf.DUMMYFUNCTION("IMPORTRANGE(""https://docs.google.com/spreadsheets/d/1QqKyyYR6Q21VydFLVH3TRQUabQu_ym0Zz7PgGX0-kHA/edit?usp=sharing"",""แผน!IM67"")"),10)</f>
        <v>10</v>
      </c>
      <c r="J725" s="269">
        <f ca="1">IFERROR(__xludf.DUMMYFUNCTION("IMPORTRANGE(""https://docs.google.com/spreadsheets/d/1XWAQStnk-4SwqDmLtmXYiTMKHgktTP8We1SCoS47DrQ/edit?usp=sharing"",""จัดที่ดิน!BO67"")"),0)</f>
        <v>0</v>
      </c>
      <c r="K725" s="496">
        <f t="shared" ref="K725:K726" ca="1" si="292">IF(I725&gt;0,J725*100/I725,0)</f>
        <v>0</v>
      </c>
      <c r="L725" s="757"/>
      <c r="M725" s="189"/>
      <c r="N725" s="757"/>
      <c r="O725" s="496"/>
      <c r="P725" s="496"/>
      <c r="Q725" s="571"/>
      <c r="R725" s="571"/>
      <c r="S725" s="571"/>
      <c r="T725" s="571"/>
      <c r="U725" s="571"/>
      <c r="V725" s="571"/>
      <c r="W725" s="571"/>
      <c r="X725" s="571"/>
      <c r="Y725" s="571"/>
      <c r="Z725" s="571"/>
    </row>
    <row r="726" spans="1:26" ht="18.75">
      <c r="A726" s="735"/>
      <c r="B726" s="754"/>
      <c r="C726" s="754"/>
      <c r="D726" s="754"/>
      <c r="E726" s="754" t="s">
        <v>307</v>
      </c>
      <c r="F726" s="754"/>
      <c r="G726" s="189"/>
      <c r="H726" s="755" t="s">
        <v>35</v>
      </c>
      <c r="I726" s="756">
        <f ca="1">IFERROR(__xludf.DUMMYFUNCTION("IMPORTRANGE(""https://docs.google.com/spreadsheets/d/1QqKyyYR6Q21VydFLVH3TRQUabQu_ym0Zz7PgGX0-kHA/edit?usp=sharing"",""แผน!IN67"")"),0)</f>
        <v>0</v>
      </c>
      <c r="J726" s="269">
        <f ca="1">IFERROR(__xludf.DUMMYFUNCTION("IMPORTRANGE(""https://docs.google.com/spreadsheets/d/1XWAQStnk-4SwqDmLtmXYiTMKHgktTP8We1SCoS47DrQ/edit?usp=sharing"",""จัดที่ดิน!BR67"")"),0)</f>
        <v>0</v>
      </c>
      <c r="K726" s="496">
        <f t="shared" ca="1" si="292"/>
        <v>0</v>
      </c>
      <c r="L726" s="496"/>
      <c r="M726" s="189"/>
      <c r="N726" s="757"/>
      <c r="O726" s="496"/>
      <c r="P726" s="496"/>
      <c r="Q726" s="571"/>
      <c r="R726" s="571"/>
      <c r="S726" s="571"/>
      <c r="T726" s="571"/>
      <c r="U726" s="571"/>
      <c r="V726" s="571"/>
      <c r="W726" s="571"/>
      <c r="X726" s="571"/>
      <c r="Y726" s="571"/>
      <c r="Z726" s="571"/>
    </row>
    <row r="727" spans="1:26" ht="18.75">
      <c r="A727" s="735"/>
      <c r="B727" s="754"/>
      <c r="C727" s="754"/>
      <c r="D727" s="754"/>
      <c r="E727" s="754"/>
      <c r="F727" s="754"/>
      <c r="G727" s="189"/>
      <c r="H727" s="755" t="s">
        <v>34</v>
      </c>
      <c r="I727" s="756"/>
      <c r="J727" s="269">
        <f ca="1">IFERROR(__xludf.DUMMYFUNCTION("IMPORTRANGE(""https://docs.google.com/spreadsheets/d/1XWAQStnk-4SwqDmLtmXYiTMKHgktTP8We1SCoS47DrQ/edit?usp=sharing"",""จัดที่ดิน!BS67"")"),0)</f>
        <v>0</v>
      </c>
      <c r="K727" s="496"/>
      <c r="L727" s="757"/>
      <c r="M727" s="189"/>
      <c r="N727" s="757"/>
      <c r="O727" s="496"/>
      <c r="P727" s="496"/>
      <c r="Q727" s="571"/>
      <c r="R727" s="571"/>
      <c r="S727" s="571"/>
      <c r="T727" s="571"/>
      <c r="U727" s="571"/>
      <c r="V727" s="571"/>
      <c r="W727" s="571"/>
      <c r="X727" s="571"/>
      <c r="Y727" s="571"/>
      <c r="Z727" s="571"/>
    </row>
    <row r="728" spans="1:26" ht="18.75">
      <c r="A728" s="735"/>
      <c r="B728" s="754"/>
      <c r="C728" s="754"/>
      <c r="D728" s="754"/>
      <c r="E728" s="754"/>
      <c r="F728" s="754"/>
      <c r="G728" s="189"/>
      <c r="H728" s="755" t="s">
        <v>46</v>
      </c>
      <c r="I728" s="756">
        <f ca="1">IFERROR(__xludf.DUMMYFUNCTION("IMPORTRANGE(""https://docs.google.com/spreadsheets/d/1QqKyyYR6Q21VydFLVH3TRQUabQu_ym0Zz7PgGX0-kHA/edit?usp=sharing"",""แผน!IO67"")"),0)</f>
        <v>0</v>
      </c>
      <c r="J728" s="269">
        <f ca="1">IFERROR(__xludf.DUMMYFUNCTION("IMPORTRANGE(""https://docs.google.com/spreadsheets/d/1XWAQStnk-4SwqDmLtmXYiTMKHgktTP8We1SCoS47DrQ/edit?usp=sharing"",""จัดที่ดิน!BT67"")"),0)</f>
        <v>0</v>
      </c>
      <c r="K728" s="496">
        <f t="shared" ref="K728:K729" ca="1" si="293">IF(I728&gt;0,J728*100/I728,0)</f>
        <v>0</v>
      </c>
      <c r="L728" s="757"/>
      <c r="M728" s="189"/>
      <c r="N728" s="757"/>
      <c r="O728" s="496"/>
      <c r="P728" s="496"/>
      <c r="Q728" s="571"/>
      <c r="R728" s="571"/>
      <c r="S728" s="571"/>
      <c r="T728" s="571"/>
      <c r="U728" s="571"/>
      <c r="V728" s="571"/>
      <c r="W728" s="571"/>
      <c r="X728" s="571"/>
      <c r="Y728" s="571"/>
      <c r="Z728" s="571"/>
    </row>
    <row r="729" spans="1:26" ht="19.5">
      <c r="A729" s="735"/>
      <c r="B729" s="754"/>
      <c r="C729" s="754"/>
      <c r="D729" s="754" t="s">
        <v>308</v>
      </c>
      <c r="E729" s="754"/>
      <c r="F729" s="754"/>
      <c r="G729" s="189"/>
      <c r="H729" s="758" t="s">
        <v>46</v>
      </c>
      <c r="I729" s="759">
        <f ca="1">IFERROR(__xludf.DUMMYFUNCTION("IMPORTRANGE(""https://docs.google.com/spreadsheets/d/1QqKyyYR6Q21VydFLVH3TRQUabQu_ym0Zz7PgGX0-kHA/edit?usp=sharing"",""แผน!IP67"")"),0)</f>
        <v>0</v>
      </c>
      <c r="J729" s="674">
        <f>J732+J735</f>
        <v>0</v>
      </c>
      <c r="K729" s="195">
        <f t="shared" ca="1" si="293"/>
        <v>0</v>
      </c>
      <c r="L729" s="496"/>
      <c r="M729" s="189"/>
      <c r="N729" s="757"/>
      <c r="O729" s="496"/>
      <c r="P729" s="496"/>
      <c r="Q729" s="571"/>
      <c r="R729" s="571"/>
      <c r="S729" s="571"/>
      <c r="T729" s="571"/>
      <c r="U729" s="571"/>
      <c r="V729" s="571"/>
      <c r="W729" s="571"/>
      <c r="X729" s="571"/>
      <c r="Y729" s="571"/>
      <c r="Z729" s="571"/>
    </row>
    <row r="730" spans="1:26" ht="18.75">
      <c r="A730" s="735"/>
      <c r="B730" s="754"/>
      <c r="C730" s="754"/>
      <c r="D730" s="754"/>
      <c r="E730" s="754" t="s">
        <v>309</v>
      </c>
      <c r="F730" s="754"/>
      <c r="G730" s="189"/>
      <c r="H730" s="755" t="s">
        <v>35</v>
      </c>
      <c r="I730" s="756"/>
      <c r="J730" s="214">
        <v>0</v>
      </c>
      <c r="K730" s="496"/>
      <c r="L730" s="757"/>
      <c r="M730" s="496"/>
      <c r="N730" s="757"/>
      <c r="O730" s="496"/>
      <c r="P730" s="496"/>
      <c r="Q730" s="571"/>
      <c r="R730" s="571"/>
      <c r="S730" s="571"/>
      <c r="T730" s="571"/>
      <c r="U730" s="571"/>
      <c r="V730" s="571"/>
      <c r="W730" s="571"/>
      <c r="X730" s="571"/>
      <c r="Y730" s="571"/>
      <c r="Z730" s="571"/>
    </row>
    <row r="731" spans="1:26" ht="18.75">
      <c r="A731" s="735"/>
      <c r="B731" s="754"/>
      <c r="C731" s="754"/>
      <c r="D731" s="754"/>
      <c r="E731" s="754"/>
      <c r="F731" s="754"/>
      <c r="G731" s="189"/>
      <c r="H731" s="755" t="s">
        <v>34</v>
      </c>
      <c r="I731" s="756"/>
      <c r="J731" s="214">
        <v>0</v>
      </c>
      <c r="K731" s="496"/>
      <c r="L731" s="757"/>
      <c r="M731" s="496"/>
      <c r="N731" s="757"/>
      <c r="O731" s="496"/>
      <c r="P731" s="496"/>
      <c r="Q731" s="571"/>
      <c r="R731" s="571"/>
      <c r="S731" s="571"/>
      <c r="T731" s="571"/>
      <c r="U731" s="571"/>
      <c r="V731" s="571"/>
      <c r="W731" s="571"/>
      <c r="X731" s="571"/>
      <c r="Y731" s="571"/>
      <c r="Z731" s="571"/>
    </row>
    <row r="732" spans="1:26" ht="18.75">
      <c r="A732" s="735"/>
      <c r="B732" s="754"/>
      <c r="C732" s="754"/>
      <c r="D732" s="754"/>
      <c r="E732" s="754"/>
      <c r="F732" s="754"/>
      <c r="G732" s="189"/>
      <c r="H732" s="755" t="s">
        <v>46</v>
      </c>
      <c r="I732" s="756"/>
      <c r="J732" s="214">
        <v>0</v>
      </c>
      <c r="K732" s="496"/>
      <c r="L732" s="757"/>
      <c r="M732" s="496"/>
      <c r="N732" s="757"/>
      <c r="O732" s="496"/>
      <c r="P732" s="496"/>
      <c r="Q732" s="571"/>
      <c r="R732" s="571"/>
      <c r="S732" s="571"/>
      <c r="T732" s="571"/>
      <c r="U732" s="571"/>
      <c r="V732" s="571"/>
      <c r="W732" s="571"/>
      <c r="X732" s="571"/>
      <c r="Y732" s="571"/>
      <c r="Z732" s="571"/>
    </row>
    <row r="733" spans="1:26" ht="18.75">
      <c r="A733" s="735"/>
      <c r="B733" s="754"/>
      <c r="C733" s="754"/>
      <c r="D733" s="754"/>
      <c r="E733" s="754" t="s">
        <v>310</v>
      </c>
      <c r="F733" s="754"/>
      <c r="G733" s="189"/>
      <c r="H733" s="755" t="s">
        <v>35</v>
      </c>
      <c r="I733" s="756"/>
      <c r="J733" s="214">
        <v>0</v>
      </c>
      <c r="K733" s="496"/>
      <c r="L733" s="757"/>
      <c r="M733" s="496"/>
      <c r="N733" s="757"/>
      <c r="O733" s="496"/>
      <c r="P733" s="496"/>
      <c r="Q733" s="571"/>
      <c r="R733" s="571"/>
      <c r="S733" s="571"/>
      <c r="T733" s="571"/>
      <c r="U733" s="571"/>
      <c r="V733" s="571"/>
      <c r="W733" s="571"/>
      <c r="X733" s="571"/>
      <c r="Y733" s="571"/>
      <c r="Z733" s="571"/>
    </row>
    <row r="734" spans="1:26" ht="18.75">
      <c r="A734" s="735"/>
      <c r="B734" s="754"/>
      <c r="C734" s="754"/>
      <c r="D734" s="754"/>
      <c r="E734" s="754"/>
      <c r="F734" s="754"/>
      <c r="G734" s="189"/>
      <c r="H734" s="755" t="s">
        <v>34</v>
      </c>
      <c r="I734" s="756"/>
      <c r="J734" s="214">
        <v>0</v>
      </c>
      <c r="K734" s="496"/>
      <c r="L734" s="757"/>
      <c r="M734" s="496"/>
      <c r="N734" s="757"/>
      <c r="O734" s="496"/>
      <c r="P734" s="496"/>
      <c r="Q734" s="571"/>
      <c r="R734" s="571"/>
      <c r="S734" s="571"/>
      <c r="T734" s="571"/>
      <c r="U734" s="571"/>
      <c r="V734" s="571"/>
      <c r="W734" s="571"/>
      <c r="X734" s="571"/>
      <c r="Y734" s="571"/>
      <c r="Z734" s="571"/>
    </row>
    <row r="735" spans="1:26" ht="19.5">
      <c r="A735" s="761"/>
      <c r="B735" s="762" t="s">
        <v>311</v>
      </c>
      <c r="C735" s="725"/>
      <c r="D735" s="725"/>
      <c r="E735" s="725"/>
      <c r="F735" s="725"/>
      <c r="G735" s="726"/>
      <c r="H735" s="421" t="s">
        <v>46</v>
      </c>
      <c r="I735" s="763"/>
      <c r="J735" s="423">
        <v>0</v>
      </c>
      <c r="K735" s="500"/>
      <c r="L735" s="764"/>
      <c r="M735" s="500"/>
      <c r="N735" s="764"/>
      <c r="O735" s="500"/>
      <c r="P735" s="500"/>
      <c r="Q735" s="571"/>
      <c r="R735" s="571"/>
      <c r="S735" s="571"/>
      <c r="T735" s="571"/>
      <c r="U735" s="571"/>
      <c r="V735" s="571"/>
      <c r="W735" s="571"/>
      <c r="X735" s="571"/>
      <c r="Y735" s="571"/>
      <c r="Z735" s="571"/>
    </row>
    <row r="736" spans="1:26" ht="19.5" hidden="1">
      <c r="A736" s="765">
        <v>9</v>
      </c>
      <c r="B736" s="766" t="s">
        <v>312</v>
      </c>
      <c r="C736" s="767"/>
      <c r="D736" s="767"/>
      <c r="E736" s="767"/>
      <c r="F736" s="767"/>
      <c r="G736" s="768"/>
      <c r="H736" s="769" t="s">
        <v>46</v>
      </c>
      <c r="I736" s="770"/>
      <c r="J736" s="770">
        <f>J751</f>
        <v>0</v>
      </c>
      <c r="K736" s="771">
        <f>IF(I736&gt;0,J736*100/I736,0)</f>
        <v>0</v>
      </c>
      <c r="L736" s="772"/>
      <c r="M736" s="772"/>
      <c r="N736" s="772"/>
      <c r="O736" s="772"/>
      <c r="P736" s="772"/>
      <c r="Q736" s="597"/>
      <c r="R736" s="597"/>
      <c r="S736" s="597"/>
      <c r="T736" s="597"/>
      <c r="U736" s="597"/>
      <c r="V736" s="597"/>
      <c r="W736" s="597"/>
      <c r="X736" s="597"/>
      <c r="Y736" s="597"/>
      <c r="Z736" s="597"/>
    </row>
    <row r="737" spans="1:26" ht="19.5" hidden="1">
      <c r="A737" s="592"/>
      <c r="B737" s="750"/>
      <c r="C737" s="750" t="s">
        <v>16</v>
      </c>
      <c r="D737" s="864" t="s">
        <v>17</v>
      </c>
      <c r="E737" s="857"/>
      <c r="F737" s="857"/>
      <c r="G737" s="596"/>
      <c r="H737" s="639" t="s">
        <v>12</v>
      </c>
      <c r="I737" s="610"/>
      <c r="J737" s="610"/>
      <c r="K737" s="93"/>
      <c r="L737" s="640">
        <f t="shared" ref="L737:N737" si="294">L738+L739</f>
        <v>0</v>
      </c>
      <c r="M737" s="640">
        <f t="shared" si="294"/>
        <v>0</v>
      </c>
      <c r="N737" s="640">
        <f t="shared" si="294"/>
        <v>0</v>
      </c>
      <c r="O737" s="640">
        <f t="shared" ref="O737:O742" si="295">IF(L737&gt;0,N737*100/L737,0)</f>
        <v>0</v>
      </c>
      <c r="P737" s="640">
        <f t="shared" ref="P737:P742" si="296">IF(M737&gt;0,N737*100/M737,0)</f>
        <v>0</v>
      </c>
      <c r="Q737" s="597"/>
      <c r="R737" s="597"/>
      <c r="S737" s="597"/>
      <c r="T737" s="597"/>
      <c r="U737" s="597"/>
      <c r="V737" s="597"/>
      <c r="W737" s="597"/>
      <c r="X737" s="597"/>
      <c r="Y737" s="597"/>
      <c r="Z737" s="597"/>
    </row>
    <row r="738" spans="1:26" ht="18.75" hidden="1">
      <c r="A738" s="592"/>
      <c r="B738" s="750"/>
      <c r="C738" s="750"/>
      <c r="D738" s="711"/>
      <c r="E738" s="750" t="s">
        <v>184</v>
      </c>
      <c r="F738" s="750"/>
      <c r="G738" s="596"/>
      <c r="H738" s="165" t="s">
        <v>12</v>
      </c>
      <c r="I738" s="610"/>
      <c r="J738" s="610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597"/>
      <c r="R738" s="597"/>
      <c r="S738" s="597"/>
      <c r="T738" s="597"/>
      <c r="U738" s="597"/>
      <c r="V738" s="597"/>
      <c r="W738" s="597"/>
      <c r="X738" s="597"/>
      <c r="Y738" s="597"/>
      <c r="Z738" s="597"/>
    </row>
    <row r="739" spans="1:26" ht="18.75" hidden="1">
      <c r="A739" s="592"/>
      <c r="B739" s="600"/>
      <c r="C739" s="750"/>
      <c r="D739" s="711"/>
      <c r="E739" s="750" t="s">
        <v>185</v>
      </c>
      <c r="F739" s="750"/>
      <c r="G739" s="596"/>
      <c r="H739" s="165" t="s">
        <v>12</v>
      </c>
      <c r="I739" s="610"/>
      <c r="J739" s="610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597"/>
      <c r="R739" s="597"/>
      <c r="S739" s="597"/>
      <c r="T739" s="597"/>
      <c r="U739" s="597"/>
      <c r="V739" s="597"/>
      <c r="W739" s="597"/>
      <c r="X739" s="597"/>
      <c r="Y739" s="597"/>
      <c r="Z739" s="597"/>
    </row>
    <row r="740" spans="1:26" ht="19.5" hidden="1">
      <c r="A740" s="592"/>
      <c r="B740" s="600"/>
      <c r="C740" s="750"/>
      <c r="D740" s="638" t="s">
        <v>20</v>
      </c>
      <c r="E740" s="750"/>
      <c r="F740" s="750"/>
      <c r="G740" s="596"/>
      <c r="H740" s="639" t="s">
        <v>12</v>
      </c>
      <c r="I740" s="166"/>
      <c r="J740" s="166"/>
      <c r="K740" s="167"/>
      <c r="L740" s="640">
        <f t="shared" ref="L740:N740" si="298">L741+L742</f>
        <v>0</v>
      </c>
      <c r="M740" s="640">
        <f t="shared" si="298"/>
        <v>0</v>
      </c>
      <c r="N740" s="640">
        <f t="shared" si="298"/>
        <v>0</v>
      </c>
      <c r="O740" s="640">
        <f t="shared" si="295"/>
        <v>0</v>
      </c>
      <c r="P740" s="640">
        <f t="shared" si="296"/>
        <v>0</v>
      </c>
      <c r="Q740" s="597"/>
      <c r="R740" s="597"/>
      <c r="S740" s="597"/>
      <c r="T740" s="597"/>
      <c r="U740" s="597"/>
      <c r="V740" s="597"/>
      <c r="W740" s="597"/>
      <c r="X740" s="597"/>
      <c r="Y740" s="597"/>
      <c r="Z740" s="597"/>
    </row>
    <row r="741" spans="1:26" ht="18.75" hidden="1">
      <c r="A741" s="592"/>
      <c r="B741" s="600"/>
      <c r="C741" s="750"/>
      <c r="D741" s="711"/>
      <c r="E741" s="750" t="s">
        <v>184</v>
      </c>
      <c r="F741" s="750"/>
      <c r="G741" s="596"/>
      <c r="H741" s="165" t="s">
        <v>12</v>
      </c>
      <c r="I741" s="610"/>
      <c r="J741" s="610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597"/>
      <c r="R741" s="597"/>
      <c r="S741" s="597"/>
      <c r="T741" s="597"/>
      <c r="U741" s="597"/>
      <c r="V741" s="597"/>
      <c r="W741" s="597"/>
      <c r="X741" s="597"/>
      <c r="Y741" s="597"/>
      <c r="Z741" s="597"/>
    </row>
    <row r="742" spans="1:26" ht="18.75" hidden="1">
      <c r="A742" s="592"/>
      <c r="B742" s="600"/>
      <c r="C742" s="750"/>
      <c r="D742" s="711"/>
      <c r="E742" s="750" t="s">
        <v>185</v>
      </c>
      <c r="F742" s="750"/>
      <c r="G742" s="596"/>
      <c r="H742" s="165" t="s">
        <v>12</v>
      </c>
      <c r="I742" s="610"/>
      <c r="J742" s="610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597"/>
      <c r="R742" s="597"/>
      <c r="S742" s="597"/>
      <c r="T742" s="597"/>
      <c r="U742" s="597"/>
      <c r="V742" s="597"/>
      <c r="W742" s="597"/>
      <c r="X742" s="597"/>
      <c r="Y742" s="597"/>
      <c r="Z742" s="597"/>
    </row>
    <row r="743" spans="1:26" ht="18.75" hidden="1">
      <c r="A743" s="642"/>
      <c r="B743" s="600"/>
      <c r="C743" s="750"/>
      <c r="D743" s="750"/>
      <c r="E743" s="750"/>
      <c r="F743" s="750" t="s">
        <v>186</v>
      </c>
      <c r="G743" s="596"/>
      <c r="H743" s="165" t="s">
        <v>12</v>
      </c>
      <c r="I743" s="610"/>
      <c r="J743" s="610"/>
      <c r="K743" s="93"/>
      <c r="L743" s="93"/>
      <c r="M743" s="93"/>
      <c r="N743" s="93"/>
      <c r="O743" s="93"/>
      <c r="P743" s="93"/>
      <c r="Q743" s="597"/>
      <c r="R743" s="597"/>
      <c r="S743" s="597"/>
      <c r="T743" s="597"/>
      <c r="U743" s="597"/>
      <c r="V743" s="597"/>
      <c r="W743" s="597"/>
      <c r="X743" s="597"/>
      <c r="Y743" s="597"/>
      <c r="Z743" s="597"/>
    </row>
    <row r="744" spans="1:26" ht="18.75" hidden="1">
      <c r="A744" s="642"/>
      <c r="B744" s="600"/>
      <c r="C744" s="750"/>
      <c r="D744" s="750"/>
      <c r="E744" s="750"/>
      <c r="F744" s="750" t="s">
        <v>187</v>
      </c>
      <c r="G744" s="596"/>
      <c r="H744" s="165" t="s">
        <v>12</v>
      </c>
      <c r="I744" s="610"/>
      <c r="J744" s="610"/>
      <c r="K744" s="93"/>
      <c r="L744" s="93"/>
      <c r="M744" s="93"/>
      <c r="N744" s="93"/>
      <c r="O744" s="93"/>
      <c r="P744" s="93"/>
      <c r="Q744" s="597"/>
      <c r="R744" s="597"/>
      <c r="S744" s="597"/>
      <c r="T744" s="597"/>
      <c r="U744" s="597"/>
      <c r="V744" s="597"/>
      <c r="W744" s="597"/>
      <c r="X744" s="597"/>
      <c r="Y744" s="597"/>
      <c r="Z744" s="597"/>
    </row>
    <row r="745" spans="1:26" ht="18.75" hidden="1">
      <c r="A745" s="642"/>
      <c r="B745" s="600"/>
      <c r="C745" s="750"/>
      <c r="D745" s="750"/>
      <c r="E745" s="750"/>
      <c r="F745" s="750" t="s">
        <v>188</v>
      </c>
      <c r="G745" s="596"/>
      <c r="H745" s="165" t="s">
        <v>12</v>
      </c>
      <c r="I745" s="610"/>
      <c r="J745" s="610"/>
      <c r="K745" s="93"/>
      <c r="L745" s="93"/>
      <c r="M745" s="93"/>
      <c r="N745" s="93"/>
      <c r="O745" s="93"/>
      <c r="P745" s="93"/>
      <c r="Q745" s="597"/>
      <c r="R745" s="597"/>
      <c r="S745" s="597"/>
      <c r="T745" s="597"/>
      <c r="U745" s="597"/>
      <c r="V745" s="597"/>
      <c r="W745" s="597"/>
      <c r="X745" s="597"/>
      <c r="Y745" s="597"/>
      <c r="Z745" s="597"/>
    </row>
    <row r="746" spans="1:26" ht="18.75" hidden="1">
      <c r="A746" s="642"/>
      <c r="B746" s="600"/>
      <c r="C746" s="750"/>
      <c r="D746" s="750"/>
      <c r="E746" s="750"/>
      <c r="F746" s="750" t="s">
        <v>189</v>
      </c>
      <c r="G746" s="596"/>
      <c r="H746" s="165" t="s">
        <v>12</v>
      </c>
      <c r="I746" s="610"/>
      <c r="J746" s="610"/>
      <c r="K746" s="93"/>
      <c r="L746" s="93"/>
      <c r="M746" s="93"/>
      <c r="N746" s="93"/>
      <c r="O746" s="93"/>
      <c r="P746" s="93"/>
      <c r="Q746" s="597"/>
      <c r="R746" s="597"/>
      <c r="S746" s="597"/>
      <c r="T746" s="597"/>
      <c r="U746" s="597"/>
      <c r="V746" s="597"/>
      <c r="W746" s="597"/>
      <c r="X746" s="597"/>
      <c r="Y746" s="597"/>
      <c r="Z746" s="597"/>
    </row>
    <row r="747" spans="1:26" ht="19.5" hidden="1">
      <c r="A747" s="592"/>
      <c r="B747" s="600"/>
      <c r="C747" s="750"/>
      <c r="D747" s="638" t="s">
        <v>21</v>
      </c>
      <c r="E747" s="750"/>
      <c r="F747" s="750"/>
      <c r="G747" s="596"/>
      <c r="H747" s="774" t="s">
        <v>12</v>
      </c>
      <c r="I747" s="166"/>
      <c r="J747" s="166"/>
      <c r="K747" s="167"/>
      <c r="L747" s="640">
        <f t="shared" ref="L747:N747" si="299">L748+L749</f>
        <v>0</v>
      </c>
      <c r="M747" s="640">
        <f t="shared" si="299"/>
        <v>0</v>
      </c>
      <c r="N747" s="640">
        <f t="shared" si="299"/>
        <v>0</v>
      </c>
      <c r="O747" s="640">
        <f t="shared" ref="O747:O749" si="300">IF(L747&gt;0,N747*100/L747,0)</f>
        <v>0</v>
      </c>
      <c r="P747" s="640">
        <f t="shared" ref="P747:P749" si="301">IF(M747&gt;0,N747*100/M747,0)</f>
        <v>0</v>
      </c>
      <c r="Q747" s="597"/>
      <c r="R747" s="597"/>
      <c r="S747" s="597"/>
      <c r="T747" s="597"/>
      <c r="U747" s="597"/>
      <c r="V747" s="597"/>
      <c r="W747" s="597"/>
      <c r="X747" s="597"/>
      <c r="Y747" s="597"/>
      <c r="Z747" s="597"/>
    </row>
    <row r="748" spans="1:26" ht="18.75" hidden="1">
      <c r="A748" s="592"/>
      <c r="B748" s="600"/>
      <c r="C748" s="750"/>
      <c r="D748" s="750"/>
      <c r="E748" s="750" t="s">
        <v>18</v>
      </c>
      <c r="F748" s="750"/>
      <c r="G748" s="596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597"/>
      <c r="R748" s="597"/>
      <c r="S748" s="597"/>
      <c r="T748" s="597"/>
      <c r="U748" s="597"/>
      <c r="V748" s="597"/>
      <c r="W748" s="597"/>
      <c r="X748" s="597"/>
      <c r="Y748" s="597"/>
      <c r="Z748" s="597"/>
    </row>
    <row r="749" spans="1:26" ht="18.75" hidden="1">
      <c r="A749" s="592"/>
      <c r="B749" s="600"/>
      <c r="C749" s="750"/>
      <c r="D749" s="750"/>
      <c r="E749" s="750" t="s">
        <v>19</v>
      </c>
      <c r="F749" s="750"/>
      <c r="G749" s="596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597"/>
      <c r="R749" s="597"/>
      <c r="S749" s="597"/>
      <c r="T749" s="597"/>
      <c r="U749" s="597"/>
      <c r="V749" s="597"/>
      <c r="W749" s="597"/>
      <c r="X749" s="597"/>
      <c r="Y749" s="597"/>
      <c r="Z749" s="597"/>
    </row>
    <row r="750" spans="1:26" ht="19.5" hidden="1">
      <c r="A750" s="607"/>
      <c r="B750" s="609"/>
      <c r="C750" s="750" t="s">
        <v>16</v>
      </c>
      <c r="D750" s="841" t="s">
        <v>38</v>
      </c>
      <c r="E750" s="644"/>
      <c r="F750" s="644"/>
      <c r="G750" s="645"/>
      <c r="H750" s="365"/>
      <c r="I750" s="166"/>
      <c r="J750" s="166"/>
      <c r="K750" s="167"/>
      <c r="L750" s="167"/>
      <c r="M750" s="167"/>
      <c r="N750" s="167"/>
      <c r="O750" s="167"/>
      <c r="P750" s="167"/>
      <c r="Q750" s="597"/>
      <c r="R750" s="597"/>
      <c r="S750" s="597"/>
      <c r="T750" s="597"/>
      <c r="U750" s="597"/>
      <c r="V750" s="597"/>
      <c r="W750" s="597"/>
      <c r="X750" s="597"/>
      <c r="Y750" s="597"/>
      <c r="Z750" s="597"/>
    </row>
    <row r="751" spans="1:26" ht="18.75" hidden="1">
      <c r="A751" s="642"/>
      <c r="B751" s="600"/>
      <c r="C751" s="750"/>
      <c r="D751" s="750"/>
      <c r="E751" s="750" t="s">
        <v>313</v>
      </c>
      <c r="F751" s="750"/>
      <c r="G751" s="596"/>
      <c r="H751" s="165" t="s">
        <v>46</v>
      </c>
      <c r="I751" s="610"/>
      <c r="J751" s="610"/>
      <c r="K751" s="93"/>
      <c r="L751" s="93"/>
      <c r="M751" s="93"/>
      <c r="N751" s="93"/>
      <c r="O751" s="93"/>
      <c r="P751" s="93"/>
      <c r="Q751" s="597"/>
      <c r="R751" s="597"/>
      <c r="S751" s="597"/>
      <c r="T751" s="597"/>
      <c r="U751" s="597"/>
      <c r="V751" s="597"/>
      <c r="W751" s="597"/>
      <c r="X751" s="597"/>
      <c r="Y751" s="597"/>
      <c r="Z751" s="597"/>
    </row>
    <row r="752" spans="1:26" ht="18.75" hidden="1">
      <c r="A752" s="642"/>
      <c r="B752" s="600"/>
      <c r="C752" s="750"/>
      <c r="D752" s="750"/>
      <c r="E752" s="750"/>
      <c r="F752" s="750"/>
      <c r="G752" s="596"/>
      <c r="H752" s="165" t="s">
        <v>314</v>
      </c>
      <c r="I752" s="610"/>
      <c r="J752" s="610"/>
      <c r="K752" s="93"/>
      <c r="L752" s="93"/>
      <c r="M752" s="93"/>
      <c r="N752" s="93"/>
      <c r="O752" s="93"/>
      <c r="P752" s="93"/>
      <c r="Q752" s="597"/>
      <c r="R752" s="597"/>
      <c r="S752" s="597"/>
      <c r="T752" s="597"/>
      <c r="U752" s="597"/>
      <c r="V752" s="597"/>
      <c r="W752" s="597"/>
      <c r="X752" s="597"/>
      <c r="Y752" s="597"/>
      <c r="Z752" s="597"/>
    </row>
    <row r="753" spans="1:26" ht="19.5" hidden="1">
      <c r="A753" s="776">
        <v>10</v>
      </c>
      <c r="B753" s="777" t="s">
        <v>315</v>
      </c>
      <c r="C753" s="778"/>
      <c r="D753" s="778"/>
      <c r="E753" s="778"/>
      <c r="F753" s="778"/>
      <c r="G753" s="779"/>
      <c r="H753" s="780" t="s">
        <v>46</v>
      </c>
      <c r="I753" s="781"/>
      <c r="J753" s="781">
        <f>J768</f>
        <v>0</v>
      </c>
      <c r="K753" s="782">
        <f>IF(I753&gt;0,J753*100/I753,0)</f>
        <v>0</v>
      </c>
      <c r="L753" s="783"/>
      <c r="M753" s="783"/>
      <c r="N753" s="783"/>
      <c r="O753" s="783"/>
      <c r="P753" s="783"/>
      <c r="Q753" s="597"/>
      <c r="R753" s="597"/>
      <c r="S753" s="597"/>
      <c r="T753" s="597"/>
      <c r="U753" s="597"/>
      <c r="V753" s="597"/>
      <c r="W753" s="597"/>
      <c r="X753" s="597"/>
      <c r="Y753" s="597"/>
      <c r="Z753" s="597"/>
    </row>
    <row r="754" spans="1:26" ht="19.5" hidden="1">
      <c r="A754" s="592"/>
      <c r="B754" s="750"/>
      <c r="C754" s="750" t="s">
        <v>16</v>
      </c>
      <c r="D754" s="864" t="s">
        <v>17</v>
      </c>
      <c r="E754" s="857"/>
      <c r="F754" s="857"/>
      <c r="G754" s="596"/>
      <c r="H754" s="639" t="s">
        <v>12</v>
      </c>
      <c r="I754" s="610"/>
      <c r="J754" s="610"/>
      <c r="K754" s="93"/>
      <c r="L754" s="640">
        <f t="shared" ref="L754:N754" si="302">L755+L756</f>
        <v>0</v>
      </c>
      <c r="M754" s="640">
        <f t="shared" si="302"/>
        <v>0</v>
      </c>
      <c r="N754" s="640">
        <f t="shared" si="302"/>
        <v>0</v>
      </c>
      <c r="O754" s="640">
        <f t="shared" ref="O754:O759" si="303">IF(L754&gt;0,N754*100/L754,0)</f>
        <v>0</v>
      </c>
      <c r="P754" s="640">
        <f t="shared" ref="P754:P759" si="304">IF(M754&gt;0,N754*100/M754,0)</f>
        <v>0</v>
      </c>
      <c r="Q754" s="597"/>
      <c r="R754" s="597"/>
      <c r="S754" s="597"/>
      <c r="T754" s="597"/>
      <c r="U754" s="597"/>
      <c r="V754" s="597"/>
      <c r="W754" s="597"/>
      <c r="X754" s="597"/>
      <c r="Y754" s="597"/>
      <c r="Z754" s="597"/>
    </row>
    <row r="755" spans="1:26" ht="18.75" hidden="1">
      <c r="A755" s="592"/>
      <c r="B755" s="750"/>
      <c r="C755" s="750"/>
      <c r="D755" s="711"/>
      <c r="E755" s="750" t="s">
        <v>184</v>
      </c>
      <c r="F755" s="750"/>
      <c r="G755" s="596"/>
      <c r="H755" s="165" t="s">
        <v>12</v>
      </c>
      <c r="I755" s="610"/>
      <c r="J755" s="610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597"/>
      <c r="R755" s="597"/>
      <c r="S755" s="597"/>
      <c r="T755" s="597"/>
      <c r="U755" s="597"/>
      <c r="V755" s="597"/>
      <c r="W755" s="597"/>
      <c r="X755" s="597"/>
      <c r="Y755" s="597"/>
      <c r="Z755" s="597"/>
    </row>
    <row r="756" spans="1:26" ht="18.75" hidden="1">
      <c r="A756" s="592"/>
      <c r="B756" s="600"/>
      <c r="C756" s="750"/>
      <c r="D756" s="711"/>
      <c r="E756" s="750" t="s">
        <v>185</v>
      </c>
      <c r="F756" s="750"/>
      <c r="G756" s="596"/>
      <c r="H756" s="165" t="s">
        <v>12</v>
      </c>
      <c r="I756" s="610"/>
      <c r="J756" s="610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597"/>
      <c r="R756" s="597"/>
      <c r="S756" s="597"/>
      <c r="T756" s="597"/>
      <c r="U756" s="597"/>
      <c r="V756" s="597"/>
      <c r="W756" s="597"/>
      <c r="X756" s="597"/>
      <c r="Y756" s="597"/>
      <c r="Z756" s="597"/>
    </row>
    <row r="757" spans="1:26" ht="19.5" hidden="1">
      <c r="A757" s="592"/>
      <c r="B757" s="600"/>
      <c r="C757" s="750"/>
      <c r="D757" s="638" t="s">
        <v>20</v>
      </c>
      <c r="E757" s="750"/>
      <c r="F757" s="750"/>
      <c r="G757" s="596"/>
      <c r="H757" s="639" t="s">
        <v>12</v>
      </c>
      <c r="I757" s="166"/>
      <c r="J757" s="166"/>
      <c r="K757" s="167"/>
      <c r="L757" s="640">
        <f t="shared" ref="L757:N757" si="306">L758+L759</f>
        <v>0</v>
      </c>
      <c r="M757" s="640">
        <f t="shared" si="306"/>
        <v>0</v>
      </c>
      <c r="N757" s="640">
        <f t="shared" si="306"/>
        <v>0</v>
      </c>
      <c r="O757" s="640">
        <f t="shared" si="303"/>
        <v>0</v>
      </c>
      <c r="P757" s="640">
        <f t="shared" si="304"/>
        <v>0</v>
      </c>
      <c r="Q757" s="597"/>
      <c r="R757" s="597"/>
      <c r="S757" s="597"/>
      <c r="T757" s="597"/>
      <c r="U757" s="597"/>
      <c r="V757" s="597"/>
      <c r="W757" s="597"/>
      <c r="X757" s="597"/>
      <c r="Y757" s="597"/>
      <c r="Z757" s="597"/>
    </row>
    <row r="758" spans="1:26" ht="18.75" hidden="1">
      <c r="A758" s="592"/>
      <c r="B758" s="600"/>
      <c r="C758" s="750"/>
      <c r="D758" s="711"/>
      <c r="E758" s="750" t="s">
        <v>184</v>
      </c>
      <c r="F758" s="750"/>
      <c r="G758" s="596"/>
      <c r="H758" s="165" t="s">
        <v>12</v>
      </c>
      <c r="I758" s="610"/>
      <c r="J758" s="610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597"/>
      <c r="R758" s="597"/>
      <c r="S758" s="597"/>
      <c r="T758" s="597"/>
      <c r="U758" s="597"/>
      <c r="V758" s="597"/>
      <c r="W758" s="597"/>
      <c r="X758" s="597"/>
      <c r="Y758" s="597"/>
      <c r="Z758" s="597"/>
    </row>
    <row r="759" spans="1:26" ht="18.75" hidden="1">
      <c r="A759" s="592"/>
      <c r="B759" s="600"/>
      <c r="C759" s="750"/>
      <c r="D759" s="711"/>
      <c r="E759" s="750" t="s">
        <v>185</v>
      </c>
      <c r="F759" s="750"/>
      <c r="G759" s="596"/>
      <c r="H759" s="165" t="s">
        <v>12</v>
      </c>
      <c r="I759" s="610"/>
      <c r="J759" s="610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597"/>
      <c r="R759" s="597"/>
      <c r="S759" s="597"/>
      <c r="T759" s="597"/>
      <c r="U759" s="597"/>
      <c r="V759" s="597"/>
      <c r="W759" s="597"/>
      <c r="X759" s="597"/>
      <c r="Y759" s="597"/>
      <c r="Z759" s="597"/>
    </row>
    <row r="760" spans="1:26" ht="18.75" hidden="1">
      <c r="A760" s="642"/>
      <c r="B760" s="600"/>
      <c r="C760" s="750"/>
      <c r="D760" s="750"/>
      <c r="E760" s="750"/>
      <c r="F760" s="750" t="s">
        <v>186</v>
      </c>
      <c r="G760" s="596"/>
      <c r="H760" s="165" t="s">
        <v>12</v>
      </c>
      <c r="I760" s="610"/>
      <c r="J760" s="610"/>
      <c r="K760" s="93"/>
      <c r="L760" s="93"/>
      <c r="M760" s="93"/>
      <c r="N760" s="93"/>
      <c r="O760" s="93"/>
      <c r="P760" s="93"/>
      <c r="Q760" s="597"/>
      <c r="R760" s="597"/>
      <c r="S760" s="597"/>
      <c r="T760" s="597"/>
      <c r="U760" s="597"/>
      <c r="V760" s="597"/>
      <c r="W760" s="597"/>
      <c r="X760" s="597"/>
      <c r="Y760" s="597"/>
      <c r="Z760" s="597"/>
    </row>
    <row r="761" spans="1:26" ht="18.75" hidden="1">
      <c r="A761" s="642"/>
      <c r="B761" s="600"/>
      <c r="C761" s="750"/>
      <c r="D761" s="750"/>
      <c r="E761" s="750"/>
      <c r="F761" s="750" t="s">
        <v>187</v>
      </c>
      <c r="G761" s="596"/>
      <c r="H761" s="165" t="s">
        <v>12</v>
      </c>
      <c r="I761" s="610"/>
      <c r="J761" s="610"/>
      <c r="K761" s="93"/>
      <c r="L761" s="93"/>
      <c r="M761" s="93"/>
      <c r="N761" s="93"/>
      <c r="O761" s="93"/>
      <c r="P761" s="93"/>
      <c r="Q761" s="597"/>
      <c r="R761" s="597"/>
      <c r="S761" s="597"/>
      <c r="T761" s="597"/>
      <c r="U761" s="597"/>
      <c r="V761" s="597"/>
      <c r="W761" s="597"/>
      <c r="X761" s="597"/>
      <c r="Y761" s="597"/>
      <c r="Z761" s="597"/>
    </row>
    <row r="762" spans="1:26" ht="18.75" hidden="1">
      <c r="A762" s="642"/>
      <c r="B762" s="600"/>
      <c r="C762" s="750"/>
      <c r="D762" s="750"/>
      <c r="E762" s="750"/>
      <c r="F762" s="750" t="s">
        <v>188</v>
      </c>
      <c r="G762" s="596"/>
      <c r="H762" s="165" t="s">
        <v>12</v>
      </c>
      <c r="I762" s="610"/>
      <c r="J762" s="610"/>
      <c r="K762" s="93"/>
      <c r="L762" s="93"/>
      <c r="M762" s="93"/>
      <c r="N762" s="93"/>
      <c r="O762" s="93"/>
      <c r="P762" s="93"/>
      <c r="Q762" s="597"/>
      <c r="R762" s="597"/>
      <c r="S762" s="597"/>
      <c r="T762" s="597"/>
      <c r="U762" s="597"/>
      <c r="V762" s="597"/>
      <c r="W762" s="597"/>
      <c r="X762" s="597"/>
      <c r="Y762" s="597"/>
      <c r="Z762" s="597"/>
    </row>
    <row r="763" spans="1:26" ht="18.75" hidden="1">
      <c r="A763" s="642"/>
      <c r="B763" s="600"/>
      <c r="C763" s="750"/>
      <c r="D763" s="750"/>
      <c r="E763" s="750"/>
      <c r="F763" s="750" t="s">
        <v>189</v>
      </c>
      <c r="G763" s="596"/>
      <c r="H763" s="165" t="s">
        <v>12</v>
      </c>
      <c r="I763" s="610"/>
      <c r="J763" s="610"/>
      <c r="K763" s="93"/>
      <c r="L763" s="93"/>
      <c r="M763" s="93"/>
      <c r="N763" s="93"/>
      <c r="O763" s="93"/>
      <c r="P763" s="93"/>
      <c r="Q763" s="597"/>
      <c r="R763" s="597"/>
      <c r="S763" s="597"/>
      <c r="T763" s="597"/>
      <c r="U763" s="597"/>
      <c r="V763" s="597"/>
      <c r="W763" s="597"/>
      <c r="X763" s="597"/>
      <c r="Y763" s="597"/>
      <c r="Z763" s="597"/>
    </row>
    <row r="764" spans="1:26" ht="19.5" hidden="1">
      <c r="A764" s="592"/>
      <c r="B764" s="600"/>
      <c r="C764" s="750"/>
      <c r="D764" s="638" t="s">
        <v>21</v>
      </c>
      <c r="E764" s="750"/>
      <c r="F764" s="750"/>
      <c r="G764" s="596"/>
      <c r="H764" s="774" t="s">
        <v>12</v>
      </c>
      <c r="I764" s="166"/>
      <c r="J764" s="166"/>
      <c r="K764" s="167"/>
      <c r="L764" s="640">
        <f t="shared" ref="L764:N764" si="307">L765+L766</f>
        <v>0</v>
      </c>
      <c r="M764" s="640">
        <f t="shared" si="307"/>
        <v>0</v>
      </c>
      <c r="N764" s="640">
        <f t="shared" si="307"/>
        <v>0</v>
      </c>
      <c r="O764" s="640">
        <f t="shared" ref="O764:O766" si="308">IF(L764&gt;0,N764*100/L764,0)</f>
        <v>0</v>
      </c>
      <c r="P764" s="640">
        <f t="shared" ref="P764:P766" si="309">IF(M764&gt;0,N764*100/M764,0)</f>
        <v>0</v>
      </c>
      <c r="Q764" s="597"/>
      <c r="R764" s="597"/>
      <c r="S764" s="597"/>
      <c r="T764" s="597"/>
      <c r="U764" s="597"/>
      <c r="V764" s="597"/>
      <c r="W764" s="597"/>
      <c r="X764" s="597"/>
      <c r="Y764" s="597"/>
      <c r="Z764" s="597"/>
    </row>
    <row r="765" spans="1:26" ht="18.75" hidden="1">
      <c r="A765" s="592"/>
      <c r="B765" s="600"/>
      <c r="C765" s="750"/>
      <c r="D765" s="750"/>
      <c r="E765" s="750" t="s">
        <v>18</v>
      </c>
      <c r="F765" s="750"/>
      <c r="G765" s="596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597"/>
      <c r="R765" s="597"/>
      <c r="S765" s="597"/>
      <c r="T765" s="597"/>
      <c r="U765" s="597"/>
      <c r="V765" s="597"/>
      <c r="W765" s="597"/>
      <c r="X765" s="597"/>
      <c r="Y765" s="597"/>
      <c r="Z765" s="597"/>
    </row>
    <row r="766" spans="1:26" ht="18.75" hidden="1">
      <c r="A766" s="592"/>
      <c r="B766" s="600"/>
      <c r="C766" s="750"/>
      <c r="D766" s="750"/>
      <c r="E766" s="750" t="s">
        <v>19</v>
      </c>
      <c r="F766" s="750"/>
      <c r="G766" s="596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597"/>
      <c r="R766" s="597"/>
      <c r="S766" s="597"/>
      <c r="T766" s="597"/>
      <c r="U766" s="597"/>
      <c r="V766" s="597"/>
      <c r="W766" s="597"/>
      <c r="X766" s="597"/>
      <c r="Y766" s="597"/>
      <c r="Z766" s="597"/>
    </row>
    <row r="767" spans="1:26" ht="19.5" hidden="1">
      <c r="A767" s="607"/>
      <c r="B767" s="609"/>
      <c r="C767" s="750" t="s">
        <v>16</v>
      </c>
      <c r="D767" s="841" t="s">
        <v>38</v>
      </c>
      <c r="E767" s="644"/>
      <c r="F767" s="644"/>
      <c r="G767" s="645"/>
      <c r="H767" s="365"/>
      <c r="I767" s="166"/>
      <c r="J767" s="166"/>
      <c r="K767" s="167"/>
      <c r="L767" s="167"/>
      <c r="M767" s="167"/>
      <c r="N767" s="167"/>
      <c r="O767" s="167"/>
      <c r="P767" s="167"/>
      <c r="Q767" s="597"/>
      <c r="R767" s="597"/>
      <c r="S767" s="597"/>
      <c r="T767" s="597"/>
      <c r="U767" s="597"/>
      <c r="V767" s="597"/>
      <c r="W767" s="597"/>
      <c r="X767" s="597"/>
      <c r="Y767" s="597"/>
      <c r="Z767" s="597"/>
    </row>
    <row r="768" spans="1:26" ht="18.75" hidden="1">
      <c r="A768" s="642"/>
      <c r="B768" s="600"/>
      <c r="C768" s="750"/>
      <c r="D768" s="750"/>
      <c r="E768" s="750" t="s">
        <v>316</v>
      </c>
      <c r="F768" s="750"/>
      <c r="G768" s="596"/>
      <c r="H768" s="165" t="s">
        <v>46</v>
      </c>
      <c r="I768" s="610"/>
      <c r="J768" s="610"/>
      <c r="K768" s="93"/>
      <c r="L768" s="93"/>
      <c r="M768" s="93"/>
      <c r="N768" s="93"/>
      <c r="O768" s="93"/>
      <c r="P768" s="93"/>
      <c r="Q768" s="597"/>
      <c r="R768" s="597"/>
      <c r="S768" s="597"/>
      <c r="T768" s="597"/>
      <c r="U768" s="597"/>
      <c r="V768" s="597"/>
      <c r="W768" s="597"/>
      <c r="X768" s="597"/>
      <c r="Y768" s="597"/>
      <c r="Z768" s="597"/>
    </row>
    <row r="769" spans="1:26" ht="19.5" hidden="1">
      <c r="A769" s="784">
        <v>11</v>
      </c>
      <c r="B769" s="785" t="s">
        <v>317</v>
      </c>
      <c r="C769" s="786"/>
      <c r="D769" s="786"/>
      <c r="E769" s="786"/>
      <c r="F769" s="786"/>
      <c r="G769" s="787"/>
      <c r="H769" s="788" t="s">
        <v>46</v>
      </c>
      <c r="I769" s="789"/>
      <c r="J769" s="789">
        <f>J784</f>
        <v>0</v>
      </c>
      <c r="K769" s="790">
        <f>IF(I769&gt;0,J769*100/I769,0)</f>
        <v>0</v>
      </c>
      <c r="L769" s="791"/>
      <c r="M769" s="791"/>
      <c r="N769" s="791"/>
      <c r="O769" s="791"/>
      <c r="P769" s="791"/>
      <c r="Q769" s="597"/>
      <c r="R769" s="597"/>
      <c r="S769" s="597"/>
      <c r="T769" s="597"/>
      <c r="U769" s="597"/>
      <c r="V769" s="597"/>
      <c r="W769" s="597"/>
      <c r="X769" s="597"/>
      <c r="Y769" s="597"/>
      <c r="Z769" s="597"/>
    </row>
    <row r="770" spans="1:26" ht="19.5" hidden="1">
      <c r="A770" s="592"/>
      <c r="B770" s="750"/>
      <c r="C770" s="750" t="s">
        <v>16</v>
      </c>
      <c r="D770" s="864" t="s">
        <v>17</v>
      </c>
      <c r="E770" s="857"/>
      <c r="F770" s="857"/>
      <c r="G770" s="596"/>
      <c r="H770" s="639" t="s">
        <v>12</v>
      </c>
      <c r="I770" s="610"/>
      <c r="J770" s="610"/>
      <c r="K770" s="93"/>
      <c r="L770" s="640">
        <f t="shared" ref="L770:N770" si="310">L771+L772</f>
        <v>0</v>
      </c>
      <c r="M770" s="640">
        <f t="shared" si="310"/>
        <v>0</v>
      </c>
      <c r="N770" s="640">
        <f t="shared" si="310"/>
        <v>0</v>
      </c>
      <c r="O770" s="640">
        <f t="shared" ref="O770:O775" si="311">IF(L770&gt;0,N770*100/L770,0)</f>
        <v>0</v>
      </c>
      <c r="P770" s="640">
        <f t="shared" ref="P770:P775" si="312">IF(M770&gt;0,N770*100/M770,0)</f>
        <v>0</v>
      </c>
      <c r="Q770" s="597"/>
      <c r="R770" s="597"/>
      <c r="S770" s="597"/>
      <c r="T770" s="597"/>
      <c r="U770" s="597"/>
      <c r="V770" s="597"/>
      <c r="W770" s="597"/>
      <c r="X770" s="597"/>
      <c r="Y770" s="597"/>
      <c r="Z770" s="597"/>
    </row>
    <row r="771" spans="1:26" ht="18.75" hidden="1">
      <c r="A771" s="592"/>
      <c r="B771" s="750"/>
      <c r="C771" s="750"/>
      <c r="D771" s="711"/>
      <c r="E771" s="750" t="s">
        <v>184</v>
      </c>
      <c r="F771" s="750"/>
      <c r="G771" s="596"/>
      <c r="H771" s="165" t="s">
        <v>12</v>
      </c>
      <c r="I771" s="610"/>
      <c r="J771" s="610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597"/>
      <c r="R771" s="597"/>
      <c r="S771" s="597"/>
      <c r="T771" s="597"/>
      <c r="U771" s="597"/>
      <c r="V771" s="597"/>
      <c r="W771" s="597"/>
      <c r="X771" s="597"/>
      <c r="Y771" s="597"/>
      <c r="Z771" s="597"/>
    </row>
    <row r="772" spans="1:26" ht="18.75" hidden="1">
      <c r="A772" s="592"/>
      <c r="B772" s="600"/>
      <c r="C772" s="750"/>
      <c r="D772" s="711"/>
      <c r="E772" s="750" t="s">
        <v>185</v>
      </c>
      <c r="F772" s="750"/>
      <c r="G772" s="596"/>
      <c r="H772" s="165" t="s">
        <v>12</v>
      </c>
      <c r="I772" s="610"/>
      <c r="J772" s="610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597"/>
      <c r="R772" s="597"/>
      <c r="S772" s="597"/>
      <c r="T772" s="597"/>
      <c r="U772" s="597"/>
      <c r="V772" s="597"/>
      <c r="W772" s="597"/>
      <c r="X772" s="597"/>
      <c r="Y772" s="597"/>
      <c r="Z772" s="597"/>
    </row>
    <row r="773" spans="1:26" ht="19.5" hidden="1">
      <c r="A773" s="592"/>
      <c r="B773" s="600"/>
      <c r="C773" s="750"/>
      <c r="D773" s="638" t="s">
        <v>20</v>
      </c>
      <c r="E773" s="750"/>
      <c r="F773" s="750"/>
      <c r="G773" s="596"/>
      <c r="H773" s="639" t="s">
        <v>12</v>
      </c>
      <c r="I773" s="166"/>
      <c r="J773" s="166"/>
      <c r="K773" s="167"/>
      <c r="L773" s="640">
        <f t="shared" ref="L773:N773" si="314">L774+L775</f>
        <v>0</v>
      </c>
      <c r="M773" s="640">
        <f t="shared" si="314"/>
        <v>0</v>
      </c>
      <c r="N773" s="640">
        <f t="shared" si="314"/>
        <v>0</v>
      </c>
      <c r="O773" s="640">
        <f t="shared" si="311"/>
        <v>0</v>
      </c>
      <c r="P773" s="640">
        <f t="shared" si="312"/>
        <v>0</v>
      </c>
      <c r="Q773" s="597"/>
      <c r="R773" s="597"/>
      <c r="S773" s="597"/>
      <c r="T773" s="597"/>
      <c r="U773" s="597"/>
      <c r="V773" s="597"/>
      <c r="W773" s="597"/>
      <c r="X773" s="597"/>
      <c r="Y773" s="597"/>
      <c r="Z773" s="597"/>
    </row>
    <row r="774" spans="1:26" ht="18.75" hidden="1">
      <c r="A774" s="592"/>
      <c r="B774" s="600"/>
      <c r="C774" s="750"/>
      <c r="D774" s="711"/>
      <c r="E774" s="750" t="s">
        <v>184</v>
      </c>
      <c r="F774" s="750"/>
      <c r="G774" s="596"/>
      <c r="H774" s="165" t="s">
        <v>12</v>
      </c>
      <c r="I774" s="610"/>
      <c r="J774" s="610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597"/>
      <c r="R774" s="597"/>
      <c r="S774" s="597"/>
      <c r="T774" s="597"/>
      <c r="U774" s="597"/>
      <c r="V774" s="597"/>
      <c r="W774" s="597"/>
      <c r="X774" s="597"/>
      <c r="Y774" s="597"/>
      <c r="Z774" s="597"/>
    </row>
    <row r="775" spans="1:26" ht="18.75" hidden="1">
      <c r="A775" s="592"/>
      <c r="B775" s="600"/>
      <c r="C775" s="750"/>
      <c r="D775" s="711"/>
      <c r="E775" s="750" t="s">
        <v>185</v>
      </c>
      <c r="F775" s="750"/>
      <c r="G775" s="596"/>
      <c r="H775" s="165" t="s">
        <v>12</v>
      </c>
      <c r="I775" s="610"/>
      <c r="J775" s="610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597"/>
      <c r="R775" s="597"/>
      <c r="S775" s="597"/>
      <c r="T775" s="597"/>
      <c r="U775" s="597"/>
      <c r="V775" s="597"/>
      <c r="W775" s="597"/>
      <c r="X775" s="597"/>
      <c r="Y775" s="597"/>
      <c r="Z775" s="597"/>
    </row>
    <row r="776" spans="1:26" ht="18.75" hidden="1">
      <c r="A776" s="642"/>
      <c r="B776" s="600"/>
      <c r="C776" s="750"/>
      <c r="D776" s="750"/>
      <c r="E776" s="750"/>
      <c r="F776" s="750" t="s">
        <v>186</v>
      </c>
      <c r="G776" s="596"/>
      <c r="H776" s="165" t="s">
        <v>12</v>
      </c>
      <c r="I776" s="610"/>
      <c r="J776" s="610"/>
      <c r="K776" s="93"/>
      <c r="L776" s="93"/>
      <c r="M776" s="93"/>
      <c r="N776" s="93"/>
      <c r="O776" s="93"/>
      <c r="P776" s="93"/>
      <c r="Q776" s="597"/>
      <c r="R776" s="597"/>
      <c r="S776" s="597"/>
      <c r="T776" s="597"/>
      <c r="U776" s="597"/>
      <c r="V776" s="597"/>
      <c r="W776" s="597"/>
      <c r="X776" s="597"/>
      <c r="Y776" s="597"/>
      <c r="Z776" s="597"/>
    </row>
    <row r="777" spans="1:26" ht="18.75" hidden="1">
      <c r="A777" s="642"/>
      <c r="B777" s="600"/>
      <c r="C777" s="750"/>
      <c r="D777" s="750"/>
      <c r="E777" s="750"/>
      <c r="F777" s="750" t="s">
        <v>187</v>
      </c>
      <c r="G777" s="596"/>
      <c r="H777" s="165" t="s">
        <v>12</v>
      </c>
      <c r="I777" s="610"/>
      <c r="J777" s="610"/>
      <c r="K777" s="93"/>
      <c r="L777" s="93"/>
      <c r="M777" s="93"/>
      <c r="N777" s="93"/>
      <c r="O777" s="93"/>
      <c r="P777" s="93"/>
      <c r="Q777" s="597"/>
      <c r="R777" s="597"/>
      <c r="S777" s="597"/>
      <c r="T777" s="597"/>
      <c r="U777" s="597"/>
      <c r="V777" s="597"/>
      <c r="W777" s="597"/>
      <c r="X777" s="597"/>
      <c r="Y777" s="597"/>
      <c r="Z777" s="597"/>
    </row>
    <row r="778" spans="1:26" ht="18.75" hidden="1">
      <c r="A778" s="642"/>
      <c r="B778" s="600"/>
      <c r="C778" s="750"/>
      <c r="D778" s="750"/>
      <c r="E778" s="750"/>
      <c r="F778" s="750" t="s">
        <v>188</v>
      </c>
      <c r="G778" s="596"/>
      <c r="H778" s="165" t="s">
        <v>12</v>
      </c>
      <c r="I778" s="610"/>
      <c r="J778" s="610"/>
      <c r="K778" s="93"/>
      <c r="L778" s="93"/>
      <c r="M778" s="93"/>
      <c r="N778" s="93"/>
      <c r="O778" s="93"/>
      <c r="P778" s="93"/>
      <c r="Q778" s="597"/>
      <c r="R778" s="597"/>
      <c r="S778" s="597"/>
      <c r="T778" s="597"/>
      <c r="U778" s="597"/>
      <c r="V778" s="597"/>
      <c r="W778" s="597"/>
      <c r="X778" s="597"/>
      <c r="Y778" s="597"/>
      <c r="Z778" s="597"/>
    </row>
    <row r="779" spans="1:26" ht="18.75" hidden="1">
      <c r="A779" s="642"/>
      <c r="B779" s="600"/>
      <c r="C779" s="750"/>
      <c r="D779" s="750"/>
      <c r="E779" s="750"/>
      <c r="F779" s="750" t="s">
        <v>189</v>
      </c>
      <c r="G779" s="596"/>
      <c r="H779" s="165" t="s">
        <v>12</v>
      </c>
      <c r="I779" s="610"/>
      <c r="J779" s="610"/>
      <c r="K779" s="93"/>
      <c r="L779" s="93"/>
      <c r="M779" s="93"/>
      <c r="N779" s="93"/>
      <c r="O779" s="93"/>
      <c r="P779" s="93"/>
      <c r="Q779" s="597"/>
      <c r="R779" s="597"/>
      <c r="S779" s="597"/>
      <c r="T779" s="597"/>
      <c r="U779" s="597"/>
      <c r="V779" s="597"/>
      <c r="W779" s="597"/>
      <c r="X779" s="597"/>
      <c r="Y779" s="597"/>
      <c r="Z779" s="597"/>
    </row>
    <row r="780" spans="1:26" ht="19.5" hidden="1">
      <c r="A780" s="592"/>
      <c r="B780" s="600"/>
      <c r="C780" s="750"/>
      <c r="D780" s="638" t="s">
        <v>21</v>
      </c>
      <c r="E780" s="750"/>
      <c r="F780" s="750"/>
      <c r="G780" s="596"/>
      <c r="H780" s="774" t="s">
        <v>12</v>
      </c>
      <c r="I780" s="166"/>
      <c r="J780" s="166"/>
      <c r="K780" s="167"/>
      <c r="L780" s="640">
        <f t="shared" ref="L780:N780" si="315">L781+L782</f>
        <v>0</v>
      </c>
      <c r="M780" s="640">
        <f t="shared" si="315"/>
        <v>0</v>
      </c>
      <c r="N780" s="640">
        <f t="shared" si="315"/>
        <v>0</v>
      </c>
      <c r="O780" s="640">
        <f t="shared" ref="O780:O782" si="316">IF(L780&gt;0,N780*100/L780,0)</f>
        <v>0</v>
      </c>
      <c r="P780" s="640">
        <f t="shared" ref="P780:P782" si="317">IF(M780&gt;0,N780*100/M780,0)</f>
        <v>0</v>
      </c>
      <c r="Q780" s="597"/>
      <c r="R780" s="597"/>
      <c r="S780" s="597"/>
      <c r="T780" s="597"/>
      <c r="U780" s="597"/>
      <c r="V780" s="597"/>
      <c r="W780" s="597"/>
      <c r="X780" s="597"/>
      <c r="Y780" s="597"/>
      <c r="Z780" s="597"/>
    </row>
    <row r="781" spans="1:26" ht="18.75" hidden="1">
      <c r="A781" s="592"/>
      <c r="B781" s="600"/>
      <c r="C781" s="750"/>
      <c r="D781" s="750"/>
      <c r="E781" s="750" t="s">
        <v>18</v>
      </c>
      <c r="F781" s="750"/>
      <c r="G781" s="596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597"/>
      <c r="R781" s="597"/>
      <c r="S781" s="597"/>
      <c r="T781" s="597"/>
      <c r="U781" s="597"/>
      <c r="V781" s="597"/>
      <c r="W781" s="597"/>
      <c r="X781" s="597"/>
      <c r="Y781" s="597"/>
      <c r="Z781" s="597"/>
    </row>
    <row r="782" spans="1:26" ht="18.75" hidden="1">
      <c r="A782" s="592"/>
      <c r="B782" s="600"/>
      <c r="C782" s="750"/>
      <c r="D782" s="750"/>
      <c r="E782" s="750" t="s">
        <v>19</v>
      </c>
      <c r="F782" s="750"/>
      <c r="G782" s="596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597"/>
      <c r="R782" s="597"/>
      <c r="S782" s="597"/>
      <c r="T782" s="597"/>
      <c r="U782" s="597"/>
      <c r="V782" s="597"/>
      <c r="W782" s="597"/>
      <c r="X782" s="597"/>
      <c r="Y782" s="597"/>
      <c r="Z782" s="597"/>
    </row>
    <row r="783" spans="1:26" ht="19.5" hidden="1">
      <c r="A783" s="607"/>
      <c r="B783" s="609"/>
      <c r="C783" s="750" t="s">
        <v>16</v>
      </c>
      <c r="D783" s="841" t="s">
        <v>38</v>
      </c>
      <c r="E783" s="644"/>
      <c r="F783" s="644"/>
      <c r="G783" s="645"/>
      <c r="H783" s="792"/>
      <c r="I783" s="166"/>
      <c r="J783" s="166"/>
      <c r="K783" s="167"/>
      <c r="L783" s="167"/>
      <c r="M783" s="167"/>
      <c r="N783" s="167"/>
      <c r="O783" s="167"/>
      <c r="P783" s="167"/>
      <c r="Q783" s="597"/>
      <c r="R783" s="597"/>
      <c r="S783" s="597"/>
      <c r="T783" s="597"/>
      <c r="U783" s="597"/>
      <c r="V783" s="597"/>
      <c r="W783" s="597"/>
      <c r="X783" s="597"/>
      <c r="Y783" s="597"/>
      <c r="Z783" s="597"/>
    </row>
    <row r="784" spans="1:26" ht="18.75" hidden="1">
      <c r="A784" s="642"/>
      <c r="B784" s="600"/>
      <c r="C784" s="750"/>
      <c r="D784" s="750"/>
      <c r="E784" s="750" t="s">
        <v>318</v>
      </c>
      <c r="F784" s="750"/>
      <c r="G784" s="596"/>
      <c r="H784" s="165" t="s">
        <v>46</v>
      </c>
      <c r="I784" s="610"/>
      <c r="J784" s="610"/>
      <c r="K784" s="93"/>
      <c r="L784" s="93"/>
      <c r="M784" s="93"/>
      <c r="N784" s="93"/>
      <c r="O784" s="93"/>
      <c r="P784" s="93"/>
      <c r="Q784" s="597"/>
      <c r="R784" s="597"/>
      <c r="S784" s="597"/>
      <c r="T784" s="597"/>
      <c r="U784" s="597"/>
      <c r="V784" s="597"/>
      <c r="W784" s="597"/>
      <c r="X784" s="597"/>
      <c r="Y784" s="597"/>
      <c r="Z784" s="597"/>
    </row>
    <row r="785" spans="1:26" ht="19.5" hidden="1">
      <c r="A785" s="793">
        <v>12</v>
      </c>
      <c r="B785" s="794" t="s">
        <v>319</v>
      </c>
      <c r="C785" s="795"/>
      <c r="D785" s="795"/>
      <c r="E785" s="795"/>
      <c r="F785" s="795"/>
      <c r="G785" s="796"/>
      <c r="H785" s="797" t="s">
        <v>46</v>
      </c>
      <c r="I785" s="798">
        <f t="shared" ref="I785:J785" ca="1" si="318">I800</f>
        <v>0</v>
      </c>
      <c r="J785" s="799">
        <f t="shared" ca="1" si="318"/>
        <v>0</v>
      </c>
      <c r="K785" s="800">
        <f ca="1">IF(I785&gt;0,J785*100/I785,0)</f>
        <v>0</v>
      </c>
      <c r="L785" s="801"/>
      <c r="M785" s="801"/>
      <c r="N785" s="801"/>
      <c r="O785" s="801"/>
      <c r="P785" s="801"/>
      <c r="Q785" s="571"/>
      <c r="R785" s="571"/>
      <c r="S785" s="571"/>
      <c r="T785" s="571"/>
      <c r="U785" s="571"/>
      <c r="V785" s="571"/>
      <c r="W785" s="571"/>
      <c r="X785" s="571"/>
      <c r="Y785" s="571"/>
      <c r="Z785" s="571"/>
    </row>
    <row r="786" spans="1:26" ht="19.5" hidden="1">
      <c r="A786" s="590"/>
      <c r="B786" s="568"/>
      <c r="C786" s="754" t="s">
        <v>16</v>
      </c>
      <c r="D786" s="863" t="s">
        <v>17</v>
      </c>
      <c r="E786" s="857"/>
      <c r="F786" s="857"/>
      <c r="G786" s="189"/>
      <c r="H786" s="591" t="s">
        <v>12</v>
      </c>
      <c r="I786" s="269"/>
      <c r="J786" s="269"/>
      <c r="K786" s="496"/>
      <c r="L786" s="195">
        <f t="shared" ref="L786:N786" ca="1" si="319">L787+L788</f>
        <v>0</v>
      </c>
      <c r="M786" s="195">
        <f t="shared" si="319"/>
        <v>0</v>
      </c>
      <c r="N786" s="195">
        <f t="shared" si="319"/>
        <v>0</v>
      </c>
      <c r="O786" s="195">
        <f t="shared" ref="O786:O791" ca="1" si="320">IF(L786&gt;0,N786*100/L786,0)</f>
        <v>0</v>
      </c>
      <c r="P786" s="195">
        <f t="shared" ref="P786:P791" si="321">IF(M786&gt;0,N786*100/M786,0)</f>
        <v>0</v>
      </c>
      <c r="Q786" s="571"/>
      <c r="R786" s="571"/>
      <c r="S786" s="571"/>
      <c r="T786" s="571"/>
      <c r="U786" s="571"/>
      <c r="V786" s="571"/>
      <c r="W786" s="571"/>
      <c r="X786" s="571"/>
      <c r="Y786" s="571"/>
      <c r="Z786" s="571"/>
    </row>
    <row r="787" spans="1:26" ht="18.75" hidden="1">
      <c r="A787" s="592"/>
      <c r="B787" s="600"/>
      <c r="C787" s="750"/>
      <c r="D787" s="711"/>
      <c r="E787" s="750" t="s">
        <v>184</v>
      </c>
      <c r="F787" s="750"/>
      <c r="G787" s="596"/>
      <c r="H787" s="165" t="s">
        <v>12</v>
      </c>
      <c r="I787" s="610"/>
      <c r="J787" s="610"/>
      <c r="K787" s="93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597"/>
      <c r="R787" s="597"/>
      <c r="S787" s="597"/>
      <c r="T787" s="597"/>
      <c r="U787" s="597"/>
      <c r="V787" s="597"/>
      <c r="W787" s="597"/>
      <c r="X787" s="597"/>
      <c r="Y787" s="597"/>
      <c r="Z787" s="597"/>
    </row>
    <row r="788" spans="1:26" ht="18.75" hidden="1">
      <c r="A788" s="592"/>
      <c r="B788" s="600"/>
      <c r="C788" s="600"/>
      <c r="D788" s="609"/>
      <c r="E788" s="750" t="s">
        <v>185</v>
      </c>
      <c r="F788" s="750"/>
      <c r="G788" s="596"/>
      <c r="H788" s="165" t="s">
        <v>12</v>
      </c>
      <c r="I788" s="610"/>
      <c r="J788" s="610"/>
      <c r="K788" s="93"/>
      <c r="L788" s="93">
        <f t="shared" ca="1" si="322"/>
        <v>0</v>
      </c>
      <c r="M788" s="93">
        <f t="shared" si="322"/>
        <v>0</v>
      </c>
      <c r="N788" s="93">
        <f t="shared" si="322"/>
        <v>0</v>
      </c>
      <c r="O788" s="93">
        <f t="shared" ca="1" si="320"/>
        <v>0</v>
      </c>
      <c r="P788" s="93">
        <f t="shared" si="321"/>
        <v>0</v>
      </c>
      <c r="Q788" s="597"/>
      <c r="R788" s="597"/>
      <c r="S788" s="597"/>
      <c r="T788" s="597"/>
      <c r="U788" s="597"/>
      <c r="V788" s="597"/>
      <c r="W788" s="597"/>
      <c r="X788" s="597"/>
      <c r="Y788" s="597"/>
      <c r="Z788" s="597"/>
    </row>
    <row r="789" spans="1:26" ht="18.75" hidden="1">
      <c r="A789" s="590"/>
      <c r="B789" s="568"/>
      <c r="C789" s="568"/>
      <c r="D789" s="599" t="s">
        <v>20</v>
      </c>
      <c r="E789" s="754"/>
      <c r="F789" s="754"/>
      <c r="G789" s="189"/>
      <c r="H789" s="161" t="s">
        <v>12</v>
      </c>
      <c r="I789" s="184"/>
      <c r="J789" s="184"/>
      <c r="K789" s="163"/>
      <c r="L789" s="496">
        <f t="shared" ref="L789:N789" ca="1" si="323">L790+L791</f>
        <v>0</v>
      </c>
      <c r="M789" s="496">
        <f t="shared" si="323"/>
        <v>0</v>
      </c>
      <c r="N789" s="496">
        <f t="shared" si="323"/>
        <v>0</v>
      </c>
      <c r="O789" s="496">
        <f t="shared" ca="1" si="320"/>
        <v>0</v>
      </c>
      <c r="P789" s="496">
        <f t="shared" si="321"/>
        <v>0</v>
      </c>
      <c r="Q789" s="571"/>
      <c r="R789" s="571"/>
      <c r="S789" s="571"/>
      <c r="T789" s="571"/>
      <c r="U789" s="571"/>
      <c r="V789" s="571"/>
      <c r="W789" s="571"/>
      <c r="X789" s="571"/>
      <c r="Y789" s="571"/>
      <c r="Z789" s="571"/>
    </row>
    <row r="790" spans="1:26" ht="18.75" hidden="1">
      <c r="A790" s="592"/>
      <c r="B790" s="600"/>
      <c r="C790" s="600"/>
      <c r="D790" s="609"/>
      <c r="E790" s="750" t="s">
        <v>184</v>
      </c>
      <c r="F790" s="750"/>
      <c r="G790" s="596"/>
      <c r="H790" s="165" t="s">
        <v>12</v>
      </c>
      <c r="I790" s="610"/>
      <c r="J790" s="610"/>
      <c r="K790" s="93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597"/>
      <c r="R790" s="597"/>
      <c r="S790" s="597"/>
      <c r="T790" s="597"/>
      <c r="U790" s="597"/>
      <c r="V790" s="597"/>
      <c r="W790" s="597"/>
      <c r="X790" s="597"/>
      <c r="Y790" s="597"/>
      <c r="Z790" s="597"/>
    </row>
    <row r="791" spans="1:26" ht="18.75" hidden="1">
      <c r="A791" s="592"/>
      <c r="B791" s="600"/>
      <c r="C791" s="600"/>
      <c r="D791" s="609"/>
      <c r="E791" s="750" t="s">
        <v>185</v>
      </c>
      <c r="F791" s="750"/>
      <c r="G791" s="596"/>
      <c r="H791" s="165" t="s">
        <v>12</v>
      </c>
      <c r="I791" s="610"/>
      <c r="J791" s="610"/>
      <c r="K791" s="93"/>
      <c r="L791" s="93">
        <f ca="1">IFERROR(__xludf.DUMMYFUNCTION("IMPORTRANGE(""https://docs.google.com/spreadsheets/d/1QqKyyYR6Q21VydFLVH3TRQUabQu_ym0Zz7PgGX0-kHA/edit?usp=sharing"",""แผน!JJ67"")"),0)</f>
        <v>0</v>
      </c>
      <c r="M791" s="93">
        <v>0</v>
      </c>
      <c r="N791" s="93">
        <f>N792+N793+N794+N795</f>
        <v>0</v>
      </c>
      <c r="O791" s="93">
        <f t="shared" ca="1" si="320"/>
        <v>0</v>
      </c>
      <c r="P791" s="93">
        <f t="shared" si="321"/>
        <v>0</v>
      </c>
      <c r="Q791" s="597"/>
      <c r="R791" s="597"/>
      <c r="S791" s="597"/>
      <c r="T791" s="597"/>
      <c r="U791" s="597"/>
      <c r="V791" s="597"/>
      <c r="W791" s="597"/>
      <c r="X791" s="597"/>
      <c r="Y791" s="597"/>
      <c r="Z791" s="597"/>
    </row>
    <row r="792" spans="1:26" ht="18.75" hidden="1">
      <c r="A792" s="567"/>
      <c r="B792" s="568"/>
      <c r="C792" s="754"/>
      <c r="D792" s="754"/>
      <c r="E792" s="754"/>
      <c r="F792" s="754" t="s">
        <v>186</v>
      </c>
      <c r="G792" s="189"/>
      <c r="H792" s="161" t="s">
        <v>12</v>
      </c>
      <c r="I792" s="269"/>
      <c r="J792" s="269"/>
      <c r="K792" s="496"/>
      <c r="L792" s="496"/>
      <c r="M792" s="496"/>
      <c r="N792" s="817">
        <v>0</v>
      </c>
      <c r="O792" s="496"/>
      <c r="P792" s="496"/>
      <c r="Q792" s="571"/>
      <c r="R792" s="571"/>
      <c r="S792" s="571"/>
      <c r="T792" s="571"/>
      <c r="U792" s="571"/>
      <c r="V792" s="571"/>
      <c r="W792" s="571"/>
      <c r="X792" s="571"/>
      <c r="Y792" s="571"/>
      <c r="Z792" s="571"/>
    </row>
    <row r="793" spans="1:26" ht="18.75" hidden="1">
      <c r="A793" s="567"/>
      <c r="B793" s="568"/>
      <c r="C793" s="754"/>
      <c r="D793" s="754"/>
      <c r="E793" s="754"/>
      <c r="F793" s="754" t="s">
        <v>187</v>
      </c>
      <c r="G793" s="189"/>
      <c r="H793" s="161" t="s">
        <v>12</v>
      </c>
      <c r="I793" s="269"/>
      <c r="J793" s="269"/>
      <c r="K793" s="496"/>
      <c r="L793" s="496"/>
      <c r="M793" s="496"/>
      <c r="N793" s="817">
        <v>0</v>
      </c>
      <c r="O793" s="496"/>
      <c r="P793" s="496"/>
      <c r="Q793" s="571"/>
      <c r="R793" s="571"/>
      <c r="S793" s="571"/>
      <c r="T793" s="571"/>
      <c r="U793" s="571"/>
      <c r="V793" s="571"/>
      <c r="W793" s="571"/>
      <c r="X793" s="571"/>
      <c r="Y793" s="571"/>
      <c r="Z793" s="571"/>
    </row>
    <row r="794" spans="1:26" ht="18.75" hidden="1">
      <c r="A794" s="567"/>
      <c r="B794" s="568"/>
      <c r="C794" s="754"/>
      <c r="D794" s="754"/>
      <c r="E794" s="754"/>
      <c r="F794" s="754" t="s">
        <v>188</v>
      </c>
      <c r="G794" s="189"/>
      <c r="H794" s="161" t="s">
        <v>12</v>
      </c>
      <c r="I794" s="269"/>
      <c r="J794" s="269"/>
      <c r="K794" s="496"/>
      <c r="L794" s="496"/>
      <c r="M794" s="496"/>
      <c r="N794" s="817">
        <v>0</v>
      </c>
      <c r="O794" s="496"/>
      <c r="P794" s="496"/>
      <c r="Q794" s="571"/>
      <c r="R794" s="571"/>
      <c r="S794" s="571"/>
      <c r="T794" s="571"/>
      <c r="U794" s="571"/>
      <c r="V794" s="571"/>
      <c r="W794" s="571"/>
      <c r="X794" s="571"/>
      <c r="Y794" s="571"/>
      <c r="Z794" s="571"/>
    </row>
    <row r="795" spans="1:26" ht="18.75" hidden="1">
      <c r="A795" s="567"/>
      <c r="B795" s="568"/>
      <c r="C795" s="754"/>
      <c r="D795" s="754"/>
      <c r="E795" s="754"/>
      <c r="F795" s="754" t="s">
        <v>189</v>
      </c>
      <c r="G795" s="189"/>
      <c r="H795" s="161" t="s">
        <v>12</v>
      </c>
      <c r="I795" s="269"/>
      <c r="J795" s="269"/>
      <c r="K795" s="496"/>
      <c r="L795" s="496"/>
      <c r="M795" s="496"/>
      <c r="N795" s="817">
        <v>0</v>
      </c>
      <c r="O795" s="496"/>
      <c r="P795" s="496"/>
      <c r="Q795" s="571"/>
      <c r="R795" s="571"/>
      <c r="S795" s="571"/>
      <c r="T795" s="571"/>
      <c r="U795" s="571"/>
      <c r="V795" s="571"/>
      <c r="W795" s="571"/>
      <c r="X795" s="571"/>
      <c r="Y795" s="571"/>
      <c r="Z795" s="571"/>
    </row>
    <row r="796" spans="1:26" ht="18.75" hidden="1">
      <c r="A796" s="590"/>
      <c r="B796" s="568"/>
      <c r="C796" s="754"/>
      <c r="D796" s="599" t="s">
        <v>21</v>
      </c>
      <c r="E796" s="754"/>
      <c r="F796" s="754"/>
      <c r="G796" s="189"/>
      <c r="H796" s="168" t="s">
        <v>12</v>
      </c>
      <c r="I796" s="184"/>
      <c r="J796" s="184"/>
      <c r="K796" s="163"/>
      <c r="L796" s="496">
        <f t="shared" ref="L796:N796" si="324">L797+L798</f>
        <v>0</v>
      </c>
      <c r="M796" s="496">
        <f t="shared" si="324"/>
        <v>0</v>
      </c>
      <c r="N796" s="496">
        <f t="shared" si="324"/>
        <v>0</v>
      </c>
      <c r="O796" s="496">
        <f t="shared" ref="O796:O798" si="325">IF(L796&gt;0,N796*100/L796,0)</f>
        <v>0</v>
      </c>
      <c r="P796" s="496">
        <f t="shared" ref="P796:P798" si="326">IF(M796&gt;0,N796*100/M796,0)</f>
        <v>0</v>
      </c>
      <c r="Q796" s="571"/>
      <c r="R796" s="571"/>
      <c r="S796" s="571"/>
      <c r="T796" s="571"/>
      <c r="U796" s="571"/>
      <c r="V796" s="571"/>
      <c r="W796" s="571"/>
      <c r="X796" s="571"/>
      <c r="Y796" s="571"/>
      <c r="Z796" s="571"/>
    </row>
    <row r="797" spans="1:26" ht="18.75" hidden="1">
      <c r="A797" s="592"/>
      <c r="B797" s="600"/>
      <c r="C797" s="750"/>
      <c r="D797" s="750"/>
      <c r="E797" s="750" t="s">
        <v>18</v>
      </c>
      <c r="F797" s="750"/>
      <c r="G797" s="596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597"/>
      <c r="R797" s="597"/>
      <c r="S797" s="597"/>
      <c r="T797" s="597"/>
      <c r="U797" s="597"/>
      <c r="V797" s="597"/>
      <c r="W797" s="597"/>
      <c r="X797" s="597"/>
      <c r="Y797" s="597"/>
      <c r="Z797" s="597"/>
    </row>
    <row r="798" spans="1:26" ht="18.75" hidden="1">
      <c r="A798" s="592"/>
      <c r="B798" s="600"/>
      <c r="C798" s="750"/>
      <c r="D798" s="750"/>
      <c r="E798" s="750" t="s">
        <v>19</v>
      </c>
      <c r="F798" s="750"/>
      <c r="G798" s="596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597"/>
      <c r="R798" s="597"/>
      <c r="S798" s="597"/>
      <c r="T798" s="597"/>
      <c r="U798" s="597"/>
      <c r="V798" s="597"/>
      <c r="W798" s="597"/>
      <c r="X798" s="597"/>
      <c r="Y798" s="597"/>
      <c r="Z798" s="597"/>
    </row>
    <row r="799" spans="1:26" ht="19.5" hidden="1">
      <c r="A799" s="601"/>
      <c r="B799" s="611"/>
      <c r="C799" s="754" t="s">
        <v>16</v>
      </c>
      <c r="D799" s="840" t="s">
        <v>38</v>
      </c>
      <c r="E799" s="752"/>
      <c r="F799" s="752"/>
      <c r="G799" s="606"/>
      <c r="H799" s="802"/>
      <c r="I799" s="184"/>
      <c r="J799" s="184"/>
      <c r="K799" s="163"/>
      <c r="L799" s="163"/>
      <c r="M799" s="163"/>
      <c r="N799" s="163"/>
      <c r="O799" s="163"/>
      <c r="P799" s="163"/>
      <c r="Q799" s="571"/>
      <c r="R799" s="571"/>
      <c r="S799" s="571"/>
      <c r="T799" s="571"/>
      <c r="U799" s="571"/>
      <c r="V799" s="571"/>
      <c r="W799" s="571"/>
      <c r="X799" s="571"/>
      <c r="Y799" s="571"/>
      <c r="Z799" s="571"/>
    </row>
    <row r="800" spans="1:26" ht="18.75" hidden="1">
      <c r="A800" s="601"/>
      <c r="B800" s="611"/>
      <c r="C800" s="611"/>
      <c r="D800" s="611"/>
      <c r="E800" s="619"/>
      <c r="F800" s="619" t="s">
        <v>320</v>
      </c>
      <c r="G800" s="753"/>
      <c r="H800" s="185" t="s">
        <v>46</v>
      </c>
      <c r="I800" s="184">
        <f ca="1">IFERROR(__xludf.DUMMYFUNCTION("IMPORTRANGE(""https://docs.google.com/spreadsheets/d/1QqKyyYR6Q21VydFLVH3TRQUabQu_ym0Zz7PgGX0-kHA/edit?usp=sharing"",""แผน!JN67"")"),0)</f>
        <v>0</v>
      </c>
      <c r="J800" s="184">
        <f ca="1">IFERROR(__xludf.DUMMYFUNCTION("IMPORTRANGE(""https://docs.google.com/spreadsheets/d/1MaWodYyGHDf7siQLGxnXhG4mBNTNIuy296niS2xXulU/edit?usp=sharing"",""RTK!H67"")"),0)</f>
        <v>0</v>
      </c>
      <c r="K800" s="496">
        <f ca="1">IF(I800&gt;0,J800*100/I800,0)</f>
        <v>0</v>
      </c>
      <c r="L800" s="496"/>
      <c r="M800" s="496"/>
      <c r="N800" s="496"/>
      <c r="O800" s="163"/>
      <c r="P800" s="163"/>
      <c r="Q800" s="571"/>
      <c r="R800" s="571"/>
      <c r="S800" s="571"/>
      <c r="T800" s="571"/>
      <c r="U800" s="571"/>
      <c r="V800" s="571"/>
      <c r="W800" s="571"/>
      <c r="X800" s="571"/>
      <c r="Y800" s="571"/>
      <c r="Z800" s="571"/>
    </row>
    <row r="801" spans="1:26" ht="18.75" hidden="1">
      <c r="A801" s="601"/>
      <c r="B801" s="611"/>
      <c r="C801" s="611"/>
      <c r="D801" s="611"/>
      <c r="E801" s="619"/>
      <c r="F801" s="619"/>
      <c r="G801" s="753"/>
      <c r="H801" s="161" t="s">
        <v>34</v>
      </c>
      <c r="I801" s="184"/>
      <c r="J801" s="269">
        <f ca="1">IFERROR(__xludf.DUMMYFUNCTION("IMPORTRANGE(""https://docs.google.com/spreadsheets/d/1MaWodYyGHDf7siQLGxnXhG4mBNTNIuy296niS2xXulU/edit?usp=sharing"",""RTK!I67"")"),0)</f>
        <v>0</v>
      </c>
      <c r="K801" s="496"/>
      <c r="L801" s="496"/>
      <c r="M801" s="496"/>
      <c r="N801" s="496"/>
      <c r="O801" s="163"/>
      <c r="P801" s="163"/>
      <c r="Q801" s="571"/>
      <c r="R801" s="571"/>
      <c r="S801" s="571"/>
      <c r="T801" s="571"/>
      <c r="U801" s="571"/>
      <c r="V801" s="571"/>
      <c r="W801" s="571"/>
      <c r="X801" s="571"/>
      <c r="Y801" s="571"/>
      <c r="Z801" s="571"/>
    </row>
    <row r="802" spans="1:26" ht="18.75" hidden="1">
      <c r="A802" s="607"/>
      <c r="B802" s="609"/>
      <c r="C802" s="609"/>
      <c r="D802" s="609"/>
      <c r="E802" s="711"/>
      <c r="F802" s="711" t="s">
        <v>321</v>
      </c>
      <c r="G802" s="365"/>
      <c r="H802" s="646" t="s">
        <v>46</v>
      </c>
      <c r="I802" s="166"/>
      <c r="J802" s="610"/>
      <c r="K802" s="167">
        <f>IF(I802&gt;0,J802*100/I802,0)</f>
        <v>0</v>
      </c>
      <c r="L802" s="167"/>
      <c r="M802" s="167"/>
      <c r="N802" s="167"/>
      <c r="O802" s="167"/>
      <c r="P802" s="167"/>
      <c r="Q802" s="597"/>
      <c r="R802" s="597"/>
      <c r="S802" s="597"/>
      <c r="T802" s="597"/>
      <c r="U802" s="597"/>
      <c r="V802" s="597"/>
      <c r="W802" s="597"/>
      <c r="X802" s="597"/>
      <c r="Y802" s="597"/>
      <c r="Z802" s="597"/>
    </row>
    <row r="803" spans="1:26" ht="18.75" hidden="1">
      <c r="A803" s="607"/>
      <c r="B803" s="609"/>
      <c r="C803" s="609"/>
      <c r="D803" s="609"/>
      <c r="E803" s="711"/>
      <c r="F803" s="711"/>
      <c r="G803" s="365"/>
      <c r="H803" s="646" t="s">
        <v>34</v>
      </c>
      <c r="I803" s="166"/>
      <c r="J803" s="610"/>
      <c r="K803" s="167"/>
      <c r="L803" s="167"/>
      <c r="M803" s="167"/>
      <c r="N803" s="167"/>
      <c r="O803" s="167"/>
      <c r="P803" s="167"/>
      <c r="Q803" s="597"/>
      <c r="R803" s="597"/>
      <c r="S803" s="597"/>
      <c r="T803" s="597"/>
      <c r="U803" s="597"/>
      <c r="V803" s="597"/>
      <c r="W803" s="597"/>
      <c r="X803" s="597"/>
      <c r="Y803" s="597"/>
      <c r="Z803" s="597"/>
    </row>
    <row r="804" spans="1:26" ht="19.5" hidden="1">
      <c r="A804" s="784">
        <v>13</v>
      </c>
      <c r="B804" s="785" t="s">
        <v>322</v>
      </c>
      <c r="C804" s="786"/>
      <c r="D804" s="803"/>
      <c r="E804" s="786"/>
      <c r="F804" s="786"/>
      <c r="G804" s="787"/>
      <c r="H804" s="788" t="s">
        <v>46</v>
      </c>
      <c r="I804" s="789"/>
      <c r="J804" s="789">
        <f>J819</f>
        <v>0</v>
      </c>
      <c r="K804" s="790">
        <f>IF(I804&gt;0,J804*100/I804,0)</f>
        <v>0</v>
      </c>
      <c r="L804" s="791"/>
      <c r="M804" s="791"/>
      <c r="N804" s="791"/>
      <c r="O804" s="791"/>
      <c r="P804" s="791"/>
      <c r="Q804" s="597"/>
      <c r="R804" s="597"/>
      <c r="S804" s="597"/>
      <c r="T804" s="597"/>
      <c r="U804" s="597"/>
      <c r="V804" s="597"/>
      <c r="W804" s="597"/>
      <c r="X804" s="597"/>
      <c r="Y804" s="597"/>
      <c r="Z804" s="597"/>
    </row>
    <row r="805" spans="1:26" ht="19.5" hidden="1">
      <c r="A805" s="592"/>
      <c r="B805" s="750"/>
      <c r="C805" s="750" t="s">
        <v>16</v>
      </c>
      <c r="D805" s="864" t="s">
        <v>17</v>
      </c>
      <c r="E805" s="857"/>
      <c r="F805" s="857"/>
      <c r="G805" s="596"/>
      <c r="H805" s="639" t="s">
        <v>12</v>
      </c>
      <c r="I805" s="610"/>
      <c r="J805" s="610"/>
      <c r="K805" s="93"/>
      <c r="L805" s="640">
        <f t="shared" ref="L805:N805" si="327">L806+L807</f>
        <v>0</v>
      </c>
      <c r="M805" s="640">
        <f t="shared" si="327"/>
        <v>0</v>
      </c>
      <c r="N805" s="640">
        <f t="shared" si="327"/>
        <v>0</v>
      </c>
      <c r="O805" s="640">
        <f t="shared" ref="O805:O810" si="328">IF(L805&gt;0,N805*100/L805,0)</f>
        <v>0</v>
      </c>
      <c r="P805" s="640">
        <f t="shared" ref="P805:P810" si="329">IF(M805&gt;0,N805*100/M805,0)</f>
        <v>0</v>
      </c>
      <c r="Q805" s="597"/>
      <c r="R805" s="597"/>
      <c r="S805" s="597"/>
      <c r="T805" s="597"/>
      <c r="U805" s="597"/>
      <c r="V805" s="597"/>
      <c r="W805" s="597"/>
      <c r="X805" s="597"/>
      <c r="Y805" s="597"/>
      <c r="Z805" s="597"/>
    </row>
    <row r="806" spans="1:26" ht="18.75" hidden="1">
      <c r="A806" s="592"/>
      <c r="B806" s="750"/>
      <c r="C806" s="750"/>
      <c r="D806" s="609"/>
      <c r="E806" s="750" t="s">
        <v>184</v>
      </c>
      <c r="F806" s="750"/>
      <c r="G806" s="596"/>
      <c r="H806" s="165" t="s">
        <v>12</v>
      </c>
      <c r="I806" s="610"/>
      <c r="J806" s="610"/>
      <c r="K806" s="93"/>
      <c r="L806" s="93">
        <f t="shared" ref="L806:N807" si="330">L809+L816</f>
        <v>0</v>
      </c>
      <c r="M806" s="93">
        <f t="shared" si="330"/>
        <v>0</v>
      </c>
      <c r="N806" s="93">
        <f t="shared" si="330"/>
        <v>0</v>
      </c>
      <c r="O806" s="93">
        <f t="shared" si="328"/>
        <v>0</v>
      </c>
      <c r="P806" s="93">
        <f t="shared" si="329"/>
        <v>0</v>
      </c>
      <c r="Q806" s="597"/>
      <c r="R806" s="597"/>
      <c r="S806" s="597"/>
      <c r="T806" s="597"/>
      <c r="U806" s="597"/>
      <c r="V806" s="597"/>
      <c r="W806" s="597"/>
      <c r="X806" s="597"/>
      <c r="Y806" s="597"/>
      <c r="Z806" s="597"/>
    </row>
    <row r="807" spans="1:26" ht="18.75" hidden="1">
      <c r="A807" s="592"/>
      <c r="B807" s="750"/>
      <c r="C807" s="750"/>
      <c r="D807" s="609"/>
      <c r="E807" s="750" t="s">
        <v>185</v>
      </c>
      <c r="F807" s="750"/>
      <c r="G807" s="596"/>
      <c r="H807" s="165" t="s">
        <v>12</v>
      </c>
      <c r="I807" s="610"/>
      <c r="J807" s="610"/>
      <c r="K807" s="93"/>
      <c r="L807" s="93">
        <f t="shared" si="330"/>
        <v>0</v>
      </c>
      <c r="M807" s="93">
        <f t="shared" si="330"/>
        <v>0</v>
      </c>
      <c r="N807" s="93">
        <f t="shared" si="330"/>
        <v>0</v>
      </c>
      <c r="O807" s="93">
        <f t="shared" si="328"/>
        <v>0</v>
      </c>
      <c r="P807" s="93">
        <f t="shared" si="329"/>
        <v>0</v>
      </c>
      <c r="Q807" s="597"/>
      <c r="R807" s="597"/>
      <c r="S807" s="597"/>
      <c r="T807" s="597"/>
      <c r="U807" s="597"/>
      <c r="V807" s="597"/>
      <c r="W807" s="597"/>
      <c r="X807" s="597"/>
      <c r="Y807" s="597"/>
      <c r="Z807" s="597"/>
    </row>
    <row r="808" spans="1:26" ht="19.5" hidden="1">
      <c r="A808" s="592"/>
      <c r="B808" s="600"/>
      <c r="C808" s="750"/>
      <c r="D808" s="869" t="s">
        <v>20</v>
      </c>
      <c r="E808" s="857"/>
      <c r="F808" s="857"/>
      <c r="G808" s="596"/>
      <c r="H808" s="639" t="s">
        <v>12</v>
      </c>
      <c r="I808" s="166"/>
      <c r="J808" s="166"/>
      <c r="K808" s="167"/>
      <c r="L808" s="640">
        <f t="shared" ref="L808:N808" si="331">L809+L810</f>
        <v>0</v>
      </c>
      <c r="M808" s="640">
        <f t="shared" si="331"/>
        <v>0</v>
      </c>
      <c r="N808" s="640">
        <f t="shared" si="331"/>
        <v>0</v>
      </c>
      <c r="O808" s="640">
        <f t="shared" si="328"/>
        <v>0</v>
      </c>
      <c r="P808" s="640">
        <f t="shared" si="329"/>
        <v>0</v>
      </c>
      <c r="Q808" s="597"/>
      <c r="R808" s="597"/>
      <c r="S808" s="597"/>
      <c r="T808" s="597"/>
      <c r="U808" s="597"/>
      <c r="V808" s="597"/>
      <c r="W808" s="597"/>
      <c r="X808" s="597"/>
      <c r="Y808" s="597"/>
      <c r="Z808" s="597"/>
    </row>
    <row r="809" spans="1:26" ht="18.75" hidden="1">
      <c r="A809" s="592"/>
      <c r="B809" s="750"/>
      <c r="C809" s="750"/>
      <c r="D809" s="609"/>
      <c r="E809" s="750" t="s">
        <v>184</v>
      </c>
      <c r="F809" s="750"/>
      <c r="G809" s="596"/>
      <c r="H809" s="165" t="s">
        <v>12</v>
      </c>
      <c r="I809" s="610"/>
      <c r="J809" s="610"/>
      <c r="K809" s="93"/>
      <c r="L809" s="93">
        <v>0</v>
      </c>
      <c r="M809" s="93">
        <v>0</v>
      </c>
      <c r="N809" s="93">
        <v>0</v>
      </c>
      <c r="O809" s="93">
        <f t="shared" si="328"/>
        <v>0</v>
      </c>
      <c r="P809" s="93">
        <f t="shared" si="329"/>
        <v>0</v>
      </c>
      <c r="Q809" s="597"/>
      <c r="R809" s="597"/>
      <c r="S809" s="597"/>
      <c r="T809" s="597"/>
      <c r="U809" s="597"/>
      <c r="V809" s="597"/>
      <c r="W809" s="597"/>
      <c r="X809" s="597"/>
      <c r="Y809" s="597"/>
      <c r="Z809" s="597"/>
    </row>
    <row r="810" spans="1:26" ht="18.75" hidden="1">
      <c r="A810" s="592"/>
      <c r="B810" s="750"/>
      <c r="C810" s="750"/>
      <c r="D810" s="609"/>
      <c r="E810" s="750" t="s">
        <v>185</v>
      </c>
      <c r="F810" s="750"/>
      <c r="G810" s="596"/>
      <c r="H810" s="165" t="s">
        <v>12</v>
      </c>
      <c r="I810" s="610"/>
      <c r="J810" s="610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8"/>
        <v>0</v>
      </c>
      <c r="P810" s="93">
        <f t="shared" si="329"/>
        <v>0</v>
      </c>
      <c r="Q810" s="597"/>
      <c r="R810" s="597"/>
      <c r="S810" s="597"/>
      <c r="T810" s="597"/>
      <c r="U810" s="597"/>
      <c r="V810" s="597"/>
      <c r="W810" s="597"/>
      <c r="X810" s="597"/>
      <c r="Y810" s="597"/>
      <c r="Z810" s="597"/>
    </row>
    <row r="811" spans="1:26" ht="18.75" hidden="1">
      <c r="A811" s="642"/>
      <c r="B811" s="600"/>
      <c r="C811" s="750"/>
      <c r="D811" s="600"/>
      <c r="E811" s="750"/>
      <c r="F811" s="750" t="s">
        <v>186</v>
      </c>
      <c r="G811" s="596"/>
      <c r="H811" s="165" t="s">
        <v>12</v>
      </c>
      <c r="I811" s="610"/>
      <c r="J811" s="610"/>
      <c r="K811" s="93"/>
      <c r="L811" s="93"/>
      <c r="M811" s="93"/>
      <c r="N811" s="93"/>
      <c r="O811" s="93"/>
      <c r="P811" s="93"/>
      <c r="Q811" s="597"/>
      <c r="R811" s="597"/>
      <c r="S811" s="597"/>
      <c r="T811" s="597"/>
      <c r="U811" s="597"/>
      <c r="V811" s="597"/>
      <c r="W811" s="597"/>
      <c r="X811" s="597"/>
      <c r="Y811" s="597"/>
      <c r="Z811" s="597"/>
    </row>
    <row r="812" spans="1:26" ht="18.75" hidden="1">
      <c r="A812" s="642"/>
      <c r="B812" s="600"/>
      <c r="C812" s="750"/>
      <c r="D812" s="600"/>
      <c r="E812" s="750"/>
      <c r="F812" s="750" t="s">
        <v>187</v>
      </c>
      <c r="G812" s="596"/>
      <c r="H812" s="165" t="s">
        <v>12</v>
      </c>
      <c r="I812" s="610"/>
      <c r="J812" s="610"/>
      <c r="K812" s="93"/>
      <c r="L812" s="93"/>
      <c r="M812" s="93"/>
      <c r="N812" s="93"/>
      <c r="O812" s="93"/>
      <c r="P812" s="93"/>
      <c r="Q812" s="597"/>
      <c r="R812" s="597"/>
      <c r="S812" s="597"/>
      <c r="T812" s="597"/>
      <c r="U812" s="597"/>
      <c r="V812" s="597"/>
      <c r="W812" s="597"/>
      <c r="X812" s="597"/>
      <c r="Y812" s="597"/>
      <c r="Z812" s="597"/>
    </row>
    <row r="813" spans="1:26" ht="18.75" hidden="1">
      <c r="A813" s="642"/>
      <c r="B813" s="600"/>
      <c r="C813" s="750"/>
      <c r="D813" s="600"/>
      <c r="E813" s="750"/>
      <c r="F813" s="750" t="s">
        <v>188</v>
      </c>
      <c r="G813" s="596"/>
      <c r="H813" s="165" t="s">
        <v>12</v>
      </c>
      <c r="I813" s="610"/>
      <c r="J813" s="610"/>
      <c r="K813" s="93"/>
      <c r="L813" s="93"/>
      <c r="M813" s="93"/>
      <c r="N813" s="93"/>
      <c r="O813" s="93"/>
      <c r="P813" s="93"/>
      <c r="Q813" s="597"/>
      <c r="R813" s="597"/>
      <c r="S813" s="597"/>
      <c r="T813" s="597"/>
      <c r="U813" s="597"/>
      <c r="V813" s="597"/>
      <c r="W813" s="597"/>
      <c r="X813" s="597"/>
      <c r="Y813" s="597"/>
      <c r="Z813" s="597"/>
    </row>
    <row r="814" spans="1:26" ht="18.75" hidden="1">
      <c r="A814" s="642"/>
      <c r="B814" s="600"/>
      <c r="C814" s="750"/>
      <c r="D814" s="600"/>
      <c r="E814" s="750"/>
      <c r="F814" s="750" t="s">
        <v>189</v>
      </c>
      <c r="G814" s="596"/>
      <c r="H814" s="165" t="s">
        <v>12</v>
      </c>
      <c r="I814" s="610"/>
      <c r="J814" s="610"/>
      <c r="K814" s="93"/>
      <c r="L814" s="93"/>
      <c r="M814" s="93"/>
      <c r="N814" s="93"/>
      <c r="O814" s="93"/>
      <c r="P814" s="93"/>
      <c r="Q814" s="597"/>
      <c r="R814" s="597"/>
      <c r="S814" s="597"/>
      <c r="T814" s="597"/>
      <c r="U814" s="597"/>
      <c r="V814" s="597"/>
      <c r="W814" s="597"/>
      <c r="X814" s="597"/>
      <c r="Y814" s="597"/>
      <c r="Z814" s="597"/>
    </row>
    <row r="815" spans="1:26" ht="19.5" hidden="1">
      <c r="A815" s="592"/>
      <c r="B815" s="600"/>
      <c r="C815" s="750"/>
      <c r="D815" s="869" t="s">
        <v>21</v>
      </c>
      <c r="E815" s="857"/>
      <c r="F815" s="857"/>
      <c r="G815" s="596"/>
      <c r="H815" s="774" t="s">
        <v>12</v>
      </c>
      <c r="I815" s="166"/>
      <c r="J815" s="166"/>
      <c r="K815" s="167"/>
      <c r="L815" s="640">
        <f t="shared" ref="L815:N815" si="332">L816+L817</f>
        <v>0</v>
      </c>
      <c r="M815" s="640">
        <f t="shared" si="332"/>
        <v>0</v>
      </c>
      <c r="N815" s="640">
        <f t="shared" si="332"/>
        <v>0</v>
      </c>
      <c r="O815" s="640">
        <f t="shared" ref="O815:O817" si="333">IF(L815&gt;0,N815*100/L815,0)</f>
        <v>0</v>
      </c>
      <c r="P815" s="640">
        <f t="shared" ref="P815:P817" si="334">IF(M815&gt;0,N815*100/M815,0)</f>
        <v>0</v>
      </c>
      <c r="Q815" s="597"/>
      <c r="R815" s="597"/>
      <c r="S815" s="597"/>
      <c r="T815" s="597"/>
      <c r="U815" s="597"/>
      <c r="V815" s="597"/>
      <c r="W815" s="597"/>
      <c r="X815" s="597"/>
      <c r="Y815" s="597"/>
      <c r="Z815" s="597"/>
    </row>
    <row r="816" spans="1:26" ht="18.75" hidden="1">
      <c r="A816" s="592"/>
      <c r="B816" s="600"/>
      <c r="C816" s="750"/>
      <c r="D816" s="600"/>
      <c r="E816" s="750" t="s">
        <v>18</v>
      </c>
      <c r="F816" s="750"/>
      <c r="G816" s="596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3"/>
        <v>0</v>
      </c>
      <c r="P816" s="93">
        <f t="shared" si="334"/>
        <v>0</v>
      </c>
      <c r="Q816" s="597"/>
      <c r="R816" s="597"/>
      <c r="S816" s="597"/>
      <c r="T816" s="597"/>
      <c r="U816" s="597"/>
      <c r="V816" s="597"/>
      <c r="W816" s="597"/>
      <c r="X816" s="597"/>
      <c r="Y816" s="597"/>
      <c r="Z816" s="597"/>
    </row>
    <row r="817" spans="1:26" ht="18.75" hidden="1">
      <c r="A817" s="592"/>
      <c r="B817" s="600"/>
      <c r="C817" s="750"/>
      <c r="D817" s="600"/>
      <c r="E817" s="750" t="s">
        <v>19</v>
      </c>
      <c r="F817" s="750"/>
      <c r="G817" s="596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3"/>
        <v>0</v>
      </c>
      <c r="P817" s="93">
        <f t="shared" si="334"/>
        <v>0</v>
      </c>
      <c r="Q817" s="597"/>
      <c r="R817" s="597"/>
      <c r="S817" s="597"/>
      <c r="T817" s="597"/>
      <c r="U817" s="597"/>
      <c r="V817" s="597"/>
      <c r="W817" s="597"/>
      <c r="X817" s="597"/>
      <c r="Y817" s="597"/>
      <c r="Z817" s="597"/>
    </row>
    <row r="818" spans="1:26" ht="19.5" hidden="1">
      <c r="A818" s="607"/>
      <c r="B818" s="609"/>
      <c r="C818" s="750" t="s">
        <v>16</v>
      </c>
      <c r="D818" s="842" t="s">
        <v>38</v>
      </c>
      <c r="E818" s="644"/>
      <c r="F818" s="644"/>
      <c r="G818" s="645"/>
      <c r="H818" s="365"/>
      <c r="I818" s="166"/>
      <c r="J818" s="166"/>
      <c r="K818" s="167"/>
      <c r="L818" s="167"/>
      <c r="M818" s="167"/>
      <c r="N818" s="167"/>
      <c r="O818" s="167"/>
      <c r="P818" s="167"/>
      <c r="Q818" s="597"/>
      <c r="R818" s="597"/>
      <c r="S818" s="597"/>
      <c r="T818" s="597"/>
      <c r="U818" s="597"/>
      <c r="V818" s="597"/>
      <c r="W818" s="597"/>
      <c r="X818" s="597"/>
      <c r="Y818" s="597"/>
      <c r="Z818" s="597"/>
    </row>
    <row r="819" spans="1:26" ht="19.5" hidden="1" thickBot="1">
      <c r="A819" s="805"/>
      <c r="B819" s="806"/>
      <c r="C819" s="808"/>
      <c r="D819" s="806"/>
      <c r="E819" s="808" t="s">
        <v>323</v>
      </c>
      <c r="F819" s="808"/>
      <c r="G819" s="809"/>
      <c r="H819" s="810" t="s">
        <v>46</v>
      </c>
      <c r="I819" s="811"/>
      <c r="J819" s="811"/>
      <c r="K819" s="812"/>
      <c r="L819" s="812"/>
      <c r="M819" s="812"/>
      <c r="N819" s="812"/>
      <c r="O819" s="812"/>
      <c r="P819" s="812"/>
      <c r="Q819" s="597"/>
      <c r="R819" s="597"/>
      <c r="S819" s="597"/>
      <c r="T819" s="597"/>
      <c r="U819" s="597"/>
      <c r="V819" s="597"/>
      <c r="W819" s="597"/>
      <c r="X819" s="597"/>
      <c r="Y819" s="597"/>
      <c r="Z819" s="597"/>
    </row>
    <row r="820" spans="1:26" ht="19.5">
      <c r="A820" s="813" t="s">
        <v>331</v>
      </c>
      <c r="B820" s="814"/>
      <c r="C820" s="814"/>
      <c r="D820" s="815"/>
      <c r="E820" s="814"/>
      <c r="F820" s="814"/>
      <c r="G820" s="816"/>
      <c r="H820" s="816"/>
      <c r="I820" s="214"/>
      <c r="J820" s="214"/>
      <c r="K820" s="817"/>
      <c r="L820" s="817"/>
      <c r="M820" s="817"/>
      <c r="N820" s="817"/>
      <c r="O820" s="817"/>
      <c r="P820" s="817"/>
      <c r="Q820" s="571"/>
      <c r="R820" s="571"/>
      <c r="S820" s="571"/>
      <c r="T820" s="571"/>
      <c r="U820" s="571"/>
      <c r="V820" s="571"/>
      <c r="W820" s="571"/>
      <c r="X820" s="571"/>
      <c r="Y820" s="571"/>
      <c r="Z820" s="571"/>
    </row>
    <row r="821" spans="1:26" ht="18.75">
      <c r="A821" s="735"/>
      <c r="B821" s="754" t="s">
        <v>325</v>
      </c>
      <c r="C821" s="754"/>
      <c r="D821" s="568"/>
      <c r="E821" s="754"/>
      <c r="F821" s="754"/>
      <c r="G821" s="189"/>
      <c r="H821" s="616" t="s">
        <v>12</v>
      </c>
      <c r="I821" s="269">
        <f ca="1">IFERROR(__xludf.DUMMYFUNCTION("IMPORTRANGE(""https://docs.google.com/spreadsheets/d/19vJNZY_5yjcGF2XGBMNZRCAIB0Kwfpjp8YEOfu-bneM/edit?usp=sharing"",""งานกองทุน!D67"")"),1582799.31)</f>
        <v>1582799.31</v>
      </c>
      <c r="J821" s="269">
        <f ca="1">IFERROR(__xludf.DUMMYFUNCTION("IMPORTRANGE(""https://docs.google.com/spreadsheets/d/19vJNZY_5yjcGF2XGBMNZRCAIB0Kwfpjp8YEOfu-bneM/edit?usp=sharing"",""งานกองทุน!F67"")"),95.89)</f>
        <v>95.89</v>
      </c>
      <c r="K821" s="496">
        <f t="shared" ref="K821:K828" ca="1" si="335">IF(I821&gt;0,J821*100/I821,0)</f>
        <v>6.0582538414172037E-3</v>
      </c>
      <c r="L821" s="496"/>
      <c r="M821" s="496"/>
      <c r="N821" s="496"/>
      <c r="O821" s="496"/>
      <c r="P821" s="496"/>
      <c r="Q821" s="571"/>
      <c r="R821" s="571"/>
      <c r="S821" s="571"/>
      <c r="T821" s="571"/>
      <c r="U821" s="571"/>
      <c r="V821" s="571"/>
      <c r="W821" s="571"/>
      <c r="X821" s="571"/>
      <c r="Y821" s="571"/>
      <c r="Z821" s="571"/>
    </row>
    <row r="822" spans="1:26" ht="18.75">
      <c r="A822" s="735"/>
      <c r="B822" s="754"/>
      <c r="C822" s="754"/>
      <c r="D822" s="568"/>
      <c r="E822" s="754"/>
      <c r="F822" s="754"/>
      <c r="G822" s="189"/>
      <c r="H822" s="616" t="s">
        <v>35</v>
      </c>
      <c r="I822" s="269">
        <f ca="1">IFERROR(__xludf.DUMMYFUNCTION("IMPORTRANGE(""https://docs.google.com/spreadsheets/d/19vJNZY_5yjcGF2XGBMNZRCAIB0Kwfpjp8YEOfu-bneM/edit?usp=sharing"",""งานกองทุน!C67"")"),106)</f>
        <v>106</v>
      </c>
      <c r="J822" s="269">
        <f ca="1">IFERROR(__xludf.DUMMYFUNCTION("IMPORTRANGE(""https://docs.google.com/spreadsheets/d/19vJNZY_5yjcGF2XGBMNZRCAIB0Kwfpjp8YEOfu-bneM/edit?usp=sharing"",""งานกองทุน!E67"")"),1)</f>
        <v>1</v>
      </c>
      <c r="K822" s="496">
        <f t="shared" ca="1" si="335"/>
        <v>0.94339622641509435</v>
      </c>
      <c r="L822" s="496"/>
      <c r="M822" s="496"/>
      <c r="N822" s="496"/>
      <c r="O822" s="496"/>
      <c r="P822" s="496"/>
      <c r="Q822" s="571"/>
      <c r="R822" s="571"/>
      <c r="S822" s="571"/>
      <c r="T822" s="571"/>
      <c r="U822" s="571"/>
      <c r="V822" s="571"/>
      <c r="W822" s="571"/>
      <c r="X822" s="571"/>
      <c r="Y822" s="571"/>
      <c r="Z822" s="571"/>
    </row>
    <row r="823" spans="1:26" ht="18.75">
      <c r="A823" s="735"/>
      <c r="B823" s="754" t="s">
        <v>326</v>
      </c>
      <c r="C823" s="754"/>
      <c r="D823" s="568"/>
      <c r="E823" s="754"/>
      <c r="F823" s="754"/>
      <c r="G823" s="189"/>
      <c r="H823" s="616" t="s">
        <v>12</v>
      </c>
      <c r="I823" s="269">
        <f ca="1">IFERROR(__xludf.DUMMYFUNCTION("IMPORTRANGE(""https://docs.google.com/spreadsheets/d/19vJNZY_5yjcGF2XGBMNZRCAIB0Kwfpjp8YEOfu-bneM/edit?usp=sharing"",""งานกองทุน!I67"")"),3657806.78)</f>
        <v>3657806.78</v>
      </c>
      <c r="J823" s="269">
        <f ca="1">IFERROR(__xludf.DUMMYFUNCTION("IMPORTRANGE(""https://docs.google.com/spreadsheets/d/19vJNZY_5yjcGF2XGBMNZRCAIB0Kwfpjp8YEOfu-bneM/edit?usp=sharing"",""งานกองทุน!K67"")"),98946.23)</f>
        <v>98946.23</v>
      </c>
      <c r="K823" s="496">
        <f t="shared" ca="1" si="335"/>
        <v>2.7050698943698719</v>
      </c>
      <c r="L823" s="496"/>
      <c r="M823" s="496"/>
      <c r="N823" s="496"/>
      <c r="O823" s="496"/>
      <c r="P823" s="496"/>
      <c r="Q823" s="571"/>
      <c r="R823" s="571"/>
      <c r="S823" s="571"/>
      <c r="T823" s="571"/>
      <c r="U823" s="571"/>
      <c r="V823" s="571"/>
      <c r="W823" s="571"/>
      <c r="X823" s="571"/>
      <c r="Y823" s="571"/>
      <c r="Z823" s="571"/>
    </row>
    <row r="824" spans="1:26" ht="18.75">
      <c r="A824" s="735"/>
      <c r="B824" s="754"/>
      <c r="C824" s="754"/>
      <c r="D824" s="568"/>
      <c r="E824" s="754"/>
      <c r="F824" s="754"/>
      <c r="G824" s="189"/>
      <c r="H824" s="616" t="s">
        <v>35</v>
      </c>
      <c r="I824" s="269">
        <f ca="1">IFERROR(__xludf.DUMMYFUNCTION("IMPORTRANGE(""https://docs.google.com/spreadsheets/d/19vJNZY_5yjcGF2XGBMNZRCAIB0Kwfpjp8YEOfu-bneM/edit?usp=sharing"",""งานกองทุน!H67"")"),184)</f>
        <v>184</v>
      </c>
      <c r="J824" s="269">
        <f ca="1">IFERROR(__xludf.DUMMYFUNCTION("IMPORTRANGE(""https://docs.google.com/spreadsheets/d/19vJNZY_5yjcGF2XGBMNZRCAIB0Kwfpjp8YEOfu-bneM/edit?usp=sharing"",""งานกองทุน!J67"")"),56)</f>
        <v>56</v>
      </c>
      <c r="K824" s="496">
        <f t="shared" ca="1" si="335"/>
        <v>30.434782608695652</v>
      </c>
      <c r="L824" s="496"/>
      <c r="M824" s="496"/>
      <c r="N824" s="496"/>
      <c r="O824" s="496"/>
      <c r="P824" s="496"/>
      <c r="Q824" s="571"/>
      <c r="R824" s="571"/>
      <c r="S824" s="571"/>
      <c r="T824" s="571"/>
      <c r="U824" s="571"/>
      <c r="V824" s="571"/>
      <c r="W824" s="571"/>
      <c r="X824" s="571"/>
      <c r="Y824" s="571"/>
      <c r="Z824" s="571"/>
    </row>
    <row r="825" spans="1:26" ht="18.75">
      <c r="A825" s="735"/>
      <c r="B825" s="754" t="s">
        <v>327</v>
      </c>
      <c r="C825" s="754"/>
      <c r="D825" s="568"/>
      <c r="E825" s="754"/>
      <c r="F825" s="754"/>
      <c r="G825" s="189"/>
      <c r="H825" s="616" t="s">
        <v>12</v>
      </c>
      <c r="I825" s="269">
        <f ca="1">IFERROR(__xludf.DUMMYFUNCTION("IMPORTRANGE(""https://docs.google.com/spreadsheets/d/19vJNZY_5yjcGF2XGBMNZRCAIB0Kwfpjp8YEOfu-bneM/edit?usp=sharing"",""งานกองทุน!N67"")"),126382.18)</f>
        <v>126382.18</v>
      </c>
      <c r="J825" s="269">
        <f ca="1">IFERROR(__xludf.DUMMYFUNCTION("IMPORTRANGE(""https://docs.google.com/spreadsheets/d/19vJNZY_5yjcGF2XGBMNZRCAIB0Kwfpjp8YEOfu-bneM/edit?usp=sharing"",""งานกองทุน!P67"")"),41722.96)</f>
        <v>41722.959999999999</v>
      </c>
      <c r="K825" s="496">
        <f t="shared" ca="1" si="335"/>
        <v>33.013325138085136</v>
      </c>
      <c r="L825" s="496"/>
      <c r="M825" s="496"/>
      <c r="N825" s="496"/>
      <c r="O825" s="496"/>
      <c r="P825" s="496"/>
      <c r="Q825" s="571"/>
      <c r="R825" s="571"/>
      <c r="S825" s="571"/>
      <c r="T825" s="571"/>
      <c r="U825" s="571"/>
      <c r="V825" s="571"/>
      <c r="W825" s="571"/>
      <c r="X825" s="571"/>
      <c r="Y825" s="571"/>
      <c r="Z825" s="571"/>
    </row>
    <row r="826" spans="1:26" ht="18.75">
      <c r="A826" s="735"/>
      <c r="B826" s="754"/>
      <c r="C826" s="754"/>
      <c r="D826" s="568"/>
      <c r="E826" s="754"/>
      <c r="F826" s="754"/>
      <c r="G826" s="189"/>
      <c r="H826" s="616" t="s">
        <v>35</v>
      </c>
      <c r="I826" s="269">
        <f ca="1">IFERROR(__xludf.DUMMYFUNCTION("IMPORTRANGE(""https://docs.google.com/spreadsheets/d/19vJNZY_5yjcGF2XGBMNZRCAIB0Kwfpjp8YEOfu-bneM/edit?usp=sharing"",""งานกองทุน!M67"")"),12)</f>
        <v>12</v>
      </c>
      <c r="J826" s="269">
        <f ca="1">IFERROR(__xludf.DUMMYFUNCTION("IMPORTRANGE(""https://docs.google.com/spreadsheets/d/19vJNZY_5yjcGF2XGBMNZRCAIB0Kwfpjp8YEOfu-bneM/edit?usp=sharing"",""งานกองทุน!O67"")"),6)</f>
        <v>6</v>
      </c>
      <c r="K826" s="496">
        <f t="shared" ca="1" si="335"/>
        <v>50</v>
      </c>
      <c r="L826" s="496"/>
      <c r="M826" s="496"/>
      <c r="N826" s="496"/>
      <c r="O826" s="496"/>
      <c r="P826" s="496"/>
      <c r="Q826" s="571"/>
      <c r="R826" s="571"/>
      <c r="S826" s="571"/>
      <c r="T826" s="571"/>
      <c r="U826" s="571"/>
      <c r="V826" s="571"/>
      <c r="W826" s="571"/>
      <c r="X826" s="571"/>
      <c r="Y826" s="571"/>
      <c r="Z826" s="571"/>
    </row>
    <row r="827" spans="1:26" ht="18.75">
      <c r="A827" s="735"/>
      <c r="B827" s="754" t="s">
        <v>328</v>
      </c>
      <c r="C827" s="754"/>
      <c r="D827" s="568"/>
      <c r="E827" s="754"/>
      <c r="F827" s="754"/>
      <c r="G827" s="189"/>
      <c r="H827" s="616" t="s">
        <v>12</v>
      </c>
      <c r="I827" s="269">
        <f ca="1">IFERROR(__xludf.DUMMYFUNCTION("IMPORTRANGE(""https://docs.google.com/spreadsheets/d/19vJNZY_5yjcGF2XGBMNZRCAIB0Kwfpjp8YEOfu-bneM/edit?usp=sharing"",""งานกองทุน!S67"")"),2580000)</f>
        <v>2580000</v>
      </c>
      <c r="J827" s="269">
        <f ca="1">IFERROR(__xludf.DUMMYFUNCTION("IMPORTRANGE(""https://docs.google.com/spreadsheets/d/19vJNZY_5yjcGF2XGBMNZRCAIB0Kwfpjp8YEOfu-bneM/edit?usp=sharing"",""งานกองทุน!U67"")"),0)</f>
        <v>0</v>
      </c>
      <c r="K827" s="496">
        <f t="shared" ca="1" si="335"/>
        <v>0</v>
      </c>
      <c r="L827" s="496"/>
      <c r="M827" s="496"/>
      <c r="N827" s="496"/>
      <c r="O827" s="496"/>
      <c r="P827" s="496"/>
      <c r="Q827" s="571"/>
      <c r="R827" s="571"/>
      <c r="S827" s="571"/>
      <c r="T827" s="571"/>
      <c r="U827" s="571"/>
      <c r="V827" s="571"/>
      <c r="W827" s="571"/>
      <c r="X827" s="571"/>
      <c r="Y827" s="571"/>
      <c r="Z827" s="571"/>
    </row>
    <row r="828" spans="1:26" ht="18.75">
      <c r="A828" s="738"/>
      <c r="B828" s="740"/>
      <c r="C828" s="740"/>
      <c r="D828" s="739"/>
      <c r="E828" s="740"/>
      <c r="F828" s="740"/>
      <c r="G828" s="818"/>
      <c r="H828" s="819" t="s">
        <v>35</v>
      </c>
      <c r="I828" s="499">
        <f ca="1">IFERROR(__xludf.DUMMYFUNCTION("IMPORTRANGE(""https://docs.google.com/spreadsheets/d/19vJNZY_5yjcGF2XGBMNZRCAIB0Kwfpjp8YEOfu-bneM/edit?usp=sharing"",""งานกองทุน!R67"")"),103)</f>
        <v>103</v>
      </c>
      <c r="J828" s="499">
        <f ca="1">IFERROR(__xludf.DUMMYFUNCTION("IMPORTRANGE(""https://docs.google.com/spreadsheets/d/19vJNZY_5yjcGF2XGBMNZRCAIB0Kwfpjp8YEOfu-bneM/edit?usp=sharing"",""งานกองทุน!T67"")"),0)</f>
        <v>0</v>
      </c>
      <c r="K828" s="500">
        <f t="shared" ca="1" si="335"/>
        <v>0</v>
      </c>
      <c r="L828" s="500"/>
      <c r="M828" s="500"/>
      <c r="N828" s="500"/>
      <c r="O828" s="500"/>
      <c r="P828" s="500"/>
      <c r="Q828" s="571"/>
      <c r="R828" s="571"/>
      <c r="S828" s="571"/>
      <c r="T828" s="571"/>
      <c r="U828" s="571"/>
      <c r="V828" s="571"/>
      <c r="W828" s="571"/>
      <c r="X828" s="571"/>
      <c r="Y828" s="571"/>
      <c r="Z828" s="571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544:F544"/>
    <mergeCell ref="A7:G7"/>
    <mergeCell ref="A17:G17"/>
    <mergeCell ref="A27:G27"/>
    <mergeCell ref="B40:G40"/>
    <mergeCell ref="A50:G50"/>
    <mergeCell ref="B51:G51"/>
    <mergeCell ref="D419:F419"/>
    <mergeCell ref="D444:F444"/>
    <mergeCell ref="D467:F467"/>
    <mergeCell ref="D502:F502"/>
    <mergeCell ref="D523:F523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 gridLines="1"/>
  <pageMargins left="0.23622047244094491" right="0.23622047244094491" top="0.74803149606299213" bottom="0.74803149606299213" header="0" footer="0"/>
  <pageSetup paperSize="9" scale="43" fitToHeight="0" pageOrder="overThenDown" orientation="portrait" cellComments="atEnd" r:id="rId1"/>
  <headerFooter>
    <oddFooter>&amp;Cหน้า &amp;P/&amp;N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5E823F-AABC-4811-94AD-5F0CF83E26FF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activeCell="A2" sqref="A2:P2"/>
      <selection pane="bottomLeft" activeCell="A2" sqref="A2:P2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9" width="18.7109375" bestFit="1" customWidth="1"/>
    <col min="10" max="10" width="14.42578125" bestFit="1" customWidth="1"/>
    <col min="11" max="11" width="12.5703125" customWidth="1"/>
    <col min="12" max="14" width="21.28515625" bestFit="1" customWidth="1"/>
    <col min="15" max="16" width="17.5703125" customWidth="1"/>
  </cols>
  <sheetData>
    <row r="1" spans="1:26" ht="19.5">
      <c r="A1" s="844" t="s">
        <v>0</v>
      </c>
      <c r="B1" s="845"/>
      <c r="C1" s="845"/>
      <c r="D1" s="845"/>
      <c r="E1" s="845"/>
      <c r="F1" s="845"/>
      <c r="G1" s="845"/>
      <c r="H1" s="845"/>
      <c r="I1" s="845"/>
      <c r="J1" s="845"/>
      <c r="K1" s="845"/>
      <c r="L1" s="845"/>
      <c r="M1" s="845"/>
      <c r="N1" s="845"/>
      <c r="O1" s="845"/>
      <c r="P1" s="845"/>
    </row>
    <row r="2" spans="1:26" ht="19.5">
      <c r="A2" s="844" t="s">
        <v>354</v>
      </c>
      <c r="B2" s="845"/>
      <c r="C2" s="845"/>
      <c r="D2" s="845"/>
      <c r="E2" s="845"/>
      <c r="F2" s="845"/>
      <c r="G2" s="845"/>
      <c r="H2" s="845"/>
      <c r="I2" s="845"/>
      <c r="J2" s="845"/>
      <c r="K2" s="845"/>
      <c r="L2" s="845"/>
      <c r="M2" s="845"/>
      <c r="N2" s="845"/>
      <c r="O2" s="845"/>
      <c r="P2" s="845"/>
    </row>
    <row r="3" spans="1:26" ht="19.5">
      <c r="A3" s="844" t="s">
        <v>347</v>
      </c>
      <c r="B3" s="845"/>
      <c r="C3" s="845"/>
      <c r="D3" s="845"/>
      <c r="E3" s="845"/>
      <c r="F3" s="845"/>
      <c r="G3" s="845"/>
      <c r="H3" s="845"/>
      <c r="I3" s="845"/>
      <c r="J3" s="845"/>
      <c r="K3" s="845"/>
      <c r="L3" s="845"/>
      <c r="M3" s="845"/>
      <c r="N3" s="845"/>
      <c r="O3" s="845"/>
      <c r="P3" s="845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52" t="s">
        <v>2</v>
      </c>
      <c r="B5" s="845"/>
      <c r="C5" s="845"/>
      <c r="D5" s="845"/>
      <c r="E5" s="845"/>
      <c r="F5" s="845"/>
      <c r="G5" s="853"/>
      <c r="H5" s="846" t="s">
        <v>3</v>
      </c>
      <c r="I5" s="848" t="s">
        <v>4</v>
      </c>
      <c r="J5" s="849"/>
      <c r="K5" s="847"/>
      <c r="L5" s="850" t="s">
        <v>5</v>
      </c>
      <c r="M5" s="847"/>
      <c r="N5" s="851" t="s">
        <v>6</v>
      </c>
      <c r="O5" s="849"/>
      <c r="P5" s="847"/>
    </row>
    <row r="6" spans="1:26" ht="19.5">
      <c r="A6" s="854"/>
      <c r="B6" s="849"/>
      <c r="C6" s="849"/>
      <c r="D6" s="849"/>
      <c r="E6" s="849"/>
      <c r="F6" s="849"/>
      <c r="G6" s="847"/>
      <c r="H6" s="847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55" t="s">
        <v>15</v>
      </c>
      <c r="B7" s="849"/>
      <c r="C7" s="849"/>
      <c r="D7" s="849"/>
      <c r="E7" s="849"/>
      <c r="F7" s="849"/>
      <c r="G7" s="847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7627970</v>
      </c>
      <c r="M8" s="22">
        <f t="shared" ca="1" si="0"/>
        <v>2568790</v>
      </c>
      <c r="N8" s="22">
        <f t="shared" ca="1" si="0"/>
        <v>1145058.79</v>
      </c>
      <c r="O8" s="22">
        <f t="shared" ref="O8:O16" ca="1" si="1">IF(L8&gt;0,N8*100/L8,0)</f>
        <v>15.011317427834665</v>
      </c>
      <c r="P8" s="22">
        <f t="shared" ref="P8:P16" ca="1" si="2">IF(M8&gt;0,N8*100/M8,0)</f>
        <v>44.575803783104107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7627970</v>
      </c>
      <c r="M10" s="30">
        <f t="shared" ca="1" si="3"/>
        <v>2568790</v>
      </c>
      <c r="N10" s="30">
        <f t="shared" ca="1" si="3"/>
        <v>1145058.79</v>
      </c>
      <c r="O10" s="30">
        <f t="shared" ca="1" si="1"/>
        <v>15.011317427834665</v>
      </c>
      <c r="P10" s="30">
        <f t="shared" ca="1" si="2"/>
        <v>44.575803783104107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16" t="s">
        <v>12</v>
      </c>
      <c r="I11" s="269"/>
      <c r="J11" s="269"/>
      <c r="K11" s="496"/>
      <c r="L11" s="496">
        <f t="shared" ref="L11:N11" ca="1" si="4">L12+L13</f>
        <v>7575170</v>
      </c>
      <c r="M11" s="496">
        <f t="shared" ca="1" si="4"/>
        <v>2515990</v>
      </c>
      <c r="N11" s="496">
        <f t="shared" ca="1" si="4"/>
        <v>1092258.79</v>
      </c>
      <c r="O11" s="496">
        <f t="shared" ca="1" si="1"/>
        <v>14.418934360549004</v>
      </c>
      <c r="P11" s="496">
        <f t="shared" ca="1" si="2"/>
        <v>43.412684072671198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2" t="s">
        <v>18</v>
      </c>
      <c r="F12" s="40"/>
      <c r="G12" s="42"/>
      <c r="H12" s="43" t="s">
        <v>12</v>
      </c>
      <c r="I12" s="610"/>
      <c r="J12" s="610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2" t="s">
        <v>19</v>
      </c>
      <c r="F13" s="40"/>
      <c r="G13" s="42"/>
      <c r="H13" s="43" t="s">
        <v>12</v>
      </c>
      <c r="I13" s="610"/>
      <c r="J13" s="610"/>
      <c r="K13" s="93"/>
      <c r="L13" s="93">
        <f t="shared" ca="1" si="5"/>
        <v>7575170</v>
      </c>
      <c r="M13" s="93">
        <f t="shared" ca="1" si="5"/>
        <v>2515990</v>
      </c>
      <c r="N13" s="93">
        <f t="shared" ca="1" si="5"/>
        <v>1092258.79</v>
      </c>
      <c r="O13" s="93">
        <f t="shared" ca="1" si="1"/>
        <v>14.418934360549004</v>
      </c>
      <c r="P13" s="93">
        <f t="shared" ca="1" si="2"/>
        <v>43.412684072671198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16" t="s">
        <v>12</v>
      </c>
      <c r="I14" s="269"/>
      <c r="J14" s="269"/>
      <c r="K14" s="496"/>
      <c r="L14" s="496">
        <f t="shared" ref="L14:N14" ca="1" si="6">L15+L16</f>
        <v>52800</v>
      </c>
      <c r="M14" s="496">
        <f t="shared" ca="1" si="6"/>
        <v>52800</v>
      </c>
      <c r="N14" s="496">
        <f t="shared" ca="1" si="6"/>
        <v>52800</v>
      </c>
      <c r="O14" s="496">
        <f t="shared" ca="1" si="1"/>
        <v>100</v>
      </c>
      <c r="P14" s="496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2" t="s">
        <v>18</v>
      </c>
      <c r="F15" s="40"/>
      <c r="G15" s="42"/>
      <c r="H15" s="43" t="s">
        <v>12</v>
      </c>
      <c r="I15" s="610"/>
      <c r="J15" s="610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52800</v>
      </c>
      <c r="M16" s="52">
        <f t="shared" ca="1" si="7"/>
        <v>52800</v>
      </c>
      <c r="N16" s="52">
        <f t="shared" ca="1" si="7"/>
        <v>52800</v>
      </c>
      <c r="O16" s="52">
        <f t="shared" ca="1" si="1"/>
        <v>100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55" t="s">
        <v>22</v>
      </c>
      <c r="B17" s="849"/>
      <c r="C17" s="849"/>
      <c r="D17" s="849"/>
      <c r="E17" s="849"/>
      <c r="F17" s="849"/>
      <c r="G17" s="847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5225200</v>
      </c>
      <c r="M18" s="22">
        <f t="shared" ca="1" si="8"/>
        <v>2568790</v>
      </c>
      <c r="N18" s="22">
        <f t="shared" ca="1" si="8"/>
        <v>1046158.79</v>
      </c>
      <c r="O18" s="22">
        <f t="shared" ref="O18:O26" ca="1" si="9">IF(L18&gt;0,N18*100/L18,0)</f>
        <v>20.021411429227591</v>
      </c>
      <c r="P18" s="22">
        <f t="shared" ref="P18:P26" ca="1" si="10">IF(M18&gt;0,N18*100/M18,0)</f>
        <v>40.725742080901902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5225200</v>
      </c>
      <c r="M20" s="30">
        <f t="shared" ca="1" si="11"/>
        <v>2568790</v>
      </c>
      <c r="N20" s="30">
        <f t="shared" ca="1" si="11"/>
        <v>1046158.79</v>
      </c>
      <c r="O20" s="30">
        <f t="shared" ca="1" si="9"/>
        <v>20.021411429227591</v>
      </c>
      <c r="P20" s="30">
        <f t="shared" ca="1" si="10"/>
        <v>40.725742080901902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16" t="s">
        <v>12</v>
      </c>
      <c r="I21" s="269"/>
      <c r="J21" s="269"/>
      <c r="K21" s="496"/>
      <c r="L21" s="496">
        <f t="shared" ref="L21:N21" ca="1" si="12">L22+L23</f>
        <v>5172400</v>
      </c>
      <c r="M21" s="496">
        <f t="shared" ca="1" si="12"/>
        <v>2515990</v>
      </c>
      <c r="N21" s="496">
        <f t="shared" ca="1" si="12"/>
        <v>993358.79</v>
      </c>
      <c r="O21" s="496">
        <f t="shared" ca="1" si="9"/>
        <v>19.204987819967521</v>
      </c>
      <c r="P21" s="496">
        <f t="shared" ca="1" si="10"/>
        <v>39.481825841915111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2" t="s">
        <v>18</v>
      </c>
      <c r="F22" s="40"/>
      <c r="G22" s="42"/>
      <c r="H22" s="43" t="s">
        <v>12</v>
      </c>
      <c r="I22" s="610"/>
      <c r="J22" s="610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2" t="s">
        <v>19</v>
      </c>
      <c r="F23" s="40"/>
      <c r="G23" s="42"/>
      <c r="H23" s="43" t="s">
        <v>12</v>
      </c>
      <c r="I23" s="610"/>
      <c r="J23" s="610"/>
      <c r="K23" s="93"/>
      <c r="L23" s="93">
        <f t="shared" ca="1" si="13"/>
        <v>5172400</v>
      </c>
      <c r="M23" s="93">
        <f t="shared" ca="1" si="13"/>
        <v>2515990</v>
      </c>
      <c r="N23" s="93">
        <f t="shared" ca="1" si="13"/>
        <v>993358.79</v>
      </c>
      <c r="O23" s="93">
        <f t="shared" ca="1" si="9"/>
        <v>19.204987819967521</v>
      </c>
      <c r="P23" s="93">
        <f t="shared" ca="1" si="10"/>
        <v>39.481825841915111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16" t="s">
        <v>12</v>
      </c>
      <c r="I24" s="269"/>
      <c r="J24" s="269"/>
      <c r="K24" s="496"/>
      <c r="L24" s="496">
        <f t="shared" ref="L24:N24" ca="1" si="14">L25+L26</f>
        <v>52800</v>
      </c>
      <c r="M24" s="496">
        <f t="shared" ca="1" si="14"/>
        <v>52800</v>
      </c>
      <c r="N24" s="496">
        <f t="shared" ca="1" si="14"/>
        <v>52800</v>
      </c>
      <c r="O24" s="496">
        <f t="shared" ca="1" si="9"/>
        <v>100</v>
      </c>
      <c r="P24" s="496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2" t="s">
        <v>18</v>
      </c>
      <c r="F25" s="40"/>
      <c r="G25" s="42"/>
      <c r="H25" s="43" t="s">
        <v>12</v>
      </c>
      <c r="I25" s="610"/>
      <c r="J25" s="610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52800</v>
      </c>
      <c r="M26" s="52">
        <f t="shared" ca="1" si="15"/>
        <v>52800</v>
      </c>
      <c r="N26" s="52">
        <f t="shared" ca="1" si="15"/>
        <v>52800</v>
      </c>
      <c r="O26" s="52">
        <f t="shared" ca="1" si="9"/>
        <v>100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55" t="s">
        <v>23</v>
      </c>
      <c r="B27" s="849"/>
      <c r="C27" s="849"/>
      <c r="D27" s="849"/>
      <c r="E27" s="849"/>
      <c r="F27" s="849"/>
      <c r="G27" s="847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2402770</v>
      </c>
      <c r="M28" s="22">
        <f t="shared" si="16"/>
        <v>0</v>
      </c>
      <c r="N28" s="22">
        <f t="shared" si="16"/>
        <v>98900</v>
      </c>
      <c r="O28" s="22">
        <f t="shared" ref="O28:O37" ca="1" si="17">IF(L28&gt;0,N28*100/L28,0)</f>
        <v>4.1160826878977179</v>
      </c>
      <c r="P28" s="22">
        <f t="shared" ref="P28:P37" si="18">IF(M28&gt;0,N28*100/M28,0)</f>
        <v>0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2402770</v>
      </c>
      <c r="M30" s="30">
        <f t="shared" si="19"/>
        <v>0</v>
      </c>
      <c r="N30" s="30">
        <f t="shared" si="19"/>
        <v>98900</v>
      </c>
      <c r="O30" s="30">
        <f t="shared" ca="1" si="17"/>
        <v>4.1160826878977179</v>
      </c>
      <c r="P30" s="30">
        <f t="shared" si="18"/>
        <v>0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16" t="s">
        <v>12</v>
      </c>
      <c r="I31" s="269"/>
      <c r="J31" s="269"/>
      <c r="K31" s="496"/>
      <c r="L31" s="496">
        <f t="shared" ref="L31:N31" ca="1" si="20">L32+L33</f>
        <v>2402770</v>
      </c>
      <c r="M31" s="496">
        <f t="shared" si="20"/>
        <v>0</v>
      </c>
      <c r="N31" s="496">
        <f t="shared" si="20"/>
        <v>98900</v>
      </c>
      <c r="O31" s="496">
        <f t="shared" ca="1" si="17"/>
        <v>4.1160826878977179</v>
      </c>
      <c r="P31" s="496">
        <f t="shared" si="18"/>
        <v>0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2" t="s">
        <v>18</v>
      </c>
      <c r="F32" s="40"/>
      <c r="G32" s="42"/>
      <c r="H32" s="43" t="s">
        <v>12</v>
      </c>
      <c r="I32" s="610"/>
      <c r="J32" s="610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2" t="s">
        <v>19</v>
      </c>
      <c r="F33" s="40"/>
      <c r="G33" s="42"/>
      <c r="H33" s="43" t="s">
        <v>12</v>
      </c>
      <c r="I33" s="610"/>
      <c r="J33" s="610"/>
      <c r="K33" s="93"/>
      <c r="L33" s="93">
        <f t="shared" ca="1" si="21"/>
        <v>2402770</v>
      </c>
      <c r="M33" s="93">
        <f t="shared" si="21"/>
        <v>0</v>
      </c>
      <c r="N33" s="93">
        <f t="shared" si="21"/>
        <v>98900</v>
      </c>
      <c r="O33" s="93">
        <f t="shared" ca="1" si="17"/>
        <v>4.1160826878977179</v>
      </c>
      <c r="P33" s="93">
        <f t="shared" si="18"/>
        <v>0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16" t="s">
        <v>12</v>
      </c>
      <c r="I34" s="269"/>
      <c r="J34" s="269"/>
      <c r="K34" s="496"/>
      <c r="L34" s="496">
        <f t="shared" ref="L34:N34" ca="1" si="22">L35+L36</f>
        <v>0</v>
      </c>
      <c r="M34" s="496">
        <f t="shared" si="22"/>
        <v>0</v>
      </c>
      <c r="N34" s="496">
        <f t="shared" si="22"/>
        <v>0</v>
      </c>
      <c r="O34" s="496">
        <f t="shared" ca="1" si="17"/>
        <v>0</v>
      </c>
      <c r="P34" s="496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2" t="s">
        <v>18</v>
      </c>
      <c r="F35" s="40"/>
      <c r="G35" s="42"/>
      <c r="H35" s="43" t="s">
        <v>12</v>
      </c>
      <c r="I35" s="610"/>
      <c r="J35" s="610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53" t="s">
        <v>24</v>
      </c>
      <c r="B37" s="54"/>
      <c r="C37" s="54"/>
      <c r="D37" s="54"/>
      <c r="E37" s="54"/>
      <c r="F37" s="54"/>
      <c r="G37" s="55"/>
      <c r="H37" s="56"/>
      <c r="I37" s="423"/>
      <c r="J37" s="423"/>
      <c r="K37" s="58"/>
      <c r="L37" s="59">
        <f t="shared" ref="L37:N37" ca="1" si="24">L41+L53+L66+L88+L119+L132+L149+L165+L181+L261+L277+L298+L315+L328+L345+L389+L402</f>
        <v>5225200</v>
      </c>
      <c r="M37" s="59">
        <f t="shared" ca="1" si="24"/>
        <v>2568790</v>
      </c>
      <c r="N37" s="59">
        <f t="shared" ca="1" si="24"/>
        <v>1046158.79</v>
      </c>
      <c r="O37" s="59">
        <f t="shared" ca="1" si="17"/>
        <v>20.021411429227591</v>
      </c>
      <c r="P37" s="59">
        <f t="shared" ca="1" si="18"/>
        <v>40.725742080901902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56" t="s">
        <v>27</v>
      </c>
      <c r="C40" s="857"/>
      <c r="D40" s="857"/>
      <c r="E40" s="857"/>
      <c r="F40" s="857"/>
      <c r="G40" s="858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20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657500</v>
      </c>
      <c r="M41" s="85">
        <f t="shared" ca="1" si="25"/>
        <v>334600</v>
      </c>
      <c r="N41" s="85">
        <f t="shared" ca="1" si="25"/>
        <v>162390</v>
      </c>
      <c r="O41" s="85">
        <f t="shared" ref="O41:O49" ca="1" si="26">IF(L41&gt;0,N41*100/L41,0)</f>
        <v>24.698098859315589</v>
      </c>
      <c r="P41" s="85">
        <f t="shared" ref="P41:P49" ca="1" si="27">IF(M41&gt;0,N41*100/M41,0)</f>
        <v>48.532576210400478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657500</v>
      </c>
      <c r="M43" s="92">
        <f t="shared" ca="1" si="28"/>
        <v>334600</v>
      </c>
      <c r="N43" s="92">
        <f t="shared" ca="1" si="28"/>
        <v>162390</v>
      </c>
      <c r="O43" s="92">
        <f t="shared" ca="1" si="26"/>
        <v>24.698098859315589</v>
      </c>
      <c r="P43" s="92">
        <f t="shared" ca="1" si="27"/>
        <v>48.532576210400478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16" t="s">
        <v>12</v>
      </c>
      <c r="I44" s="269"/>
      <c r="J44" s="269"/>
      <c r="K44" s="496"/>
      <c r="L44" s="496">
        <f t="shared" ref="L44:N44" ca="1" si="29">L45+L46</f>
        <v>657500</v>
      </c>
      <c r="M44" s="496">
        <f t="shared" ca="1" si="29"/>
        <v>334600</v>
      </c>
      <c r="N44" s="496">
        <f t="shared" ca="1" si="29"/>
        <v>162390</v>
      </c>
      <c r="O44" s="496">
        <f t="shared" ca="1" si="26"/>
        <v>24.698098859315589</v>
      </c>
      <c r="P44" s="496">
        <f t="shared" ca="1" si="27"/>
        <v>48.532576210400478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2" t="s">
        <v>18</v>
      </c>
      <c r="F45" s="40"/>
      <c r="G45" s="42"/>
      <c r="H45" s="43" t="s">
        <v>12</v>
      </c>
      <c r="I45" s="610"/>
      <c r="J45" s="610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2" t="s">
        <v>19</v>
      </c>
      <c r="F46" s="40"/>
      <c r="G46" s="42"/>
      <c r="H46" s="43" t="s">
        <v>12</v>
      </c>
      <c r="I46" s="610"/>
      <c r="J46" s="610"/>
      <c r="K46" s="93"/>
      <c r="L46" s="93">
        <f ca="1">IFERROR(__xludf.DUMMYFUNCTION("IMPORTRANGE(""https://docs.google.com/spreadsheets/d/1MeEWN-I1oV_STSDYn1IFDPWt_1FKiwhDph83XaGc0o0/edit?usp=sharing"",""งบพรบ!M68"")"),657500)</f>
        <v>657500</v>
      </c>
      <c r="M46" s="93">
        <f ca="1">IFERROR(__xludf.DUMMYFUNCTION("IMPORTRANGE(""https://docs.google.com/spreadsheets/d/1MeEWN-I1oV_STSDYn1IFDPWt_1FKiwhDph83XaGc0o0/edit?usp=sharing"",""งบพรบ!R68"")"),334600)</f>
        <v>334600</v>
      </c>
      <c r="N46" s="93">
        <f ca="1">IFERROR(__xludf.DUMMYFUNCTION("IMPORTRANGE(""https://docs.google.com/spreadsheets/d/1MeEWN-I1oV_STSDYn1IFDPWt_1FKiwhDph83XaGc0o0/edit?usp=sharing"",""งบพรบ!T68"")"),162390)</f>
        <v>162390</v>
      </c>
      <c r="O46" s="93">
        <f t="shared" ca="1" si="26"/>
        <v>24.698098859315589</v>
      </c>
      <c r="P46" s="93">
        <f t="shared" ca="1" si="27"/>
        <v>48.532576210400478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16" t="s">
        <v>12</v>
      </c>
      <c r="I47" s="269"/>
      <c r="J47" s="269"/>
      <c r="K47" s="496"/>
      <c r="L47" s="496">
        <f t="shared" ref="L47:N47" ca="1" si="30">L48+L49</f>
        <v>0</v>
      </c>
      <c r="M47" s="496">
        <f t="shared" ca="1" si="30"/>
        <v>0</v>
      </c>
      <c r="N47" s="496">
        <f t="shared" ca="1" si="30"/>
        <v>0</v>
      </c>
      <c r="O47" s="496">
        <f t="shared" ca="1" si="26"/>
        <v>0</v>
      </c>
      <c r="P47" s="496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2" t="s">
        <v>18</v>
      </c>
      <c r="F48" s="40"/>
      <c r="G48" s="42"/>
      <c r="H48" s="43" t="s">
        <v>12</v>
      </c>
      <c r="I48" s="610"/>
      <c r="J48" s="610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IFERROR(__xludf.DUMMYFUNCTION("IMPORTRANGE(""https://docs.google.com/spreadsheets/d/1MeEWN-I1oV_STSDYn1IFDPWt_1FKiwhDph83XaGc0o0/edit?usp=sharing"",""งบพรบ!P68"")"),0)</f>
        <v>0</v>
      </c>
      <c r="M49" s="52">
        <f ca="1">IFERROR(__xludf.DUMMYFUNCTION("IMPORTRANGE(""https://docs.google.com/spreadsheets/d/1MeEWN-I1oV_STSDYn1IFDPWt_1FKiwhDph83XaGc0o0/edit?usp=sharing"",""งบพรบ!S68"")"),0)</f>
        <v>0</v>
      </c>
      <c r="N49" s="52">
        <f ca="1">IFERROR(__xludf.DUMMYFUNCTION("IMPORTRANGE(""https://docs.google.com/spreadsheets/d/1MeEWN-I1oV_STSDYn1IFDPWt_1FKiwhDph83XaGc0o0/edit?usp=sharing"",""งบพรบ!U68"")"),0)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59" t="s">
        <v>28</v>
      </c>
      <c r="B50" s="849"/>
      <c r="C50" s="849"/>
      <c r="D50" s="849"/>
      <c r="E50" s="849"/>
      <c r="F50" s="849"/>
      <c r="G50" s="847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60" t="s">
        <v>29</v>
      </c>
      <c r="C51" s="857"/>
      <c r="D51" s="857"/>
      <c r="E51" s="857"/>
      <c r="F51" s="857"/>
      <c r="G51" s="858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21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805700</v>
      </c>
      <c r="M53" s="116">
        <f t="shared" ca="1" si="31"/>
        <v>402850</v>
      </c>
      <c r="N53" s="116">
        <f t="shared" ca="1" si="31"/>
        <v>259564.95</v>
      </c>
      <c r="O53" s="116">
        <f t="shared" ref="O53:O61" ca="1" si="32">IF(L53&gt;0,N53*100/L53,0)</f>
        <v>32.216079185801163</v>
      </c>
      <c r="P53" s="116">
        <f t="shared" ref="P53:P61" ca="1" si="33">IF(M53&gt;0,N53*100/M53,0)</f>
        <v>64.432158371602327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805700</v>
      </c>
      <c r="M55" s="123">
        <f t="shared" ca="1" si="34"/>
        <v>402850</v>
      </c>
      <c r="N55" s="123">
        <f t="shared" ca="1" si="34"/>
        <v>259564.95</v>
      </c>
      <c r="O55" s="123">
        <f t="shared" ca="1" si="32"/>
        <v>32.216079185801163</v>
      </c>
      <c r="P55" s="123">
        <f t="shared" ca="1" si="33"/>
        <v>64.432158371602327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16" t="s">
        <v>12</v>
      </c>
      <c r="I56" s="269"/>
      <c r="J56" s="269"/>
      <c r="K56" s="496"/>
      <c r="L56" s="496">
        <f t="shared" ref="L56:N56" ca="1" si="35">L57+L58</f>
        <v>805700</v>
      </c>
      <c r="M56" s="496">
        <f t="shared" ca="1" si="35"/>
        <v>402850</v>
      </c>
      <c r="N56" s="496">
        <f t="shared" ca="1" si="35"/>
        <v>259564.95</v>
      </c>
      <c r="O56" s="496">
        <f t="shared" ca="1" si="32"/>
        <v>32.216079185801163</v>
      </c>
      <c r="P56" s="496">
        <f t="shared" ca="1" si="33"/>
        <v>64.432158371602327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2" t="s">
        <v>18</v>
      </c>
      <c r="F57" s="40"/>
      <c r="G57" s="42"/>
      <c r="H57" s="43" t="s">
        <v>12</v>
      </c>
      <c r="I57" s="610"/>
      <c r="J57" s="610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2" t="s">
        <v>19</v>
      </c>
      <c r="F58" s="40"/>
      <c r="G58" s="42"/>
      <c r="H58" s="43" t="s">
        <v>12</v>
      </c>
      <c r="I58" s="610"/>
      <c r="J58" s="610"/>
      <c r="K58" s="93"/>
      <c r="L58" s="93">
        <f ca="1">IFERROR(__xludf.DUMMYFUNCTION("IMPORTRANGE(""https://docs.google.com/spreadsheets/d/1MeEWN-I1oV_STSDYn1IFDPWt_1FKiwhDph83XaGc0o0/edit?usp=sharing"",""งบพรบ!W68"")"),805700)</f>
        <v>805700</v>
      </c>
      <c r="M58" s="93">
        <f ca="1">IFERROR(__xludf.DUMMYFUNCTION("IMPORTRANGE(""https://docs.google.com/spreadsheets/d/1MeEWN-I1oV_STSDYn1IFDPWt_1FKiwhDph83XaGc0o0/edit?usp=sharing"",""งบพรบ!AB68"")"),402850)</f>
        <v>402850</v>
      </c>
      <c r="N58" s="93">
        <f ca="1">IFERROR(__xludf.DUMMYFUNCTION("IMPORTRANGE(""https://docs.google.com/spreadsheets/d/1MeEWN-I1oV_STSDYn1IFDPWt_1FKiwhDph83XaGc0o0/edit?usp=sharing"",""งบพรบ!AD68"")"),259564.95)</f>
        <v>259564.95</v>
      </c>
      <c r="O58" s="93">
        <f t="shared" ca="1" si="32"/>
        <v>32.216079185801163</v>
      </c>
      <c r="P58" s="93">
        <f t="shared" ca="1" si="33"/>
        <v>64.432158371602327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16" t="s">
        <v>12</v>
      </c>
      <c r="I59" s="269"/>
      <c r="J59" s="269"/>
      <c r="K59" s="496"/>
      <c r="L59" s="496">
        <f t="shared" ref="L59:N59" ca="1" si="36">L60+L61</f>
        <v>0</v>
      </c>
      <c r="M59" s="496">
        <f t="shared" ca="1" si="36"/>
        <v>0</v>
      </c>
      <c r="N59" s="496">
        <f t="shared" ca="1" si="36"/>
        <v>0</v>
      </c>
      <c r="O59" s="496">
        <f t="shared" ca="1" si="32"/>
        <v>0</v>
      </c>
      <c r="P59" s="496">
        <f t="shared" ca="1" si="33"/>
        <v>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2" t="s">
        <v>18</v>
      </c>
      <c r="F60" s="40"/>
      <c r="G60" s="42"/>
      <c r="H60" s="43" t="s">
        <v>12</v>
      </c>
      <c r="I60" s="610"/>
      <c r="J60" s="610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IFERROR(__xludf.DUMMYFUNCTION("IMPORTRANGE(""https://docs.google.com/spreadsheets/d/1MeEWN-I1oV_STSDYn1IFDPWt_1FKiwhDph83XaGc0o0/edit?usp=sharing"",""งบพรบ!Z68"")"),0)</f>
        <v>0</v>
      </c>
      <c r="M61" s="52">
        <f ca="1">IFERROR(__xludf.DUMMYFUNCTION("IMPORTRANGE(""https://docs.google.com/spreadsheets/d/1MeEWN-I1oV_STSDYn1IFDPWt_1FKiwhDph83XaGc0o0/edit?usp=sharing"",""งบพรบ!AC68"")"),0)</f>
        <v>0</v>
      </c>
      <c r="N61" s="52">
        <f ca="1">IFERROR(__xludf.DUMMYFUNCTION("IMPORTRANGE(""https://docs.google.com/spreadsheets/d/1MeEWN-I1oV_STSDYn1IFDPWt_1FKiwhDph83XaGc0o0/edit?usp=sharing"",""งบพรบ!AE68"")"),0)</f>
        <v>0</v>
      </c>
      <c r="O61" s="52">
        <f t="shared" ca="1" si="32"/>
        <v>0</v>
      </c>
      <c r="P61" s="52">
        <f t="shared" ca="1" si="33"/>
        <v>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>
      <c r="A64" s="138"/>
      <c r="B64" s="208" t="s">
        <v>33</v>
      </c>
      <c r="C64" s="140"/>
      <c r="D64" s="141"/>
      <c r="E64" s="140"/>
      <c r="F64" s="140"/>
      <c r="G64" s="142"/>
      <c r="H64" s="143" t="s">
        <v>34</v>
      </c>
      <c r="I64" s="144">
        <f t="shared" ref="I64:J65" ca="1" si="37">I76</f>
        <v>2</v>
      </c>
      <c r="J64" s="144">
        <f t="shared" si="37"/>
        <v>1</v>
      </c>
      <c r="K64" s="145">
        <f t="shared" ref="K64:K65" ca="1" si="38">IF(I64&gt;0,J64*100/I64,0)</f>
        <v>50</v>
      </c>
      <c r="L64" s="146"/>
      <c r="M64" s="146"/>
      <c r="N64" s="146"/>
      <c r="O64" s="146"/>
      <c r="P64" s="146"/>
    </row>
    <row r="65" spans="1:26" ht="19.5">
      <c r="A65" s="138"/>
      <c r="B65" s="140"/>
      <c r="C65" s="140"/>
      <c r="D65" s="141"/>
      <c r="E65" s="140"/>
      <c r="F65" s="140"/>
      <c r="G65" s="142"/>
      <c r="H65" s="143" t="s">
        <v>35</v>
      </c>
      <c r="I65" s="144">
        <f t="shared" ca="1" si="37"/>
        <v>180</v>
      </c>
      <c r="J65" s="144">
        <f t="shared" si="37"/>
        <v>53</v>
      </c>
      <c r="K65" s="145">
        <f t="shared" ca="1" si="38"/>
        <v>29.444444444444443</v>
      </c>
      <c r="L65" s="146"/>
      <c r="M65" s="146"/>
      <c r="N65" s="146"/>
      <c r="O65" s="146"/>
      <c r="P65" s="146"/>
    </row>
    <row r="66" spans="1:26" ht="19.5">
      <c r="A66" s="147"/>
      <c r="B66" s="148"/>
      <c r="C66" s="149" t="s">
        <v>16</v>
      </c>
      <c r="D66" s="822" t="s">
        <v>17</v>
      </c>
      <c r="E66" s="148"/>
      <c r="F66" s="148"/>
      <c r="G66" s="151"/>
      <c r="H66" s="152" t="s">
        <v>12</v>
      </c>
      <c r="I66" s="419"/>
      <c r="J66" s="419"/>
      <c r="K66" s="154"/>
      <c r="L66" s="155">
        <f t="shared" ref="L66:N66" ca="1" si="39">L67+L68</f>
        <v>1972000</v>
      </c>
      <c r="M66" s="155">
        <f t="shared" ca="1" si="39"/>
        <v>952000</v>
      </c>
      <c r="N66" s="155">
        <f t="shared" ca="1" si="39"/>
        <v>382004.84</v>
      </c>
      <c r="O66" s="155">
        <f t="shared" ref="O66:O74" ca="1" si="40">IF(L66&gt;0,N66*100/L66,0)</f>
        <v>19.37144219066937</v>
      </c>
      <c r="P66" s="155">
        <f t="shared" ref="P66:P74" ca="1" si="41">IF(M66&gt;0,N66*100/M66,0)</f>
        <v>40.126558823529415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2" t="s">
        <v>18</v>
      </c>
      <c r="F67" s="40"/>
      <c r="G67" s="157"/>
      <c r="H67" s="158" t="s">
        <v>12</v>
      </c>
      <c r="I67" s="610"/>
      <c r="J67" s="610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2" t="s">
        <v>19</v>
      </c>
      <c r="F68" s="40"/>
      <c r="G68" s="157"/>
      <c r="H68" s="158" t="s">
        <v>12</v>
      </c>
      <c r="I68" s="610"/>
      <c r="J68" s="610"/>
      <c r="K68" s="93"/>
      <c r="L68" s="93">
        <f t="shared" ca="1" si="42"/>
        <v>1972000</v>
      </c>
      <c r="M68" s="93">
        <f t="shared" ca="1" si="42"/>
        <v>952000</v>
      </c>
      <c r="N68" s="93">
        <f t="shared" ca="1" si="42"/>
        <v>382004.84</v>
      </c>
      <c r="O68" s="93">
        <f t="shared" ca="1" si="40"/>
        <v>19.37144219066937</v>
      </c>
      <c r="P68" s="93">
        <f t="shared" ca="1" si="41"/>
        <v>40.126558823529415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>
      <c r="A69" s="159"/>
      <c r="B69" s="33"/>
      <c r="C69" s="281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6">
        <f t="shared" ref="L69:N69" ca="1" si="43">L70+L71</f>
        <v>1972000</v>
      </c>
      <c r="M69" s="496">
        <f t="shared" ca="1" si="43"/>
        <v>952000</v>
      </c>
      <c r="N69" s="496">
        <f t="shared" ca="1" si="43"/>
        <v>382004.84</v>
      </c>
      <c r="O69" s="496">
        <f t="shared" ca="1" si="40"/>
        <v>19.37144219066937</v>
      </c>
      <c r="P69" s="496">
        <f t="shared" ca="1" si="41"/>
        <v>40.126558823529415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2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2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IFERROR(__xludf.DUMMYFUNCTION("IMPORTRANGE(""https://docs.google.com/spreadsheets/d/1MeEWN-I1oV_STSDYn1IFDPWt_1FKiwhDph83XaGc0o0/edit?usp=sharing"",""งบพรบ!AG68"")"),1972000)</f>
        <v>1972000</v>
      </c>
      <c r="M71" s="93">
        <f ca="1">IFERROR(__xludf.DUMMYFUNCTION("IMPORTRANGE(""https://docs.google.com/spreadsheets/d/1MeEWN-I1oV_STSDYn1IFDPWt_1FKiwhDph83XaGc0o0/edit?usp=sharing"",""งบพรบ!AL68"")"),952000)</f>
        <v>952000</v>
      </c>
      <c r="N71" s="93">
        <f ca="1">IFERROR(__xludf.DUMMYFUNCTION("IMPORTRANGE(""https://docs.google.com/spreadsheets/d/1MeEWN-I1oV_STSDYn1IFDPWt_1FKiwhDph83XaGc0o0/edit?usp=sharing"",""งบพรบ!AN68"")"),382004.84)</f>
        <v>382004.84</v>
      </c>
      <c r="O71" s="93">
        <f t="shared" ca="1" si="40"/>
        <v>19.37144219066937</v>
      </c>
      <c r="P71" s="93">
        <f t="shared" ca="1" si="41"/>
        <v>40.126558823529415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>
      <c r="A72" s="159"/>
      <c r="B72" s="33"/>
      <c r="C72" s="281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6">
        <f t="shared" ref="L72:N72" ca="1" si="44">L73+L74</f>
        <v>0</v>
      </c>
      <c r="M72" s="496">
        <f t="shared" ca="1" si="44"/>
        <v>0</v>
      </c>
      <c r="N72" s="496">
        <f t="shared" ca="1" si="44"/>
        <v>0</v>
      </c>
      <c r="O72" s="496">
        <f t="shared" ca="1" si="40"/>
        <v>0</v>
      </c>
      <c r="P72" s="496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2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2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IFERROR(__xludf.DUMMYFUNCTION("IMPORTRANGE(""https://docs.google.com/spreadsheets/d/1MeEWN-I1oV_STSDYn1IFDPWt_1FKiwhDph83XaGc0o0/edit?usp=sharing"",""งบพรบ!AJ68"")"),0)</f>
        <v>0</v>
      </c>
      <c r="M74" s="93">
        <f ca="1">IFERROR(__xludf.DUMMYFUNCTION("IMPORTRANGE(""https://docs.google.com/spreadsheets/d/1MeEWN-I1oV_STSDYn1IFDPWt_1FKiwhDph83XaGc0o0/edit?usp=sharing"",""งบพรบ!AM68"")"),0)</f>
        <v>0</v>
      </c>
      <c r="N74" s="93">
        <f ca="1">IFERROR(__xludf.DUMMYFUNCTION("IMPORTRANGE(""https://docs.google.com/spreadsheets/d/1MeEWN-I1oV_STSDYn1IFDPWt_1FKiwhDph83XaGc0o0/edit?usp=sharing"",""งบพรบ!AO68"")"),0)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>
      <c r="A75" s="170"/>
      <c r="B75" s="171"/>
      <c r="C75" s="164" t="s">
        <v>16</v>
      </c>
      <c r="D75" s="823" t="s">
        <v>38</v>
      </c>
      <c r="E75" s="173"/>
      <c r="F75" s="173"/>
      <c r="G75" s="174"/>
      <c r="H75" s="753"/>
      <c r="I75" s="184"/>
      <c r="J75" s="184"/>
      <c r="K75" s="163"/>
      <c r="L75" s="163"/>
      <c r="M75" s="163"/>
      <c r="N75" s="163"/>
      <c r="O75" s="163"/>
      <c r="P75" s="163"/>
    </row>
    <row r="76" spans="1:26" ht="19.5">
      <c r="A76" s="170"/>
      <c r="B76" s="171"/>
      <c r="C76" s="171"/>
      <c r="D76" s="176" t="s">
        <v>39</v>
      </c>
      <c r="E76" s="446"/>
      <c r="F76" s="178"/>
      <c r="G76" s="179"/>
      <c r="H76" s="180" t="s">
        <v>34</v>
      </c>
      <c r="I76" s="269">
        <f t="shared" ref="I76:J77" ca="1" si="45">I78+I80+I82</f>
        <v>2</v>
      </c>
      <c r="J76" s="269">
        <f t="shared" si="45"/>
        <v>1</v>
      </c>
      <c r="K76" s="163">
        <f t="shared" ref="K76:K84" ca="1" si="46">IF(I76&gt;0,J76*100/I76,0)</f>
        <v>50</v>
      </c>
      <c r="L76" s="163"/>
      <c r="M76" s="163"/>
      <c r="N76" s="163"/>
      <c r="O76" s="163"/>
      <c r="P76" s="163"/>
    </row>
    <row r="77" spans="1:26" ht="19.5">
      <c r="A77" s="170"/>
      <c r="B77" s="171"/>
      <c r="C77" s="171"/>
      <c r="D77" s="171"/>
      <c r="E77" s="178"/>
      <c r="F77" s="178"/>
      <c r="G77" s="179"/>
      <c r="H77" s="180" t="s">
        <v>35</v>
      </c>
      <c r="I77" s="269">
        <f t="shared" ca="1" si="45"/>
        <v>180</v>
      </c>
      <c r="J77" s="269">
        <f t="shared" si="45"/>
        <v>53</v>
      </c>
      <c r="K77" s="163">
        <f t="shared" ca="1" si="46"/>
        <v>29.444444444444443</v>
      </c>
      <c r="L77" s="163"/>
      <c r="M77" s="163"/>
      <c r="N77" s="163"/>
      <c r="O77" s="163"/>
      <c r="P77" s="163"/>
    </row>
    <row r="78" spans="1:26" ht="18.75">
      <c r="A78" s="170"/>
      <c r="B78" s="171"/>
      <c r="C78" s="171"/>
      <c r="D78" s="171"/>
      <c r="E78" s="446" t="s">
        <v>40</v>
      </c>
      <c r="F78" s="446"/>
      <c r="G78" s="179"/>
      <c r="H78" s="755" t="s">
        <v>34</v>
      </c>
      <c r="I78" s="184">
        <f ca="1">IFERROR(__xludf.DUMMYFUNCTION("IMPORTRANGE(""https://docs.google.com/spreadsheets/d/1QqKyyYR6Q21VydFLVH3TRQUabQu_ym0Zz7PgGX0-kHA/edit?usp=sharing"",""แผน!H68"")"),0)</f>
        <v>0</v>
      </c>
      <c r="J78" s="214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>
      <c r="A79" s="170"/>
      <c r="B79" s="171"/>
      <c r="C79" s="171"/>
      <c r="D79" s="171"/>
      <c r="E79" s="178"/>
      <c r="F79" s="178"/>
      <c r="G79" s="179"/>
      <c r="H79" s="755" t="s">
        <v>35</v>
      </c>
      <c r="I79" s="184">
        <f ca="1">IFERROR(__xludf.DUMMYFUNCTION("IMPORTRANGE(""https://docs.google.com/spreadsheets/d/1QqKyyYR6Q21VydFLVH3TRQUabQu_ym0Zz7PgGX0-kHA/edit?usp=sharing"",""แผน!I68"")"),0)</f>
        <v>0</v>
      </c>
      <c r="J79" s="214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>
      <c r="A80" s="170"/>
      <c r="B80" s="171"/>
      <c r="C80" s="171"/>
      <c r="D80" s="171"/>
      <c r="E80" s="446" t="s">
        <v>41</v>
      </c>
      <c r="F80" s="446"/>
      <c r="G80" s="179"/>
      <c r="H80" s="755" t="s">
        <v>34</v>
      </c>
      <c r="I80" s="184">
        <f ca="1">IFERROR(__xludf.DUMMYFUNCTION("IMPORTRANGE(""https://docs.google.com/spreadsheets/d/1QqKyyYR6Q21VydFLVH3TRQUabQu_ym0Zz7PgGX0-kHA/edit?usp=sharing"",""แผน!F68"")"),1)</f>
        <v>1</v>
      </c>
      <c r="J80" s="214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>
      <c r="A81" s="170"/>
      <c r="B81" s="171"/>
      <c r="C81" s="171"/>
      <c r="D81" s="171"/>
      <c r="E81" s="178"/>
      <c r="F81" s="178"/>
      <c r="G81" s="179"/>
      <c r="H81" s="755" t="s">
        <v>35</v>
      </c>
      <c r="I81" s="184">
        <f ca="1">IFERROR(__xludf.DUMMYFUNCTION("IMPORTRANGE(""https://docs.google.com/spreadsheets/d/1QqKyyYR6Q21VydFLVH3TRQUabQu_ym0Zz7PgGX0-kHA/edit?usp=sharing"",""แผน!G68"")"),80)</f>
        <v>80</v>
      </c>
      <c r="J81" s="214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>
      <c r="A82" s="170"/>
      <c r="B82" s="171"/>
      <c r="C82" s="171"/>
      <c r="D82" s="171"/>
      <c r="E82" s="446" t="s">
        <v>42</v>
      </c>
      <c r="F82" s="446"/>
      <c r="G82" s="179"/>
      <c r="H82" s="755" t="s">
        <v>34</v>
      </c>
      <c r="I82" s="184">
        <f ca="1">IFERROR(__xludf.DUMMYFUNCTION("IMPORTRANGE(""https://docs.google.com/spreadsheets/d/1QqKyyYR6Q21VydFLVH3TRQUabQu_ym0Zz7PgGX0-kHA/edit?usp=sharing"",""แผน!D68"")"),1)</f>
        <v>1</v>
      </c>
      <c r="J82" s="214">
        <v>1</v>
      </c>
      <c r="K82" s="163">
        <f t="shared" ca="1" si="46"/>
        <v>100</v>
      </c>
      <c r="L82" s="163"/>
      <c r="M82" s="163"/>
      <c r="N82" s="163"/>
      <c r="O82" s="163"/>
      <c r="P82" s="163"/>
    </row>
    <row r="83" spans="1:26" ht="18.75">
      <c r="A83" s="170"/>
      <c r="B83" s="171"/>
      <c r="C83" s="171"/>
      <c r="D83" s="171"/>
      <c r="E83" s="178"/>
      <c r="F83" s="178"/>
      <c r="G83" s="179"/>
      <c r="H83" s="755" t="s">
        <v>35</v>
      </c>
      <c r="I83" s="184">
        <f ca="1">IFERROR(__xludf.DUMMYFUNCTION("IMPORTRANGE(""https://docs.google.com/spreadsheets/d/1QqKyyYR6Q21VydFLVH3TRQUabQu_ym0Zz7PgGX0-kHA/edit?usp=sharing"",""แผน!E68"")"),100)</f>
        <v>100</v>
      </c>
      <c r="J83" s="214">
        <v>53</v>
      </c>
      <c r="K83" s="163">
        <f t="shared" ca="1" si="46"/>
        <v>53</v>
      </c>
      <c r="L83" s="163"/>
      <c r="M83" s="163"/>
      <c r="N83" s="163"/>
      <c r="O83" s="163"/>
      <c r="P83" s="163"/>
    </row>
    <row r="84" spans="1:26" ht="18.75">
      <c r="A84" s="170"/>
      <c r="B84" s="171"/>
      <c r="C84" s="171"/>
      <c r="D84" s="176" t="s">
        <v>43</v>
      </c>
      <c r="E84" s="446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IFERROR(__xludf.DUMMYFUNCTION("IMPORTRANGE(""https://docs.google.com/spreadsheets/d/1QqKyyYR6Q21VydFLVH3TRQUabQu_ym0Zz7PgGX0-kHA/edit?usp=sharing"",""แผน!J68"")"),2)</f>
        <v>2</v>
      </c>
      <c r="J84" s="214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8" t="s">
        <v>45</v>
      </c>
      <c r="C86" s="140"/>
      <c r="D86" s="141"/>
      <c r="E86" s="140"/>
      <c r="F86" s="140"/>
      <c r="G86" s="142"/>
      <c r="H86" s="143" t="s">
        <v>46</v>
      </c>
      <c r="I86" s="144">
        <f t="shared" ref="I86:J87" ca="1" si="47">I98</f>
        <v>45</v>
      </c>
      <c r="J86" s="144">
        <f t="shared" si="47"/>
        <v>0</v>
      </c>
      <c r="K86" s="145">
        <f t="shared" ref="K86:K87" ca="1" si="48">IF(I86&gt;0,J86*100/I86,0)</f>
        <v>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143" t="s">
        <v>35</v>
      </c>
      <c r="I87" s="144">
        <f t="shared" ca="1" si="47"/>
        <v>15</v>
      </c>
      <c r="J87" s="144">
        <f t="shared" si="47"/>
        <v>0</v>
      </c>
      <c r="K87" s="145">
        <f t="shared" ca="1" si="48"/>
        <v>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22" t="s">
        <v>17</v>
      </c>
      <c r="E88" s="148"/>
      <c r="F88" s="148"/>
      <c r="G88" s="151"/>
      <c r="H88" s="152" t="s">
        <v>12</v>
      </c>
      <c r="I88" s="419"/>
      <c r="J88" s="419"/>
      <c r="K88" s="154"/>
      <c r="L88" s="155">
        <f t="shared" ref="L88:N88" ca="1" si="49">L89+L90</f>
        <v>384460</v>
      </c>
      <c r="M88" s="155">
        <f t="shared" ca="1" si="49"/>
        <v>162760</v>
      </c>
      <c r="N88" s="155">
        <f t="shared" ca="1" si="49"/>
        <v>26158</v>
      </c>
      <c r="O88" s="155">
        <f t="shared" ref="O88:O96" ca="1" si="50">IF(L88&gt;0,N88*100/L88,0)</f>
        <v>6.8038287468137124</v>
      </c>
      <c r="P88" s="155">
        <f t="shared" ref="P88:P96" ca="1" si="51">IF(M88&gt;0,N88*100/M88,0)</f>
        <v>16.071516343081839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2" t="s">
        <v>18</v>
      </c>
      <c r="F89" s="40"/>
      <c r="G89" s="157"/>
      <c r="H89" s="158" t="s">
        <v>12</v>
      </c>
      <c r="I89" s="610"/>
      <c r="J89" s="610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2" t="s">
        <v>19</v>
      </c>
      <c r="F90" s="40"/>
      <c r="G90" s="157"/>
      <c r="H90" s="158" t="s">
        <v>12</v>
      </c>
      <c r="I90" s="610"/>
      <c r="J90" s="610"/>
      <c r="K90" s="93"/>
      <c r="L90" s="93">
        <f t="shared" ca="1" si="52"/>
        <v>384460</v>
      </c>
      <c r="M90" s="93">
        <f t="shared" ca="1" si="52"/>
        <v>162760</v>
      </c>
      <c r="N90" s="93">
        <f t="shared" ca="1" si="52"/>
        <v>26158</v>
      </c>
      <c r="O90" s="93">
        <f t="shared" ca="1" si="50"/>
        <v>6.8038287468137124</v>
      </c>
      <c r="P90" s="93">
        <f t="shared" ca="1" si="51"/>
        <v>16.071516343081839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1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6">
        <f t="shared" ref="L91:N91" ca="1" si="53">L92+L93</f>
        <v>384460</v>
      </c>
      <c r="M91" s="496">
        <f t="shared" ca="1" si="53"/>
        <v>162760</v>
      </c>
      <c r="N91" s="496">
        <f t="shared" ca="1" si="53"/>
        <v>26158</v>
      </c>
      <c r="O91" s="496">
        <f t="shared" ca="1" si="50"/>
        <v>6.8038287468137124</v>
      </c>
      <c r="P91" s="496">
        <f t="shared" ca="1" si="51"/>
        <v>16.071516343081839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2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2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IFERROR(__xludf.DUMMYFUNCTION("IMPORTRANGE(""https://docs.google.com/spreadsheets/d/1MeEWN-I1oV_STSDYn1IFDPWt_1FKiwhDph83XaGc0o0/edit?usp=sharing"",""งบพรบ!AQ68"")"),384460)</f>
        <v>384460</v>
      </c>
      <c r="M93" s="93">
        <f ca="1">IFERROR(__xludf.DUMMYFUNCTION("IMPORTRANGE(""https://docs.google.com/spreadsheets/d/1MeEWN-I1oV_STSDYn1IFDPWt_1FKiwhDph83XaGc0o0/edit?usp=sharing"",""งบพรบ!AV68"")"),162760)</f>
        <v>162760</v>
      </c>
      <c r="N93" s="93">
        <f ca="1">IFERROR(__xludf.DUMMYFUNCTION("IMPORTRANGE(""https://docs.google.com/spreadsheets/d/1MeEWN-I1oV_STSDYn1IFDPWt_1FKiwhDph83XaGc0o0/edit?usp=sharing"",""งบพรบ!AX68"")"),26158)</f>
        <v>26158</v>
      </c>
      <c r="O93" s="93">
        <f t="shared" ca="1" si="50"/>
        <v>6.8038287468137124</v>
      </c>
      <c r="P93" s="93">
        <f t="shared" ca="1" si="51"/>
        <v>16.071516343081839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1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6">
        <f t="shared" ref="L94:N94" ca="1" si="54">L95+L96</f>
        <v>0</v>
      </c>
      <c r="M94" s="496">
        <f t="shared" ca="1" si="54"/>
        <v>0</v>
      </c>
      <c r="N94" s="496">
        <f t="shared" ca="1" si="54"/>
        <v>0</v>
      </c>
      <c r="O94" s="496">
        <f t="shared" ca="1" si="50"/>
        <v>0</v>
      </c>
      <c r="P94" s="496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2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2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IFERROR(__xludf.DUMMYFUNCTION("IMPORTRANGE(""https://docs.google.com/spreadsheets/d/1MeEWN-I1oV_STSDYn1IFDPWt_1FKiwhDph83XaGc0o0/edit?usp=sharing"",""งบพรบ!AT68"")"),0)</f>
        <v>0</v>
      </c>
      <c r="M96" s="93">
        <f ca="1">IFERROR(__xludf.DUMMYFUNCTION("IMPORTRANGE(""https://docs.google.com/spreadsheets/d/1MeEWN-I1oV_STSDYn1IFDPWt_1FKiwhDph83XaGc0o0/edit?usp=sharing"",""งบพรบ!AW68"")"),0)</f>
        <v>0</v>
      </c>
      <c r="N96" s="93">
        <f ca="1">IFERROR(__xludf.DUMMYFUNCTION("IMPORTRANGE(""https://docs.google.com/spreadsheets/d/1MeEWN-I1oV_STSDYn1IFDPWt_1FKiwhDph83XaGc0o0/edit?usp=sharing"",""งบพรบ!AY68"")"),0)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23" t="s">
        <v>38</v>
      </c>
      <c r="E97" s="173"/>
      <c r="F97" s="173"/>
      <c r="G97" s="174"/>
      <c r="H97" s="753"/>
      <c r="I97" s="184"/>
      <c r="J97" s="269"/>
      <c r="K97" s="496"/>
      <c r="L97" s="496"/>
      <c r="M97" s="496"/>
      <c r="N97" s="496"/>
      <c r="O97" s="163"/>
      <c r="P97" s="163"/>
    </row>
    <row r="98" spans="1:16" ht="18.75">
      <c r="A98" s="170"/>
      <c r="B98" s="171"/>
      <c r="C98" s="171"/>
      <c r="D98" s="446" t="s">
        <v>47</v>
      </c>
      <c r="E98" s="446"/>
      <c r="F98" s="178"/>
      <c r="G98" s="179"/>
      <c r="H98" s="616" t="s">
        <v>46</v>
      </c>
      <c r="I98" s="269">
        <f ca="1">IFERROR(__xludf.DUMMYFUNCTION("IMPORTRANGE(""https://docs.google.com/spreadsheets/d/1QqKyyYR6Q21VydFLVH3TRQUabQu_ym0Zz7PgGX0-kHA/edit?usp=sharing"",""แผน!K68"")"),45)</f>
        <v>45</v>
      </c>
      <c r="J98" s="269">
        <f>J102</f>
        <v>0</v>
      </c>
      <c r="K98" s="496">
        <f t="shared" ref="K98:K100" ca="1" si="55">IF(I98&gt;0,J98*100/I98,0)</f>
        <v>0</v>
      </c>
      <c r="L98" s="496"/>
      <c r="M98" s="496"/>
      <c r="N98" s="496"/>
      <c r="O98" s="163"/>
      <c r="P98" s="163"/>
    </row>
    <row r="99" spans="1:16" ht="18.75">
      <c r="A99" s="170"/>
      <c r="B99" s="171"/>
      <c r="C99" s="171"/>
      <c r="D99" s="446" t="s">
        <v>48</v>
      </c>
      <c r="E99" s="446"/>
      <c r="F99" s="178"/>
      <c r="G99" s="179"/>
      <c r="H99" s="616" t="s">
        <v>35</v>
      </c>
      <c r="I99" s="269">
        <f ca="1">IFERROR(__xludf.DUMMYFUNCTION("IMPORTRANGE(""https://docs.google.com/spreadsheets/d/1QqKyyYR6Q21VydFLVH3TRQUabQu_ym0Zz7PgGX0-kHA/edit?usp=sharing"",""แผน!L68"")"),15)</f>
        <v>15</v>
      </c>
      <c r="J99" s="269">
        <f>J104</f>
        <v>0</v>
      </c>
      <c r="K99" s="496">
        <f t="shared" ca="1" si="55"/>
        <v>0</v>
      </c>
      <c r="L99" s="496"/>
      <c r="M99" s="496"/>
      <c r="N99" s="496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16" t="s">
        <v>49</v>
      </c>
      <c r="I100" s="269">
        <f ca="1">IFERROR(__xludf.DUMMYFUNCTION("IMPORTRANGE(""https://docs.google.com/spreadsheets/d/1QqKyyYR6Q21VydFLVH3TRQUabQu_ym0Zz7PgGX0-kHA/edit?usp=sharing"",""แผน!M68"")"),2)</f>
        <v>2</v>
      </c>
      <c r="J100" s="269">
        <f>J107+J110</f>
        <v>0</v>
      </c>
      <c r="K100" s="496">
        <f t="shared" ca="1" si="55"/>
        <v>0</v>
      </c>
      <c r="L100" s="496"/>
      <c r="M100" s="496"/>
      <c r="N100" s="496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16"/>
      <c r="I101" s="269"/>
      <c r="J101" s="269"/>
      <c r="K101" s="496"/>
      <c r="L101" s="496"/>
      <c r="M101" s="496"/>
      <c r="N101" s="496"/>
      <c r="O101" s="163"/>
      <c r="P101" s="163"/>
    </row>
    <row r="102" spans="1:16" ht="18.75">
      <c r="A102" s="170"/>
      <c r="B102" s="171"/>
      <c r="C102" s="171"/>
      <c r="D102" s="178"/>
      <c r="E102" s="619" t="s">
        <v>47</v>
      </c>
      <c r="F102" s="178"/>
      <c r="G102" s="179"/>
      <c r="H102" s="616" t="s">
        <v>46</v>
      </c>
      <c r="I102" s="269">
        <f ca="1">IFERROR(__xludf.DUMMYFUNCTION("IMPORTRANGE(""https://docs.google.com/spreadsheets/d/1QqKyyYR6Q21VydFLVH3TRQUabQu_ym0Zz7PgGX0-kHA/edit?usp=sharing"",""แผน!N68"")"),45)</f>
        <v>45</v>
      </c>
      <c r="J102" s="214">
        <v>0</v>
      </c>
      <c r="K102" s="496">
        <f t="shared" ref="K102:K104" ca="1" si="56">IF(I102&gt;0,J102*100/I102,0)</f>
        <v>0</v>
      </c>
      <c r="L102" s="496"/>
      <c r="M102" s="496"/>
      <c r="N102" s="496"/>
      <c r="O102" s="163"/>
      <c r="P102" s="163"/>
    </row>
    <row r="103" spans="1:16" ht="19.5">
      <c r="A103" s="170"/>
      <c r="B103" s="171"/>
      <c r="C103" s="171"/>
      <c r="D103" s="178"/>
      <c r="E103" s="446" t="s">
        <v>51</v>
      </c>
      <c r="F103" s="178"/>
      <c r="G103" s="179"/>
      <c r="H103" s="616" t="s">
        <v>35</v>
      </c>
      <c r="I103" s="269">
        <f ca="1">IFERROR(__xludf.DUMMYFUNCTION("IMPORTRANGE(""https://docs.google.com/spreadsheets/d/1QqKyyYR6Q21VydFLVH3TRQUabQu_ym0Zz7PgGX0-kHA/edit?usp=sharing"",""แผน!O68"")"),15)</f>
        <v>15</v>
      </c>
      <c r="J103" s="214">
        <v>0</v>
      </c>
      <c r="K103" s="496">
        <f t="shared" ca="1" si="56"/>
        <v>0</v>
      </c>
      <c r="L103" s="496"/>
      <c r="M103" s="496"/>
      <c r="N103" s="496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16" t="s">
        <v>35</v>
      </c>
      <c r="I104" s="269">
        <f ca="1">IFERROR(__xludf.DUMMYFUNCTION("IMPORTRANGE(""https://docs.google.com/spreadsheets/d/1QqKyyYR6Q21VydFLVH3TRQUabQu_ym0Zz7PgGX0-kHA/edit?usp=sharing"",""แผน!O68"")"),15)</f>
        <v>15</v>
      </c>
      <c r="J104" s="214">
        <v>0</v>
      </c>
      <c r="K104" s="496">
        <f t="shared" ca="1" si="56"/>
        <v>0</v>
      </c>
      <c r="L104" s="496"/>
      <c r="M104" s="496"/>
      <c r="N104" s="496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69"/>
      <c r="J105" s="269"/>
      <c r="K105" s="496"/>
      <c r="L105" s="496"/>
      <c r="M105" s="496"/>
      <c r="N105" s="496"/>
      <c r="O105" s="163"/>
      <c r="P105" s="163"/>
    </row>
    <row r="106" spans="1:16" ht="19.5">
      <c r="A106" s="170"/>
      <c r="B106" s="171"/>
      <c r="C106" s="171"/>
      <c r="D106" s="178"/>
      <c r="E106" s="446" t="s">
        <v>54</v>
      </c>
      <c r="F106" s="178"/>
      <c r="G106" s="179"/>
      <c r="H106" s="616" t="s">
        <v>49</v>
      </c>
      <c r="I106" s="269">
        <f ca="1">IFERROR(__xludf.DUMMYFUNCTION("IMPORTRANGE(""https://docs.google.com/spreadsheets/d/1QqKyyYR6Q21VydFLVH3TRQUabQu_ym0Zz7PgGX0-kHA/edit?usp=sharing"",""แผน!P68"")"),1)</f>
        <v>1</v>
      </c>
      <c r="J106" s="214">
        <v>0</v>
      </c>
      <c r="K106" s="496">
        <f t="shared" ref="K106:K107" ca="1" si="57">IF(I106&gt;0,J106*100/I106,0)</f>
        <v>0</v>
      </c>
      <c r="L106" s="496"/>
      <c r="M106" s="496"/>
      <c r="N106" s="496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16" t="s">
        <v>49</v>
      </c>
      <c r="I107" s="269">
        <f ca="1">IFERROR(__xludf.DUMMYFUNCTION("IMPORTRANGE(""https://docs.google.com/spreadsheets/d/1QqKyyYR6Q21VydFLVH3TRQUabQu_ym0Zz7PgGX0-kHA/edit?usp=sharing"",""แผน!P68"")"),1)</f>
        <v>1</v>
      </c>
      <c r="J107" s="214">
        <v>0</v>
      </c>
      <c r="K107" s="496">
        <f t="shared" ca="1" si="57"/>
        <v>0</v>
      </c>
      <c r="L107" s="496"/>
      <c r="M107" s="496"/>
      <c r="N107" s="496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69"/>
      <c r="J108" s="269"/>
      <c r="K108" s="496"/>
      <c r="L108" s="496"/>
      <c r="M108" s="496"/>
      <c r="N108" s="496"/>
      <c r="O108" s="163"/>
      <c r="P108" s="163"/>
    </row>
    <row r="109" spans="1:16" ht="19.5">
      <c r="A109" s="170"/>
      <c r="B109" s="171"/>
      <c r="C109" s="171"/>
      <c r="D109" s="178"/>
      <c r="E109" s="446" t="s">
        <v>57</v>
      </c>
      <c r="F109" s="178"/>
      <c r="G109" s="179"/>
      <c r="H109" s="616" t="s">
        <v>49</v>
      </c>
      <c r="I109" s="269">
        <f ca="1">IFERROR(__xludf.DUMMYFUNCTION("IMPORTRANGE(""https://docs.google.com/spreadsheets/d/1QqKyyYR6Q21VydFLVH3TRQUabQu_ym0Zz7PgGX0-kHA/edit?usp=sharing"",""แผน!Q68"")"),1)</f>
        <v>1</v>
      </c>
      <c r="J109" s="214">
        <v>0</v>
      </c>
      <c r="K109" s="496">
        <f t="shared" ref="K109:K116" ca="1" si="58">IF(I109&gt;0,J109*100/I109,0)</f>
        <v>0</v>
      </c>
      <c r="L109" s="496"/>
      <c r="M109" s="496"/>
      <c r="N109" s="496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16" t="s">
        <v>49</v>
      </c>
      <c r="I110" s="269">
        <f ca="1">IFERROR(__xludf.DUMMYFUNCTION("IMPORTRANGE(""https://docs.google.com/spreadsheets/d/1QqKyyYR6Q21VydFLVH3TRQUabQu_ym0Zz7PgGX0-kHA/edit?usp=sharing"",""แผน!Q68"")"),1)</f>
        <v>1</v>
      </c>
      <c r="J110" s="214">
        <v>0</v>
      </c>
      <c r="K110" s="496">
        <f t="shared" ca="1" si="58"/>
        <v>0</v>
      </c>
      <c r="L110" s="496"/>
      <c r="M110" s="496"/>
      <c r="N110" s="496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58" t="s">
        <v>35</v>
      </c>
      <c r="I111" s="193">
        <f ca="1">IFERROR(__xludf.DUMMYFUNCTION("IMPORTRANGE(""https://docs.google.com/spreadsheets/d/1QqKyyYR6Q21VydFLVH3TRQUabQu_ym0Zz7PgGX0-kHA/edit?usp=sharing"",""แผน!R68"")"),15)</f>
        <v>15</v>
      </c>
      <c r="J111" s="674">
        <f>J114</f>
        <v>0</v>
      </c>
      <c r="K111" s="195">
        <f t="shared" ca="1" si="58"/>
        <v>0</v>
      </c>
      <c r="L111" s="496"/>
      <c r="M111" s="496"/>
      <c r="N111" s="496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2</v>
      </c>
      <c r="J112" s="674">
        <f t="shared" si="59"/>
        <v>0</v>
      </c>
      <c r="K112" s="195">
        <f t="shared" ca="1" si="58"/>
        <v>0</v>
      </c>
      <c r="L112" s="496"/>
      <c r="M112" s="496"/>
      <c r="N112" s="496"/>
      <c r="O112" s="163"/>
      <c r="P112" s="163"/>
    </row>
    <row r="113" spans="1:26" ht="19.5">
      <c r="A113" s="170"/>
      <c r="B113" s="171"/>
      <c r="C113" s="171"/>
      <c r="D113" s="171"/>
      <c r="E113" s="525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IFERROR(__xludf.DUMMYFUNCTION("IMPORTRANGE(""https://docs.google.com/spreadsheets/d/1QqKyyYR6Q21VydFLVH3TRQUabQu_ym0Zz7PgGX0-kHA/edit?usp=sharing"",""แผน!R68"")"),15)</f>
        <v>15</v>
      </c>
      <c r="J113" s="214">
        <v>0</v>
      </c>
      <c r="K113" s="496">
        <f t="shared" ca="1" si="58"/>
        <v>0</v>
      </c>
      <c r="L113" s="496"/>
      <c r="M113" s="496"/>
      <c r="N113" s="496"/>
      <c r="O113" s="163"/>
      <c r="P113" s="163"/>
    </row>
    <row r="114" spans="1:26" ht="19.5">
      <c r="A114" s="170"/>
      <c r="B114" s="171"/>
      <c r="C114" s="171"/>
      <c r="D114" s="171"/>
      <c r="E114" s="446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IFERROR(__xludf.DUMMYFUNCTION("IMPORTRANGE(""https://docs.google.com/spreadsheets/d/1QqKyyYR6Q21VydFLVH3TRQUabQu_ym0Zz7PgGX0-kHA/edit?usp=sharing"",""แผน!R68"")"),15)</f>
        <v>15</v>
      </c>
      <c r="J114" s="214">
        <v>0</v>
      </c>
      <c r="K114" s="496">
        <f t="shared" ca="1" si="58"/>
        <v>0</v>
      </c>
      <c r="L114" s="496"/>
      <c r="M114" s="496"/>
      <c r="N114" s="496"/>
      <c r="O114" s="163"/>
      <c r="P114" s="163"/>
    </row>
    <row r="115" spans="1:26" ht="18.75">
      <c r="A115" s="170"/>
      <c r="B115" s="171"/>
      <c r="C115" s="171"/>
      <c r="D115" s="171"/>
      <c r="E115" s="446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IFERROR(__xludf.DUMMYFUNCTION("IMPORTRANGE(""https://docs.google.com/spreadsheets/d/1QqKyyYR6Q21VydFLVH3TRQUabQu_ym0Zz7PgGX0-kHA/edit?usp=sharing"",""แผน!S68"")"),1)</f>
        <v>1</v>
      </c>
      <c r="J115" s="214">
        <v>0</v>
      </c>
      <c r="K115" s="496">
        <f t="shared" ca="1" si="58"/>
        <v>0</v>
      </c>
      <c r="L115" s="496"/>
      <c r="M115" s="496"/>
      <c r="N115" s="496"/>
      <c r="O115" s="163"/>
      <c r="P115" s="163"/>
    </row>
    <row r="116" spans="1:26" ht="18.75">
      <c r="A116" s="170"/>
      <c r="B116" s="171"/>
      <c r="C116" s="171"/>
      <c r="D116" s="171"/>
      <c r="E116" s="446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IFERROR(__xludf.DUMMYFUNCTION("IMPORTRANGE(""https://docs.google.com/spreadsheets/d/1QqKyyYR6Q21VydFLVH3TRQUabQu_ym0Zz7PgGX0-kHA/edit?usp=sharing"",""แผน!T68"")"),1)</f>
        <v>1</v>
      </c>
      <c r="J116" s="214">
        <v>0</v>
      </c>
      <c r="K116" s="496">
        <f t="shared" ca="1" si="58"/>
        <v>0</v>
      </c>
      <c r="L116" s="496"/>
      <c r="M116" s="496"/>
      <c r="N116" s="496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8" t="s">
        <v>65</v>
      </c>
      <c r="C118" s="204"/>
      <c r="D118" s="141"/>
      <c r="E118" s="140"/>
      <c r="F118" s="140"/>
      <c r="G118" s="142"/>
      <c r="H118" s="143"/>
      <c r="I118" s="205"/>
      <c r="J118" s="205"/>
      <c r="K118" s="146"/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22" t="s">
        <v>17</v>
      </c>
      <c r="E119" s="148"/>
      <c r="F119" s="148"/>
      <c r="G119" s="151"/>
      <c r="H119" s="152" t="s">
        <v>12</v>
      </c>
      <c r="I119" s="419"/>
      <c r="J119" s="419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2" t="s">
        <v>18</v>
      </c>
      <c r="F120" s="40"/>
      <c r="G120" s="157"/>
      <c r="H120" s="158" t="s">
        <v>12</v>
      </c>
      <c r="I120" s="610"/>
      <c r="J120" s="610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2" t="s">
        <v>19</v>
      </c>
      <c r="F121" s="40"/>
      <c r="G121" s="157"/>
      <c r="H121" s="158" t="s">
        <v>12</v>
      </c>
      <c r="I121" s="610"/>
      <c r="J121" s="610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1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6">
        <f t="shared" ref="L122:N122" ca="1" si="64">L123+L124</f>
        <v>0</v>
      </c>
      <c r="M122" s="496">
        <f t="shared" ca="1" si="64"/>
        <v>0</v>
      </c>
      <c r="N122" s="496">
        <f t="shared" ca="1" si="64"/>
        <v>0</v>
      </c>
      <c r="O122" s="496">
        <f t="shared" ca="1" si="61"/>
        <v>0</v>
      </c>
      <c r="P122" s="496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2"/>
      <c r="D123" s="40"/>
      <c r="E123" s="222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2"/>
      <c r="D124" s="40"/>
      <c r="E124" s="222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IFERROR(__xludf.DUMMYFUNCTION("IMPORTRANGE(""https://docs.google.com/spreadsheets/d/1MeEWN-I1oV_STSDYn1IFDPWt_1FKiwhDph83XaGc0o0/edit?usp=sharing"",""งบพรบ!BA68"")"),0)</f>
        <v>0</v>
      </c>
      <c r="M124" s="93">
        <f ca="1">IFERROR(__xludf.DUMMYFUNCTION("IMPORTRANGE(""https://docs.google.com/spreadsheets/d/1MeEWN-I1oV_STSDYn1IFDPWt_1FKiwhDph83XaGc0o0/edit?usp=sharing"",""งบพรบ!BF68"")"),0)</f>
        <v>0</v>
      </c>
      <c r="N124" s="93">
        <f ca="1">IFERROR(__xludf.DUMMYFUNCTION("IMPORTRANGE(""https://docs.google.com/spreadsheets/d/1MeEWN-I1oV_STSDYn1IFDPWt_1FKiwhDph83XaGc0o0/edit?usp=sharing"",""งบพรบ!BH68"")"),0)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1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6">
        <f t="shared" ref="L125:N125" ca="1" si="65">L126+L127</f>
        <v>0</v>
      </c>
      <c r="M125" s="496">
        <f t="shared" ca="1" si="65"/>
        <v>0</v>
      </c>
      <c r="N125" s="496">
        <f t="shared" ca="1" si="65"/>
        <v>0</v>
      </c>
      <c r="O125" s="496">
        <f t="shared" ca="1" si="61"/>
        <v>0</v>
      </c>
      <c r="P125" s="496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2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2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IFERROR(__xludf.DUMMYFUNCTION("IMPORTRANGE(""https://docs.google.com/spreadsheets/d/1MeEWN-I1oV_STSDYn1IFDPWt_1FKiwhDph83XaGc0o0/edit?usp=sharing"",""งบพรบ!BD68"")"),0)</f>
        <v>0</v>
      </c>
      <c r="M127" s="93">
        <f ca="1">IFERROR(__xludf.DUMMYFUNCTION("IMPORTRANGE(""https://docs.google.com/spreadsheets/d/1MeEWN-I1oV_STSDYn1IFDPWt_1FKiwhDph83XaGc0o0/edit?usp=sharing"",""งบพรบ!BG68"")"),0)</f>
        <v>0</v>
      </c>
      <c r="N127" s="93">
        <f ca="1">IFERROR(__xludf.DUMMYFUNCTION("IMPORTRANGE(""https://docs.google.com/spreadsheets/d/1MeEWN-I1oV_STSDYn1IFDPWt_1FKiwhDph83XaGc0o0/edit?usp=sharing"",""งบพรบ!BI68"")"),0)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66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8" t="s">
        <v>67</v>
      </c>
      <c r="C129" s="204"/>
      <c r="D129" s="141"/>
      <c r="E129" s="140"/>
      <c r="F129" s="140"/>
      <c r="G129" s="140"/>
      <c r="H129" s="207"/>
      <c r="I129" s="205"/>
      <c r="J129" s="205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8"/>
      <c r="C130" s="209" t="s">
        <v>68</v>
      </c>
      <c r="D130" s="141"/>
      <c r="E130" s="140"/>
      <c r="F130" s="140"/>
      <c r="G130" s="142"/>
      <c r="H130" s="143" t="s">
        <v>69</v>
      </c>
      <c r="I130" s="144">
        <f t="shared" ref="I130:J130" ca="1" si="66">I146</f>
        <v>0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8"/>
      <c r="C131" s="209" t="s">
        <v>70</v>
      </c>
      <c r="D131" s="141"/>
      <c r="E131" s="140"/>
      <c r="F131" s="140"/>
      <c r="G131" s="142"/>
      <c r="H131" s="143" t="s">
        <v>35</v>
      </c>
      <c r="I131" s="144">
        <f t="shared" ref="I131:J131" ca="1" si="68">I143</f>
        <v>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822" t="s">
        <v>17</v>
      </c>
      <c r="E132" s="148"/>
      <c r="F132" s="148"/>
      <c r="G132" s="151"/>
      <c r="H132" s="152" t="s">
        <v>12</v>
      </c>
      <c r="I132" s="419"/>
      <c r="J132" s="419"/>
      <c r="K132" s="154"/>
      <c r="L132" s="155">
        <f t="shared" ref="L132:N132" ca="1" si="69">L133+L134</f>
        <v>0</v>
      </c>
      <c r="M132" s="155">
        <f t="shared" ca="1" si="69"/>
        <v>0</v>
      </c>
      <c r="N132" s="155">
        <f t="shared" ca="1" si="69"/>
        <v>0</v>
      </c>
      <c r="O132" s="155">
        <f t="shared" ref="O132:O140" ca="1" si="70">IF(L132&gt;0,N132*100/L132,0)</f>
        <v>0</v>
      </c>
      <c r="P132" s="155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2" t="s">
        <v>18</v>
      </c>
      <c r="F133" s="40"/>
      <c r="G133" s="157"/>
      <c r="H133" s="158" t="s">
        <v>12</v>
      </c>
      <c r="I133" s="610"/>
      <c r="J133" s="610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2" t="s">
        <v>19</v>
      </c>
      <c r="F134" s="40"/>
      <c r="G134" s="157"/>
      <c r="H134" s="158" t="s">
        <v>12</v>
      </c>
      <c r="I134" s="610"/>
      <c r="J134" s="610"/>
      <c r="K134" s="93"/>
      <c r="L134" s="93">
        <f t="shared" ca="1" si="72"/>
        <v>0</v>
      </c>
      <c r="M134" s="93">
        <f t="shared" ca="1" si="72"/>
        <v>0</v>
      </c>
      <c r="N134" s="93">
        <f t="shared" ca="1" si="72"/>
        <v>0</v>
      </c>
      <c r="O134" s="93">
        <f t="shared" ca="1" si="70"/>
        <v>0</v>
      </c>
      <c r="P134" s="93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1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6">
        <f t="shared" ref="L135:N135" ca="1" si="73">L136+L137</f>
        <v>0</v>
      </c>
      <c r="M135" s="496">
        <f t="shared" ca="1" si="73"/>
        <v>0</v>
      </c>
      <c r="N135" s="496">
        <f t="shared" ca="1" si="73"/>
        <v>0</v>
      </c>
      <c r="O135" s="496">
        <f t="shared" ca="1" si="70"/>
        <v>0</v>
      </c>
      <c r="P135" s="496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2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2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IFERROR(__xludf.DUMMYFUNCTION("IMPORTRANGE(""https://docs.google.com/spreadsheets/d/1MeEWN-I1oV_STSDYn1IFDPWt_1FKiwhDph83XaGc0o0/edit?usp=sharing"",""งบพรบ!BK68"")"),0)</f>
        <v>0</v>
      </c>
      <c r="M137" s="93">
        <f ca="1">IFERROR(__xludf.DUMMYFUNCTION("IMPORTRANGE(""https://docs.google.com/spreadsheets/d/1MeEWN-I1oV_STSDYn1IFDPWt_1FKiwhDph83XaGc0o0/edit?usp=sharing"",""งบพรบ!BP68"")"),0)</f>
        <v>0</v>
      </c>
      <c r="N137" s="93">
        <f ca="1">IFERROR(__xludf.DUMMYFUNCTION("IMPORTRANGE(""https://docs.google.com/spreadsheets/d/1MeEWN-I1oV_STSDYn1IFDPWt_1FKiwhDph83XaGc0o0/edit?usp=sharing"",""งบพรบ!BR68"")"),0)</f>
        <v>0</v>
      </c>
      <c r="O137" s="93">
        <f t="shared" ca="1" si="70"/>
        <v>0</v>
      </c>
      <c r="P137" s="93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1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6">
        <f t="shared" ref="L138:N138" ca="1" si="74">L139+L140</f>
        <v>0</v>
      </c>
      <c r="M138" s="496">
        <f t="shared" ca="1" si="74"/>
        <v>0</v>
      </c>
      <c r="N138" s="496">
        <f t="shared" ca="1" si="74"/>
        <v>0</v>
      </c>
      <c r="O138" s="496">
        <f t="shared" ca="1" si="70"/>
        <v>0</v>
      </c>
      <c r="P138" s="496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2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2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IFERROR(__xludf.DUMMYFUNCTION("IMPORTRANGE(""https://docs.google.com/spreadsheets/d/1MeEWN-I1oV_STSDYn1IFDPWt_1FKiwhDph83XaGc0o0/edit?usp=sharing"",""งบพรบ!BN68"")"),0)</f>
        <v>0</v>
      </c>
      <c r="M140" s="93">
        <f ca="1">IFERROR(__xludf.DUMMYFUNCTION("IMPORTRANGE(""https://docs.google.com/spreadsheets/d/1MeEWN-I1oV_STSDYn1IFDPWt_1FKiwhDph83XaGc0o0/edit?usp=sharing"",""งบพรบ!BQ68"")"),0)</f>
        <v>0</v>
      </c>
      <c r="N140" s="93">
        <f ca="1">IFERROR(__xludf.DUMMYFUNCTION("IMPORTRANGE(""https://docs.google.com/spreadsheets/d/1MeEWN-I1oV_STSDYn1IFDPWt_1FKiwhDph83XaGc0o0/edit?usp=sharing"",""งบพรบ!BS68"")"),0)</f>
        <v>0</v>
      </c>
      <c r="O140" s="93">
        <f t="shared" ca="1" si="70"/>
        <v>0</v>
      </c>
      <c r="P140" s="93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823" t="s">
        <v>38</v>
      </c>
      <c r="E141" s="173"/>
      <c r="F141" s="173"/>
      <c r="G141" s="174"/>
      <c r="H141" s="168"/>
      <c r="I141" s="269"/>
      <c r="J141" s="269"/>
      <c r="K141" s="496"/>
      <c r="L141" s="496"/>
      <c r="M141" s="496"/>
      <c r="N141" s="496"/>
      <c r="O141" s="496"/>
      <c r="P141" s="496"/>
    </row>
    <row r="142" spans="1:26" ht="19.5" hidden="1">
      <c r="A142" s="159"/>
      <c r="B142" s="33"/>
      <c r="C142" s="210"/>
      <c r="D142" s="281" t="s">
        <v>71</v>
      </c>
      <c r="E142" s="34"/>
      <c r="F142" s="33"/>
      <c r="G142" s="213"/>
      <c r="H142" s="168"/>
      <c r="I142" s="269"/>
      <c r="J142" s="214">
        <v>0</v>
      </c>
      <c r="K142" s="496"/>
      <c r="L142" s="496"/>
      <c r="M142" s="496"/>
      <c r="N142" s="496"/>
      <c r="O142" s="496"/>
      <c r="P142" s="496"/>
    </row>
    <row r="143" spans="1:26" ht="19.5" hidden="1">
      <c r="A143" s="159"/>
      <c r="B143" s="33"/>
      <c r="C143" s="210"/>
      <c r="D143" s="281" t="s">
        <v>72</v>
      </c>
      <c r="E143" s="34"/>
      <c r="F143" s="33"/>
      <c r="G143" s="213"/>
      <c r="H143" s="168" t="s">
        <v>35</v>
      </c>
      <c r="I143" s="269">
        <f ca="1">I145</f>
        <v>0</v>
      </c>
      <c r="J143" s="269">
        <f ca="1">IF(AND(J144&gt;=I144,J145&gt;=I145),J145,0)</f>
        <v>0</v>
      </c>
      <c r="K143" s="496">
        <f t="shared" ref="K143:K146" ca="1" si="75">IF(I143&gt;0,J143*100/I143,0)</f>
        <v>0</v>
      </c>
      <c r="L143" s="496"/>
      <c r="M143" s="496"/>
      <c r="N143" s="496"/>
      <c r="O143" s="496"/>
      <c r="P143" s="496"/>
    </row>
    <row r="144" spans="1:26" ht="19.5" hidden="1">
      <c r="A144" s="159"/>
      <c r="B144" s="33"/>
      <c r="C144" s="210"/>
      <c r="D144" s="178"/>
      <c r="E144" s="281" t="s">
        <v>73</v>
      </c>
      <c r="F144" s="33"/>
      <c r="G144" s="213"/>
      <c r="H144" s="168" t="s">
        <v>35</v>
      </c>
      <c r="I144" s="269">
        <f ca="1">IFERROR(__xludf.DUMMYFUNCTION("IMPORTRANGE(""https://docs.google.com/spreadsheets/d/1QqKyyYR6Q21VydFLVH3TRQUabQu_ym0Zz7PgGX0-kHA/edit?usp=sharing"",""แผน!U68"")"),0)</f>
        <v>0</v>
      </c>
      <c r="J144" s="214">
        <v>0</v>
      </c>
      <c r="K144" s="496">
        <f t="shared" ca="1" si="75"/>
        <v>0</v>
      </c>
      <c r="L144" s="496"/>
      <c r="M144" s="496"/>
      <c r="N144" s="496"/>
      <c r="O144" s="496"/>
      <c r="P144" s="496"/>
    </row>
    <row r="145" spans="1:26" ht="19.5" hidden="1">
      <c r="A145" s="159"/>
      <c r="B145" s="33"/>
      <c r="C145" s="210"/>
      <c r="D145" s="178"/>
      <c r="E145" s="281" t="s">
        <v>74</v>
      </c>
      <c r="F145" s="33"/>
      <c r="G145" s="213"/>
      <c r="H145" s="168" t="s">
        <v>35</v>
      </c>
      <c r="I145" s="269">
        <f ca="1">IFERROR(__xludf.DUMMYFUNCTION("IMPORTRANGE(""https://docs.google.com/spreadsheets/d/1QqKyyYR6Q21VydFLVH3TRQUabQu_ym0Zz7PgGX0-kHA/edit?usp=sharing"",""แผน!V68"")"),0)</f>
        <v>0</v>
      </c>
      <c r="J145" s="214">
        <v>0</v>
      </c>
      <c r="K145" s="496">
        <f t="shared" ca="1" si="75"/>
        <v>0</v>
      </c>
      <c r="L145" s="496"/>
      <c r="M145" s="496"/>
      <c r="N145" s="496"/>
      <c r="O145" s="496"/>
      <c r="P145" s="496"/>
    </row>
    <row r="146" spans="1:26" ht="19.5" hidden="1">
      <c r="A146" s="159"/>
      <c r="B146" s="33"/>
      <c r="C146" s="210"/>
      <c r="D146" s="281" t="s">
        <v>75</v>
      </c>
      <c r="E146" s="34"/>
      <c r="F146" s="33"/>
      <c r="G146" s="213"/>
      <c r="H146" s="168" t="s">
        <v>69</v>
      </c>
      <c r="I146" s="269">
        <f ca="1">IFERROR(__xludf.DUMMYFUNCTION("IMPORTRANGE(""https://docs.google.com/spreadsheets/d/1QqKyyYR6Q21VydFLVH3TRQUabQu_ym0Zz7PgGX0-kHA/edit?usp=sharing"",""แผน!W68"")"),0)</f>
        <v>0</v>
      </c>
      <c r="J146" s="214">
        <v>0</v>
      </c>
      <c r="K146" s="496">
        <f t="shared" ca="1" si="75"/>
        <v>0</v>
      </c>
      <c r="L146" s="496"/>
      <c r="M146" s="496"/>
      <c r="N146" s="496"/>
      <c r="O146" s="496"/>
      <c r="P146" s="496"/>
    </row>
    <row r="147" spans="1:26" ht="19.5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>
      <c r="A148" s="216"/>
      <c r="B148" s="208" t="s">
        <v>77</v>
      </c>
      <c r="C148" s="208"/>
      <c r="D148" s="208"/>
      <c r="E148" s="824"/>
      <c r="F148" s="218"/>
      <c r="G148" s="219"/>
      <c r="H148" s="220" t="s">
        <v>35</v>
      </c>
      <c r="I148" s="144">
        <f t="shared" ref="I148:J148" ca="1" si="76">I159</f>
        <v>10</v>
      </c>
      <c r="J148" s="144">
        <f t="shared" si="76"/>
        <v>10</v>
      </c>
      <c r="K148" s="145">
        <f ca="1">IF(I148&gt;0,J148*100/I148,0)</f>
        <v>100</v>
      </c>
      <c r="L148" s="145"/>
      <c r="M148" s="145"/>
      <c r="N148" s="145"/>
      <c r="O148" s="145"/>
      <c r="P148" s="145"/>
      <c r="Q148" s="221"/>
      <c r="R148" s="221"/>
      <c r="S148" s="221"/>
      <c r="T148" s="221"/>
      <c r="U148" s="221"/>
      <c r="V148" s="221"/>
      <c r="W148" s="221"/>
      <c r="X148" s="221"/>
      <c r="Y148" s="221"/>
      <c r="Z148" s="221"/>
    </row>
    <row r="149" spans="1:26" ht="19.5">
      <c r="A149" s="147"/>
      <c r="B149" s="148"/>
      <c r="C149" s="149" t="s">
        <v>16</v>
      </c>
      <c r="D149" s="822" t="s">
        <v>17</v>
      </c>
      <c r="E149" s="148"/>
      <c r="F149" s="148"/>
      <c r="G149" s="151"/>
      <c r="H149" s="152" t="s">
        <v>12</v>
      </c>
      <c r="I149" s="419"/>
      <c r="J149" s="419"/>
      <c r="K149" s="154"/>
      <c r="L149" s="155">
        <f t="shared" ref="L149:N149" ca="1" si="77">L150+L151</f>
        <v>5000</v>
      </c>
      <c r="M149" s="155">
        <f t="shared" ca="1" si="77"/>
        <v>5000</v>
      </c>
      <c r="N149" s="155">
        <f t="shared" ca="1" si="77"/>
        <v>3900</v>
      </c>
      <c r="O149" s="155">
        <f t="shared" ref="O149:O157" ca="1" si="78">IF(L149&gt;0,N149*100/L149,0)</f>
        <v>78</v>
      </c>
      <c r="P149" s="155">
        <f t="shared" ref="P149:P157" ca="1" si="79">IF(M149&gt;0,N149*100/M149,0)</f>
        <v>78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2" t="s">
        <v>18</v>
      </c>
      <c r="F150" s="40"/>
      <c r="G150" s="157"/>
      <c r="H150" s="158" t="s">
        <v>12</v>
      </c>
      <c r="I150" s="610"/>
      <c r="J150" s="610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2" t="s">
        <v>19</v>
      </c>
      <c r="F151" s="40"/>
      <c r="G151" s="157"/>
      <c r="H151" s="158" t="s">
        <v>12</v>
      </c>
      <c r="I151" s="610"/>
      <c r="J151" s="610"/>
      <c r="K151" s="93"/>
      <c r="L151" s="93">
        <f t="shared" ca="1" si="80"/>
        <v>5000</v>
      </c>
      <c r="M151" s="93">
        <f t="shared" ca="1" si="80"/>
        <v>5000</v>
      </c>
      <c r="N151" s="93">
        <f t="shared" ca="1" si="80"/>
        <v>3900</v>
      </c>
      <c r="O151" s="93">
        <f t="shared" ca="1" si="78"/>
        <v>78</v>
      </c>
      <c r="P151" s="93">
        <f t="shared" ca="1" si="79"/>
        <v>78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>
      <c r="A152" s="159"/>
      <c r="B152" s="33"/>
      <c r="C152" s="281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6">
        <f t="shared" ref="L152:N152" ca="1" si="81">L153+L154</f>
        <v>5000</v>
      </c>
      <c r="M152" s="496">
        <f t="shared" ca="1" si="81"/>
        <v>5000</v>
      </c>
      <c r="N152" s="496">
        <f t="shared" ca="1" si="81"/>
        <v>3900</v>
      </c>
      <c r="O152" s="496">
        <f t="shared" ca="1" si="78"/>
        <v>78</v>
      </c>
      <c r="P152" s="496">
        <f t="shared" ca="1" si="79"/>
        <v>78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2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2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IFERROR(__xludf.DUMMYFUNCTION("IMPORTRANGE(""https://docs.google.com/spreadsheets/d/1MeEWN-I1oV_STSDYn1IFDPWt_1FKiwhDph83XaGc0o0/edit?usp=sharing"",""งบพรบ!BU68"")"),5000)</f>
        <v>5000</v>
      </c>
      <c r="M154" s="93">
        <f ca="1">IFERROR(__xludf.DUMMYFUNCTION("IMPORTRANGE(""https://docs.google.com/spreadsheets/d/1MeEWN-I1oV_STSDYn1IFDPWt_1FKiwhDph83XaGc0o0/edit?usp=sharing"",""งบพรบ!BZ68"")"),5000)</f>
        <v>5000</v>
      </c>
      <c r="N154" s="93">
        <f ca="1">IFERROR(__xludf.DUMMYFUNCTION("IMPORTRANGE(""https://docs.google.com/spreadsheets/d/1MeEWN-I1oV_STSDYn1IFDPWt_1FKiwhDph83XaGc0o0/edit?usp=sharing"",""งบพรบ!CB68"")"),3900)</f>
        <v>3900</v>
      </c>
      <c r="O154" s="93">
        <f t="shared" ca="1" si="78"/>
        <v>78</v>
      </c>
      <c r="P154" s="93">
        <f t="shared" ca="1" si="79"/>
        <v>78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>
      <c r="A155" s="159"/>
      <c r="B155" s="33"/>
      <c r="C155" s="281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6">
        <f t="shared" ref="L155:N155" ca="1" si="82">L156+L157</f>
        <v>0</v>
      </c>
      <c r="M155" s="496">
        <f t="shared" ca="1" si="82"/>
        <v>0</v>
      </c>
      <c r="N155" s="496">
        <f t="shared" ca="1" si="82"/>
        <v>0</v>
      </c>
      <c r="O155" s="496">
        <f t="shared" ca="1" si="78"/>
        <v>0</v>
      </c>
      <c r="P155" s="496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2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2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IFERROR(__xludf.DUMMYFUNCTION("IMPORTRANGE(""https://docs.google.com/spreadsheets/d/1MeEWN-I1oV_STSDYn1IFDPWt_1FKiwhDph83XaGc0o0/edit?usp=sharing"",""งบพรบ!BX68"")"),0)</f>
        <v>0</v>
      </c>
      <c r="M157" s="93">
        <f ca="1">IFERROR(__xludf.DUMMYFUNCTION("IMPORTRANGE(""https://docs.google.com/spreadsheets/d/1MeEWN-I1oV_STSDYn1IFDPWt_1FKiwhDph83XaGc0o0/edit?usp=sharing"",""งบพรบ!CA68"")"),0)</f>
        <v>0</v>
      </c>
      <c r="N157" s="93">
        <f ca="1">IFERROR(__xludf.DUMMYFUNCTION("IMPORTRANGE(""https://docs.google.com/spreadsheets/d/1MeEWN-I1oV_STSDYn1IFDPWt_1FKiwhDph83XaGc0o0/edit?usp=sharing"",""งบพรบ!CC68"")"),0)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>
      <c r="A158" s="170"/>
      <c r="B158" s="171"/>
      <c r="C158" s="164" t="s">
        <v>16</v>
      </c>
      <c r="D158" s="823" t="s">
        <v>38</v>
      </c>
      <c r="E158" s="173"/>
      <c r="F158" s="173"/>
      <c r="G158" s="174"/>
      <c r="H158" s="168"/>
      <c r="I158" s="269"/>
      <c r="J158" s="269"/>
      <c r="K158" s="496"/>
      <c r="L158" s="496"/>
      <c r="M158" s="496"/>
      <c r="N158" s="496"/>
      <c r="O158" s="496"/>
      <c r="P158" s="496"/>
    </row>
    <row r="159" spans="1:26" ht="19.5">
      <c r="A159" s="159"/>
      <c r="B159" s="33"/>
      <c r="C159" s="210"/>
      <c r="D159" s="281" t="s">
        <v>78</v>
      </c>
      <c r="E159" s="34"/>
      <c r="F159" s="33"/>
      <c r="G159" s="213"/>
      <c r="H159" s="168" t="s">
        <v>35</v>
      </c>
      <c r="I159" s="269">
        <f ca="1">IFERROR(__xludf.DUMMYFUNCTION("IMPORTRANGE(""https://docs.google.com/spreadsheets/d/1QqKyyYR6Q21VydFLVH3TRQUabQu_ym0Zz7PgGX0-kHA/edit?usp=sharing"",""แผน!X68"")"),10)</f>
        <v>10</v>
      </c>
      <c r="J159" s="214">
        <v>10</v>
      </c>
      <c r="K159" s="496">
        <f ca="1">IF(I159&gt;0,J159*100/I159,0)</f>
        <v>100</v>
      </c>
      <c r="L159" s="496"/>
      <c r="M159" s="496"/>
      <c r="N159" s="496"/>
      <c r="O159" s="496"/>
      <c r="P159" s="496"/>
    </row>
    <row r="160" spans="1:26" ht="19.5" hidden="1">
      <c r="A160" s="156"/>
      <c r="B160" s="40"/>
      <c r="C160" s="164"/>
      <c r="D160" s="222" t="s">
        <v>79</v>
      </c>
      <c r="E160" s="223"/>
      <c r="F160" s="40"/>
      <c r="G160" s="157"/>
      <c r="H160" s="169" t="s">
        <v>35</v>
      </c>
      <c r="I160" s="610"/>
      <c r="J160" s="610"/>
      <c r="K160" s="93"/>
      <c r="L160" s="93"/>
      <c r="M160" s="93"/>
      <c r="N160" s="93"/>
      <c r="O160" s="93"/>
      <c r="P160" s="93"/>
      <c r="Q160" s="224"/>
      <c r="R160" s="224"/>
      <c r="S160" s="224"/>
      <c r="T160" s="224"/>
      <c r="U160" s="224"/>
      <c r="V160" s="224"/>
      <c r="W160" s="224"/>
      <c r="X160" s="224"/>
      <c r="Y160" s="224"/>
      <c r="Z160" s="224"/>
    </row>
    <row r="161" spans="1:26" ht="19.5" hidden="1">
      <c r="A161" s="225"/>
      <c r="B161" s="226"/>
      <c r="C161" s="227"/>
      <c r="D161" s="228" t="s">
        <v>80</v>
      </c>
      <c r="E161" s="825"/>
      <c r="F161" s="226"/>
      <c r="G161" s="230"/>
      <c r="H161" s="231" t="s">
        <v>35</v>
      </c>
      <c r="I161" s="232"/>
      <c r="J161" s="232"/>
      <c r="K161" s="233"/>
      <c r="L161" s="233"/>
      <c r="M161" s="233"/>
      <c r="N161" s="233"/>
      <c r="O161" s="233"/>
      <c r="P161" s="233"/>
      <c r="Q161" s="224"/>
      <c r="R161" s="224"/>
      <c r="S161" s="224"/>
      <c r="T161" s="224"/>
      <c r="U161" s="224"/>
      <c r="V161" s="224"/>
      <c r="W161" s="224"/>
      <c r="X161" s="224"/>
      <c r="Y161" s="224"/>
      <c r="Z161" s="224"/>
    </row>
    <row r="162" spans="1:26" ht="19.5">
      <c r="A162" s="234" t="s">
        <v>81</v>
      </c>
      <c r="B162" s="235"/>
      <c r="C162" s="235"/>
      <c r="D162" s="235"/>
      <c r="E162" s="236"/>
      <c r="F162" s="236"/>
      <c r="G162" s="237"/>
      <c r="H162" s="238"/>
      <c r="I162" s="239"/>
      <c r="J162" s="239"/>
      <c r="K162" s="240"/>
      <c r="L162" s="240"/>
      <c r="M162" s="240"/>
      <c r="N162" s="240"/>
      <c r="O162" s="240"/>
      <c r="P162" s="240"/>
    </row>
    <row r="163" spans="1:26" ht="19.5">
      <c r="A163" s="241" t="s">
        <v>82</v>
      </c>
      <c r="B163" s="242"/>
      <c r="C163" s="242"/>
      <c r="D163" s="243"/>
      <c r="E163" s="243"/>
      <c r="F163" s="243"/>
      <c r="G163" s="244"/>
      <c r="H163" s="245"/>
      <c r="I163" s="246"/>
      <c r="J163" s="246"/>
      <c r="K163" s="247"/>
      <c r="L163" s="247"/>
      <c r="M163" s="247"/>
      <c r="N163" s="247"/>
      <c r="O163" s="247"/>
      <c r="P163" s="247"/>
    </row>
    <row r="164" spans="1:26" ht="19.5">
      <c r="A164" s="248"/>
      <c r="B164" s="249" t="s">
        <v>83</v>
      </c>
      <c r="C164" s="250"/>
      <c r="D164" s="173"/>
      <c r="E164" s="173"/>
      <c r="F164" s="173"/>
      <c r="G164" s="174"/>
      <c r="H164" s="251" t="s">
        <v>35</v>
      </c>
      <c r="I164" s="252">
        <f t="shared" ref="I164:J164" ca="1" si="83">I174+I177</f>
        <v>12</v>
      </c>
      <c r="J164" s="252">
        <f t="shared" si="83"/>
        <v>12</v>
      </c>
      <c r="K164" s="253">
        <f ca="1">IF(I164&gt;0,J164*100/I164,0)</f>
        <v>100</v>
      </c>
      <c r="L164" s="254"/>
      <c r="M164" s="254"/>
      <c r="N164" s="254"/>
      <c r="O164" s="254"/>
      <c r="P164" s="254"/>
    </row>
    <row r="165" spans="1:26" ht="19.5">
      <c r="A165" s="147"/>
      <c r="B165" s="148"/>
      <c r="C165" s="149" t="s">
        <v>16</v>
      </c>
      <c r="D165" s="822" t="s">
        <v>17</v>
      </c>
      <c r="E165" s="148"/>
      <c r="F165" s="148"/>
      <c r="G165" s="151"/>
      <c r="H165" s="152" t="s">
        <v>12</v>
      </c>
      <c r="I165" s="419"/>
      <c r="J165" s="419"/>
      <c r="K165" s="154"/>
      <c r="L165" s="155">
        <f t="shared" ref="L165:N165" ca="1" si="84">L166+L167</f>
        <v>23060</v>
      </c>
      <c r="M165" s="155">
        <f t="shared" ca="1" si="84"/>
        <v>23060</v>
      </c>
      <c r="N165" s="155">
        <f t="shared" ca="1" si="84"/>
        <v>23060</v>
      </c>
      <c r="O165" s="155">
        <f t="shared" ref="O165:O173" ca="1" si="85">IF(L165&gt;0,N165*100/L165,0)</f>
        <v>100</v>
      </c>
      <c r="P165" s="155">
        <f t="shared" ref="P165:P173" ca="1" si="86">IF(M165&gt;0,N165*100/M165,0)</f>
        <v>100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2" t="s">
        <v>18</v>
      </c>
      <c r="F166" s="40"/>
      <c r="G166" s="157"/>
      <c r="H166" s="158" t="s">
        <v>12</v>
      </c>
      <c r="I166" s="610"/>
      <c r="J166" s="610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2" t="s">
        <v>19</v>
      </c>
      <c r="F167" s="40"/>
      <c r="G167" s="157"/>
      <c r="H167" s="158" t="s">
        <v>12</v>
      </c>
      <c r="I167" s="610"/>
      <c r="J167" s="610"/>
      <c r="K167" s="93"/>
      <c r="L167" s="93">
        <f t="shared" ca="1" si="87"/>
        <v>23060</v>
      </c>
      <c r="M167" s="93">
        <f t="shared" ca="1" si="87"/>
        <v>23060</v>
      </c>
      <c r="N167" s="93">
        <f t="shared" ca="1" si="87"/>
        <v>23060</v>
      </c>
      <c r="O167" s="93">
        <f t="shared" ca="1" si="85"/>
        <v>100</v>
      </c>
      <c r="P167" s="93">
        <f t="shared" ca="1" si="86"/>
        <v>100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1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6">
        <f t="shared" ref="L168:N168" ca="1" si="88">L169+L170</f>
        <v>23060</v>
      </c>
      <c r="M168" s="496">
        <f t="shared" ca="1" si="88"/>
        <v>23060</v>
      </c>
      <c r="N168" s="496">
        <f t="shared" ca="1" si="88"/>
        <v>23060</v>
      </c>
      <c r="O168" s="496">
        <f t="shared" ca="1" si="85"/>
        <v>100</v>
      </c>
      <c r="P168" s="496">
        <f t="shared" ca="1" si="86"/>
        <v>100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2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2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IFERROR(__xludf.DUMMYFUNCTION("IMPORTRANGE(""https://docs.google.com/spreadsheets/d/1MeEWN-I1oV_STSDYn1IFDPWt_1FKiwhDph83XaGc0o0/edit?usp=sharing"",""งบพรบ!CE68"")"),23060)</f>
        <v>23060</v>
      </c>
      <c r="M170" s="93">
        <f ca="1">IFERROR(__xludf.DUMMYFUNCTION("IMPORTRANGE(""https://docs.google.com/spreadsheets/d/1MeEWN-I1oV_STSDYn1IFDPWt_1FKiwhDph83XaGc0o0/edit?usp=sharing"",""งบพรบ!CJ68"")"),23060)</f>
        <v>23060</v>
      </c>
      <c r="N170" s="93">
        <f ca="1">IFERROR(__xludf.DUMMYFUNCTION("IMPORTRANGE(""https://docs.google.com/spreadsheets/d/1MeEWN-I1oV_STSDYn1IFDPWt_1FKiwhDph83XaGc0o0/edit?usp=sharing"",""งบพรบ!CL68"")"),23060)</f>
        <v>23060</v>
      </c>
      <c r="O170" s="93">
        <f t="shared" ca="1" si="85"/>
        <v>100</v>
      </c>
      <c r="P170" s="93">
        <f t="shared" ca="1" si="86"/>
        <v>100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1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6">
        <f t="shared" ref="L171:N171" ca="1" si="89">L172+L173</f>
        <v>0</v>
      </c>
      <c r="M171" s="496">
        <f t="shared" ca="1" si="89"/>
        <v>0</v>
      </c>
      <c r="N171" s="496">
        <f t="shared" ca="1" si="89"/>
        <v>0</v>
      </c>
      <c r="O171" s="496">
        <f t="shared" ca="1" si="85"/>
        <v>0</v>
      </c>
      <c r="P171" s="496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2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2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IFERROR(__xludf.DUMMYFUNCTION("IMPORTRANGE(""https://docs.google.com/spreadsheets/d/1MeEWN-I1oV_STSDYn1IFDPWt_1FKiwhDph83XaGc0o0/edit?usp=sharing"",""งบพรบ!CH68"")"),0)</f>
        <v>0</v>
      </c>
      <c r="M173" s="93">
        <f ca="1">IFERROR(__xludf.DUMMYFUNCTION("IMPORTRANGE(""https://docs.google.com/spreadsheets/d/1MeEWN-I1oV_STSDYn1IFDPWt_1FKiwhDph83XaGc0o0/edit?usp=sharing"",""งบพรบ!CK68"")"),0)</f>
        <v>0</v>
      </c>
      <c r="N173" s="93">
        <f ca="1">IFERROR(__xludf.DUMMYFUNCTION("IMPORTRANGE(""https://docs.google.com/spreadsheets/d/1MeEWN-I1oV_STSDYn1IFDPWt_1FKiwhDph83XaGc0o0/edit?usp=sharing"",""งบพรบ!CM68"")"),0)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5"/>
      <c r="B174" s="256"/>
      <c r="C174" s="257" t="s">
        <v>84</v>
      </c>
      <c r="D174" s="256"/>
      <c r="E174" s="256"/>
      <c r="F174" s="256"/>
      <c r="G174" s="258"/>
      <c r="H174" s="259" t="s">
        <v>35</v>
      </c>
      <c r="I174" s="260">
        <f t="shared" ref="I174:J174" ca="1" si="90">I176</f>
        <v>12</v>
      </c>
      <c r="J174" s="260">
        <f t="shared" si="90"/>
        <v>12</v>
      </c>
      <c r="K174" s="261">
        <f ca="1">IF(I174&gt;0,J174*100/I174,0)</f>
        <v>100</v>
      </c>
      <c r="L174" s="261"/>
      <c r="M174" s="261"/>
      <c r="N174" s="261"/>
      <c r="O174" s="261"/>
      <c r="P174" s="261"/>
    </row>
    <row r="175" spans="1:26" ht="19.5">
      <c r="A175" s="170"/>
      <c r="B175" s="171"/>
      <c r="C175" s="164" t="s">
        <v>16</v>
      </c>
      <c r="D175" s="823" t="s">
        <v>38</v>
      </c>
      <c r="E175" s="173"/>
      <c r="F175" s="173"/>
      <c r="G175" s="174"/>
      <c r="H175" s="753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37" t="s">
        <v>85</v>
      </c>
      <c r="E176" s="178"/>
      <c r="F176" s="178"/>
      <c r="G176" s="179"/>
      <c r="H176" s="616" t="s">
        <v>35</v>
      </c>
      <c r="I176" s="269">
        <f ca="1">IFERROR(__xludf.DUMMYFUNCTION("IMPORTRANGE(""https://docs.google.com/spreadsheets/d/1QqKyyYR6Q21VydFLVH3TRQUabQu_ym0Zz7PgGX0-kHA/edit?usp=sharing"",""แผน!Y68"")"),12)</f>
        <v>12</v>
      </c>
      <c r="J176" s="214">
        <v>12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5"/>
      <c r="B177" s="263"/>
      <c r="C177" s="264" t="s">
        <v>86</v>
      </c>
      <c r="D177" s="263"/>
      <c r="E177" s="256"/>
      <c r="F177" s="256"/>
      <c r="G177" s="258"/>
      <c r="H177" s="265" t="s">
        <v>35</v>
      </c>
      <c r="I177" s="260"/>
      <c r="J177" s="260">
        <f>J179</f>
        <v>0</v>
      </c>
      <c r="K177" s="261"/>
      <c r="L177" s="261"/>
      <c r="M177" s="261"/>
      <c r="N177" s="261"/>
      <c r="O177" s="261"/>
      <c r="P177" s="261"/>
    </row>
    <row r="178" spans="1:26" ht="19.5" hidden="1">
      <c r="A178" s="170"/>
      <c r="B178" s="171"/>
      <c r="C178" s="164" t="s">
        <v>16</v>
      </c>
      <c r="D178" s="266" t="s">
        <v>38</v>
      </c>
      <c r="E178" s="173"/>
      <c r="F178" s="173"/>
      <c r="G178" s="174"/>
      <c r="H178" s="753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3" t="s">
        <v>87</v>
      </c>
      <c r="E179" s="178"/>
      <c r="F179" s="366"/>
      <c r="G179" s="179"/>
      <c r="H179" s="43" t="s">
        <v>35</v>
      </c>
      <c r="I179" s="269"/>
      <c r="J179" s="269"/>
      <c r="K179" s="163"/>
      <c r="L179" s="163"/>
      <c r="M179" s="163"/>
      <c r="N179" s="163"/>
      <c r="O179" s="163"/>
      <c r="P179" s="163"/>
    </row>
    <row r="180" spans="1:26" ht="19.5">
      <c r="A180" s="248"/>
      <c r="B180" s="249" t="s">
        <v>88</v>
      </c>
      <c r="C180" s="250"/>
      <c r="D180" s="173"/>
      <c r="E180" s="173"/>
      <c r="F180" s="173"/>
      <c r="G180" s="174"/>
      <c r="H180" s="251" t="s">
        <v>35</v>
      </c>
      <c r="I180" s="252">
        <f t="shared" ref="I180:J180" ca="1" si="91">I225+I226</f>
        <v>0</v>
      </c>
      <c r="J180" s="252">
        <f t="shared" si="91"/>
        <v>0</v>
      </c>
      <c r="K180" s="253">
        <f ca="1">IF(I180&gt;0,J180*100/I180,0)</f>
        <v>0</v>
      </c>
      <c r="L180" s="254"/>
      <c r="M180" s="254"/>
      <c r="N180" s="254"/>
      <c r="O180" s="254"/>
      <c r="P180" s="254"/>
    </row>
    <row r="181" spans="1:26" ht="19.5">
      <c r="A181" s="147"/>
      <c r="B181" s="148"/>
      <c r="C181" s="149" t="s">
        <v>16</v>
      </c>
      <c r="D181" s="822" t="s">
        <v>17</v>
      </c>
      <c r="E181" s="148"/>
      <c r="F181" s="148"/>
      <c r="G181" s="151"/>
      <c r="H181" s="152" t="s">
        <v>12</v>
      </c>
      <c r="I181" s="419"/>
      <c r="J181" s="419"/>
      <c r="K181" s="154"/>
      <c r="L181" s="155">
        <f t="shared" ref="L181:N181" ca="1" si="92">L182+L183</f>
        <v>89000</v>
      </c>
      <c r="M181" s="155">
        <f t="shared" ca="1" si="92"/>
        <v>39000</v>
      </c>
      <c r="N181" s="155">
        <f t="shared" ca="1" si="92"/>
        <v>0</v>
      </c>
      <c r="O181" s="155">
        <f t="shared" ref="O181:O189" ca="1" si="93">IF(L181&gt;0,N181*100/L181,0)</f>
        <v>0</v>
      </c>
      <c r="P181" s="155">
        <f t="shared" ref="P181:P189" ca="1" si="94">IF(M181&gt;0,N181*100/M181,0)</f>
        <v>0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2" t="s">
        <v>18</v>
      </c>
      <c r="F182" s="40"/>
      <c r="G182" s="157"/>
      <c r="H182" s="158" t="s">
        <v>12</v>
      </c>
      <c r="I182" s="610"/>
      <c r="J182" s="610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2" t="s">
        <v>19</v>
      </c>
      <c r="F183" s="40"/>
      <c r="G183" s="157"/>
      <c r="H183" s="158" t="s">
        <v>12</v>
      </c>
      <c r="I183" s="610"/>
      <c r="J183" s="610"/>
      <c r="K183" s="93"/>
      <c r="L183" s="93">
        <f t="shared" ca="1" si="95"/>
        <v>89000</v>
      </c>
      <c r="M183" s="93">
        <f t="shared" ca="1" si="95"/>
        <v>39000</v>
      </c>
      <c r="N183" s="93">
        <f t="shared" ca="1" si="95"/>
        <v>0</v>
      </c>
      <c r="O183" s="93">
        <f t="shared" ca="1" si="93"/>
        <v>0</v>
      </c>
      <c r="P183" s="93">
        <f t="shared" ca="1" si="94"/>
        <v>0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1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6">
        <f t="shared" ref="L184:N184" ca="1" si="96">L185+L186</f>
        <v>89000</v>
      </c>
      <c r="M184" s="496">
        <f t="shared" ca="1" si="96"/>
        <v>39000</v>
      </c>
      <c r="N184" s="496">
        <f t="shared" ca="1" si="96"/>
        <v>0</v>
      </c>
      <c r="O184" s="496">
        <f t="shared" ca="1" si="93"/>
        <v>0</v>
      </c>
      <c r="P184" s="496">
        <f t="shared" ca="1" si="94"/>
        <v>0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2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2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IFERROR(__xludf.DUMMYFUNCTION("IMPORTRANGE(""https://docs.google.com/spreadsheets/d/1MeEWN-I1oV_STSDYn1IFDPWt_1FKiwhDph83XaGc0o0/edit?usp=sharing"",""งบพรบ!CO68"")"),89000)</f>
        <v>89000</v>
      </c>
      <c r="M186" s="93">
        <f ca="1">IFERROR(__xludf.DUMMYFUNCTION("IMPORTRANGE(""https://docs.google.com/spreadsheets/d/1MeEWN-I1oV_STSDYn1IFDPWt_1FKiwhDph83XaGc0o0/edit?usp=sharing"",""งบพรบ!CT68"")"),39000)</f>
        <v>39000</v>
      </c>
      <c r="N186" s="93">
        <f ca="1">IFERROR(__xludf.DUMMYFUNCTION("IMPORTRANGE(""https://docs.google.com/spreadsheets/d/1MeEWN-I1oV_STSDYn1IFDPWt_1FKiwhDph83XaGc0o0/edit?usp=sharing"",""งบพรบ!CV68"")"),0)</f>
        <v>0</v>
      </c>
      <c r="O186" s="93">
        <f t="shared" ca="1" si="93"/>
        <v>0</v>
      </c>
      <c r="P186" s="93">
        <f t="shared" ca="1" si="94"/>
        <v>0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1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6">
        <f t="shared" ref="L187:N187" ca="1" si="97">L188+L189</f>
        <v>0</v>
      </c>
      <c r="M187" s="496">
        <f t="shared" ca="1" si="97"/>
        <v>0</v>
      </c>
      <c r="N187" s="496">
        <f t="shared" ca="1" si="97"/>
        <v>0</v>
      </c>
      <c r="O187" s="496">
        <f t="shared" ca="1" si="93"/>
        <v>0</v>
      </c>
      <c r="P187" s="496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2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2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IFERROR(__xludf.DUMMYFUNCTION("IMPORTRANGE(""https://docs.google.com/spreadsheets/d/1MeEWN-I1oV_STSDYn1IFDPWt_1FKiwhDph83XaGc0o0/edit?usp=sharing"",""งบพรบ!CR68"")"),0)</f>
        <v>0</v>
      </c>
      <c r="M189" s="93">
        <f ca="1">IFERROR(__xludf.DUMMYFUNCTION("IMPORTRANGE(""https://docs.google.com/spreadsheets/d/1MeEWN-I1oV_STSDYn1IFDPWt_1FKiwhDph83XaGc0o0/edit?usp=sharing"",""งบพรบ!CU68"")"),0)</f>
        <v>0</v>
      </c>
      <c r="N189" s="93">
        <f ca="1">IFERROR(__xludf.DUMMYFUNCTION("IMPORTRANGE(""https://docs.google.com/spreadsheets/d/1MeEWN-I1oV_STSDYn1IFDPWt_1FKiwhDph83XaGc0o0/edit?usp=sharing"",""งบพรบ!CW68"")"),0)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5"/>
      <c r="B190" s="263"/>
      <c r="C190" s="270" t="s">
        <v>89</v>
      </c>
      <c r="D190" s="256"/>
      <c r="E190" s="256"/>
      <c r="F190" s="256"/>
      <c r="G190" s="258"/>
      <c r="H190" s="259" t="s">
        <v>90</v>
      </c>
      <c r="I190" s="271">
        <f t="shared" ref="I190:J190" ca="1" si="98">I193</f>
        <v>4</v>
      </c>
      <c r="J190" s="271">
        <f t="shared" si="98"/>
        <v>0</v>
      </c>
      <c r="K190" s="272">
        <f ca="1">IF(I190&gt;0,J190*100/I190,0)</f>
        <v>0</v>
      </c>
      <c r="L190" s="261"/>
      <c r="M190" s="261"/>
      <c r="N190" s="261"/>
      <c r="O190" s="261"/>
      <c r="P190" s="261"/>
    </row>
    <row r="191" spans="1:26" ht="19.5">
      <c r="A191" s="147"/>
      <c r="B191" s="148"/>
      <c r="C191" s="149" t="s">
        <v>16</v>
      </c>
      <c r="D191" s="826" t="s">
        <v>17</v>
      </c>
      <c r="E191" s="148"/>
      <c r="F191" s="148"/>
      <c r="G191" s="151"/>
      <c r="H191" s="274" t="s">
        <v>12</v>
      </c>
      <c r="I191" s="419"/>
      <c r="J191" s="419"/>
      <c r="K191" s="154"/>
      <c r="L191" s="155">
        <f ca="1">IFERROR(__xludf.DUMMYFUNCTION("IMPORTRANGE(""https://docs.google.com/spreadsheets/d/1QqKyyYR6Q21VydFLVH3TRQUabQu_ym0Zz7PgGX0-kHA/edit?usp=sharing"",""แผน!Z68"")"),6000)</f>
        <v>6000</v>
      </c>
      <c r="M191" s="155"/>
      <c r="N191" s="275">
        <v>0</v>
      </c>
      <c r="O191" s="155">
        <f ca="1">IF(L191&gt;0,N191*100/L191,0)</f>
        <v>0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0" t="s">
        <v>16</v>
      </c>
      <c r="D192" s="823" t="s">
        <v>38</v>
      </c>
      <c r="E192" s="173"/>
      <c r="F192" s="173"/>
      <c r="G192" s="174"/>
      <c r="H192" s="753"/>
      <c r="I192" s="269"/>
      <c r="J192" s="269"/>
      <c r="K192" s="496"/>
      <c r="L192" s="496"/>
      <c r="M192" s="496"/>
      <c r="N192" s="496"/>
      <c r="O192" s="496"/>
      <c r="P192" s="496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6" t="s">
        <v>91</v>
      </c>
      <c r="E193" s="178"/>
      <c r="F193" s="178"/>
      <c r="G193" s="179"/>
      <c r="H193" s="755" t="s">
        <v>90</v>
      </c>
      <c r="I193" s="269">
        <f ca="1">IFERROR(__xludf.DUMMYFUNCTION("IMPORTRANGE(""https://docs.google.com/spreadsheets/d/1QqKyyYR6Q21VydFLVH3TRQUabQu_ym0Zz7PgGX0-kHA/edit?usp=sharing"",""แผน!AC68"")"),4)</f>
        <v>4</v>
      </c>
      <c r="J193" s="214">
        <v>0</v>
      </c>
      <c r="K193" s="496">
        <f ca="1">IF(I193&gt;0,J193*100/I193,0)</f>
        <v>0</v>
      </c>
      <c r="L193" s="496"/>
      <c r="M193" s="496"/>
      <c r="N193" s="496"/>
      <c r="O193" s="496"/>
      <c r="P193" s="496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6" t="s">
        <v>92</v>
      </c>
      <c r="E194" s="178"/>
      <c r="F194" s="178"/>
      <c r="G194" s="179"/>
      <c r="H194" s="276" t="s">
        <v>35</v>
      </c>
      <c r="I194" s="269"/>
      <c r="J194" s="269">
        <f>J195+J196</f>
        <v>0</v>
      </c>
      <c r="K194" s="496"/>
      <c r="L194" s="496"/>
      <c r="M194" s="496"/>
      <c r="N194" s="496"/>
      <c r="O194" s="496"/>
      <c r="P194" s="496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6" t="s">
        <v>93</v>
      </c>
      <c r="F195" s="178"/>
      <c r="G195" s="179"/>
      <c r="H195" s="276" t="s">
        <v>35</v>
      </c>
      <c r="I195" s="269"/>
      <c r="J195" s="214">
        <v>0</v>
      </c>
      <c r="K195" s="496"/>
      <c r="L195" s="496"/>
      <c r="M195" s="496"/>
      <c r="N195" s="496"/>
      <c r="O195" s="496"/>
      <c r="P195" s="496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6" t="s">
        <v>94</v>
      </c>
      <c r="F196" s="178"/>
      <c r="G196" s="179"/>
      <c r="H196" s="276" t="s">
        <v>35</v>
      </c>
      <c r="I196" s="269"/>
      <c r="J196" s="214">
        <v>0</v>
      </c>
      <c r="K196" s="496"/>
      <c r="L196" s="496"/>
      <c r="M196" s="496"/>
      <c r="N196" s="496"/>
      <c r="O196" s="496"/>
      <c r="P196" s="496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5"/>
      <c r="B197" s="263"/>
      <c r="C197" s="270" t="s">
        <v>95</v>
      </c>
      <c r="D197" s="256"/>
      <c r="E197" s="256"/>
      <c r="F197" s="256"/>
      <c r="G197" s="258"/>
      <c r="H197" s="277" t="s">
        <v>96</v>
      </c>
      <c r="I197" s="271">
        <f t="shared" ref="I197:J197" ca="1" si="99">I204</f>
        <v>4</v>
      </c>
      <c r="J197" s="271">
        <f t="shared" si="99"/>
        <v>0</v>
      </c>
      <c r="K197" s="272">
        <f ca="1">IF(I197&gt;0,J197*100/I197,0)</f>
        <v>0</v>
      </c>
      <c r="L197" s="261"/>
      <c r="M197" s="261"/>
      <c r="N197" s="261"/>
      <c r="O197" s="261"/>
      <c r="P197" s="261"/>
    </row>
    <row r="198" spans="1:26" ht="19.5">
      <c r="A198" s="147"/>
      <c r="B198" s="148"/>
      <c r="C198" s="149" t="s">
        <v>16</v>
      </c>
      <c r="D198" s="826" t="s">
        <v>17</v>
      </c>
      <c r="E198" s="148"/>
      <c r="F198" s="148"/>
      <c r="G198" s="151"/>
      <c r="H198" s="274" t="s">
        <v>12</v>
      </c>
      <c r="I198" s="418"/>
      <c r="J198" s="418"/>
      <c r="K198" s="279"/>
      <c r="L198" s="155">
        <f ca="1">L199+L200+L201+L202</f>
        <v>52000</v>
      </c>
      <c r="M198" s="155"/>
      <c r="N198" s="155">
        <f>N199+N200+N201+N202</f>
        <v>0</v>
      </c>
      <c r="O198" s="155">
        <f ca="1">IF(L198&gt;0,N198*100/L198,0)</f>
        <v>0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0"/>
      <c r="C199" s="33"/>
      <c r="D199" s="281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6">
        <f ca="1">IFERROR(__xludf.DUMMYFUNCTION("IMPORTRANGE(""https://docs.google.com/spreadsheets/d/1QqKyyYR6Q21VydFLVH3TRQUabQu_ym0Zz7PgGX0-kHA/edit?usp=sharing"",""แผน!AE68"")"),4000)</f>
        <v>4000</v>
      </c>
      <c r="M199" s="496"/>
      <c r="N199" s="817">
        <v>0</v>
      </c>
      <c r="O199" s="496"/>
      <c r="P199" s="496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4"/>
      <c r="B200" s="280"/>
      <c r="C200" s="210"/>
      <c r="D200" s="281" t="s">
        <v>98</v>
      </c>
      <c r="E200" s="33"/>
      <c r="F200" s="33"/>
      <c r="G200" s="35"/>
      <c r="H200" s="616" t="s">
        <v>12</v>
      </c>
      <c r="I200" s="269"/>
      <c r="J200" s="269"/>
      <c r="K200" s="496"/>
      <c r="L200" s="496">
        <f ca="1">IFERROR(__xludf.DUMMYFUNCTION("IMPORTRANGE(""https://docs.google.com/spreadsheets/d/1QqKyyYR6Q21VydFLVH3TRQUabQu_ym0Zz7PgGX0-kHA/edit?usp=sharing"",""แผน!AF68"")"),32000)</f>
        <v>32000</v>
      </c>
      <c r="M200" s="496"/>
      <c r="N200" s="817">
        <v>0</v>
      </c>
      <c r="O200" s="496"/>
      <c r="P200" s="496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>
      <c r="A201" s="284"/>
      <c r="B201" s="280"/>
      <c r="C201" s="210"/>
      <c r="D201" s="281" t="s">
        <v>99</v>
      </c>
      <c r="E201" s="33"/>
      <c r="F201" s="33"/>
      <c r="G201" s="35"/>
      <c r="H201" s="616" t="s">
        <v>12</v>
      </c>
      <c r="I201" s="269"/>
      <c r="J201" s="269"/>
      <c r="K201" s="496"/>
      <c r="L201" s="496">
        <f ca="1">IFERROR(__xludf.DUMMYFUNCTION("IMPORTRANGE(""https://docs.google.com/spreadsheets/d/1QqKyyYR6Q21VydFLVH3TRQUabQu_ym0Zz7PgGX0-kHA/edit?usp=sharing"",""แผน!AG68"")"),16000)</f>
        <v>16000</v>
      </c>
      <c r="M201" s="496"/>
      <c r="N201" s="817">
        <v>0</v>
      </c>
      <c r="O201" s="496"/>
      <c r="P201" s="496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>
      <c r="A202" s="284"/>
      <c r="B202" s="280"/>
      <c r="C202" s="210"/>
      <c r="D202" s="281" t="s">
        <v>100</v>
      </c>
      <c r="E202" s="33"/>
      <c r="F202" s="33"/>
      <c r="G202" s="35"/>
      <c r="H202" s="616" t="s">
        <v>12</v>
      </c>
      <c r="I202" s="269"/>
      <c r="J202" s="269"/>
      <c r="K202" s="496"/>
      <c r="L202" s="496">
        <f ca="1">IFERROR(__xludf.DUMMYFUNCTION("IMPORTRANGE(""https://docs.google.com/spreadsheets/d/1QqKyyYR6Q21VydFLVH3TRQUabQu_ym0Zz7PgGX0-kHA/edit?usp=sharing"",""แผน!AH68"")"),0)</f>
        <v>0</v>
      </c>
      <c r="M202" s="496"/>
      <c r="N202" s="817">
        <v>0</v>
      </c>
      <c r="O202" s="496"/>
      <c r="P202" s="496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>
      <c r="A203" s="170"/>
      <c r="B203" s="171"/>
      <c r="C203" s="210" t="s">
        <v>16</v>
      </c>
      <c r="D203" s="823" t="s">
        <v>38</v>
      </c>
      <c r="E203" s="173"/>
      <c r="F203" s="173"/>
      <c r="G203" s="174"/>
      <c r="H203" s="753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53" t="s">
        <v>96</v>
      </c>
      <c r="I204" s="269">
        <f ca="1">IFERROR(__xludf.DUMMYFUNCTION("IMPORTRANGE(""https://docs.google.com/spreadsheets/d/1QqKyyYR6Q21VydFLVH3TRQUabQu_ym0Zz7PgGX0-kHA/edit?usp=sharing"",""แผน!AI68"")"),4)</f>
        <v>4</v>
      </c>
      <c r="J204" s="214">
        <v>0</v>
      </c>
      <c r="K204" s="163">
        <f ca="1">IF(I204&gt;0,J204*100/I204,0)</f>
        <v>0</v>
      </c>
      <c r="L204" s="496"/>
      <c r="M204" s="496"/>
      <c r="N204" s="496"/>
      <c r="O204" s="496"/>
      <c r="P204" s="496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6" t="s">
        <v>59</v>
      </c>
      <c r="E205" s="178"/>
      <c r="F205" s="178"/>
      <c r="G205" s="179"/>
      <c r="H205" s="753"/>
      <c r="I205" s="269"/>
      <c r="J205" s="269"/>
      <c r="K205" s="163"/>
      <c r="L205" s="496"/>
      <c r="M205" s="496"/>
      <c r="N205" s="496"/>
      <c r="O205" s="496"/>
      <c r="P205" s="496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25" t="s">
        <v>102</v>
      </c>
      <c r="F206" s="287"/>
      <c r="G206" s="288"/>
      <c r="H206" s="289" t="s">
        <v>96</v>
      </c>
      <c r="I206" s="269">
        <v>4</v>
      </c>
      <c r="J206" s="214">
        <v>0</v>
      </c>
      <c r="K206" s="163">
        <f t="shared" ref="K206:K208" si="100">IF(I206&gt;0,J206*100/I206,0)</f>
        <v>0</v>
      </c>
      <c r="L206" s="496"/>
      <c r="M206" s="496"/>
      <c r="N206" s="496"/>
      <c r="O206" s="496"/>
      <c r="P206" s="496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6"/>
      <c r="E207" s="446" t="s">
        <v>103</v>
      </c>
      <c r="F207" s="178"/>
      <c r="G207" s="178"/>
      <c r="H207" s="290" t="s">
        <v>104</v>
      </c>
      <c r="I207" s="269">
        <v>0</v>
      </c>
      <c r="J207" s="214">
        <v>0</v>
      </c>
      <c r="K207" s="163">
        <f t="shared" si="100"/>
        <v>0</v>
      </c>
      <c r="L207" s="496"/>
      <c r="M207" s="496"/>
      <c r="N207" s="496"/>
      <c r="O207" s="496"/>
      <c r="P207" s="496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 hidden="1">
      <c r="A208" s="255"/>
      <c r="B208" s="263"/>
      <c r="C208" s="270" t="s">
        <v>105</v>
      </c>
      <c r="D208" s="256"/>
      <c r="E208" s="256"/>
      <c r="F208" s="291"/>
      <c r="G208" s="258"/>
      <c r="H208" s="277" t="s">
        <v>96</v>
      </c>
      <c r="I208" s="271">
        <f t="shared" ref="I208:J208" ca="1" si="101">I215</f>
        <v>0</v>
      </c>
      <c r="J208" s="271">
        <f t="shared" si="101"/>
        <v>0</v>
      </c>
      <c r="K208" s="272">
        <f t="shared" ca="1" si="100"/>
        <v>0</v>
      </c>
      <c r="L208" s="261"/>
      <c r="M208" s="261"/>
      <c r="N208" s="261"/>
      <c r="O208" s="261"/>
      <c r="P208" s="261"/>
    </row>
    <row r="209" spans="1:26" ht="19.5" hidden="1">
      <c r="A209" s="147"/>
      <c r="B209" s="148"/>
      <c r="C209" s="149" t="s">
        <v>16</v>
      </c>
      <c r="D209" s="826" t="s">
        <v>17</v>
      </c>
      <c r="E209" s="148"/>
      <c r="F209" s="148"/>
      <c r="G209" s="151"/>
      <c r="H209" s="274" t="s">
        <v>12</v>
      </c>
      <c r="I209" s="418"/>
      <c r="J209" s="418"/>
      <c r="K209" s="279"/>
      <c r="L209" s="155">
        <f ca="1">L210+L211+L212</f>
        <v>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 hidden="1">
      <c r="A210" s="159"/>
      <c r="B210" s="280"/>
      <c r="C210" s="33"/>
      <c r="D210" s="281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6">
        <f ca="1">IFERROR(__xludf.DUMMYFUNCTION("IMPORTRANGE(""https://docs.google.com/spreadsheets/d/1QqKyyYR6Q21VydFLVH3TRQUabQu_ym0Zz7PgGX0-kHA/edit?usp=sharing"",""แผน!AK68"")"),0)</f>
        <v>0</v>
      </c>
      <c r="M210" s="496"/>
      <c r="N210" s="817">
        <v>0</v>
      </c>
      <c r="O210" s="496"/>
      <c r="P210" s="496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 hidden="1">
      <c r="A211" s="284"/>
      <c r="B211" s="280"/>
      <c r="C211" s="292"/>
      <c r="D211" s="281" t="s">
        <v>99</v>
      </c>
      <c r="E211" s="33"/>
      <c r="F211" s="33"/>
      <c r="G211" s="35"/>
      <c r="H211" s="161" t="s">
        <v>12</v>
      </c>
      <c r="I211" s="269"/>
      <c r="J211" s="269"/>
      <c r="K211" s="496"/>
      <c r="L211" s="496">
        <f ca="1">IFERROR(__xludf.DUMMYFUNCTION("IMPORTRANGE(""https://docs.google.com/spreadsheets/d/1QqKyyYR6Q21VydFLVH3TRQUabQu_ym0Zz7PgGX0-kHA/edit?usp=sharing"",""แผน!AL68"")"),0)</f>
        <v>0</v>
      </c>
      <c r="M211" s="496"/>
      <c r="N211" s="817">
        <v>0</v>
      </c>
      <c r="O211" s="496"/>
      <c r="P211" s="496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 hidden="1">
      <c r="A212" s="284"/>
      <c r="B212" s="280"/>
      <c r="C212" s="292"/>
      <c r="D212" s="281" t="s">
        <v>98</v>
      </c>
      <c r="E212" s="33"/>
      <c r="F212" s="33"/>
      <c r="G212" s="35"/>
      <c r="H212" s="161" t="s">
        <v>12</v>
      </c>
      <c r="I212" s="269"/>
      <c r="J212" s="269"/>
      <c r="K212" s="496"/>
      <c r="L212" s="496">
        <f ca="1">IFERROR(__xludf.DUMMYFUNCTION("IMPORTRANGE(""https://docs.google.com/spreadsheets/d/1QqKyyYR6Q21VydFLVH3TRQUabQu_ym0Zz7PgGX0-kHA/edit?usp=sharing"",""แผน!AM68"")"),0)</f>
        <v>0</v>
      </c>
      <c r="M212" s="496"/>
      <c r="N212" s="817">
        <v>0</v>
      </c>
      <c r="O212" s="496"/>
      <c r="P212" s="496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 hidden="1">
      <c r="A213" s="170"/>
      <c r="B213" s="171"/>
      <c r="C213" s="292" t="s">
        <v>16</v>
      </c>
      <c r="D213" s="823" t="s">
        <v>38</v>
      </c>
      <c r="E213" s="173"/>
      <c r="F213" s="173"/>
      <c r="G213" s="174"/>
      <c r="H213" s="753"/>
      <c r="I213" s="184"/>
      <c r="J213" s="269"/>
      <c r="K213" s="496"/>
      <c r="L213" s="496"/>
      <c r="M213" s="496"/>
      <c r="N213" s="496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 hidden="1">
      <c r="A214" s="170"/>
      <c r="B214" s="171"/>
      <c r="C214" s="171"/>
      <c r="D214" s="176" t="s">
        <v>106</v>
      </c>
      <c r="E214" s="178"/>
      <c r="F214" s="178"/>
      <c r="G214" s="179"/>
      <c r="H214" s="753" t="s">
        <v>96</v>
      </c>
      <c r="I214" s="269">
        <f ca="1">IFERROR(__xludf.DUMMYFUNCTION("IMPORTRANGE(""https://docs.google.com/spreadsheets/d/1QqKyyYR6Q21VydFLVH3TRQUabQu_ym0Zz7PgGX0-kHA/edit?usp=sharing"",""แผน!AN68"")"),0)</f>
        <v>0</v>
      </c>
      <c r="J214" s="214">
        <v>0</v>
      </c>
      <c r="K214" s="496">
        <f t="shared" ref="K214:K216" ca="1" si="102">IF(I214&gt;0,J214*100/I214,0)</f>
        <v>0</v>
      </c>
      <c r="L214" s="496"/>
      <c r="M214" s="496"/>
      <c r="N214" s="496"/>
      <c r="O214" s="496"/>
      <c r="P214" s="496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 hidden="1">
      <c r="A215" s="170"/>
      <c r="B215" s="171"/>
      <c r="C215" s="171"/>
      <c r="D215" s="176" t="s">
        <v>107</v>
      </c>
      <c r="E215" s="178"/>
      <c r="F215" s="178"/>
      <c r="G215" s="179"/>
      <c r="H215" s="753" t="s">
        <v>96</v>
      </c>
      <c r="I215" s="269">
        <f ca="1">IFERROR(__xludf.DUMMYFUNCTION("IMPORTRANGE(""https://docs.google.com/spreadsheets/d/1QqKyyYR6Q21VydFLVH3TRQUabQu_ym0Zz7PgGX0-kHA/edit?usp=sharing"",""แผน!AN68"")"),0)</f>
        <v>0</v>
      </c>
      <c r="J215" s="214">
        <v>0</v>
      </c>
      <c r="K215" s="496">
        <f t="shared" ca="1" si="102"/>
        <v>0</v>
      </c>
      <c r="L215" s="496"/>
      <c r="M215" s="496"/>
      <c r="N215" s="496"/>
      <c r="O215" s="496"/>
      <c r="P215" s="496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5"/>
      <c r="B216" s="263"/>
      <c r="C216" s="270" t="s">
        <v>108</v>
      </c>
      <c r="D216" s="256"/>
      <c r="E216" s="256"/>
      <c r="F216" s="291"/>
      <c r="G216" s="258"/>
      <c r="H216" s="259" t="s">
        <v>109</v>
      </c>
      <c r="I216" s="271">
        <f t="shared" ref="I216:J216" ca="1" si="103">I224</f>
        <v>100000</v>
      </c>
      <c r="J216" s="271">
        <f t="shared" si="103"/>
        <v>0</v>
      </c>
      <c r="K216" s="272">
        <f t="shared" ca="1" si="102"/>
        <v>0</v>
      </c>
      <c r="L216" s="261"/>
      <c r="M216" s="261"/>
      <c r="N216" s="261"/>
      <c r="O216" s="261"/>
      <c r="P216" s="261"/>
    </row>
    <row r="217" spans="1:26" ht="19.5">
      <c r="A217" s="147"/>
      <c r="B217" s="148"/>
      <c r="C217" s="149" t="s">
        <v>16</v>
      </c>
      <c r="D217" s="826" t="s">
        <v>17</v>
      </c>
      <c r="E217" s="148"/>
      <c r="F217" s="148"/>
      <c r="G217" s="151"/>
      <c r="H217" s="274" t="s">
        <v>12</v>
      </c>
      <c r="I217" s="418"/>
      <c r="J217" s="418"/>
      <c r="K217" s="279"/>
      <c r="L217" s="155">
        <f ca="1">L218+L219+L220</f>
        <v>31000</v>
      </c>
      <c r="M217" s="155"/>
      <c r="N217" s="155">
        <f>N218+N219+N220</f>
        <v>0</v>
      </c>
      <c r="O217" s="155">
        <f ca="1">IF(L217&gt;0,N217*100/L217,0)</f>
        <v>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0"/>
      <c r="C218" s="33"/>
      <c r="D218" s="281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6">
        <f ca="1">IFERROR(__xludf.DUMMYFUNCTION("IMPORTRANGE(""https://docs.google.com/spreadsheets/d/1QqKyyYR6Q21VydFLVH3TRQUabQu_ym0Zz7PgGX0-kHA/edit?usp=sharing"",""แผน!AP68"")"),6000)</f>
        <v>6000</v>
      </c>
      <c r="M218" s="496"/>
      <c r="N218" s="817">
        <v>0</v>
      </c>
      <c r="O218" s="496"/>
      <c r="P218" s="496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4"/>
      <c r="B219" s="280"/>
      <c r="C219" s="292"/>
      <c r="D219" s="281" t="s">
        <v>110</v>
      </c>
      <c r="E219" s="33"/>
      <c r="F219" s="33"/>
      <c r="G219" s="35"/>
      <c r="H219" s="161" t="s">
        <v>12</v>
      </c>
      <c r="I219" s="269"/>
      <c r="J219" s="269"/>
      <c r="K219" s="496"/>
      <c r="L219" s="496">
        <f ca="1">IFERROR(__xludf.DUMMYFUNCTION("IMPORTRANGE(""https://docs.google.com/spreadsheets/d/1QqKyyYR6Q21VydFLVH3TRQUabQu_ym0Zz7PgGX0-kHA/edit?usp=sharing"",""แผน!AQ68"")"),25000)</f>
        <v>25000</v>
      </c>
      <c r="M219" s="496"/>
      <c r="N219" s="817">
        <v>0</v>
      </c>
      <c r="O219" s="496"/>
      <c r="P219" s="496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0"/>
      <c r="C220" s="292"/>
      <c r="D220" s="281" t="s">
        <v>98</v>
      </c>
      <c r="E220" s="33"/>
      <c r="F220" s="33"/>
      <c r="G220" s="35"/>
      <c r="H220" s="161" t="s">
        <v>12</v>
      </c>
      <c r="I220" s="269"/>
      <c r="J220" s="269"/>
      <c r="K220" s="496"/>
      <c r="L220" s="496">
        <f ca="1">IFERROR(__xludf.DUMMYFUNCTION("IMPORTRANGE(""https://docs.google.com/spreadsheets/d/1QqKyyYR6Q21VydFLVH3TRQUabQu_ym0Zz7PgGX0-kHA/edit?usp=sharing"",""แผน!AR68"")"),0)</f>
        <v>0</v>
      </c>
      <c r="M220" s="496"/>
      <c r="N220" s="817">
        <v>0</v>
      </c>
      <c r="O220" s="496"/>
      <c r="P220" s="496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70"/>
      <c r="B221" s="171"/>
      <c r="C221" s="292" t="s">
        <v>16</v>
      </c>
      <c r="D221" s="823" t="s">
        <v>38</v>
      </c>
      <c r="E221" s="173"/>
      <c r="F221" s="173"/>
      <c r="G221" s="174"/>
      <c r="H221" s="753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1" t="s">
        <v>111</v>
      </c>
      <c r="E222" s="178"/>
      <c r="F222" s="178"/>
      <c r="G222" s="179"/>
      <c r="H222" s="753"/>
      <c r="I222" s="269"/>
      <c r="J222" s="269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55" t="s">
        <v>109</v>
      </c>
      <c r="I223" s="269">
        <f ca="1">IFERROR(__xludf.DUMMYFUNCTION("IMPORTRANGE(""https://docs.google.com/spreadsheets/d/1QqKyyYR6Q21VydFLVH3TRQUabQu_ym0Zz7PgGX0-kHA/edit?usp=sharing"",""แผน!AT68"")"),100000)</f>
        <v>100000</v>
      </c>
      <c r="J223" s="214">
        <v>0</v>
      </c>
      <c r="K223" s="163">
        <f t="shared" ref="K223:K226" ca="1" si="104">IF(I223&gt;0,J223*100/I223,0)</f>
        <v>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55" t="s">
        <v>109</v>
      </c>
      <c r="I224" s="269">
        <f ca="1">IFERROR(__xludf.DUMMYFUNCTION("IMPORTRANGE(""https://docs.google.com/spreadsheets/d/1QqKyyYR6Q21VydFLVH3TRQUabQu_ym0Zz7PgGX0-kHA/edit?usp=sharing"",""แผน!AT68"")"),100000)</f>
        <v>100000</v>
      </c>
      <c r="J224" s="214">
        <v>0</v>
      </c>
      <c r="K224" s="163">
        <f t="shared" ca="1" si="104"/>
        <v>0</v>
      </c>
      <c r="L224" s="496"/>
      <c r="M224" s="496"/>
      <c r="N224" s="496"/>
      <c r="O224" s="496"/>
      <c r="P224" s="496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1" t="s">
        <v>114</v>
      </c>
      <c r="E225" s="178"/>
      <c r="F225" s="178"/>
      <c r="G225" s="179"/>
      <c r="H225" s="755" t="s">
        <v>35</v>
      </c>
      <c r="I225" s="269">
        <f ca="1">IFERROR(__xludf.DUMMYFUNCTION("IMPORTRANGE(""https://docs.google.com/spreadsheets/d/1QqKyyYR6Q21VydFLVH3TRQUabQu_ym0Zz7PgGX0-kHA/edit?usp=sharing"",""แผน!AS68"")"),0)</f>
        <v>0</v>
      </c>
      <c r="J225" s="214">
        <v>0</v>
      </c>
      <c r="K225" s="163">
        <f t="shared" ca="1" si="104"/>
        <v>0</v>
      </c>
      <c r="L225" s="496"/>
      <c r="M225" s="496"/>
      <c r="N225" s="496"/>
      <c r="O225" s="496"/>
      <c r="P225" s="496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5"/>
      <c r="B226" s="263"/>
      <c r="C226" s="341" t="s">
        <v>115</v>
      </c>
      <c r="D226" s="256"/>
      <c r="E226" s="256"/>
      <c r="F226" s="256"/>
      <c r="G226" s="258"/>
      <c r="H226" s="265" t="s">
        <v>35</v>
      </c>
      <c r="I226" s="344">
        <f t="shared" ref="I226:J226" ca="1" si="105">I237+I248</f>
        <v>0</v>
      </c>
      <c r="J226" s="344">
        <f t="shared" si="105"/>
        <v>0</v>
      </c>
      <c r="K226" s="345">
        <f t="shared" ca="1" si="104"/>
        <v>0</v>
      </c>
      <c r="L226" s="261"/>
      <c r="M226" s="261"/>
      <c r="N226" s="261"/>
      <c r="O226" s="261"/>
      <c r="P226" s="261"/>
    </row>
    <row r="227" spans="1:26" ht="19.5" hidden="1">
      <c r="A227" s="347"/>
      <c r="B227" s="348"/>
      <c r="C227" s="349" t="s">
        <v>16</v>
      </c>
      <c r="D227" s="827" t="s">
        <v>17</v>
      </c>
      <c r="E227" s="348"/>
      <c r="F227" s="348"/>
      <c r="G227" s="351"/>
      <c r="H227" s="352" t="s">
        <v>12</v>
      </c>
      <c r="I227" s="353"/>
      <c r="J227" s="353"/>
      <c r="K227" s="354"/>
      <c r="L227" s="355">
        <f t="shared" ref="L227:L231" ca="1" si="106">L238+L249</f>
        <v>0</v>
      </c>
      <c r="M227" s="355"/>
      <c r="N227" s="355">
        <f t="shared" ref="N227:N231" si="107">N238+N249</f>
        <v>0</v>
      </c>
      <c r="O227" s="828"/>
      <c r="P227" s="828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6"/>
      <c r="C228" s="40"/>
      <c r="D228" s="222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0</v>
      </c>
      <c r="M228" s="93"/>
      <c r="N228" s="93">
        <f t="shared" si="107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8"/>
      <c r="B229" s="356"/>
      <c r="C229" s="359"/>
      <c r="D229" s="222" t="s">
        <v>98</v>
      </c>
      <c r="E229" s="40"/>
      <c r="F229" s="40"/>
      <c r="G229" s="42"/>
      <c r="H229" s="165" t="s">
        <v>12</v>
      </c>
      <c r="I229" s="610"/>
      <c r="J229" s="610"/>
      <c r="K229" s="93"/>
      <c r="L229" s="93">
        <f t="shared" ca="1" si="106"/>
        <v>0</v>
      </c>
      <c r="M229" s="93"/>
      <c r="N229" s="93">
        <f t="shared" si="107"/>
        <v>0</v>
      </c>
      <c r="O229" s="93"/>
      <c r="P229" s="93"/>
      <c r="Q229" s="360"/>
      <c r="R229" s="360"/>
      <c r="S229" s="360"/>
      <c r="T229" s="360"/>
      <c r="U229" s="360"/>
      <c r="V229" s="360"/>
      <c r="W229" s="360"/>
      <c r="X229" s="360"/>
      <c r="Y229" s="360"/>
      <c r="Z229" s="360"/>
    </row>
    <row r="230" spans="1:26" ht="19.5" hidden="1">
      <c r="A230" s="358"/>
      <c r="B230" s="356"/>
      <c r="C230" s="359"/>
      <c r="D230" s="222" t="s">
        <v>116</v>
      </c>
      <c r="E230" s="40"/>
      <c r="F230" s="40"/>
      <c r="G230" s="42"/>
      <c r="H230" s="165" t="s">
        <v>12</v>
      </c>
      <c r="I230" s="610"/>
      <c r="J230" s="610"/>
      <c r="K230" s="93"/>
      <c r="L230" s="93">
        <f t="shared" ca="1" si="106"/>
        <v>0</v>
      </c>
      <c r="M230" s="93"/>
      <c r="N230" s="93">
        <f t="shared" si="107"/>
        <v>0</v>
      </c>
      <c r="O230" s="93"/>
      <c r="P230" s="93"/>
      <c r="Q230" s="360"/>
      <c r="R230" s="360"/>
      <c r="S230" s="360"/>
      <c r="T230" s="360"/>
      <c r="U230" s="360"/>
      <c r="V230" s="360"/>
      <c r="W230" s="360"/>
      <c r="X230" s="360"/>
      <c r="Y230" s="360"/>
      <c r="Z230" s="360"/>
    </row>
    <row r="231" spans="1:26" ht="19.5" hidden="1">
      <c r="A231" s="358"/>
      <c r="B231" s="356"/>
      <c r="C231" s="359"/>
      <c r="D231" s="222" t="s">
        <v>100</v>
      </c>
      <c r="E231" s="40"/>
      <c r="F231" s="40"/>
      <c r="G231" s="42"/>
      <c r="H231" s="165" t="s">
        <v>12</v>
      </c>
      <c r="I231" s="610"/>
      <c r="J231" s="610"/>
      <c r="K231" s="93"/>
      <c r="L231" s="93">
        <f t="shared" ca="1" si="106"/>
        <v>0</v>
      </c>
      <c r="M231" s="93"/>
      <c r="N231" s="93">
        <f t="shared" si="107"/>
        <v>0</v>
      </c>
      <c r="O231" s="93"/>
      <c r="P231" s="93"/>
      <c r="Q231" s="360"/>
      <c r="R231" s="360"/>
      <c r="S231" s="360"/>
      <c r="T231" s="360"/>
      <c r="U231" s="360"/>
      <c r="V231" s="360"/>
      <c r="W231" s="360"/>
      <c r="X231" s="360"/>
      <c r="Y231" s="360"/>
      <c r="Z231" s="360"/>
    </row>
    <row r="232" spans="1:26" ht="19.5" hidden="1">
      <c r="A232" s="361"/>
      <c r="B232" s="362"/>
      <c r="C232" s="359" t="s">
        <v>16</v>
      </c>
      <c r="D232" s="266" t="s">
        <v>38</v>
      </c>
      <c r="E232" s="363"/>
      <c r="F232" s="363"/>
      <c r="G232" s="364"/>
      <c r="H232" s="365"/>
      <c r="I232" s="166"/>
      <c r="J232" s="610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1"/>
      <c r="B233" s="362"/>
      <c r="C233" s="362"/>
      <c r="D233" s="366" t="s">
        <v>117</v>
      </c>
      <c r="E233" s="372"/>
      <c r="F233" s="372"/>
      <c r="G233" s="368"/>
      <c r="H233" s="369" t="s">
        <v>35</v>
      </c>
      <c r="I233" s="610">
        <f t="shared" ref="I233:J233" ca="1" si="108">I244+I255</f>
        <v>0</v>
      </c>
      <c r="J233" s="610">
        <f t="shared" si="108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1"/>
      <c r="B234" s="362"/>
      <c r="C234" s="362"/>
      <c r="D234" s="371" t="s">
        <v>43</v>
      </c>
      <c r="E234" s="372"/>
      <c r="F234" s="372"/>
      <c r="G234" s="368"/>
      <c r="H234" s="369"/>
      <c r="I234" s="610"/>
      <c r="J234" s="610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1"/>
      <c r="B235" s="362"/>
      <c r="C235" s="362"/>
      <c r="D235" s="362"/>
      <c r="E235" s="373" t="s">
        <v>118</v>
      </c>
      <c r="F235" s="372"/>
      <c r="G235" s="368"/>
      <c r="H235" s="369" t="s">
        <v>35</v>
      </c>
      <c r="I235" s="610">
        <f t="shared" ref="I235:J236" si="109">I246+I257</f>
        <v>0</v>
      </c>
      <c r="J235" s="610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1"/>
      <c r="B236" s="362"/>
      <c r="C236" s="362"/>
      <c r="D236" s="362"/>
      <c r="E236" s="373" t="s">
        <v>119</v>
      </c>
      <c r="F236" s="372"/>
      <c r="G236" s="368"/>
      <c r="H236" s="369" t="s">
        <v>69</v>
      </c>
      <c r="I236" s="610">
        <f t="shared" si="109"/>
        <v>0</v>
      </c>
      <c r="J236" s="610">
        <f t="shared" si="109"/>
        <v>0</v>
      </c>
      <c r="K236" s="93">
        <f t="shared" si="110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5"/>
      <c r="B237" s="263"/>
      <c r="C237" s="270" t="s">
        <v>120</v>
      </c>
      <c r="D237" s="256"/>
      <c r="E237" s="256"/>
      <c r="F237" s="256"/>
      <c r="G237" s="258"/>
      <c r="H237" s="259" t="s">
        <v>35</v>
      </c>
      <c r="I237" s="271">
        <f t="shared" ref="I237:J237" ca="1" si="111">I244</f>
        <v>0</v>
      </c>
      <c r="J237" s="271">
        <f t="shared" si="111"/>
        <v>0</v>
      </c>
      <c r="K237" s="272">
        <f t="shared" ca="1" si="110"/>
        <v>0</v>
      </c>
      <c r="L237" s="261"/>
      <c r="M237" s="261"/>
      <c r="N237" s="261"/>
      <c r="O237" s="261"/>
      <c r="P237" s="261"/>
    </row>
    <row r="238" spans="1:26" ht="19.5" hidden="1">
      <c r="A238" s="147"/>
      <c r="B238" s="148"/>
      <c r="C238" s="149" t="s">
        <v>16</v>
      </c>
      <c r="D238" s="822" t="s">
        <v>17</v>
      </c>
      <c r="E238" s="148"/>
      <c r="F238" s="148"/>
      <c r="G238" s="151"/>
      <c r="H238" s="274" t="s">
        <v>12</v>
      </c>
      <c r="I238" s="418"/>
      <c r="J238" s="418"/>
      <c r="K238" s="279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4"/>
      <c r="B239" s="315"/>
      <c r="C239" s="316"/>
      <c r="D239" s="324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282">
        <f ca="1">IFERROR(__xludf.DUMMYFUNCTION("IMPORTRANGE(""https://docs.google.com/spreadsheets/d/1QqKyyYR6Q21VydFLVH3TRQUabQu_ym0Zz7PgGX0-kHA/edit?usp=sharing"",""แผน!AV68"")"),0)</f>
        <v>0</v>
      </c>
      <c r="M239" s="282"/>
      <c r="N239" s="829">
        <v>0</v>
      </c>
      <c r="O239" s="282"/>
      <c r="P239" s="28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 hidden="1">
      <c r="A240" s="322"/>
      <c r="B240" s="315"/>
      <c r="C240" s="323"/>
      <c r="D240" s="324" t="s">
        <v>98</v>
      </c>
      <c r="E240" s="316"/>
      <c r="F240" s="316"/>
      <c r="G240" s="318"/>
      <c r="H240" s="319" t="s">
        <v>12</v>
      </c>
      <c r="I240" s="325"/>
      <c r="J240" s="325"/>
      <c r="K240" s="282"/>
      <c r="L240" s="282">
        <f ca="1">IFERROR(__xludf.DUMMYFUNCTION("IMPORTRANGE(""https://docs.google.com/spreadsheets/d/1QqKyyYR6Q21VydFLVH3TRQUabQu_ym0Zz7PgGX0-kHA/edit?usp=sharing"",""แผน!AW68"")"),0)</f>
        <v>0</v>
      </c>
      <c r="M240" s="282"/>
      <c r="N240" s="829">
        <v>0</v>
      </c>
      <c r="O240" s="282"/>
      <c r="P240" s="282"/>
      <c r="Q240" s="326"/>
      <c r="R240" s="326"/>
      <c r="S240" s="326"/>
      <c r="T240" s="326"/>
      <c r="U240" s="326"/>
      <c r="V240" s="326"/>
      <c r="W240" s="326"/>
      <c r="X240" s="326"/>
      <c r="Y240" s="326"/>
      <c r="Z240" s="326"/>
    </row>
    <row r="241" spans="1:26" ht="19.5" hidden="1">
      <c r="A241" s="322"/>
      <c r="B241" s="315"/>
      <c r="C241" s="323"/>
      <c r="D241" s="324" t="s">
        <v>116</v>
      </c>
      <c r="E241" s="316"/>
      <c r="F241" s="316"/>
      <c r="G241" s="318"/>
      <c r="H241" s="319" t="s">
        <v>12</v>
      </c>
      <c r="I241" s="325"/>
      <c r="J241" s="325"/>
      <c r="K241" s="282"/>
      <c r="L241" s="282">
        <f ca="1">IFERROR(__xludf.DUMMYFUNCTION("IMPORTRANGE(""https://docs.google.com/spreadsheets/d/1QqKyyYR6Q21VydFLVH3TRQUabQu_ym0Zz7PgGX0-kHA/edit?usp=sharing"",""แผน!AX68"")"),0)</f>
        <v>0</v>
      </c>
      <c r="M241" s="282"/>
      <c r="N241" s="829">
        <v>0</v>
      </c>
      <c r="O241" s="282"/>
      <c r="P241" s="282"/>
      <c r="Q241" s="326"/>
      <c r="R241" s="326"/>
      <c r="S241" s="326"/>
      <c r="T241" s="326"/>
      <c r="U241" s="326"/>
      <c r="V241" s="326"/>
      <c r="W241" s="326"/>
      <c r="X241" s="326"/>
      <c r="Y241" s="326"/>
      <c r="Z241" s="326"/>
    </row>
    <row r="242" spans="1:26" ht="19.5" hidden="1">
      <c r="A242" s="322"/>
      <c r="B242" s="315"/>
      <c r="C242" s="323"/>
      <c r="D242" s="324" t="s">
        <v>100</v>
      </c>
      <c r="E242" s="316"/>
      <c r="F242" s="316"/>
      <c r="G242" s="318"/>
      <c r="H242" s="319" t="s">
        <v>12</v>
      </c>
      <c r="I242" s="325"/>
      <c r="J242" s="325"/>
      <c r="K242" s="282"/>
      <c r="L242" s="282">
        <f ca="1">IFERROR(__xludf.DUMMYFUNCTION("IMPORTRANGE(""https://docs.google.com/spreadsheets/d/1QqKyyYR6Q21VydFLVH3TRQUabQu_ym0Zz7PgGX0-kHA/edit?usp=sharing"",""แผน!AY68"")"),0)</f>
        <v>0</v>
      </c>
      <c r="M242" s="282"/>
      <c r="N242" s="829">
        <v>0</v>
      </c>
      <c r="O242" s="282"/>
      <c r="P242" s="282"/>
      <c r="Q242" s="326"/>
      <c r="R242" s="326"/>
      <c r="S242" s="326"/>
      <c r="T242" s="326"/>
      <c r="U242" s="326"/>
      <c r="V242" s="326"/>
      <c r="W242" s="326"/>
      <c r="X242" s="326"/>
      <c r="Y242" s="326"/>
      <c r="Z242" s="326"/>
    </row>
    <row r="243" spans="1:26" ht="19.5" hidden="1">
      <c r="A243" s="170"/>
      <c r="B243" s="171"/>
      <c r="C243" s="292" t="s">
        <v>16</v>
      </c>
      <c r="D243" s="823" t="s">
        <v>38</v>
      </c>
      <c r="E243" s="173"/>
      <c r="F243" s="173"/>
      <c r="G243" s="174"/>
      <c r="H243" s="753"/>
      <c r="I243" s="184"/>
      <c r="J243" s="269"/>
      <c r="K243" s="496"/>
      <c r="L243" s="496"/>
      <c r="M243" s="496"/>
      <c r="N243" s="496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46" t="s">
        <v>117</v>
      </c>
      <c r="E244" s="178"/>
      <c r="F244" s="178"/>
      <c r="G244" s="179"/>
      <c r="H244" s="755" t="s">
        <v>35</v>
      </c>
      <c r="I244" s="269">
        <f ca="1">IFERROR(__xludf.DUMMYFUNCTION("IMPORTRANGE(""https://docs.google.com/spreadsheets/d/1QqKyyYR6Q21VydFLVH3TRQUabQu_ym0Zz7PgGX0-kHA/edit?usp=sharing"",""แผน!BE68"")"),0)</f>
        <v>0</v>
      </c>
      <c r="J244" s="214">
        <v>0</v>
      </c>
      <c r="K244" s="496">
        <f ca="1">IF(I244&gt;0,J244*100/I244,0)</f>
        <v>0</v>
      </c>
      <c r="L244" s="496"/>
      <c r="M244" s="496"/>
      <c r="N244" s="496"/>
      <c r="O244" s="496"/>
      <c r="P244" s="496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830" t="s">
        <v>43</v>
      </c>
      <c r="E245" s="178"/>
      <c r="F245" s="178"/>
      <c r="G245" s="179"/>
      <c r="H245" s="755"/>
      <c r="I245" s="269"/>
      <c r="J245" s="269"/>
      <c r="K245" s="496"/>
      <c r="L245" s="496"/>
      <c r="M245" s="496"/>
      <c r="N245" s="496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176" t="s">
        <v>118</v>
      </c>
      <c r="F246" s="178"/>
      <c r="G246" s="179"/>
      <c r="H246" s="755" t="s">
        <v>35</v>
      </c>
      <c r="I246" s="269"/>
      <c r="J246" s="214">
        <v>0</v>
      </c>
      <c r="K246" s="496">
        <f t="shared" ref="K246:K248" si="112">IF(I246&gt;0,J246*100/I246,0)</f>
        <v>0</v>
      </c>
      <c r="L246" s="496"/>
      <c r="M246" s="496"/>
      <c r="N246" s="496"/>
      <c r="O246" s="496"/>
      <c r="P246" s="496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176" t="s">
        <v>119</v>
      </c>
      <c r="F247" s="178"/>
      <c r="G247" s="179"/>
      <c r="H247" s="755" t="s">
        <v>69</v>
      </c>
      <c r="I247" s="269"/>
      <c r="J247" s="214">
        <v>0</v>
      </c>
      <c r="K247" s="496">
        <f t="shared" si="112"/>
        <v>0</v>
      </c>
      <c r="L247" s="496"/>
      <c r="M247" s="496"/>
      <c r="N247" s="496"/>
      <c r="O247" s="496"/>
      <c r="P247" s="496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5"/>
      <c r="B248" s="263"/>
      <c r="C248" s="270" t="s">
        <v>121</v>
      </c>
      <c r="D248" s="256"/>
      <c r="E248" s="256"/>
      <c r="F248" s="256"/>
      <c r="G248" s="258"/>
      <c r="H248" s="259" t="s">
        <v>35</v>
      </c>
      <c r="I248" s="271">
        <f t="shared" ref="I248:J248" ca="1" si="113">I255</f>
        <v>0</v>
      </c>
      <c r="J248" s="271">
        <f t="shared" si="113"/>
        <v>0</v>
      </c>
      <c r="K248" s="272">
        <f t="shared" ca="1" si="112"/>
        <v>0</v>
      </c>
      <c r="L248" s="261"/>
      <c r="M248" s="261"/>
      <c r="N248" s="261"/>
      <c r="O248" s="261"/>
      <c r="P248" s="261"/>
    </row>
    <row r="249" spans="1:26" ht="19.5" hidden="1">
      <c r="A249" s="147"/>
      <c r="B249" s="148"/>
      <c r="C249" s="149" t="s">
        <v>16</v>
      </c>
      <c r="D249" s="826" t="s">
        <v>17</v>
      </c>
      <c r="E249" s="148"/>
      <c r="F249" s="148"/>
      <c r="G249" s="151"/>
      <c r="H249" s="274" t="s">
        <v>12</v>
      </c>
      <c r="I249" s="418"/>
      <c r="J249" s="418"/>
      <c r="K249" s="279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4"/>
      <c r="B250" s="315"/>
      <c r="C250" s="316"/>
      <c r="D250" s="324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282">
        <f ca="1">IFERROR(__xludf.DUMMYFUNCTION("IMPORTRANGE(""https://docs.google.com/spreadsheets/d/1QqKyyYR6Q21VydFLVH3TRQUabQu_ym0Zz7PgGX0-kHA/edit?usp=sharing"",""แผน!AZ68"")"),0)</f>
        <v>0</v>
      </c>
      <c r="M250" s="282"/>
      <c r="N250" s="829">
        <v>0</v>
      </c>
      <c r="O250" s="282"/>
      <c r="P250" s="282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9.5" hidden="1">
      <c r="A251" s="322"/>
      <c r="B251" s="315"/>
      <c r="C251" s="323"/>
      <c r="D251" s="324" t="s">
        <v>98</v>
      </c>
      <c r="E251" s="316"/>
      <c r="F251" s="316"/>
      <c r="G251" s="318"/>
      <c r="H251" s="319" t="s">
        <v>12</v>
      </c>
      <c r="I251" s="325"/>
      <c r="J251" s="325"/>
      <c r="K251" s="282"/>
      <c r="L251" s="282">
        <f ca="1">IFERROR(__xludf.DUMMYFUNCTION("IMPORTRANGE(""https://docs.google.com/spreadsheets/d/1QqKyyYR6Q21VydFLVH3TRQUabQu_ym0Zz7PgGX0-kHA/edit?usp=sharing"",""แผน!BA68"")"),0)</f>
        <v>0</v>
      </c>
      <c r="M251" s="282"/>
      <c r="N251" s="829">
        <v>0</v>
      </c>
      <c r="O251" s="282"/>
      <c r="P251" s="282"/>
      <c r="Q251" s="326"/>
      <c r="R251" s="326"/>
      <c r="S251" s="326"/>
      <c r="T251" s="326"/>
      <c r="U251" s="326"/>
      <c r="V251" s="326"/>
      <c r="W251" s="326"/>
      <c r="X251" s="326"/>
      <c r="Y251" s="326"/>
      <c r="Z251" s="326"/>
    </row>
    <row r="252" spans="1:26" ht="19.5" hidden="1">
      <c r="A252" s="322"/>
      <c r="B252" s="315"/>
      <c r="C252" s="323"/>
      <c r="D252" s="324" t="s">
        <v>116</v>
      </c>
      <c r="E252" s="316"/>
      <c r="F252" s="316"/>
      <c r="G252" s="318"/>
      <c r="H252" s="319" t="s">
        <v>12</v>
      </c>
      <c r="I252" s="325"/>
      <c r="J252" s="325"/>
      <c r="K252" s="282"/>
      <c r="L252" s="282">
        <f ca="1">IFERROR(__xludf.DUMMYFUNCTION("IMPORTRANGE(""https://docs.google.com/spreadsheets/d/1QqKyyYR6Q21VydFLVH3TRQUabQu_ym0Zz7PgGX0-kHA/edit?usp=sharing"",""แผน!BB68"")"),0)</f>
        <v>0</v>
      </c>
      <c r="M252" s="282"/>
      <c r="N252" s="829">
        <v>0</v>
      </c>
      <c r="O252" s="282"/>
      <c r="P252" s="282"/>
      <c r="Q252" s="326"/>
      <c r="R252" s="326"/>
      <c r="S252" s="326"/>
      <c r="T252" s="326"/>
      <c r="U252" s="326"/>
      <c r="V252" s="326"/>
      <c r="W252" s="326"/>
      <c r="X252" s="326"/>
      <c r="Y252" s="326"/>
      <c r="Z252" s="326"/>
    </row>
    <row r="253" spans="1:26" ht="19.5" hidden="1">
      <c r="A253" s="322"/>
      <c r="B253" s="315"/>
      <c r="C253" s="323"/>
      <c r="D253" s="324" t="s">
        <v>100</v>
      </c>
      <c r="E253" s="316"/>
      <c r="F253" s="316"/>
      <c r="G253" s="318"/>
      <c r="H253" s="319" t="s">
        <v>12</v>
      </c>
      <c r="I253" s="325"/>
      <c r="J253" s="325"/>
      <c r="K253" s="282"/>
      <c r="L253" s="282">
        <f ca="1">IFERROR(__xludf.DUMMYFUNCTION("IMPORTRANGE(""https://docs.google.com/spreadsheets/d/1QqKyyYR6Q21VydFLVH3TRQUabQu_ym0Zz7PgGX0-kHA/edit?usp=sharing"",""แผน!BC68"")"),0)</f>
        <v>0</v>
      </c>
      <c r="M253" s="282"/>
      <c r="N253" s="829">
        <v>0</v>
      </c>
      <c r="O253" s="282"/>
      <c r="P253" s="282"/>
      <c r="Q253" s="326"/>
      <c r="R253" s="326"/>
      <c r="S253" s="326"/>
      <c r="T253" s="326"/>
      <c r="U253" s="326"/>
      <c r="V253" s="326"/>
      <c r="W253" s="326"/>
      <c r="X253" s="326"/>
      <c r="Y253" s="326"/>
      <c r="Z253" s="326"/>
    </row>
    <row r="254" spans="1:26" ht="19.5" hidden="1">
      <c r="A254" s="170"/>
      <c r="B254" s="171"/>
      <c r="C254" s="292" t="s">
        <v>16</v>
      </c>
      <c r="D254" s="823" t="s">
        <v>38</v>
      </c>
      <c r="E254" s="173"/>
      <c r="F254" s="173"/>
      <c r="G254" s="174"/>
      <c r="H254" s="753"/>
      <c r="I254" s="184"/>
      <c r="J254" s="269"/>
      <c r="K254" s="496"/>
      <c r="L254" s="496"/>
      <c r="M254" s="496"/>
      <c r="N254" s="496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6" t="s">
        <v>117</v>
      </c>
      <c r="E255" s="178"/>
      <c r="F255" s="178"/>
      <c r="G255" s="179"/>
      <c r="H255" s="755" t="s">
        <v>35</v>
      </c>
      <c r="I255" s="269">
        <f ca="1">IFERROR(__xludf.DUMMYFUNCTION("IMPORTRANGE(""https://docs.google.com/spreadsheets/d/1QqKyyYR6Q21VydFLVH3TRQUabQu_ym0Zz7PgGX0-kHA/edit?usp=sharing"",""แผน!BF68"")"),0)</f>
        <v>0</v>
      </c>
      <c r="J255" s="214">
        <v>0</v>
      </c>
      <c r="K255" s="496">
        <f ca="1">IF(I255&gt;0,J255*100/I255,0)</f>
        <v>0</v>
      </c>
      <c r="L255" s="496"/>
      <c r="M255" s="496"/>
      <c r="N255" s="496"/>
      <c r="O255" s="496"/>
      <c r="P255" s="496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30" t="s">
        <v>43</v>
      </c>
      <c r="E256" s="178"/>
      <c r="F256" s="178"/>
      <c r="G256" s="179"/>
      <c r="H256" s="755"/>
      <c r="I256" s="269"/>
      <c r="J256" s="269"/>
      <c r="K256" s="496"/>
      <c r="L256" s="496"/>
      <c r="M256" s="496"/>
      <c r="N256" s="496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55" t="s">
        <v>35</v>
      </c>
      <c r="I257" s="269"/>
      <c r="J257" s="214">
        <v>0</v>
      </c>
      <c r="K257" s="496">
        <f t="shared" ref="K257:K258" si="114">IF(I257&gt;0,J257*100/I257,0)</f>
        <v>0</v>
      </c>
      <c r="L257" s="496"/>
      <c r="M257" s="496"/>
      <c r="N257" s="496"/>
      <c r="O257" s="496"/>
      <c r="P257" s="496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55" t="s">
        <v>69</v>
      </c>
      <c r="I258" s="269"/>
      <c r="J258" s="214">
        <v>0</v>
      </c>
      <c r="K258" s="496">
        <f t="shared" si="114"/>
        <v>0</v>
      </c>
      <c r="L258" s="496"/>
      <c r="M258" s="496"/>
      <c r="N258" s="496"/>
      <c r="O258" s="496"/>
      <c r="P258" s="496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1" t="s">
        <v>122</v>
      </c>
      <c r="B259" s="242"/>
      <c r="C259" s="242"/>
      <c r="D259" s="243"/>
      <c r="E259" s="243"/>
      <c r="F259" s="243"/>
      <c r="G259" s="244"/>
      <c r="H259" s="245"/>
      <c r="I259" s="246"/>
      <c r="J259" s="246"/>
      <c r="K259" s="247"/>
      <c r="L259" s="247"/>
      <c r="M259" s="247"/>
      <c r="N259" s="247"/>
      <c r="O259" s="247"/>
      <c r="P259" s="247"/>
    </row>
    <row r="260" spans="1:26" ht="19.5">
      <c r="A260" s="248"/>
      <c r="B260" s="249" t="s">
        <v>123</v>
      </c>
      <c r="C260" s="250"/>
      <c r="D260" s="173"/>
      <c r="E260" s="173"/>
      <c r="F260" s="173"/>
      <c r="G260" s="174"/>
      <c r="H260" s="251" t="s">
        <v>35</v>
      </c>
      <c r="I260" s="252">
        <f t="shared" ref="I260:J260" ca="1" si="115">I271</f>
        <v>22</v>
      </c>
      <c r="J260" s="252">
        <f t="shared" si="115"/>
        <v>0</v>
      </c>
      <c r="K260" s="253">
        <f ca="1">IF(I260&gt;0,J260*100/I260,0)</f>
        <v>0</v>
      </c>
      <c r="L260" s="254"/>
      <c r="M260" s="254"/>
      <c r="N260" s="254"/>
      <c r="O260" s="254"/>
      <c r="P260" s="254"/>
    </row>
    <row r="261" spans="1:26" ht="19.5">
      <c r="A261" s="147"/>
      <c r="B261" s="148"/>
      <c r="C261" s="149" t="s">
        <v>16</v>
      </c>
      <c r="D261" s="822" t="s">
        <v>17</v>
      </c>
      <c r="E261" s="148"/>
      <c r="F261" s="148"/>
      <c r="G261" s="151"/>
      <c r="H261" s="152" t="s">
        <v>12</v>
      </c>
      <c r="I261" s="419"/>
      <c r="J261" s="419"/>
      <c r="K261" s="154"/>
      <c r="L261" s="155">
        <f t="shared" ref="L261:N261" ca="1" si="116">L262+L263</f>
        <v>26900</v>
      </c>
      <c r="M261" s="155">
        <f t="shared" ca="1" si="116"/>
        <v>0</v>
      </c>
      <c r="N261" s="155">
        <f t="shared" ca="1" si="116"/>
        <v>0</v>
      </c>
      <c r="O261" s="155">
        <f t="shared" ref="O261:O269" ca="1" si="117">IF(L261&gt;0,N261*100/L261,0)</f>
        <v>0</v>
      </c>
      <c r="P261" s="155">
        <f t="shared" ref="P261:P269" ca="1" si="118">IF(M261&gt;0,N261*100/M261,0)</f>
        <v>0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2" t="s">
        <v>18</v>
      </c>
      <c r="F262" s="40"/>
      <c r="G262" s="157"/>
      <c r="H262" s="158" t="s">
        <v>12</v>
      </c>
      <c r="I262" s="610"/>
      <c r="J262" s="610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2" t="s">
        <v>19</v>
      </c>
      <c r="F263" s="40"/>
      <c r="G263" s="157"/>
      <c r="H263" s="158" t="s">
        <v>12</v>
      </c>
      <c r="I263" s="610"/>
      <c r="J263" s="610"/>
      <c r="K263" s="93"/>
      <c r="L263" s="93">
        <f t="shared" ca="1" si="119"/>
        <v>26900</v>
      </c>
      <c r="M263" s="93">
        <f t="shared" ca="1" si="119"/>
        <v>0</v>
      </c>
      <c r="N263" s="93">
        <f t="shared" ca="1" si="119"/>
        <v>0</v>
      </c>
      <c r="O263" s="93">
        <f t="shared" ca="1" si="117"/>
        <v>0</v>
      </c>
      <c r="P263" s="93">
        <f t="shared" ca="1" si="118"/>
        <v>0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1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6">
        <f t="shared" ref="L264:N264" ca="1" si="120">L265+L266</f>
        <v>26900</v>
      </c>
      <c r="M264" s="496">
        <f t="shared" ca="1" si="120"/>
        <v>0</v>
      </c>
      <c r="N264" s="496">
        <f t="shared" ca="1" si="120"/>
        <v>0</v>
      </c>
      <c r="O264" s="496">
        <f t="shared" ca="1" si="117"/>
        <v>0</v>
      </c>
      <c r="P264" s="496">
        <f t="shared" ca="1" si="118"/>
        <v>0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2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2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IFERROR(__xludf.DUMMYFUNCTION("IMPORTRANGE(""https://docs.google.com/spreadsheets/d/1MeEWN-I1oV_STSDYn1IFDPWt_1FKiwhDph83XaGc0o0/edit?usp=sharing"",""งบพรบ!CY68"")"),26900)</f>
        <v>26900</v>
      </c>
      <c r="M266" s="93">
        <f ca="1">IFERROR(__xludf.DUMMYFUNCTION("IMPORTRANGE(""https://docs.google.com/spreadsheets/d/1MeEWN-I1oV_STSDYn1IFDPWt_1FKiwhDph83XaGc0o0/edit?usp=sharing"",""งบพรบ!DD68"")"),0)</f>
        <v>0</v>
      </c>
      <c r="N266" s="93">
        <f ca="1">IFERROR(__xludf.DUMMYFUNCTION("IMPORTRANGE(""https://docs.google.com/spreadsheets/d/1MeEWN-I1oV_STSDYn1IFDPWt_1FKiwhDph83XaGc0o0/edit?usp=sharing"",""งบพรบ!DF68"")"),0)</f>
        <v>0</v>
      </c>
      <c r="O266" s="93">
        <f t="shared" ca="1" si="117"/>
        <v>0</v>
      </c>
      <c r="P266" s="93">
        <f t="shared" ca="1" si="118"/>
        <v>0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1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6">
        <f t="shared" ref="L267:N267" ca="1" si="121">L268+L269</f>
        <v>0</v>
      </c>
      <c r="M267" s="496">
        <f t="shared" ca="1" si="121"/>
        <v>0</v>
      </c>
      <c r="N267" s="496">
        <f t="shared" ca="1" si="121"/>
        <v>0</v>
      </c>
      <c r="O267" s="496">
        <f t="shared" ca="1" si="117"/>
        <v>0</v>
      </c>
      <c r="P267" s="496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2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2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IFERROR(__xludf.DUMMYFUNCTION("IMPORTRANGE(""https://docs.google.com/spreadsheets/d/1MeEWN-I1oV_STSDYn1IFDPWt_1FKiwhDph83XaGc0o0/edit?usp=sharing"",""งบพรบ!DB68"")"),0)</f>
        <v>0</v>
      </c>
      <c r="M269" s="93">
        <f ca="1">IFERROR(__xludf.DUMMYFUNCTION("IMPORTRANGE(""https://docs.google.com/spreadsheets/d/1MeEWN-I1oV_STSDYn1IFDPWt_1FKiwhDph83XaGc0o0/edit?usp=sharing"",""งบพรบ!DE68"")"),0)</f>
        <v>0</v>
      </c>
      <c r="N269" s="93">
        <f ca="1">IFERROR(__xludf.DUMMYFUNCTION("IMPORTRANGE(""https://docs.google.com/spreadsheets/d/1MeEWN-I1oV_STSDYn1IFDPWt_1FKiwhDph83XaGc0o0/edit?usp=sharing"",""งบพรบ!DG68"")"),0)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1" t="s">
        <v>16</v>
      </c>
      <c r="D270" s="823" t="s">
        <v>38</v>
      </c>
      <c r="E270" s="173"/>
      <c r="F270" s="173"/>
      <c r="G270" s="174"/>
      <c r="H270" s="753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5" t="s">
        <v>124</v>
      </c>
      <c r="E271" s="178"/>
      <c r="F271" s="366"/>
      <c r="G271" s="179"/>
      <c r="H271" s="376" t="s">
        <v>35</v>
      </c>
      <c r="I271" s="269">
        <f ca="1">IFERROR(__xludf.DUMMYFUNCTION("IMPORTRANGE(""https://docs.google.com/spreadsheets/d/1QqKyyYR6Q21VydFLVH3TRQUabQu_ym0Zz7PgGX0-kHA/edit?usp=sharing"",""แผน!EA68"")"),22)</f>
        <v>22</v>
      </c>
      <c r="J271" s="214">
        <v>0</v>
      </c>
      <c r="K271" s="163">
        <f ca="1">IF(I271&gt;0,J271*100/I271,0)</f>
        <v>0</v>
      </c>
      <c r="L271" s="163"/>
      <c r="M271" s="163"/>
      <c r="N271" s="163"/>
      <c r="O271" s="163"/>
      <c r="P271" s="163"/>
    </row>
    <row r="272" spans="1:26" ht="18.75" hidden="1">
      <c r="A272" s="377"/>
      <c r="B272" s="378"/>
      <c r="C272" s="378"/>
      <c r="D272" s="379" t="s">
        <v>125</v>
      </c>
      <c r="E272" s="380"/>
      <c r="F272" s="380"/>
      <c r="G272" s="381"/>
      <c r="H272" s="50" t="s">
        <v>35</v>
      </c>
      <c r="I272" s="499">
        <v>0</v>
      </c>
      <c r="J272" s="499">
        <v>0</v>
      </c>
      <c r="K272" s="384">
        <v>0</v>
      </c>
      <c r="L272" s="384"/>
      <c r="M272" s="384"/>
      <c r="N272" s="384"/>
      <c r="O272" s="384"/>
      <c r="P272" s="384"/>
    </row>
    <row r="273" spans="1:26" ht="19.5">
      <c r="A273" s="385" t="s">
        <v>126</v>
      </c>
      <c r="B273" s="386"/>
      <c r="C273" s="386"/>
      <c r="D273" s="386"/>
      <c r="E273" s="387"/>
      <c r="F273" s="387"/>
      <c r="G273" s="388"/>
      <c r="H273" s="389"/>
      <c r="I273" s="390"/>
      <c r="J273" s="390"/>
      <c r="K273" s="391"/>
      <c r="L273" s="391"/>
      <c r="M273" s="391"/>
      <c r="N273" s="391"/>
      <c r="O273" s="391"/>
      <c r="P273" s="391"/>
    </row>
    <row r="274" spans="1:26" ht="19.5">
      <c r="A274" s="392" t="s">
        <v>127</v>
      </c>
      <c r="B274" s="393"/>
      <c r="C274" s="394"/>
      <c r="D274" s="393"/>
      <c r="E274" s="393"/>
      <c r="F274" s="393"/>
      <c r="G274" s="393"/>
      <c r="H274" s="395"/>
      <c r="I274" s="396"/>
      <c r="J274" s="397"/>
      <c r="K274" s="398"/>
      <c r="L274" s="398"/>
      <c r="M274" s="398"/>
      <c r="N274" s="398"/>
      <c r="O274" s="398"/>
      <c r="P274" s="398"/>
    </row>
    <row r="275" spans="1:26" ht="19.5">
      <c r="A275" s="399"/>
      <c r="B275" s="408" t="s">
        <v>128</v>
      </c>
      <c r="C275" s="401"/>
      <c r="D275" s="402"/>
      <c r="E275" s="401"/>
      <c r="F275" s="401"/>
      <c r="G275" s="403"/>
      <c r="H275" s="404" t="s">
        <v>35</v>
      </c>
      <c r="I275" s="405">
        <f t="shared" ref="I275:J275" ca="1" si="122">I288</f>
        <v>60</v>
      </c>
      <c r="J275" s="405">
        <f t="shared" ca="1" si="122"/>
        <v>0</v>
      </c>
      <c r="K275" s="406">
        <f t="shared" ref="K275:K276" ca="1" si="123">IF(I275&gt;0,J275*100/I275,0)</f>
        <v>0</v>
      </c>
      <c r="L275" s="407"/>
      <c r="M275" s="407"/>
      <c r="N275" s="407"/>
      <c r="O275" s="407"/>
      <c r="P275" s="407"/>
    </row>
    <row r="276" spans="1:26" ht="19.5">
      <c r="A276" s="399"/>
      <c r="B276" s="408"/>
      <c r="C276" s="401"/>
      <c r="D276" s="402"/>
      <c r="E276" s="401"/>
      <c r="F276" s="401"/>
      <c r="G276" s="403"/>
      <c r="H276" s="404" t="s">
        <v>46</v>
      </c>
      <c r="I276" s="831">
        <f t="shared" ref="I276:J276" ca="1" si="124">I287</f>
        <v>600</v>
      </c>
      <c r="J276" s="831">
        <f t="shared" si="124"/>
        <v>0</v>
      </c>
      <c r="K276" s="407">
        <f t="shared" ca="1" si="123"/>
        <v>0</v>
      </c>
      <c r="L276" s="407"/>
      <c r="M276" s="407"/>
      <c r="N276" s="407"/>
      <c r="O276" s="407"/>
      <c r="P276" s="407"/>
    </row>
    <row r="277" spans="1:26" ht="19.5">
      <c r="A277" s="147"/>
      <c r="B277" s="148"/>
      <c r="C277" s="149" t="s">
        <v>16</v>
      </c>
      <c r="D277" s="822" t="s">
        <v>17</v>
      </c>
      <c r="E277" s="148"/>
      <c r="F277" s="148"/>
      <c r="G277" s="151"/>
      <c r="H277" s="152" t="s">
        <v>12</v>
      </c>
      <c r="I277" s="419"/>
      <c r="J277" s="419"/>
      <c r="K277" s="154"/>
      <c r="L277" s="155">
        <f t="shared" ref="L277:N277" ca="1" si="125">L278+L279</f>
        <v>216980</v>
      </c>
      <c r="M277" s="155">
        <f t="shared" ca="1" si="125"/>
        <v>90920</v>
      </c>
      <c r="N277" s="155">
        <f t="shared" ca="1" si="125"/>
        <v>740</v>
      </c>
      <c r="O277" s="155">
        <f t="shared" ref="O277:O285" ca="1" si="126">IF(L277&gt;0,N277*100/L277,0)</f>
        <v>0.3410452576274311</v>
      </c>
      <c r="P277" s="155">
        <f t="shared" ref="P277:P285" ca="1" si="127">IF(M277&gt;0,N277*100/M277,0)</f>
        <v>0.81390233172019355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2" t="s">
        <v>18</v>
      </c>
      <c r="F278" s="40"/>
      <c r="G278" s="157"/>
      <c r="H278" s="158" t="s">
        <v>12</v>
      </c>
      <c r="I278" s="610"/>
      <c r="J278" s="610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2" t="s">
        <v>19</v>
      </c>
      <c r="F279" s="40"/>
      <c r="G279" s="157"/>
      <c r="H279" s="158" t="s">
        <v>12</v>
      </c>
      <c r="I279" s="610"/>
      <c r="J279" s="610"/>
      <c r="K279" s="93"/>
      <c r="L279" s="93">
        <f t="shared" ca="1" si="128"/>
        <v>216980</v>
      </c>
      <c r="M279" s="93">
        <f t="shared" ca="1" si="128"/>
        <v>90920</v>
      </c>
      <c r="N279" s="93">
        <f t="shared" ca="1" si="128"/>
        <v>740</v>
      </c>
      <c r="O279" s="93">
        <f t="shared" ca="1" si="126"/>
        <v>0.3410452576274311</v>
      </c>
      <c r="P279" s="93">
        <f t="shared" ca="1" si="127"/>
        <v>0.81390233172019355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>
      <c r="A280" s="159"/>
      <c r="B280" s="33"/>
      <c r="C280" s="281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6">
        <f t="shared" ref="L280:N280" ca="1" si="129">L281+L282</f>
        <v>216980</v>
      </c>
      <c r="M280" s="496">
        <f t="shared" ca="1" si="129"/>
        <v>90920</v>
      </c>
      <c r="N280" s="496">
        <f t="shared" ca="1" si="129"/>
        <v>740</v>
      </c>
      <c r="O280" s="496">
        <f t="shared" ca="1" si="126"/>
        <v>0.3410452576274311</v>
      </c>
      <c r="P280" s="496">
        <f t="shared" ca="1" si="127"/>
        <v>0.81390233172019355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2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2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IFERROR(__xludf.DUMMYFUNCTION("IMPORTRANGE(""https://docs.google.com/spreadsheets/d/1MeEWN-I1oV_STSDYn1IFDPWt_1FKiwhDph83XaGc0o0/edit?usp=sharing"",""งบพรบ!DI68"")"),216980)</f>
        <v>216980</v>
      </c>
      <c r="M282" s="93">
        <f ca="1">IFERROR(__xludf.DUMMYFUNCTION("IMPORTRANGE(""https://docs.google.com/spreadsheets/d/1MeEWN-I1oV_STSDYn1IFDPWt_1FKiwhDph83XaGc0o0/edit?usp=sharing"",""งบพรบ!DN68"")"),90920)</f>
        <v>90920</v>
      </c>
      <c r="N282" s="93">
        <f ca="1">IFERROR(__xludf.DUMMYFUNCTION("IMPORTRANGE(""https://docs.google.com/spreadsheets/d/1MeEWN-I1oV_STSDYn1IFDPWt_1FKiwhDph83XaGc0o0/edit?usp=sharing"",""งบพรบ!DP68"")"),740)</f>
        <v>740</v>
      </c>
      <c r="O282" s="93">
        <f t="shared" ca="1" si="126"/>
        <v>0.3410452576274311</v>
      </c>
      <c r="P282" s="93">
        <f t="shared" ca="1" si="127"/>
        <v>0.81390233172019355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>
      <c r="A283" s="159"/>
      <c r="B283" s="33"/>
      <c r="C283" s="281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6">
        <f t="shared" ref="L283:N283" ca="1" si="130">L284+L285</f>
        <v>0</v>
      </c>
      <c r="M283" s="496">
        <f t="shared" ca="1" si="130"/>
        <v>0</v>
      </c>
      <c r="N283" s="496">
        <f t="shared" ca="1" si="130"/>
        <v>0</v>
      </c>
      <c r="O283" s="496">
        <f t="shared" ca="1" si="126"/>
        <v>0</v>
      </c>
      <c r="P283" s="496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2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2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IFERROR(__xludf.DUMMYFUNCTION("IMPORTRANGE(""https://docs.google.com/spreadsheets/d/1MeEWN-I1oV_STSDYn1IFDPWt_1FKiwhDph83XaGc0o0/edit?usp=sharing"",""งบพรบ!DL68"")"),0)</f>
        <v>0</v>
      </c>
      <c r="M285" s="93">
        <f ca="1">IFERROR(__xludf.DUMMYFUNCTION("IMPORTRANGE(""https://docs.google.com/spreadsheets/d/1MeEWN-I1oV_STSDYn1IFDPWt_1FKiwhDph83XaGc0o0/edit?usp=sharing"",""งบพรบ!DO68"")"),0)</f>
        <v>0</v>
      </c>
      <c r="N285" s="93">
        <f ca="1">IFERROR(__xludf.DUMMYFUNCTION("IMPORTRANGE(""https://docs.google.com/spreadsheets/d/1MeEWN-I1oV_STSDYn1IFDPWt_1FKiwhDph83XaGc0o0/edit?usp=sharing"",""งบพรบ!DQ68"")"),0)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>
      <c r="A286" s="170"/>
      <c r="B286" s="171"/>
      <c r="C286" s="164" t="s">
        <v>16</v>
      </c>
      <c r="D286" s="823" t="s">
        <v>38</v>
      </c>
      <c r="E286" s="173"/>
      <c r="F286" s="173"/>
      <c r="G286" s="174"/>
      <c r="H286" s="753"/>
      <c r="I286" s="184"/>
      <c r="J286" s="184"/>
      <c r="K286" s="163"/>
      <c r="L286" s="163"/>
      <c r="M286" s="163"/>
      <c r="N286" s="163"/>
      <c r="O286" s="163"/>
      <c r="P286" s="163"/>
    </row>
    <row r="287" spans="1:26" ht="18.75">
      <c r="A287" s="170"/>
      <c r="B287" s="171"/>
      <c r="C287" s="171"/>
      <c r="D287" s="619" t="s">
        <v>129</v>
      </c>
      <c r="E287" s="171"/>
      <c r="F287" s="178"/>
      <c r="G287" s="179"/>
      <c r="H287" s="185" t="s">
        <v>46</v>
      </c>
      <c r="I287" s="269">
        <f ca="1">IFERROR(__xludf.DUMMYFUNCTION("IMPORTRANGE(""https://docs.google.com/spreadsheets/d/1QqKyyYR6Q21VydFLVH3TRQUabQu_ym0Zz7PgGX0-kHA/edit?usp=sharing"",""แผน!EC68"")"),600)</f>
        <v>600</v>
      </c>
      <c r="J287" s="214">
        <v>0</v>
      </c>
      <c r="K287" s="163">
        <f t="shared" ref="K287:K288" ca="1" si="131">IF(I287&gt;0,J287*100/I287,0)</f>
        <v>0</v>
      </c>
      <c r="L287" s="163"/>
      <c r="M287" s="163"/>
      <c r="N287" s="163"/>
      <c r="O287" s="163"/>
      <c r="P287" s="163"/>
    </row>
    <row r="288" spans="1:26" ht="19.5">
      <c r="A288" s="170"/>
      <c r="B288" s="171"/>
      <c r="C288" s="171"/>
      <c r="D288" s="619" t="s">
        <v>130</v>
      </c>
      <c r="E288" s="171"/>
      <c r="F288" s="178"/>
      <c r="G288" s="179"/>
      <c r="H288" s="180" t="s">
        <v>35</v>
      </c>
      <c r="I288" s="674">
        <f ca="1">IFERROR(__xludf.DUMMYFUNCTION("IMPORTRANGE(""https://docs.google.com/spreadsheets/d/1QqKyyYR6Q21VydFLVH3TRQUabQu_ym0Zz7PgGX0-kHA/edit?usp=sharing"",""แผน!EB68"")"),60)</f>
        <v>60</v>
      </c>
      <c r="J288" s="674">
        <f ca="1">IF(AND(J291&gt;=I288,J294&gt;=I288),J294,0)</f>
        <v>0</v>
      </c>
      <c r="K288" s="410">
        <f t="shared" ca="1" si="131"/>
        <v>0</v>
      </c>
      <c r="L288" s="163"/>
      <c r="M288" s="163"/>
      <c r="N288" s="163"/>
      <c r="O288" s="163"/>
      <c r="P288" s="163"/>
    </row>
    <row r="289" spans="1:26" ht="19.5">
      <c r="A289" s="170"/>
      <c r="B289" s="171"/>
      <c r="C289" s="171"/>
      <c r="D289" s="411"/>
      <c r="E289" s="412" t="s">
        <v>131</v>
      </c>
      <c r="F289" s="178"/>
      <c r="G289" s="179"/>
      <c r="H289" s="755"/>
      <c r="I289" s="184"/>
      <c r="J289" s="269"/>
      <c r="K289" s="163"/>
      <c r="L289" s="163"/>
      <c r="M289" s="163"/>
      <c r="N289" s="163"/>
      <c r="O289" s="163"/>
      <c r="P289" s="163"/>
    </row>
    <row r="290" spans="1:26" ht="19.5">
      <c r="A290" s="170"/>
      <c r="B290" s="171"/>
      <c r="C290" s="171"/>
      <c r="D290" s="411"/>
      <c r="E290" s="619" t="s">
        <v>132</v>
      </c>
      <c r="F290" s="178"/>
      <c r="G290" s="179"/>
      <c r="H290" s="755" t="s">
        <v>35</v>
      </c>
      <c r="I290" s="184">
        <f ca="1">IFERROR(__xludf.DUMMYFUNCTION("IMPORTRANGE(""https://docs.google.com/spreadsheets/d/1QqKyyYR6Q21VydFLVH3TRQUabQu_ym0Zz7PgGX0-kHA/edit?usp=sharing"",""แผน!EB68"")"),60)</f>
        <v>60</v>
      </c>
      <c r="J290" s="214">
        <v>0</v>
      </c>
      <c r="K290" s="163">
        <f t="shared" ref="K290:K291" ca="1" si="132">IF(I290&gt;0,J290*100/I290,0)</f>
        <v>0</v>
      </c>
      <c r="L290" s="163"/>
      <c r="M290" s="163"/>
      <c r="N290" s="163"/>
      <c r="O290" s="163"/>
      <c r="P290" s="163"/>
    </row>
    <row r="291" spans="1:26" ht="19.5">
      <c r="A291" s="170"/>
      <c r="B291" s="171"/>
      <c r="C291" s="171"/>
      <c r="D291" s="178"/>
      <c r="E291" s="619" t="s">
        <v>133</v>
      </c>
      <c r="F291" s="178"/>
      <c r="G291" s="179"/>
      <c r="H291" s="755" t="s">
        <v>35</v>
      </c>
      <c r="I291" s="184">
        <f ca="1">IFERROR(__xludf.DUMMYFUNCTION("IMPORTRANGE(""https://docs.google.com/spreadsheets/d/1QqKyyYR6Q21VydFLVH3TRQUabQu_ym0Zz7PgGX0-kHA/edit?usp=sharing"",""แผน!EB68"")"),60)</f>
        <v>60</v>
      </c>
      <c r="J291" s="214">
        <v>0</v>
      </c>
      <c r="K291" s="163">
        <f t="shared" ca="1" si="132"/>
        <v>0</v>
      </c>
      <c r="L291" s="163"/>
      <c r="M291" s="163"/>
      <c r="N291" s="163"/>
      <c r="O291" s="163"/>
      <c r="P291" s="163"/>
    </row>
    <row r="292" spans="1:26" ht="19.5">
      <c r="A292" s="413"/>
      <c r="B292" s="414"/>
      <c r="C292" s="414"/>
      <c r="D292" s="415"/>
      <c r="E292" s="416" t="s">
        <v>134</v>
      </c>
      <c r="F292" s="287"/>
      <c r="G292" s="288"/>
      <c r="H292" s="417"/>
      <c r="I292" s="418"/>
      <c r="J292" s="419"/>
      <c r="K292" s="279"/>
      <c r="L292" s="279"/>
      <c r="M292" s="279"/>
      <c r="N292" s="279"/>
      <c r="O292" s="279"/>
      <c r="P292" s="279"/>
    </row>
    <row r="293" spans="1:26" ht="19.5">
      <c r="A293" s="170"/>
      <c r="B293" s="171"/>
      <c r="C293" s="171"/>
      <c r="D293" s="411"/>
      <c r="E293" s="619" t="s">
        <v>132</v>
      </c>
      <c r="F293" s="178"/>
      <c r="G293" s="179"/>
      <c r="H293" s="755" t="s">
        <v>35</v>
      </c>
      <c r="I293" s="184">
        <f ca="1">IFERROR(__xludf.DUMMYFUNCTION("IMPORTRANGE(""https://docs.google.com/spreadsheets/d/1QqKyyYR6Q21VydFLVH3TRQUabQu_ym0Zz7PgGX0-kHA/edit?usp=sharing"",""แผน!EB68"")"),60)</f>
        <v>60</v>
      </c>
      <c r="J293" s="214">
        <v>0</v>
      </c>
      <c r="K293" s="163">
        <f t="shared" ref="K293:K294" ca="1" si="133">IF(I293&gt;0,J293*100/I293,0)</f>
        <v>0</v>
      </c>
      <c r="L293" s="163"/>
      <c r="M293" s="163"/>
      <c r="N293" s="163"/>
      <c r="O293" s="163"/>
      <c r="P293" s="163"/>
    </row>
    <row r="294" spans="1:26" ht="19.5">
      <c r="A294" s="377"/>
      <c r="B294" s="378"/>
      <c r="C294" s="378"/>
      <c r="D294" s="380"/>
      <c r="E294" s="725" t="s">
        <v>136</v>
      </c>
      <c r="F294" s="380"/>
      <c r="G294" s="381"/>
      <c r="H294" s="421" t="s">
        <v>35</v>
      </c>
      <c r="I294" s="422">
        <f ca="1">IFERROR(__xludf.DUMMYFUNCTION("IMPORTRANGE(""https://docs.google.com/spreadsheets/d/1QqKyyYR6Q21VydFLVH3TRQUabQu_ym0Zz7PgGX0-kHA/edit?usp=sharing"",""แผน!EB68"")"),60)</f>
        <v>60</v>
      </c>
      <c r="J294" s="423">
        <v>0</v>
      </c>
      <c r="K294" s="384">
        <f t="shared" ca="1" si="133"/>
        <v>0</v>
      </c>
      <c r="L294" s="384"/>
      <c r="M294" s="384"/>
      <c r="N294" s="384"/>
      <c r="O294" s="384"/>
      <c r="P294" s="384"/>
    </row>
    <row r="295" spans="1:26" ht="19.5">
      <c r="A295" s="424" t="s">
        <v>137</v>
      </c>
      <c r="B295" s="425"/>
      <c r="C295" s="425"/>
      <c r="D295" s="425"/>
      <c r="E295" s="426"/>
      <c r="F295" s="426"/>
      <c r="G295" s="427"/>
      <c r="H295" s="428"/>
      <c r="I295" s="429"/>
      <c r="J295" s="429"/>
      <c r="K295" s="430"/>
      <c r="L295" s="430"/>
      <c r="M295" s="430"/>
      <c r="N295" s="430"/>
      <c r="O295" s="430"/>
      <c r="P295" s="430"/>
    </row>
    <row r="296" spans="1:26" ht="19.5">
      <c r="A296" s="431" t="s">
        <v>138</v>
      </c>
      <c r="B296" s="432"/>
      <c r="C296" s="432"/>
      <c r="D296" s="433"/>
      <c r="E296" s="433"/>
      <c r="F296" s="433"/>
      <c r="G296" s="434"/>
      <c r="H296" s="435"/>
      <c r="I296" s="436"/>
      <c r="J296" s="436"/>
      <c r="K296" s="437"/>
      <c r="L296" s="437"/>
      <c r="M296" s="437"/>
      <c r="N296" s="437"/>
      <c r="O296" s="437"/>
      <c r="P296" s="437"/>
    </row>
    <row r="297" spans="1:26" ht="19.5">
      <c r="A297" s="438"/>
      <c r="B297" s="439" t="s">
        <v>139</v>
      </c>
      <c r="C297" s="440"/>
      <c r="D297" s="440"/>
      <c r="E297" s="440"/>
      <c r="F297" s="440"/>
      <c r="G297" s="441"/>
      <c r="H297" s="442" t="s">
        <v>35</v>
      </c>
      <c r="I297" s="443">
        <f t="shared" ref="I297:J297" ca="1" si="134">I309</f>
        <v>25</v>
      </c>
      <c r="J297" s="443">
        <f t="shared" si="134"/>
        <v>0</v>
      </c>
      <c r="K297" s="444">
        <f ca="1">IF(I297&gt;0,J297*100/I297,0)</f>
        <v>0</v>
      </c>
      <c r="L297" s="445"/>
      <c r="M297" s="445"/>
      <c r="N297" s="445"/>
      <c r="O297" s="445"/>
      <c r="P297" s="445"/>
    </row>
    <row r="298" spans="1:26" ht="19.5">
      <c r="A298" s="147"/>
      <c r="B298" s="148"/>
      <c r="C298" s="149" t="s">
        <v>16</v>
      </c>
      <c r="D298" s="822" t="s">
        <v>17</v>
      </c>
      <c r="E298" s="148"/>
      <c r="F298" s="148"/>
      <c r="G298" s="151"/>
      <c r="H298" s="152" t="s">
        <v>12</v>
      </c>
      <c r="I298" s="419"/>
      <c r="J298" s="419"/>
      <c r="K298" s="154"/>
      <c r="L298" s="155">
        <f t="shared" ref="L298:N298" ca="1" si="135">L299+L300</f>
        <v>101000</v>
      </c>
      <c r="M298" s="155">
        <f t="shared" ca="1" si="135"/>
        <v>60400</v>
      </c>
      <c r="N298" s="155">
        <f t="shared" ca="1" si="135"/>
        <v>12380</v>
      </c>
      <c r="O298" s="155">
        <f t="shared" ref="O298:O306" ca="1" si="136">IF(L298&gt;0,N298*100/L298,0)</f>
        <v>12.257425742574258</v>
      </c>
      <c r="P298" s="155">
        <f t="shared" ref="P298:P306" ca="1" si="137">IF(M298&gt;0,N298*100/M298,0)</f>
        <v>20.496688741721854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2" t="s">
        <v>18</v>
      </c>
      <c r="F299" s="40"/>
      <c r="G299" s="157"/>
      <c r="H299" s="158" t="s">
        <v>12</v>
      </c>
      <c r="I299" s="610"/>
      <c r="J299" s="610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2" t="s">
        <v>19</v>
      </c>
      <c r="F300" s="40"/>
      <c r="G300" s="157"/>
      <c r="H300" s="158" t="s">
        <v>12</v>
      </c>
      <c r="I300" s="610"/>
      <c r="J300" s="610"/>
      <c r="K300" s="93"/>
      <c r="L300" s="93">
        <f t="shared" ca="1" si="138"/>
        <v>101000</v>
      </c>
      <c r="M300" s="93">
        <f t="shared" ca="1" si="138"/>
        <v>60400</v>
      </c>
      <c r="N300" s="93">
        <f t="shared" ca="1" si="138"/>
        <v>12380</v>
      </c>
      <c r="O300" s="93">
        <f t="shared" ca="1" si="136"/>
        <v>12.257425742574258</v>
      </c>
      <c r="P300" s="93">
        <f t="shared" ca="1" si="137"/>
        <v>20.496688741721854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>
      <c r="A301" s="159"/>
      <c r="B301" s="33"/>
      <c r="C301" s="281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6">
        <f t="shared" ref="L301:N301" ca="1" si="139">L302+L303</f>
        <v>101000</v>
      </c>
      <c r="M301" s="496">
        <f t="shared" ca="1" si="139"/>
        <v>60400</v>
      </c>
      <c r="N301" s="496">
        <f t="shared" ca="1" si="139"/>
        <v>12380</v>
      </c>
      <c r="O301" s="496">
        <f t="shared" ca="1" si="136"/>
        <v>12.257425742574258</v>
      </c>
      <c r="P301" s="496">
        <f t="shared" ca="1" si="137"/>
        <v>20.496688741721854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2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2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IFERROR(__xludf.DUMMYFUNCTION("IMPORTRANGE(""https://docs.google.com/spreadsheets/d/1MeEWN-I1oV_STSDYn1IFDPWt_1FKiwhDph83XaGc0o0/edit?usp=sharing"",""งบพรบ!DS68"")"),101000)</f>
        <v>101000</v>
      </c>
      <c r="M303" s="93">
        <f ca="1">IFERROR(__xludf.DUMMYFUNCTION("IMPORTRANGE(""https://docs.google.com/spreadsheets/d/1MeEWN-I1oV_STSDYn1IFDPWt_1FKiwhDph83XaGc0o0/edit?usp=sharing"",""งบพรบ!DX68"")"),60400)</f>
        <v>60400</v>
      </c>
      <c r="N303" s="93">
        <f ca="1">IFERROR(__xludf.DUMMYFUNCTION("IMPORTRANGE(""https://docs.google.com/spreadsheets/d/1MeEWN-I1oV_STSDYn1IFDPWt_1FKiwhDph83XaGc0o0/edit?usp=sharing"",""งบพรบ!DZ68"")"),12380)</f>
        <v>12380</v>
      </c>
      <c r="O303" s="93">
        <f t="shared" ca="1" si="136"/>
        <v>12.257425742574258</v>
      </c>
      <c r="P303" s="93">
        <f t="shared" ca="1" si="137"/>
        <v>20.496688741721854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>
      <c r="A304" s="159"/>
      <c r="B304" s="33"/>
      <c r="C304" s="281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6">
        <f t="shared" ref="L304:N304" ca="1" si="140">L305+L306</f>
        <v>0</v>
      </c>
      <c r="M304" s="496">
        <f t="shared" ca="1" si="140"/>
        <v>0</v>
      </c>
      <c r="N304" s="496">
        <f t="shared" ca="1" si="140"/>
        <v>0</v>
      </c>
      <c r="O304" s="496">
        <f t="shared" ca="1" si="136"/>
        <v>0</v>
      </c>
      <c r="P304" s="496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2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2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IFERROR(__xludf.DUMMYFUNCTION("IMPORTRANGE(""https://docs.google.com/spreadsheets/d/1MeEWN-I1oV_STSDYn1IFDPWt_1FKiwhDph83XaGc0o0/edit?usp=sharing"",""งบพรบ!DV68"")"),0)</f>
        <v>0</v>
      </c>
      <c r="M306" s="93">
        <f ca="1">IFERROR(__xludf.DUMMYFUNCTION("IMPORTRANGE(""https://docs.google.com/spreadsheets/d/1MeEWN-I1oV_STSDYn1IFDPWt_1FKiwhDph83XaGc0o0/edit?usp=sharing"",""งบพรบ!DY68"")"),0)</f>
        <v>0</v>
      </c>
      <c r="N306" s="93">
        <f ca="1">IFERROR(__xludf.DUMMYFUNCTION("IMPORTRANGE(""https://docs.google.com/spreadsheets/d/1MeEWN-I1oV_STSDYn1IFDPWt_1FKiwhDph83XaGc0o0/edit?usp=sharing"",""งบพรบ!EA68"")"),0)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>
      <c r="A307" s="170"/>
      <c r="B307" s="171"/>
      <c r="C307" s="164" t="s">
        <v>16</v>
      </c>
      <c r="D307" s="823" t="s">
        <v>38</v>
      </c>
      <c r="E307" s="173"/>
      <c r="F307" s="173"/>
      <c r="G307" s="174"/>
      <c r="H307" s="753"/>
      <c r="I307" s="269"/>
      <c r="J307" s="269"/>
      <c r="K307" s="496"/>
      <c r="L307" s="496"/>
      <c r="M307" s="496"/>
      <c r="N307" s="496"/>
      <c r="O307" s="496"/>
      <c r="P307" s="496"/>
    </row>
    <row r="308" spans="1:26" ht="18.75">
      <c r="A308" s="170"/>
      <c r="B308" s="171"/>
      <c r="C308" s="171"/>
      <c r="D308" s="446" t="s">
        <v>140</v>
      </c>
      <c r="E308" s="446"/>
      <c r="F308" s="446"/>
      <c r="G308" s="179"/>
      <c r="H308" s="755"/>
      <c r="I308" s="269"/>
      <c r="J308" s="214">
        <v>1</v>
      </c>
      <c r="K308" s="496"/>
      <c r="L308" s="496"/>
      <c r="M308" s="496"/>
      <c r="N308" s="496"/>
      <c r="O308" s="496"/>
      <c r="P308" s="496"/>
    </row>
    <row r="309" spans="1:26" ht="18.75">
      <c r="A309" s="170"/>
      <c r="B309" s="171"/>
      <c r="C309" s="171"/>
      <c r="D309" s="446" t="s">
        <v>141</v>
      </c>
      <c r="E309" s="446"/>
      <c r="F309" s="446"/>
      <c r="G309" s="179"/>
      <c r="H309" s="755" t="s">
        <v>35</v>
      </c>
      <c r="I309" s="269">
        <f ca="1">IFERROR(__xludf.DUMMYFUNCTION("IMPORTRANGE(""https://docs.google.com/spreadsheets/d/1QqKyyYR6Q21VydFLVH3TRQUabQu_ym0Zz7PgGX0-kHA/edit?usp=sharing"",""แผน!ED68"")"),25)</f>
        <v>25</v>
      </c>
      <c r="J309" s="214">
        <v>0</v>
      </c>
      <c r="K309" s="496">
        <f t="shared" ref="K309:K312" ca="1" si="141">IF(I309&gt;0,J309*100/I309,0)</f>
        <v>0</v>
      </c>
      <c r="L309" s="496"/>
      <c r="M309" s="496"/>
      <c r="N309" s="496"/>
      <c r="O309" s="496"/>
      <c r="P309" s="496"/>
    </row>
    <row r="310" spans="1:26" ht="18.75">
      <c r="A310" s="170"/>
      <c r="B310" s="171"/>
      <c r="C310" s="171"/>
      <c r="D310" s="446" t="s">
        <v>142</v>
      </c>
      <c r="E310" s="446"/>
      <c r="F310" s="446"/>
      <c r="G310" s="179"/>
      <c r="H310" s="755" t="s">
        <v>35</v>
      </c>
      <c r="I310" s="269">
        <f ca="1">IFERROR(__xludf.DUMMYFUNCTION("IMPORTRANGE(""https://docs.google.com/spreadsheets/d/1QqKyyYR6Q21VydFLVH3TRQUabQu_ym0Zz7PgGX0-kHA/edit?usp=sharing"",""แผน!ED68"")"),25)</f>
        <v>25</v>
      </c>
      <c r="J310" s="214">
        <v>0</v>
      </c>
      <c r="K310" s="496">
        <f t="shared" ca="1" si="141"/>
        <v>0</v>
      </c>
      <c r="L310" s="496"/>
      <c r="M310" s="496"/>
      <c r="N310" s="496"/>
      <c r="O310" s="496"/>
      <c r="P310" s="496"/>
    </row>
    <row r="311" spans="1:26" ht="18.75">
      <c r="A311" s="170"/>
      <c r="B311" s="171"/>
      <c r="C311" s="171"/>
      <c r="D311" s="446" t="s">
        <v>59</v>
      </c>
      <c r="E311" s="446"/>
      <c r="F311" s="446"/>
      <c r="G311" s="179"/>
      <c r="H311" s="755" t="s">
        <v>35</v>
      </c>
      <c r="I311" s="269">
        <f ca="1">IFERROR(__xludf.DUMMYFUNCTION("IMPORTRANGE(""https://docs.google.com/spreadsheets/d/1QqKyyYR6Q21VydFLVH3TRQUabQu_ym0Zz7PgGX0-kHA/edit?usp=sharing"",""แผน!ED68"")"),25)</f>
        <v>25</v>
      </c>
      <c r="J311" s="214">
        <v>0</v>
      </c>
      <c r="K311" s="496">
        <f t="shared" ca="1" si="141"/>
        <v>0</v>
      </c>
      <c r="L311" s="496"/>
      <c r="M311" s="496"/>
      <c r="N311" s="496"/>
      <c r="O311" s="496"/>
      <c r="P311" s="496"/>
    </row>
    <row r="312" spans="1:26" ht="18.75">
      <c r="A312" s="170"/>
      <c r="B312" s="171"/>
      <c r="C312" s="171"/>
      <c r="D312" s="446" t="s">
        <v>143</v>
      </c>
      <c r="E312" s="446"/>
      <c r="F312" s="446"/>
      <c r="G312" s="179"/>
      <c r="H312" s="755" t="s">
        <v>35</v>
      </c>
      <c r="I312" s="269">
        <f ca="1">IFERROR(__xludf.DUMMYFUNCTION("IMPORTRANGE(""https://docs.google.com/spreadsheets/d/1QqKyyYR6Q21VydFLVH3TRQUabQu_ym0Zz7PgGX0-kHA/edit?usp=sharing"",""แผน!EE68"")"),5)</f>
        <v>5</v>
      </c>
      <c r="J312" s="214">
        <v>0</v>
      </c>
      <c r="K312" s="496">
        <f t="shared" ca="1" si="141"/>
        <v>0</v>
      </c>
      <c r="L312" s="496"/>
      <c r="M312" s="496"/>
      <c r="N312" s="496"/>
      <c r="O312" s="496"/>
      <c r="P312" s="496"/>
    </row>
    <row r="313" spans="1:26" ht="19.5" hidden="1">
      <c r="A313" s="431" t="s">
        <v>144</v>
      </c>
      <c r="B313" s="432"/>
      <c r="C313" s="432"/>
      <c r="D313" s="433"/>
      <c r="E313" s="432"/>
      <c r="F313" s="432"/>
      <c r="G313" s="432"/>
      <c r="H313" s="448"/>
      <c r="I313" s="436"/>
      <c r="J313" s="436"/>
      <c r="K313" s="437"/>
      <c r="L313" s="437"/>
      <c r="M313" s="437"/>
      <c r="N313" s="437"/>
      <c r="O313" s="437"/>
      <c r="P313" s="437"/>
    </row>
    <row r="314" spans="1:26" ht="19.5" hidden="1">
      <c r="A314" s="449"/>
      <c r="B314" s="439" t="s">
        <v>145</v>
      </c>
      <c r="C314" s="450"/>
      <c r="D314" s="451"/>
      <c r="E314" s="440"/>
      <c r="F314" s="440"/>
      <c r="G314" s="441"/>
      <c r="H314" s="442" t="s">
        <v>146</v>
      </c>
      <c r="I314" s="443">
        <f t="shared" ref="I314:J314" ca="1" si="142">I325</f>
        <v>0</v>
      </c>
      <c r="J314" s="443">
        <f t="shared" si="142"/>
        <v>0</v>
      </c>
      <c r="K314" s="444">
        <f ca="1">IF(I314&gt;0,J314*100/I314,0)</f>
        <v>0</v>
      </c>
      <c r="L314" s="445"/>
      <c r="M314" s="445"/>
      <c r="N314" s="445"/>
      <c r="O314" s="445"/>
      <c r="P314" s="445"/>
    </row>
    <row r="315" spans="1:26" ht="19.5" hidden="1">
      <c r="A315" s="147"/>
      <c r="B315" s="148"/>
      <c r="C315" s="149" t="s">
        <v>16</v>
      </c>
      <c r="D315" s="822" t="s">
        <v>17</v>
      </c>
      <c r="E315" s="148"/>
      <c r="F315" s="148"/>
      <c r="G315" s="151"/>
      <c r="H315" s="152" t="s">
        <v>12</v>
      </c>
      <c r="I315" s="419"/>
      <c r="J315" s="419"/>
      <c r="K315" s="154"/>
      <c r="L315" s="155">
        <f t="shared" ref="L315:N315" ca="1" si="143">L316+L317</f>
        <v>0</v>
      </c>
      <c r="M315" s="155">
        <f t="shared" ca="1" si="143"/>
        <v>0</v>
      </c>
      <c r="N315" s="155">
        <f t="shared" ca="1" si="143"/>
        <v>0</v>
      </c>
      <c r="O315" s="155">
        <f t="shared" ref="O315:O323" ca="1" si="144">IF(L315&gt;0,N315*100/L315,0)</f>
        <v>0</v>
      </c>
      <c r="P315" s="155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2" t="s">
        <v>18</v>
      </c>
      <c r="F316" s="40"/>
      <c r="G316" s="157"/>
      <c r="H316" s="158" t="s">
        <v>12</v>
      </c>
      <c r="I316" s="610"/>
      <c r="J316" s="610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2" t="s">
        <v>19</v>
      </c>
      <c r="F317" s="40"/>
      <c r="G317" s="157"/>
      <c r="H317" s="158" t="s">
        <v>12</v>
      </c>
      <c r="I317" s="610"/>
      <c r="J317" s="610"/>
      <c r="K317" s="93"/>
      <c r="L317" s="93">
        <f t="shared" ca="1" si="146"/>
        <v>0</v>
      </c>
      <c r="M317" s="93">
        <f t="shared" ca="1" si="146"/>
        <v>0</v>
      </c>
      <c r="N317" s="93">
        <f t="shared" ca="1" si="146"/>
        <v>0</v>
      </c>
      <c r="O317" s="93">
        <f t="shared" ca="1" si="144"/>
        <v>0</v>
      </c>
      <c r="P317" s="93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1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6">
        <f t="shared" ref="L318:N318" ca="1" si="147">L319+L320</f>
        <v>0</v>
      </c>
      <c r="M318" s="496">
        <f t="shared" ca="1" si="147"/>
        <v>0</v>
      </c>
      <c r="N318" s="496">
        <f t="shared" ca="1" si="147"/>
        <v>0</v>
      </c>
      <c r="O318" s="496">
        <f t="shared" ca="1" si="144"/>
        <v>0</v>
      </c>
      <c r="P318" s="496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2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2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IFERROR(__xludf.DUMMYFUNCTION("IMPORTRANGE(""https://docs.google.com/spreadsheets/d/1MeEWN-I1oV_STSDYn1IFDPWt_1FKiwhDph83XaGc0o0/edit?usp=sharing"",""งบพรบ!EC68"")"),0)</f>
        <v>0</v>
      </c>
      <c r="M320" s="93">
        <f ca="1">IFERROR(__xludf.DUMMYFUNCTION("IMPORTRANGE(""https://docs.google.com/spreadsheets/d/1MeEWN-I1oV_STSDYn1IFDPWt_1FKiwhDph83XaGc0o0/edit?usp=sharing"",""งบพรบ!EH68"")"),0)</f>
        <v>0</v>
      </c>
      <c r="N320" s="93">
        <f ca="1">IFERROR(__xludf.DUMMYFUNCTION("IMPORTRANGE(""https://docs.google.com/spreadsheets/d/1MeEWN-I1oV_STSDYn1IFDPWt_1FKiwhDph83XaGc0o0/edit?usp=sharing"",""งบพรบ!EJ68"")"),0)</f>
        <v>0</v>
      </c>
      <c r="O320" s="93">
        <f t="shared" ca="1" si="144"/>
        <v>0</v>
      </c>
      <c r="P320" s="93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1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6">
        <f t="shared" ref="L321:N321" ca="1" si="148">L322+L323</f>
        <v>0</v>
      </c>
      <c r="M321" s="496">
        <f t="shared" ca="1" si="148"/>
        <v>0</v>
      </c>
      <c r="N321" s="496">
        <f t="shared" ca="1" si="148"/>
        <v>0</v>
      </c>
      <c r="O321" s="496">
        <f t="shared" ca="1" si="144"/>
        <v>0</v>
      </c>
      <c r="P321" s="496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2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2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IFERROR(__xludf.DUMMYFUNCTION("IMPORTRANGE(""https://docs.google.com/spreadsheets/d/1MeEWN-I1oV_STSDYn1IFDPWt_1FKiwhDph83XaGc0o0/edit?usp=sharing"",""งบพรบ!EF68"")"),0)</f>
        <v>0</v>
      </c>
      <c r="M323" s="93">
        <f ca="1">IFERROR(__xludf.DUMMYFUNCTION("IMPORTRANGE(""https://docs.google.com/spreadsheets/d/1MeEWN-I1oV_STSDYn1IFDPWt_1FKiwhDph83XaGc0o0/edit?usp=sharing"",""งบพรบ!EI68"")"),0)</f>
        <v>0</v>
      </c>
      <c r="N323" s="93">
        <f ca="1">IFERROR(__xludf.DUMMYFUNCTION("IMPORTRANGE(""https://docs.google.com/spreadsheets/d/1MeEWN-I1oV_STSDYn1IFDPWt_1FKiwhDph83XaGc0o0/edit?usp=sharing"",""งบพรบ!EK68"")"),0)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23" t="s">
        <v>38</v>
      </c>
      <c r="E324" s="173"/>
      <c r="F324" s="173"/>
      <c r="G324" s="174"/>
      <c r="H324" s="753"/>
      <c r="I324" s="184"/>
      <c r="J324" s="269"/>
      <c r="K324" s="496"/>
      <c r="L324" s="496"/>
      <c r="M324" s="496"/>
      <c r="N324" s="496"/>
      <c r="O324" s="163"/>
      <c r="P324" s="163"/>
    </row>
    <row r="325" spans="1:26" ht="18.75" hidden="1">
      <c r="A325" s="170"/>
      <c r="B325" s="171"/>
      <c r="C325" s="171"/>
      <c r="D325" s="176" t="s">
        <v>147</v>
      </c>
      <c r="E325" s="178"/>
      <c r="F325" s="446"/>
      <c r="G325" s="179"/>
      <c r="H325" s="616" t="s">
        <v>146</v>
      </c>
      <c r="I325" s="269">
        <f ca="1">IFERROR(__xludf.DUMMYFUNCTION("IMPORTRANGE(""https://docs.google.com/spreadsheets/d/1QqKyyYR6Q21VydFLVH3TRQUabQu_ym0Zz7PgGX0-kHA/edit?usp=sharing"",""แผน!EF68"")"),0)</f>
        <v>0</v>
      </c>
      <c r="J325" s="214">
        <v>0</v>
      </c>
      <c r="K325" s="496">
        <f ca="1">IF(I325&gt;0,J325*100/I325,0)</f>
        <v>0</v>
      </c>
      <c r="L325" s="496"/>
      <c r="M325" s="496"/>
      <c r="N325" s="496"/>
      <c r="O325" s="163"/>
      <c r="P325" s="163"/>
    </row>
    <row r="326" spans="1:26" ht="19.5">
      <c r="A326" s="431" t="s">
        <v>148</v>
      </c>
      <c r="B326" s="432"/>
      <c r="C326" s="432"/>
      <c r="D326" s="433"/>
      <c r="E326" s="432"/>
      <c r="F326" s="432"/>
      <c r="G326" s="432"/>
      <c r="H326" s="448"/>
      <c r="I326" s="436"/>
      <c r="J326" s="436"/>
      <c r="K326" s="437"/>
      <c r="L326" s="437"/>
      <c r="M326" s="437"/>
      <c r="N326" s="437"/>
      <c r="O326" s="437"/>
      <c r="P326" s="437"/>
    </row>
    <row r="327" spans="1:26" ht="19.5">
      <c r="A327" s="438"/>
      <c r="B327" s="439" t="s">
        <v>149</v>
      </c>
      <c r="C327" s="451"/>
      <c r="D327" s="440"/>
      <c r="E327" s="440"/>
      <c r="F327" s="440"/>
      <c r="G327" s="441"/>
      <c r="H327" s="442" t="s">
        <v>35</v>
      </c>
      <c r="I327" s="443">
        <f ca="1">IFERROR(__xludf.DUMMYFUNCTION("IMPORTRANGE(""https://docs.google.com/spreadsheets/d/1QqKyyYR6Q21VydFLVH3TRQUabQu_ym0Zz7PgGX0-kHA/edit?usp=sharing"",""แผน!EG68"")"),2100)</f>
        <v>2100</v>
      </c>
      <c r="J327" s="443">
        <f ca="1">J338+J341+J342+J343</f>
        <v>711</v>
      </c>
      <c r="K327" s="444">
        <f ca="1">IF(I327&gt;0,J327*100/I327,0)</f>
        <v>33.857142857142854</v>
      </c>
      <c r="L327" s="445"/>
      <c r="M327" s="445"/>
      <c r="N327" s="445"/>
      <c r="O327" s="445"/>
      <c r="P327" s="445"/>
    </row>
    <row r="328" spans="1:26" ht="19.5">
      <c r="A328" s="147"/>
      <c r="B328" s="148"/>
      <c r="C328" s="149" t="s">
        <v>16</v>
      </c>
      <c r="D328" s="822" t="s">
        <v>17</v>
      </c>
      <c r="E328" s="148"/>
      <c r="F328" s="148"/>
      <c r="G328" s="151"/>
      <c r="H328" s="152" t="s">
        <v>12</v>
      </c>
      <c r="I328" s="419"/>
      <c r="J328" s="419"/>
      <c r="K328" s="154"/>
      <c r="L328" s="155">
        <f t="shared" ref="L328:N328" ca="1" si="149">L329+L330</f>
        <v>170000</v>
      </c>
      <c r="M328" s="155">
        <f t="shared" ca="1" si="149"/>
        <v>85000</v>
      </c>
      <c r="N328" s="155">
        <f t="shared" ca="1" si="149"/>
        <v>18673</v>
      </c>
      <c r="O328" s="155">
        <f t="shared" ref="O328:O336" ca="1" si="150">IF(L328&gt;0,N328*100/L328,0)</f>
        <v>10.984117647058824</v>
      </c>
      <c r="P328" s="155">
        <f t="shared" ref="P328:P336" ca="1" si="151">IF(M328&gt;0,N328*100/M328,0)</f>
        <v>21.968235294117648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2" t="s">
        <v>18</v>
      </c>
      <c r="F329" s="40"/>
      <c r="G329" s="157"/>
      <c r="H329" s="158" t="s">
        <v>12</v>
      </c>
      <c r="I329" s="610"/>
      <c r="J329" s="610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2" t="s">
        <v>19</v>
      </c>
      <c r="F330" s="40"/>
      <c r="G330" s="157"/>
      <c r="H330" s="158" t="s">
        <v>12</v>
      </c>
      <c r="I330" s="610"/>
      <c r="J330" s="610"/>
      <c r="K330" s="93"/>
      <c r="L330" s="93">
        <f t="shared" ca="1" si="152"/>
        <v>170000</v>
      </c>
      <c r="M330" s="93">
        <f t="shared" ca="1" si="152"/>
        <v>85000</v>
      </c>
      <c r="N330" s="93">
        <f t="shared" ca="1" si="152"/>
        <v>18673</v>
      </c>
      <c r="O330" s="93">
        <f t="shared" ca="1" si="150"/>
        <v>10.984117647058824</v>
      </c>
      <c r="P330" s="93">
        <f t="shared" ca="1" si="151"/>
        <v>21.968235294117648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1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6">
        <f t="shared" ref="L331:N331" ca="1" si="153">L332+L333</f>
        <v>170000</v>
      </c>
      <c r="M331" s="496">
        <f t="shared" ca="1" si="153"/>
        <v>85000</v>
      </c>
      <c r="N331" s="496">
        <f t="shared" ca="1" si="153"/>
        <v>18673</v>
      </c>
      <c r="O331" s="496">
        <f t="shared" ca="1" si="150"/>
        <v>10.984117647058824</v>
      </c>
      <c r="P331" s="496">
        <f t="shared" ca="1" si="151"/>
        <v>21.968235294117648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2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2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IFERROR(__xludf.DUMMYFUNCTION("IMPORTRANGE(""https://docs.google.com/spreadsheets/d/1MeEWN-I1oV_STSDYn1IFDPWt_1FKiwhDph83XaGc0o0/edit?usp=sharing"",""งบพรบ!EM68"")"),170000)</f>
        <v>170000</v>
      </c>
      <c r="M333" s="93">
        <f ca="1">IFERROR(__xludf.DUMMYFUNCTION("IMPORTRANGE(""https://docs.google.com/spreadsheets/d/1MeEWN-I1oV_STSDYn1IFDPWt_1FKiwhDph83XaGc0o0/edit?usp=sharing"",""งบพรบ!ER68"")"),85000)</f>
        <v>85000</v>
      </c>
      <c r="N333" s="93">
        <f ca="1">IFERROR(__xludf.DUMMYFUNCTION("IMPORTRANGE(""https://docs.google.com/spreadsheets/d/1MeEWN-I1oV_STSDYn1IFDPWt_1FKiwhDph83XaGc0o0/edit?usp=sharing"",""งบพรบ!ET68"")"),18673)</f>
        <v>18673</v>
      </c>
      <c r="O333" s="93">
        <f t="shared" ca="1" si="150"/>
        <v>10.984117647058824</v>
      </c>
      <c r="P333" s="93">
        <f t="shared" ca="1" si="151"/>
        <v>21.968235294117648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1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6">
        <f t="shared" ref="L334:N334" ca="1" si="154">L335+L336</f>
        <v>0</v>
      </c>
      <c r="M334" s="496">
        <f t="shared" ca="1" si="154"/>
        <v>0</v>
      </c>
      <c r="N334" s="496">
        <f t="shared" ca="1" si="154"/>
        <v>0</v>
      </c>
      <c r="O334" s="496">
        <f t="shared" ca="1" si="150"/>
        <v>0</v>
      </c>
      <c r="P334" s="496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2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2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IFERROR(__xludf.DUMMYFUNCTION("IMPORTRANGE(""https://docs.google.com/spreadsheets/d/1MeEWN-I1oV_STSDYn1IFDPWt_1FKiwhDph83XaGc0o0/edit?usp=sharing"",""งบพรบ!EP68"")"),0)</f>
        <v>0</v>
      </c>
      <c r="M336" s="93">
        <f ca="1">IFERROR(__xludf.DUMMYFUNCTION("IMPORTRANGE(""https://docs.google.com/spreadsheets/d/1MeEWN-I1oV_STSDYn1IFDPWt_1FKiwhDph83XaGc0o0/edit?usp=sharing"",""งบพรบ!ES68"")"),0)</f>
        <v>0</v>
      </c>
      <c r="N336" s="93">
        <f ca="1">IFERROR(__xludf.DUMMYFUNCTION("IMPORTRANGE(""https://docs.google.com/spreadsheets/d/1MeEWN-I1oV_STSDYn1IFDPWt_1FKiwhDph83XaGc0o0/edit?usp=sharing"",""งบพรบ!EU68"")"),0)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23" t="s">
        <v>38</v>
      </c>
      <c r="E337" s="173"/>
      <c r="F337" s="173"/>
      <c r="G337" s="174"/>
      <c r="H337" s="753"/>
      <c r="I337" s="184"/>
      <c r="J337" s="269"/>
      <c r="K337" s="496"/>
      <c r="L337" s="496"/>
      <c r="M337" s="496"/>
      <c r="N337" s="496"/>
      <c r="O337" s="163"/>
      <c r="P337" s="163"/>
    </row>
    <row r="338" spans="1:26" ht="18.75">
      <c r="A338" s="284"/>
      <c r="B338" s="33"/>
      <c r="C338" s="280"/>
      <c r="D338" s="446" t="s">
        <v>150</v>
      </c>
      <c r="E338" s="171"/>
      <c r="F338" s="33"/>
      <c r="G338" s="35"/>
      <c r="H338" s="276" t="s">
        <v>35</v>
      </c>
      <c r="I338" s="269">
        <f ca="1">IFERROR(__xludf.DUMMYFUNCTION("IMPORTRANGE(""https://docs.google.com/spreadsheets/d/1QqKyyYR6Q21VydFLVH3TRQUabQu_ym0Zz7PgGX0-kHA/edit?usp=sharing"",""แผน!EG68"")"),2100)</f>
        <v>2100</v>
      </c>
      <c r="J338" s="269">
        <f ca="1">IFERROR(__xludf.DUMMYFUNCTION("IMPORTRANGE(""https://docs.google.com/spreadsheets/d/1kVcqe37tkHyjCSG3S0O1AXqVkqjo8mSIZil3BcpIysc/edit?usp=sharing"",""ศูนย์!D68"")"),711)</f>
        <v>711</v>
      </c>
      <c r="K338" s="496">
        <f ca="1">IF(I338&gt;0,J338*100/I338,0)</f>
        <v>33.857142857142854</v>
      </c>
      <c r="L338" s="496"/>
      <c r="M338" s="496"/>
      <c r="N338" s="496"/>
      <c r="O338" s="496"/>
      <c r="P338" s="496"/>
    </row>
    <row r="339" spans="1:26" ht="18.75">
      <c r="A339" s="284"/>
      <c r="B339" s="33"/>
      <c r="C339" s="280"/>
      <c r="D339" s="446" t="s">
        <v>151</v>
      </c>
      <c r="E339" s="171"/>
      <c r="F339" s="33"/>
      <c r="G339" s="35"/>
      <c r="H339" s="276"/>
      <c r="I339" s="269"/>
      <c r="J339" s="269"/>
      <c r="K339" s="496"/>
      <c r="L339" s="496"/>
      <c r="M339" s="496"/>
      <c r="N339" s="496"/>
      <c r="O339" s="496"/>
      <c r="P339" s="496"/>
    </row>
    <row r="340" spans="1:26" ht="18.75">
      <c r="A340" s="284"/>
      <c r="B340" s="33"/>
      <c r="C340" s="280"/>
      <c r="D340" s="178"/>
      <c r="E340" s="446" t="s">
        <v>152</v>
      </c>
      <c r="F340" s="33"/>
      <c r="G340" s="35"/>
      <c r="H340" s="276" t="s">
        <v>153</v>
      </c>
      <c r="I340" s="269">
        <f ca="1">IFERROR(__xludf.DUMMYFUNCTION("IMPORTRANGE(""https://docs.google.com/spreadsheets/d/1QqKyyYR6Q21VydFLVH3TRQUabQu_ym0Zz7PgGX0-kHA/edit?usp=sharing"",""แผน!EH68"")"),6)</f>
        <v>6</v>
      </c>
      <c r="J340" s="269">
        <f ca="1">IFERROR(__xludf.DUMMYFUNCTION("IMPORTRANGE(""https://docs.google.com/spreadsheets/d/1kVcqe37tkHyjCSG3S0O1AXqVkqjo8mSIZil3BcpIysc/edit?usp=sharing"",""ศูนย์!E68"")"),0)</f>
        <v>0</v>
      </c>
      <c r="K340" s="496">
        <f ca="1">IF(I340&gt;0,J340*100/I340,0)</f>
        <v>0</v>
      </c>
      <c r="L340" s="496"/>
      <c r="M340" s="496"/>
      <c r="N340" s="496"/>
      <c r="O340" s="496"/>
      <c r="P340" s="496"/>
    </row>
    <row r="341" spans="1:26" ht="18.75">
      <c r="A341" s="284"/>
      <c r="B341" s="33"/>
      <c r="C341" s="280"/>
      <c r="D341" s="178"/>
      <c r="E341" s="446" t="s">
        <v>154</v>
      </c>
      <c r="F341" s="33"/>
      <c r="G341" s="35"/>
      <c r="H341" s="276" t="s">
        <v>35</v>
      </c>
      <c r="I341" s="269"/>
      <c r="J341" s="269">
        <f ca="1">IFERROR(__xludf.DUMMYFUNCTION("IMPORTRANGE(""https://docs.google.com/spreadsheets/d/1kVcqe37tkHyjCSG3S0O1AXqVkqjo8mSIZil3BcpIysc/edit?usp=sharing"",""ศูนย์!F68"")"),0)</f>
        <v>0</v>
      </c>
      <c r="K341" s="496"/>
      <c r="L341" s="496"/>
      <c r="M341" s="496"/>
      <c r="N341" s="496"/>
      <c r="O341" s="496"/>
      <c r="P341" s="496"/>
    </row>
    <row r="342" spans="1:26" ht="18.75">
      <c r="A342" s="284"/>
      <c r="B342" s="33"/>
      <c r="C342" s="280"/>
      <c r="D342" s="446" t="s">
        <v>155</v>
      </c>
      <c r="E342" s="178"/>
      <c r="F342" s="178"/>
      <c r="G342" s="35"/>
      <c r="H342" s="276" t="s">
        <v>35</v>
      </c>
      <c r="I342" s="269"/>
      <c r="J342" s="269">
        <f ca="1">IFERROR(__xludf.DUMMYFUNCTION("IMPORTRANGE(""https://docs.google.com/spreadsheets/d/1kVcqe37tkHyjCSG3S0O1AXqVkqjo8mSIZil3BcpIysc/edit?usp=sharing"",""ศูนย์!G68"")"),0)</f>
        <v>0</v>
      </c>
      <c r="K342" s="496"/>
      <c r="L342" s="496"/>
      <c r="M342" s="496"/>
      <c r="N342" s="496"/>
      <c r="O342" s="496"/>
      <c r="P342" s="496"/>
    </row>
    <row r="343" spans="1:26" ht="18.75">
      <c r="A343" s="284"/>
      <c r="B343" s="33"/>
      <c r="C343" s="280"/>
      <c r="D343" s="446" t="s">
        <v>156</v>
      </c>
      <c r="E343" s="178"/>
      <c r="F343" s="178"/>
      <c r="G343" s="35"/>
      <c r="H343" s="276" t="s">
        <v>35</v>
      </c>
      <c r="I343" s="269"/>
      <c r="J343" s="269">
        <f ca="1">IFERROR(__xludf.DUMMYFUNCTION("IMPORTRANGE(""https://docs.google.com/spreadsheets/d/1kVcqe37tkHyjCSG3S0O1AXqVkqjo8mSIZil3BcpIysc/edit?usp=sharing"",""ศูนย์!H68"")"),0)</f>
        <v>0</v>
      </c>
      <c r="K343" s="496"/>
      <c r="L343" s="496"/>
      <c r="M343" s="496"/>
      <c r="N343" s="496"/>
      <c r="O343" s="496"/>
      <c r="P343" s="496"/>
    </row>
    <row r="344" spans="1:26" ht="19.5">
      <c r="A344" s="438"/>
      <c r="B344" s="439" t="s">
        <v>157</v>
      </c>
      <c r="C344" s="451"/>
      <c r="D344" s="440"/>
      <c r="E344" s="440"/>
      <c r="F344" s="440"/>
      <c r="G344" s="441"/>
      <c r="H344" s="442"/>
      <c r="I344" s="452"/>
      <c r="J344" s="452"/>
      <c r="K344" s="445"/>
      <c r="L344" s="445"/>
      <c r="M344" s="445"/>
      <c r="N344" s="445"/>
      <c r="O344" s="445"/>
      <c r="P344" s="445"/>
    </row>
    <row r="345" spans="1:26" ht="19.5">
      <c r="A345" s="147"/>
      <c r="B345" s="148"/>
      <c r="C345" s="149" t="s">
        <v>16</v>
      </c>
      <c r="D345" s="822" t="s">
        <v>17</v>
      </c>
      <c r="E345" s="148"/>
      <c r="F345" s="148"/>
      <c r="G345" s="151"/>
      <c r="H345" s="152" t="s">
        <v>12</v>
      </c>
      <c r="I345" s="419"/>
      <c r="J345" s="419"/>
      <c r="K345" s="154"/>
      <c r="L345" s="155">
        <f t="shared" ref="L345:N345" ca="1" si="155">L346+L347</f>
        <v>773600</v>
      </c>
      <c r="M345" s="155">
        <f t="shared" ca="1" si="155"/>
        <v>413200</v>
      </c>
      <c r="N345" s="155">
        <f t="shared" ca="1" si="155"/>
        <v>157288</v>
      </c>
      <c r="O345" s="155">
        <f t="shared" ref="O345:O353" ca="1" si="156">IF(L345&gt;0,N345*100/L345,0)</f>
        <v>20.331954498448813</v>
      </c>
      <c r="P345" s="155">
        <f t="shared" ref="P345:P353" ca="1" si="157">IF(M345&gt;0,N345*100/M345,0)</f>
        <v>38.065827686350438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2" t="s">
        <v>18</v>
      </c>
      <c r="F346" s="40"/>
      <c r="G346" s="157"/>
      <c r="H346" s="158" t="s">
        <v>12</v>
      </c>
      <c r="I346" s="610"/>
      <c r="J346" s="610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2" t="s">
        <v>19</v>
      </c>
      <c r="F347" s="40"/>
      <c r="G347" s="157"/>
      <c r="H347" s="158" t="s">
        <v>12</v>
      </c>
      <c r="I347" s="610"/>
      <c r="J347" s="610"/>
      <c r="K347" s="93"/>
      <c r="L347" s="93">
        <f t="shared" ca="1" si="158"/>
        <v>773600</v>
      </c>
      <c r="M347" s="93">
        <f t="shared" ca="1" si="158"/>
        <v>413200</v>
      </c>
      <c r="N347" s="93">
        <f t="shared" ca="1" si="158"/>
        <v>157288</v>
      </c>
      <c r="O347" s="93">
        <f t="shared" ca="1" si="156"/>
        <v>20.331954498448813</v>
      </c>
      <c r="P347" s="93">
        <f t="shared" ca="1" si="157"/>
        <v>38.065827686350438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1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6">
        <f t="shared" ref="L348:N348" ca="1" si="159">L349+L350</f>
        <v>720800</v>
      </c>
      <c r="M348" s="496">
        <f t="shared" ca="1" si="159"/>
        <v>360400</v>
      </c>
      <c r="N348" s="496">
        <f t="shared" ca="1" si="159"/>
        <v>104488</v>
      </c>
      <c r="O348" s="496">
        <f t="shared" ca="1" si="156"/>
        <v>14.496115427302996</v>
      </c>
      <c r="P348" s="496">
        <f t="shared" ca="1" si="157"/>
        <v>28.992230854605992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2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2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IFERROR(__xludf.DUMMYFUNCTION("IMPORTRANGE(""https://docs.google.com/spreadsheets/d/1MeEWN-I1oV_STSDYn1IFDPWt_1FKiwhDph83XaGc0o0/edit?usp=sharing"",""งบพรบ!EW68"")"),720800)</f>
        <v>720800</v>
      </c>
      <c r="M350" s="93">
        <f ca="1">IFERROR(__xludf.DUMMYFUNCTION("IMPORTRANGE(""https://docs.google.com/spreadsheets/d/1MeEWN-I1oV_STSDYn1IFDPWt_1FKiwhDph83XaGc0o0/edit?usp=sharing"",""งบพรบ!FB68"")"),360400)</f>
        <v>360400</v>
      </c>
      <c r="N350" s="93">
        <f ca="1">IFERROR(__xludf.DUMMYFUNCTION("IMPORTRANGE(""https://docs.google.com/spreadsheets/d/1MeEWN-I1oV_STSDYn1IFDPWt_1FKiwhDph83XaGc0o0/edit?usp=sharing"",""งบพรบ!FD68"")"),104488)</f>
        <v>104488</v>
      </c>
      <c r="O350" s="93">
        <f t="shared" ca="1" si="156"/>
        <v>14.496115427302996</v>
      </c>
      <c r="P350" s="93">
        <f t="shared" ca="1" si="157"/>
        <v>28.992230854605992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1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6">
        <f t="shared" ref="L351:N351" ca="1" si="160">L352+L353</f>
        <v>52800</v>
      </c>
      <c r="M351" s="496">
        <f t="shared" ca="1" si="160"/>
        <v>52800</v>
      </c>
      <c r="N351" s="496">
        <f t="shared" ca="1" si="160"/>
        <v>52800</v>
      </c>
      <c r="O351" s="496">
        <f t="shared" ca="1" si="156"/>
        <v>100</v>
      </c>
      <c r="P351" s="496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2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2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IFERROR(__xludf.DUMMYFUNCTION("IMPORTRANGE(""https://docs.google.com/spreadsheets/d/1MeEWN-I1oV_STSDYn1IFDPWt_1FKiwhDph83XaGc0o0/edit?usp=sharing"",""งบพรบ!EZ68"")"),52800)</f>
        <v>52800</v>
      </c>
      <c r="M353" s="93">
        <f ca="1">IFERROR(__xludf.DUMMYFUNCTION("IMPORTRANGE(""https://docs.google.com/spreadsheets/d/1MeEWN-I1oV_STSDYn1IFDPWt_1FKiwhDph83XaGc0o0/edit?usp=sharing"",""งบพรบ!FC68"")"),52800)</f>
        <v>52800</v>
      </c>
      <c r="N353" s="93">
        <f ca="1">IFERROR(__xludf.DUMMYFUNCTION("IMPORTRANGE(""https://docs.google.com/spreadsheets/d/1MeEWN-I1oV_STSDYn1IFDPWt_1FKiwhDph83XaGc0o0/edit?usp=sharing"",""งบพรบ!FE68"")"),52800)</f>
        <v>52800</v>
      </c>
      <c r="O353" s="93">
        <f t="shared" ca="1" si="156"/>
        <v>100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5"/>
      <c r="B354" s="263"/>
      <c r="C354" s="256"/>
      <c r="D354" s="832" t="s">
        <v>158</v>
      </c>
      <c r="E354" s="256"/>
      <c r="F354" s="256"/>
      <c r="G354" s="258"/>
      <c r="H354" s="454"/>
      <c r="I354" s="260"/>
      <c r="J354" s="260"/>
      <c r="K354" s="261"/>
      <c r="L354" s="261"/>
      <c r="M354" s="261"/>
      <c r="N354" s="261"/>
      <c r="O354" s="261"/>
      <c r="P354" s="261"/>
    </row>
    <row r="355" spans="1:26" ht="19.5">
      <c r="A355" s="455"/>
      <c r="B355" s="456"/>
      <c r="C355" s="457"/>
      <c r="D355" s="833" t="s">
        <v>159</v>
      </c>
      <c r="E355" s="459"/>
      <c r="F355" s="459"/>
      <c r="G355" s="460"/>
      <c r="H355" s="461" t="s">
        <v>35</v>
      </c>
      <c r="I355" s="463">
        <f ca="1">IFERROR(__xludf.DUMMYFUNCTION("IMPORTRANGE(""https://docs.google.com/spreadsheets/d/1QqKyyYR6Q21VydFLVH3TRQUabQu_ym0Zz7PgGX0-kHA/edit?usp=sharing"",""แผน!EP68"")"),370)</f>
        <v>370</v>
      </c>
      <c r="J355" s="463">
        <f ca="1">J362</f>
        <v>0</v>
      </c>
      <c r="K355" s="464">
        <f ca="1">IF(I355&gt;0,J355*100/I355,0)</f>
        <v>0</v>
      </c>
      <c r="L355" s="465"/>
      <c r="M355" s="465"/>
      <c r="N355" s="465"/>
      <c r="O355" s="465"/>
      <c r="P355" s="465"/>
    </row>
    <row r="356" spans="1:26" ht="19.5">
      <c r="A356" s="455"/>
      <c r="B356" s="456"/>
      <c r="C356" s="457"/>
      <c r="D356" s="466" t="s">
        <v>160</v>
      </c>
      <c r="E356" s="459"/>
      <c r="F356" s="459"/>
      <c r="G356" s="460"/>
      <c r="H356" s="467"/>
      <c r="I356" s="468"/>
      <c r="J356" s="468"/>
      <c r="K356" s="465"/>
      <c r="L356" s="465"/>
      <c r="M356" s="465"/>
      <c r="N356" s="465"/>
      <c r="O356" s="465"/>
      <c r="P356" s="465"/>
    </row>
    <row r="357" spans="1:26" ht="19.5">
      <c r="A357" s="170"/>
      <c r="B357" s="171"/>
      <c r="C357" s="164" t="s">
        <v>16</v>
      </c>
      <c r="D357" s="823" t="s">
        <v>38</v>
      </c>
      <c r="E357" s="173"/>
      <c r="F357" s="173"/>
      <c r="G357" s="174"/>
      <c r="H357" s="753"/>
      <c r="I357" s="269"/>
      <c r="J357" s="269"/>
      <c r="K357" s="496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69">
        <v>0</v>
      </c>
      <c r="J358" s="269">
        <f ca="1">IFERROR(__xludf.DUMMYFUNCTION("IMPORTRANGE(""https://docs.google.com/spreadsheets/d/1XWAQStnk-4SwqDmLtmXYiTMKHgktTP8We1SCoS47DrQ/edit?usp=sharing"",""จัดที่ดิน!W68"")"),80)</f>
        <v>80</v>
      </c>
      <c r="K358" s="496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69">
        <f ca="1">IFERROR(__xludf.DUMMYFUNCTION("IMPORTRANGE(""https://docs.google.com/spreadsheets/d/1QqKyyYR6Q21VydFLVH3TRQUabQu_ym0Zz7PgGX0-kHA/edit?usp=sharing"",""แผน!EO68"")"),4000)</f>
        <v>4000</v>
      </c>
      <c r="J359" s="269">
        <f ca="1">IFERROR(__xludf.DUMMYFUNCTION("IMPORTRANGE(""https://docs.google.com/spreadsheets/d/1XWAQStnk-4SwqDmLtmXYiTMKHgktTP8We1SCoS47DrQ/edit?usp=sharing"",""จัดที่ดิน!X68"")"),995.53)</f>
        <v>995.53</v>
      </c>
      <c r="K359" s="496">
        <f t="shared" ca="1" si="161"/>
        <v>24.888249999999999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755" t="s">
        <v>35</v>
      </c>
      <c r="I360" s="269">
        <f ca="1">IFERROR(__xludf.DUMMYFUNCTION("IMPORTRANGE(""https://docs.google.com/spreadsheets/d/1QqKyyYR6Q21VydFLVH3TRQUabQu_ym0Zz7PgGX0-kHA/edit?usp=sharing"",""แผน!EP68"")"),370)</f>
        <v>370</v>
      </c>
      <c r="J360" s="269">
        <f ca="1">IFERROR(__xludf.DUMMYFUNCTION("IMPORTRANGE(""https://docs.google.com/spreadsheets/d/1XWAQStnk-4SwqDmLtmXYiTMKHgktTP8We1SCoS47DrQ/edit?usp=sharing"",""จัดที่ดิน!Y68"")"),64)</f>
        <v>64</v>
      </c>
      <c r="K360" s="496">
        <f t="shared" ca="1" si="161"/>
        <v>17.297297297297298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755" t="s">
        <v>46</v>
      </c>
      <c r="I361" s="269">
        <v>0</v>
      </c>
      <c r="J361" s="269">
        <f ca="1">IFERROR(__xludf.DUMMYFUNCTION("IMPORTRANGE(""https://docs.google.com/spreadsheets/d/1XWAQStnk-4SwqDmLtmXYiTMKHgktTP8We1SCoS47DrQ/edit?usp=sharing"",""จัดที่ดิน!Z68"")"),857.88)</f>
        <v>857.88</v>
      </c>
      <c r="K361" s="496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755" t="s">
        <v>35</v>
      </c>
      <c r="I362" s="269">
        <f ca="1">IFERROR(__xludf.DUMMYFUNCTION("IMPORTRANGE(""https://docs.google.com/spreadsheets/d/1QqKyyYR6Q21VydFLVH3TRQUabQu_ym0Zz7PgGX0-kHA/edit?usp=sharing"",""แผน!EP68"")"),370)</f>
        <v>370</v>
      </c>
      <c r="J362" s="269">
        <f ca="1">IFERROR(__xludf.DUMMYFUNCTION("IMPORTRANGE(""https://docs.google.com/spreadsheets/d/1XWAQStnk-4SwqDmLtmXYiTMKHgktTP8We1SCoS47DrQ/edit?usp=sharing"",""จัดที่ดิน!AA68"")"),0)</f>
        <v>0</v>
      </c>
      <c r="K362" s="496">
        <f t="shared" ca="1" si="161"/>
        <v>0</v>
      </c>
      <c r="L362" s="163"/>
      <c r="M362" s="163"/>
      <c r="N362" s="163"/>
      <c r="O362" s="163"/>
      <c r="P362" s="163"/>
    </row>
    <row r="363" spans="1:26" ht="18.75">
      <c r="A363" s="469" t="s">
        <v>164</v>
      </c>
      <c r="B363" s="178"/>
      <c r="C363" s="171"/>
      <c r="D363" s="178"/>
      <c r="E363" s="446"/>
      <c r="F363" s="178"/>
      <c r="G363" s="179"/>
      <c r="H363" s="755" t="s">
        <v>46</v>
      </c>
      <c r="I363" s="269">
        <v>0</v>
      </c>
      <c r="J363" s="269">
        <f ca="1">IFERROR(__xludf.DUMMYFUNCTION("IMPORTRANGE(""https://docs.google.com/spreadsheets/d/1XWAQStnk-4SwqDmLtmXYiTMKHgktTP8We1SCoS47DrQ/edit?usp=sharing"",""จัดที่ดิน!AB68"")"),0)</f>
        <v>0</v>
      </c>
      <c r="K363" s="496">
        <f t="shared" si="161"/>
        <v>0</v>
      </c>
      <c r="L363" s="163"/>
      <c r="M363" s="163"/>
      <c r="N363" s="163"/>
      <c r="O363" s="163"/>
      <c r="P363" s="163"/>
    </row>
    <row r="364" spans="1:26" ht="19.5">
      <c r="A364" s="470"/>
      <c r="B364" s="471"/>
      <c r="C364" s="472"/>
      <c r="D364" s="473" t="s">
        <v>165</v>
      </c>
      <c r="E364" s="474"/>
      <c r="F364" s="474"/>
      <c r="G364" s="475"/>
      <c r="H364" s="476" t="s">
        <v>35</v>
      </c>
      <c r="I364" s="477">
        <f t="shared" ref="I364:J364" ca="1" si="162">I365+I374</f>
        <v>500</v>
      </c>
      <c r="J364" s="477">
        <f t="shared" ca="1" si="162"/>
        <v>0</v>
      </c>
      <c r="K364" s="478">
        <f t="shared" ca="1" si="161"/>
        <v>0</v>
      </c>
      <c r="L364" s="479"/>
      <c r="M364" s="479"/>
      <c r="N364" s="479"/>
      <c r="O364" s="479"/>
      <c r="P364" s="479"/>
      <c r="Q364" s="480"/>
      <c r="R364" s="480"/>
      <c r="S364" s="480"/>
      <c r="T364" s="480"/>
      <c r="U364" s="480"/>
      <c r="V364" s="480"/>
      <c r="W364" s="480"/>
      <c r="X364" s="480"/>
      <c r="Y364" s="480"/>
      <c r="Z364" s="480"/>
    </row>
    <row r="365" spans="1:26" ht="19.5">
      <c r="A365" s="481"/>
      <c r="B365" s="482"/>
      <c r="C365" s="484"/>
      <c r="D365" s="484" t="s">
        <v>166</v>
      </c>
      <c r="E365" s="485"/>
      <c r="F365" s="485"/>
      <c r="G365" s="486"/>
      <c r="H365" s="487" t="s">
        <v>35</v>
      </c>
      <c r="I365" s="489">
        <f ca="1">IFERROR(__xludf.DUMMYFUNCTION("IMPORTRANGE(""https://docs.google.com/spreadsheets/d/1QqKyyYR6Q21VydFLVH3TRQUabQu_ym0Zz7PgGX0-kHA/edit?usp=sharing"",""แผน!EJ68"")"),20)</f>
        <v>20</v>
      </c>
      <c r="J365" s="489">
        <f ca="1">J372</f>
        <v>0</v>
      </c>
      <c r="K365" s="490">
        <f t="shared" ca="1" si="161"/>
        <v>0</v>
      </c>
      <c r="L365" s="491"/>
      <c r="M365" s="491"/>
      <c r="N365" s="491"/>
      <c r="O365" s="491"/>
      <c r="P365" s="491"/>
      <c r="Q365" s="480"/>
      <c r="R365" s="480"/>
      <c r="S365" s="480"/>
      <c r="T365" s="480"/>
      <c r="U365" s="480"/>
      <c r="V365" s="480"/>
      <c r="W365" s="480"/>
      <c r="X365" s="480"/>
      <c r="Y365" s="480"/>
      <c r="Z365" s="480"/>
    </row>
    <row r="366" spans="1:26" ht="19.5">
      <c r="A366" s="481"/>
      <c r="B366" s="482"/>
      <c r="C366" s="484"/>
      <c r="D366" s="492" t="s">
        <v>167</v>
      </c>
      <c r="E366" s="485"/>
      <c r="F366" s="485"/>
      <c r="G366" s="486"/>
      <c r="H366" s="493"/>
      <c r="I366" s="494"/>
      <c r="J366" s="494"/>
      <c r="K366" s="491"/>
      <c r="L366" s="491"/>
      <c r="M366" s="491"/>
      <c r="N366" s="491"/>
      <c r="O366" s="491"/>
      <c r="P366" s="491"/>
      <c r="Q366" s="480"/>
      <c r="R366" s="480"/>
      <c r="S366" s="480"/>
      <c r="T366" s="480"/>
      <c r="U366" s="480"/>
      <c r="V366" s="480"/>
      <c r="W366" s="480"/>
      <c r="X366" s="480"/>
      <c r="Y366" s="480"/>
      <c r="Z366" s="480"/>
    </row>
    <row r="367" spans="1:26" ht="19.5">
      <c r="A367" s="170"/>
      <c r="B367" s="171"/>
      <c r="C367" s="164" t="s">
        <v>16</v>
      </c>
      <c r="D367" s="823" t="s">
        <v>38</v>
      </c>
      <c r="E367" s="173"/>
      <c r="F367" s="173"/>
      <c r="G367" s="174"/>
      <c r="H367" s="753"/>
      <c r="I367" s="269"/>
      <c r="J367" s="269"/>
      <c r="K367" s="496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69">
        <v>0</v>
      </c>
      <c r="J368" s="269">
        <f ca="1">IFERROR(__xludf.DUMMYFUNCTION("IMPORTRANGE(""https://docs.google.com/spreadsheets/d/1XWAQStnk-4SwqDmLtmXYiTMKHgktTP8We1SCoS47DrQ/edit?usp=sharing"",""จัดที่ดิน!E68"")"),10)</f>
        <v>10</v>
      </c>
      <c r="K368" s="496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69">
        <f ca="1">IFERROR(__xludf.DUMMYFUNCTION("IMPORTRANGE(""https://docs.google.com/spreadsheets/d/1QqKyyYR6Q21VydFLVH3TRQUabQu_ym0Zz7PgGX0-kHA/edit?usp=sharing"",""แผน!EI68"")"),500)</f>
        <v>500</v>
      </c>
      <c r="J369" s="269">
        <f ca="1">IFERROR(__xludf.DUMMYFUNCTION("IMPORTRANGE(""https://docs.google.com/spreadsheets/d/1XWAQStnk-4SwqDmLtmXYiTMKHgktTP8We1SCoS47DrQ/edit?usp=sharing"",""จัดที่ดิน!F68"")"),75.82)</f>
        <v>75.819999999999993</v>
      </c>
      <c r="K369" s="496">
        <f t="shared" ca="1" si="163"/>
        <v>15.163999999999998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55" t="s">
        <v>35</v>
      </c>
      <c r="I370" s="269">
        <f ca="1">IFERROR(__xludf.DUMMYFUNCTION("IMPORTRANGE(""https://docs.google.com/spreadsheets/d/1QqKyyYR6Q21VydFLVH3TRQUabQu_ym0Zz7PgGX0-kHA/edit?usp=sharing"",""แผน!EJ68"")"),20)</f>
        <v>20</v>
      </c>
      <c r="J370" s="269">
        <f ca="1">IFERROR(__xludf.DUMMYFUNCTION("IMPORTRANGE(""https://docs.google.com/spreadsheets/d/1XWAQStnk-4SwqDmLtmXYiTMKHgktTP8We1SCoS47DrQ/edit?usp=sharing"",""จัดที่ดิน!G68"")"),1)</f>
        <v>1</v>
      </c>
      <c r="K370" s="496">
        <f t="shared" ca="1" si="163"/>
        <v>5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55" t="s">
        <v>46</v>
      </c>
      <c r="I371" s="269">
        <v>0</v>
      </c>
      <c r="J371" s="269">
        <f ca="1">IFERROR(__xludf.DUMMYFUNCTION("IMPORTRANGE(""https://docs.google.com/spreadsheets/d/1XWAQStnk-4SwqDmLtmXYiTMKHgktTP8We1SCoS47DrQ/edit?usp=sharing"",""จัดที่ดิน!H68"")"),23.31)</f>
        <v>23.31</v>
      </c>
      <c r="K371" s="496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55" t="s">
        <v>35</v>
      </c>
      <c r="I372" s="269">
        <f ca="1">IFERROR(__xludf.DUMMYFUNCTION("IMPORTRANGE(""https://docs.google.com/spreadsheets/d/1QqKyyYR6Q21VydFLVH3TRQUabQu_ym0Zz7PgGX0-kHA/edit?usp=sharing"",""แผน!EJ68"")"),20)</f>
        <v>20</v>
      </c>
      <c r="J372" s="269">
        <f ca="1">IFERROR(__xludf.DUMMYFUNCTION("IMPORTRANGE(""https://docs.google.com/spreadsheets/d/1XWAQStnk-4SwqDmLtmXYiTMKHgktTP8We1SCoS47DrQ/edit?usp=sharing"",""จัดที่ดิน!I68"")"),0)</f>
        <v>0</v>
      </c>
      <c r="K372" s="496">
        <f t="shared" ca="1" si="163"/>
        <v>0</v>
      </c>
      <c r="L372" s="163"/>
      <c r="M372" s="163"/>
      <c r="N372" s="163"/>
      <c r="O372" s="163"/>
      <c r="P372" s="163"/>
    </row>
    <row r="373" spans="1:26" ht="18.75">
      <c r="A373" s="469" t="s">
        <v>164</v>
      </c>
      <c r="B373" s="178"/>
      <c r="C373" s="171"/>
      <c r="D373" s="178"/>
      <c r="E373" s="446"/>
      <c r="F373" s="178"/>
      <c r="G373" s="179"/>
      <c r="H373" s="755" t="s">
        <v>46</v>
      </c>
      <c r="I373" s="269">
        <v>0</v>
      </c>
      <c r="J373" s="269">
        <f ca="1">IFERROR(__xludf.DUMMYFUNCTION("IMPORTRANGE(""https://docs.google.com/spreadsheets/d/1XWAQStnk-4SwqDmLtmXYiTMKHgktTP8We1SCoS47DrQ/edit?usp=sharing"",""จัดที่ดิน!J68"")"),0)</f>
        <v>0</v>
      </c>
      <c r="K373" s="496">
        <f t="shared" si="163"/>
        <v>0</v>
      </c>
      <c r="L373" s="163"/>
      <c r="M373" s="163"/>
      <c r="N373" s="163"/>
      <c r="O373" s="163"/>
      <c r="P373" s="163"/>
    </row>
    <row r="374" spans="1:26" ht="19.5">
      <c r="A374" s="481"/>
      <c r="B374" s="482"/>
      <c r="C374" s="484"/>
      <c r="D374" s="484" t="s">
        <v>168</v>
      </c>
      <c r="E374" s="485"/>
      <c r="F374" s="485"/>
      <c r="G374" s="486"/>
      <c r="H374" s="487" t="s">
        <v>35</v>
      </c>
      <c r="I374" s="495">
        <f ca="1">IFERROR(__xludf.DUMMYFUNCTION("IMPORTRANGE(""https://docs.google.com/spreadsheets/d/1QqKyyYR6Q21VydFLVH3TRQUabQu_ym0Zz7PgGX0-kHA/edit?usp=sharing"",""แผน!EU68"")"),480)</f>
        <v>480</v>
      </c>
      <c r="J374" s="489">
        <f ca="1">J381</f>
        <v>0</v>
      </c>
      <c r="K374" s="490">
        <f t="shared" ca="1" si="163"/>
        <v>0</v>
      </c>
      <c r="L374" s="491"/>
      <c r="M374" s="491"/>
      <c r="N374" s="491"/>
      <c r="O374" s="491"/>
      <c r="P374" s="491"/>
      <c r="Q374" s="480"/>
      <c r="R374" s="480"/>
      <c r="S374" s="480"/>
      <c r="T374" s="480"/>
      <c r="U374" s="480"/>
      <c r="V374" s="480"/>
      <c r="W374" s="480"/>
      <c r="X374" s="480"/>
      <c r="Y374" s="480"/>
      <c r="Z374" s="480"/>
    </row>
    <row r="375" spans="1:26" ht="19.5">
      <c r="A375" s="481"/>
      <c r="B375" s="482"/>
      <c r="C375" s="484"/>
      <c r="D375" s="492" t="s">
        <v>169</v>
      </c>
      <c r="E375" s="485"/>
      <c r="F375" s="485"/>
      <c r="G375" s="486"/>
      <c r="H375" s="493"/>
      <c r="I375" s="494"/>
      <c r="J375" s="494"/>
      <c r="K375" s="491"/>
      <c r="L375" s="491"/>
      <c r="M375" s="491"/>
      <c r="N375" s="491"/>
      <c r="O375" s="491"/>
      <c r="P375" s="491"/>
      <c r="Q375" s="480"/>
      <c r="R375" s="480"/>
      <c r="S375" s="480"/>
      <c r="T375" s="480"/>
      <c r="U375" s="480"/>
      <c r="V375" s="480"/>
      <c r="W375" s="480"/>
      <c r="X375" s="480"/>
      <c r="Y375" s="480"/>
      <c r="Z375" s="480"/>
    </row>
    <row r="376" spans="1:26" ht="19.5">
      <c r="A376" s="170"/>
      <c r="B376" s="171"/>
      <c r="C376" s="164" t="s">
        <v>16</v>
      </c>
      <c r="D376" s="823" t="s">
        <v>38</v>
      </c>
      <c r="E376" s="173"/>
      <c r="F376" s="173"/>
      <c r="G376" s="174"/>
      <c r="H376" s="753"/>
      <c r="I376" s="269"/>
      <c r="J376" s="269"/>
      <c r="K376" s="496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69">
        <v>0</v>
      </c>
      <c r="J377" s="269">
        <f ca="1">IFERROR(__xludf.DUMMYFUNCTION("IMPORTRANGE(""https://docs.google.com/spreadsheets/d/1XWAQStnk-4SwqDmLtmXYiTMKHgktTP8We1SCoS47DrQ/edit?usp=sharing"",""จัดที่ดิน!AH68"")"),70)</f>
        <v>70</v>
      </c>
      <c r="K377" s="496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69">
        <f ca="1">IFERROR(__xludf.DUMMYFUNCTION("IMPORTRANGE(""https://docs.google.com/spreadsheets/d/1QqKyyYR6Q21VydFLVH3TRQUabQu_ym0Zz7PgGX0-kHA/edit?usp=sharing"",""แผน!ET68"")"),3500)</f>
        <v>3500</v>
      </c>
      <c r="J378" s="269">
        <f ca="1">IFERROR(__xludf.DUMMYFUNCTION("IMPORTRANGE(""https://docs.google.com/spreadsheets/d/1XWAQStnk-4SwqDmLtmXYiTMKHgktTP8We1SCoS47DrQ/edit?usp=sharing"",""จัดที่ดิน!AI68"")"),919.71)</f>
        <v>919.71</v>
      </c>
      <c r="K378" s="496">
        <f t="shared" ca="1" si="164"/>
        <v>26.277428571428572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55" t="s">
        <v>35</v>
      </c>
      <c r="I379" s="269">
        <f ca="1">IFERROR(__xludf.DUMMYFUNCTION("IMPORTRANGE(""https://docs.google.com/spreadsheets/d/1QqKyyYR6Q21VydFLVH3TRQUabQu_ym0Zz7PgGX0-kHA/edit?usp=sharing"",""แผน!EU68"")"),480)</f>
        <v>480</v>
      </c>
      <c r="J379" s="269">
        <f ca="1">IFERROR(__xludf.DUMMYFUNCTION("IMPORTRANGE(""https://docs.google.com/spreadsheets/d/1XWAQStnk-4SwqDmLtmXYiTMKHgktTP8We1SCoS47DrQ/edit?usp=sharing"",""จัดที่ดิน!AJ68"")"),63)</f>
        <v>63</v>
      </c>
      <c r="K379" s="496">
        <f t="shared" ca="1" si="164"/>
        <v>13.125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55" t="s">
        <v>46</v>
      </c>
      <c r="I380" s="269">
        <v>0</v>
      </c>
      <c r="J380" s="269">
        <f ca="1">IFERROR(__xludf.DUMMYFUNCTION("IMPORTRANGE(""https://docs.google.com/spreadsheets/d/1XWAQStnk-4SwqDmLtmXYiTMKHgktTP8We1SCoS47DrQ/edit?usp=sharing"",""จัดที่ดิน!AK68"")"),834.57)</f>
        <v>834.57</v>
      </c>
      <c r="K380" s="496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55" t="s">
        <v>35</v>
      </c>
      <c r="I381" s="269">
        <f ca="1">IFERROR(__xludf.DUMMYFUNCTION("IMPORTRANGE(""https://docs.google.com/spreadsheets/d/1QqKyyYR6Q21VydFLVH3TRQUabQu_ym0Zz7PgGX0-kHA/edit?usp=sharing"",""แผน!EU68"")"),480)</f>
        <v>480</v>
      </c>
      <c r="J381" s="269">
        <f ca="1">IFERROR(__xludf.DUMMYFUNCTION("IMPORTRANGE(""https://docs.google.com/spreadsheets/d/1XWAQStnk-4SwqDmLtmXYiTMKHgktTP8We1SCoS47DrQ/edit?usp=sharing"",""จัดที่ดิน!AL68"")"),0)</f>
        <v>0</v>
      </c>
      <c r="K381" s="496">
        <f t="shared" ca="1" si="164"/>
        <v>0</v>
      </c>
      <c r="L381" s="163"/>
      <c r="M381" s="163"/>
      <c r="N381" s="163"/>
      <c r="O381" s="163"/>
      <c r="P381" s="163"/>
    </row>
    <row r="382" spans="1:26" ht="18.75">
      <c r="A382" s="469" t="s">
        <v>164</v>
      </c>
      <c r="B382" s="178"/>
      <c r="C382" s="171"/>
      <c r="D382" s="178"/>
      <c r="E382" s="446"/>
      <c r="F382" s="178"/>
      <c r="G382" s="179"/>
      <c r="H382" s="755" t="s">
        <v>46</v>
      </c>
      <c r="I382" s="269">
        <v>0</v>
      </c>
      <c r="J382" s="269">
        <f ca="1">IFERROR(__xludf.DUMMYFUNCTION("IMPORTRANGE(""https://docs.google.com/spreadsheets/d/1XWAQStnk-4SwqDmLtmXYiTMKHgktTP8We1SCoS47DrQ/edit?usp=sharing"",""จัดที่ดิน!AM68"")"),0)</f>
        <v>0</v>
      </c>
      <c r="K382" s="496">
        <f t="shared" si="164"/>
        <v>0</v>
      </c>
      <c r="L382" s="163"/>
      <c r="M382" s="163"/>
      <c r="N382" s="163"/>
      <c r="O382" s="163"/>
      <c r="P382" s="163"/>
    </row>
    <row r="383" spans="1:26" ht="19.5">
      <c r="A383" s="255"/>
      <c r="B383" s="263"/>
      <c r="C383" s="256"/>
      <c r="D383" s="832" t="s">
        <v>170</v>
      </c>
      <c r="E383" s="256"/>
      <c r="F383" s="256"/>
      <c r="G383" s="258"/>
      <c r="H383" s="454"/>
      <c r="I383" s="260"/>
      <c r="J383" s="260"/>
      <c r="K383" s="261"/>
      <c r="L383" s="261"/>
      <c r="M383" s="261"/>
      <c r="N383" s="261"/>
      <c r="O383" s="261"/>
      <c r="P383" s="261"/>
    </row>
    <row r="384" spans="1:26" ht="19.5">
      <c r="A384" s="170"/>
      <c r="B384" s="171"/>
      <c r="C384" s="33" t="s">
        <v>16</v>
      </c>
      <c r="D384" s="823" t="s">
        <v>38</v>
      </c>
      <c r="E384" s="173"/>
      <c r="F384" s="173"/>
      <c r="G384" s="174"/>
      <c r="H384" s="753"/>
      <c r="I384" s="269"/>
      <c r="J384" s="269"/>
      <c r="K384" s="496"/>
      <c r="L384" s="163"/>
      <c r="M384" s="163"/>
      <c r="N384" s="163"/>
      <c r="O384" s="163"/>
      <c r="P384" s="163"/>
    </row>
    <row r="385" spans="1:26" ht="18.75">
      <c r="A385" s="377"/>
      <c r="B385" s="380"/>
      <c r="C385" s="378"/>
      <c r="D385" s="380"/>
      <c r="E385" s="497" t="s">
        <v>163</v>
      </c>
      <c r="F385" s="380"/>
      <c r="G385" s="381"/>
      <c r="H385" s="498" t="s">
        <v>35</v>
      </c>
      <c r="I385" s="499">
        <f ca="1">IFERROR(__xludf.DUMMYFUNCTION("IMPORTRANGE(""https://docs.google.com/spreadsheets/d/1QqKyyYR6Q21VydFLVH3TRQUabQu_ym0Zz7PgGX0-kHA/edit?usp=sharing"",""แผน!EW68"")"),10)</f>
        <v>10</v>
      </c>
      <c r="J385" s="499">
        <f ca="1">IFERROR(__xludf.DUMMYFUNCTION("IMPORTRANGE(""https://docs.google.com/spreadsheets/d/1XWAQStnk-4SwqDmLtmXYiTMKHgktTP8We1SCoS47DrQ/edit?usp=sharing"",""จัดที่ดิน!AP68"")"),0)</f>
        <v>0</v>
      </c>
      <c r="K385" s="500">
        <f ca="1">IF(I385&gt;0,J385*100/I385,0)</f>
        <v>0</v>
      </c>
      <c r="L385" s="384"/>
      <c r="M385" s="384"/>
      <c r="N385" s="384"/>
      <c r="O385" s="384"/>
      <c r="P385" s="384"/>
    </row>
    <row r="386" spans="1:26" ht="19.5" hidden="1">
      <c r="A386" s="501" t="s">
        <v>171</v>
      </c>
      <c r="B386" s="502"/>
      <c r="C386" s="502"/>
      <c r="D386" s="502"/>
      <c r="E386" s="503"/>
      <c r="F386" s="503"/>
      <c r="G386" s="504"/>
      <c r="H386" s="505"/>
      <c r="I386" s="506"/>
      <c r="J386" s="506"/>
      <c r="K386" s="507"/>
      <c r="L386" s="507"/>
      <c r="M386" s="507"/>
      <c r="N386" s="507"/>
      <c r="O386" s="507"/>
      <c r="P386" s="507"/>
    </row>
    <row r="387" spans="1:26" ht="19.5" hidden="1">
      <c r="A387" s="508" t="s">
        <v>172</v>
      </c>
      <c r="B387" s="509"/>
      <c r="C387" s="509"/>
      <c r="D387" s="510"/>
      <c r="E387" s="509"/>
      <c r="F387" s="509"/>
      <c r="G387" s="509"/>
      <c r="H387" s="511"/>
      <c r="I387" s="512"/>
      <c r="J387" s="512"/>
      <c r="K387" s="513"/>
      <c r="L387" s="513"/>
      <c r="M387" s="513"/>
      <c r="N387" s="513"/>
      <c r="O387" s="513"/>
      <c r="P387" s="513"/>
    </row>
    <row r="388" spans="1:26" ht="19.5" hidden="1">
      <c r="A388" s="514"/>
      <c r="B388" s="515" t="s">
        <v>173</v>
      </c>
      <c r="C388" s="516"/>
      <c r="D388" s="517"/>
      <c r="E388" s="517"/>
      <c r="F388" s="517"/>
      <c r="G388" s="518"/>
      <c r="H388" s="519" t="s">
        <v>69</v>
      </c>
      <c r="I388" s="520">
        <f t="shared" ref="I388:J388" si="165">I400</f>
        <v>0</v>
      </c>
      <c r="J388" s="520">
        <f t="shared" si="165"/>
        <v>0</v>
      </c>
      <c r="K388" s="521">
        <f>IF(I388&gt;0,J388*100/I388,0)</f>
        <v>0</v>
      </c>
      <c r="L388" s="522"/>
      <c r="M388" s="522"/>
      <c r="N388" s="522"/>
      <c r="O388" s="522"/>
      <c r="P388" s="522"/>
    </row>
    <row r="389" spans="1:26" ht="19.5" hidden="1">
      <c r="A389" s="147"/>
      <c r="B389" s="148"/>
      <c r="C389" s="149" t="s">
        <v>16</v>
      </c>
      <c r="D389" s="822" t="s">
        <v>17</v>
      </c>
      <c r="E389" s="148"/>
      <c r="F389" s="148"/>
      <c r="G389" s="151"/>
      <c r="H389" s="152" t="s">
        <v>12</v>
      </c>
      <c r="I389" s="419"/>
      <c r="J389" s="419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2" t="s">
        <v>18</v>
      </c>
      <c r="F390" s="40"/>
      <c r="G390" s="157"/>
      <c r="H390" s="158" t="s">
        <v>12</v>
      </c>
      <c r="I390" s="610"/>
      <c r="J390" s="610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2" t="s">
        <v>19</v>
      </c>
      <c r="F391" s="40"/>
      <c r="G391" s="157"/>
      <c r="H391" s="158" t="s">
        <v>12</v>
      </c>
      <c r="I391" s="610"/>
      <c r="J391" s="610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1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6">
        <f t="shared" ref="L392:N392" ca="1" si="170">L393+L394</f>
        <v>0</v>
      </c>
      <c r="M392" s="496">
        <f t="shared" ca="1" si="170"/>
        <v>0</v>
      </c>
      <c r="N392" s="496">
        <f t="shared" ca="1" si="170"/>
        <v>0</v>
      </c>
      <c r="O392" s="496">
        <f t="shared" ca="1" si="167"/>
        <v>0</v>
      </c>
      <c r="P392" s="496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2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2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IFERROR(__xludf.DUMMYFUNCTION("IMPORTRANGE(""https://docs.google.com/spreadsheets/d/1MeEWN-I1oV_STSDYn1IFDPWt_1FKiwhDph83XaGc0o0/edit?usp=sharing"",""งบพรบ!FG68"")"),0)</f>
        <v>0</v>
      </c>
      <c r="M394" s="93">
        <f ca="1">IFERROR(__xludf.DUMMYFUNCTION("IMPORTRANGE(""https://docs.google.com/spreadsheets/d/1MeEWN-I1oV_STSDYn1IFDPWt_1FKiwhDph83XaGc0o0/edit?usp=sharing"",""งบพรบ!FL68"")"),0)</f>
        <v>0</v>
      </c>
      <c r="N394" s="93">
        <f ca="1">IFERROR(__xludf.DUMMYFUNCTION("IMPORTRANGE(""https://docs.google.com/spreadsheets/d/1MeEWN-I1oV_STSDYn1IFDPWt_1FKiwhDph83XaGc0o0/edit?usp=sharing"",""งบพรบ!FN68"")"),0)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1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6">
        <f t="shared" ref="L395:N395" ca="1" si="171">L396+L397</f>
        <v>0</v>
      </c>
      <c r="M395" s="496">
        <f t="shared" ca="1" si="171"/>
        <v>0</v>
      </c>
      <c r="N395" s="496">
        <f t="shared" ca="1" si="171"/>
        <v>0</v>
      </c>
      <c r="O395" s="496">
        <f t="shared" ca="1" si="167"/>
        <v>0</v>
      </c>
      <c r="P395" s="496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2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2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IFERROR(__xludf.DUMMYFUNCTION("IMPORTRANGE(""https://docs.google.com/spreadsheets/d/1MeEWN-I1oV_STSDYn1IFDPWt_1FKiwhDph83XaGc0o0/edit?usp=sharing"",""งบพรบ!FJ68"")"),0)</f>
        <v>0</v>
      </c>
      <c r="M397" s="93">
        <f ca="1">IFERROR(__xludf.DUMMYFUNCTION("IMPORTRANGE(""https://docs.google.com/spreadsheets/d/1MeEWN-I1oV_STSDYn1IFDPWt_1FKiwhDph83XaGc0o0/edit?usp=sharing"",""งบพรบ!FM68"")"),0)</f>
        <v>0</v>
      </c>
      <c r="N397" s="93">
        <f ca="1">IFERROR(__xludf.DUMMYFUNCTION("IMPORTRANGE(""https://docs.google.com/spreadsheets/d/1MeEWN-I1oV_STSDYn1IFDPWt_1FKiwhDph83XaGc0o0/edit?usp=sharing"",""งบพรบ!FO68"")"),0)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23" t="s">
        <v>38</v>
      </c>
      <c r="E398" s="173"/>
      <c r="F398" s="173"/>
      <c r="G398" s="174"/>
      <c r="H398" s="753"/>
      <c r="I398" s="184"/>
      <c r="J398" s="269"/>
      <c r="K398" s="496"/>
      <c r="L398" s="496"/>
      <c r="M398" s="496"/>
      <c r="N398" s="496"/>
      <c r="O398" s="163"/>
      <c r="P398" s="163"/>
    </row>
    <row r="399" spans="1:26" ht="18.75" hidden="1">
      <c r="A399" s="523"/>
      <c r="B399" s="148"/>
      <c r="C399" s="524"/>
      <c r="D399" s="525" t="s">
        <v>174</v>
      </c>
      <c r="E399" s="414"/>
      <c r="F399" s="148"/>
      <c r="G399" s="151"/>
      <c r="H399" s="526" t="s">
        <v>9</v>
      </c>
      <c r="I399" s="269">
        <v>0</v>
      </c>
      <c r="J399" s="214">
        <v>0</v>
      </c>
      <c r="K399" s="496">
        <f t="shared" ref="K399:K401" si="172">IF(I399&gt;0,J399*100/I399,0)</f>
        <v>0</v>
      </c>
      <c r="L399" s="527"/>
      <c r="M399" s="527"/>
      <c r="N399" s="527"/>
      <c r="O399" s="527"/>
      <c r="P399" s="527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4"/>
      <c r="B400" s="33"/>
      <c r="C400" s="280"/>
      <c r="D400" s="446" t="s">
        <v>175</v>
      </c>
      <c r="E400" s="171"/>
      <c r="F400" s="33"/>
      <c r="G400" s="35"/>
      <c r="H400" s="276" t="s">
        <v>69</v>
      </c>
      <c r="I400" s="269">
        <v>0</v>
      </c>
      <c r="J400" s="214">
        <v>0</v>
      </c>
      <c r="K400" s="496">
        <f t="shared" si="172"/>
        <v>0</v>
      </c>
      <c r="L400" s="496"/>
      <c r="M400" s="496"/>
      <c r="N400" s="496"/>
      <c r="O400" s="496"/>
      <c r="P400" s="496"/>
    </row>
    <row r="401" spans="1:26" ht="19.5" hidden="1">
      <c r="A401" s="514"/>
      <c r="B401" s="515" t="s">
        <v>176</v>
      </c>
      <c r="C401" s="516"/>
      <c r="D401" s="517"/>
      <c r="E401" s="517"/>
      <c r="F401" s="517"/>
      <c r="G401" s="518"/>
      <c r="H401" s="519" t="s">
        <v>69</v>
      </c>
      <c r="I401" s="520">
        <f t="shared" ref="I401:J401" si="173">I412</f>
        <v>0</v>
      </c>
      <c r="J401" s="520">
        <f t="shared" si="173"/>
        <v>0</v>
      </c>
      <c r="K401" s="521">
        <f t="shared" si="172"/>
        <v>0</v>
      </c>
      <c r="L401" s="522"/>
      <c r="M401" s="522"/>
      <c r="N401" s="522"/>
      <c r="O401" s="522"/>
      <c r="P401" s="522"/>
    </row>
    <row r="402" spans="1:26" ht="19.5" hidden="1">
      <c r="A402" s="147"/>
      <c r="B402" s="148"/>
      <c r="C402" s="149" t="s">
        <v>16</v>
      </c>
      <c r="D402" s="822" t="s">
        <v>17</v>
      </c>
      <c r="E402" s="148"/>
      <c r="F402" s="148"/>
      <c r="G402" s="151"/>
      <c r="H402" s="152" t="s">
        <v>12</v>
      </c>
      <c r="I402" s="419"/>
      <c r="J402" s="419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2" t="s">
        <v>18</v>
      </c>
      <c r="F403" s="40"/>
      <c r="G403" s="157"/>
      <c r="H403" s="158" t="s">
        <v>12</v>
      </c>
      <c r="I403" s="610"/>
      <c r="J403" s="610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2" t="s">
        <v>19</v>
      </c>
      <c r="F404" s="40"/>
      <c r="G404" s="157"/>
      <c r="H404" s="158" t="s">
        <v>12</v>
      </c>
      <c r="I404" s="610"/>
      <c r="J404" s="610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1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6">
        <f t="shared" ref="L405:N405" ca="1" si="178">L406+L407</f>
        <v>0</v>
      </c>
      <c r="M405" s="496">
        <f t="shared" ca="1" si="178"/>
        <v>0</v>
      </c>
      <c r="N405" s="496">
        <f t="shared" ca="1" si="178"/>
        <v>0</v>
      </c>
      <c r="O405" s="496">
        <f t="shared" ca="1" si="175"/>
        <v>0</v>
      </c>
      <c r="P405" s="496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2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2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IFERROR(__xludf.DUMMYFUNCTION("IMPORTRANGE(""https://docs.google.com/spreadsheets/d/1MeEWN-I1oV_STSDYn1IFDPWt_1FKiwhDph83XaGc0o0/edit?usp=sharing"",""งบพรบ!FQ68"")"),0)</f>
        <v>0</v>
      </c>
      <c r="M407" s="93">
        <f ca="1">IFERROR(__xludf.DUMMYFUNCTION("IMPORTRANGE(""https://docs.google.com/spreadsheets/d/1MeEWN-I1oV_STSDYn1IFDPWt_1FKiwhDph83XaGc0o0/edit?usp=sharing"",""งบพรบ!FV68"")"),0)</f>
        <v>0</v>
      </c>
      <c r="N407" s="93">
        <f ca="1">IFERROR(__xludf.DUMMYFUNCTION("IMPORTRANGE(""https://docs.google.com/spreadsheets/d/1MeEWN-I1oV_STSDYn1IFDPWt_1FKiwhDph83XaGc0o0/edit?usp=sharing"",""งบพรบ!FX68"")"),0)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1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6">
        <f t="shared" ref="L408:N408" ca="1" si="179">L409+L410</f>
        <v>0</v>
      </c>
      <c r="M408" s="496">
        <f t="shared" ca="1" si="179"/>
        <v>0</v>
      </c>
      <c r="N408" s="496">
        <f t="shared" ca="1" si="179"/>
        <v>0</v>
      </c>
      <c r="O408" s="496">
        <f t="shared" ca="1" si="175"/>
        <v>0</v>
      </c>
      <c r="P408" s="496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2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2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IFERROR(__xludf.DUMMYFUNCTION("IMPORTRANGE(""https://docs.google.com/spreadsheets/d/1MeEWN-I1oV_STSDYn1IFDPWt_1FKiwhDph83XaGc0o0/edit?usp=sharing"",""งบพรบ!FT68"")"),0)</f>
        <v>0</v>
      </c>
      <c r="M410" s="93">
        <f ca="1">IFERROR(__xludf.DUMMYFUNCTION("IMPORTRANGE(""https://docs.google.com/spreadsheets/d/1MeEWN-I1oV_STSDYn1IFDPWt_1FKiwhDph83XaGc0o0/edit?usp=sharing"",""งบพรบ!FW68"")"),0)</f>
        <v>0</v>
      </c>
      <c r="N410" s="93">
        <f ca="1">IFERROR(__xludf.DUMMYFUNCTION("IMPORTRANGE(""https://docs.google.com/spreadsheets/d/1MeEWN-I1oV_STSDYn1IFDPWt_1FKiwhDph83XaGc0o0/edit?usp=sharing"",""งบพรบ!FY68"")"),0)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34" t="s">
        <v>38</v>
      </c>
      <c r="E411" s="529"/>
      <c r="F411" s="529"/>
      <c r="G411" s="530"/>
      <c r="H411" s="753"/>
      <c r="I411" s="269"/>
      <c r="J411" s="269"/>
      <c r="K411" s="496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6" t="s">
        <v>177</v>
      </c>
      <c r="E412" s="178"/>
      <c r="F412" s="178"/>
      <c r="G412" s="179"/>
      <c r="H412" s="531" t="s">
        <v>69</v>
      </c>
      <c r="I412" s="269">
        <v>0</v>
      </c>
      <c r="J412" s="214">
        <v>0</v>
      </c>
      <c r="K412" s="496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2"/>
      <c r="B413" s="533"/>
      <c r="C413" s="533"/>
      <c r="D413" s="534" t="s">
        <v>178</v>
      </c>
      <c r="E413" s="533"/>
      <c r="F413" s="533"/>
      <c r="G413" s="535"/>
      <c r="H413" s="536" t="s">
        <v>179</v>
      </c>
      <c r="I413" s="537">
        <v>0</v>
      </c>
      <c r="J413" s="538">
        <v>0</v>
      </c>
      <c r="K413" s="539">
        <f t="shared" si="180"/>
        <v>0</v>
      </c>
      <c r="L413" s="540"/>
      <c r="M413" s="540"/>
      <c r="N413" s="540"/>
      <c r="O413" s="540"/>
      <c r="P413" s="540"/>
    </row>
    <row r="414" spans="1:26" ht="19.5">
      <c r="A414" s="541" t="s">
        <v>180</v>
      </c>
      <c r="B414" s="542"/>
      <c r="C414" s="542"/>
      <c r="D414" s="542"/>
      <c r="E414" s="542"/>
      <c r="F414" s="542"/>
      <c r="G414" s="543"/>
      <c r="H414" s="544"/>
      <c r="I414" s="545"/>
      <c r="J414" s="545"/>
      <c r="K414" s="546"/>
      <c r="L414" s="547">
        <f t="shared" ref="L414:N414" ca="1" si="181">L419+L444+L467+L502+L523+L544+L629+L655+L685+L737+L754+L770+L786+L805</f>
        <v>2402770</v>
      </c>
      <c r="M414" s="547">
        <f t="shared" si="181"/>
        <v>0</v>
      </c>
      <c r="N414" s="547">
        <f t="shared" si="181"/>
        <v>98900</v>
      </c>
      <c r="O414" s="547">
        <f ca="1">IF(L414&gt;0,N414*100/L414,0)</f>
        <v>4.1160826878977179</v>
      </c>
      <c r="P414" s="547">
        <f>IF(M414&gt;0,N414*100/M414,0)</f>
        <v>0</v>
      </c>
    </row>
    <row r="415" spans="1:26" ht="19.5">
      <c r="A415" s="548" t="s">
        <v>181</v>
      </c>
      <c r="B415" s="549"/>
      <c r="C415" s="549"/>
      <c r="D415" s="549"/>
      <c r="E415" s="549"/>
      <c r="F415" s="549"/>
      <c r="G415" s="549"/>
      <c r="H415" s="550"/>
      <c r="I415" s="551"/>
      <c r="J415" s="551"/>
      <c r="K415" s="552"/>
      <c r="L415" s="553"/>
      <c r="M415" s="553"/>
      <c r="N415" s="553"/>
      <c r="O415" s="553"/>
      <c r="P415" s="553"/>
    </row>
    <row r="416" spans="1:26" ht="19.5">
      <c r="A416" s="548" t="s">
        <v>182</v>
      </c>
      <c r="B416" s="549"/>
      <c r="C416" s="549"/>
      <c r="D416" s="549"/>
      <c r="E416" s="549"/>
      <c r="F416" s="549"/>
      <c r="G416" s="554"/>
      <c r="H416" s="555"/>
      <c r="I416" s="556"/>
      <c r="J416" s="556"/>
      <c r="K416" s="553"/>
      <c r="L416" s="553"/>
      <c r="M416" s="553"/>
      <c r="N416" s="553"/>
      <c r="O416" s="553"/>
      <c r="P416" s="553"/>
    </row>
    <row r="417" spans="1:26" ht="39">
      <c r="A417" s="557">
        <v>1</v>
      </c>
      <c r="B417" s="559" t="s">
        <v>183</v>
      </c>
      <c r="C417" s="559"/>
      <c r="D417" s="560"/>
      <c r="E417" s="560"/>
      <c r="F417" s="560"/>
      <c r="G417" s="561"/>
      <c r="H417" s="562" t="s">
        <v>35</v>
      </c>
      <c r="I417" s="563">
        <f t="shared" ref="I417:J418" ca="1" si="182">I433</f>
        <v>70</v>
      </c>
      <c r="J417" s="563">
        <f t="shared" ca="1" si="182"/>
        <v>0</v>
      </c>
      <c r="K417" s="564">
        <f t="shared" ref="K417:K418" ca="1" si="183">IF(I417&gt;0,J417*100/I417,0)</f>
        <v>0</v>
      </c>
      <c r="L417" s="565"/>
      <c r="M417" s="565"/>
      <c r="N417" s="565"/>
      <c r="O417" s="565"/>
      <c r="P417" s="565"/>
    </row>
    <row r="418" spans="1:26" ht="19.5">
      <c r="A418" s="566"/>
      <c r="B418" s="557"/>
      <c r="C418" s="559"/>
      <c r="D418" s="560"/>
      <c r="E418" s="560"/>
      <c r="F418" s="560"/>
      <c r="G418" s="561"/>
      <c r="H418" s="562" t="s">
        <v>49</v>
      </c>
      <c r="I418" s="563">
        <f t="shared" ca="1" si="182"/>
        <v>2</v>
      </c>
      <c r="J418" s="563">
        <f t="shared" si="182"/>
        <v>0</v>
      </c>
      <c r="K418" s="564">
        <f t="shared" ca="1" si="183"/>
        <v>0</v>
      </c>
      <c r="L418" s="565"/>
      <c r="M418" s="565"/>
      <c r="N418" s="565"/>
      <c r="O418" s="565"/>
      <c r="P418" s="565"/>
    </row>
    <row r="419" spans="1:26" ht="19.5">
      <c r="A419" s="147"/>
      <c r="B419" s="148"/>
      <c r="C419" s="148" t="s">
        <v>16</v>
      </c>
      <c r="D419" s="868" t="s">
        <v>17</v>
      </c>
      <c r="E419" s="862"/>
      <c r="F419" s="862"/>
      <c r="G419" s="151"/>
      <c r="H419" s="274" t="s">
        <v>12</v>
      </c>
      <c r="I419" s="419"/>
      <c r="J419" s="419"/>
      <c r="K419" s="154"/>
      <c r="L419" s="155">
        <f t="shared" ref="L419:N419" ca="1" si="184">L420+L421</f>
        <v>212800</v>
      </c>
      <c r="M419" s="155">
        <f t="shared" si="184"/>
        <v>0</v>
      </c>
      <c r="N419" s="155">
        <f t="shared" si="184"/>
        <v>240</v>
      </c>
      <c r="O419" s="155">
        <f t="shared" ref="O419:O424" ca="1" si="185">IF(L419&gt;0,N419*100/L419,0)</f>
        <v>0.11278195488721804</v>
      </c>
      <c r="P419" s="155">
        <f t="shared" ref="P419:P424" si="186">IF(M419&gt;0,N419*100/M419,0)</f>
        <v>0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2"/>
      <c r="E420" s="222" t="s">
        <v>184</v>
      </c>
      <c r="F420" s="40"/>
      <c r="G420" s="157"/>
      <c r="H420" s="165" t="s">
        <v>12</v>
      </c>
      <c r="I420" s="610"/>
      <c r="J420" s="610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2"/>
      <c r="E421" s="222" t="s">
        <v>185</v>
      </c>
      <c r="F421" s="40"/>
      <c r="G421" s="157"/>
      <c r="H421" s="165" t="s">
        <v>12</v>
      </c>
      <c r="I421" s="610"/>
      <c r="J421" s="610"/>
      <c r="K421" s="93"/>
      <c r="L421" s="93">
        <f t="shared" ca="1" si="187"/>
        <v>212800</v>
      </c>
      <c r="M421" s="93">
        <f t="shared" si="187"/>
        <v>0</v>
      </c>
      <c r="N421" s="93">
        <f t="shared" si="187"/>
        <v>240</v>
      </c>
      <c r="O421" s="93">
        <f t="shared" ca="1" si="185"/>
        <v>0.11278195488721804</v>
      </c>
      <c r="P421" s="93">
        <f t="shared" si="186"/>
        <v>0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0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6">
        <f t="shared" ref="L422:N422" ca="1" si="188">L423+L424</f>
        <v>212800</v>
      </c>
      <c r="M422" s="496">
        <f t="shared" si="188"/>
        <v>0</v>
      </c>
      <c r="N422" s="496">
        <f t="shared" si="188"/>
        <v>240</v>
      </c>
      <c r="O422" s="496">
        <f t="shared" ca="1" si="185"/>
        <v>0.11278195488721804</v>
      </c>
      <c r="P422" s="496">
        <f t="shared" si="186"/>
        <v>0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2"/>
      <c r="E423" s="222" t="s">
        <v>184</v>
      </c>
      <c r="F423" s="40"/>
      <c r="G423" s="157"/>
      <c r="H423" s="165" t="s">
        <v>12</v>
      </c>
      <c r="I423" s="610"/>
      <c r="J423" s="610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2"/>
      <c r="E424" s="222" t="s">
        <v>185</v>
      </c>
      <c r="F424" s="40"/>
      <c r="G424" s="157"/>
      <c r="H424" s="165" t="s">
        <v>12</v>
      </c>
      <c r="I424" s="610"/>
      <c r="J424" s="610"/>
      <c r="K424" s="93"/>
      <c r="L424" s="93">
        <f ca="1">IFERROR(__xludf.DUMMYFUNCTION("IMPORTRANGE(""https://docs.google.com/spreadsheets/d/1QqKyyYR6Q21VydFLVH3TRQUabQu_ym0Zz7PgGX0-kHA/edit?usp=sharing"",""แผน!EY68"")"),212800)</f>
        <v>212800</v>
      </c>
      <c r="M424" s="93">
        <v>0</v>
      </c>
      <c r="N424" s="93">
        <f>N425+N426+N427+N428</f>
        <v>240</v>
      </c>
      <c r="O424" s="93">
        <f t="shared" ca="1" si="185"/>
        <v>0.11278195488721804</v>
      </c>
      <c r="P424" s="93">
        <f t="shared" si="186"/>
        <v>0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67"/>
      <c r="B425" s="568"/>
      <c r="C425" s="754"/>
      <c r="D425" s="754"/>
      <c r="E425" s="754"/>
      <c r="F425" s="754" t="s">
        <v>186</v>
      </c>
      <c r="G425" s="189"/>
      <c r="H425" s="161" t="s">
        <v>12</v>
      </c>
      <c r="I425" s="269"/>
      <c r="J425" s="269"/>
      <c r="K425" s="496"/>
      <c r="L425" s="496"/>
      <c r="M425" s="496"/>
      <c r="N425" s="817">
        <v>0</v>
      </c>
      <c r="O425" s="496"/>
      <c r="P425" s="496"/>
      <c r="Q425" s="571"/>
      <c r="R425" s="571"/>
      <c r="S425" s="571"/>
      <c r="T425" s="571"/>
      <c r="U425" s="571"/>
      <c r="V425" s="571"/>
      <c r="W425" s="571"/>
      <c r="X425" s="571"/>
      <c r="Y425" s="571"/>
      <c r="Z425" s="571"/>
    </row>
    <row r="426" spans="1:26" ht="18.75">
      <c r="A426" s="567"/>
      <c r="B426" s="568"/>
      <c r="C426" s="754"/>
      <c r="D426" s="754"/>
      <c r="E426" s="754"/>
      <c r="F426" s="754" t="s">
        <v>187</v>
      </c>
      <c r="G426" s="189"/>
      <c r="H426" s="161" t="s">
        <v>12</v>
      </c>
      <c r="I426" s="269"/>
      <c r="J426" s="269"/>
      <c r="K426" s="496"/>
      <c r="L426" s="496"/>
      <c r="M426" s="496"/>
      <c r="N426" s="817">
        <v>0</v>
      </c>
      <c r="O426" s="496"/>
      <c r="P426" s="496"/>
      <c r="Q426" s="571"/>
      <c r="R426" s="571"/>
      <c r="S426" s="571"/>
      <c r="T426" s="571"/>
      <c r="U426" s="571"/>
      <c r="V426" s="571"/>
      <c r="W426" s="571"/>
      <c r="X426" s="571"/>
      <c r="Y426" s="571"/>
      <c r="Z426" s="571"/>
    </row>
    <row r="427" spans="1:26" ht="18.75">
      <c r="A427" s="567"/>
      <c r="B427" s="568"/>
      <c r="C427" s="754"/>
      <c r="D427" s="754"/>
      <c r="E427" s="754"/>
      <c r="F427" s="754" t="s">
        <v>188</v>
      </c>
      <c r="G427" s="189"/>
      <c r="H427" s="161" t="s">
        <v>12</v>
      </c>
      <c r="I427" s="269"/>
      <c r="J427" s="269"/>
      <c r="K427" s="496"/>
      <c r="L427" s="496"/>
      <c r="M427" s="496"/>
      <c r="N427" s="817">
        <v>0</v>
      </c>
      <c r="O427" s="496"/>
      <c r="P427" s="496"/>
      <c r="Q427" s="571"/>
      <c r="R427" s="571"/>
      <c r="S427" s="571"/>
      <c r="T427" s="571"/>
      <c r="U427" s="571"/>
      <c r="V427" s="571"/>
      <c r="W427" s="571"/>
      <c r="X427" s="571"/>
      <c r="Y427" s="571"/>
      <c r="Z427" s="571"/>
    </row>
    <row r="428" spans="1:26" ht="18.75">
      <c r="A428" s="284"/>
      <c r="B428" s="280"/>
      <c r="C428" s="33"/>
      <c r="D428" s="33"/>
      <c r="E428" s="33"/>
      <c r="F428" s="281" t="s">
        <v>189</v>
      </c>
      <c r="G428" s="213"/>
      <c r="H428" s="161" t="s">
        <v>12</v>
      </c>
      <c r="I428" s="269"/>
      <c r="J428" s="269"/>
      <c r="K428" s="496"/>
      <c r="L428" s="496"/>
      <c r="M428" s="496"/>
      <c r="N428" s="817">
        <v>240</v>
      </c>
      <c r="O428" s="496"/>
      <c r="P428" s="496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0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6">
        <f t="shared" ref="L429:N429" ca="1" si="189">L430+L431</f>
        <v>0</v>
      </c>
      <c r="M429" s="496">
        <f t="shared" si="189"/>
        <v>0</v>
      </c>
      <c r="N429" s="496">
        <f t="shared" si="189"/>
        <v>0</v>
      </c>
      <c r="O429" s="496">
        <f t="shared" ref="O429:O431" ca="1" si="190">IF(L429&gt;0,N429*100/L429,0)</f>
        <v>0</v>
      </c>
      <c r="P429" s="496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6"/>
      <c r="C430" s="40"/>
      <c r="D430" s="40"/>
      <c r="E430" s="222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6"/>
      <c r="C431" s="40"/>
      <c r="D431" s="40"/>
      <c r="E431" s="222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IFERROR(__xludf.DUMMYFUNCTION("IMPORTRANGE(""https://docs.google.com/spreadsheets/d/1QqKyyYR6Q21VydFLVH3TRQUabQu_ym0Zz7PgGX0-kHA/edit?usp=sharing"",""แผน!FB68"")"),0)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3"/>
      <c r="B432" s="414"/>
      <c r="C432" s="148" t="s">
        <v>16</v>
      </c>
      <c r="D432" s="835" t="s">
        <v>38</v>
      </c>
      <c r="E432" s="573"/>
      <c r="F432" s="573"/>
      <c r="G432" s="574"/>
      <c r="H432" s="575"/>
      <c r="I432" s="419"/>
      <c r="J432" s="419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190</v>
      </c>
      <c r="E433" s="178"/>
      <c r="F433" s="178"/>
      <c r="G433" s="179"/>
      <c r="H433" s="196" t="s">
        <v>35</v>
      </c>
      <c r="I433" s="674">
        <f ca="1">I435</f>
        <v>70</v>
      </c>
      <c r="J433" s="674">
        <f ca="1">IF(AND(J435=I435,J437=I437,J439=I439),I437+I439,IF(AND(J435=I437,J437=I437),I437,IF(AND(J435=I439,J439=I439),I439,0)))</f>
        <v>0</v>
      </c>
      <c r="K433" s="195">
        <f t="shared" ref="K433:K435" ca="1" si="192">IF(I433&gt;0,J433*100/I433,0)</f>
        <v>0</v>
      </c>
      <c r="L433" s="496"/>
      <c r="M433" s="496"/>
      <c r="N433" s="496"/>
      <c r="O433" s="496"/>
      <c r="P433" s="496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191</v>
      </c>
      <c r="E434" s="178"/>
      <c r="F434" s="178"/>
      <c r="G434" s="179"/>
      <c r="H434" s="196" t="s">
        <v>49</v>
      </c>
      <c r="I434" s="674">
        <f t="shared" ref="I434:J434" ca="1" si="193">I438+I440</f>
        <v>2</v>
      </c>
      <c r="J434" s="674">
        <f t="shared" si="193"/>
        <v>0</v>
      </c>
      <c r="K434" s="195">
        <f t="shared" ca="1" si="192"/>
        <v>0</v>
      </c>
      <c r="L434" s="496"/>
      <c r="M434" s="496"/>
      <c r="N434" s="496"/>
      <c r="O434" s="496"/>
      <c r="P434" s="496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6" t="s">
        <v>192</v>
      </c>
      <c r="E435" s="178"/>
      <c r="F435" s="178"/>
      <c r="G435" s="179"/>
      <c r="H435" s="616" t="s">
        <v>35</v>
      </c>
      <c r="I435" s="576">
        <f ca="1">IFERROR(__xludf.DUMMYFUNCTION("IMPORTRANGE(""https://docs.google.com/spreadsheets/d/1QqKyyYR6Q21VydFLVH3TRQUabQu_ym0Zz7PgGX0-kHA/edit?usp=sharing"",""แผน!FC68"")"),70)</f>
        <v>70</v>
      </c>
      <c r="J435" s="577">
        <v>0</v>
      </c>
      <c r="K435" s="496">
        <f t="shared" ca="1" si="192"/>
        <v>0</v>
      </c>
      <c r="L435" s="496"/>
      <c r="M435" s="496"/>
      <c r="N435" s="496"/>
      <c r="O435" s="496"/>
      <c r="P435" s="496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6" t="s">
        <v>193</v>
      </c>
      <c r="E436" s="178"/>
      <c r="F436" s="178"/>
      <c r="G436" s="179"/>
      <c r="H436" s="616"/>
      <c r="I436" s="269"/>
      <c r="J436" s="269"/>
      <c r="K436" s="496"/>
      <c r="L436" s="496"/>
      <c r="M436" s="496"/>
      <c r="N436" s="496"/>
      <c r="O436" s="496"/>
      <c r="P436" s="496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6" t="s">
        <v>194</v>
      </c>
      <c r="E437" s="178"/>
      <c r="F437" s="178"/>
      <c r="G437" s="179"/>
      <c r="H437" s="616" t="s">
        <v>35</v>
      </c>
      <c r="I437" s="576">
        <f ca="1">IFERROR(__xludf.DUMMYFUNCTION("IMPORTRANGE(""https://docs.google.com/spreadsheets/d/1QqKyyYR6Q21VydFLVH3TRQUabQu_ym0Zz7PgGX0-kHA/edit?usp=sharing"",""แผน!FD68"")"),40)</f>
        <v>40</v>
      </c>
      <c r="J437" s="577">
        <v>0</v>
      </c>
      <c r="K437" s="496">
        <f t="shared" ref="K437:K443" ca="1" si="194">IF(I437&gt;0,J437*100/I437,0)</f>
        <v>0</v>
      </c>
      <c r="L437" s="496"/>
      <c r="M437" s="496"/>
      <c r="N437" s="496"/>
      <c r="O437" s="496"/>
      <c r="P437" s="496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6" t="s">
        <v>195</v>
      </c>
      <c r="E438" s="178"/>
      <c r="F438" s="178"/>
      <c r="G438" s="179"/>
      <c r="H438" s="616" t="s">
        <v>49</v>
      </c>
      <c r="I438" s="269">
        <f ca="1">IFERROR(__xludf.DUMMYFUNCTION("IMPORTRANGE(""https://docs.google.com/spreadsheets/d/1QqKyyYR6Q21VydFLVH3TRQUabQu_ym0Zz7PgGX0-kHA/edit?usp=sharing"",""แผน!FE68"")"),1)</f>
        <v>1</v>
      </c>
      <c r="J438" s="214">
        <v>0</v>
      </c>
      <c r="K438" s="496">
        <f t="shared" ca="1" si="194"/>
        <v>0</v>
      </c>
      <c r="L438" s="496"/>
      <c r="M438" s="496"/>
      <c r="N438" s="496"/>
      <c r="O438" s="496"/>
      <c r="P438" s="496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6" t="s">
        <v>196</v>
      </c>
      <c r="E439" s="178"/>
      <c r="F439" s="178"/>
      <c r="G439" s="179"/>
      <c r="H439" s="616" t="s">
        <v>35</v>
      </c>
      <c r="I439" s="576">
        <f ca="1">IFERROR(__xludf.DUMMYFUNCTION("IMPORTRANGE(""https://docs.google.com/spreadsheets/d/1QqKyyYR6Q21VydFLVH3TRQUabQu_ym0Zz7PgGX0-kHA/edit?usp=sharing"",""แผน!FF68"")"),30)</f>
        <v>30</v>
      </c>
      <c r="J439" s="577">
        <v>0</v>
      </c>
      <c r="K439" s="496">
        <f t="shared" ca="1" si="194"/>
        <v>0</v>
      </c>
      <c r="L439" s="496"/>
      <c r="M439" s="496"/>
      <c r="N439" s="496"/>
      <c r="O439" s="496"/>
      <c r="P439" s="496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6" t="s">
        <v>197</v>
      </c>
      <c r="E440" s="178"/>
      <c r="F440" s="178"/>
      <c r="G440" s="179"/>
      <c r="H440" s="616" t="s">
        <v>49</v>
      </c>
      <c r="I440" s="269">
        <f ca="1">IFERROR(__xludf.DUMMYFUNCTION("IMPORTRANGE(""https://docs.google.com/spreadsheets/d/1QqKyyYR6Q21VydFLVH3TRQUabQu_ym0Zz7PgGX0-kHA/edit?usp=sharing"",""แผน!FG68"")"),1)</f>
        <v>1</v>
      </c>
      <c r="J440" s="214">
        <v>0</v>
      </c>
      <c r="K440" s="496">
        <f t="shared" ca="1" si="194"/>
        <v>0</v>
      </c>
      <c r="L440" s="496"/>
      <c r="M440" s="496"/>
      <c r="N440" s="496"/>
      <c r="O440" s="496"/>
      <c r="P440" s="496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 hidden="1">
      <c r="A441" s="170"/>
      <c r="B441" s="171"/>
      <c r="C441" s="171"/>
      <c r="D441" s="446" t="s">
        <v>198</v>
      </c>
      <c r="E441" s="178"/>
      <c r="F441" s="178"/>
      <c r="G441" s="179"/>
      <c r="H441" s="616" t="s">
        <v>35</v>
      </c>
      <c r="I441" s="269">
        <f ca="1">IFERROR(__xludf.DUMMYFUNCTION("IMPORTRANGE(""https://docs.google.com/spreadsheets/d/1QqKyyYR6Q21VydFLVH3TRQUabQu_ym0Zz7PgGX0-kHA/edit?usp=sharing"",""แผน!FH68"")"),0)</f>
        <v>0</v>
      </c>
      <c r="J441" s="269">
        <v>0</v>
      </c>
      <c r="K441" s="496">
        <f t="shared" ca="1" si="194"/>
        <v>0</v>
      </c>
      <c r="L441" s="496"/>
      <c r="M441" s="496"/>
      <c r="N441" s="496"/>
      <c r="O441" s="496"/>
      <c r="P441" s="496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78">
        <v>2</v>
      </c>
      <c r="B442" s="579" t="s">
        <v>199</v>
      </c>
      <c r="C442" s="580"/>
      <c r="D442" s="580"/>
      <c r="E442" s="580"/>
      <c r="F442" s="580"/>
      <c r="G442" s="581"/>
      <c r="H442" s="582" t="s">
        <v>35</v>
      </c>
      <c r="I442" s="583">
        <f t="shared" ref="I442:J442" ca="1" si="195">I460</f>
        <v>40</v>
      </c>
      <c r="J442" s="583">
        <f t="shared" si="195"/>
        <v>40</v>
      </c>
      <c r="K442" s="584">
        <f t="shared" ca="1" si="194"/>
        <v>100</v>
      </c>
      <c r="L442" s="585"/>
      <c r="M442" s="585"/>
      <c r="N442" s="585"/>
      <c r="O442" s="585"/>
      <c r="P442" s="585"/>
      <c r="Q442" s="571"/>
      <c r="R442" s="571"/>
      <c r="S442" s="571"/>
      <c r="T442" s="571"/>
      <c r="U442" s="571"/>
      <c r="V442" s="571"/>
      <c r="W442" s="571"/>
      <c r="X442" s="571"/>
      <c r="Y442" s="571"/>
      <c r="Z442" s="571"/>
    </row>
    <row r="443" spans="1:26" ht="19.5">
      <c r="A443" s="586"/>
      <c r="B443" s="587"/>
      <c r="C443" s="588"/>
      <c r="D443" s="588"/>
      <c r="E443" s="588"/>
      <c r="F443" s="588"/>
      <c r="G443" s="589"/>
      <c r="H443" s="562" t="s">
        <v>46</v>
      </c>
      <c r="I443" s="563">
        <f t="shared" ref="I443:J443" ca="1" si="196">I462</f>
        <v>65</v>
      </c>
      <c r="J443" s="563">
        <f t="shared" si="196"/>
        <v>65</v>
      </c>
      <c r="K443" s="564">
        <f t="shared" ca="1" si="194"/>
        <v>100</v>
      </c>
      <c r="L443" s="565"/>
      <c r="M443" s="565"/>
      <c r="N443" s="565"/>
      <c r="O443" s="565"/>
      <c r="P443" s="565"/>
      <c r="Q443" s="571"/>
      <c r="R443" s="571"/>
      <c r="S443" s="571"/>
      <c r="T443" s="571"/>
      <c r="U443" s="571"/>
      <c r="V443" s="571"/>
      <c r="W443" s="571"/>
      <c r="X443" s="571"/>
      <c r="Y443" s="571"/>
      <c r="Z443" s="571"/>
    </row>
    <row r="444" spans="1:26" ht="19.5">
      <c r="A444" s="590"/>
      <c r="B444" s="754"/>
      <c r="C444" s="754" t="s">
        <v>16</v>
      </c>
      <c r="D444" s="863" t="s">
        <v>17</v>
      </c>
      <c r="E444" s="857"/>
      <c r="F444" s="857"/>
      <c r="G444" s="189"/>
      <c r="H444" s="591" t="s">
        <v>12</v>
      </c>
      <c r="I444" s="269"/>
      <c r="J444" s="269"/>
      <c r="K444" s="496"/>
      <c r="L444" s="195">
        <f t="shared" ref="L444:N444" ca="1" si="197">L445+L446</f>
        <v>312380</v>
      </c>
      <c r="M444" s="195">
        <f t="shared" si="197"/>
        <v>0</v>
      </c>
      <c r="N444" s="195">
        <f t="shared" si="197"/>
        <v>48020</v>
      </c>
      <c r="O444" s="195">
        <f t="shared" ref="O444:O449" ca="1" si="198">IF(L444&gt;0,N444*100/L444,0)</f>
        <v>15.372302964338306</v>
      </c>
      <c r="P444" s="195">
        <f t="shared" ref="P444:P449" si="199">IF(M444&gt;0,N444*100/M444,0)</f>
        <v>0</v>
      </c>
      <c r="Q444" s="571"/>
      <c r="R444" s="571"/>
      <c r="S444" s="571"/>
      <c r="T444" s="571"/>
      <c r="U444" s="571"/>
      <c r="V444" s="571"/>
      <c r="W444" s="571"/>
      <c r="X444" s="571"/>
      <c r="Y444" s="571"/>
      <c r="Z444" s="571"/>
    </row>
    <row r="445" spans="1:26" ht="18.75" hidden="1">
      <c r="A445" s="592"/>
      <c r="B445" s="750"/>
      <c r="C445" s="750"/>
      <c r="D445" s="711"/>
      <c r="E445" s="750" t="s">
        <v>184</v>
      </c>
      <c r="F445" s="750"/>
      <c r="G445" s="596"/>
      <c r="H445" s="165" t="s">
        <v>12</v>
      </c>
      <c r="I445" s="610"/>
      <c r="J445" s="610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597"/>
      <c r="R445" s="597"/>
      <c r="S445" s="597"/>
      <c r="T445" s="597"/>
      <c r="U445" s="597"/>
      <c r="V445" s="597"/>
      <c r="W445" s="597"/>
      <c r="X445" s="597"/>
      <c r="Y445" s="597"/>
      <c r="Z445" s="597"/>
    </row>
    <row r="446" spans="1:26" ht="18.75" hidden="1">
      <c r="A446" s="592"/>
      <c r="B446" s="600"/>
      <c r="C446" s="750"/>
      <c r="D446" s="711"/>
      <c r="E446" s="750" t="s">
        <v>185</v>
      </c>
      <c r="F446" s="750"/>
      <c r="G446" s="596"/>
      <c r="H446" s="165" t="s">
        <v>12</v>
      </c>
      <c r="I446" s="610"/>
      <c r="J446" s="610"/>
      <c r="K446" s="93"/>
      <c r="L446" s="93">
        <f t="shared" ca="1" si="200"/>
        <v>312380</v>
      </c>
      <c r="M446" s="93">
        <f t="shared" si="200"/>
        <v>0</v>
      </c>
      <c r="N446" s="93">
        <f t="shared" si="200"/>
        <v>48020</v>
      </c>
      <c r="O446" s="93">
        <f t="shared" ca="1" si="198"/>
        <v>15.372302964338306</v>
      </c>
      <c r="P446" s="93">
        <f t="shared" si="199"/>
        <v>0</v>
      </c>
      <c r="Q446" s="597"/>
      <c r="R446" s="597"/>
      <c r="S446" s="597"/>
      <c r="T446" s="597"/>
      <c r="U446" s="597"/>
      <c r="V446" s="597"/>
      <c r="W446" s="597"/>
      <c r="X446" s="597"/>
      <c r="Y446" s="597"/>
      <c r="Z446" s="597"/>
    </row>
    <row r="447" spans="1:26" ht="18.75">
      <c r="A447" s="590"/>
      <c r="B447" s="568"/>
      <c r="C447" s="754"/>
      <c r="D447" s="599" t="s">
        <v>20</v>
      </c>
      <c r="E447" s="754"/>
      <c r="F447" s="754"/>
      <c r="G447" s="189"/>
      <c r="H447" s="161" t="s">
        <v>12</v>
      </c>
      <c r="I447" s="184"/>
      <c r="J447" s="184"/>
      <c r="K447" s="163"/>
      <c r="L447" s="496">
        <f t="shared" ref="L447:N447" ca="1" si="201">L448+L449</f>
        <v>312380</v>
      </c>
      <c r="M447" s="496">
        <f t="shared" si="201"/>
        <v>0</v>
      </c>
      <c r="N447" s="496">
        <f t="shared" si="201"/>
        <v>48020</v>
      </c>
      <c r="O447" s="496">
        <f t="shared" ca="1" si="198"/>
        <v>15.372302964338306</v>
      </c>
      <c r="P447" s="496">
        <f t="shared" si="199"/>
        <v>0</v>
      </c>
      <c r="Q447" s="571"/>
      <c r="R447" s="571"/>
      <c r="S447" s="571"/>
      <c r="T447" s="571"/>
      <c r="U447" s="571"/>
      <c r="V447" s="571"/>
      <c r="W447" s="571"/>
      <c r="X447" s="571"/>
      <c r="Y447" s="571"/>
      <c r="Z447" s="571"/>
    </row>
    <row r="448" spans="1:26" ht="18.75" hidden="1">
      <c r="A448" s="592"/>
      <c r="B448" s="600"/>
      <c r="C448" s="750"/>
      <c r="D448" s="711"/>
      <c r="E448" s="750" t="s">
        <v>184</v>
      </c>
      <c r="F448" s="750"/>
      <c r="G448" s="596"/>
      <c r="H448" s="165" t="s">
        <v>12</v>
      </c>
      <c r="I448" s="610"/>
      <c r="J448" s="610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597"/>
      <c r="R448" s="597"/>
      <c r="S448" s="597"/>
      <c r="T448" s="597"/>
      <c r="U448" s="597"/>
      <c r="V448" s="597"/>
      <c r="W448" s="597"/>
      <c r="X448" s="597"/>
      <c r="Y448" s="597"/>
      <c r="Z448" s="597"/>
    </row>
    <row r="449" spans="1:26" ht="18.75" hidden="1">
      <c r="A449" s="592"/>
      <c r="B449" s="600"/>
      <c r="C449" s="750"/>
      <c r="D449" s="711"/>
      <c r="E449" s="750" t="s">
        <v>185</v>
      </c>
      <c r="F449" s="750"/>
      <c r="G449" s="596"/>
      <c r="H449" s="165" t="s">
        <v>12</v>
      </c>
      <c r="I449" s="610"/>
      <c r="J449" s="610"/>
      <c r="K449" s="93"/>
      <c r="L449" s="93">
        <f ca="1">IFERROR(__xludf.DUMMYFUNCTION("IMPORTRANGE(""https://docs.google.com/spreadsheets/d/1QqKyyYR6Q21VydFLVH3TRQUabQu_ym0Zz7PgGX0-kHA/edit?usp=sharing"",""แผน!FJ68"")"),312380)</f>
        <v>312380</v>
      </c>
      <c r="M449" s="93">
        <v>0</v>
      </c>
      <c r="N449" s="93">
        <f>N450+N451+N452+N453</f>
        <v>48020</v>
      </c>
      <c r="O449" s="93">
        <f t="shared" ca="1" si="198"/>
        <v>15.372302964338306</v>
      </c>
      <c r="P449" s="93">
        <f t="shared" si="199"/>
        <v>0</v>
      </c>
      <c r="Q449" s="597"/>
      <c r="R449" s="597"/>
      <c r="S449" s="597"/>
      <c r="T449" s="597"/>
      <c r="U449" s="597"/>
      <c r="V449" s="597"/>
      <c r="W449" s="597"/>
      <c r="X449" s="597"/>
      <c r="Y449" s="597"/>
      <c r="Z449" s="597"/>
    </row>
    <row r="450" spans="1:26" ht="18.75">
      <c r="A450" s="567"/>
      <c r="B450" s="568"/>
      <c r="C450" s="754"/>
      <c r="D450" s="754"/>
      <c r="E450" s="754"/>
      <c r="F450" s="754" t="s">
        <v>186</v>
      </c>
      <c r="G450" s="189"/>
      <c r="H450" s="161" t="s">
        <v>12</v>
      </c>
      <c r="I450" s="269"/>
      <c r="J450" s="269"/>
      <c r="K450" s="496"/>
      <c r="L450" s="496"/>
      <c r="M450" s="496"/>
      <c r="N450" s="817">
        <v>26300</v>
      </c>
      <c r="O450" s="496"/>
      <c r="P450" s="496"/>
      <c r="Q450" s="571"/>
      <c r="R450" s="571"/>
      <c r="S450" s="571"/>
      <c r="T450" s="571"/>
      <c r="U450" s="571"/>
      <c r="V450" s="571"/>
      <c r="W450" s="571"/>
      <c r="X450" s="571"/>
      <c r="Y450" s="571"/>
      <c r="Z450" s="571"/>
    </row>
    <row r="451" spans="1:26" ht="18.75">
      <c r="A451" s="567"/>
      <c r="B451" s="568"/>
      <c r="C451" s="754"/>
      <c r="D451" s="754"/>
      <c r="E451" s="754"/>
      <c r="F451" s="754" t="s">
        <v>187</v>
      </c>
      <c r="G451" s="189"/>
      <c r="H451" s="161" t="s">
        <v>12</v>
      </c>
      <c r="I451" s="269"/>
      <c r="J451" s="269"/>
      <c r="K451" s="496"/>
      <c r="L451" s="496"/>
      <c r="M451" s="496"/>
      <c r="N451" s="817">
        <v>0</v>
      </c>
      <c r="O451" s="496"/>
      <c r="P451" s="496"/>
      <c r="Q451" s="571"/>
      <c r="R451" s="571"/>
      <c r="S451" s="571"/>
      <c r="T451" s="571"/>
      <c r="U451" s="571"/>
      <c r="V451" s="571"/>
      <c r="W451" s="571"/>
      <c r="X451" s="571"/>
      <c r="Y451" s="571"/>
      <c r="Z451" s="571"/>
    </row>
    <row r="452" spans="1:26" ht="18.75">
      <c r="A452" s="567"/>
      <c r="B452" s="568"/>
      <c r="C452" s="568"/>
      <c r="D452" s="568"/>
      <c r="E452" s="568"/>
      <c r="F452" s="754" t="s">
        <v>188</v>
      </c>
      <c r="G452" s="189"/>
      <c r="H452" s="161" t="s">
        <v>12</v>
      </c>
      <c r="I452" s="269"/>
      <c r="J452" s="269"/>
      <c r="K452" s="496"/>
      <c r="L452" s="496"/>
      <c r="M452" s="496"/>
      <c r="N452" s="817">
        <v>13000</v>
      </c>
      <c r="O452" s="496"/>
      <c r="P452" s="496"/>
      <c r="Q452" s="571"/>
      <c r="R452" s="571"/>
      <c r="S452" s="571"/>
      <c r="T452" s="571"/>
      <c r="U452" s="571"/>
      <c r="V452" s="571"/>
      <c r="W452" s="571"/>
      <c r="X452" s="571"/>
      <c r="Y452" s="571"/>
      <c r="Z452" s="571"/>
    </row>
    <row r="453" spans="1:26" ht="18.75">
      <c r="A453" s="567"/>
      <c r="B453" s="568"/>
      <c r="C453" s="568"/>
      <c r="D453" s="568"/>
      <c r="E453" s="568"/>
      <c r="F453" s="754" t="s">
        <v>189</v>
      </c>
      <c r="G453" s="189"/>
      <c r="H453" s="161" t="s">
        <v>12</v>
      </c>
      <c r="I453" s="269"/>
      <c r="J453" s="269"/>
      <c r="K453" s="496"/>
      <c r="L453" s="496"/>
      <c r="M453" s="496"/>
      <c r="N453" s="817">
        <v>8720</v>
      </c>
      <c r="O453" s="496"/>
      <c r="P453" s="496"/>
      <c r="Q453" s="571"/>
      <c r="R453" s="571"/>
      <c r="S453" s="571"/>
      <c r="T453" s="571"/>
      <c r="U453" s="571"/>
      <c r="V453" s="571"/>
      <c r="W453" s="571"/>
      <c r="X453" s="571"/>
      <c r="Y453" s="571"/>
      <c r="Z453" s="571"/>
    </row>
    <row r="454" spans="1:26" ht="18.75">
      <c r="A454" s="590"/>
      <c r="B454" s="568"/>
      <c r="C454" s="568"/>
      <c r="D454" s="599" t="s">
        <v>21</v>
      </c>
      <c r="E454" s="568"/>
      <c r="F454" s="754"/>
      <c r="G454" s="189"/>
      <c r="H454" s="168" t="s">
        <v>12</v>
      </c>
      <c r="I454" s="184"/>
      <c r="J454" s="184"/>
      <c r="K454" s="163"/>
      <c r="L454" s="496">
        <f t="shared" ref="L454:N454" ca="1" si="202">L455+L456</f>
        <v>0</v>
      </c>
      <c r="M454" s="496">
        <f t="shared" si="202"/>
        <v>0</v>
      </c>
      <c r="N454" s="496">
        <f t="shared" si="202"/>
        <v>0</v>
      </c>
      <c r="O454" s="496">
        <f t="shared" ref="O454:O456" ca="1" si="203">IF(L454&gt;0,N454*100/L454,0)</f>
        <v>0</v>
      </c>
      <c r="P454" s="496">
        <f t="shared" ref="P454:P456" si="204">IF(M454&gt;0,N454*100/M454,0)</f>
        <v>0</v>
      </c>
      <c r="Q454" s="571"/>
      <c r="R454" s="571"/>
      <c r="S454" s="571"/>
      <c r="T454" s="571"/>
      <c r="U454" s="571"/>
      <c r="V454" s="571"/>
      <c r="W454" s="571"/>
      <c r="X454" s="571"/>
      <c r="Y454" s="571"/>
      <c r="Z454" s="571"/>
    </row>
    <row r="455" spans="1:26" ht="18.75" hidden="1">
      <c r="A455" s="592"/>
      <c r="B455" s="600"/>
      <c r="C455" s="600"/>
      <c r="D455" s="600"/>
      <c r="E455" s="600" t="s">
        <v>18</v>
      </c>
      <c r="F455" s="750"/>
      <c r="G455" s="596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597"/>
      <c r="R455" s="597"/>
      <c r="S455" s="597"/>
      <c r="T455" s="597"/>
      <c r="U455" s="597"/>
      <c r="V455" s="597"/>
      <c r="W455" s="597"/>
      <c r="X455" s="597"/>
      <c r="Y455" s="597"/>
      <c r="Z455" s="597"/>
    </row>
    <row r="456" spans="1:26" ht="18.75" hidden="1">
      <c r="A456" s="592"/>
      <c r="B456" s="600"/>
      <c r="C456" s="600"/>
      <c r="D456" s="600"/>
      <c r="E456" s="600" t="s">
        <v>19</v>
      </c>
      <c r="F456" s="750"/>
      <c r="G456" s="596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IFERROR(__xludf.DUMMYFUNCTION("IMPORTRANGE(""https://docs.google.com/spreadsheets/d/1QqKyyYR6Q21VydFLVH3TRQUabQu_ym0Zz7PgGX0-kHA/edit?usp=sharing"",""แผน!FM68"")"),0)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597"/>
      <c r="R456" s="597"/>
      <c r="S456" s="597"/>
      <c r="T456" s="597"/>
      <c r="U456" s="597"/>
      <c r="V456" s="597"/>
      <c r="W456" s="597"/>
      <c r="X456" s="597"/>
      <c r="Y456" s="597"/>
      <c r="Z456" s="597"/>
    </row>
    <row r="457" spans="1:26" ht="19.5">
      <c r="A457" s="601"/>
      <c r="B457" s="611"/>
      <c r="C457" s="568" t="s">
        <v>16</v>
      </c>
      <c r="D457" s="836" t="s">
        <v>38</v>
      </c>
      <c r="E457" s="604"/>
      <c r="F457" s="752"/>
      <c r="G457" s="606"/>
      <c r="H457" s="753"/>
      <c r="I457" s="269"/>
      <c r="J457" s="269"/>
      <c r="K457" s="496"/>
      <c r="L457" s="496"/>
      <c r="M457" s="496"/>
      <c r="N457" s="496"/>
      <c r="O457" s="496"/>
      <c r="P457" s="496"/>
      <c r="Q457" s="571"/>
      <c r="R457" s="571"/>
      <c r="S457" s="571"/>
      <c r="T457" s="571"/>
      <c r="U457" s="571"/>
      <c r="V457" s="571"/>
      <c r="W457" s="571"/>
      <c r="X457" s="571"/>
      <c r="Y457" s="571"/>
      <c r="Z457" s="571"/>
    </row>
    <row r="458" spans="1:26" ht="18.75" hidden="1">
      <c r="A458" s="607"/>
      <c r="B458" s="609"/>
      <c r="C458" s="609"/>
      <c r="D458" s="609" t="s">
        <v>200</v>
      </c>
      <c r="E458" s="609"/>
      <c r="F458" s="711"/>
      <c r="G458" s="365"/>
      <c r="H458" s="369" t="s">
        <v>35</v>
      </c>
      <c r="I458" s="610">
        <v>0</v>
      </c>
      <c r="J458" s="610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597"/>
      <c r="R458" s="597"/>
      <c r="S458" s="597"/>
      <c r="T458" s="597"/>
      <c r="U458" s="597"/>
      <c r="V458" s="597"/>
      <c r="W458" s="597"/>
      <c r="X458" s="597"/>
      <c r="Y458" s="597"/>
      <c r="Z458" s="597"/>
    </row>
    <row r="459" spans="1:26" ht="18.75" hidden="1">
      <c r="A459" s="607"/>
      <c r="B459" s="609"/>
      <c r="C459" s="609"/>
      <c r="D459" s="609" t="s">
        <v>201</v>
      </c>
      <c r="E459" s="609"/>
      <c r="F459" s="711"/>
      <c r="G459" s="365"/>
      <c r="H459" s="369"/>
      <c r="I459" s="610"/>
      <c r="J459" s="610"/>
      <c r="K459" s="93"/>
      <c r="L459" s="93"/>
      <c r="M459" s="93"/>
      <c r="N459" s="93"/>
      <c r="O459" s="93"/>
      <c r="P459" s="93"/>
      <c r="Q459" s="597"/>
      <c r="R459" s="597"/>
      <c r="S459" s="597"/>
      <c r="T459" s="597"/>
      <c r="U459" s="597"/>
      <c r="V459" s="597"/>
      <c r="W459" s="597"/>
      <c r="X459" s="597"/>
      <c r="Y459" s="597"/>
      <c r="Z459" s="597"/>
    </row>
    <row r="460" spans="1:26" ht="18.75">
      <c r="A460" s="601"/>
      <c r="B460" s="611"/>
      <c r="C460" s="611"/>
      <c r="D460" s="611" t="s">
        <v>202</v>
      </c>
      <c r="E460" s="611"/>
      <c r="F460" s="619"/>
      <c r="G460" s="753"/>
      <c r="H460" s="755" t="s">
        <v>35</v>
      </c>
      <c r="I460" s="269">
        <f ca="1">IFERROR(__xludf.DUMMYFUNCTION("IMPORTRANGE(""https://docs.google.com/spreadsheets/d/1QqKyyYR6Q21VydFLVH3TRQUabQu_ym0Zz7PgGX0-kHA/edit?usp=sharing"",""แผน!FN68"")"),40)</f>
        <v>40</v>
      </c>
      <c r="J460" s="214">
        <v>40</v>
      </c>
      <c r="K460" s="496">
        <f ca="1">IF(I460&gt;0,J460*100/I460,0)</f>
        <v>100</v>
      </c>
      <c r="L460" s="496"/>
      <c r="M460" s="496"/>
      <c r="N460" s="496"/>
      <c r="O460" s="496"/>
      <c r="P460" s="496"/>
      <c r="Q460" s="571"/>
      <c r="R460" s="571"/>
      <c r="S460" s="571"/>
      <c r="T460" s="571"/>
      <c r="U460" s="571"/>
      <c r="V460" s="571"/>
      <c r="W460" s="571"/>
      <c r="X460" s="571"/>
      <c r="Y460" s="571"/>
      <c r="Z460" s="571"/>
    </row>
    <row r="461" spans="1:26" ht="18.75">
      <c r="A461" s="601"/>
      <c r="B461" s="611"/>
      <c r="C461" s="611"/>
      <c r="D461" s="611" t="s">
        <v>203</v>
      </c>
      <c r="E461" s="619"/>
      <c r="F461" s="619"/>
      <c r="G461" s="753"/>
      <c r="H461" s="755"/>
      <c r="I461" s="269"/>
      <c r="J461" s="269"/>
      <c r="K461" s="496"/>
      <c r="L461" s="496"/>
      <c r="M461" s="496"/>
      <c r="N461" s="496"/>
      <c r="O461" s="496"/>
      <c r="P461" s="496"/>
      <c r="Q461" s="571"/>
      <c r="R461" s="571"/>
      <c r="S461" s="571"/>
      <c r="T461" s="571"/>
      <c r="U461" s="571"/>
      <c r="V461" s="571"/>
      <c r="W461" s="571"/>
      <c r="X461" s="571"/>
      <c r="Y461" s="571"/>
      <c r="Z461" s="571"/>
    </row>
    <row r="462" spans="1:26" ht="18.75">
      <c r="A462" s="601"/>
      <c r="B462" s="611"/>
      <c r="C462" s="611"/>
      <c r="D462" s="611" t="s">
        <v>204</v>
      </c>
      <c r="E462" s="619"/>
      <c r="F462" s="619"/>
      <c r="G462" s="753"/>
      <c r="H462" s="755" t="s">
        <v>46</v>
      </c>
      <c r="I462" s="269">
        <f ca="1">IFERROR(__xludf.DUMMYFUNCTION("IMPORTRANGE(""https://docs.google.com/spreadsheets/d/1QqKyyYR6Q21VydFLVH3TRQUabQu_ym0Zz7PgGX0-kHA/edit?usp=sharing"",""แผน!FO68"")"),65)</f>
        <v>65</v>
      </c>
      <c r="J462" s="214">
        <v>65</v>
      </c>
      <c r="K462" s="496">
        <f ca="1">IF(I462&gt;0,J462*100/I462,0)</f>
        <v>100</v>
      </c>
      <c r="L462" s="496"/>
      <c r="M462" s="496"/>
      <c r="N462" s="496"/>
      <c r="O462" s="496"/>
      <c r="P462" s="496"/>
      <c r="Q462" s="571"/>
      <c r="R462" s="571"/>
      <c r="S462" s="571"/>
      <c r="T462" s="571"/>
      <c r="U462" s="571"/>
      <c r="V462" s="571"/>
      <c r="W462" s="571"/>
      <c r="X462" s="571"/>
      <c r="Y462" s="571"/>
      <c r="Z462" s="571"/>
    </row>
    <row r="463" spans="1:26" ht="18.75">
      <c r="A463" s="601"/>
      <c r="B463" s="611"/>
      <c r="C463" s="611"/>
      <c r="D463" s="611" t="s">
        <v>59</v>
      </c>
      <c r="E463" s="619"/>
      <c r="F463" s="754"/>
      <c r="G463" s="189"/>
      <c r="H463" s="755" t="s">
        <v>46</v>
      </c>
      <c r="I463" s="269">
        <f ca="1">IFERROR(__xludf.DUMMYFUNCTION("IMPORTRANGE(""https://docs.google.com/spreadsheets/d/1QqKyyYR6Q21VydFLVH3TRQUabQu_ym0Zz7PgGX0-kHA/edit?usp=sharing"",""แผน!FO68"")"),65)</f>
        <v>65</v>
      </c>
      <c r="J463" s="214">
        <v>0</v>
      </c>
      <c r="K463" s="496"/>
      <c r="L463" s="496"/>
      <c r="M463" s="496"/>
      <c r="N463" s="496"/>
      <c r="O463" s="496"/>
      <c r="P463" s="496"/>
      <c r="Q463" s="571"/>
      <c r="R463" s="571"/>
      <c r="S463" s="571"/>
      <c r="T463" s="571"/>
      <c r="U463" s="571"/>
      <c r="V463" s="571"/>
      <c r="W463" s="571"/>
      <c r="X463" s="571"/>
      <c r="Y463" s="571"/>
      <c r="Z463" s="571"/>
    </row>
    <row r="464" spans="1:26" ht="19.5">
      <c r="A464" s="601"/>
      <c r="B464" s="611"/>
      <c r="C464" s="611"/>
      <c r="D464" s="611"/>
      <c r="E464" s="619"/>
      <c r="F464" s="619"/>
      <c r="G464" s="613"/>
      <c r="H464" s="755" t="s">
        <v>35</v>
      </c>
      <c r="I464" s="269">
        <f ca="1">IFERROR(__xludf.DUMMYFUNCTION("IMPORTRANGE(""https://docs.google.com/spreadsheets/d/1QqKyyYR6Q21VydFLVH3TRQUabQu_ym0Zz7PgGX0-kHA/edit?usp=sharing"",""แผน!FN68"")"),40)</f>
        <v>40</v>
      </c>
      <c r="J464" s="214">
        <v>0</v>
      </c>
      <c r="K464" s="496"/>
      <c r="L464" s="496"/>
      <c r="M464" s="496"/>
      <c r="N464" s="496"/>
      <c r="O464" s="496"/>
      <c r="P464" s="496"/>
      <c r="Q464" s="571"/>
      <c r="R464" s="571"/>
      <c r="S464" s="571"/>
      <c r="T464" s="571"/>
      <c r="U464" s="571"/>
      <c r="V464" s="571"/>
      <c r="W464" s="571"/>
      <c r="X464" s="571"/>
      <c r="Y464" s="571"/>
      <c r="Z464" s="571"/>
    </row>
    <row r="465" spans="1:26" ht="19.5">
      <c r="A465" s="578">
        <v>3</v>
      </c>
      <c r="B465" s="579" t="s">
        <v>205</v>
      </c>
      <c r="C465" s="580"/>
      <c r="D465" s="580"/>
      <c r="E465" s="580"/>
      <c r="F465" s="580"/>
      <c r="G465" s="581"/>
      <c r="H465" s="582" t="s">
        <v>35</v>
      </c>
      <c r="I465" s="583">
        <f ca="1">IFERROR(__xludf.DUMMYFUNCTION("IMPORTRANGE(""https://docs.google.com/spreadsheets/d/1QqKyyYR6Q21VydFLVH3TRQUabQu_ym0Zz7PgGX0-kHA/edit?usp=sharing"",""แผน!FX68"")"),131)</f>
        <v>131</v>
      </c>
      <c r="J465" s="583">
        <f>J485+J489+J492</f>
        <v>0</v>
      </c>
      <c r="K465" s="584">
        <f t="shared" ref="K465:K466" ca="1" si="205">IF(I465&gt;0,J465*100/I465,0)</f>
        <v>0</v>
      </c>
      <c r="L465" s="585"/>
      <c r="M465" s="585"/>
      <c r="N465" s="585"/>
      <c r="O465" s="585"/>
      <c r="P465" s="585"/>
      <c r="Q465" s="571"/>
      <c r="R465" s="571"/>
      <c r="S465" s="571"/>
      <c r="T465" s="571"/>
      <c r="U465" s="571"/>
      <c r="V465" s="571"/>
      <c r="W465" s="571"/>
      <c r="X465" s="571"/>
      <c r="Y465" s="571"/>
      <c r="Z465" s="571"/>
    </row>
    <row r="466" spans="1:26" ht="19.5">
      <c r="A466" s="586"/>
      <c r="B466" s="587"/>
      <c r="C466" s="588"/>
      <c r="D466" s="588"/>
      <c r="E466" s="588"/>
      <c r="F466" s="588"/>
      <c r="G466" s="589"/>
      <c r="H466" s="562" t="s">
        <v>46</v>
      </c>
      <c r="I466" s="563">
        <f ca="1">IFERROR(__xludf.DUMMYFUNCTION("IMPORTRANGE(""https://docs.google.com/spreadsheets/d/1QqKyyYR6Q21VydFLVH3TRQUabQu_ym0Zz7PgGX0-kHA/edit?usp=sharing"",""แผน!FW68"")"),1300)</f>
        <v>1300</v>
      </c>
      <c r="J466" s="563">
        <f>J483+J487</f>
        <v>0</v>
      </c>
      <c r="K466" s="564">
        <f t="shared" ca="1" si="205"/>
        <v>0</v>
      </c>
      <c r="L466" s="565"/>
      <c r="M466" s="565"/>
      <c r="N466" s="565"/>
      <c r="O466" s="565"/>
      <c r="P466" s="565"/>
      <c r="Q466" s="571"/>
      <c r="R466" s="571"/>
      <c r="S466" s="571"/>
      <c r="T466" s="571"/>
      <c r="U466" s="571"/>
      <c r="V466" s="571"/>
      <c r="W466" s="571"/>
      <c r="X466" s="571"/>
      <c r="Y466" s="571"/>
      <c r="Z466" s="571"/>
    </row>
    <row r="467" spans="1:26" ht="19.5">
      <c r="A467" s="590"/>
      <c r="B467" s="754"/>
      <c r="C467" s="754" t="s">
        <v>16</v>
      </c>
      <c r="D467" s="863" t="s">
        <v>17</v>
      </c>
      <c r="E467" s="857"/>
      <c r="F467" s="857"/>
      <c r="G467" s="189"/>
      <c r="H467" s="591" t="s">
        <v>12</v>
      </c>
      <c r="I467" s="269"/>
      <c r="J467" s="269"/>
      <c r="K467" s="496"/>
      <c r="L467" s="195">
        <f t="shared" ref="L467:N467" ca="1" si="206">L468+L469</f>
        <v>1161548</v>
      </c>
      <c r="M467" s="195">
        <f t="shared" si="206"/>
        <v>0</v>
      </c>
      <c r="N467" s="195">
        <f t="shared" si="206"/>
        <v>13000</v>
      </c>
      <c r="O467" s="195">
        <f t="shared" ref="O467:O472" ca="1" si="207">IF(L467&gt;0,N467*100/L467,0)</f>
        <v>1.1191961072637548</v>
      </c>
      <c r="P467" s="195">
        <f t="shared" ref="P467:P472" si="208">IF(M467&gt;0,N467*100/M467,0)</f>
        <v>0</v>
      </c>
      <c r="Q467" s="571"/>
      <c r="R467" s="571"/>
      <c r="S467" s="571"/>
      <c r="T467" s="571"/>
      <c r="U467" s="571"/>
      <c r="V467" s="571"/>
      <c r="W467" s="571"/>
      <c r="X467" s="571"/>
      <c r="Y467" s="571"/>
      <c r="Z467" s="571"/>
    </row>
    <row r="468" spans="1:26" ht="18.75" hidden="1">
      <c r="A468" s="592"/>
      <c r="B468" s="750"/>
      <c r="C468" s="750"/>
      <c r="D468" s="711"/>
      <c r="E468" s="750" t="s">
        <v>184</v>
      </c>
      <c r="F468" s="750"/>
      <c r="G468" s="596"/>
      <c r="H468" s="165" t="s">
        <v>12</v>
      </c>
      <c r="I468" s="610"/>
      <c r="J468" s="610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597"/>
      <c r="R468" s="597"/>
      <c r="S468" s="597"/>
      <c r="T468" s="597"/>
      <c r="U468" s="597"/>
      <c r="V468" s="597"/>
      <c r="W468" s="597"/>
      <c r="X468" s="597"/>
      <c r="Y468" s="597"/>
      <c r="Z468" s="597"/>
    </row>
    <row r="469" spans="1:26" ht="18.75" hidden="1">
      <c r="A469" s="592"/>
      <c r="B469" s="600"/>
      <c r="C469" s="750"/>
      <c r="D469" s="711"/>
      <c r="E469" s="750" t="s">
        <v>185</v>
      </c>
      <c r="F469" s="750"/>
      <c r="G469" s="596"/>
      <c r="H469" s="165" t="s">
        <v>12</v>
      </c>
      <c r="I469" s="610"/>
      <c r="J469" s="610"/>
      <c r="K469" s="93"/>
      <c r="L469" s="93">
        <f t="shared" ca="1" si="209"/>
        <v>1161548</v>
      </c>
      <c r="M469" s="93">
        <f t="shared" si="209"/>
        <v>0</v>
      </c>
      <c r="N469" s="93">
        <f t="shared" si="209"/>
        <v>13000</v>
      </c>
      <c r="O469" s="93">
        <f t="shared" ca="1" si="207"/>
        <v>1.1191961072637548</v>
      </c>
      <c r="P469" s="93">
        <f t="shared" si="208"/>
        <v>0</v>
      </c>
      <c r="Q469" s="597"/>
      <c r="R469" s="597"/>
      <c r="S469" s="597"/>
      <c r="T469" s="597"/>
      <c r="U469" s="597"/>
      <c r="V469" s="597"/>
      <c r="W469" s="597"/>
      <c r="X469" s="597"/>
      <c r="Y469" s="597"/>
      <c r="Z469" s="597"/>
    </row>
    <row r="470" spans="1:26" ht="18.75">
      <c r="A470" s="590"/>
      <c r="B470" s="568"/>
      <c r="C470" s="754"/>
      <c r="D470" s="599" t="s">
        <v>20</v>
      </c>
      <c r="E470" s="754"/>
      <c r="F470" s="754"/>
      <c r="G470" s="189"/>
      <c r="H470" s="161" t="s">
        <v>12</v>
      </c>
      <c r="I470" s="184"/>
      <c r="J470" s="184"/>
      <c r="K470" s="163"/>
      <c r="L470" s="496">
        <f t="shared" ref="L470:N470" ca="1" si="210">L471+L472</f>
        <v>1161548</v>
      </c>
      <c r="M470" s="496">
        <f t="shared" si="210"/>
        <v>0</v>
      </c>
      <c r="N470" s="496">
        <f t="shared" si="210"/>
        <v>13000</v>
      </c>
      <c r="O470" s="496">
        <f t="shared" ca="1" si="207"/>
        <v>1.1191961072637548</v>
      </c>
      <c r="P470" s="496">
        <f t="shared" si="208"/>
        <v>0</v>
      </c>
      <c r="Q470" s="571"/>
      <c r="R470" s="571"/>
      <c r="S470" s="571"/>
      <c r="T470" s="571"/>
      <c r="U470" s="571"/>
      <c r="V470" s="571"/>
      <c r="W470" s="571"/>
      <c r="X470" s="571"/>
      <c r="Y470" s="571"/>
      <c r="Z470" s="571"/>
    </row>
    <row r="471" spans="1:26" ht="18.75" hidden="1">
      <c r="A471" s="592"/>
      <c r="B471" s="600"/>
      <c r="C471" s="750"/>
      <c r="D471" s="711"/>
      <c r="E471" s="750" t="s">
        <v>184</v>
      </c>
      <c r="F471" s="750"/>
      <c r="G471" s="596"/>
      <c r="H471" s="165" t="s">
        <v>12</v>
      </c>
      <c r="I471" s="610"/>
      <c r="J471" s="610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597"/>
      <c r="R471" s="597"/>
      <c r="S471" s="597"/>
      <c r="T471" s="597"/>
      <c r="U471" s="597"/>
      <c r="V471" s="597"/>
      <c r="W471" s="597"/>
      <c r="X471" s="597"/>
      <c r="Y471" s="597"/>
      <c r="Z471" s="597"/>
    </row>
    <row r="472" spans="1:26" ht="18.75" hidden="1">
      <c r="A472" s="592"/>
      <c r="B472" s="600"/>
      <c r="C472" s="750"/>
      <c r="D472" s="711"/>
      <c r="E472" s="750" t="s">
        <v>185</v>
      </c>
      <c r="F472" s="750"/>
      <c r="G472" s="596"/>
      <c r="H472" s="165" t="s">
        <v>12</v>
      </c>
      <c r="I472" s="610"/>
      <c r="J472" s="610"/>
      <c r="K472" s="93"/>
      <c r="L472" s="93">
        <f ca="1">IFERROR(__xludf.DUMMYFUNCTION("IMPORTRANGE(""https://docs.google.com/spreadsheets/d/1QqKyyYR6Q21VydFLVH3TRQUabQu_ym0Zz7PgGX0-kHA/edit?usp=sharing"",""แผน!FS68"")"),1161548)</f>
        <v>1161548</v>
      </c>
      <c r="M472" s="93">
        <v>0</v>
      </c>
      <c r="N472" s="93">
        <f>N473+N474+N475+N476</f>
        <v>13000</v>
      </c>
      <c r="O472" s="93">
        <f t="shared" ca="1" si="207"/>
        <v>1.1191961072637548</v>
      </c>
      <c r="P472" s="93">
        <f t="shared" si="208"/>
        <v>0</v>
      </c>
      <c r="Q472" s="597"/>
      <c r="R472" s="597"/>
      <c r="S472" s="597"/>
      <c r="T472" s="597"/>
      <c r="U472" s="597"/>
      <c r="V472" s="597"/>
      <c r="W472" s="597"/>
      <c r="X472" s="597"/>
      <c r="Y472" s="597"/>
      <c r="Z472" s="597"/>
    </row>
    <row r="473" spans="1:26" ht="18.75">
      <c r="A473" s="567"/>
      <c r="B473" s="568"/>
      <c r="C473" s="754"/>
      <c r="D473" s="754"/>
      <c r="E473" s="754"/>
      <c r="F473" s="754" t="s">
        <v>186</v>
      </c>
      <c r="G473" s="189"/>
      <c r="H473" s="161" t="s">
        <v>12</v>
      </c>
      <c r="I473" s="269"/>
      <c r="J473" s="269"/>
      <c r="K473" s="496"/>
      <c r="L473" s="496"/>
      <c r="M473" s="496"/>
      <c r="N473" s="817">
        <v>0</v>
      </c>
      <c r="O473" s="496"/>
      <c r="P473" s="496"/>
      <c r="Q473" s="571"/>
      <c r="R473" s="571"/>
      <c r="S473" s="571"/>
      <c r="T473" s="571"/>
      <c r="U473" s="571"/>
      <c r="V473" s="571"/>
      <c r="W473" s="571"/>
      <c r="X473" s="571"/>
      <c r="Y473" s="571"/>
      <c r="Z473" s="571"/>
    </row>
    <row r="474" spans="1:26" ht="18.75">
      <c r="A474" s="567"/>
      <c r="B474" s="568"/>
      <c r="C474" s="754"/>
      <c r="D474" s="754"/>
      <c r="E474" s="754"/>
      <c r="F474" s="754" t="s">
        <v>187</v>
      </c>
      <c r="G474" s="189"/>
      <c r="H474" s="161" t="s">
        <v>12</v>
      </c>
      <c r="I474" s="269"/>
      <c r="J474" s="269"/>
      <c r="K474" s="496"/>
      <c r="L474" s="496"/>
      <c r="M474" s="496"/>
      <c r="N474" s="817">
        <v>0</v>
      </c>
      <c r="O474" s="496"/>
      <c r="P474" s="496"/>
      <c r="Q474" s="571"/>
      <c r="R474" s="571"/>
      <c r="S474" s="571"/>
      <c r="T474" s="571"/>
      <c r="U474" s="571"/>
      <c r="V474" s="571"/>
      <c r="W474" s="571"/>
      <c r="X474" s="571"/>
      <c r="Y474" s="571"/>
      <c r="Z474" s="571"/>
    </row>
    <row r="475" spans="1:26" ht="18.75">
      <c r="A475" s="567"/>
      <c r="B475" s="568"/>
      <c r="C475" s="568"/>
      <c r="D475" s="568"/>
      <c r="E475" s="568"/>
      <c r="F475" s="754" t="s">
        <v>188</v>
      </c>
      <c r="G475" s="189"/>
      <c r="H475" s="161" t="s">
        <v>12</v>
      </c>
      <c r="I475" s="269"/>
      <c r="J475" s="269"/>
      <c r="K475" s="496"/>
      <c r="L475" s="496"/>
      <c r="M475" s="496"/>
      <c r="N475" s="817">
        <v>13000</v>
      </c>
      <c r="O475" s="496"/>
      <c r="P475" s="496"/>
      <c r="Q475" s="571"/>
      <c r="R475" s="571"/>
      <c r="S475" s="571"/>
      <c r="T475" s="571"/>
      <c r="U475" s="571"/>
      <c r="V475" s="571"/>
      <c r="W475" s="571"/>
      <c r="X475" s="571"/>
      <c r="Y475" s="571"/>
      <c r="Z475" s="571"/>
    </row>
    <row r="476" spans="1:26" ht="18.75">
      <c r="A476" s="567"/>
      <c r="B476" s="568"/>
      <c r="C476" s="568"/>
      <c r="D476" s="568"/>
      <c r="E476" s="568"/>
      <c r="F476" s="754" t="s">
        <v>189</v>
      </c>
      <c r="G476" s="189"/>
      <c r="H476" s="161" t="s">
        <v>12</v>
      </c>
      <c r="I476" s="269"/>
      <c r="J476" s="269"/>
      <c r="K476" s="496"/>
      <c r="L476" s="496"/>
      <c r="M476" s="496"/>
      <c r="N476" s="817">
        <v>0</v>
      </c>
      <c r="O476" s="496"/>
      <c r="P476" s="496"/>
      <c r="Q476" s="571"/>
      <c r="R476" s="571"/>
      <c r="S476" s="571"/>
      <c r="T476" s="571"/>
      <c r="U476" s="571"/>
      <c r="V476" s="571"/>
      <c r="W476" s="571"/>
      <c r="X476" s="571"/>
      <c r="Y476" s="571"/>
      <c r="Z476" s="571"/>
    </row>
    <row r="477" spans="1:26" ht="18.75">
      <c r="A477" s="590"/>
      <c r="B477" s="568"/>
      <c r="C477" s="568"/>
      <c r="D477" s="599" t="s">
        <v>21</v>
      </c>
      <c r="E477" s="568"/>
      <c r="F477" s="568"/>
      <c r="G477" s="189"/>
      <c r="H477" s="168" t="s">
        <v>12</v>
      </c>
      <c r="I477" s="184"/>
      <c r="J477" s="184"/>
      <c r="K477" s="163"/>
      <c r="L477" s="496">
        <f t="shared" ref="L477:N477" ca="1" si="211">L478+L479</f>
        <v>0</v>
      </c>
      <c r="M477" s="496">
        <f t="shared" si="211"/>
        <v>0</v>
      </c>
      <c r="N477" s="496">
        <f t="shared" si="211"/>
        <v>0</v>
      </c>
      <c r="O477" s="496">
        <f t="shared" ref="O477:O479" ca="1" si="212">IF(L477&gt;0,N477*100/L477,0)</f>
        <v>0</v>
      </c>
      <c r="P477" s="496">
        <f t="shared" ref="P477:P479" si="213">IF(M477&gt;0,N477*100/M477,0)</f>
        <v>0</v>
      </c>
      <c r="Q477" s="571"/>
      <c r="R477" s="571"/>
      <c r="S477" s="571"/>
      <c r="T477" s="571"/>
      <c r="U477" s="571"/>
      <c r="V477" s="571"/>
      <c r="W477" s="571"/>
      <c r="X477" s="571"/>
      <c r="Y477" s="571"/>
      <c r="Z477" s="571"/>
    </row>
    <row r="478" spans="1:26" ht="18.75" hidden="1">
      <c r="A478" s="592"/>
      <c r="B478" s="600"/>
      <c r="C478" s="600"/>
      <c r="D478" s="600"/>
      <c r="E478" s="600" t="s">
        <v>18</v>
      </c>
      <c r="F478" s="600"/>
      <c r="G478" s="596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597"/>
      <c r="R478" s="597"/>
      <c r="S478" s="597"/>
      <c r="T478" s="597"/>
      <c r="U478" s="597"/>
      <c r="V478" s="597"/>
      <c r="W478" s="597"/>
      <c r="X478" s="597"/>
      <c r="Y478" s="597"/>
      <c r="Z478" s="597"/>
    </row>
    <row r="479" spans="1:26" ht="18.75" hidden="1">
      <c r="A479" s="592"/>
      <c r="B479" s="600"/>
      <c r="C479" s="600"/>
      <c r="D479" s="600"/>
      <c r="E479" s="600" t="s">
        <v>19</v>
      </c>
      <c r="F479" s="600"/>
      <c r="G479" s="596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IFERROR(__xludf.DUMMYFUNCTION("IMPORTRANGE(""https://docs.google.com/spreadsheets/d/1QqKyyYR6Q21VydFLVH3TRQUabQu_ym0Zz7PgGX0-kHA/edit?usp=sharing"",""แผน!FV68"")"),0)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597"/>
      <c r="R479" s="597"/>
      <c r="S479" s="597"/>
      <c r="T479" s="597"/>
      <c r="U479" s="597"/>
      <c r="V479" s="597"/>
      <c r="W479" s="597"/>
      <c r="X479" s="597"/>
      <c r="Y479" s="597"/>
      <c r="Z479" s="597"/>
    </row>
    <row r="480" spans="1:26" ht="19.5">
      <c r="A480" s="601"/>
      <c r="B480" s="611"/>
      <c r="C480" s="568" t="s">
        <v>16</v>
      </c>
      <c r="D480" s="837" t="s">
        <v>38</v>
      </c>
      <c r="E480" s="604"/>
      <c r="F480" s="752"/>
      <c r="G480" s="606"/>
      <c r="H480" s="753"/>
      <c r="I480" s="269"/>
      <c r="J480" s="269"/>
      <c r="K480" s="496"/>
      <c r="L480" s="496"/>
      <c r="M480" s="496"/>
      <c r="N480" s="496"/>
      <c r="O480" s="496"/>
      <c r="P480" s="496"/>
      <c r="Q480" s="571"/>
      <c r="R480" s="571"/>
      <c r="S480" s="571"/>
      <c r="T480" s="571"/>
      <c r="U480" s="571"/>
      <c r="V480" s="571"/>
      <c r="W480" s="571"/>
      <c r="X480" s="571"/>
      <c r="Y480" s="571"/>
      <c r="Z480" s="571"/>
    </row>
    <row r="481" spans="1:26" ht="19.5">
      <c r="A481" s="601"/>
      <c r="B481" s="611"/>
      <c r="C481" s="611"/>
      <c r="D481" s="618" t="s">
        <v>206</v>
      </c>
      <c r="E481" s="611"/>
      <c r="F481" s="611"/>
      <c r="G481" s="753"/>
      <c r="H481" s="189"/>
      <c r="I481" s="269"/>
      <c r="J481" s="269"/>
      <c r="K481" s="496"/>
      <c r="L481" s="496"/>
      <c r="M481" s="496"/>
      <c r="N481" s="496"/>
      <c r="O481" s="496"/>
      <c r="P481" s="496"/>
      <c r="Q481" s="571"/>
      <c r="R481" s="571"/>
      <c r="S481" s="571"/>
      <c r="T481" s="571"/>
      <c r="U481" s="571"/>
      <c r="V481" s="571"/>
      <c r="W481" s="571"/>
      <c r="X481" s="571"/>
      <c r="Y481" s="571"/>
      <c r="Z481" s="571"/>
    </row>
    <row r="482" spans="1:26" ht="18.75">
      <c r="A482" s="601"/>
      <c r="B482" s="611"/>
      <c r="C482" s="611"/>
      <c r="D482" s="611"/>
      <c r="E482" s="611" t="s">
        <v>207</v>
      </c>
      <c r="F482" s="611"/>
      <c r="G482" s="753"/>
      <c r="H482" s="189"/>
      <c r="I482" s="269"/>
      <c r="J482" s="269"/>
      <c r="K482" s="496"/>
      <c r="L482" s="496"/>
      <c r="M482" s="496"/>
      <c r="N482" s="496"/>
      <c r="O482" s="496"/>
      <c r="P482" s="496"/>
      <c r="Q482" s="571"/>
      <c r="R482" s="571"/>
      <c r="S482" s="571"/>
      <c r="T482" s="571"/>
      <c r="U482" s="571"/>
      <c r="V482" s="571"/>
      <c r="W482" s="571"/>
      <c r="X482" s="571"/>
      <c r="Y482" s="571"/>
      <c r="Z482" s="571"/>
    </row>
    <row r="483" spans="1:26" ht="18.75">
      <c r="A483" s="601"/>
      <c r="B483" s="611"/>
      <c r="C483" s="611"/>
      <c r="D483" s="611"/>
      <c r="E483" s="611"/>
      <c r="F483" s="611" t="s">
        <v>208</v>
      </c>
      <c r="G483" s="753"/>
      <c r="H483" s="616" t="s">
        <v>46</v>
      </c>
      <c r="I483" s="269">
        <f ca="1">IFERROR(__xludf.DUMMYFUNCTION("IMPORTRANGE(""https://docs.google.com/spreadsheets/d/1QqKyyYR6Q21VydFLVH3TRQUabQu_ym0Zz7PgGX0-kHA/edit?usp=sharing"",""แผน!FY68"")"),1170)</f>
        <v>1170</v>
      </c>
      <c r="J483" s="214">
        <v>0</v>
      </c>
      <c r="K483" s="496">
        <f ca="1">IF(I483&gt;0,J483*100/I483,0)</f>
        <v>0</v>
      </c>
      <c r="L483" s="496"/>
      <c r="M483" s="496"/>
      <c r="N483" s="496"/>
      <c r="O483" s="496"/>
      <c r="P483" s="496"/>
      <c r="Q483" s="571"/>
      <c r="R483" s="571"/>
      <c r="S483" s="571"/>
      <c r="T483" s="571"/>
      <c r="U483" s="571"/>
      <c r="V483" s="571"/>
      <c r="W483" s="571"/>
      <c r="X483" s="571"/>
      <c r="Y483" s="571"/>
      <c r="Z483" s="571"/>
    </row>
    <row r="484" spans="1:26" ht="18.75">
      <c r="A484" s="601"/>
      <c r="B484" s="611"/>
      <c r="C484" s="611"/>
      <c r="D484" s="611"/>
      <c r="E484" s="611"/>
      <c r="F484" s="611" t="s">
        <v>209</v>
      </c>
      <c r="G484" s="753"/>
      <c r="H484" s="616" t="s">
        <v>35</v>
      </c>
      <c r="I484" s="269"/>
      <c r="J484" s="214">
        <v>0</v>
      </c>
      <c r="K484" s="496"/>
      <c r="L484" s="496"/>
      <c r="M484" s="496"/>
      <c r="N484" s="496"/>
      <c r="O484" s="496"/>
      <c r="P484" s="496"/>
      <c r="Q484" s="571"/>
      <c r="R484" s="571"/>
      <c r="S484" s="571"/>
      <c r="T484" s="571"/>
      <c r="U484" s="571"/>
      <c r="V484" s="571"/>
      <c r="W484" s="571"/>
      <c r="X484" s="571"/>
      <c r="Y484" s="571"/>
      <c r="Z484" s="571"/>
    </row>
    <row r="485" spans="1:26" ht="18.75">
      <c r="A485" s="601"/>
      <c r="B485" s="611"/>
      <c r="C485" s="611"/>
      <c r="D485" s="611"/>
      <c r="E485" s="611"/>
      <c r="F485" s="611" t="s">
        <v>210</v>
      </c>
      <c r="G485" s="753"/>
      <c r="H485" s="616" t="s">
        <v>35</v>
      </c>
      <c r="I485" s="269">
        <f ca="1">IFERROR(__xludf.DUMMYFUNCTION("IMPORTRANGE(""https://docs.google.com/spreadsheets/d/1QqKyyYR6Q21VydFLVH3TRQUabQu_ym0Zz7PgGX0-kHA/edit?usp=sharing"",""แผน!FZ68"")"),117)</f>
        <v>117</v>
      </c>
      <c r="J485" s="214">
        <v>0</v>
      </c>
      <c r="K485" s="496">
        <f ca="1">IF(I485&gt;0,J485*100/I485,0)</f>
        <v>0</v>
      </c>
      <c r="L485" s="496"/>
      <c r="M485" s="496"/>
      <c r="N485" s="496"/>
      <c r="O485" s="496"/>
      <c r="P485" s="496"/>
      <c r="Q485" s="571"/>
      <c r="R485" s="571"/>
      <c r="S485" s="571"/>
      <c r="T485" s="571"/>
      <c r="U485" s="571"/>
      <c r="V485" s="571"/>
      <c r="W485" s="571"/>
      <c r="X485" s="571"/>
      <c r="Y485" s="571"/>
      <c r="Z485" s="571"/>
    </row>
    <row r="486" spans="1:26" ht="18.75">
      <c r="A486" s="601"/>
      <c r="B486" s="611"/>
      <c r="C486" s="611"/>
      <c r="D486" s="611"/>
      <c r="E486" s="611" t="s">
        <v>62</v>
      </c>
      <c r="F486" s="611"/>
      <c r="G486" s="753"/>
      <c r="H486" s="616"/>
      <c r="I486" s="269"/>
      <c r="J486" s="269"/>
      <c r="K486" s="496"/>
      <c r="L486" s="496"/>
      <c r="M486" s="496"/>
      <c r="N486" s="496"/>
      <c r="O486" s="496"/>
      <c r="P486" s="496"/>
      <c r="Q486" s="571"/>
      <c r="R486" s="571"/>
      <c r="S486" s="571"/>
      <c r="T486" s="571"/>
      <c r="U486" s="571"/>
      <c r="V486" s="571"/>
      <c r="W486" s="571"/>
      <c r="X486" s="571"/>
      <c r="Y486" s="571"/>
      <c r="Z486" s="571"/>
    </row>
    <row r="487" spans="1:26" ht="18.75">
      <c r="A487" s="601"/>
      <c r="B487" s="611"/>
      <c r="C487" s="611"/>
      <c r="D487" s="611"/>
      <c r="E487" s="611"/>
      <c r="F487" s="611" t="s">
        <v>208</v>
      </c>
      <c r="G487" s="753"/>
      <c r="H487" s="616" t="s">
        <v>46</v>
      </c>
      <c r="I487" s="269">
        <f ca="1">IFERROR(__xludf.DUMMYFUNCTION("IMPORTRANGE(""https://docs.google.com/spreadsheets/d/1QqKyyYR6Q21VydFLVH3TRQUabQu_ym0Zz7PgGX0-kHA/edit?usp=sharing"",""แผน!GA68"")"),130)</f>
        <v>130</v>
      </c>
      <c r="J487" s="214">
        <v>0</v>
      </c>
      <c r="K487" s="496">
        <f ca="1">IF(I487&gt;0,J487*100/I487,0)</f>
        <v>0</v>
      </c>
      <c r="L487" s="496"/>
      <c r="M487" s="496"/>
      <c r="N487" s="496"/>
      <c r="O487" s="496"/>
      <c r="P487" s="496"/>
      <c r="Q487" s="571"/>
      <c r="R487" s="571"/>
      <c r="S487" s="571"/>
      <c r="T487" s="571"/>
      <c r="U487" s="571"/>
      <c r="V487" s="571"/>
      <c r="W487" s="571"/>
      <c r="X487" s="571"/>
      <c r="Y487" s="571"/>
      <c r="Z487" s="571"/>
    </row>
    <row r="488" spans="1:26" ht="18.75">
      <c r="A488" s="601"/>
      <c r="B488" s="611"/>
      <c r="C488" s="611"/>
      <c r="D488" s="611"/>
      <c r="E488" s="611"/>
      <c r="F488" s="611" t="s">
        <v>211</v>
      </c>
      <c r="G488" s="753"/>
      <c r="H488" s="616" t="s">
        <v>35</v>
      </c>
      <c r="I488" s="269"/>
      <c r="J488" s="214">
        <v>0</v>
      </c>
      <c r="K488" s="496"/>
      <c r="L488" s="496"/>
      <c r="M488" s="496"/>
      <c r="N488" s="496"/>
      <c r="O488" s="496"/>
      <c r="P488" s="496"/>
      <c r="Q488" s="571"/>
      <c r="R488" s="571"/>
      <c r="S488" s="571"/>
      <c r="T488" s="571"/>
      <c r="U488" s="571"/>
      <c r="V488" s="571"/>
      <c r="W488" s="571"/>
      <c r="X488" s="571"/>
      <c r="Y488" s="571"/>
      <c r="Z488" s="571"/>
    </row>
    <row r="489" spans="1:26" ht="18.75">
      <c r="A489" s="601"/>
      <c r="B489" s="611"/>
      <c r="C489" s="611"/>
      <c r="D489" s="611"/>
      <c r="E489" s="611"/>
      <c r="F489" s="611" t="s">
        <v>212</v>
      </c>
      <c r="G489" s="753"/>
      <c r="H489" s="616" t="s">
        <v>35</v>
      </c>
      <c r="I489" s="269">
        <f ca="1">IFERROR(__xludf.DUMMYFUNCTION("IMPORTRANGE(""https://docs.google.com/spreadsheets/d/1QqKyyYR6Q21VydFLVH3TRQUabQu_ym0Zz7PgGX0-kHA/edit?usp=sharing"",""แผน!GB68"")"),13)</f>
        <v>13</v>
      </c>
      <c r="J489" s="214">
        <v>0</v>
      </c>
      <c r="K489" s="496">
        <f ca="1">IF(I489&gt;0,J489*100/I489,0)</f>
        <v>0</v>
      </c>
      <c r="L489" s="496"/>
      <c r="M489" s="496"/>
      <c r="N489" s="496"/>
      <c r="O489" s="496"/>
      <c r="P489" s="496"/>
      <c r="Q489" s="571"/>
      <c r="R489" s="571"/>
      <c r="S489" s="571"/>
      <c r="T489" s="571"/>
      <c r="U489" s="571"/>
      <c r="V489" s="571"/>
      <c r="W489" s="571"/>
      <c r="X489" s="571"/>
      <c r="Y489" s="571"/>
      <c r="Z489" s="571"/>
    </row>
    <row r="490" spans="1:26" ht="18.75">
      <c r="A490" s="601"/>
      <c r="B490" s="611"/>
      <c r="C490" s="611"/>
      <c r="D490" s="611"/>
      <c r="E490" s="611" t="s">
        <v>63</v>
      </c>
      <c r="F490" s="619"/>
      <c r="G490" s="753"/>
      <c r="H490" s="616"/>
      <c r="I490" s="269"/>
      <c r="J490" s="269"/>
      <c r="K490" s="496"/>
      <c r="L490" s="496"/>
      <c r="M490" s="496"/>
      <c r="N490" s="496"/>
      <c r="O490" s="496"/>
      <c r="P490" s="496"/>
      <c r="Q490" s="571"/>
      <c r="R490" s="571"/>
      <c r="S490" s="571"/>
      <c r="T490" s="571"/>
      <c r="U490" s="571"/>
      <c r="V490" s="571"/>
      <c r="W490" s="571"/>
      <c r="X490" s="571"/>
      <c r="Y490" s="571"/>
      <c r="Z490" s="571"/>
    </row>
    <row r="491" spans="1:26" ht="18.75">
      <c r="A491" s="601"/>
      <c r="B491" s="611"/>
      <c r="C491" s="611"/>
      <c r="D491" s="611"/>
      <c r="E491" s="611"/>
      <c r="F491" s="611" t="s">
        <v>213</v>
      </c>
      <c r="G491" s="753"/>
      <c r="H491" s="616" t="s">
        <v>35</v>
      </c>
      <c r="I491" s="269"/>
      <c r="J491" s="214">
        <v>0</v>
      </c>
      <c r="K491" s="496"/>
      <c r="L491" s="496"/>
      <c r="M491" s="496"/>
      <c r="N491" s="496"/>
      <c r="O491" s="496"/>
      <c r="P491" s="496"/>
      <c r="Q491" s="571"/>
      <c r="R491" s="571"/>
      <c r="S491" s="571"/>
      <c r="T491" s="571"/>
      <c r="U491" s="571"/>
      <c r="V491" s="571"/>
      <c r="W491" s="571"/>
      <c r="X491" s="571"/>
      <c r="Y491" s="571"/>
      <c r="Z491" s="571"/>
    </row>
    <row r="492" spans="1:26" ht="18.75">
      <c r="A492" s="601"/>
      <c r="B492" s="611"/>
      <c r="C492" s="611"/>
      <c r="D492" s="611"/>
      <c r="E492" s="611"/>
      <c r="F492" s="611" t="s">
        <v>214</v>
      </c>
      <c r="G492" s="753"/>
      <c r="H492" s="616" t="s">
        <v>35</v>
      </c>
      <c r="I492" s="269">
        <f ca="1">IFERROR(__xludf.DUMMYFUNCTION("IMPORTRANGE(""https://docs.google.com/spreadsheets/d/1QqKyyYR6Q21VydFLVH3TRQUabQu_ym0Zz7PgGX0-kHA/edit?usp=sharing"",""แผน!GC68"")"),1)</f>
        <v>1</v>
      </c>
      <c r="J492" s="214">
        <v>0</v>
      </c>
      <c r="K492" s="496">
        <f ca="1">IF(I492&gt;0,J492*100/I492,0)</f>
        <v>0</v>
      </c>
      <c r="L492" s="496"/>
      <c r="M492" s="496"/>
      <c r="N492" s="496"/>
      <c r="O492" s="496"/>
      <c r="P492" s="496"/>
      <c r="Q492" s="571"/>
      <c r="R492" s="571"/>
      <c r="S492" s="571"/>
      <c r="T492" s="571"/>
      <c r="U492" s="571"/>
      <c r="V492" s="571"/>
      <c r="W492" s="571"/>
      <c r="X492" s="571"/>
      <c r="Y492" s="571"/>
      <c r="Z492" s="571"/>
    </row>
    <row r="493" spans="1:26" ht="19.5">
      <c r="A493" s="601"/>
      <c r="B493" s="611"/>
      <c r="C493" s="611"/>
      <c r="D493" s="618" t="s">
        <v>59</v>
      </c>
      <c r="E493" s="611"/>
      <c r="F493" s="619"/>
      <c r="G493" s="753"/>
      <c r="H493" s="189"/>
      <c r="I493" s="269"/>
      <c r="J493" s="269"/>
      <c r="K493" s="496"/>
      <c r="L493" s="496"/>
      <c r="M493" s="496"/>
      <c r="N493" s="496"/>
      <c r="O493" s="496"/>
      <c r="P493" s="496"/>
      <c r="Q493" s="571"/>
      <c r="R493" s="571"/>
      <c r="S493" s="571"/>
      <c r="T493" s="571"/>
      <c r="U493" s="571"/>
      <c r="V493" s="571"/>
      <c r="W493" s="571"/>
      <c r="X493" s="571"/>
      <c r="Y493" s="571"/>
      <c r="Z493" s="571"/>
    </row>
    <row r="494" spans="1:26" ht="18.75">
      <c r="A494" s="601"/>
      <c r="B494" s="611"/>
      <c r="C494" s="611"/>
      <c r="D494" s="611"/>
      <c r="E494" s="611" t="s">
        <v>207</v>
      </c>
      <c r="F494" s="619"/>
      <c r="G494" s="753"/>
      <c r="H494" s="189"/>
      <c r="I494" s="269"/>
      <c r="J494" s="269"/>
      <c r="K494" s="496"/>
      <c r="L494" s="496"/>
      <c r="M494" s="496"/>
      <c r="N494" s="496"/>
      <c r="O494" s="496"/>
      <c r="P494" s="496"/>
      <c r="Q494" s="571"/>
      <c r="R494" s="571"/>
      <c r="S494" s="571"/>
      <c r="T494" s="571"/>
      <c r="U494" s="571"/>
      <c r="V494" s="571"/>
      <c r="W494" s="571"/>
      <c r="X494" s="571"/>
      <c r="Y494" s="571"/>
      <c r="Z494" s="571"/>
    </row>
    <row r="495" spans="1:26" ht="18.75">
      <c r="A495" s="601"/>
      <c r="B495" s="611"/>
      <c r="C495" s="611"/>
      <c r="D495" s="611"/>
      <c r="E495" s="611"/>
      <c r="F495" s="619" t="s">
        <v>215</v>
      </c>
      <c r="G495" s="753"/>
      <c r="H495" s="616" t="s">
        <v>46</v>
      </c>
      <c r="I495" s="269">
        <f ca="1">IFERROR(__xludf.DUMMYFUNCTION("IMPORTRANGE(""https://docs.google.com/spreadsheets/d/1QqKyyYR6Q21VydFLVH3TRQUabQu_ym0Zz7PgGX0-kHA/edit?usp=sharing"",""แผน!FY68"")"),1170)</f>
        <v>1170</v>
      </c>
      <c r="J495" s="214">
        <v>0</v>
      </c>
      <c r="K495" s="496">
        <f ca="1">IF(I495&gt;0,J495*100/I495,0)</f>
        <v>0</v>
      </c>
      <c r="L495" s="496"/>
      <c r="M495" s="496"/>
      <c r="N495" s="496"/>
      <c r="O495" s="496"/>
      <c r="P495" s="496"/>
      <c r="Q495" s="571"/>
      <c r="R495" s="571"/>
      <c r="S495" s="571"/>
      <c r="T495" s="571"/>
      <c r="U495" s="571"/>
      <c r="V495" s="571"/>
      <c r="W495" s="571"/>
      <c r="X495" s="571"/>
      <c r="Y495" s="571"/>
      <c r="Z495" s="571"/>
    </row>
    <row r="496" spans="1:26" ht="18.75">
      <c r="A496" s="601"/>
      <c r="B496" s="611"/>
      <c r="C496" s="611"/>
      <c r="D496" s="611"/>
      <c r="E496" s="611"/>
      <c r="F496" s="619" t="s">
        <v>216</v>
      </c>
      <c r="G496" s="753"/>
      <c r="H496" s="616" t="s">
        <v>46</v>
      </c>
      <c r="I496" s="269"/>
      <c r="J496" s="214">
        <v>0</v>
      </c>
      <c r="K496" s="496"/>
      <c r="L496" s="496"/>
      <c r="M496" s="496"/>
      <c r="N496" s="496"/>
      <c r="O496" s="496"/>
      <c r="P496" s="496"/>
      <c r="Q496" s="571"/>
      <c r="R496" s="571"/>
      <c r="S496" s="571"/>
      <c r="T496" s="571"/>
      <c r="U496" s="571"/>
      <c r="V496" s="571"/>
      <c r="W496" s="571"/>
      <c r="X496" s="571"/>
      <c r="Y496" s="571"/>
      <c r="Z496" s="571"/>
    </row>
    <row r="497" spans="1:26" ht="18.75">
      <c r="A497" s="601"/>
      <c r="B497" s="611"/>
      <c r="C497" s="611"/>
      <c r="D497" s="611"/>
      <c r="E497" s="611" t="s">
        <v>62</v>
      </c>
      <c r="F497" s="619"/>
      <c r="G497" s="753"/>
      <c r="H497" s="189"/>
      <c r="I497" s="269"/>
      <c r="J497" s="269"/>
      <c r="K497" s="496"/>
      <c r="L497" s="496"/>
      <c r="M497" s="496"/>
      <c r="N497" s="496"/>
      <c r="O497" s="496"/>
      <c r="P497" s="496"/>
      <c r="Q497" s="571"/>
      <c r="R497" s="571"/>
      <c r="S497" s="571"/>
      <c r="T497" s="571"/>
      <c r="U497" s="571"/>
      <c r="V497" s="571"/>
      <c r="W497" s="571"/>
      <c r="X497" s="571"/>
      <c r="Y497" s="571"/>
      <c r="Z497" s="571"/>
    </row>
    <row r="498" spans="1:26" ht="18.75">
      <c r="A498" s="601"/>
      <c r="B498" s="611"/>
      <c r="C498" s="611"/>
      <c r="D498" s="611"/>
      <c r="E498" s="619"/>
      <c r="F498" s="619" t="s">
        <v>217</v>
      </c>
      <c r="G498" s="753"/>
      <c r="H498" s="616" t="s">
        <v>46</v>
      </c>
      <c r="I498" s="269">
        <f ca="1">IFERROR(__xludf.DUMMYFUNCTION("IMPORTRANGE(""https://docs.google.com/spreadsheets/d/1QqKyyYR6Q21VydFLVH3TRQUabQu_ym0Zz7PgGX0-kHA/edit?usp=sharing"",""แผน!GA68"")"),130)</f>
        <v>130</v>
      </c>
      <c r="J498" s="214">
        <v>0</v>
      </c>
      <c r="K498" s="496">
        <f ca="1">IF(I498&gt;0,J498*100/I498,0)</f>
        <v>0</v>
      </c>
      <c r="L498" s="496"/>
      <c r="M498" s="496"/>
      <c r="N498" s="496"/>
      <c r="O498" s="496"/>
      <c r="P498" s="496"/>
      <c r="Q498" s="571"/>
      <c r="R498" s="571"/>
      <c r="S498" s="571"/>
      <c r="T498" s="571"/>
      <c r="U498" s="571"/>
      <c r="V498" s="571"/>
      <c r="W498" s="571"/>
      <c r="X498" s="571"/>
      <c r="Y498" s="571"/>
      <c r="Z498" s="571"/>
    </row>
    <row r="499" spans="1:26" ht="18.75">
      <c r="A499" s="601"/>
      <c r="B499" s="611"/>
      <c r="C499" s="611"/>
      <c r="D499" s="611"/>
      <c r="E499" s="619"/>
      <c r="F499" s="619" t="s">
        <v>218</v>
      </c>
      <c r="G499" s="753"/>
      <c r="H499" s="616" t="s">
        <v>46</v>
      </c>
      <c r="I499" s="269"/>
      <c r="J499" s="214">
        <v>0</v>
      </c>
      <c r="K499" s="496"/>
      <c r="L499" s="496"/>
      <c r="M499" s="496"/>
      <c r="N499" s="496"/>
      <c r="O499" s="496"/>
      <c r="P499" s="496"/>
      <c r="Q499" s="571"/>
      <c r="R499" s="571"/>
      <c r="S499" s="571"/>
      <c r="T499" s="571"/>
      <c r="U499" s="571"/>
      <c r="V499" s="571"/>
      <c r="W499" s="571"/>
      <c r="X499" s="571"/>
      <c r="Y499" s="571"/>
      <c r="Z499" s="571"/>
    </row>
    <row r="500" spans="1:26" ht="19.5" hidden="1">
      <c r="A500" s="620">
        <v>4</v>
      </c>
      <c r="B500" s="621" t="s">
        <v>219</v>
      </c>
      <c r="C500" s="622"/>
      <c r="D500" s="623"/>
      <c r="E500" s="623"/>
      <c r="F500" s="623"/>
      <c r="G500" s="624"/>
      <c r="H500" s="625" t="s">
        <v>109</v>
      </c>
      <c r="I500" s="626"/>
      <c r="J500" s="626">
        <f t="shared" ref="J500:J501" si="214">J516</f>
        <v>0</v>
      </c>
      <c r="K500" s="627">
        <f t="shared" ref="K500:K501" si="215">IF(I500&gt;0,J500*100/I500,0)</f>
        <v>0</v>
      </c>
      <c r="L500" s="628"/>
      <c r="M500" s="628"/>
      <c r="N500" s="628"/>
      <c r="O500" s="628"/>
      <c r="P500" s="628"/>
      <c r="Q500" s="597"/>
      <c r="R500" s="597"/>
      <c r="S500" s="597"/>
      <c r="T500" s="597"/>
      <c r="U500" s="597"/>
      <c r="V500" s="597"/>
      <c r="W500" s="597"/>
      <c r="X500" s="597"/>
      <c r="Y500" s="597"/>
      <c r="Z500" s="597"/>
    </row>
    <row r="501" spans="1:26" ht="19.5" hidden="1">
      <c r="A501" s="629"/>
      <c r="B501" s="631" t="s">
        <v>220</v>
      </c>
      <c r="C501" s="631"/>
      <c r="D501" s="632"/>
      <c r="E501" s="632"/>
      <c r="F501" s="632"/>
      <c r="G501" s="633"/>
      <c r="H501" s="634" t="s">
        <v>35</v>
      </c>
      <c r="I501" s="635"/>
      <c r="J501" s="635">
        <f t="shared" si="214"/>
        <v>0</v>
      </c>
      <c r="K501" s="636">
        <f t="shared" si="215"/>
        <v>0</v>
      </c>
      <c r="L501" s="637"/>
      <c r="M501" s="637"/>
      <c r="N501" s="637"/>
      <c r="O501" s="637"/>
      <c r="P501" s="637"/>
      <c r="Q501" s="597"/>
      <c r="R501" s="597"/>
      <c r="S501" s="597"/>
      <c r="T501" s="597"/>
      <c r="U501" s="597"/>
      <c r="V501" s="597"/>
      <c r="W501" s="597"/>
      <c r="X501" s="597"/>
      <c r="Y501" s="597"/>
      <c r="Z501" s="597"/>
    </row>
    <row r="502" spans="1:26" ht="19.5" hidden="1">
      <c r="A502" s="592"/>
      <c r="B502" s="750"/>
      <c r="C502" s="750" t="s">
        <v>16</v>
      </c>
      <c r="D502" s="864" t="s">
        <v>17</v>
      </c>
      <c r="E502" s="857"/>
      <c r="F502" s="857"/>
      <c r="G502" s="596"/>
      <c r="H502" s="639" t="s">
        <v>12</v>
      </c>
      <c r="I502" s="610"/>
      <c r="J502" s="610"/>
      <c r="K502" s="93"/>
      <c r="L502" s="640">
        <f t="shared" ref="L502:N502" si="216">L503+L504</f>
        <v>0</v>
      </c>
      <c r="M502" s="640">
        <f t="shared" si="216"/>
        <v>0</v>
      </c>
      <c r="N502" s="640">
        <f t="shared" si="216"/>
        <v>0</v>
      </c>
      <c r="O502" s="640">
        <f t="shared" ref="O502:O507" si="217">IF(L502&gt;0,N502*100/L502,0)</f>
        <v>0</v>
      </c>
      <c r="P502" s="640">
        <f t="shared" ref="P502:P507" si="218">IF(M502&gt;0,N502*100/M502,0)</f>
        <v>0</v>
      </c>
      <c r="Q502" s="597"/>
      <c r="R502" s="597"/>
      <c r="S502" s="597"/>
      <c r="T502" s="597"/>
      <c r="U502" s="597"/>
      <c r="V502" s="597"/>
      <c r="W502" s="597"/>
      <c r="X502" s="597"/>
      <c r="Y502" s="597"/>
      <c r="Z502" s="597"/>
    </row>
    <row r="503" spans="1:26" ht="18.75" hidden="1">
      <c r="A503" s="592"/>
      <c r="B503" s="750"/>
      <c r="C503" s="750"/>
      <c r="D503" s="711"/>
      <c r="E503" s="750" t="s">
        <v>184</v>
      </c>
      <c r="F503" s="750"/>
      <c r="G503" s="596"/>
      <c r="H503" s="165" t="s">
        <v>12</v>
      </c>
      <c r="I503" s="610"/>
      <c r="J503" s="610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597"/>
      <c r="R503" s="597"/>
      <c r="S503" s="597"/>
      <c r="T503" s="597"/>
      <c r="U503" s="597"/>
      <c r="V503" s="597"/>
      <c r="W503" s="597"/>
      <c r="X503" s="597"/>
      <c r="Y503" s="597"/>
      <c r="Z503" s="597"/>
    </row>
    <row r="504" spans="1:26" ht="18.75" hidden="1">
      <c r="A504" s="592"/>
      <c r="B504" s="600"/>
      <c r="C504" s="750"/>
      <c r="D504" s="711"/>
      <c r="E504" s="750" t="s">
        <v>185</v>
      </c>
      <c r="F504" s="750"/>
      <c r="G504" s="596"/>
      <c r="H504" s="165" t="s">
        <v>12</v>
      </c>
      <c r="I504" s="610"/>
      <c r="J504" s="610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597"/>
      <c r="R504" s="597"/>
      <c r="S504" s="597"/>
      <c r="T504" s="597"/>
      <c r="U504" s="597"/>
      <c r="V504" s="597"/>
      <c r="W504" s="597"/>
      <c r="X504" s="597"/>
      <c r="Y504" s="597"/>
      <c r="Z504" s="597"/>
    </row>
    <row r="505" spans="1:26" ht="18.75" hidden="1">
      <c r="A505" s="592"/>
      <c r="B505" s="600"/>
      <c r="C505" s="750"/>
      <c r="D505" s="641" t="s">
        <v>20</v>
      </c>
      <c r="E505" s="750"/>
      <c r="F505" s="750"/>
      <c r="G505" s="596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597"/>
      <c r="R505" s="597"/>
      <c r="S505" s="597"/>
      <c r="T505" s="597"/>
      <c r="U505" s="597"/>
      <c r="V505" s="597"/>
      <c r="W505" s="597"/>
      <c r="X505" s="597"/>
      <c r="Y505" s="597"/>
      <c r="Z505" s="597"/>
    </row>
    <row r="506" spans="1:26" ht="18.75" hidden="1">
      <c r="A506" s="592"/>
      <c r="B506" s="600"/>
      <c r="C506" s="750"/>
      <c r="D506" s="711"/>
      <c r="E506" s="750" t="s">
        <v>184</v>
      </c>
      <c r="F506" s="750"/>
      <c r="G506" s="596"/>
      <c r="H506" s="165" t="s">
        <v>12</v>
      </c>
      <c r="I506" s="610"/>
      <c r="J506" s="610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597"/>
      <c r="R506" s="597"/>
      <c r="S506" s="597"/>
      <c r="T506" s="597"/>
      <c r="U506" s="597"/>
      <c r="V506" s="597"/>
      <c r="W506" s="597"/>
      <c r="X506" s="597"/>
      <c r="Y506" s="597"/>
      <c r="Z506" s="597"/>
    </row>
    <row r="507" spans="1:26" ht="18.75" hidden="1">
      <c r="A507" s="592"/>
      <c r="B507" s="600"/>
      <c r="C507" s="750"/>
      <c r="D507" s="711"/>
      <c r="E507" s="750" t="s">
        <v>185</v>
      </c>
      <c r="F507" s="750"/>
      <c r="G507" s="596"/>
      <c r="H507" s="165" t="s">
        <v>12</v>
      </c>
      <c r="I507" s="610"/>
      <c r="J507" s="610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597"/>
      <c r="R507" s="597"/>
      <c r="S507" s="597"/>
      <c r="T507" s="597"/>
      <c r="U507" s="597"/>
      <c r="V507" s="597"/>
      <c r="W507" s="597"/>
      <c r="X507" s="597"/>
      <c r="Y507" s="597"/>
      <c r="Z507" s="597"/>
    </row>
    <row r="508" spans="1:26" ht="18.75" hidden="1">
      <c r="A508" s="642"/>
      <c r="B508" s="600"/>
      <c r="C508" s="750"/>
      <c r="D508" s="750"/>
      <c r="E508" s="750"/>
      <c r="F508" s="750" t="s">
        <v>186</v>
      </c>
      <c r="G508" s="596"/>
      <c r="H508" s="165" t="s">
        <v>12</v>
      </c>
      <c r="I508" s="610"/>
      <c r="J508" s="610"/>
      <c r="K508" s="93"/>
      <c r="L508" s="93"/>
      <c r="M508" s="93"/>
      <c r="N508" s="93">
        <v>0</v>
      </c>
      <c r="O508" s="93"/>
      <c r="P508" s="93"/>
      <c r="Q508" s="597"/>
      <c r="R508" s="597"/>
      <c r="S508" s="597"/>
      <c r="T508" s="597"/>
      <c r="U508" s="597"/>
      <c r="V508" s="597"/>
      <c r="W508" s="597"/>
      <c r="X508" s="597"/>
      <c r="Y508" s="597"/>
      <c r="Z508" s="597"/>
    </row>
    <row r="509" spans="1:26" ht="18.75" hidden="1">
      <c r="A509" s="642"/>
      <c r="B509" s="600"/>
      <c r="C509" s="750"/>
      <c r="D509" s="750"/>
      <c r="E509" s="750"/>
      <c r="F509" s="750" t="s">
        <v>187</v>
      </c>
      <c r="G509" s="596"/>
      <c r="H509" s="165" t="s">
        <v>12</v>
      </c>
      <c r="I509" s="610"/>
      <c r="J509" s="610"/>
      <c r="K509" s="93"/>
      <c r="L509" s="93"/>
      <c r="M509" s="93"/>
      <c r="N509" s="93">
        <v>0</v>
      </c>
      <c r="O509" s="93"/>
      <c r="P509" s="93"/>
      <c r="Q509" s="597"/>
      <c r="R509" s="597"/>
      <c r="S509" s="597"/>
      <c r="T509" s="597"/>
      <c r="U509" s="597"/>
      <c r="V509" s="597"/>
      <c r="W509" s="597"/>
      <c r="X509" s="597"/>
      <c r="Y509" s="597"/>
      <c r="Z509" s="597"/>
    </row>
    <row r="510" spans="1:26" ht="18.75" hidden="1">
      <c r="A510" s="642"/>
      <c r="B510" s="600"/>
      <c r="C510" s="600"/>
      <c r="D510" s="600"/>
      <c r="E510" s="750"/>
      <c r="F510" s="750" t="s">
        <v>188</v>
      </c>
      <c r="G510" s="596"/>
      <c r="H510" s="165" t="s">
        <v>12</v>
      </c>
      <c r="I510" s="610"/>
      <c r="J510" s="610"/>
      <c r="K510" s="93"/>
      <c r="L510" s="93"/>
      <c r="M510" s="93"/>
      <c r="N510" s="93">
        <v>0</v>
      </c>
      <c r="O510" s="93"/>
      <c r="P510" s="93"/>
      <c r="Q510" s="597"/>
      <c r="R510" s="597"/>
      <c r="S510" s="597"/>
      <c r="T510" s="597"/>
      <c r="U510" s="597"/>
      <c r="V510" s="597"/>
      <c r="W510" s="597"/>
      <c r="X510" s="597"/>
      <c r="Y510" s="597"/>
      <c r="Z510" s="597"/>
    </row>
    <row r="511" spans="1:26" ht="18.75" hidden="1">
      <c r="A511" s="642"/>
      <c r="B511" s="600"/>
      <c r="C511" s="600"/>
      <c r="D511" s="600"/>
      <c r="E511" s="750"/>
      <c r="F511" s="750" t="s">
        <v>189</v>
      </c>
      <c r="G511" s="596"/>
      <c r="H511" s="165" t="s">
        <v>12</v>
      </c>
      <c r="I511" s="610"/>
      <c r="J511" s="610"/>
      <c r="K511" s="93"/>
      <c r="L511" s="93"/>
      <c r="M511" s="93"/>
      <c r="N511" s="93">
        <v>0</v>
      </c>
      <c r="O511" s="93"/>
      <c r="P511" s="93"/>
      <c r="Q511" s="597"/>
      <c r="R511" s="597"/>
      <c r="S511" s="597"/>
      <c r="T511" s="597"/>
      <c r="U511" s="597"/>
      <c r="V511" s="597"/>
      <c r="W511" s="597"/>
      <c r="X511" s="597"/>
      <c r="Y511" s="597"/>
      <c r="Z511" s="597"/>
    </row>
    <row r="512" spans="1:26" ht="18.75" hidden="1">
      <c r="A512" s="592"/>
      <c r="B512" s="600"/>
      <c r="C512" s="600"/>
      <c r="D512" s="641" t="s">
        <v>21</v>
      </c>
      <c r="E512" s="600"/>
      <c r="F512" s="750"/>
      <c r="G512" s="596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597"/>
      <c r="R512" s="597"/>
      <c r="S512" s="597"/>
      <c r="T512" s="597"/>
      <c r="U512" s="597"/>
      <c r="V512" s="597"/>
      <c r="W512" s="597"/>
      <c r="X512" s="597"/>
      <c r="Y512" s="597"/>
      <c r="Z512" s="597"/>
    </row>
    <row r="513" spans="1:26" ht="18.75" hidden="1">
      <c r="A513" s="592"/>
      <c r="B513" s="600"/>
      <c r="C513" s="600"/>
      <c r="D513" s="600"/>
      <c r="E513" s="600" t="s">
        <v>18</v>
      </c>
      <c r="F513" s="750"/>
      <c r="G513" s="596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597"/>
      <c r="R513" s="597"/>
      <c r="S513" s="597"/>
      <c r="T513" s="597"/>
      <c r="U513" s="597"/>
      <c r="V513" s="597"/>
      <c r="W513" s="597"/>
      <c r="X513" s="597"/>
      <c r="Y513" s="597"/>
      <c r="Z513" s="597"/>
    </row>
    <row r="514" spans="1:26" ht="18.75" hidden="1">
      <c r="A514" s="592"/>
      <c r="B514" s="600"/>
      <c r="C514" s="600"/>
      <c r="D514" s="750"/>
      <c r="E514" s="600" t="s">
        <v>19</v>
      </c>
      <c r="F514" s="750"/>
      <c r="G514" s="596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597"/>
      <c r="R514" s="597"/>
      <c r="S514" s="597"/>
      <c r="T514" s="597"/>
      <c r="U514" s="597"/>
      <c r="V514" s="597"/>
      <c r="W514" s="597"/>
      <c r="X514" s="597"/>
      <c r="Y514" s="597"/>
      <c r="Z514" s="597"/>
    </row>
    <row r="515" spans="1:26" ht="19.5" hidden="1">
      <c r="A515" s="607"/>
      <c r="B515" s="609"/>
      <c r="C515" s="600" t="s">
        <v>16</v>
      </c>
      <c r="D515" s="838" t="s">
        <v>38</v>
      </c>
      <c r="E515" s="644"/>
      <c r="F515" s="644"/>
      <c r="G515" s="645"/>
      <c r="H515" s="365"/>
      <c r="I515" s="166"/>
      <c r="J515" s="166"/>
      <c r="K515" s="167"/>
      <c r="L515" s="167"/>
      <c r="M515" s="167"/>
      <c r="N515" s="167"/>
      <c r="O515" s="167"/>
      <c r="P515" s="167"/>
      <c r="Q515" s="597"/>
      <c r="R515" s="597"/>
      <c r="S515" s="597"/>
      <c r="T515" s="597"/>
      <c r="U515" s="597"/>
      <c r="V515" s="597"/>
      <c r="W515" s="597"/>
      <c r="X515" s="597"/>
      <c r="Y515" s="597"/>
      <c r="Z515" s="597"/>
    </row>
    <row r="516" spans="1:26" ht="18.75" hidden="1">
      <c r="A516" s="607"/>
      <c r="B516" s="609"/>
      <c r="C516" s="609"/>
      <c r="D516" s="609" t="s">
        <v>221</v>
      </c>
      <c r="E516" s="711"/>
      <c r="F516" s="711"/>
      <c r="G516" s="365"/>
      <c r="H516" s="646" t="s">
        <v>109</v>
      </c>
      <c r="I516" s="610"/>
      <c r="J516" s="610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597"/>
      <c r="R516" s="597"/>
      <c r="S516" s="597"/>
      <c r="T516" s="597"/>
      <c r="U516" s="597"/>
      <c r="V516" s="597"/>
      <c r="W516" s="597"/>
      <c r="X516" s="597"/>
      <c r="Y516" s="597"/>
      <c r="Z516" s="597"/>
    </row>
    <row r="517" spans="1:26" ht="19.5" hidden="1">
      <c r="A517" s="607"/>
      <c r="B517" s="609"/>
      <c r="C517" s="609"/>
      <c r="D517" s="609" t="s">
        <v>222</v>
      </c>
      <c r="E517" s="711"/>
      <c r="F517" s="711"/>
      <c r="G517" s="365"/>
      <c r="H517" s="647" t="s">
        <v>35</v>
      </c>
      <c r="I517" s="648"/>
      <c r="J517" s="648">
        <f>J518+J519</f>
        <v>0</v>
      </c>
      <c r="K517" s="649">
        <f t="shared" si="224"/>
        <v>0</v>
      </c>
      <c r="L517" s="167"/>
      <c r="M517" s="167"/>
      <c r="N517" s="167"/>
      <c r="O517" s="167"/>
      <c r="P517" s="167"/>
      <c r="Q517" s="597"/>
      <c r="R517" s="597"/>
      <c r="S517" s="597"/>
      <c r="T517" s="597"/>
      <c r="U517" s="597"/>
      <c r="V517" s="597"/>
      <c r="W517" s="597"/>
      <c r="X517" s="597"/>
      <c r="Y517" s="597"/>
      <c r="Z517" s="597"/>
    </row>
    <row r="518" spans="1:26" ht="18.75" hidden="1">
      <c r="A518" s="607"/>
      <c r="B518" s="609"/>
      <c r="C518" s="609"/>
      <c r="D518" s="609"/>
      <c r="E518" s="609" t="s">
        <v>223</v>
      </c>
      <c r="F518" s="711"/>
      <c r="G518" s="365"/>
      <c r="H518" s="369" t="s">
        <v>35</v>
      </c>
      <c r="I518" s="610"/>
      <c r="J518" s="610"/>
      <c r="K518" s="167"/>
      <c r="L518" s="167"/>
      <c r="M518" s="167"/>
      <c r="N518" s="167"/>
      <c r="O518" s="167"/>
      <c r="P518" s="167"/>
      <c r="Q518" s="597"/>
      <c r="R518" s="597"/>
      <c r="S518" s="597"/>
      <c r="T518" s="597"/>
      <c r="U518" s="597"/>
      <c r="V518" s="597"/>
      <c r="W518" s="597"/>
      <c r="X518" s="597"/>
      <c r="Y518" s="597"/>
      <c r="Z518" s="597"/>
    </row>
    <row r="519" spans="1:26" ht="18.75" hidden="1">
      <c r="A519" s="607"/>
      <c r="B519" s="609"/>
      <c r="C519" s="609"/>
      <c r="D519" s="609"/>
      <c r="E519" s="609" t="s">
        <v>224</v>
      </c>
      <c r="F519" s="711"/>
      <c r="G519" s="365"/>
      <c r="H519" s="646" t="s">
        <v>35</v>
      </c>
      <c r="I519" s="610"/>
      <c r="J519" s="610"/>
      <c r="K519" s="167"/>
      <c r="L519" s="167"/>
      <c r="M519" s="167"/>
      <c r="N519" s="167"/>
      <c r="O519" s="167"/>
      <c r="P519" s="167"/>
      <c r="Q519" s="597"/>
      <c r="R519" s="597"/>
      <c r="S519" s="597"/>
      <c r="T519" s="597"/>
      <c r="U519" s="597"/>
      <c r="V519" s="597"/>
      <c r="W519" s="597"/>
      <c r="X519" s="597"/>
      <c r="Y519" s="597"/>
      <c r="Z519" s="597"/>
    </row>
    <row r="520" spans="1:26" ht="19.5">
      <c r="A520" s="650" t="s">
        <v>137</v>
      </c>
      <c r="B520" s="651"/>
      <c r="C520" s="651"/>
      <c r="D520" s="652"/>
      <c r="E520" s="652"/>
      <c r="F520" s="652"/>
      <c r="G520" s="653"/>
      <c r="H520" s="654"/>
      <c r="I520" s="655"/>
      <c r="J520" s="655"/>
      <c r="K520" s="656"/>
      <c r="L520" s="656"/>
      <c r="M520" s="656"/>
      <c r="N520" s="656"/>
      <c r="O520" s="656"/>
      <c r="P520" s="656"/>
    </row>
    <row r="521" spans="1:26" ht="19.5" hidden="1">
      <c r="A521" s="657">
        <v>5</v>
      </c>
      <c r="B521" s="658" t="s">
        <v>225</v>
      </c>
      <c r="C521" s="659"/>
      <c r="D521" s="660"/>
      <c r="E521" s="660"/>
      <c r="F521" s="660"/>
      <c r="G521" s="660"/>
      <c r="H521" s="661"/>
      <c r="I521" s="662"/>
      <c r="J521" s="662"/>
      <c r="K521" s="663"/>
      <c r="L521" s="663"/>
      <c r="M521" s="663"/>
      <c r="N521" s="663"/>
      <c r="O521" s="663"/>
      <c r="P521" s="663"/>
      <c r="Q521" s="571"/>
      <c r="R521" s="571"/>
      <c r="S521" s="571"/>
      <c r="T521" s="571"/>
      <c r="U521" s="571"/>
      <c r="V521" s="571"/>
      <c r="W521" s="571"/>
      <c r="X521" s="571"/>
      <c r="Y521" s="571"/>
      <c r="Z521" s="571"/>
    </row>
    <row r="522" spans="1:26" ht="19.5" hidden="1">
      <c r="A522" s="664"/>
      <c r="B522" s="665" t="s">
        <v>226</v>
      </c>
      <c r="C522" s="666"/>
      <c r="D522" s="666"/>
      <c r="E522" s="666"/>
      <c r="F522" s="666"/>
      <c r="G522" s="667"/>
      <c r="H522" s="668" t="s">
        <v>35</v>
      </c>
      <c r="I522" s="699">
        <f t="shared" ref="I522:J522" ca="1" si="225">I537</f>
        <v>0</v>
      </c>
      <c r="J522" s="699">
        <f t="shared" ca="1" si="225"/>
        <v>0</v>
      </c>
      <c r="K522" s="670">
        <f ca="1">IF(I522&gt;0,J522*100/I522,0)</f>
        <v>0</v>
      </c>
      <c r="L522" s="671"/>
      <c r="M522" s="671"/>
      <c r="N522" s="671"/>
      <c r="O522" s="671"/>
      <c r="P522" s="671"/>
      <c r="Q522" s="571"/>
      <c r="R522" s="571"/>
      <c r="S522" s="571"/>
      <c r="T522" s="571"/>
      <c r="U522" s="571"/>
      <c r="V522" s="571"/>
      <c r="W522" s="571"/>
      <c r="X522" s="571"/>
      <c r="Y522" s="571"/>
      <c r="Z522" s="571"/>
    </row>
    <row r="523" spans="1:26" ht="19.5" hidden="1">
      <c r="A523" s="590"/>
      <c r="B523" s="754"/>
      <c r="C523" s="754" t="s">
        <v>16</v>
      </c>
      <c r="D523" s="863" t="s">
        <v>17</v>
      </c>
      <c r="E523" s="857"/>
      <c r="F523" s="857"/>
      <c r="G523" s="189"/>
      <c r="H523" s="591" t="s">
        <v>12</v>
      </c>
      <c r="I523" s="269"/>
      <c r="J523" s="269"/>
      <c r="K523" s="496"/>
      <c r="L523" s="195">
        <f t="shared" ref="L523:N523" ca="1" si="226">L524+L525</f>
        <v>0</v>
      </c>
      <c r="M523" s="195">
        <f t="shared" si="226"/>
        <v>0</v>
      </c>
      <c r="N523" s="195">
        <f t="shared" si="226"/>
        <v>0</v>
      </c>
      <c r="O523" s="195">
        <f t="shared" ref="O523:O528" ca="1" si="227">IF(L523&gt;0,N523*100/L523,0)</f>
        <v>0</v>
      </c>
      <c r="P523" s="195">
        <f t="shared" ref="P523:P528" si="228">IF(M523&gt;0,N523*100/M523,0)</f>
        <v>0</v>
      </c>
      <c r="Q523" s="571"/>
      <c r="R523" s="571"/>
      <c r="S523" s="571"/>
      <c r="T523" s="571"/>
      <c r="U523" s="571"/>
      <c r="V523" s="571"/>
      <c r="W523" s="571"/>
      <c r="X523" s="571"/>
      <c r="Y523" s="571"/>
      <c r="Z523" s="571"/>
    </row>
    <row r="524" spans="1:26" ht="18.75" hidden="1">
      <c r="A524" s="592"/>
      <c r="B524" s="750"/>
      <c r="C524" s="750"/>
      <c r="D524" s="711"/>
      <c r="E524" s="750" t="s">
        <v>184</v>
      </c>
      <c r="F524" s="750"/>
      <c r="G524" s="596"/>
      <c r="H524" s="165" t="s">
        <v>12</v>
      </c>
      <c r="I524" s="610"/>
      <c r="J524" s="610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597"/>
      <c r="R524" s="597"/>
      <c r="S524" s="597"/>
      <c r="T524" s="597"/>
      <c r="U524" s="597"/>
      <c r="V524" s="597"/>
      <c r="W524" s="597"/>
      <c r="X524" s="597"/>
      <c r="Y524" s="597"/>
      <c r="Z524" s="597"/>
    </row>
    <row r="525" spans="1:26" ht="18.75" hidden="1">
      <c r="A525" s="592"/>
      <c r="B525" s="600"/>
      <c r="C525" s="750"/>
      <c r="D525" s="711"/>
      <c r="E525" s="750" t="s">
        <v>185</v>
      </c>
      <c r="F525" s="750"/>
      <c r="G525" s="596"/>
      <c r="H525" s="165" t="s">
        <v>12</v>
      </c>
      <c r="I525" s="610"/>
      <c r="J525" s="610"/>
      <c r="K525" s="93"/>
      <c r="L525" s="93">
        <f t="shared" ca="1" si="229"/>
        <v>0</v>
      </c>
      <c r="M525" s="93">
        <f t="shared" si="229"/>
        <v>0</v>
      </c>
      <c r="N525" s="93">
        <f t="shared" si="229"/>
        <v>0</v>
      </c>
      <c r="O525" s="93">
        <f t="shared" ca="1" si="227"/>
        <v>0</v>
      </c>
      <c r="P525" s="93">
        <f t="shared" si="228"/>
        <v>0</v>
      </c>
      <c r="Q525" s="597"/>
      <c r="R525" s="597"/>
      <c r="S525" s="597"/>
      <c r="T525" s="597"/>
      <c r="U525" s="597"/>
      <c r="V525" s="597"/>
      <c r="W525" s="597"/>
      <c r="X525" s="597"/>
      <c r="Y525" s="597"/>
      <c r="Z525" s="597"/>
    </row>
    <row r="526" spans="1:26" ht="18.75" hidden="1">
      <c r="A526" s="590"/>
      <c r="B526" s="568"/>
      <c r="C526" s="754"/>
      <c r="D526" s="599" t="s">
        <v>20</v>
      </c>
      <c r="E526" s="754"/>
      <c r="F526" s="754"/>
      <c r="G526" s="189"/>
      <c r="H526" s="161" t="s">
        <v>12</v>
      </c>
      <c r="I526" s="184"/>
      <c r="J526" s="184"/>
      <c r="K526" s="163"/>
      <c r="L526" s="496">
        <f t="shared" ref="L526:N526" ca="1" si="230">L527+L528</f>
        <v>0</v>
      </c>
      <c r="M526" s="496">
        <f t="shared" si="230"/>
        <v>0</v>
      </c>
      <c r="N526" s="496">
        <f t="shared" si="230"/>
        <v>0</v>
      </c>
      <c r="O526" s="496">
        <f t="shared" ca="1" si="227"/>
        <v>0</v>
      </c>
      <c r="P526" s="496">
        <f t="shared" si="228"/>
        <v>0</v>
      </c>
      <c r="Q526" s="571"/>
      <c r="R526" s="571"/>
      <c r="S526" s="571"/>
      <c r="T526" s="571"/>
      <c r="U526" s="571"/>
      <c r="V526" s="571"/>
      <c r="W526" s="571"/>
      <c r="X526" s="571"/>
      <c r="Y526" s="571"/>
      <c r="Z526" s="571"/>
    </row>
    <row r="527" spans="1:26" ht="18.75" hidden="1">
      <c r="A527" s="592"/>
      <c r="B527" s="600"/>
      <c r="C527" s="750"/>
      <c r="D527" s="711"/>
      <c r="E527" s="750" t="s">
        <v>184</v>
      </c>
      <c r="F527" s="750"/>
      <c r="G527" s="596"/>
      <c r="H527" s="165" t="s">
        <v>12</v>
      </c>
      <c r="I527" s="610"/>
      <c r="J527" s="610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597"/>
      <c r="R527" s="597"/>
      <c r="S527" s="597"/>
      <c r="T527" s="597"/>
      <c r="U527" s="597"/>
      <c r="V527" s="597"/>
      <c r="W527" s="597"/>
      <c r="X527" s="597"/>
      <c r="Y527" s="597"/>
      <c r="Z527" s="597"/>
    </row>
    <row r="528" spans="1:26" ht="18.75" hidden="1">
      <c r="A528" s="592"/>
      <c r="B528" s="600"/>
      <c r="C528" s="750"/>
      <c r="D528" s="711"/>
      <c r="E528" s="750" t="s">
        <v>185</v>
      </c>
      <c r="F528" s="750"/>
      <c r="G528" s="596"/>
      <c r="H528" s="165" t="s">
        <v>12</v>
      </c>
      <c r="I528" s="610"/>
      <c r="J528" s="610"/>
      <c r="K528" s="93"/>
      <c r="L528" s="93">
        <f ca="1">IFERROR(__xludf.DUMMYFUNCTION("IMPORTRANGE(""https://docs.google.com/spreadsheets/d/1QqKyyYR6Q21VydFLVH3TRQUabQu_ym0Zz7PgGX0-kHA/edit?usp=sharing"",""แผน!GQ68"")"),0)</f>
        <v>0</v>
      </c>
      <c r="M528" s="93">
        <v>0</v>
      </c>
      <c r="N528" s="93">
        <f>N529+N530+N531+N532</f>
        <v>0</v>
      </c>
      <c r="O528" s="93">
        <f t="shared" ca="1" si="227"/>
        <v>0</v>
      </c>
      <c r="P528" s="93">
        <f t="shared" si="228"/>
        <v>0</v>
      </c>
      <c r="Q528" s="597"/>
      <c r="R528" s="597"/>
      <c r="S528" s="597"/>
      <c r="T528" s="597"/>
      <c r="U528" s="597"/>
      <c r="V528" s="597"/>
      <c r="W528" s="597"/>
      <c r="X528" s="597"/>
      <c r="Y528" s="597"/>
      <c r="Z528" s="597"/>
    </row>
    <row r="529" spans="1:26" ht="18.75" hidden="1">
      <c r="A529" s="567"/>
      <c r="B529" s="568"/>
      <c r="C529" s="754"/>
      <c r="D529" s="754"/>
      <c r="E529" s="754"/>
      <c r="F529" s="754" t="s">
        <v>186</v>
      </c>
      <c r="G529" s="189"/>
      <c r="H529" s="161" t="s">
        <v>12</v>
      </c>
      <c r="I529" s="269"/>
      <c r="J529" s="269"/>
      <c r="K529" s="496"/>
      <c r="L529" s="496"/>
      <c r="M529" s="496"/>
      <c r="N529" s="817">
        <v>0</v>
      </c>
      <c r="O529" s="496"/>
      <c r="P529" s="496"/>
      <c r="Q529" s="571"/>
      <c r="R529" s="571"/>
      <c r="S529" s="571"/>
      <c r="T529" s="571"/>
      <c r="U529" s="571"/>
      <c r="V529" s="571"/>
      <c r="W529" s="571"/>
      <c r="X529" s="571"/>
      <c r="Y529" s="571"/>
      <c r="Z529" s="571"/>
    </row>
    <row r="530" spans="1:26" ht="18.75" hidden="1">
      <c r="A530" s="567"/>
      <c r="B530" s="568"/>
      <c r="C530" s="754"/>
      <c r="D530" s="754"/>
      <c r="E530" s="754"/>
      <c r="F530" s="754" t="s">
        <v>187</v>
      </c>
      <c r="G530" s="189"/>
      <c r="H530" s="161" t="s">
        <v>12</v>
      </c>
      <c r="I530" s="269"/>
      <c r="J530" s="269"/>
      <c r="K530" s="496"/>
      <c r="L530" s="496"/>
      <c r="M530" s="496"/>
      <c r="N530" s="817">
        <v>0</v>
      </c>
      <c r="O530" s="496"/>
      <c r="P530" s="496"/>
      <c r="Q530" s="571"/>
      <c r="R530" s="571"/>
      <c r="S530" s="571"/>
      <c r="T530" s="571"/>
      <c r="U530" s="571"/>
      <c r="V530" s="571"/>
      <c r="W530" s="571"/>
      <c r="X530" s="571"/>
      <c r="Y530" s="571"/>
      <c r="Z530" s="571"/>
    </row>
    <row r="531" spans="1:26" ht="18.75" hidden="1">
      <c r="A531" s="567"/>
      <c r="B531" s="568"/>
      <c r="C531" s="754"/>
      <c r="D531" s="754"/>
      <c r="E531" s="754"/>
      <c r="F531" s="754" t="s">
        <v>188</v>
      </c>
      <c r="G531" s="189"/>
      <c r="H531" s="161" t="s">
        <v>12</v>
      </c>
      <c r="I531" s="269"/>
      <c r="J531" s="269"/>
      <c r="K531" s="496"/>
      <c r="L531" s="496"/>
      <c r="M531" s="496"/>
      <c r="N531" s="817">
        <v>0</v>
      </c>
      <c r="O531" s="496"/>
      <c r="P531" s="496"/>
      <c r="Q531" s="571"/>
      <c r="R531" s="571"/>
      <c r="S531" s="571"/>
      <c r="T531" s="571"/>
      <c r="U531" s="571"/>
      <c r="V531" s="571"/>
      <c r="W531" s="571"/>
      <c r="X531" s="571"/>
      <c r="Y531" s="571"/>
      <c r="Z531" s="571"/>
    </row>
    <row r="532" spans="1:26" ht="18.75" hidden="1">
      <c r="A532" s="567"/>
      <c r="B532" s="568"/>
      <c r="C532" s="754"/>
      <c r="D532" s="754"/>
      <c r="E532" s="754"/>
      <c r="F532" s="754" t="s">
        <v>189</v>
      </c>
      <c r="G532" s="189"/>
      <c r="H532" s="161" t="s">
        <v>12</v>
      </c>
      <c r="I532" s="269"/>
      <c r="J532" s="269"/>
      <c r="K532" s="496"/>
      <c r="L532" s="496"/>
      <c r="M532" s="496"/>
      <c r="N532" s="817">
        <v>0</v>
      </c>
      <c r="O532" s="496"/>
      <c r="P532" s="496"/>
      <c r="Q532" s="571"/>
      <c r="R532" s="571"/>
      <c r="S532" s="571"/>
      <c r="T532" s="571"/>
      <c r="U532" s="571"/>
      <c r="V532" s="571"/>
      <c r="W532" s="571"/>
      <c r="X532" s="571"/>
      <c r="Y532" s="571"/>
      <c r="Z532" s="571"/>
    </row>
    <row r="533" spans="1:26" ht="18.75" hidden="1">
      <c r="A533" s="590"/>
      <c r="B533" s="568"/>
      <c r="C533" s="754"/>
      <c r="D533" s="599" t="s">
        <v>21</v>
      </c>
      <c r="E533" s="754"/>
      <c r="F533" s="754"/>
      <c r="G533" s="189"/>
      <c r="H533" s="168" t="s">
        <v>12</v>
      </c>
      <c r="I533" s="184"/>
      <c r="J533" s="184"/>
      <c r="K533" s="163"/>
      <c r="L533" s="496">
        <f t="shared" ref="L533:N533" ca="1" si="231">L534+L535</f>
        <v>0</v>
      </c>
      <c r="M533" s="496">
        <f t="shared" si="231"/>
        <v>0</v>
      </c>
      <c r="N533" s="496">
        <f t="shared" si="231"/>
        <v>0</v>
      </c>
      <c r="O533" s="496">
        <f t="shared" ref="O533:O535" ca="1" si="232">IF(L533&gt;0,N533*100/L533,0)</f>
        <v>0</v>
      </c>
      <c r="P533" s="496">
        <f t="shared" ref="P533:P535" si="233">IF(M533&gt;0,N533*100/M533,0)</f>
        <v>0</v>
      </c>
      <c r="Q533" s="571"/>
      <c r="R533" s="571"/>
      <c r="S533" s="571"/>
      <c r="T533" s="571"/>
      <c r="U533" s="571"/>
      <c r="V533" s="571"/>
      <c r="W533" s="571"/>
      <c r="X533" s="571"/>
      <c r="Y533" s="571"/>
      <c r="Z533" s="571"/>
    </row>
    <row r="534" spans="1:26" ht="18.75" hidden="1">
      <c r="A534" s="592"/>
      <c r="B534" s="600"/>
      <c r="C534" s="750"/>
      <c r="D534" s="750"/>
      <c r="E534" s="750" t="s">
        <v>18</v>
      </c>
      <c r="F534" s="750"/>
      <c r="G534" s="596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597"/>
      <c r="R534" s="597"/>
      <c r="S534" s="597"/>
      <c r="T534" s="597"/>
      <c r="U534" s="597"/>
      <c r="V534" s="597"/>
      <c r="W534" s="597"/>
      <c r="X534" s="597"/>
      <c r="Y534" s="597"/>
      <c r="Z534" s="597"/>
    </row>
    <row r="535" spans="1:26" ht="18.75" hidden="1">
      <c r="A535" s="592"/>
      <c r="B535" s="600"/>
      <c r="C535" s="750"/>
      <c r="D535" s="750"/>
      <c r="E535" s="750" t="s">
        <v>19</v>
      </c>
      <c r="F535" s="750"/>
      <c r="G535" s="596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IFERROR(__xludf.DUMMYFUNCTION("IMPORTRANGE(""https://docs.google.com/spreadsheets/d/1QqKyyYR6Q21VydFLVH3TRQUabQu_ym0Zz7PgGX0-kHA/edit?usp=sharing"",""แผน!GT68"")"),0)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597"/>
      <c r="R535" s="597"/>
      <c r="S535" s="597"/>
      <c r="T535" s="597"/>
      <c r="U535" s="597"/>
      <c r="V535" s="597"/>
      <c r="W535" s="597"/>
      <c r="X535" s="597"/>
      <c r="Y535" s="597"/>
      <c r="Z535" s="597"/>
    </row>
    <row r="536" spans="1:26" ht="19.5" hidden="1">
      <c r="A536" s="601"/>
      <c r="B536" s="611"/>
      <c r="C536" s="754" t="s">
        <v>16</v>
      </c>
      <c r="D536" s="839" t="s">
        <v>38</v>
      </c>
      <c r="E536" s="752"/>
      <c r="F536" s="752"/>
      <c r="G536" s="606"/>
      <c r="H536" s="753"/>
      <c r="I536" s="184"/>
      <c r="J536" s="184"/>
      <c r="K536" s="163"/>
      <c r="L536" s="163"/>
      <c r="M536" s="163"/>
      <c r="N536" s="163"/>
      <c r="O536" s="163"/>
      <c r="P536" s="163"/>
      <c r="Q536" s="571"/>
      <c r="R536" s="571"/>
      <c r="S536" s="571"/>
      <c r="T536" s="571"/>
      <c r="U536" s="571"/>
      <c r="V536" s="571"/>
      <c r="W536" s="571"/>
      <c r="X536" s="571"/>
      <c r="Y536" s="571"/>
      <c r="Z536" s="571"/>
    </row>
    <row r="537" spans="1:26" ht="19.5" hidden="1">
      <c r="A537" s="567"/>
      <c r="B537" s="568"/>
      <c r="C537" s="754"/>
      <c r="D537" s="754" t="s">
        <v>227</v>
      </c>
      <c r="E537" s="754"/>
      <c r="F537" s="754"/>
      <c r="G537" s="189"/>
      <c r="H537" s="616" t="s">
        <v>35</v>
      </c>
      <c r="I537" s="674">
        <f ca="1">IFERROR(__xludf.DUMMYFUNCTION("IMPORTRANGE(""https://docs.google.com/spreadsheets/d/1QqKyyYR6Q21VydFLVH3TRQUabQu_ym0Zz7PgGX0-kHA/edit?usp=sharing"",""แผน!GU68"")"),0)</f>
        <v>0</v>
      </c>
      <c r="J537" s="674">
        <f ca="1">IF(AND(J538=I538,J539=I539,J540=I540,J541=I541),I537,0)</f>
        <v>0</v>
      </c>
      <c r="K537" s="496">
        <f t="shared" ref="K537:K543" ca="1" si="234">IF(I537&gt;0,J537*100/I537,0)</f>
        <v>0</v>
      </c>
      <c r="L537" s="496"/>
      <c r="M537" s="496"/>
      <c r="N537" s="496"/>
      <c r="O537" s="496"/>
      <c r="P537" s="496"/>
      <c r="Q537" s="675"/>
      <c r="R537" s="675"/>
      <c r="S537" s="675"/>
      <c r="T537" s="675"/>
      <c r="U537" s="675"/>
      <c r="V537" s="675"/>
      <c r="W537" s="675"/>
      <c r="X537" s="675"/>
      <c r="Y537" s="675"/>
      <c r="Z537" s="675"/>
    </row>
    <row r="538" spans="1:26" ht="18.75" hidden="1">
      <c r="A538" s="567"/>
      <c r="B538" s="568"/>
      <c r="C538" s="754"/>
      <c r="D538" s="754"/>
      <c r="E538" s="754" t="s">
        <v>228</v>
      </c>
      <c r="F538" s="754"/>
      <c r="G538" s="189"/>
      <c r="H538" s="616" t="s">
        <v>35</v>
      </c>
      <c r="I538" s="269">
        <f ca="1">IFERROR(__xludf.DUMMYFUNCTION("IMPORTRANGE(""https://docs.google.com/spreadsheets/d/1QqKyyYR6Q21VydFLVH3TRQUabQu_ym0Zz7PgGX0-kHA/edit?usp=sharing"",""แผน!GV68"")"),0)</f>
        <v>0</v>
      </c>
      <c r="J538" s="214">
        <v>0</v>
      </c>
      <c r="K538" s="496">
        <f t="shared" ca="1" si="234"/>
        <v>0</v>
      </c>
      <c r="L538" s="496"/>
      <c r="M538" s="496"/>
      <c r="N538" s="496"/>
      <c r="O538" s="496"/>
      <c r="P538" s="496"/>
      <c r="Q538" s="675"/>
      <c r="R538" s="675"/>
      <c r="S538" s="675"/>
      <c r="T538" s="675"/>
      <c r="U538" s="675"/>
      <c r="V538" s="675"/>
      <c r="W538" s="675"/>
      <c r="X538" s="675"/>
      <c r="Y538" s="675"/>
      <c r="Z538" s="675"/>
    </row>
    <row r="539" spans="1:26" ht="18.75" hidden="1">
      <c r="A539" s="567"/>
      <c r="B539" s="568"/>
      <c r="C539" s="754"/>
      <c r="D539" s="754"/>
      <c r="E539" s="754" t="s">
        <v>229</v>
      </c>
      <c r="F539" s="754"/>
      <c r="G539" s="189"/>
      <c r="H539" s="616" t="s">
        <v>35</v>
      </c>
      <c r="I539" s="269">
        <f ca="1">IFERROR(__xludf.DUMMYFUNCTION("IMPORTRANGE(""https://docs.google.com/spreadsheets/d/1QqKyyYR6Q21VydFLVH3TRQUabQu_ym0Zz7PgGX0-kHA/edit?usp=sharing"",""แผน!GW68"")"),0)</f>
        <v>0</v>
      </c>
      <c r="J539" s="214">
        <v>0</v>
      </c>
      <c r="K539" s="496">
        <f t="shared" ca="1" si="234"/>
        <v>0</v>
      </c>
      <c r="L539" s="496"/>
      <c r="M539" s="496"/>
      <c r="N539" s="496"/>
      <c r="O539" s="496"/>
      <c r="P539" s="496"/>
      <c r="Q539" s="675"/>
      <c r="R539" s="675"/>
      <c r="S539" s="675"/>
      <c r="T539" s="675"/>
      <c r="U539" s="675"/>
      <c r="V539" s="675"/>
      <c r="W539" s="675"/>
      <c r="X539" s="675"/>
      <c r="Y539" s="675"/>
      <c r="Z539" s="675"/>
    </row>
    <row r="540" spans="1:26" ht="18.75" hidden="1">
      <c r="A540" s="567"/>
      <c r="B540" s="568"/>
      <c r="C540" s="754"/>
      <c r="D540" s="754"/>
      <c r="E540" s="754" t="s">
        <v>230</v>
      </c>
      <c r="F540" s="754"/>
      <c r="G540" s="189"/>
      <c r="H540" s="616" t="s">
        <v>35</v>
      </c>
      <c r="I540" s="269">
        <f ca="1">IFERROR(__xludf.DUMMYFUNCTION("IMPORTRANGE(""https://docs.google.com/spreadsheets/d/1QqKyyYR6Q21VydFLVH3TRQUabQu_ym0Zz7PgGX0-kHA/edit?usp=sharing"",""แผน!GX68"")"),0)</f>
        <v>0</v>
      </c>
      <c r="J540" s="214">
        <v>0</v>
      </c>
      <c r="K540" s="496">
        <f t="shared" ca="1" si="234"/>
        <v>0</v>
      </c>
      <c r="L540" s="496"/>
      <c r="M540" s="496"/>
      <c r="N540" s="496"/>
      <c r="O540" s="496"/>
      <c r="P540" s="496"/>
      <c r="Q540" s="675"/>
      <c r="R540" s="675"/>
      <c r="S540" s="675"/>
      <c r="T540" s="675"/>
      <c r="U540" s="675"/>
      <c r="V540" s="675"/>
      <c r="W540" s="675"/>
      <c r="X540" s="675"/>
      <c r="Y540" s="675"/>
      <c r="Z540" s="675"/>
    </row>
    <row r="541" spans="1:26" ht="18.75" hidden="1">
      <c r="A541" s="567"/>
      <c r="B541" s="568"/>
      <c r="C541" s="754"/>
      <c r="D541" s="754"/>
      <c r="E541" s="760" t="s">
        <v>231</v>
      </c>
      <c r="F541" s="754"/>
      <c r="G541" s="189"/>
      <c r="H541" s="616" t="s">
        <v>35</v>
      </c>
      <c r="I541" s="269">
        <f ca="1">IFERROR(__xludf.DUMMYFUNCTION("IMPORTRANGE(""https://docs.google.com/spreadsheets/d/1QqKyyYR6Q21VydFLVH3TRQUabQu_ym0Zz7PgGX0-kHA/edit?usp=sharing"",""แผน!GY68"")"),0)</f>
        <v>0</v>
      </c>
      <c r="J541" s="214">
        <v>0</v>
      </c>
      <c r="K541" s="496">
        <f t="shared" ca="1" si="234"/>
        <v>0</v>
      </c>
      <c r="L541" s="496"/>
      <c r="M541" s="496"/>
      <c r="N541" s="496"/>
      <c r="O541" s="496"/>
      <c r="P541" s="496"/>
      <c r="Q541" s="675"/>
      <c r="R541" s="675"/>
      <c r="S541" s="675"/>
      <c r="T541" s="675"/>
      <c r="U541" s="675"/>
      <c r="V541" s="675"/>
      <c r="W541" s="675"/>
      <c r="X541" s="675"/>
      <c r="Y541" s="675"/>
      <c r="Z541" s="675"/>
    </row>
    <row r="542" spans="1:26" ht="18.75" hidden="1">
      <c r="A542" s="567"/>
      <c r="B542" s="568"/>
      <c r="C542" s="754"/>
      <c r="D542" s="754" t="s">
        <v>59</v>
      </c>
      <c r="E542" s="754"/>
      <c r="F542" s="754"/>
      <c r="G542" s="189"/>
      <c r="H542" s="616" t="s">
        <v>35</v>
      </c>
      <c r="I542" s="269">
        <f ca="1">IFERROR(__xludf.DUMMYFUNCTION("IMPORTRANGE(""https://docs.google.com/spreadsheets/d/1QqKyyYR6Q21VydFLVH3TRQUabQu_ym0Zz7PgGX0-kHA/edit?usp=sharing"",""แผน!GZ68"")"),0)</f>
        <v>0</v>
      </c>
      <c r="J542" s="214">
        <v>0</v>
      </c>
      <c r="K542" s="496">
        <f t="shared" ca="1" si="234"/>
        <v>0</v>
      </c>
      <c r="L542" s="496"/>
      <c r="M542" s="496"/>
      <c r="N542" s="496"/>
      <c r="O542" s="496"/>
      <c r="P542" s="496"/>
      <c r="Q542" s="675"/>
      <c r="R542" s="675"/>
      <c r="S542" s="675"/>
      <c r="T542" s="675"/>
      <c r="U542" s="675"/>
      <c r="V542" s="675"/>
      <c r="W542" s="675"/>
      <c r="X542" s="675"/>
      <c r="Y542" s="675"/>
      <c r="Z542" s="675"/>
    </row>
    <row r="543" spans="1:26" ht="19.5">
      <c r="A543" s="657">
        <v>6</v>
      </c>
      <c r="B543" s="678" t="s">
        <v>232</v>
      </c>
      <c r="C543" s="660"/>
      <c r="D543" s="660"/>
      <c r="E543" s="660"/>
      <c r="F543" s="660"/>
      <c r="G543" s="661"/>
      <c r="H543" s="679" t="s">
        <v>46</v>
      </c>
      <c r="I543" s="680">
        <f t="shared" ref="I543:J543" ca="1" si="235">I559</f>
        <v>36182</v>
      </c>
      <c r="J543" s="680">
        <f t="shared" si="235"/>
        <v>0</v>
      </c>
      <c r="K543" s="681">
        <f t="shared" ca="1" si="234"/>
        <v>0</v>
      </c>
      <c r="L543" s="663"/>
      <c r="M543" s="663"/>
      <c r="N543" s="663"/>
      <c r="O543" s="663"/>
      <c r="P543" s="663"/>
      <c r="Q543" s="571"/>
      <c r="R543" s="571"/>
      <c r="S543" s="571"/>
      <c r="T543" s="571"/>
      <c r="U543" s="571"/>
      <c r="V543" s="571"/>
      <c r="W543" s="571"/>
      <c r="X543" s="571"/>
      <c r="Y543" s="571"/>
      <c r="Z543" s="571"/>
    </row>
    <row r="544" spans="1:26" ht="19.5">
      <c r="A544" s="682"/>
      <c r="B544" s="683"/>
      <c r="C544" s="683" t="s">
        <v>16</v>
      </c>
      <c r="D544" s="867" t="s">
        <v>17</v>
      </c>
      <c r="E544" s="862"/>
      <c r="F544" s="862"/>
      <c r="G544" s="684"/>
      <c r="H544" s="274" t="s">
        <v>12</v>
      </c>
      <c r="I544" s="419"/>
      <c r="J544" s="419"/>
      <c r="K544" s="154"/>
      <c r="L544" s="155">
        <f t="shared" ref="L544:N544" ca="1" si="236">L545+L546</f>
        <v>341452</v>
      </c>
      <c r="M544" s="155">
        <f t="shared" si="236"/>
        <v>0</v>
      </c>
      <c r="N544" s="155">
        <f t="shared" si="236"/>
        <v>30760</v>
      </c>
      <c r="O544" s="155">
        <f t="shared" ref="O544:O549" ca="1" si="237">IF(L544&gt;0,N544*100/L544,0)</f>
        <v>9.0085868584749829</v>
      </c>
      <c r="P544" s="155">
        <f t="shared" ref="P544:P549" si="238">IF(M544&gt;0,N544*100/M544,0)</f>
        <v>0</v>
      </c>
      <c r="Q544" s="571"/>
      <c r="R544" s="571"/>
      <c r="S544" s="571"/>
      <c r="T544" s="571"/>
      <c r="U544" s="571"/>
      <c r="V544" s="571"/>
      <c r="W544" s="571"/>
      <c r="X544" s="571"/>
      <c r="Y544" s="571"/>
      <c r="Z544" s="571"/>
    </row>
    <row r="545" spans="1:26" ht="18.75" hidden="1">
      <c r="A545" s="592"/>
      <c r="B545" s="750"/>
      <c r="C545" s="750"/>
      <c r="D545" s="750"/>
      <c r="E545" s="750" t="s">
        <v>184</v>
      </c>
      <c r="F545" s="750"/>
      <c r="G545" s="596"/>
      <c r="H545" s="165" t="s">
        <v>12</v>
      </c>
      <c r="I545" s="610"/>
      <c r="J545" s="610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597"/>
      <c r="R545" s="597"/>
      <c r="S545" s="597"/>
      <c r="T545" s="597"/>
      <c r="U545" s="597"/>
      <c r="V545" s="597"/>
      <c r="W545" s="597"/>
      <c r="X545" s="597"/>
      <c r="Y545" s="597"/>
      <c r="Z545" s="597"/>
    </row>
    <row r="546" spans="1:26" ht="18.75" hidden="1">
      <c r="A546" s="592"/>
      <c r="B546" s="600"/>
      <c r="C546" s="750"/>
      <c r="D546" s="750"/>
      <c r="E546" s="750" t="s">
        <v>185</v>
      </c>
      <c r="F546" s="750"/>
      <c r="G546" s="596"/>
      <c r="H546" s="165" t="s">
        <v>12</v>
      </c>
      <c r="I546" s="610"/>
      <c r="J546" s="610"/>
      <c r="K546" s="93"/>
      <c r="L546" s="93">
        <f t="shared" ca="1" si="239"/>
        <v>341452</v>
      </c>
      <c r="M546" s="93">
        <f t="shared" si="240"/>
        <v>0</v>
      </c>
      <c r="N546" s="93">
        <f t="shared" si="240"/>
        <v>30760</v>
      </c>
      <c r="O546" s="93">
        <f t="shared" ca="1" si="237"/>
        <v>9.0085868584749829</v>
      </c>
      <c r="P546" s="93">
        <f t="shared" si="238"/>
        <v>0</v>
      </c>
      <c r="Q546" s="597"/>
      <c r="R546" s="597"/>
      <c r="S546" s="597"/>
      <c r="T546" s="597"/>
      <c r="U546" s="597"/>
      <c r="V546" s="597"/>
      <c r="W546" s="597"/>
      <c r="X546" s="597"/>
      <c r="Y546" s="597"/>
      <c r="Z546" s="597"/>
    </row>
    <row r="547" spans="1:26" ht="18.75">
      <c r="A547" s="590"/>
      <c r="B547" s="568"/>
      <c r="C547" s="754"/>
      <c r="D547" s="599" t="s">
        <v>20</v>
      </c>
      <c r="E547" s="754"/>
      <c r="F547" s="754"/>
      <c r="G547" s="189"/>
      <c r="H547" s="161" t="s">
        <v>12</v>
      </c>
      <c r="I547" s="184"/>
      <c r="J547" s="184"/>
      <c r="K547" s="163"/>
      <c r="L547" s="496">
        <f t="shared" ref="L547:N547" ca="1" si="241">L548+L549</f>
        <v>341452</v>
      </c>
      <c r="M547" s="496">
        <f t="shared" si="241"/>
        <v>0</v>
      </c>
      <c r="N547" s="496">
        <f t="shared" si="241"/>
        <v>30760</v>
      </c>
      <c r="O547" s="496">
        <f t="shared" ca="1" si="237"/>
        <v>9.0085868584749829</v>
      </c>
      <c r="P547" s="496">
        <f t="shared" si="238"/>
        <v>0</v>
      </c>
      <c r="Q547" s="571"/>
      <c r="R547" s="571"/>
      <c r="S547" s="571"/>
      <c r="T547" s="571"/>
      <c r="U547" s="571"/>
      <c r="V547" s="571"/>
      <c r="W547" s="571"/>
      <c r="X547" s="571"/>
      <c r="Y547" s="571"/>
      <c r="Z547" s="571"/>
    </row>
    <row r="548" spans="1:26" ht="18.75" hidden="1">
      <c r="A548" s="592"/>
      <c r="B548" s="600"/>
      <c r="C548" s="750"/>
      <c r="D548" s="711"/>
      <c r="E548" s="750" t="s">
        <v>184</v>
      </c>
      <c r="F548" s="750"/>
      <c r="G548" s="596"/>
      <c r="H548" s="165" t="s">
        <v>12</v>
      </c>
      <c r="I548" s="610"/>
      <c r="J548" s="610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597"/>
      <c r="R548" s="597"/>
      <c r="S548" s="597"/>
      <c r="T548" s="597"/>
      <c r="U548" s="597"/>
      <c r="V548" s="597"/>
      <c r="W548" s="597"/>
      <c r="X548" s="597"/>
      <c r="Y548" s="597"/>
      <c r="Z548" s="597"/>
    </row>
    <row r="549" spans="1:26" ht="18.75" hidden="1">
      <c r="A549" s="592"/>
      <c r="B549" s="600"/>
      <c r="C549" s="750"/>
      <c r="D549" s="711"/>
      <c r="E549" s="750" t="s">
        <v>185</v>
      </c>
      <c r="F549" s="750"/>
      <c r="G549" s="596"/>
      <c r="H549" s="165" t="s">
        <v>12</v>
      </c>
      <c r="I549" s="610"/>
      <c r="J549" s="610"/>
      <c r="K549" s="93"/>
      <c r="L549" s="93">
        <f ca="1">IFERROR(__xludf.DUMMYFUNCTION("IMPORTRANGE(""https://docs.google.com/spreadsheets/d/1QqKyyYR6Q21VydFLVH3TRQUabQu_ym0Zz7PgGX0-kHA/edit?usp=sharing"",""แผน!HB68"")"),341452)</f>
        <v>341452</v>
      </c>
      <c r="M549" s="93">
        <v>0</v>
      </c>
      <c r="N549" s="93">
        <f>N550+N551+N552+N553+N554</f>
        <v>30760</v>
      </c>
      <c r="O549" s="93">
        <f t="shared" ca="1" si="237"/>
        <v>9.0085868584749829</v>
      </c>
      <c r="P549" s="93">
        <f t="shared" si="238"/>
        <v>0</v>
      </c>
      <c r="Q549" s="597"/>
      <c r="R549" s="597"/>
      <c r="S549" s="597"/>
      <c r="T549" s="597"/>
      <c r="U549" s="597"/>
      <c r="V549" s="597"/>
      <c r="W549" s="597"/>
      <c r="X549" s="597"/>
      <c r="Y549" s="597"/>
      <c r="Z549" s="597"/>
    </row>
    <row r="550" spans="1:26" ht="18.75">
      <c r="A550" s="567"/>
      <c r="B550" s="568"/>
      <c r="C550" s="754"/>
      <c r="D550" s="754"/>
      <c r="E550" s="754"/>
      <c r="F550" s="754" t="s">
        <v>186</v>
      </c>
      <c r="G550" s="189"/>
      <c r="H550" s="161" t="s">
        <v>12</v>
      </c>
      <c r="I550" s="269"/>
      <c r="J550" s="269"/>
      <c r="K550" s="496"/>
      <c r="L550" s="496"/>
      <c r="M550" s="496"/>
      <c r="N550" s="817">
        <v>0</v>
      </c>
      <c r="O550" s="496"/>
      <c r="P550" s="496"/>
      <c r="Q550" s="571"/>
      <c r="R550" s="571"/>
      <c r="S550" s="571"/>
      <c r="T550" s="571"/>
      <c r="U550" s="571"/>
      <c r="V550" s="571"/>
      <c r="W550" s="571"/>
      <c r="X550" s="571"/>
      <c r="Y550" s="571"/>
      <c r="Z550" s="571"/>
    </row>
    <row r="551" spans="1:26" ht="18.75">
      <c r="A551" s="567"/>
      <c r="B551" s="568"/>
      <c r="C551" s="568"/>
      <c r="D551" s="568"/>
      <c r="E551" s="754"/>
      <c r="F551" s="754" t="s">
        <v>187</v>
      </c>
      <c r="G551" s="189"/>
      <c r="H551" s="161" t="s">
        <v>12</v>
      </c>
      <c r="I551" s="269"/>
      <c r="J551" s="269"/>
      <c r="K551" s="496"/>
      <c r="L551" s="496"/>
      <c r="M551" s="496"/>
      <c r="N551" s="817">
        <v>0</v>
      </c>
      <c r="O551" s="496"/>
      <c r="P551" s="496"/>
      <c r="Q551" s="571"/>
      <c r="R551" s="571"/>
      <c r="S551" s="571"/>
      <c r="T551" s="571"/>
      <c r="U551" s="571"/>
      <c r="V551" s="571"/>
      <c r="W551" s="571"/>
      <c r="X551" s="571"/>
      <c r="Y551" s="571"/>
      <c r="Z551" s="571"/>
    </row>
    <row r="552" spans="1:26" ht="18.75">
      <c r="A552" s="567"/>
      <c r="B552" s="568"/>
      <c r="C552" s="754"/>
      <c r="D552" s="754"/>
      <c r="E552" s="754"/>
      <c r="F552" s="754" t="s">
        <v>188</v>
      </c>
      <c r="G552" s="189"/>
      <c r="H552" s="161" t="s">
        <v>12</v>
      </c>
      <c r="I552" s="269"/>
      <c r="J552" s="269"/>
      <c r="K552" s="496"/>
      <c r="L552" s="496"/>
      <c r="M552" s="496"/>
      <c r="N552" s="817">
        <v>13000</v>
      </c>
      <c r="O552" s="496"/>
      <c r="P552" s="496"/>
      <c r="Q552" s="571"/>
      <c r="R552" s="571"/>
      <c r="S552" s="571"/>
      <c r="T552" s="571"/>
      <c r="U552" s="571"/>
      <c r="V552" s="571"/>
      <c r="W552" s="571"/>
      <c r="X552" s="571"/>
      <c r="Y552" s="571"/>
      <c r="Z552" s="571"/>
    </row>
    <row r="553" spans="1:26" ht="18.75">
      <c r="A553" s="567"/>
      <c r="B553" s="568"/>
      <c r="C553" s="568"/>
      <c r="D553" s="568"/>
      <c r="E553" s="754"/>
      <c r="F553" s="754" t="s">
        <v>189</v>
      </c>
      <c r="G553" s="189"/>
      <c r="H553" s="161" t="s">
        <v>12</v>
      </c>
      <c r="I553" s="269"/>
      <c r="J553" s="269"/>
      <c r="K553" s="496"/>
      <c r="L553" s="496"/>
      <c r="M553" s="496"/>
      <c r="N553" s="817">
        <v>17760</v>
      </c>
      <c r="O553" s="496"/>
      <c r="P553" s="496"/>
      <c r="Q553" s="571"/>
      <c r="R553" s="571"/>
      <c r="S553" s="571"/>
      <c r="T553" s="571"/>
      <c r="U553" s="571"/>
      <c r="V553" s="571"/>
      <c r="W553" s="571"/>
      <c r="X553" s="571"/>
      <c r="Y553" s="571"/>
      <c r="Z553" s="571"/>
    </row>
    <row r="554" spans="1:26" ht="18.75">
      <c r="A554" s="567"/>
      <c r="B554" s="568"/>
      <c r="C554" s="568"/>
      <c r="D554" s="568"/>
      <c r="E554" s="754"/>
      <c r="F554" s="754" t="s">
        <v>233</v>
      </c>
      <c r="G554" s="189"/>
      <c r="H554" s="161" t="s">
        <v>12</v>
      </c>
      <c r="I554" s="269"/>
      <c r="J554" s="269"/>
      <c r="K554" s="496"/>
      <c r="L554" s="496"/>
      <c r="M554" s="496"/>
      <c r="N554" s="817">
        <v>0</v>
      </c>
      <c r="O554" s="496"/>
      <c r="P554" s="496"/>
      <c r="Q554" s="571"/>
      <c r="R554" s="571"/>
      <c r="S554" s="571"/>
      <c r="T554" s="571"/>
      <c r="U554" s="571"/>
      <c r="V554" s="571"/>
      <c r="W554" s="571"/>
      <c r="X554" s="571"/>
      <c r="Y554" s="571"/>
      <c r="Z554" s="571"/>
    </row>
    <row r="555" spans="1:26" ht="18.75">
      <c r="A555" s="590"/>
      <c r="B555" s="568"/>
      <c r="C555" s="568"/>
      <c r="D555" s="599" t="s">
        <v>21</v>
      </c>
      <c r="E555" s="754"/>
      <c r="F555" s="754"/>
      <c r="G555" s="189"/>
      <c r="H555" s="168" t="s">
        <v>12</v>
      </c>
      <c r="I555" s="184"/>
      <c r="J555" s="184"/>
      <c r="K555" s="163"/>
      <c r="L555" s="496">
        <f t="shared" ref="L555:N555" ca="1" si="242">L556+L557</f>
        <v>0</v>
      </c>
      <c r="M555" s="496">
        <f t="shared" si="242"/>
        <v>0</v>
      </c>
      <c r="N555" s="496">
        <f t="shared" si="242"/>
        <v>0</v>
      </c>
      <c r="O555" s="496">
        <f t="shared" ref="O555:O557" ca="1" si="243">IF(L555&gt;0,N555*100/L555,0)</f>
        <v>0</v>
      </c>
      <c r="P555" s="496">
        <f t="shared" ref="P555:P557" si="244">IF(M555&gt;0,N555*100/M555,0)</f>
        <v>0</v>
      </c>
      <c r="Q555" s="571"/>
      <c r="R555" s="571"/>
      <c r="S555" s="571"/>
      <c r="T555" s="571"/>
      <c r="U555" s="571"/>
      <c r="V555" s="571"/>
      <c r="W555" s="571"/>
      <c r="X555" s="571"/>
      <c r="Y555" s="571"/>
      <c r="Z555" s="571"/>
    </row>
    <row r="556" spans="1:26" ht="18.75" hidden="1">
      <c r="A556" s="592"/>
      <c r="B556" s="600"/>
      <c r="C556" s="600"/>
      <c r="D556" s="750"/>
      <c r="E556" s="750" t="s">
        <v>18</v>
      </c>
      <c r="F556" s="750"/>
      <c r="G556" s="596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597"/>
      <c r="R556" s="597"/>
      <c r="S556" s="597"/>
      <c r="T556" s="597"/>
      <c r="U556" s="597"/>
      <c r="V556" s="597"/>
      <c r="W556" s="597"/>
      <c r="X556" s="597"/>
      <c r="Y556" s="597"/>
      <c r="Z556" s="597"/>
    </row>
    <row r="557" spans="1:26" ht="18.75" hidden="1">
      <c r="A557" s="592"/>
      <c r="B557" s="600"/>
      <c r="C557" s="600"/>
      <c r="D557" s="750"/>
      <c r="E557" s="750" t="s">
        <v>19</v>
      </c>
      <c r="F557" s="750"/>
      <c r="G557" s="596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IFERROR(__xludf.DUMMYFUNCTION("IMPORTRANGE(""https://docs.google.com/spreadsheets/d/1QqKyyYR6Q21VydFLVH3TRQUabQu_ym0Zz7PgGX0-kHA/edit?usp=sharing"",""แผน!HF68"")"),0)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597"/>
      <c r="R557" s="597"/>
      <c r="S557" s="597"/>
      <c r="T557" s="597"/>
      <c r="U557" s="597"/>
      <c r="V557" s="597"/>
      <c r="W557" s="597"/>
      <c r="X557" s="597"/>
      <c r="Y557" s="597"/>
      <c r="Z557" s="597"/>
    </row>
    <row r="558" spans="1:26" ht="19.5">
      <c r="A558" s="601"/>
      <c r="B558" s="611"/>
      <c r="C558" s="568" t="s">
        <v>16</v>
      </c>
      <c r="D558" s="839" t="s">
        <v>38</v>
      </c>
      <c r="E558" s="752"/>
      <c r="F558" s="752"/>
      <c r="G558" s="606"/>
      <c r="H558" s="753"/>
      <c r="I558" s="184"/>
      <c r="J558" s="184"/>
      <c r="K558" s="163"/>
      <c r="L558" s="163"/>
      <c r="M558" s="163"/>
      <c r="N558" s="163"/>
      <c r="O558" s="163"/>
      <c r="P558" s="163"/>
      <c r="Q558" s="571"/>
      <c r="R558" s="571"/>
      <c r="S558" s="571"/>
      <c r="T558" s="571"/>
      <c r="U558" s="571"/>
      <c r="V558" s="571"/>
      <c r="W558" s="571"/>
      <c r="X558" s="571"/>
      <c r="Y558" s="571"/>
      <c r="Z558" s="571"/>
    </row>
    <row r="559" spans="1:26" ht="19.5">
      <c r="A559" s="685"/>
      <c r="B559" s="686" t="s">
        <v>234</v>
      </c>
      <c r="C559" s="687"/>
      <c r="D559" s="687"/>
      <c r="E559" s="666"/>
      <c r="F559" s="666"/>
      <c r="G559" s="667"/>
      <c r="H559" s="688" t="s">
        <v>46</v>
      </c>
      <c r="I559" s="699">
        <f t="shared" ref="I559:J559" ca="1" si="245">I576</f>
        <v>36182</v>
      </c>
      <c r="J559" s="699">
        <f t="shared" si="245"/>
        <v>0</v>
      </c>
      <c r="K559" s="670">
        <f t="shared" ref="K559:K561" ca="1" si="246">IF(I559&gt;0,J559*100/I559,0)</f>
        <v>0</v>
      </c>
      <c r="L559" s="671"/>
      <c r="M559" s="671"/>
      <c r="N559" s="671"/>
      <c r="O559" s="671"/>
      <c r="P559" s="671"/>
      <c r="Q559" s="571"/>
      <c r="R559" s="571"/>
      <c r="S559" s="571"/>
      <c r="T559" s="571"/>
      <c r="U559" s="571"/>
      <c r="V559" s="571"/>
      <c r="W559" s="571"/>
      <c r="X559" s="571"/>
      <c r="Y559" s="571"/>
      <c r="Z559" s="571"/>
    </row>
    <row r="560" spans="1:26" ht="19.5">
      <c r="A560" s="601"/>
      <c r="B560" s="611"/>
      <c r="C560" s="618" t="s">
        <v>235</v>
      </c>
      <c r="D560" s="611"/>
      <c r="E560" s="619"/>
      <c r="F560" s="619"/>
      <c r="G560" s="753"/>
      <c r="H560" s="758" t="s">
        <v>46</v>
      </c>
      <c r="I560" s="193">
        <f ca="1">IFERROR(__xludf.DUMMYFUNCTION("IMPORTRANGE(""https://docs.google.com/spreadsheets/d/1QqKyyYR6Q21VydFLVH3TRQUabQu_ym0Zz7PgGX0-kHA/edit?usp=sharing"",""แผน!HH68"")"),36182)</f>
        <v>36182</v>
      </c>
      <c r="J560" s="193">
        <f t="shared" ref="J560:J561" si="247">J562+J564+J566</f>
        <v>0</v>
      </c>
      <c r="K560" s="410">
        <f t="shared" ca="1" si="246"/>
        <v>0</v>
      </c>
      <c r="L560" s="163"/>
      <c r="M560" s="163"/>
      <c r="N560" s="163"/>
      <c r="O560" s="163"/>
      <c r="P560" s="163"/>
      <c r="Q560" s="571"/>
      <c r="R560" s="571"/>
      <c r="S560" s="571"/>
      <c r="T560" s="571"/>
      <c r="U560" s="571"/>
      <c r="V560" s="571"/>
      <c r="W560" s="571"/>
      <c r="X560" s="571"/>
      <c r="Y560" s="571"/>
      <c r="Z560" s="571"/>
    </row>
    <row r="561" spans="1:26" ht="19.5">
      <c r="A561" s="601"/>
      <c r="B561" s="611"/>
      <c r="C561" s="611"/>
      <c r="D561" s="619"/>
      <c r="E561" s="619"/>
      <c r="F561" s="619"/>
      <c r="G561" s="753"/>
      <c r="H561" s="758" t="s">
        <v>34</v>
      </c>
      <c r="I561" s="193">
        <f ca="1">IFERROR(__xludf.DUMMYFUNCTION("IMPORTRANGE(""https://docs.google.com/spreadsheets/d/1QqKyyYR6Q21VydFLVH3TRQUabQu_ym0Zz7PgGX0-kHA/edit?usp=sharing"",""แผน!HG68"")"),3060)</f>
        <v>3060</v>
      </c>
      <c r="J561" s="193">
        <f t="shared" si="247"/>
        <v>0</v>
      </c>
      <c r="K561" s="410">
        <f t="shared" ca="1" si="246"/>
        <v>0</v>
      </c>
      <c r="L561" s="163"/>
      <c r="M561" s="163"/>
      <c r="N561" s="163"/>
      <c r="O561" s="163"/>
      <c r="P561" s="163"/>
      <c r="Q561" s="571"/>
      <c r="R561" s="571"/>
      <c r="S561" s="571"/>
      <c r="T561" s="571"/>
      <c r="U561" s="571"/>
      <c r="V561" s="571"/>
      <c r="W561" s="571"/>
      <c r="X561" s="571"/>
      <c r="Y561" s="571"/>
      <c r="Z561" s="571"/>
    </row>
    <row r="562" spans="1:26" ht="18.75">
      <c r="A562" s="601"/>
      <c r="B562" s="611"/>
      <c r="C562" s="611"/>
      <c r="D562" s="619" t="s">
        <v>236</v>
      </c>
      <c r="E562" s="619"/>
      <c r="F562" s="619"/>
      <c r="G562" s="753"/>
      <c r="H562" s="755" t="s">
        <v>46</v>
      </c>
      <c r="I562" s="184"/>
      <c r="J562" s="214">
        <v>0</v>
      </c>
      <c r="K562" s="163"/>
      <c r="L562" s="163"/>
      <c r="M562" s="163"/>
      <c r="N562" s="163"/>
      <c r="O562" s="163"/>
      <c r="P562" s="163"/>
      <c r="Q562" s="571"/>
      <c r="R562" s="571"/>
      <c r="S562" s="571"/>
      <c r="T562" s="571"/>
      <c r="U562" s="571"/>
      <c r="V562" s="571"/>
      <c r="W562" s="571"/>
      <c r="X562" s="571"/>
      <c r="Y562" s="571"/>
      <c r="Z562" s="571"/>
    </row>
    <row r="563" spans="1:26" ht="18.75">
      <c r="A563" s="601"/>
      <c r="B563" s="611"/>
      <c r="C563" s="611"/>
      <c r="D563" s="611"/>
      <c r="E563" s="619"/>
      <c r="F563" s="619"/>
      <c r="G563" s="753"/>
      <c r="H563" s="755" t="s">
        <v>34</v>
      </c>
      <c r="I563" s="184"/>
      <c r="J563" s="214">
        <v>0</v>
      </c>
      <c r="K563" s="163"/>
      <c r="L563" s="163"/>
      <c r="M563" s="163"/>
      <c r="N563" s="163"/>
      <c r="O563" s="163"/>
      <c r="P563" s="163"/>
      <c r="Q563" s="571"/>
      <c r="R563" s="571"/>
      <c r="S563" s="571"/>
      <c r="T563" s="571"/>
      <c r="U563" s="571"/>
      <c r="V563" s="571"/>
      <c r="W563" s="571"/>
      <c r="X563" s="571"/>
      <c r="Y563" s="571"/>
      <c r="Z563" s="571"/>
    </row>
    <row r="564" spans="1:26" ht="18.75">
      <c r="A564" s="601"/>
      <c r="B564" s="611"/>
      <c r="C564" s="611"/>
      <c r="D564" s="619" t="s">
        <v>237</v>
      </c>
      <c r="E564" s="619"/>
      <c r="F564" s="619"/>
      <c r="G564" s="753"/>
      <c r="H564" s="755" t="s">
        <v>46</v>
      </c>
      <c r="I564" s="184"/>
      <c r="J564" s="214">
        <v>0</v>
      </c>
      <c r="K564" s="163"/>
      <c r="L564" s="163"/>
      <c r="M564" s="163"/>
      <c r="N564" s="163"/>
      <c r="O564" s="163"/>
      <c r="P564" s="163"/>
      <c r="Q564" s="571"/>
      <c r="R564" s="571"/>
      <c r="S564" s="571"/>
      <c r="T564" s="571"/>
      <c r="U564" s="571"/>
      <c r="V564" s="571"/>
      <c r="W564" s="571"/>
      <c r="X564" s="571"/>
      <c r="Y564" s="571"/>
      <c r="Z564" s="571"/>
    </row>
    <row r="565" spans="1:26" ht="18.75">
      <c r="A565" s="601"/>
      <c r="B565" s="611"/>
      <c r="C565" s="611"/>
      <c r="D565" s="619"/>
      <c r="E565" s="619"/>
      <c r="F565" s="619"/>
      <c r="G565" s="753"/>
      <c r="H565" s="755" t="s">
        <v>34</v>
      </c>
      <c r="I565" s="184"/>
      <c r="J565" s="214">
        <v>0</v>
      </c>
      <c r="K565" s="163"/>
      <c r="L565" s="163"/>
      <c r="M565" s="163"/>
      <c r="N565" s="163"/>
      <c r="O565" s="163"/>
      <c r="P565" s="163"/>
      <c r="Q565" s="571"/>
      <c r="R565" s="571"/>
      <c r="S565" s="571"/>
      <c r="T565" s="571"/>
      <c r="U565" s="571"/>
      <c r="V565" s="571"/>
      <c r="W565" s="571"/>
      <c r="X565" s="571"/>
      <c r="Y565" s="571"/>
      <c r="Z565" s="571"/>
    </row>
    <row r="566" spans="1:26" ht="18.75">
      <c r="A566" s="601"/>
      <c r="B566" s="611"/>
      <c r="C566" s="611"/>
      <c r="D566" s="619" t="s">
        <v>238</v>
      </c>
      <c r="E566" s="619"/>
      <c r="F566" s="619"/>
      <c r="G566" s="753"/>
      <c r="H566" s="755" t="s">
        <v>46</v>
      </c>
      <c r="I566" s="184"/>
      <c r="J566" s="214">
        <v>0</v>
      </c>
      <c r="K566" s="163"/>
      <c r="L566" s="163"/>
      <c r="M566" s="163"/>
      <c r="N566" s="163"/>
      <c r="O566" s="163"/>
      <c r="P566" s="163"/>
      <c r="Q566" s="571"/>
      <c r="R566" s="571"/>
      <c r="S566" s="571"/>
      <c r="T566" s="571"/>
      <c r="U566" s="571"/>
      <c r="V566" s="571"/>
      <c r="W566" s="571"/>
      <c r="X566" s="571"/>
      <c r="Y566" s="571"/>
      <c r="Z566" s="571"/>
    </row>
    <row r="567" spans="1:26" ht="18.75">
      <c r="A567" s="601"/>
      <c r="B567" s="611"/>
      <c r="C567" s="611"/>
      <c r="D567" s="619"/>
      <c r="E567" s="619"/>
      <c r="F567" s="619"/>
      <c r="G567" s="753"/>
      <c r="H567" s="755" t="s">
        <v>34</v>
      </c>
      <c r="I567" s="184"/>
      <c r="J567" s="214">
        <v>0</v>
      </c>
      <c r="K567" s="163"/>
      <c r="L567" s="163"/>
      <c r="M567" s="163"/>
      <c r="N567" s="163"/>
      <c r="O567" s="163"/>
      <c r="P567" s="163"/>
      <c r="Q567" s="571"/>
      <c r="R567" s="571"/>
      <c r="S567" s="571"/>
      <c r="T567" s="571"/>
      <c r="U567" s="571"/>
      <c r="V567" s="571"/>
      <c r="W567" s="571"/>
      <c r="X567" s="571"/>
      <c r="Y567" s="571"/>
      <c r="Z567" s="571"/>
    </row>
    <row r="568" spans="1:26" ht="19.5">
      <c r="A568" s="601"/>
      <c r="B568" s="611"/>
      <c r="C568" s="618" t="s">
        <v>239</v>
      </c>
      <c r="D568" s="619"/>
      <c r="E568" s="619"/>
      <c r="F568" s="619"/>
      <c r="G568" s="753"/>
      <c r="H568" s="758" t="s">
        <v>46</v>
      </c>
      <c r="I568" s="193">
        <f ca="1">IFERROR(__xludf.DUMMYFUNCTION("IMPORTRANGE(""https://docs.google.com/spreadsheets/d/1QqKyyYR6Q21VydFLVH3TRQUabQu_ym0Zz7PgGX0-kHA/edit?usp=sharing"",""แผน!HH68"")"),36182)</f>
        <v>36182</v>
      </c>
      <c r="J568" s="674">
        <f t="shared" ref="J568:J569" si="248">J570+J572+J574</f>
        <v>0</v>
      </c>
      <c r="K568" s="410">
        <f t="shared" ref="K568:K569" ca="1" si="249">IF(I568&gt;0,J568*100/I568,0)</f>
        <v>0</v>
      </c>
      <c r="L568" s="163"/>
      <c r="M568" s="163"/>
      <c r="N568" s="163"/>
      <c r="O568" s="163"/>
      <c r="P568" s="163"/>
      <c r="Q568" s="571"/>
      <c r="R568" s="571"/>
      <c r="S568" s="571"/>
      <c r="T568" s="571"/>
      <c r="U568" s="571"/>
      <c r="V568" s="571"/>
      <c r="W568" s="571"/>
      <c r="X568" s="571"/>
      <c r="Y568" s="571"/>
      <c r="Z568" s="571"/>
    </row>
    <row r="569" spans="1:26" ht="19.5">
      <c r="A569" s="601"/>
      <c r="B569" s="611"/>
      <c r="C569" s="611"/>
      <c r="D569" s="611"/>
      <c r="E569" s="619"/>
      <c r="F569" s="619"/>
      <c r="G569" s="753"/>
      <c r="H569" s="758" t="s">
        <v>34</v>
      </c>
      <c r="I569" s="193">
        <f ca="1">IFERROR(__xludf.DUMMYFUNCTION("IMPORTRANGE(""https://docs.google.com/spreadsheets/d/1QqKyyYR6Q21VydFLVH3TRQUabQu_ym0Zz7PgGX0-kHA/edit?usp=sharing"",""แผน!HG68"")"),3060)</f>
        <v>3060</v>
      </c>
      <c r="J569" s="674">
        <f t="shared" si="248"/>
        <v>0</v>
      </c>
      <c r="K569" s="410">
        <f t="shared" ca="1" si="249"/>
        <v>0</v>
      </c>
      <c r="L569" s="163"/>
      <c r="M569" s="163"/>
      <c r="N569" s="163"/>
      <c r="O569" s="163"/>
      <c r="P569" s="163"/>
      <c r="Q569" s="571"/>
      <c r="R569" s="571"/>
      <c r="S569" s="571"/>
      <c r="T569" s="571"/>
      <c r="U569" s="571"/>
      <c r="V569" s="571"/>
      <c r="W569" s="571"/>
      <c r="X569" s="571"/>
      <c r="Y569" s="571"/>
      <c r="Z569" s="571"/>
    </row>
    <row r="570" spans="1:26" ht="18.75">
      <c r="A570" s="601"/>
      <c r="B570" s="611"/>
      <c r="C570" s="611"/>
      <c r="D570" s="619" t="s">
        <v>240</v>
      </c>
      <c r="E570" s="611"/>
      <c r="F570" s="619"/>
      <c r="G570" s="753"/>
      <c r="H570" s="755" t="s">
        <v>46</v>
      </c>
      <c r="I570" s="184"/>
      <c r="J570" s="214">
        <v>0</v>
      </c>
      <c r="K570" s="163"/>
      <c r="L570" s="163"/>
      <c r="M570" s="163"/>
      <c r="N570" s="163"/>
      <c r="O570" s="163"/>
      <c r="P570" s="163"/>
      <c r="Q570" s="571"/>
      <c r="R570" s="571"/>
      <c r="S570" s="571"/>
      <c r="T570" s="571"/>
      <c r="U570" s="571"/>
      <c r="V570" s="571"/>
      <c r="W570" s="571"/>
      <c r="X570" s="571"/>
      <c r="Y570" s="571"/>
      <c r="Z570" s="571"/>
    </row>
    <row r="571" spans="1:26" ht="18.75">
      <c r="A571" s="601"/>
      <c r="B571" s="611"/>
      <c r="C571" s="611"/>
      <c r="D571" s="611"/>
      <c r="E571" s="619"/>
      <c r="F571" s="619"/>
      <c r="G571" s="753"/>
      <c r="H571" s="755" t="s">
        <v>34</v>
      </c>
      <c r="I571" s="184"/>
      <c r="J571" s="214">
        <v>0</v>
      </c>
      <c r="K571" s="163"/>
      <c r="L571" s="163"/>
      <c r="M571" s="163"/>
      <c r="N571" s="163"/>
      <c r="O571" s="163"/>
      <c r="P571" s="163"/>
      <c r="Q571" s="571"/>
      <c r="R571" s="571"/>
      <c r="S571" s="571"/>
      <c r="T571" s="571"/>
      <c r="U571" s="571"/>
      <c r="V571" s="571"/>
      <c r="W571" s="571"/>
      <c r="X571" s="571"/>
      <c r="Y571" s="571"/>
      <c r="Z571" s="571"/>
    </row>
    <row r="572" spans="1:26" ht="18.75">
      <c r="A572" s="601"/>
      <c r="B572" s="611"/>
      <c r="C572" s="611"/>
      <c r="D572" s="619" t="s">
        <v>241</v>
      </c>
      <c r="E572" s="619"/>
      <c r="F572" s="619"/>
      <c r="G572" s="753"/>
      <c r="H572" s="755" t="s">
        <v>46</v>
      </c>
      <c r="I572" s="184"/>
      <c r="J572" s="214">
        <v>0</v>
      </c>
      <c r="K572" s="163"/>
      <c r="L572" s="163"/>
      <c r="M572" s="163"/>
      <c r="N572" s="163"/>
      <c r="O572" s="163"/>
      <c r="P572" s="163"/>
      <c r="Q572" s="571"/>
      <c r="R572" s="571"/>
      <c r="S572" s="571"/>
      <c r="T572" s="571"/>
      <c r="U572" s="571"/>
      <c r="V572" s="571"/>
      <c r="W572" s="571"/>
      <c r="X572" s="571"/>
      <c r="Y572" s="571"/>
      <c r="Z572" s="571"/>
    </row>
    <row r="573" spans="1:26" ht="18.75">
      <c r="A573" s="601"/>
      <c r="B573" s="611"/>
      <c r="C573" s="611"/>
      <c r="D573" s="619"/>
      <c r="E573" s="619"/>
      <c r="F573" s="619"/>
      <c r="G573" s="753"/>
      <c r="H573" s="755" t="s">
        <v>34</v>
      </c>
      <c r="I573" s="184"/>
      <c r="J573" s="214">
        <v>0</v>
      </c>
      <c r="K573" s="163"/>
      <c r="L573" s="163"/>
      <c r="M573" s="163"/>
      <c r="N573" s="163"/>
      <c r="O573" s="163"/>
      <c r="P573" s="163"/>
      <c r="Q573" s="571"/>
      <c r="R573" s="571"/>
      <c r="S573" s="571"/>
      <c r="T573" s="571"/>
      <c r="U573" s="571"/>
      <c r="V573" s="571"/>
      <c r="W573" s="571"/>
      <c r="X573" s="571"/>
      <c r="Y573" s="571"/>
      <c r="Z573" s="571"/>
    </row>
    <row r="574" spans="1:26" ht="18.75">
      <c r="A574" s="601"/>
      <c r="B574" s="611"/>
      <c r="C574" s="611"/>
      <c r="D574" s="619" t="s">
        <v>242</v>
      </c>
      <c r="E574" s="619"/>
      <c r="F574" s="619"/>
      <c r="G574" s="753"/>
      <c r="H574" s="755" t="s">
        <v>46</v>
      </c>
      <c r="I574" s="184"/>
      <c r="J574" s="214">
        <v>0</v>
      </c>
      <c r="K574" s="163"/>
      <c r="L574" s="163"/>
      <c r="M574" s="163"/>
      <c r="N574" s="163"/>
      <c r="O574" s="163"/>
      <c r="P574" s="163"/>
      <c r="Q574" s="571"/>
      <c r="R574" s="571"/>
      <c r="S574" s="571"/>
      <c r="T574" s="571"/>
      <c r="U574" s="571"/>
      <c r="V574" s="571"/>
      <c r="W574" s="571"/>
      <c r="X574" s="571"/>
      <c r="Y574" s="571"/>
      <c r="Z574" s="571"/>
    </row>
    <row r="575" spans="1:26" ht="18.75">
      <c r="A575" s="601"/>
      <c r="B575" s="611"/>
      <c r="C575" s="611"/>
      <c r="D575" s="611"/>
      <c r="E575" s="619"/>
      <c r="F575" s="619"/>
      <c r="G575" s="753"/>
      <c r="H575" s="755" t="s">
        <v>34</v>
      </c>
      <c r="I575" s="184"/>
      <c r="J575" s="214">
        <v>0</v>
      </c>
      <c r="K575" s="163"/>
      <c r="L575" s="163"/>
      <c r="M575" s="163"/>
      <c r="N575" s="163"/>
      <c r="O575" s="163"/>
      <c r="P575" s="163"/>
      <c r="Q575" s="571"/>
      <c r="R575" s="571"/>
      <c r="S575" s="571"/>
      <c r="T575" s="571"/>
      <c r="U575" s="571"/>
      <c r="V575" s="571"/>
      <c r="W575" s="571"/>
      <c r="X575" s="571"/>
      <c r="Y575" s="571"/>
      <c r="Z575" s="571"/>
    </row>
    <row r="576" spans="1:26" ht="19.5">
      <c r="A576" s="601"/>
      <c r="B576" s="611"/>
      <c r="C576" s="618" t="s">
        <v>243</v>
      </c>
      <c r="D576" s="611"/>
      <c r="E576" s="611"/>
      <c r="F576" s="619"/>
      <c r="G576" s="753"/>
      <c r="H576" s="758" t="s">
        <v>46</v>
      </c>
      <c r="I576" s="193">
        <f ca="1">IFERROR(__xludf.DUMMYFUNCTION("IMPORTRANGE(""https://docs.google.com/spreadsheets/d/1QqKyyYR6Q21VydFLVH3TRQUabQu_ym0Zz7PgGX0-kHA/edit?usp=sharing"",""แผน!HH68"")"),36182)</f>
        <v>36182</v>
      </c>
      <c r="J576" s="674">
        <f t="shared" ref="J576:J577" si="250">J578+J580+J582+J588+J590</f>
        <v>0</v>
      </c>
      <c r="K576" s="410">
        <f t="shared" ref="K576:K577" ca="1" si="251">IF(I576&gt;0,J576*100/I576,0)</f>
        <v>0</v>
      </c>
      <c r="L576" s="163"/>
      <c r="M576" s="163"/>
      <c r="N576" s="163"/>
      <c r="O576" s="163"/>
      <c r="P576" s="163"/>
      <c r="Q576" s="571"/>
      <c r="R576" s="571"/>
      <c r="S576" s="571"/>
      <c r="T576" s="571"/>
      <c r="U576" s="571"/>
      <c r="V576" s="571"/>
      <c r="W576" s="571"/>
      <c r="X576" s="571"/>
      <c r="Y576" s="571"/>
      <c r="Z576" s="571"/>
    </row>
    <row r="577" spans="1:26" ht="19.5">
      <c r="A577" s="601"/>
      <c r="B577" s="611"/>
      <c r="C577" s="611"/>
      <c r="D577" s="611"/>
      <c r="E577" s="619"/>
      <c r="F577" s="619"/>
      <c r="G577" s="753"/>
      <c r="H577" s="758" t="s">
        <v>34</v>
      </c>
      <c r="I577" s="193">
        <f ca="1">IFERROR(__xludf.DUMMYFUNCTION("IMPORTRANGE(""https://docs.google.com/spreadsheets/d/1QqKyyYR6Q21VydFLVH3TRQUabQu_ym0Zz7PgGX0-kHA/edit?usp=sharing"",""แผน!HG68"")"),3060)</f>
        <v>3060</v>
      </c>
      <c r="J577" s="674">
        <f t="shared" si="250"/>
        <v>0</v>
      </c>
      <c r="K577" s="410">
        <f t="shared" ca="1" si="251"/>
        <v>0</v>
      </c>
      <c r="L577" s="163"/>
      <c r="M577" s="163"/>
      <c r="N577" s="163"/>
      <c r="O577" s="163"/>
      <c r="P577" s="163"/>
      <c r="Q577" s="571"/>
      <c r="R577" s="571"/>
      <c r="S577" s="571"/>
      <c r="T577" s="571"/>
      <c r="U577" s="571"/>
      <c r="V577" s="571"/>
      <c r="W577" s="571"/>
      <c r="X577" s="571"/>
      <c r="Y577" s="571"/>
      <c r="Z577" s="571"/>
    </row>
    <row r="578" spans="1:26" ht="18.75">
      <c r="A578" s="601"/>
      <c r="B578" s="611"/>
      <c r="C578" s="611"/>
      <c r="D578" s="619" t="s">
        <v>244</v>
      </c>
      <c r="E578" s="619"/>
      <c r="F578" s="619"/>
      <c r="G578" s="753"/>
      <c r="H578" s="755" t="s">
        <v>46</v>
      </c>
      <c r="I578" s="184"/>
      <c r="J578" s="214">
        <v>0</v>
      </c>
      <c r="K578" s="163"/>
      <c r="L578" s="163"/>
      <c r="M578" s="163"/>
      <c r="N578" s="163"/>
      <c r="O578" s="163"/>
      <c r="P578" s="163"/>
      <c r="Q578" s="571"/>
      <c r="R578" s="571"/>
      <c r="S578" s="571"/>
      <c r="T578" s="571"/>
      <c r="U578" s="571"/>
      <c r="V578" s="571"/>
      <c r="W578" s="571"/>
      <c r="X578" s="571"/>
      <c r="Y578" s="571"/>
      <c r="Z578" s="571"/>
    </row>
    <row r="579" spans="1:26" ht="18.75">
      <c r="A579" s="601"/>
      <c r="B579" s="611"/>
      <c r="C579" s="611"/>
      <c r="D579" s="611"/>
      <c r="E579" s="619"/>
      <c r="F579" s="619"/>
      <c r="G579" s="753"/>
      <c r="H579" s="755" t="s">
        <v>34</v>
      </c>
      <c r="I579" s="184"/>
      <c r="J579" s="214">
        <v>0</v>
      </c>
      <c r="K579" s="163"/>
      <c r="L579" s="163"/>
      <c r="M579" s="163"/>
      <c r="N579" s="163"/>
      <c r="O579" s="163"/>
      <c r="P579" s="163"/>
      <c r="Q579" s="571"/>
      <c r="R579" s="571"/>
      <c r="S579" s="571"/>
      <c r="T579" s="571"/>
      <c r="U579" s="571"/>
      <c r="V579" s="571"/>
      <c r="W579" s="571"/>
      <c r="X579" s="571"/>
      <c r="Y579" s="571"/>
      <c r="Z579" s="571"/>
    </row>
    <row r="580" spans="1:26" ht="18.75">
      <c r="A580" s="601"/>
      <c r="B580" s="611"/>
      <c r="C580" s="611"/>
      <c r="D580" s="619" t="s">
        <v>245</v>
      </c>
      <c r="E580" s="619"/>
      <c r="F580" s="619"/>
      <c r="G580" s="753"/>
      <c r="H580" s="755" t="s">
        <v>46</v>
      </c>
      <c r="I580" s="184"/>
      <c r="J580" s="214">
        <v>0</v>
      </c>
      <c r="K580" s="163"/>
      <c r="L580" s="163"/>
      <c r="M580" s="163"/>
      <c r="N580" s="163"/>
      <c r="O580" s="163"/>
      <c r="P580" s="163"/>
      <c r="Q580" s="571"/>
      <c r="R580" s="571"/>
      <c r="S580" s="571"/>
      <c r="T580" s="571"/>
      <c r="U580" s="571"/>
      <c r="V580" s="571"/>
      <c r="W580" s="571"/>
      <c r="X580" s="571"/>
      <c r="Y580" s="571"/>
      <c r="Z580" s="571"/>
    </row>
    <row r="581" spans="1:26" ht="18.75">
      <c r="A581" s="601"/>
      <c r="B581" s="611"/>
      <c r="C581" s="611"/>
      <c r="D581" s="611"/>
      <c r="E581" s="619"/>
      <c r="F581" s="619"/>
      <c r="G581" s="753"/>
      <c r="H581" s="755" t="s">
        <v>34</v>
      </c>
      <c r="I581" s="184"/>
      <c r="J581" s="214">
        <v>0</v>
      </c>
      <c r="K581" s="163"/>
      <c r="L581" s="163"/>
      <c r="M581" s="163"/>
      <c r="N581" s="163"/>
      <c r="O581" s="163"/>
      <c r="P581" s="163"/>
      <c r="Q581" s="571"/>
      <c r="R581" s="571"/>
      <c r="S581" s="571"/>
      <c r="T581" s="571"/>
      <c r="U581" s="571"/>
      <c r="V581" s="571"/>
      <c r="W581" s="571"/>
      <c r="X581" s="571"/>
      <c r="Y581" s="571"/>
      <c r="Z581" s="571"/>
    </row>
    <row r="582" spans="1:26" ht="19.5">
      <c r="A582" s="601"/>
      <c r="B582" s="611"/>
      <c r="C582" s="611"/>
      <c r="D582" s="619" t="s">
        <v>246</v>
      </c>
      <c r="E582" s="619"/>
      <c r="F582" s="619"/>
      <c r="G582" s="753"/>
      <c r="H582" s="755" t="s">
        <v>46</v>
      </c>
      <c r="I582" s="184"/>
      <c r="J582" s="674">
        <f t="shared" ref="J582:J583" si="252">J584+J586</f>
        <v>0</v>
      </c>
      <c r="K582" s="410"/>
      <c r="L582" s="163"/>
      <c r="M582" s="163"/>
      <c r="N582" s="163"/>
      <c r="O582" s="163"/>
      <c r="P582" s="163"/>
      <c r="Q582" s="571"/>
      <c r="R582" s="571"/>
      <c r="S582" s="571"/>
      <c r="T582" s="571"/>
      <c r="U582" s="571"/>
      <c r="V582" s="571"/>
      <c r="W582" s="571"/>
      <c r="X582" s="571"/>
      <c r="Y582" s="571"/>
      <c r="Z582" s="571"/>
    </row>
    <row r="583" spans="1:26" ht="19.5">
      <c r="A583" s="601"/>
      <c r="B583" s="611"/>
      <c r="C583" s="611"/>
      <c r="D583" s="611"/>
      <c r="E583" s="619"/>
      <c r="F583" s="619"/>
      <c r="G583" s="753"/>
      <c r="H583" s="755" t="s">
        <v>34</v>
      </c>
      <c r="I583" s="184"/>
      <c r="J583" s="674">
        <f t="shared" si="252"/>
        <v>0</v>
      </c>
      <c r="K583" s="410"/>
      <c r="L583" s="163"/>
      <c r="M583" s="163"/>
      <c r="N583" s="163"/>
      <c r="O583" s="163"/>
      <c r="P583" s="163"/>
      <c r="Q583" s="571"/>
      <c r="R583" s="571"/>
      <c r="S583" s="571"/>
      <c r="T583" s="571"/>
      <c r="U583" s="571"/>
      <c r="V583" s="571"/>
      <c r="W583" s="571"/>
      <c r="X583" s="571"/>
      <c r="Y583" s="571"/>
      <c r="Z583" s="571"/>
    </row>
    <row r="584" spans="1:26" ht="18.75">
      <c r="A584" s="601"/>
      <c r="B584" s="611"/>
      <c r="C584" s="611"/>
      <c r="D584" s="611"/>
      <c r="E584" s="619" t="s">
        <v>247</v>
      </c>
      <c r="F584" s="619"/>
      <c r="G584" s="753"/>
      <c r="H584" s="755" t="s">
        <v>46</v>
      </c>
      <c r="I584" s="184"/>
      <c r="J584" s="214">
        <v>0</v>
      </c>
      <c r="K584" s="163"/>
      <c r="L584" s="163"/>
      <c r="M584" s="163"/>
      <c r="N584" s="163"/>
      <c r="O584" s="163"/>
      <c r="P584" s="163"/>
      <c r="Q584" s="571"/>
      <c r="R584" s="571"/>
      <c r="S584" s="571"/>
      <c r="T584" s="571"/>
      <c r="U584" s="571"/>
      <c r="V584" s="571"/>
      <c r="W584" s="571"/>
      <c r="X584" s="571"/>
      <c r="Y584" s="571"/>
      <c r="Z584" s="571"/>
    </row>
    <row r="585" spans="1:26" ht="18.75">
      <c r="A585" s="601"/>
      <c r="B585" s="611"/>
      <c r="C585" s="611"/>
      <c r="D585" s="611"/>
      <c r="E585" s="619"/>
      <c r="F585" s="619"/>
      <c r="G585" s="753"/>
      <c r="H585" s="755" t="s">
        <v>34</v>
      </c>
      <c r="I585" s="184"/>
      <c r="J585" s="214">
        <v>0</v>
      </c>
      <c r="K585" s="163"/>
      <c r="L585" s="163"/>
      <c r="M585" s="163"/>
      <c r="N585" s="163"/>
      <c r="O585" s="163"/>
      <c r="P585" s="163"/>
      <c r="Q585" s="571"/>
      <c r="R585" s="571"/>
      <c r="S585" s="571"/>
      <c r="T585" s="571"/>
      <c r="U585" s="571"/>
      <c r="V585" s="571"/>
      <c r="W585" s="571"/>
      <c r="X585" s="571"/>
      <c r="Y585" s="571"/>
      <c r="Z585" s="571"/>
    </row>
    <row r="586" spans="1:26" ht="18.75">
      <c r="A586" s="601"/>
      <c r="B586" s="611"/>
      <c r="C586" s="611"/>
      <c r="D586" s="611"/>
      <c r="E586" s="619" t="s">
        <v>248</v>
      </c>
      <c r="F586" s="619"/>
      <c r="G586" s="753"/>
      <c r="H586" s="755" t="s">
        <v>46</v>
      </c>
      <c r="I586" s="184"/>
      <c r="J586" s="214">
        <v>0</v>
      </c>
      <c r="K586" s="163"/>
      <c r="L586" s="163"/>
      <c r="M586" s="163"/>
      <c r="N586" s="163"/>
      <c r="O586" s="163"/>
      <c r="P586" s="163"/>
      <c r="Q586" s="571"/>
      <c r="R586" s="571"/>
      <c r="S586" s="571"/>
      <c r="T586" s="571"/>
      <c r="U586" s="571"/>
      <c r="V586" s="571"/>
      <c r="W586" s="571"/>
      <c r="X586" s="571"/>
      <c r="Y586" s="571"/>
      <c r="Z586" s="571"/>
    </row>
    <row r="587" spans="1:26" ht="18.75">
      <c r="A587" s="601"/>
      <c r="B587" s="611"/>
      <c r="C587" s="611"/>
      <c r="D587" s="611"/>
      <c r="E587" s="611"/>
      <c r="F587" s="619"/>
      <c r="G587" s="753"/>
      <c r="H587" s="755" t="s">
        <v>34</v>
      </c>
      <c r="I587" s="184"/>
      <c r="J587" s="214">
        <v>0</v>
      </c>
      <c r="K587" s="163"/>
      <c r="L587" s="163"/>
      <c r="M587" s="163"/>
      <c r="N587" s="163"/>
      <c r="O587" s="163"/>
      <c r="P587" s="163"/>
      <c r="Q587" s="571"/>
      <c r="R587" s="571"/>
      <c r="S587" s="571"/>
      <c r="T587" s="571"/>
      <c r="U587" s="571"/>
      <c r="V587" s="571"/>
      <c r="W587" s="571"/>
      <c r="X587" s="571"/>
      <c r="Y587" s="571"/>
      <c r="Z587" s="571"/>
    </row>
    <row r="588" spans="1:26" ht="18.75">
      <c r="A588" s="601"/>
      <c r="B588" s="611"/>
      <c r="C588" s="611"/>
      <c r="D588" s="619" t="s">
        <v>249</v>
      </c>
      <c r="E588" s="619"/>
      <c r="F588" s="619"/>
      <c r="G588" s="753"/>
      <c r="H588" s="755" t="s">
        <v>46</v>
      </c>
      <c r="I588" s="184"/>
      <c r="J588" s="214">
        <v>0</v>
      </c>
      <c r="K588" s="163"/>
      <c r="L588" s="163"/>
      <c r="M588" s="163"/>
      <c r="N588" s="163"/>
      <c r="O588" s="163"/>
      <c r="P588" s="163"/>
      <c r="Q588" s="571"/>
      <c r="R588" s="571"/>
      <c r="S588" s="571"/>
      <c r="T588" s="571"/>
      <c r="U588" s="571"/>
      <c r="V588" s="571"/>
      <c r="W588" s="571"/>
      <c r="X588" s="571"/>
      <c r="Y588" s="571"/>
      <c r="Z588" s="571"/>
    </row>
    <row r="589" spans="1:26" ht="18.75">
      <c r="A589" s="601"/>
      <c r="B589" s="611"/>
      <c r="C589" s="611"/>
      <c r="D589" s="611"/>
      <c r="E589" s="611"/>
      <c r="F589" s="619"/>
      <c r="G589" s="753"/>
      <c r="H589" s="755" t="s">
        <v>34</v>
      </c>
      <c r="I589" s="184"/>
      <c r="J589" s="214">
        <v>0</v>
      </c>
      <c r="K589" s="163"/>
      <c r="L589" s="163"/>
      <c r="M589" s="163"/>
      <c r="N589" s="163"/>
      <c r="O589" s="163"/>
      <c r="P589" s="163"/>
      <c r="Q589" s="571"/>
      <c r="R589" s="571"/>
      <c r="S589" s="571"/>
      <c r="T589" s="571"/>
      <c r="U589" s="571"/>
      <c r="V589" s="571"/>
      <c r="W589" s="571"/>
      <c r="X589" s="571"/>
      <c r="Y589" s="571"/>
      <c r="Z589" s="571"/>
    </row>
    <row r="590" spans="1:26" ht="18.75">
      <c r="A590" s="601"/>
      <c r="B590" s="611"/>
      <c r="C590" s="611"/>
      <c r="D590" s="619" t="s">
        <v>250</v>
      </c>
      <c r="E590" s="619"/>
      <c r="F590" s="619"/>
      <c r="G590" s="753"/>
      <c r="H590" s="755" t="s">
        <v>46</v>
      </c>
      <c r="I590" s="184"/>
      <c r="J590" s="214">
        <v>0</v>
      </c>
      <c r="K590" s="163"/>
      <c r="L590" s="163"/>
      <c r="M590" s="163"/>
      <c r="N590" s="163"/>
      <c r="O590" s="163"/>
      <c r="P590" s="163"/>
      <c r="Q590" s="571"/>
      <c r="R590" s="571"/>
      <c r="S590" s="571"/>
      <c r="T590" s="571"/>
      <c r="U590" s="571"/>
      <c r="V590" s="571"/>
      <c r="W590" s="571"/>
      <c r="X590" s="571"/>
      <c r="Y590" s="571"/>
      <c r="Z590" s="571"/>
    </row>
    <row r="591" spans="1:26" ht="18.75">
      <c r="A591" s="689"/>
      <c r="B591" s="690"/>
      <c r="C591" s="690"/>
      <c r="D591" s="690"/>
      <c r="E591" s="571"/>
      <c r="F591" s="571"/>
      <c r="G591" s="691"/>
      <c r="H591" s="692" t="s">
        <v>34</v>
      </c>
      <c r="I591" s="693"/>
      <c r="J591" s="694">
        <v>0</v>
      </c>
      <c r="K591" s="695"/>
      <c r="L591" s="695"/>
      <c r="M591" s="695"/>
      <c r="N591" s="695"/>
      <c r="O591" s="695"/>
      <c r="P591" s="695"/>
      <c r="Q591" s="571"/>
      <c r="R591" s="571"/>
      <c r="S591" s="571"/>
      <c r="T591" s="571"/>
      <c r="U591" s="571"/>
      <c r="V591" s="571"/>
      <c r="W591" s="571"/>
      <c r="X591" s="571"/>
      <c r="Y591" s="571"/>
      <c r="Z591" s="571"/>
    </row>
    <row r="592" spans="1:26" ht="19.5" hidden="1">
      <c r="A592" s="685"/>
      <c r="B592" s="686" t="s">
        <v>251</v>
      </c>
      <c r="C592" s="687"/>
      <c r="D592" s="687"/>
      <c r="E592" s="666"/>
      <c r="F592" s="666"/>
      <c r="G592" s="667"/>
      <c r="H592" s="688" t="s">
        <v>46</v>
      </c>
      <c r="I592" s="699">
        <f t="shared" ref="I592:J592" ca="1" si="253">I593</f>
        <v>0</v>
      </c>
      <c r="J592" s="699">
        <f t="shared" si="253"/>
        <v>0</v>
      </c>
      <c r="K592" s="670">
        <f t="shared" ref="K592:K594" ca="1" si="254">IF(I592&gt;0,J592*100/I592,0)</f>
        <v>0</v>
      </c>
      <c r="L592" s="671"/>
      <c r="M592" s="671"/>
      <c r="N592" s="671"/>
      <c r="O592" s="671"/>
      <c r="P592" s="671"/>
      <c r="Q592" s="571"/>
      <c r="R592" s="571"/>
      <c r="S592" s="571"/>
      <c r="T592" s="571"/>
      <c r="U592" s="571"/>
      <c r="V592" s="571"/>
      <c r="W592" s="571"/>
      <c r="X592" s="571"/>
      <c r="Y592" s="571"/>
      <c r="Z592" s="571"/>
    </row>
    <row r="593" spans="1:26" ht="19.5" hidden="1">
      <c r="A593" s="601"/>
      <c r="B593" s="611"/>
      <c r="C593" s="618" t="s">
        <v>252</v>
      </c>
      <c r="D593" s="611"/>
      <c r="E593" s="611"/>
      <c r="F593" s="619"/>
      <c r="G593" s="753"/>
      <c r="H593" s="758" t="s">
        <v>46</v>
      </c>
      <c r="I593" s="193">
        <f ca="1">IFERROR(__xludf.DUMMYFUNCTION("IMPORTRANGE(""https://docs.google.com/spreadsheets/d/1QqKyyYR6Q21VydFLVH3TRQUabQu_ym0Zz7PgGX0-kHA/edit?usp=sharing"",""แผน!HJ68"")"),0)</f>
        <v>0</v>
      </c>
      <c r="J593" s="193">
        <f t="shared" ref="J593:J594" si="255">J595+J603+J609</f>
        <v>0</v>
      </c>
      <c r="K593" s="410">
        <f t="shared" ca="1" si="254"/>
        <v>0</v>
      </c>
      <c r="L593" s="163"/>
      <c r="M593" s="163"/>
      <c r="N593" s="163"/>
      <c r="O593" s="163"/>
      <c r="P593" s="163"/>
      <c r="Q593" s="571"/>
      <c r="R593" s="571"/>
      <c r="S593" s="571"/>
      <c r="T593" s="571"/>
      <c r="U593" s="571"/>
      <c r="V593" s="571"/>
      <c r="W593" s="571"/>
      <c r="X593" s="571"/>
      <c r="Y593" s="571"/>
      <c r="Z593" s="571"/>
    </row>
    <row r="594" spans="1:26" ht="19.5" hidden="1">
      <c r="A594" s="601"/>
      <c r="B594" s="611"/>
      <c r="C594" s="611"/>
      <c r="D594" s="611"/>
      <c r="E594" s="619"/>
      <c r="F594" s="619"/>
      <c r="G594" s="753"/>
      <c r="H594" s="758" t="s">
        <v>34</v>
      </c>
      <c r="I594" s="193">
        <f ca="1">IFERROR(__xludf.DUMMYFUNCTION("IMPORTRANGE(""https://docs.google.com/spreadsheets/d/1QqKyyYR6Q21VydFLVH3TRQUabQu_ym0Zz7PgGX0-kHA/edit?usp=sharing"",""แผน!HI68"")"),0)</f>
        <v>0</v>
      </c>
      <c r="J594" s="193">
        <f t="shared" si="255"/>
        <v>0</v>
      </c>
      <c r="K594" s="410">
        <f t="shared" ca="1" si="254"/>
        <v>0</v>
      </c>
      <c r="L594" s="163"/>
      <c r="M594" s="163"/>
      <c r="N594" s="163"/>
      <c r="O594" s="163"/>
      <c r="P594" s="163"/>
      <c r="Q594" s="571"/>
      <c r="R594" s="571"/>
      <c r="S594" s="571"/>
      <c r="T594" s="571"/>
      <c r="U594" s="571"/>
      <c r="V594" s="571"/>
      <c r="W594" s="571"/>
      <c r="X594" s="571"/>
      <c r="Y594" s="571"/>
      <c r="Z594" s="571"/>
    </row>
    <row r="595" spans="1:26" ht="18.75" hidden="1">
      <c r="A595" s="601"/>
      <c r="B595" s="611"/>
      <c r="C595" s="611" t="s">
        <v>253</v>
      </c>
      <c r="D595" s="611"/>
      <c r="E595" s="611"/>
      <c r="F595" s="619"/>
      <c r="G595" s="753"/>
      <c r="H595" s="755" t="s">
        <v>46</v>
      </c>
      <c r="I595" s="184"/>
      <c r="J595" s="184">
        <f t="shared" ref="J595:J596" si="256">J597+J599</f>
        <v>0</v>
      </c>
      <c r="K595" s="163"/>
      <c r="L595" s="163"/>
      <c r="M595" s="163"/>
      <c r="N595" s="163"/>
      <c r="O595" s="163"/>
      <c r="P595" s="163"/>
      <c r="Q595" s="571"/>
      <c r="R595" s="571"/>
      <c r="S595" s="571"/>
      <c r="T595" s="571"/>
      <c r="U595" s="571"/>
      <c r="V595" s="571"/>
      <c r="W595" s="571"/>
      <c r="X595" s="571"/>
      <c r="Y595" s="571"/>
      <c r="Z595" s="571"/>
    </row>
    <row r="596" spans="1:26" ht="18.75" hidden="1">
      <c r="A596" s="601"/>
      <c r="B596" s="611"/>
      <c r="C596" s="611"/>
      <c r="D596" s="611"/>
      <c r="E596" s="619"/>
      <c r="F596" s="619"/>
      <c r="G596" s="753"/>
      <c r="H596" s="755" t="s">
        <v>34</v>
      </c>
      <c r="I596" s="184"/>
      <c r="J596" s="184">
        <f t="shared" si="256"/>
        <v>0</v>
      </c>
      <c r="K596" s="163"/>
      <c r="L596" s="163"/>
      <c r="M596" s="163"/>
      <c r="N596" s="163"/>
      <c r="O596" s="163"/>
      <c r="P596" s="163"/>
      <c r="Q596" s="571"/>
      <c r="R596" s="571"/>
      <c r="S596" s="571"/>
      <c r="T596" s="571"/>
      <c r="U596" s="571"/>
      <c r="V596" s="571"/>
      <c r="W596" s="571"/>
      <c r="X596" s="571"/>
      <c r="Y596" s="571"/>
      <c r="Z596" s="571"/>
    </row>
    <row r="597" spans="1:26" ht="18.75" hidden="1">
      <c r="A597" s="601"/>
      <c r="B597" s="611"/>
      <c r="C597" s="611"/>
      <c r="D597" s="737" t="s">
        <v>254</v>
      </c>
      <c r="E597" s="619"/>
      <c r="F597" s="619"/>
      <c r="G597" s="753"/>
      <c r="H597" s="755" t="s">
        <v>46</v>
      </c>
      <c r="I597" s="184"/>
      <c r="J597" s="214">
        <v>0</v>
      </c>
      <c r="K597" s="163"/>
      <c r="L597" s="163"/>
      <c r="M597" s="163"/>
      <c r="N597" s="163"/>
      <c r="O597" s="163"/>
      <c r="P597" s="163"/>
      <c r="Q597" s="571"/>
      <c r="R597" s="571"/>
      <c r="S597" s="571"/>
      <c r="T597" s="571"/>
      <c r="U597" s="571"/>
      <c r="V597" s="571"/>
      <c r="W597" s="571"/>
      <c r="X597" s="571"/>
      <c r="Y597" s="571"/>
      <c r="Z597" s="571"/>
    </row>
    <row r="598" spans="1:26" ht="18.75" hidden="1">
      <c r="A598" s="601"/>
      <c r="B598" s="611"/>
      <c r="C598" s="611"/>
      <c r="D598" s="611"/>
      <c r="E598" s="619"/>
      <c r="F598" s="619"/>
      <c r="G598" s="753"/>
      <c r="H598" s="755" t="s">
        <v>34</v>
      </c>
      <c r="I598" s="269"/>
      <c r="J598" s="214">
        <v>0</v>
      </c>
      <c r="K598" s="163"/>
      <c r="L598" s="163"/>
      <c r="M598" s="163"/>
      <c r="N598" s="163"/>
      <c r="O598" s="163"/>
      <c r="P598" s="163"/>
      <c r="Q598" s="571"/>
      <c r="R598" s="571"/>
      <c r="S598" s="571"/>
      <c r="T598" s="571"/>
      <c r="U598" s="571"/>
      <c r="V598" s="571"/>
      <c r="W598" s="571"/>
      <c r="X598" s="571"/>
      <c r="Y598" s="571"/>
      <c r="Z598" s="571"/>
    </row>
    <row r="599" spans="1:26" ht="18.75" hidden="1">
      <c r="A599" s="601"/>
      <c r="B599" s="611"/>
      <c r="C599" s="611"/>
      <c r="D599" s="737" t="s">
        <v>255</v>
      </c>
      <c r="E599" s="619"/>
      <c r="F599" s="619"/>
      <c r="G599" s="753"/>
      <c r="H599" s="755" t="s">
        <v>46</v>
      </c>
      <c r="I599" s="269"/>
      <c r="J599" s="214">
        <v>0</v>
      </c>
      <c r="K599" s="163"/>
      <c r="L599" s="163"/>
      <c r="M599" s="163"/>
      <c r="N599" s="163"/>
      <c r="O599" s="163"/>
      <c r="P599" s="163"/>
      <c r="Q599" s="571"/>
      <c r="R599" s="571"/>
      <c r="S599" s="571"/>
      <c r="T599" s="571"/>
      <c r="U599" s="571"/>
      <c r="V599" s="571"/>
      <c r="W599" s="571"/>
      <c r="X599" s="571"/>
      <c r="Y599" s="571"/>
      <c r="Z599" s="571"/>
    </row>
    <row r="600" spans="1:26" ht="18.75" hidden="1">
      <c r="A600" s="601"/>
      <c r="B600" s="611"/>
      <c r="C600" s="611"/>
      <c r="D600" s="611"/>
      <c r="E600" s="619"/>
      <c r="F600" s="619"/>
      <c r="G600" s="753"/>
      <c r="H600" s="755" t="s">
        <v>34</v>
      </c>
      <c r="I600" s="269"/>
      <c r="J600" s="214">
        <v>0</v>
      </c>
      <c r="K600" s="163"/>
      <c r="L600" s="163"/>
      <c r="M600" s="163"/>
      <c r="N600" s="163"/>
      <c r="O600" s="163"/>
      <c r="P600" s="163"/>
      <c r="Q600" s="571"/>
      <c r="R600" s="571"/>
      <c r="S600" s="571"/>
      <c r="T600" s="571"/>
      <c r="U600" s="571"/>
      <c r="V600" s="571"/>
      <c r="W600" s="571"/>
      <c r="X600" s="571"/>
      <c r="Y600" s="571"/>
      <c r="Z600" s="571"/>
    </row>
    <row r="601" spans="1:26" ht="18.75" hidden="1">
      <c r="A601" s="601"/>
      <c r="B601" s="611"/>
      <c r="C601" s="611"/>
      <c r="D601" s="737" t="s">
        <v>256</v>
      </c>
      <c r="E601" s="619"/>
      <c r="F601" s="619"/>
      <c r="G601" s="753"/>
      <c r="H601" s="755" t="s">
        <v>46</v>
      </c>
      <c r="I601" s="269"/>
      <c r="J601" s="214">
        <v>0</v>
      </c>
      <c r="K601" s="163"/>
      <c r="L601" s="163"/>
      <c r="M601" s="163"/>
      <c r="N601" s="163"/>
      <c r="O601" s="163"/>
      <c r="P601" s="163"/>
      <c r="Q601" s="571"/>
      <c r="R601" s="571"/>
      <c r="S601" s="571"/>
      <c r="T601" s="571"/>
      <c r="U601" s="571"/>
      <c r="V601" s="571"/>
      <c r="W601" s="571"/>
      <c r="X601" s="571"/>
      <c r="Y601" s="571"/>
      <c r="Z601" s="571"/>
    </row>
    <row r="602" spans="1:26" ht="18.75" hidden="1">
      <c r="A602" s="601"/>
      <c r="B602" s="611"/>
      <c r="C602" s="611"/>
      <c r="D602" s="611"/>
      <c r="E602" s="619"/>
      <c r="F602" s="619"/>
      <c r="G602" s="753"/>
      <c r="H602" s="755" t="s">
        <v>34</v>
      </c>
      <c r="I602" s="269"/>
      <c r="J602" s="214">
        <v>0</v>
      </c>
      <c r="K602" s="163"/>
      <c r="L602" s="163"/>
      <c r="M602" s="163"/>
      <c r="N602" s="163"/>
      <c r="O602" s="163"/>
      <c r="P602" s="163"/>
      <c r="Q602" s="571"/>
      <c r="R602" s="571"/>
      <c r="S602" s="571"/>
      <c r="T602" s="571"/>
      <c r="U602" s="571"/>
      <c r="V602" s="571"/>
      <c r="W602" s="571"/>
      <c r="X602" s="571"/>
      <c r="Y602" s="571"/>
      <c r="Z602" s="571"/>
    </row>
    <row r="603" spans="1:26" ht="18.75" hidden="1">
      <c r="A603" s="601"/>
      <c r="B603" s="611"/>
      <c r="C603" s="696" t="s">
        <v>257</v>
      </c>
      <c r="D603" s="611"/>
      <c r="E603" s="611"/>
      <c r="F603" s="619"/>
      <c r="G603" s="753"/>
      <c r="H603" s="755" t="s">
        <v>46</v>
      </c>
      <c r="I603" s="269"/>
      <c r="J603" s="269">
        <f t="shared" ref="J603:J604" si="257">J605+J607</f>
        <v>0</v>
      </c>
      <c r="K603" s="163"/>
      <c r="L603" s="163"/>
      <c r="M603" s="163"/>
      <c r="N603" s="163"/>
      <c r="O603" s="163"/>
      <c r="P603" s="163"/>
      <c r="Q603" s="571"/>
      <c r="R603" s="571"/>
      <c r="S603" s="571"/>
      <c r="T603" s="571"/>
      <c r="U603" s="571"/>
      <c r="V603" s="571"/>
      <c r="W603" s="571"/>
      <c r="X603" s="571"/>
      <c r="Y603" s="571"/>
      <c r="Z603" s="571"/>
    </row>
    <row r="604" spans="1:26" ht="18.75" hidden="1">
      <c r="A604" s="601"/>
      <c r="B604" s="611"/>
      <c r="C604" s="611"/>
      <c r="D604" s="611"/>
      <c r="E604" s="619"/>
      <c r="F604" s="619"/>
      <c r="G604" s="753"/>
      <c r="H604" s="755" t="s">
        <v>34</v>
      </c>
      <c r="I604" s="269"/>
      <c r="J604" s="269">
        <f t="shared" si="257"/>
        <v>0</v>
      </c>
      <c r="K604" s="163"/>
      <c r="L604" s="163"/>
      <c r="M604" s="163"/>
      <c r="N604" s="163"/>
      <c r="O604" s="163"/>
      <c r="P604" s="163"/>
      <c r="Q604" s="571"/>
      <c r="R604" s="571"/>
      <c r="S604" s="571"/>
      <c r="T604" s="571"/>
      <c r="U604" s="571"/>
      <c r="V604" s="571"/>
      <c r="W604" s="571"/>
      <c r="X604" s="571"/>
      <c r="Y604" s="571"/>
      <c r="Z604" s="571"/>
    </row>
    <row r="605" spans="1:26" ht="18.75" hidden="1">
      <c r="A605" s="601"/>
      <c r="B605" s="611"/>
      <c r="C605" s="611"/>
      <c r="D605" s="696" t="s">
        <v>258</v>
      </c>
      <c r="E605" s="619"/>
      <c r="F605" s="619"/>
      <c r="G605" s="753"/>
      <c r="H605" s="755" t="s">
        <v>46</v>
      </c>
      <c r="I605" s="269"/>
      <c r="J605" s="214">
        <v>0</v>
      </c>
      <c r="K605" s="163"/>
      <c r="L605" s="163"/>
      <c r="M605" s="163"/>
      <c r="N605" s="163"/>
      <c r="O605" s="163"/>
      <c r="P605" s="163"/>
      <c r="Q605" s="571"/>
      <c r="R605" s="571"/>
      <c r="S605" s="571"/>
      <c r="T605" s="571"/>
      <c r="U605" s="571"/>
      <c r="V605" s="571"/>
      <c r="W605" s="571"/>
      <c r="X605" s="571"/>
      <c r="Y605" s="571"/>
      <c r="Z605" s="571"/>
    </row>
    <row r="606" spans="1:26" ht="18.75" hidden="1">
      <c r="A606" s="601"/>
      <c r="B606" s="611"/>
      <c r="C606" s="611"/>
      <c r="D606" s="611"/>
      <c r="E606" s="611"/>
      <c r="F606" s="619"/>
      <c r="G606" s="753"/>
      <c r="H606" s="755" t="s">
        <v>34</v>
      </c>
      <c r="I606" s="269"/>
      <c r="J606" s="214">
        <v>0</v>
      </c>
      <c r="K606" s="163"/>
      <c r="L606" s="163"/>
      <c r="M606" s="163"/>
      <c r="N606" s="163"/>
      <c r="O606" s="163"/>
      <c r="P606" s="163"/>
      <c r="Q606" s="571"/>
      <c r="R606" s="571"/>
      <c r="S606" s="571"/>
      <c r="T606" s="571"/>
      <c r="U606" s="571"/>
      <c r="V606" s="571"/>
      <c r="W606" s="571"/>
      <c r="X606" s="571"/>
      <c r="Y606" s="571"/>
      <c r="Z606" s="571"/>
    </row>
    <row r="607" spans="1:26" ht="18.75" hidden="1">
      <c r="A607" s="601"/>
      <c r="B607" s="611"/>
      <c r="C607" s="611"/>
      <c r="D607" s="696" t="s">
        <v>259</v>
      </c>
      <c r="E607" s="611"/>
      <c r="F607" s="619"/>
      <c r="G607" s="753"/>
      <c r="H607" s="755" t="s">
        <v>46</v>
      </c>
      <c r="I607" s="269"/>
      <c r="J607" s="214">
        <v>0</v>
      </c>
      <c r="K607" s="163"/>
      <c r="L607" s="163"/>
      <c r="M607" s="163"/>
      <c r="N607" s="163"/>
      <c r="O607" s="163"/>
      <c r="P607" s="163"/>
      <c r="Q607" s="571"/>
      <c r="R607" s="571"/>
      <c r="S607" s="571"/>
      <c r="T607" s="571"/>
      <c r="U607" s="571"/>
      <c r="V607" s="571"/>
      <c r="W607" s="571"/>
      <c r="X607" s="571"/>
      <c r="Y607" s="571"/>
      <c r="Z607" s="571"/>
    </row>
    <row r="608" spans="1:26" ht="18.75" hidden="1">
      <c r="A608" s="601"/>
      <c r="B608" s="611"/>
      <c r="C608" s="611"/>
      <c r="D608" s="611"/>
      <c r="E608" s="619"/>
      <c r="F608" s="619"/>
      <c r="G608" s="753"/>
      <c r="H608" s="755" t="s">
        <v>34</v>
      </c>
      <c r="I608" s="269"/>
      <c r="J608" s="214">
        <v>0</v>
      </c>
      <c r="K608" s="163"/>
      <c r="L608" s="163"/>
      <c r="M608" s="163"/>
      <c r="N608" s="163"/>
      <c r="O608" s="163"/>
      <c r="P608" s="163"/>
      <c r="Q608" s="571"/>
      <c r="R608" s="571"/>
      <c r="S608" s="571"/>
      <c r="T608" s="571"/>
      <c r="U608" s="571"/>
      <c r="V608" s="571"/>
      <c r="W608" s="571"/>
      <c r="X608" s="571"/>
      <c r="Y608" s="571"/>
      <c r="Z608" s="571"/>
    </row>
    <row r="609" spans="1:26" ht="18.75" hidden="1">
      <c r="A609" s="601"/>
      <c r="B609" s="611"/>
      <c r="C609" s="611" t="s">
        <v>260</v>
      </c>
      <c r="D609" s="611"/>
      <c r="E609" s="611"/>
      <c r="F609" s="619"/>
      <c r="G609" s="753"/>
      <c r="H609" s="755" t="s">
        <v>46</v>
      </c>
      <c r="I609" s="269"/>
      <c r="J609" s="214">
        <v>0</v>
      </c>
      <c r="K609" s="163"/>
      <c r="L609" s="163"/>
      <c r="M609" s="163"/>
      <c r="N609" s="163"/>
      <c r="O609" s="163"/>
      <c r="P609" s="163"/>
      <c r="Q609" s="571"/>
      <c r="R609" s="571"/>
      <c r="S609" s="571"/>
      <c r="T609" s="571"/>
      <c r="U609" s="571"/>
      <c r="V609" s="571"/>
      <c r="W609" s="571"/>
      <c r="X609" s="571"/>
      <c r="Y609" s="571"/>
      <c r="Z609" s="571"/>
    </row>
    <row r="610" spans="1:26" ht="18.75" hidden="1">
      <c r="A610" s="601"/>
      <c r="B610" s="611"/>
      <c r="C610" s="611"/>
      <c r="D610" s="611"/>
      <c r="E610" s="619"/>
      <c r="F610" s="619"/>
      <c r="G610" s="753"/>
      <c r="H610" s="755" t="s">
        <v>34</v>
      </c>
      <c r="I610" s="269"/>
      <c r="J610" s="214">
        <v>0</v>
      </c>
      <c r="K610" s="163"/>
      <c r="L610" s="163"/>
      <c r="M610" s="163"/>
      <c r="N610" s="163"/>
      <c r="O610" s="163"/>
      <c r="P610" s="163"/>
      <c r="Q610" s="571"/>
      <c r="R610" s="571"/>
      <c r="S610" s="571"/>
      <c r="T610" s="571"/>
      <c r="U610" s="571"/>
      <c r="V610" s="571"/>
      <c r="W610" s="571"/>
      <c r="X610" s="571"/>
      <c r="Y610" s="571"/>
      <c r="Z610" s="571"/>
    </row>
    <row r="611" spans="1:26" ht="19.5" hidden="1">
      <c r="A611" s="685"/>
      <c r="B611" s="697" t="s">
        <v>261</v>
      </c>
      <c r="C611" s="687"/>
      <c r="D611" s="687"/>
      <c r="E611" s="666"/>
      <c r="F611" s="666"/>
      <c r="G611" s="667"/>
      <c r="H611" s="698" t="s">
        <v>46</v>
      </c>
      <c r="I611" s="699">
        <v>0</v>
      </c>
      <c r="J611" s="699">
        <f>J614+J616</f>
        <v>0</v>
      </c>
      <c r="K611" s="670">
        <f t="shared" ref="K611:K613" si="258">IF(I611&gt;0,J611*100/I611,0)</f>
        <v>0</v>
      </c>
      <c r="L611" s="671"/>
      <c r="M611" s="671"/>
      <c r="N611" s="671"/>
      <c r="O611" s="671"/>
      <c r="P611" s="671"/>
      <c r="Q611" s="571"/>
      <c r="R611" s="571"/>
      <c r="S611" s="571"/>
      <c r="T611" s="571"/>
      <c r="U611" s="571"/>
      <c r="V611" s="571"/>
      <c r="W611" s="571"/>
      <c r="X611" s="571"/>
      <c r="Y611" s="571"/>
      <c r="Z611" s="571"/>
    </row>
    <row r="612" spans="1:26" ht="19.5" hidden="1">
      <c r="A612" s="700"/>
      <c r="B612" s="710"/>
      <c r="C612" s="702" t="s">
        <v>262</v>
      </c>
      <c r="D612" s="710"/>
      <c r="E612" s="710"/>
      <c r="F612" s="703"/>
      <c r="G612" s="704"/>
      <c r="H612" s="705" t="s">
        <v>46</v>
      </c>
      <c r="I612" s="707">
        <v>0</v>
      </c>
      <c r="J612" s="707">
        <f t="shared" ref="J612:J613" si="259">J614+J616</f>
        <v>0</v>
      </c>
      <c r="K612" s="708">
        <f t="shared" si="258"/>
        <v>0</v>
      </c>
      <c r="L612" s="709"/>
      <c r="M612" s="709"/>
      <c r="N612" s="709"/>
      <c r="O612" s="709"/>
      <c r="P612" s="709"/>
      <c r="Q612" s="597"/>
      <c r="R612" s="597"/>
      <c r="S612" s="597"/>
      <c r="T612" s="597"/>
      <c r="U612" s="597"/>
      <c r="V612" s="597"/>
      <c r="W612" s="597"/>
      <c r="X612" s="597"/>
      <c r="Y612" s="597"/>
      <c r="Z612" s="597"/>
    </row>
    <row r="613" spans="1:26" ht="19.5" hidden="1">
      <c r="A613" s="700"/>
      <c r="B613" s="710"/>
      <c r="C613" s="710" t="s">
        <v>263</v>
      </c>
      <c r="D613" s="710"/>
      <c r="E613" s="710"/>
      <c r="F613" s="703"/>
      <c r="G613" s="704"/>
      <c r="H613" s="705" t="s">
        <v>34</v>
      </c>
      <c r="I613" s="707">
        <v>0</v>
      </c>
      <c r="J613" s="707">
        <f t="shared" si="259"/>
        <v>0</v>
      </c>
      <c r="K613" s="708">
        <f t="shared" si="258"/>
        <v>0</v>
      </c>
      <c r="L613" s="709"/>
      <c r="M613" s="709"/>
      <c r="N613" s="709"/>
      <c r="O613" s="709"/>
      <c r="P613" s="709"/>
      <c r="Q613" s="597"/>
      <c r="R613" s="597"/>
      <c r="S613" s="597"/>
      <c r="T613" s="597"/>
      <c r="U613" s="597"/>
      <c r="V613" s="597"/>
      <c r="W613" s="597"/>
      <c r="X613" s="597"/>
      <c r="Y613" s="597"/>
      <c r="Z613" s="597"/>
    </row>
    <row r="614" spans="1:26" ht="18.75" hidden="1">
      <c r="A614" s="607"/>
      <c r="B614" s="609"/>
      <c r="C614" s="609"/>
      <c r="D614" s="711" t="s">
        <v>264</v>
      </c>
      <c r="E614" s="609"/>
      <c r="F614" s="711"/>
      <c r="G614" s="365"/>
      <c r="H614" s="369" t="s">
        <v>46</v>
      </c>
      <c r="I614" s="610"/>
      <c r="J614" s="610">
        <v>0</v>
      </c>
      <c r="K614" s="167"/>
      <c r="L614" s="167"/>
      <c r="M614" s="167"/>
      <c r="N614" s="167"/>
      <c r="O614" s="167"/>
      <c r="P614" s="167"/>
      <c r="Q614" s="597"/>
      <c r="R614" s="597"/>
      <c r="S614" s="597"/>
      <c r="T614" s="597"/>
      <c r="U614" s="597"/>
      <c r="V614" s="597"/>
      <c r="W614" s="597"/>
      <c r="X614" s="597"/>
      <c r="Y614" s="597"/>
      <c r="Z614" s="597"/>
    </row>
    <row r="615" spans="1:26" ht="18.75" hidden="1">
      <c r="A615" s="607"/>
      <c r="B615" s="609"/>
      <c r="C615" s="609"/>
      <c r="D615" s="609"/>
      <c r="E615" s="609"/>
      <c r="F615" s="711"/>
      <c r="G615" s="365"/>
      <c r="H615" s="369" t="s">
        <v>34</v>
      </c>
      <c r="I615" s="610"/>
      <c r="J615" s="610">
        <v>0</v>
      </c>
      <c r="K615" s="167"/>
      <c r="L615" s="167"/>
      <c r="M615" s="167"/>
      <c r="N615" s="167"/>
      <c r="O615" s="167"/>
      <c r="P615" s="167"/>
      <c r="Q615" s="597"/>
      <c r="R615" s="597"/>
      <c r="S615" s="597"/>
      <c r="T615" s="597"/>
      <c r="U615" s="597"/>
      <c r="V615" s="597"/>
      <c r="W615" s="597"/>
      <c r="X615" s="597"/>
      <c r="Y615" s="597"/>
      <c r="Z615" s="597"/>
    </row>
    <row r="616" spans="1:26" ht="18.75" hidden="1">
      <c r="A616" s="607"/>
      <c r="B616" s="609"/>
      <c r="C616" s="609"/>
      <c r="D616" s="712" t="s">
        <v>264</v>
      </c>
      <c r="E616" s="711"/>
      <c r="F616" s="711"/>
      <c r="G616" s="365"/>
      <c r="H616" s="369" t="s">
        <v>46</v>
      </c>
      <c r="I616" s="610"/>
      <c r="J616" s="610">
        <v>0</v>
      </c>
      <c r="K616" s="167"/>
      <c r="L616" s="167"/>
      <c r="M616" s="167"/>
      <c r="N616" s="167"/>
      <c r="O616" s="167"/>
      <c r="P616" s="167"/>
      <c r="Q616" s="597"/>
      <c r="R616" s="597"/>
      <c r="S616" s="597"/>
      <c r="T616" s="597"/>
      <c r="U616" s="597"/>
      <c r="V616" s="597"/>
      <c r="W616" s="597"/>
      <c r="X616" s="597"/>
      <c r="Y616" s="597"/>
      <c r="Z616" s="597"/>
    </row>
    <row r="617" spans="1:26" ht="18.75" hidden="1">
      <c r="A617" s="607"/>
      <c r="B617" s="609"/>
      <c r="C617" s="609"/>
      <c r="D617" s="609"/>
      <c r="E617" s="711"/>
      <c r="F617" s="711"/>
      <c r="G617" s="365"/>
      <c r="H617" s="369" t="s">
        <v>34</v>
      </c>
      <c r="I617" s="610"/>
      <c r="J617" s="610">
        <v>0</v>
      </c>
      <c r="K617" s="167"/>
      <c r="L617" s="167"/>
      <c r="M617" s="167"/>
      <c r="N617" s="167"/>
      <c r="O617" s="167"/>
      <c r="P617" s="167"/>
      <c r="Q617" s="597"/>
      <c r="R617" s="597"/>
      <c r="S617" s="597"/>
      <c r="T617" s="597"/>
      <c r="U617" s="597"/>
      <c r="V617" s="597"/>
      <c r="W617" s="597"/>
      <c r="X617" s="597"/>
      <c r="Y617" s="597"/>
      <c r="Z617" s="597"/>
    </row>
    <row r="618" spans="1:26" ht="18.75" hidden="1">
      <c r="A618" s="607"/>
      <c r="B618" s="609"/>
      <c r="C618" s="609"/>
      <c r="D618" s="712" t="s">
        <v>265</v>
      </c>
      <c r="E618" s="711"/>
      <c r="F618" s="711"/>
      <c r="G618" s="365"/>
      <c r="H618" s="369" t="s">
        <v>46</v>
      </c>
      <c r="I618" s="610"/>
      <c r="J618" s="610">
        <v>0</v>
      </c>
      <c r="K618" s="167"/>
      <c r="L618" s="167"/>
      <c r="M618" s="167"/>
      <c r="N618" s="167"/>
      <c r="O618" s="167"/>
      <c r="P618" s="167"/>
      <c r="Q618" s="597"/>
      <c r="R618" s="597"/>
      <c r="S618" s="597"/>
      <c r="T618" s="597"/>
      <c r="U618" s="597"/>
      <c r="V618" s="597"/>
      <c r="W618" s="597"/>
      <c r="X618" s="597"/>
      <c r="Y618" s="597"/>
      <c r="Z618" s="597"/>
    </row>
    <row r="619" spans="1:26" ht="18.75" hidden="1">
      <c r="A619" s="607"/>
      <c r="B619" s="609"/>
      <c r="C619" s="609"/>
      <c r="D619" s="609"/>
      <c r="E619" s="711"/>
      <c r="F619" s="711"/>
      <c r="G619" s="365"/>
      <c r="H619" s="369" t="s">
        <v>34</v>
      </c>
      <c r="I619" s="610"/>
      <c r="J619" s="610">
        <v>0</v>
      </c>
      <c r="K619" s="167"/>
      <c r="L619" s="167"/>
      <c r="M619" s="167"/>
      <c r="N619" s="167"/>
      <c r="O619" s="167"/>
      <c r="P619" s="167"/>
      <c r="Q619" s="597"/>
      <c r="R619" s="597"/>
      <c r="S619" s="597"/>
      <c r="T619" s="597"/>
      <c r="U619" s="597"/>
      <c r="V619" s="597"/>
      <c r="W619" s="597"/>
      <c r="X619" s="597"/>
      <c r="Y619" s="597"/>
      <c r="Z619" s="597"/>
    </row>
    <row r="620" spans="1:26" ht="19.5" hidden="1">
      <c r="A620" s="713"/>
      <c r="B620" s="722"/>
      <c r="C620" s="715" t="s">
        <v>266</v>
      </c>
      <c r="D620" s="722"/>
      <c r="E620" s="722"/>
      <c r="F620" s="716"/>
      <c r="G620" s="717"/>
      <c r="H620" s="718" t="s">
        <v>46</v>
      </c>
      <c r="I620" s="719">
        <f ca="1">IFERROR(__xludf.DUMMYFUNCTION("IMPORTRANGE(""https://docs.google.com/spreadsheets/d/1QqKyyYR6Q21VydFLVH3TRQUabQu_ym0Zz7PgGX0-kHA/edit?usp=sharing"",""แผน!HL68"")"),0)</f>
        <v>0</v>
      </c>
      <c r="J620" s="719">
        <f t="shared" ref="J620:J621" si="260">J622+J624+J626</f>
        <v>0</v>
      </c>
      <c r="K620" s="720">
        <f t="shared" ref="K620:K621" ca="1" si="261">IF(I620&gt;0,J620*100/I620,0)</f>
        <v>0</v>
      </c>
      <c r="L620" s="721"/>
      <c r="M620" s="721"/>
      <c r="N620" s="721"/>
      <c r="O620" s="721"/>
      <c r="P620" s="721"/>
      <c r="Q620" s="571"/>
      <c r="R620" s="571"/>
      <c r="S620" s="571"/>
      <c r="T620" s="571"/>
      <c r="U620" s="571"/>
      <c r="V620" s="571"/>
      <c r="W620" s="571"/>
      <c r="X620" s="571"/>
      <c r="Y620" s="571"/>
      <c r="Z620" s="571"/>
    </row>
    <row r="621" spans="1:26" ht="19.5" hidden="1">
      <c r="A621" s="713"/>
      <c r="B621" s="722"/>
      <c r="C621" s="722" t="s">
        <v>267</v>
      </c>
      <c r="D621" s="722"/>
      <c r="E621" s="722"/>
      <c r="F621" s="716"/>
      <c r="G621" s="717"/>
      <c r="H621" s="718" t="s">
        <v>34</v>
      </c>
      <c r="I621" s="719">
        <f ca="1">IFERROR(__xludf.DUMMYFUNCTION("IMPORTRANGE(""https://docs.google.com/spreadsheets/d/1QqKyyYR6Q21VydFLVH3TRQUabQu_ym0Zz7PgGX0-kHA/edit?usp=sharing"",""แผน!HK68"")"),0)</f>
        <v>0</v>
      </c>
      <c r="J621" s="719">
        <f t="shared" si="260"/>
        <v>0</v>
      </c>
      <c r="K621" s="720">
        <f t="shared" ca="1" si="261"/>
        <v>0</v>
      </c>
      <c r="L621" s="721"/>
      <c r="M621" s="721"/>
      <c r="N621" s="721"/>
      <c r="O621" s="721"/>
      <c r="P621" s="721"/>
      <c r="Q621" s="571"/>
      <c r="R621" s="571"/>
      <c r="S621" s="571"/>
      <c r="T621" s="571"/>
      <c r="U621" s="571"/>
      <c r="V621" s="571"/>
      <c r="W621" s="571"/>
      <c r="X621" s="571"/>
      <c r="Y621" s="571"/>
      <c r="Z621" s="571"/>
    </row>
    <row r="622" spans="1:26" ht="18.75" hidden="1">
      <c r="A622" s="601"/>
      <c r="B622" s="611"/>
      <c r="C622" s="611"/>
      <c r="D622" s="737" t="s">
        <v>268</v>
      </c>
      <c r="E622" s="619"/>
      <c r="F622" s="619"/>
      <c r="G622" s="753"/>
      <c r="H622" s="755" t="s">
        <v>46</v>
      </c>
      <c r="I622" s="269"/>
      <c r="J622" s="214">
        <v>0</v>
      </c>
      <c r="K622" s="163"/>
      <c r="L622" s="163"/>
      <c r="M622" s="163"/>
      <c r="N622" s="163"/>
      <c r="O622" s="163"/>
      <c r="P622" s="163"/>
      <c r="Q622" s="571"/>
      <c r="R622" s="571"/>
      <c r="S622" s="571"/>
      <c r="T622" s="571"/>
      <c r="U622" s="571"/>
      <c r="V622" s="571"/>
      <c r="W622" s="571"/>
      <c r="X622" s="571"/>
      <c r="Y622" s="571"/>
      <c r="Z622" s="571"/>
    </row>
    <row r="623" spans="1:26" ht="18.75" hidden="1">
      <c r="A623" s="601"/>
      <c r="B623" s="611"/>
      <c r="C623" s="611"/>
      <c r="D623" s="611"/>
      <c r="E623" s="619"/>
      <c r="F623" s="619"/>
      <c r="G623" s="753"/>
      <c r="H623" s="755" t="s">
        <v>34</v>
      </c>
      <c r="I623" s="269"/>
      <c r="J623" s="214">
        <v>0</v>
      </c>
      <c r="K623" s="163"/>
      <c r="L623" s="163"/>
      <c r="M623" s="163"/>
      <c r="N623" s="163"/>
      <c r="O623" s="163"/>
      <c r="P623" s="163"/>
      <c r="Q623" s="571"/>
      <c r="R623" s="571"/>
      <c r="S623" s="571"/>
      <c r="T623" s="571"/>
      <c r="U623" s="571"/>
      <c r="V623" s="571"/>
      <c r="W623" s="571"/>
      <c r="X623" s="571"/>
      <c r="Y623" s="571"/>
      <c r="Z623" s="571"/>
    </row>
    <row r="624" spans="1:26" ht="18.75" hidden="1">
      <c r="A624" s="601"/>
      <c r="B624" s="611"/>
      <c r="C624" s="611"/>
      <c r="D624" s="737" t="s">
        <v>264</v>
      </c>
      <c r="E624" s="619"/>
      <c r="F624" s="619"/>
      <c r="G624" s="753"/>
      <c r="H624" s="755" t="s">
        <v>46</v>
      </c>
      <c r="I624" s="269"/>
      <c r="J624" s="214">
        <v>0</v>
      </c>
      <c r="K624" s="163"/>
      <c r="L624" s="163"/>
      <c r="M624" s="163"/>
      <c r="N624" s="163"/>
      <c r="O624" s="163"/>
      <c r="P624" s="163"/>
      <c r="Q624" s="571"/>
      <c r="R624" s="571"/>
      <c r="S624" s="571"/>
      <c r="T624" s="571"/>
      <c r="U624" s="571"/>
      <c r="V624" s="571"/>
      <c r="W624" s="571"/>
      <c r="X624" s="571"/>
      <c r="Y624" s="571"/>
      <c r="Z624" s="571"/>
    </row>
    <row r="625" spans="1:26" ht="18.75" hidden="1">
      <c r="A625" s="601"/>
      <c r="B625" s="611"/>
      <c r="C625" s="611"/>
      <c r="D625" s="611"/>
      <c r="E625" s="619"/>
      <c r="F625" s="619"/>
      <c r="G625" s="753"/>
      <c r="H625" s="755" t="s">
        <v>34</v>
      </c>
      <c r="I625" s="269"/>
      <c r="J625" s="214">
        <v>0</v>
      </c>
      <c r="K625" s="163"/>
      <c r="L625" s="163"/>
      <c r="M625" s="163"/>
      <c r="N625" s="163"/>
      <c r="O625" s="163"/>
      <c r="P625" s="163"/>
      <c r="Q625" s="571"/>
      <c r="R625" s="571"/>
      <c r="S625" s="571"/>
      <c r="T625" s="571"/>
      <c r="U625" s="571"/>
      <c r="V625" s="571"/>
      <c r="W625" s="571"/>
      <c r="X625" s="571"/>
      <c r="Y625" s="571"/>
      <c r="Z625" s="571"/>
    </row>
    <row r="626" spans="1:26" ht="18.75" hidden="1">
      <c r="A626" s="601"/>
      <c r="B626" s="611"/>
      <c r="C626" s="611"/>
      <c r="D626" s="737" t="s">
        <v>269</v>
      </c>
      <c r="E626" s="619"/>
      <c r="F626" s="619"/>
      <c r="G626" s="753"/>
      <c r="H626" s="755" t="s">
        <v>46</v>
      </c>
      <c r="I626" s="269"/>
      <c r="J626" s="214">
        <v>0</v>
      </c>
      <c r="K626" s="163"/>
      <c r="L626" s="163"/>
      <c r="M626" s="163"/>
      <c r="N626" s="163"/>
      <c r="O626" s="163"/>
      <c r="P626" s="163"/>
      <c r="Q626" s="571"/>
      <c r="R626" s="571"/>
      <c r="S626" s="571"/>
      <c r="T626" s="571"/>
      <c r="U626" s="571"/>
      <c r="V626" s="571"/>
      <c r="W626" s="571"/>
      <c r="X626" s="571"/>
      <c r="Y626" s="571"/>
      <c r="Z626" s="571"/>
    </row>
    <row r="627" spans="1:26" ht="18.75" hidden="1">
      <c r="A627" s="723"/>
      <c r="B627" s="724"/>
      <c r="C627" s="724"/>
      <c r="D627" s="724"/>
      <c r="E627" s="725"/>
      <c r="F627" s="725"/>
      <c r="G627" s="726"/>
      <c r="H627" s="421" t="s">
        <v>34</v>
      </c>
      <c r="I627" s="499"/>
      <c r="J627" s="423">
        <v>0</v>
      </c>
      <c r="K627" s="384"/>
      <c r="L627" s="384"/>
      <c r="M627" s="384"/>
      <c r="N627" s="384"/>
      <c r="O627" s="384"/>
      <c r="P627" s="384"/>
      <c r="Q627" s="571"/>
      <c r="R627" s="571"/>
      <c r="S627" s="571"/>
      <c r="T627" s="571"/>
      <c r="U627" s="571"/>
      <c r="V627" s="571"/>
      <c r="W627" s="571"/>
      <c r="X627" s="571"/>
      <c r="Y627" s="571"/>
      <c r="Z627" s="571"/>
    </row>
    <row r="628" spans="1:26" ht="19.5">
      <c r="A628" s="727">
        <v>7</v>
      </c>
      <c r="B628" s="728" t="s">
        <v>270</v>
      </c>
      <c r="C628" s="729"/>
      <c r="D628" s="729"/>
      <c r="E628" s="729"/>
      <c r="F628" s="729"/>
      <c r="G628" s="730"/>
      <c r="H628" s="731" t="s">
        <v>35</v>
      </c>
      <c r="I628" s="732">
        <f t="shared" ref="I628:J628" ca="1" si="262">I651</f>
        <v>70</v>
      </c>
      <c r="J628" s="732">
        <f t="shared" ca="1" si="262"/>
        <v>0</v>
      </c>
      <c r="K628" s="733">
        <f ca="1">IF(I628&gt;0,J628*100/I628,0)</f>
        <v>0</v>
      </c>
      <c r="L628" s="734"/>
      <c r="M628" s="734"/>
      <c r="N628" s="734"/>
      <c r="O628" s="734"/>
      <c r="P628" s="734"/>
      <c r="Q628" s="571"/>
      <c r="R628" s="571"/>
      <c r="S628" s="571"/>
      <c r="T628" s="571"/>
      <c r="U628" s="571"/>
      <c r="V628" s="571"/>
      <c r="W628" s="571"/>
      <c r="X628" s="571"/>
      <c r="Y628" s="571"/>
      <c r="Z628" s="571"/>
    </row>
    <row r="629" spans="1:26" ht="19.5">
      <c r="A629" s="590"/>
      <c r="B629" s="754"/>
      <c r="C629" s="754" t="s">
        <v>16</v>
      </c>
      <c r="D629" s="863" t="s">
        <v>17</v>
      </c>
      <c r="E629" s="857"/>
      <c r="F629" s="857"/>
      <c r="G629" s="189"/>
      <c r="H629" s="591" t="s">
        <v>12</v>
      </c>
      <c r="I629" s="269"/>
      <c r="J629" s="269"/>
      <c r="K629" s="496"/>
      <c r="L629" s="195">
        <f t="shared" ref="L629:N629" ca="1" si="263">L630+L631</f>
        <v>341770</v>
      </c>
      <c r="M629" s="195">
        <f t="shared" si="263"/>
        <v>0</v>
      </c>
      <c r="N629" s="195">
        <f t="shared" si="263"/>
        <v>6880</v>
      </c>
      <c r="O629" s="195">
        <f t="shared" ref="O629:O634" ca="1" si="264">IF(L629&gt;0,N629*100/L629,0)</f>
        <v>2.0130497117944817</v>
      </c>
      <c r="P629" s="195">
        <f t="shared" ref="P629:P634" si="265">IF(M629&gt;0,N629*100/M629,0)</f>
        <v>0</v>
      </c>
      <c r="Q629" s="571"/>
      <c r="R629" s="571"/>
      <c r="S629" s="571"/>
      <c r="T629" s="571"/>
      <c r="U629" s="571"/>
      <c r="V629" s="571"/>
      <c r="W629" s="571"/>
      <c r="X629" s="571"/>
      <c r="Y629" s="571"/>
      <c r="Z629" s="571"/>
    </row>
    <row r="630" spans="1:26" ht="18.75" hidden="1">
      <c r="A630" s="592"/>
      <c r="B630" s="750"/>
      <c r="C630" s="750"/>
      <c r="D630" s="711"/>
      <c r="E630" s="750" t="s">
        <v>184</v>
      </c>
      <c r="F630" s="750"/>
      <c r="G630" s="596"/>
      <c r="H630" s="165" t="s">
        <v>12</v>
      </c>
      <c r="I630" s="610"/>
      <c r="J630" s="610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597"/>
      <c r="R630" s="597"/>
      <c r="S630" s="597"/>
      <c r="T630" s="597"/>
      <c r="U630" s="597"/>
      <c r="V630" s="597"/>
      <c r="W630" s="597"/>
      <c r="X630" s="597"/>
      <c r="Y630" s="597"/>
      <c r="Z630" s="597"/>
    </row>
    <row r="631" spans="1:26" ht="18.75" hidden="1">
      <c r="A631" s="592"/>
      <c r="B631" s="600"/>
      <c r="C631" s="750"/>
      <c r="D631" s="711"/>
      <c r="E631" s="750" t="s">
        <v>185</v>
      </c>
      <c r="F631" s="750"/>
      <c r="G631" s="596"/>
      <c r="H631" s="165" t="s">
        <v>12</v>
      </c>
      <c r="I631" s="610"/>
      <c r="J631" s="610"/>
      <c r="K631" s="93"/>
      <c r="L631" s="93">
        <f t="shared" ca="1" si="266"/>
        <v>341770</v>
      </c>
      <c r="M631" s="93">
        <f t="shared" si="266"/>
        <v>0</v>
      </c>
      <c r="N631" s="93">
        <f t="shared" si="266"/>
        <v>6880</v>
      </c>
      <c r="O631" s="93">
        <f t="shared" ca="1" si="264"/>
        <v>2.0130497117944817</v>
      </c>
      <c r="P631" s="93">
        <f t="shared" si="265"/>
        <v>0</v>
      </c>
      <c r="Q631" s="597"/>
      <c r="R631" s="597"/>
      <c r="S631" s="597"/>
      <c r="T631" s="597"/>
      <c r="U631" s="597"/>
      <c r="V631" s="597"/>
      <c r="W631" s="597"/>
      <c r="X631" s="597"/>
      <c r="Y631" s="597"/>
      <c r="Z631" s="597"/>
    </row>
    <row r="632" spans="1:26" ht="18.75">
      <c r="A632" s="590"/>
      <c r="B632" s="568"/>
      <c r="C632" s="754"/>
      <c r="D632" s="599" t="s">
        <v>20</v>
      </c>
      <c r="E632" s="754"/>
      <c r="F632" s="754"/>
      <c r="G632" s="189"/>
      <c r="H632" s="161" t="s">
        <v>12</v>
      </c>
      <c r="I632" s="184"/>
      <c r="J632" s="184"/>
      <c r="K632" s="163"/>
      <c r="L632" s="496">
        <f t="shared" ref="L632:N632" ca="1" si="267">L633+L634</f>
        <v>341770</v>
      </c>
      <c r="M632" s="496">
        <f t="shared" si="267"/>
        <v>0</v>
      </c>
      <c r="N632" s="496">
        <f t="shared" si="267"/>
        <v>6880</v>
      </c>
      <c r="O632" s="496">
        <f t="shared" ca="1" si="264"/>
        <v>2.0130497117944817</v>
      </c>
      <c r="P632" s="496">
        <f t="shared" si="265"/>
        <v>0</v>
      </c>
      <c r="Q632" s="571"/>
      <c r="R632" s="571"/>
      <c r="S632" s="571"/>
      <c r="T632" s="571"/>
      <c r="U632" s="571"/>
      <c r="V632" s="571"/>
      <c r="W632" s="571"/>
      <c r="X632" s="571"/>
      <c r="Y632" s="571"/>
      <c r="Z632" s="571"/>
    </row>
    <row r="633" spans="1:26" ht="18.75" hidden="1">
      <c r="A633" s="592"/>
      <c r="B633" s="600"/>
      <c r="C633" s="750"/>
      <c r="D633" s="711"/>
      <c r="E633" s="750" t="s">
        <v>184</v>
      </c>
      <c r="F633" s="750"/>
      <c r="G633" s="596"/>
      <c r="H633" s="165" t="s">
        <v>12</v>
      </c>
      <c r="I633" s="610"/>
      <c r="J633" s="610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597"/>
      <c r="R633" s="597"/>
      <c r="S633" s="597"/>
      <c r="T633" s="597"/>
      <c r="U633" s="597"/>
      <c r="V633" s="597"/>
      <c r="W633" s="597"/>
      <c r="X633" s="597"/>
      <c r="Y633" s="597"/>
      <c r="Z633" s="597"/>
    </row>
    <row r="634" spans="1:26" ht="18.75" hidden="1">
      <c r="A634" s="592"/>
      <c r="B634" s="600"/>
      <c r="C634" s="750"/>
      <c r="D634" s="711"/>
      <c r="E634" s="750" t="s">
        <v>185</v>
      </c>
      <c r="F634" s="750"/>
      <c r="G634" s="596"/>
      <c r="H634" s="165" t="s">
        <v>12</v>
      </c>
      <c r="I634" s="610"/>
      <c r="J634" s="610"/>
      <c r="K634" s="93"/>
      <c r="L634" s="93">
        <f ca="1">IFERROR(__xludf.DUMMYFUNCTION("IMPORTRANGE(""https://docs.google.com/spreadsheets/d/1QqKyyYR6Q21VydFLVH3TRQUabQu_ym0Zz7PgGX0-kHA/edit?usp=sharing"",""แผน!HN68"")"),341770)</f>
        <v>341770</v>
      </c>
      <c r="M634" s="93">
        <v>0</v>
      </c>
      <c r="N634" s="93">
        <f>N635+N636+N637+N638</f>
        <v>6880</v>
      </c>
      <c r="O634" s="93">
        <f t="shared" ca="1" si="264"/>
        <v>2.0130497117944817</v>
      </c>
      <c r="P634" s="93">
        <f t="shared" si="265"/>
        <v>0</v>
      </c>
      <c r="Q634" s="597"/>
      <c r="R634" s="597"/>
      <c r="S634" s="597"/>
      <c r="T634" s="597"/>
      <c r="U634" s="597"/>
      <c r="V634" s="597"/>
      <c r="W634" s="597"/>
      <c r="X634" s="597"/>
      <c r="Y634" s="597"/>
      <c r="Z634" s="597"/>
    </row>
    <row r="635" spans="1:26" ht="18.75">
      <c r="A635" s="567"/>
      <c r="B635" s="568"/>
      <c r="C635" s="754"/>
      <c r="D635" s="754"/>
      <c r="E635" s="754"/>
      <c r="F635" s="754" t="s">
        <v>186</v>
      </c>
      <c r="G635" s="189"/>
      <c r="H635" s="161" t="s">
        <v>12</v>
      </c>
      <c r="I635" s="269"/>
      <c r="J635" s="269"/>
      <c r="K635" s="496"/>
      <c r="L635" s="496"/>
      <c r="M635" s="496"/>
      <c r="N635" s="817">
        <v>0</v>
      </c>
      <c r="O635" s="496"/>
      <c r="P635" s="496"/>
      <c r="Q635" s="571"/>
      <c r="R635" s="571"/>
      <c r="S635" s="571"/>
      <c r="T635" s="571"/>
      <c r="U635" s="571"/>
      <c r="V635" s="571"/>
      <c r="W635" s="571"/>
      <c r="X635" s="571"/>
      <c r="Y635" s="571"/>
      <c r="Z635" s="571"/>
    </row>
    <row r="636" spans="1:26" ht="18.75">
      <c r="A636" s="567"/>
      <c r="B636" s="568"/>
      <c r="C636" s="754"/>
      <c r="D636" s="754"/>
      <c r="E636" s="754"/>
      <c r="F636" s="754" t="s">
        <v>187</v>
      </c>
      <c r="G636" s="189"/>
      <c r="H636" s="161" t="s">
        <v>12</v>
      </c>
      <c r="I636" s="269"/>
      <c r="J636" s="269"/>
      <c r="K636" s="496"/>
      <c r="L636" s="496"/>
      <c r="M636" s="496"/>
      <c r="N636" s="817">
        <v>0</v>
      </c>
      <c r="O636" s="496"/>
      <c r="P636" s="496"/>
      <c r="Q636" s="571"/>
      <c r="R636" s="571"/>
      <c r="S636" s="571"/>
      <c r="T636" s="571"/>
      <c r="U636" s="571"/>
      <c r="V636" s="571"/>
      <c r="W636" s="571"/>
      <c r="X636" s="571"/>
      <c r="Y636" s="571"/>
      <c r="Z636" s="571"/>
    </row>
    <row r="637" spans="1:26" ht="18.75">
      <c r="A637" s="567"/>
      <c r="B637" s="568"/>
      <c r="C637" s="754"/>
      <c r="D637" s="754"/>
      <c r="E637" s="754"/>
      <c r="F637" s="754" t="s">
        <v>188</v>
      </c>
      <c r="G637" s="189"/>
      <c r="H637" s="161" t="s">
        <v>12</v>
      </c>
      <c r="I637" s="269"/>
      <c r="J637" s="269"/>
      <c r="K637" s="496"/>
      <c r="L637" s="496"/>
      <c r="M637" s="496"/>
      <c r="N637" s="817">
        <v>0</v>
      </c>
      <c r="O637" s="496"/>
      <c r="P637" s="496"/>
      <c r="Q637" s="571"/>
      <c r="R637" s="571"/>
      <c r="S637" s="571"/>
      <c r="T637" s="571"/>
      <c r="U637" s="571"/>
      <c r="V637" s="571"/>
      <c r="W637" s="571"/>
      <c r="X637" s="571"/>
      <c r="Y637" s="571"/>
      <c r="Z637" s="571"/>
    </row>
    <row r="638" spans="1:26" ht="18.75">
      <c r="A638" s="567"/>
      <c r="B638" s="568"/>
      <c r="C638" s="754"/>
      <c r="D638" s="754"/>
      <c r="E638" s="754"/>
      <c r="F638" s="754" t="s">
        <v>189</v>
      </c>
      <c r="G638" s="189"/>
      <c r="H638" s="161" t="s">
        <v>12</v>
      </c>
      <c r="I638" s="269"/>
      <c r="J638" s="269"/>
      <c r="K638" s="496"/>
      <c r="L638" s="496"/>
      <c r="M638" s="496"/>
      <c r="N638" s="817">
        <v>6880</v>
      </c>
      <c r="O638" s="496"/>
      <c r="P638" s="496"/>
      <c r="Q638" s="571"/>
      <c r="R638" s="571"/>
      <c r="S638" s="571"/>
      <c r="T638" s="571"/>
      <c r="U638" s="571"/>
      <c r="V638" s="571"/>
      <c r="W638" s="571"/>
      <c r="X638" s="571"/>
      <c r="Y638" s="571"/>
      <c r="Z638" s="571"/>
    </row>
    <row r="639" spans="1:26" ht="18.75">
      <c r="A639" s="590"/>
      <c r="B639" s="568"/>
      <c r="C639" s="754"/>
      <c r="D639" s="599" t="s">
        <v>21</v>
      </c>
      <c r="E639" s="754"/>
      <c r="F639" s="754"/>
      <c r="G639" s="189"/>
      <c r="H639" s="168" t="s">
        <v>12</v>
      </c>
      <c r="I639" s="184"/>
      <c r="J639" s="184"/>
      <c r="K639" s="163"/>
      <c r="L639" s="496">
        <f t="shared" ref="L639:N639" ca="1" si="268">L640+L641</f>
        <v>0</v>
      </c>
      <c r="M639" s="496">
        <f t="shared" si="268"/>
        <v>0</v>
      </c>
      <c r="N639" s="496">
        <f t="shared" si="268"/>
        <v>0</v>
      </c>
      <c r="O639" s="496">
        <f t="shared" ref="O639:O641" ca="1" si="269">IF(L639&gt;0,N639*100/L639,0)</f>
        <v>0</v>
      </c>
      <c r="P639" s="496">
        <f t="shared" ref="P639:P641" si="270">IF(M639&gt;0,N639*100/M639,0)</f>
        <v>0</v>
      </c>
      <c r="Q639" s="571"/>
      <c r="R639" s="571"/>
      <c r="S639" s="571"/>
      <c r="T639" s="571"/>
      <c r="U639" s="571"/>
      <c r="V639" s="571"/>
      <c r="W639" s="571"/>
      <c r="X639" s="571"/>
      <c r="Y639" s="571"/>
      <c r="Z639" s="571"/>
    </row>
    <row r="640" spans="1:26" ht="18.75" hidden="1">
      <c r="A640" s="592"/>
      <c r="B640" s="600"/>
      <c r="C640" s="750"/>
      <c r="D640" s="750"/>
      <c r="E640" s="750" t="s">
        <v>18</v>
      </c>
      <c r="F640" s="750"/>
      <c r="G640" s="596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597"/>
      <c r="R640" s="597"/>
      <c r="S640" s="597"/>
      <c r="T640" s="597"/>
      <c r="U640" s="597"/>
      <c r="V640" s="597"/>
      <c r="W640" s="597"/>
      <c r="X640" s="597"/>
      <c r="Y640" s="597"/>
      <c r="Z640" s="597"/>
    </row>
    <row r="641" spans="1:26" ht="18.75" hidden="1">
      <c r="A641" s="592"/>
      <c r="B641" s="600"/>
      <c r="C641" s="750"/>
      <c r="D641" s="750"/>
      <c r="E641" s="750" t="s">
        <v>19</v>
      </c>
      <c r="F641" s="750"/>
      <c r="G641" s="596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IFERROR(__xludf.DUMMYFUNCTION("IMPORTRANGE(""https://docs.google.com/spreadsheets/d/1QqKyyYR6Q21VydFLVH3TRQUabQu_ym0Zz7PgGX0-kHA/edit?usp=sharing"",""แผน!HQ68"")"),0)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597"/>
      <c r="R641" s="597"/>
      <c r="S641" s="597"/>
      <c r="T641" s="597"/>
      <c r="U641" s="597"/>
      <c r="V641" s="597"/>
      <c r="W641" s="597"/>
      <c r="X641" s="597"/>
      <c r="Y641" s="597"/>
      <c r="Z641" s="597"/>
    </row>
    <row r="642" spans="1:26" ht="19.5">
      <c r="A642" s="601"/>
      <c r="B642" s="611"/>
      <c r="C642" s="754" t="s">
        <v>16</v>
      </c>
      <c r="D642" s="839" t="s">
        <v>38</v>
      </c>
      <c r="E642" s="752"/>
      <c r="F642" s="752"/>
      <c r="G642" s="606"/>
      <c r="H642" s="753"/>
      <c r="I642" s="184"/>
      <c r="J642" s="184"/>
      <c r="K642" s="163"/>
      <c r="L642" s="163"/>
      <c r="M642" s="163"/>
      <c r="N642" s="163"/>
      <c r="O642" s="163"/>
      <c r="P642" s="163"/>
      <c r="Q642" s="571"/>
      <c r="R642" s="571"/>
      <c r="S642" s="571"/>
      <c r="T642" s="571"/>
      <c r="U642" s="571"/>
      <c r="V642" s="571"/>
      <c r="W642" s="571"/>
      <c r="X642" s="571"/>
      <c r="Y642" s="571"/>
      <c r="Z642" s="571"/>
    </row>
    <row r="643" spans="1:26" ht="18.75">
      <c r="A643" s="735"/>
      <c r="B643" s="568"/>
      <c r="C643" s="754"/>
      <c r="D643" s="619"/>
      <c r="E643" s="737" t="s">
        <v>271</v>
      </c>
      <c r="F643" s="619"/>
      <c r="G643" s="753"/>
      <c r="H643" s="755" t="s">
        <v>272</v>
      </c>
      <c r="I643" s="269">
        <f ca="1">IFERROR(__xludf.DUMMYFUNCTION("IMPORTRANGE(""https://docs.google.com/spreadsheets/d/1QqKyyYR6Q21VydFLVH3TRQUabQu_ym0Zz7PgGX0-kHA/edit?usp=sharing"",""แผน!HR68"")"),0)</f>
        <v>0</v>
      </c>
      <c r="J643" s="214">
        <v>0</v>
      </c>
      <c r="K643" s="163">
        <f t="shared" ref="K643:K652" ca="1" si="271">IF(I643&gt;0,J643*100/I643,0)</f>
        <v>0</v>
      </c>
      <c r="L643" s="163"/>
      <c r="M643" s="163"/>
      <c r="N643" s="496"/>
      <c r="O643" s="163"/>
      <c r="P643" s="163"/>
      <c r="Q643" s="571"/>
      <c r="R643" s="571"/>
      <c r="S643" s="571"/>
      <c r="T643" s="571"/>
      <c r="U643" s="571"/>
      <c r="V643" s="571"/>
      <c r="W643" s="571"/>
      <c r="X643" s="571"/>
      <c r="Y643" s="571"/>
      <c r="Z643" s="571"/>
    </row>
    <row r="644" spans="1:26" ht="18.75">
      <c r="A644" s="735"/>
      <c r="B644" s="568"/>
      <c r="C644" s="754"/>
      <c r="D644" s="619"/>
      <c r="E644" s="737" t="s">
        <v>273</v>
      </c>
      <c r="F644" s="619"/>
      <c r="G644" s="753"/>
      <c r="H644" s="755" t="s">
        <v>274</v>
      </c>
      <c r="I644" s="269">
        <f ca="1">IFERROR(__xludf.DUMMYFUNCTION("IMPORTRANGE(""https://docs.google.com/spreadsheets/d/1QqKyyYR6Q21VydFLVH3TRQUabQu_ym0Zz7PgGX0-kHA/edit?usp=sharing"",""แผน!HR68"")"),0)</f>
        <v>0</v>
      </c>
      <c r="J644" s="214">
        <v>0</v>
      </c>
      <c r="K644" s="163">
        <f t="shared" ca="1" si="271"/>
        <v>0</v>
      </c>
      <c r="L644" s="163"/>
      <c r="M644" s="163"/>
      <c r="N644" s="496"/>
      <c r="O644" s="163"/>
      <c r="P644" s="163"/>
      <c r="Q644" s="571"/>
      <c r="R644" s="571"/>
      <c r="S644" s="571"/>
      <c r="T644" s="571"/>
      <c r="U644" s="571"/>
      <c r="V644" s="571"/>
      <c r="W644" s="571"/>
      <c r="X644" s="571"/>
      <c r="Y644" s="571"/>
      <c r="Z644" s="571"/>
    </row>
    <row r="645" spans="1:26" ht="18.75">
      <c r="A645" s="735"/>
      <c r="B645" s="568"/>
      <c r="C645" s="754"/>
      <c r="D645" s="619"/>
      <c r="E645" s="737" t="s">
        <v>275</v>
      </c>
      <c r="F645" s="619"/>
      <c r="G645" s="753"/>
      <c r="H645" s="755" t="s">
        <v>34</v>
      </c>
      <c r="I645" s="269">
        <v>0</v>
      </c>
      <c r="J645" s="269">
        <f ca="1">IFERROR(__xludf.DUMMYFUNCTION("IMPORTRANGE(""https://docs.google.com/spreadsheets/d/1XWAQStnk-4SwqDmLtmXYiTMKHgktTP8We1SCoS47DrQ/edit?usp=sharing"",""จัดที่ดิน!AS68"")"),0)</f>
        <v>0</v>
      </c>
      <c r="K645" s="163">
        <f t="shared" si="271"/>
        <v>0</v>
      </c>
      <c r="L645" s="163"/>
      <c r="M645" s="163"/>
      <c r="N645" s="496"/>
      <c r="O645" s="163"/>
      <c r="P645" s="163"/>
      <c r="Q645" s="571"/>
      <c r="R645" s="571"/>
      <c r="S645" s="571"/>
      <c r="T645" s="571"/>
      <c r="U645" s="571"/>
      <c r="V645" s="571"/>
      <c r="W645" s="571"/>
      <c r="X645" s="571"/>
      <c r="Y645" s="571"/>
      <c r="Z645" s="571"/>
    </row>
    <row r="646" spans="1:26" ht="18.75">
      <c r="A646" s="735"/>
      <c r="B646" s="568"/>
      <c r="C646" s="754"/>
      <c r="D646" s="619"/>
      <c r="E646" s="619"/>
      <c r="F646" s="619"/>
      <c r="G646" s="753"/>
      <c r="H646" s="755" t="s">
        <v>46</v>
      </c>
      <c r="I646" s="269">
        <v>0</v>
      </c>
      <c r="J646" s="269">
        <f ca="1">IFERROR(__xludf.DUMMYFUNCTION("IMPORTRANGE(""https://docs.google.com/spreadsheets/d/1XWAQStnk-4SwqDmLtmXYiTMKHgktTP8We1SCoS47DrQ/edit?usp=sharing"",""จัดที่ดิน!AT68"")"),0)</f>
        <v>0</v>
      </c>
      <c r="K646" s="496">
        <f t="shared" si="271"/>
        <v>0</v>
      </c>
      <c r="L646" s="163"/>
      <c r="M646" s="163"/>
      <c r="N646" s="496"/>
      <c r="O646" s="163"/>
      <c r="P646" s="163"/>
      <c r="Q646" s="571"/>
      <c r="R646" s="571"/>
      <c r="S646" s="571"/>
      <c r="T646" s="571"/>
      <c r="U646" s="571"/>
      <c r="V646" s="571"/>
      <c r="W646" s="571"/>
      <c r="X646" s="571"/>
      <c r="Y646" s="571"/>
      <c r="Z646" s="571"/>
    </row>
    <row r="647" spans="1:26" ht="18.75">
      <c r="A647" s="735"/>
      <c r="B647" s="568"/>
      <c r="C647" s="754"/>
      <c r="D647" s="619"/>
      <c r="E647" s="737" t="s">
        <v>162</v>
      </c>
      <c r="F647" s="619"/>
      <c r="G647" s="753"/>
      <c r="H647" s="755" t="s">
        <v>35</v>
      </c>
      <c r="I647" s="269">
        <f ca="1">IFERROR(__xludf.DUMMYFUNCTION("IMPORTRANGE(""https://docs.google.com/spreadsheets/d/1QqKyyYR6Q21VydFLVH3TRQUabQu_ym0Zz7PgGX0-kHA/edit?usp=sharing"",""แผน!HS68"")"),70)</f>
        <v>70</v>
      </c>
      <c r="J647" s="269">
        <f ca="1">IFERROR(__xludf.DUMMYFUNCTION("IMPORTRANGE(""https://docs.google.com/spreadsheets/d/1XWAQStnk-4SwqDmLtmXYiTMKHgktTP8We1SCoS47DrQ/edit?usp=sharing"",""จัดที่ดิน!AU68"")"),0)</f>
        <v>0</v>
      </c>
      <c r="K647" s="163">
        <f t="shared" ca="1" si="271"/>
        <v>0</v>
      </c>
      <c r="L647" s="163"/>
      <c r="M647" s="163"/>
      <c r="N647" s="163"/>
      <c r="O647" s="163"/>
      <c r="P647" s="163"/>
      <c r="Q647" s="571"/>
      <c r="R647" s="571"/>
      <c r="S647" s="571"/>
      <c r="T647" s="571"/>
      <c r="U647" s="571"/>
      <c r="V647" s="571"/>
      <c r="W647" s="571"/>
      <c r="X647" s="571"/>
      <c r="Y647" s="571"/>
      <c r="Z647" s="571"/>
    </row>
    <row r="648" spans="1:26" ht="18.75">
      <c r="A648" s="735"/>
      <c r="B648" s="568"/>
      <c r="C648" s="754"/>
      <c r="D648" s="619"/>
      <c r="E648" s="619"/>
      <c r="F648" s="619"/>
      <c r="G648" s="753"/>
      <c r="H648" s="755" t="s">
        <v>46</v>
      </c>
      <c r="I648" s="269">
        <v>0</v>
      </c>
      <c r="J648" s="269">
        <f ca="1">IFERROR(__xludf.DUMMYFUNCTION("IMPORTRANGE(""https://docs.google.com/spreadsheets/d/1XWAQStnk-4SwqDmLtmXYiTMKHgktTP8We1SCoS47DrQ/edit?usp=sharing"",""จัดที่ดิน!AV68"")"),0)</f>
        <v>0</v>
      </c>
      <c r="K648" s="496">
        <f t="shared" si="271"/>
        <v>0</v>
      </c>
      <c r="L648" s="163"/>
      <c r="M648" s="163"/>
      <c r="N648" s="163"/>
      <c r="O648" s="163"/>
      <c r="P648" s="163"/>
      <c r="Q648" s="571"/>
      <c r="R648" s="571"/>
      <c r="S648" s="571"/>
      <c r="T648" s="571"/>
      <c r="U648" s="571"/>
      <c r="V648" s="571"/>
      <c r="W648" s="571"/>
      <c r="X648" s="571"/>
      <c r="Y648" s="571"/>
      <c r="Z648" s="571"/>
    </row>
    <row r="649" spans="1:26" ht="18.75">
      <c r="A649" s="735"/>
      <c r="B649" s="568"/>
      <c r="C649" s="754"/>
      <c r="D649" s="619"/>
      <c r="E649" s="737" t="s">
        <v>276</v>
      </c>
      <c r="F649" s="619"/>
      <c r="G649" s="753"/>
      <c r="H649" s="755" t="s">
        <v>35</v>
      </c>
      <c r="I649" s="269">
        <f ca="1">IFERROR(__xludf.DUMMYFUNCTION("IMPORTRANGE(""https://docs.google.com/spreadsheets/d/1QqKyyYR6Q21VydFLVH3TRQUabQu_ym0Zz7PgGX0-kHA/edit?usp=sharing"",""แผน!HS68"")"),70)</f>
        <v>70</v>
      </c>
      <c r="J649" s="269">
        <f ca="1">IFERROR(__xludf.DUMMYFUNCTION("IMPORTRANGE(""https://docs.google.com/spreadsheets/d/1XWAQStnk-4SwqDmLtmXYiTMKHgktTP8We1SCoS47DrQ/edit?usp=sharing"",""จัดที่ดิน!AW68"")"),0)</f>
        <v>0</v>
      </c>
      <c r="K649" s="163">
        <f t="shared" ca="1" si="271"/>
        <v>0</v>
      </c>
      <c r="L649" s="163"/>
      <c r="M649" s="163"/>
      <c r="N649" s="163"/>
      <c r="O649" s="163"/>
      <c r="P649" s="163"/>
      <c r="Q649" s="571"/>
      <c r="R649" s="571"/>
      <c r="S649" s="571"/>
      <c r="T649" s="571"/>
      <c r="U649" s="571"/>
      <c r="V649" s="571"/>
      <c r="W649" s="571"/>
      <c r="X649" s="571"/>
      <c r="Y649" s="571"/>
      <c r="Z649" s="571"/>
    </row>
    <row r="650" spans="1:26" ht="18.75">
      <c r="A650" s="735"/>
      <c r="B650" s="568"/>
      <c r="C650" s="754"/>
      <c r="D650" s="619"/>
      <c r="E650" s="619"/>
      <c r="F650" s="619"/>
      <c r="G650" s="753"/>
      <c r="H650" s="755" t="s">
        <v>46</v>
      </c>
      <c r="I650" s="269">
        <v>0</v>
      </c>
      <c r="J650" s="269">
        <f ca="1">IFERROR(__xludf.DUMMYFUNCTION("IMPORTRANGE(""https://docs.google.com/spreadsheets/d/1XWAQStnk-4SwqDmLtmXYiTMKHgktTP8We1SCoS47DrQ/edit?usp=sharing"",""จัดที่ดิน!AX68"")"),0)</f>
        <v>0</v>
      </c>
      <c r="K650" s="496">
        <f t="shared" si="271"/>
        <v>0</v>
      </c>
      <c r="L650" s="163"/>
      <c r="M650" s="163"/>
      <c r="N650" s="163"/>
      <c r="O650" s="163"/>
      <c r="P650" s="163"/>
      <c r="Q650" s="571"/>
      <c r="R650" s="571"/>
      <c r="S650" s="571"/>
      <c r="T650" s="571"/>
      <c r="U650" s="571"/>
      <c r="V650" s="571"/>
      <c r="W650" s="571"/>
      <c r="X650" s="571"/>
      <c r="Y650" s="571"/>
      <c r="Z650" s="571"/>
    </row>
    <row r="651" spans="1:26" ht="18.75">
      <c r="A651" s="735"/>
      <c r="B651" s="568"/>
      <c r="C651" s="754"/>
      <c r="D651" s="619"/>
      <c r="E651" s="737" t="s">
        <v>277</v>
      </c>
      <c r="F651" s="619"/>
      <c r="G651" s="753"/>
      <c r="H651" s="755" t="s">
        <v>35</v>
      </c>
      <c r="I651" s="269">
        <f ca="1">IFERROR(__xludf.DUMMYFUNCTION("IMPORTRANGE(""https://docs.google.com/spreadsheets/d/1QqKyyYR6Q21VydFLVH3TRQUabQu_ym0Zz7PgGX0-kHA/edit?usp=sharing"",""แผน!HS68"")"),70)</f>
        <v>70</v>
      </c>
      <c r="J651" s="269">
        <f ca="1">IFERROR(__xludf.DUMMYFUNCTION("IMPORTRANGE(""https://docs.google.com/spreadsheets/d/1XWAQStnk-4SwqDmLtmXYiTMKHgktTP8We1SCoS47DrQ/edit?usp=sharing"",""จัดที่ดิน!AY68"")"),0)</f>
        <v>0</v>
      </c>
      <c r="K651" s="163">
        <f t="shared" ca="1" si="271"/>
        <v>0</v>
      </c>
      <c r="L651" s="163"/>
      <c r="M651" s="163"/>
      <c r="N651" s="163"/>
      <c r="O651" s="163"/>
      <c r="P651" s="163"/>
      <c r="Q651" s="571"/>
      <c r="R651" s="571"/>
      <c r="S651" s="571"/>
      <c r="T651" s="571"/>
      <c r="U651" s="571"/>
      <c r="V651" s="571"/>
      <c r="W651" s="571"/>
      <c r="X651" s="571"/>
      <c r="Y651" s="571"/>
      <c r="Z651" s="571"/>
    </row>
    <row r="652" spans="1:26" ht="18.75">
      <c r="A652" s="738"/>
      <c r="B652" s="739"/>
      <c r="C652" s="740"/>
      <c r="D652" s="725"/>
      <c r="E652" s="725"/>
      <c r="F652" s="725"/>
      <c r="G652" s="726"/>
      <c r="H652" s="498" t="s">
        <v>46</v>
      </c>
      <c r="I652" s="499">
        <v>0</v>
      </c>
      <c r="J652" s="499">
        <f ca="1">IFERROR(__xludf.DUMMYFUNCTION("IMPORTRANGE(""https://docs.google.com/spreadsheets/d/1XWAQStnk-4SwqDmLtmXYiTMKHgktTP8We1SCoS47DrQ/edit?usp=sharing"",""จัดที่ดิน!AZ68"")"),0)</f>
        <v>0</v>
      </c>
      <c r="K652" s="500">
        <f t="shared" si="271"/>
        <v>0</v>
      </c>
      <c r="L652" s="384"/>
      <c r="M652" s="384"/>
      <c r="N652" s="384"/>
      <c r="O652" s="384"/>
      <c r="P652" s="384"/>
      <c r="Q652" s="571"/>
      <c r="R652" s="571"/>
      <c r="S652" s="571"/>
      <c r="T652" s="571"/>
      <c r="U652" s="571"/>
      <c r="V652" s="571"/>
      <c r="W652" s="571"/>
      <c r="X652" s="571"/>
      <c r="Y652" s="571"/>
      <c r="Z652" s="571"/>
    </row>
    <row r="653" spans="1:26" ht="19.5">
      <c r="A653" s="741">
        <v>8</v>
      </c>
      <c r="B653" s="728" t="s">
        <v>278</v>
      </c>
      <c r="C653" s="729"/>
      <c r="D653" s="729"/>
      <c r="E653" s="729"/>
      <c r="F653" s="729"/>
      <c r="G653" s="730"/>
      <c r="H653" s="730"/>
      <c r="I653" s="742"/>
      <c r="J653" s="742"/>
      <c r="K653" s="734"/>
      <c r="L653" s="734"/>
      <c r="M653" s="734"/>
      <c r="N653" s="734"/>
      <c r="O653" s="734"/>
      <c r="P653" s="734"/>
      <c r="Q653" s="571"/>
      <c r="R653" s="571"/>
      <c r="S653" s="571"/>
      <c r="T653" s="571"/>
      <c r="U653" s="571"/>
      <c r="V653" s="571"/>
      <c r="W653" s="571"/>
      <c r="X653" s="571"/>
      <c r="Y653" s="571"/>
      <c r="Z653" s="571"/>
    </row>
    <row r="654" spans="1:26" ht="19.5">
      <c r="A654" s="666"/>
      <c r="B654" s="665" t="s">
        <v>279</v>
      </c>
      <c r="C654" s="666"/>
      <c r="D654" s="666"/>
      <c r="E654" s="666"/>
      <c r="F654" s="666"/>
      <c r="G654" s="667"/>
      <c r="H654" s="698" t="s">
        <v>46</v>
      </c>
      <c r="I654" s="699">
        <f t="shared" ref="I654:J654" ca="1" si="272">I669</f>
        <v>50</v>
      </c>
      <c r="J654" s="699">
        <f t="shared" si="272"/>
        <v>0</v>
      </c>
      <c r="K654" s="670">
        <f ca="1">IF(I654&gt;0,J654*100/I654,0)</f>
        <v>0</v>
      </c>
      <c r="L654" s="671"/>
      <c r="M654" s="671"/>
      <c r="N654" s="671"/>
      <c r="O654" s="671"/>
      <c r="P654" s="671"/>
      <c r="Q654" s="571"/>
      <c r="R654" s="571"/>
      <c r="S654" s="571"/>
      <c r="T654" s="571"/>
      <c r="U654" s="571"/>
      <c r="V654" s="571"/>
      <c r="W654" s="571"/>
      <c r="X654" s="571"/>
      <c r="Y654" s="571"/>
      <c r="Z654" s="571"/>
    </row>
    <row r="655" spans="1:26" ht="19.5">
      <c r="A655" s="590"/>
      <c r="B655" s="754"/>
      <c r="C655" s="754" t="s">
        <v>16</v>
      </c>
      <c r="D655" s="863" t="s">
        <v>17</v>
      </c>
      <c r="E655" s="857"/>
      <c r="F655" s="857"/>
      <c r="G655" s="189"/>
      <c r="H655" s="591" t="s">
        <v>12</v>
      </c>
      <c r="I655" s="269"/>
      <c r="J655" s="269"/>
      <c r="K655" s="496"/>
      <c r="L655" s="195">
        <f t="shared" ref="L655:N655" ca="1" si="273">L656+L657</f>
        <v>11000</v>
      </c>
      <c r="M655" s="195">
        <f t="shared" si="273"/>
        <v>0</v>
      </c>
      <c r="N655" s="195">
        <f t="shared" si="273"/>
        <v>0</v>
      </c>
      <c r="O655" s="195">
        <f t="shared" ref="O655:O660" ca="1" si="274">IF(L655&gt;0,N655*100/L655,0)</f>
        <v>0</v>
      </c>
      <c r="P655" s="195">
        <f t="shared" ref="P655:P660" si="275">IF(M655&gt;0,N655*100/M655,0)</f>
        <v>0</v>
      </c>
      <c r="Q655" s="571"/>
      <c r="R655" s="571"/>
      <c r="S655" s="571"/>
      <c r="T655" s="571"/>
      <c r="U655" s="571"/>
      <c r="V655" s="571"/>
      <c r="W655" s="571"/>
      <c r="X655" s="571"/>
      <c r="Y655" s="571"/>
      <c r="Z655" s="571"/>
    </row>
    <row r="656" spans="1:26" ht="18.75" hidden="1">
      <c r="A656" s="592"/>
      <c r="B656" s="750"/>
      <c r="C656" s="750"/>
      <c r="D656" s="711"/>
      <c r="E656" s="750" t="s">
        <v>184</v>
      </c>
      <c r="F656" s="750"/>
      <c r="G656" s="596"/>
      <c r="H656" s="165" t="s">
        <v>12</v>
      </c>
      <c r="I656" s="610"/>
      <c r="J656" s="610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597"/>
      <c r="R656" s="597"/>
      <c r="S656" s="597"/>
      <c r="T656" s="597"/>
      <c r="U656" s="597"/>
      <c r="V656" s="597"/>
      <c r="W656" s="597"/>
      <c r="X656" s="597"/>
      <c r="Y656" s="597"/>
      <c r="Z656" s="597"/>
    </row>
    <row r="657" spans="1:26" ht="18.75" hidden="1">
      <c r="A657" s="592"/>
      <c r="B657" s="600"/>
      <c r="C657" s="750"/>
      <c r="D657" s="711"/>
      <c r="E657" s="750" t="s">
        <v>185</v>
      </c>
      <c r="F657" s="750"/>
      <c r="G657" s="596"/>
      <c r="H657" s="165" t="s">
        <v>12</v>
      </c>
      <c r="I657" s="610"/>
      <c r="J657" s="610"/>
      <c r="K657" s="93"/>
      <c r="L657" s="93">
        <f t="shared" ca="1" si="276"/>
        <v>11000</v>
      </c>
      <c r="M657" s="93">
        <f t="shared" si="276"/>
        <v>0</v>
      </c>
      <c r="N657" s="93">
        <f t="shared" si="276"/>
        <v>0</v>
      </c>
      <c r="O657" s="93">
        <f t="shared" ca="1" si="274"/>
        <v>0</v>
      </c>
      <c r="P657" s="93">
        <f t="shared" si="275"/>
        <v>0</v>
      </c>
      <c r="Q657" s="597"/>
      <c r="R657" s="597"/>
      <c r="S657" s="597"/>
      <c r="T657" s="597"/>
      <c r="U657" s="597"/>
      <c r="V657" s="597"/>
      <c r="W657" s="597"/>
      <c r="X657" s="597"/>
      <c r="Y657" s="597"/>
      <c r="Z657" s="597"/>
    </row>
    <row r="658" spans="1:26" ht="18.75">
      <c r="A658" s="590"/>
      <c r="B658" s="568"/>
      <c r="C658" s="754"/>
      <c r="D658" s="599" t="s">
        <v>20</v>
      </c>
      <c r="E658" s="754"/>
      <c r="F658" s="754"/>
      <c r="G658" s="189"/>
      <c r="H658" s="161" t="s">
        <v>12</v>
      </c>
      <c r="I658" s="184"/>
      <c r="J658" s="184"/>
      <c r="K658" s="163"/>
      <c r="L658" s="496">
        <f t="shared" ref="L658:N658" ca="1" si="277">L659+L660</f>
        <v>11000</v>
      </c>
      <c r="M658" s="496">
        <f t="shared" si="277"/>
        <v>0</v>
      </c>
      <c r="N658" s="496">
        <f t="shared" si="277"/>
        <v>0</v>
      </c>
      <c r="O658" s="496">
        <f t="shared" ca="1" si="274"/>
        <v>0</v>
      </c>
      <c r="P658" s="496">
        <f t="shared" si="275"/>
        <v>0</v>
      </c>
      <c r="Q658" s="571"/>
      <c r="R658" s="571"/>
      <c r="S658" s="571"/>
      <c r="T658" s="571"/>
      <c r="U658" s="571"/>
      <c r="V658" s="571"/>
      <c r="W658" s="571"/>
      <c r="X658" s="571"/>
      <c r="Y658" s="571"/>
      <c r="Z658" s="571"/>
    </row>
    <row r="659" spans="1:26" ht="18.75" hidden="1">
      <c r="A659" s="592"/>
      <c r="B659" s="600"/>
      <c r="C659" s="750"/>
      <c r="D659" s="711"/>
      <c r="E659" s="750" t="s">
        <v>184</v>
      </c>
      <c r="F659" s="750"/>
      <c r="G659" s="596"/>
      <c r="H659" s="165" t="s">
        <v>12</v>
      </c>
      <c r="I659" s="610"/>
      <c r="J659" s="610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597"/>
      <c r="R659" s="597"/>
      <c r="S659" s="597"/>
      <c r="T659" s="597"/>
      <c r="U659" s="597"/>
      <c r="V659" s="597"/>
      <c r="W659" s="597"/>
      <c r="X659" s="597"/>
      <c r="Y659" s="597"/>
      <c r="Z659" s="597"/>
    </row>
    <row r="660" spans="1:26" ht="18.75" hidden="1">
      <c r="A660" s="592"/>
      <c r="B660" s="600"/>
      <c r="C660" s="750"/>
      <c r="D660" s="711"/>
      <c r="E660" s="750" t="s">
        <v>185</v>
      </c>
      <c r="F660" s="750"/>
      <c r="G660" s="596"/>
      <c r="H660" s="165" t="s">
        <v>12</v>
      </c>
      <c r="I660" s="610"/>
      <c r="J660" s="610"/>
      <c r="K660" s="93"/>
      <c r="L660" s="93">
        <f ca="1">IFERROR(__xludf.DUMMYFUNCTION("IMPORTRANGE(""https://docs.google.com/spreadsheets/d/1QqKyyYR6Q21VydFLVH3TRQUabQu_ym0Zz7PgGX0-kHA/edit?usp=sharing"",""แผน!HV68"")"),11000)</f>
        <v>11000</v>
      </c>
      <c r="M660" s="93">
        <v>0</v>
      </c>
      <c r="N660" s="93">
        <f>N661+N662+N663+N664</f>
        <v>0</v>
      </c>
      <c r="O660" s="93">
        <f t="shared" ca="1" si="274"/>
        <v>0</v>
      </c>
      <c r="P660" s="93">
        <f t="shared" si="275"/>
        <v>0</v>
      </c>
      <c r="Q660" s="597"/>
      <c r="R660" s="597"/>
      <c r="S660" s="597"/>
      <c r="T660" s="597"/>
      <c r="U660" s="597"/>
      <c r="V660" s="597"/>
      <c r="W660" s="597"/>
      <c r="X660" s="597"/>
      <c r="Y660" s="597"/>
      <c r="Z660" s="597"/>
    </row>
    <row r="661" spans="1:26" ht="18.75">
      <c r="A661" s="567"/>
      <c r="B661" s="568"/>
      <c r="C661" s="754"/>
      <c r="D661" s="754"/>
      <c r="E661" s="754"/>
      <c r="F661" s="754" t="s">
        <v>186</v>
      </c>
      <c r="G661" s="189"/>
      <c r="H661" s="161" t="s">
        <v>12</v>
      </c>
      <c r="I661" s="269"/>
      <c r="J661" s="269"/>
      <c r="K661" s="496"/>
      <c r="L661" s="496"/>
      <c r="M661" s="496"/>
      <c r="N661" s="817">
        <v>0</v>
      </c>
      <c r="O661" s="496"/>
      <c r="P661" s="496"/>
      <c r="Q661" s="571"/>
      <c r="R661" s="571"/>
      <c r="S661" s="571"/>
      <c r="T661" s="571"/>
      <c r="U661" s="571"/>
      <c r="V661" s="571"/>
      <c r="W661" s="571"/>
      <c r="X661" s="571"/>
      <c r="Y661" s="571"/>
      <c r="Z661" s="571"/>
    </row>
    <row r="662" spans="1:26" ht="18.75">
      <c r="A662" s="567"/>
      <c r="B662" s="568"/>
      <c r="C662" s="754"/>
      <c r="D662" s="754"/>
      <c r="E662" s="754"/>
      <c r="F662" s="754" t="s">
        <v>187</v>
      </c>
      <c r="G662" s="189"/>
      <c r="H662" s="161" t="s">
        <v>12</v>
      </c>
      <c r="I662" s="269"/>
      <c r="J662" s="269"/>
      <c r="K662" s="496"/>
      <c r="L662" s="496"/>
      <c r="M662" s="496"/>
      <c r="N662" s="817">
        <v>0</v>
      </c>
      <c r="O662" s="496"/>
      <c r="P662" s="496"/>
      <c r="Q662" s="571"/>
      <c r="R662" s="571"/>
      <c r="S662" s="571"/>
      <c r="T662" s="571"/>
      <c r="U662" s="571"/>
      <c r="V662" s="571"/>
      <c r="W662" s="571"/>
      <c r="X662" s="571"/>
      <c r="Y662" s="571"/>
      <c r="Z662" s="571"/>
    </row>
    <row r="663" spans="1:26" ht="18.75">
      <c r="A663" s="567"/>
      <c r="B663" s="568"/>
      <c r="C663" s="568"/>
      <c r="D663" s="754"/>
      <c r="E663" s="754"/>
      <c r="F663" s="754" t="s">
        <v>188</v>
      </c>
      <c r="G663" s="189"/>
      <c r="H663" s="161" t="s">
        <v>12</v>
      </c>
      <c r="I663" s="269"/>
      <c r="J663" s="269"/>
      <c r="K663" s="496"/>
      <c r="L663" s="496"/>
      <c r="M663" s="496"/>
      <c r="N663" s="817">
        <v>0</v>
      </c>
      <c r="O663" s="496"/>
      <c r="P663" s="496"/>
      <c r="Q663" s="571"/>
      <c r="R663" s="571"/>
      <c r="S663" s="571"/>
      <c r="T663" s="571"/>
      <c r="U663" s="571"/>
      <c r="V663" s="571"/>
      <c r="W663" s="571"/>
      <c r="X663" s="571"/>
      <c r="Y663" s="571"/>
      <c r="Z663" s="571"/>
    </row>
    <row r="664" spans="1:26" ht="18.75">
      <c r="A664" s="567"/>
      <c r="B664" s="568"/>
      <c r="C664" s="568"/>
      <c r="D664" s="568"/>
      <c r="E664" s="754"/>
      <c r="F664" s="754" t="s">
        <v>189</v>
      </c>
      <c r="G664" s="189"/>
      <c r="H664" s="161" t="s">
        <v>12</v>
      </c>
      <c r="I664" s="269"/>
      <c r="J664" s="269"/>
      <c r="K664" s="496"/>
      <c r="L664" s="496"/>
      <c r="M664" s="496"/>
      <c r="N664" s="817">
        <v>0</v>
      </c>
      <c r="O664" s="496"/>
      <c r="P664" s="496"/>
      <c r="Q664" s="571"/>
      <c r="R664" s="571"/>
      <c r="S664" s="571"/>
      <c r="T664" s="571"/>
      <c r="U664" s="571"/>
      <c r="V664" s="571"/>
      <c r="W664" s="571"/>
      <c r="X664" s="571"/>
      <c r="Y664" s="571"/>
      <c r="Z664" s="571"/>
    </row>
    <row r="665" spans="1:26" ht="18.75">
      <c r="A665" s="590"/>
      <c r="B665" s="568"/>
      <c r="C665" s="568"/>
      <c r="D665" s="599" t="s">
        <v>21</v>
      </c>
      <c r="E665" s="754"/>
      <c r="F665" s="754"/>
      <c r="G665" s="189"/>
      <c r="H665" s="168" t="s">
        <v>12</v>
      </c>
      <c r="I665" s="184"/>
      <c r="J665" s="184"/>
      <c r="K665" s="163"/>
      <c r="L665" s="496">
        <f t="shared" ref="L665:N665" si="278">L666+L667</f>
        <v>0</v>
      </c>
      <c r="M665" s="496">
        <f t="shared" si="278"/>
        <v>0</v>
      </c>
      <c r="N665" s="496">
        <f t="shared" si="278"/>
        <v>0</v>
      </c>
      <c r="O665" s="496">
        <f t="shared" ref="O665:O667" si="279">IF(L665&gt;0,N665*100/L665,0)</f>
        <v>0</v>
      </c>
      <c r="P665" s="496">
        <f t="shared" ref="P665:P667" si="280">IF(M665&gt;0,N665*100/M665,0)</f>
        <v>0</v>
      </c>
      <c r="Q665" s="571"/>
      <c r="R665" s="571"/>
      <c r="S665" s="571"/>
      <c r="T665" s="571"/>
      <c r="U665" s="571"/>
      <c r="V665" s="571"/>
      <c r="W665" s="571"/>
      <c r="X665" s="571"/>
      <c r="Y665" s="571"/>
      <c r="Z665" s="571"/>
    </row>
    <row r="666" spans="1:26" ht="18.75" hidden="1">
      <c r="A666" s="592"/>
      <c r="B666" s="600"/>
      <c r="C666" s="600"/>
      <c r="D666" s="600"/>
      <c r="E666" s="750" t="s">
        <v>18</v>
      </c>
      <c r="F666" s="750"/>
      <c r="G666" s="596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597"/>
      <c r="R666" s="597"/>
      <c r="S666" s="597"/>
      <c r="T666" s="597"/>
      <c r="U666" s="597"/>
      <c r="V666" s="597"/>
      <c r="W666" s="597"/>
      <c r="X666" s="597"/>
      <c r="Y666" s="597"/>
      <c r="Z666" s="597"/>
    </row>
    <row r="667" spans="1:26" ht="18.75" hidden="1">
      <c r="A667" s="592"/>
      <c r="B667" s="600"/>
      <c r="C667" s="600"/>
      <c r="D667" s="600"/>
      <c r="E667" s="750" t="s">
        <v>19</v>
      </c>
      <c r="F667" s="750"/>
      <c r="G667" s="596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597"/>
      <c r="R667" s="597"/>
      <c r="S667" s="597"/>
      <c r="T667" s="597"/>
      <c r="U667" s="597"/>
      <c r="V667" s="597"/>
      <c r="W667" s="597"/>
      <c r="X667" s="597"/>
      <c r="Y667" s="597"/>
      <c r="Z667" s="597"/>
    </row>
    <row r="668" spans="1:26" ht="19.5">
      <c r="A668" s="601"/>
      <c r="B668" s="611"/>
      <c r="C668" s="568" t="s">
        <v>16</v>
      </c>
      <c r="D668" s="836" t="s">
        <v>38</v>
      </c>
      <c r="E668" s="752"/>
      <c r="F668" s="752"/>
      <c r="G668" s="606"/>
      <c r="H668" s="753"/>
      <c r="I668" s="184"/>
      <c r="J668" s="184"/>
      <c r="K668" s="163"/>
      <c r="L668" s="163"/>
      <c r="M668" s="163"/>
      <c r="N668" s="163"/>
      <c r="O668" s="163"/>
      <c r="P668" s="163"/>
      <c r="Q668" s="571"/>
      <c r="R668" s="571"/>
      <c r="S668" s="571"/>
      <c r="T668" s="571"/>
      <c r="U668" s="571"/>
      <c r="V668" s="571"/>
      <c r="W668" s="571"/>
      <c r="X668" s="571"/>
      <c r="Y668" s="571"/>
      <c r="Z668" s="571"/>
    </row>
    <row r="669" spans="1:26" ht="19.5">
      <c r="A669" s="601"/>
      <c r="B669" s="611"/>
      <c r="C669" s="611"/>
      <c r="D669" s="611" t="s">
        <v>280</v>
      </c>
      <c r="E669" s="619"/>
      <c r="F669" s="619"/>
      <c r="G669" s="753"/>
      <c r="H669" s="758" t="s">
        <v>46</v>
      </c>
      <c r="I669" s="674">
        <f ca="1">IFERROR(__xludf.DUMMYFUNCTION("IMPORTRANGE(""https://docs.google.com/spreadsheets/d/1QqKyyYR6Q21VydFLVH3TRQUabQu_ym0Zz7PgGX0-kHA/edit?usp=sharing"",""แผน!IA68"")"),50)</f>
        <v>50</v>
      </c>
      <c r="J669" s="674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1"/>
      <c r="R669" s="571"/>
      <c r="S669" s="571"/>
      <c r="T669" s="571"/>
      <c r="U669" s="571"/>
      <c r="V669" s="571"/>
      <c r="W669" s="571"/>
      <c r="X669" s="571"/>
      <c r="Y669" s="571"/>
      <c r="Z669" s="571"/>
    </row>
    <row r="670" spans="1:26" ht="18.75">
      <c r="A670" s="601"/>
      <c r="B670" s="611"/>
      <c r="C670" s="611"/>
      <c r="D670" s="611"/>
      <c r="E670" s="619" t="s">
        <v>281</v>
      </c>
      <c r="F670" s="619"/>
      <c r="G670" s="753"/>
      <c r="H670" s="755" t="s">
        <v>69</v>
      </c>
      <c r="I670" s="269">
        <f ca="1">IFERROR(__xludf.DUMMYFUNCTION("IMPORTRANGE(""https://docs.google.com/spreadsheets/d/1QqKyyYR6Q21VydFLVH3TRQUabQu_ym0Zz7PgGX0-kHA/edit?usp=sharing"",""แผน!HZ68"")"),5)</f>
        <v>5</v>
      </c>
      <c r="J670" s="214">
        <v>5</v>
      </c>
      <c r="K670" s="496">
        <f ca="1">IF(I670&gt;0,(J670*100)/I670,0)</f>
        <v>100</v>
      </c>
      <c r="L670" s="163"/>
      <c r="M670" s="163"/>
      <c r="N670" s="163"/>
      <c r="O670" s="163"/>
      <c r="P670" s="163"/>
      <c r="Q670" s="571"/>
      <c r="R670" s="571"/>
      <c r="S670" s="571"/>
      <c r="T670" s="571"/>
      <c r="U670" s="571"/>
      <c r="V670" s="571"/>
      <c r="W670" s="571"/>
      <c r="X670" s="571"/>
      <c r="Y670" s="571"/>
      <c r="Z670" s="571"/>
    </row>
    <row r="671" spans="1:26" ht="18.75">
      <c r="A671" s="601"/>
      <c r="B671" s="611"/>
      <c r="C671" s="611"/>
      <c r="D671" s="611"/>
      <c r="E671" s="619" t="s">
        <v>282</v>
      </c>
      <c r="F671" s="619"/>
      <c r="G671" s="753"/>
      <c r="H671" s="755" t="s">
        <v>69</v>
      </c>
      <c r="I671" s="269">
        <f ca="1">IFERROR(__xludf.DUMMYFUNCTION("IMPORTRANGE(""https://docs.google.com/spreadsheets/d/1QqKyyYR6Q21VydFLVH3TRQUabQu_ym0Zz7PgGX0-kHA/edit?usp=sharing"",""แผน!HZ68"")"),5)</f>
        <v>5</v>
      </c>
      <c r="J671" s="214">
        <v>0</v>
      </c>
      <c r="K671" s="496">
        <f ca="1">IF(I$671&gt;0,J671*100/I$671,0)</f>
        <v>0</v>
      </c>
      <c r="L671" s="163"/>
      <c r="M671" s="163"/>
      <c r="N671" s="163"/>
      <c r="O671" s="163"/>
      <c r="P671" s="163"/>
      <c r="Q671" s="571"/>
      <c r="R671" s="571"/>
      <c r="S671" s="571"/>
      <c r="T671" s="571"/>
      <c r="U671" s="571"/>
      <c r="V671" s="571"/>
      <c r="W671" s="571"/>
      <c r="X671" s="571"/>
      <c r="Y671" s="571"/>
      <c r="Z671" s="571"/>
    </row>
    <row r="672" spans="1:26" ht="18.75">
      <c r="A672" s="601"/>
      <c r="B672" s="611"/>
      <c r="C672" s="611"/>
      <c r="D672" s="611"/>
      <c r="E672" s="619" t="s">
        <v>283</v>
      </c>
      <c r="F672" s="619"/>
      <c r="G672" s="753"/>
      <c r="H672" s="755" t="s">
        <v>46</v>
      </c>
      <c r="I672" s="269"/>
      <c r="J672" s="214">
        <v>0</v>
      </c>
      <c r="K672" s="496">
        <f t="shared" ref="K672:K675" ca="1" si="281">IF(I$669&gt;0,J672*100/I$669,0)</f>
        <v>0</v>
      </c>
      <c r="L672" s="163"/>
      <c r="M672" s="163"/>
      <c r="N672" s="163"/>
      <c r="O672" s="163"/>
      <c r="P672" s="163"/>
      <c r="Q672" s="571"/>
      <c r="R672" s="571"/>
      <c r="S672" s="571"/>
      <c r="T672" s="571"/>
      <c r="U672" s="571"/>
      <c r="V672" s="571"/>
      <c r="W672" s="571"/>
      <c r="X672" s="571"/>
      <c r="Y672" s="571"/>
      <c r="Z672" s="571"/>
    </row>
    <row r="673" spans="1:26" ht="18.75">
      <c r="A673" s="601"/>
      <c r="B673" s="611"/>
      <c r="C673" s="611"/>
      <c r="D673" s="611"/>
      <c r="E673" s="619" t="s">
        <v>284</v>
      </c>
      <c r="F673" s="619"/>
      <c r="G673" s="753"/>
      <c r="H673" s="755" t="s">
        <v>46</v>
      </c>
      <c r="I673" s="269"/>
      <c r="J673" s="214">
        <v>0</v>
      </c>
      <c r="K673" s="496">
        <f t="shared" ca="1" si="281"/>
        <v>0</v>
      </c>
      <c r="L673" s="163"/>
      <c r="M673" s="163"/>
      <c r="N673" s="163"/>
      <c r="O673" s="163"/>
      <c r="P673" s="163"/>
      <c r="Q673" s="571"/>
      <c r="R673" s="571"/>
      <c r="S673" s="571"/>
      <c r="T673" s="571"/>
      <c r="U673" s="571"/>
      <c r="V673" s="571"/>
      <c r="W673" s="571"/>
      <c r="X673" s="571"/>
      <c r="Y673" s="571"/>
      <c r="Z673" s="571"/>
    </row>
    <row r="674" spans="1:26" ht="18.75">
      <c r="A674" s="601"/>
      <c r="B674" s="611"/>
      <c r="C674" s="611"/>
      <c r="D674" s="611"/>
      <c r="E674" s="619" t="s">
        <v>285</v>
      </c>
      <c r="F674" s="619"/>
      <c r="G674" s="753"/>
      <c r="H674" s="755" t="s">
        <v>46</v>
      </c>
      <c r="I674" s="269"/>
      <c r="J674" s="214">
        <v>0</v>
      </c>
      <c r="K674" s="496">
        <f t="shared" ca="1" si="281"/>
        <v>0</v>
      </c>
      <c r="L674" s="163"/>
      <c r="M674" s="163"/>
      <c r="N674" s="163"/>
      <c r="O674" s="163"/>
      <c r="P674" s="163"/>
      <c r="Q674" s="571"/>
      <c r="R674" s="571"/>
      <c r="S674" s="571"/>
      <c r="T674" s="571"/>
      <c r="U674" s="571"/>
      <c r="V674" s="571"/>
      <c r="W674" s="571"/>
      <c r="X674" s="571"/>
      <c r="Y674" s="571"/>
      <c r="Z674" s="571"/>
    </row>
    <row r="675" spans="1:26" ht="19.5">
      <c r="A675" s="601"/>
      <c r="B675" s="611"/>
      <c r="C675" s="611"/>
      <c r="D675" s="611"/>
      <c r="E675" s="619" t="s">
        <v>286</v>
      </c>
      <c r="F675" s="619"/>
      <c r="G675" s="753"/>
      <c r="H675" s="755" t="s">
        <v>46</v>
      </c>
      <c r="I675" s="269"/>
      <c r="J675" s="674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71"/>
      <c r="R675" s="571"/>
      <c r="S675" s="571"/>
      <c r="T675" s="571"/>
      <c r="U675" s="571"/>
      <c r="V675" s="571"/>
      <c r="W675" s="571"/>
      <c r="X675" s="571"/>
      <c r="Y675" s="571"/>
      <c r="Z675" s="571"/>
    </row>
    <row r="676" spans="1:26" ht="18.75">
      <c r="A676" s="601"/>
      <c r="B676" s="611"/>
      <c r="C676" s="611"/>
      <c r="D676" s="611"/>
      <c r="E676" s="619"/>
      <c r="F676" s="619" t="s">
        <v>287</v>
      </c>
      <c r="G676" s="753"/>
      <c r="H676" s="755" t="s">
        <v>46</v>
      </c>
      <c r="I676" s="269"/>
      <c r="J676" s="214">
        <v>0</v>
      </c>
      <c r="K676" s="496"/>
      <c r="L676" s="163"/>
      <c r="M676" s="163"/>
      <c r="N676" s="163"/>
      <c r="O676" s="163"/>
      <c r="P676" s="163"/>
      <c r="Q676" s="571"/>
      <c r="R676" s="571"/>
      <c r="S676" s="571"/>
      <c r="T676" s="571"/>
      <c r="U676" s="571"/>
      <c r="V676" s="571"/>
      <c r="W676" s="571"/>
      <c r="X676" s="571"/>
      <c r="Y676" s="571"/>
      <c r="Z676" s="571"/>
    </row>
    <row r="677" spans="1:26" ht="18.75">
      <c r="A677" s="601"/>
      <c r="B677" s="611"/>
      <c r="C677" s="611"/>
      <c r="D677" s="611"/>
      <c r="E677" s="619"/>
      <c r="F677" s="619" t="s">
        <v>288</v>
      </c>
      <c r="G677" s="753"/>
      <c r="H677" s="755" t="s">
        <v>46</v>
      </c>
      <c r="I677" s="269"/>
      <c r="J677" s="214">
        <v>0</v>
      </c>
      <c r="K677" s="496"/>
      <c r="L677" s="163"/>
      <c r="M677" s="163"/>
      <c r="N677" s="163"/>
      <c r="O677" s="163"/>
      <c r="P677" s="163"/>
      <c r="Q677" s="571"/>
      <c r="R677" s="571"/>
      <c r="S677" s="571"/>
      <c r="T677" s="571"/>
      <c r="U677" s="571"/>
      <c r="V677" s="571"/>
      <c r="W677" s="571"/>
      <c r="X677" s="571"/>
      <c r="Y677" s="571"/>
      <c r="Z677" s="571"/>
    </row>
    <row r="678" spans="1:26" ht="19.5">
      <c r="A678" s="601"/>
      <c r="B678" s="611"/>
      <c r="C678" s="611"/>
      <c r="D678" s="611" t="s">
        <v>289</v>
      </c>
      <c r="E678" s="619"/>
      <c r="F678" s="619"/>
      <c r="G678" s="753"/>
      <c r="H678" s="755" t="s">
        <v>46</v>
      </c>
      <c r="I678" s="674">
        <f ca="1">IFERROR(__xludf.DUMMYFUNCTION("IMPORTRANGE(""https://docs.google.com/spreadsheets/d/1QqKyyYR6Q21VydFLVH3TRQUabQu_ym0Zz7PgGX0-kHA/edit?usp=sharing"",""แผน!IB68"")"),0)</f>
        <v>0</v>
      </c>
      <c r="J678" s="674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1"/>
      <c r="R678" s="571"/>
      <c r="S678" s="571"/>
      <c r="T678" s="571"/>
      <c r="U678" s="571"/>
      <c r="V678" s="571"/>
      <c r="W678" s="571"/>
      <c r="X678" s="571"/>
      <c r="Y678" s="571"/>
      <c r="Z678" s="571"/>
    </row>
    <row r="679" spans="1:26" ht="18.75">
      <c r="A679" s="601"/>
      <c r="B679" s="611"/>
      <c r="C679" s="611"/>
      <c r="D679" s="611"/>
      <c r="E679" s="619" t="s">
        <v>290</v>
      </c>
      <c r="F679" s="619"/>
      <c r="G679" s="753"/>
      <c r="H679" s="755" t="s">
        <v>46</v>
      </c>
      <c r="I679" s="269"/>
      <c r="J679" s="269">
        <f>J680+J681</f>
        <v>0</v>
      </c>
      <c r="K679" s="496"/>
      <c r="L679" s="163"/>
      <c r="M679" s="163"/>
      <c r="N679" s="163"/>
      <c r="O679" s="163"/>
      <c r="P679" s="163"/>
      <c r="Q679" s="571"/>
      <c r="R679" s="571"/>
      <c r="S679" s="571"/>
      <c r="T679" s="571"/>
      <c r="U679" s="571"/>
      <c r="V679" s="571"/>
      <c r="W679" s="571"/>
      <c r="X679" s="571"/>
      <c r="Y679" s="571"/>
      <c r="Z679" s="571"/>
    </row>
    <row r="680" spans="1:26" ht="18.75">
      <c r="A680" s="601"/>
      <c r="B680" s="611"/>
      <c r="C680" s="611"/>
      <c r="D680" s="611"/>
      <c r="E680" s="619"/>
      <c r="F680" s="619" t="s">
        <v>287</v>
      </c>
      <c r="G680" s="753"/>
      <c r="H680" s="755" t="s">
        <v>46</v>
      </c>
      <c r="I680" s="269"/>
      <c r="J680" s="214">
        <v>0</v>
      </c>
      <c r="K680" s="496"/>
      <c r="L680" s="163"/>
      <c r="M680" s="163"/>
      <c r="N680" s="163"/>
      <c r="O680" s="163"/>
      <c r="P680" s="163"/>
      <c r="Q680" s="571"/>
      <c r="R680" s="571"/>
      <c r="S680" s="571"/>
      <c r="T680" s="571"/>
      <c r="U680" s="571"/>
      <c r="V680" s="571"/>
      <c r="W680" s="571"/>
      <c r="X680" s="571"/>
      <c r="Y680" s="571"/>
      <c r="Z680" s="571"/>
    </row>
    <row r="681" spans="1:26" ht="18.75">
      <c r="A681" s="601"/>
      <c r="B681" s="611"/>
      <c r="C681" s="611"/>
      <c r="D681" s="611"/>
      <c r="E681" s="619"/>
      <c r="F681" s="619" t="s">
        <v>288</v>
      </c>
      <c r="G681" s="753"/>
      <c r="H681" s="755" t="s">
        <v>46</v>
      </c>
      <c r="I681" s="269"/>
      <c r="J681" s="214">
        <v>0</v>
      </c>
      <c r="K681" s="496"/>
      <c r="L681" s="163"/>
      <c r="M681" s="163"/>
      <c r="N681" s="163"/>
      <c r="O681" s="163"/>
      <c r="P681" s="163"/>
      <c r="Q681" s="571"/>
      <c r="R681" s="571"/>
      <c r="S681" s="571"/>
      <c r="T681" s="571"/>
      <c r="U681" s="571"/>
      <c r="V681" s="571"/>
      <c r="W681" s="571"/>
      <c r="X681" s="571"/>
      <c r="Y681" s="571"/>
      <c r="Z681" s="571"/>
    </row>
    <row r="682" spans="1:26" ht="18.75">
      <c r="A682" s="601"/>
      <c r="B682" s="611"/>
      <c r="C682" s="611"/>
      <c r="D682" s="611"/>
      <c r="E682" s="619" t="s">
        <v>291</v>
      </c>
      <c r="F682" s="619"/>
      <c r="G682" s="753"/>
      <c r="H682" s="755" t="s">
        <v>46</v>
      </c>
      <c r="I682" s="269"/>
      <c r="J682" s="214">
        <v>0</v>
      </c>
      <c r="K682" s="496"/>
      <c r="L682" s="163"/>
      <c r="M682" s="163"/>
      <c r="N682" s="163"/>
      <c r="O682" s="163"/>
      <c r="P682" s="163"/>
      <c r="Q682" s="571"/>
      <c r="R682" s="571"/>
      <c r="S682" s="571"/>
      <c r="T682" s="571"/>
      <c r="U682" s="571"/>
      <c r="V682" s="571"/>
      <c r="W682" s="571"/>
      <c r="X682" s="571"/>
      <c r="Y682" s="571"/>
      <c r="Z682" s="571"/>
    </row>
    <row r="683" spans="1:26" ht="18.75">
      <c r="A683" s="601"/>
      <c r="B683" s="611"/>
      <c r="C683" s="611"/>
      <c r="D683" s="611"/>
      <c r="E683" s="619"/>
      <c r="F683" s="619" t="s">
        <v>292</v>
      </c>
      <c r="G683" s="753"/>
      <c r="H683" s="755" t="s">
        <v>46</v>
      </c>
      <c r="I683" s="269"/>
      <c r="J683" s="214">
        <v>0</v>
      </c>
      <c r="K683" s="496"/>
      <c r="L683" s="163"/>
      <c r="M683" s="163"/>
      <c r="N683" s="163"/>
      <c r="O683" s="163"/>
      <c r="P683" s="163"/>
      <c r="Q683" s="571"/>
      <c r="R683" s="571"/>
      <c r="S683" s="571"/>
      <c r="T683" s="571"/>
      <c r="U683" s="571"/>
      <c r="V683" s="571"/>
      <c r="W683" s="571"/>
      <c r="X683" s="571"/>
      <c r="Y683" s="571"/>
      <c r="Z683" s="571"/>
    </row>
    <row r="684" spans="1:26" ht="19.5">
      <c r="A684" s="744"/>
      <c r="B684" s="745" t="s">
        <v>293</v>
      </c>
      <c r="C684" s="744"/>
      <c r="D684" s="744"/>
      <c r="E684" s="744"/>
      <c r="F684" s="744"/>
      <c r="G684" s="746"/>
      <c r="H684" s="746"/>
      <c r="I684" s="747"/>
      <c r="J684" s="747"/>
      <c r="K684" s="748"/>
      <c r="L684" s="748"/>
      <c r="M684" s="748"/>
      <c r="N684" s="748"/>
      <c r="O684" s="748"/>
      <c r="P684" s="748"/>
      <c r="Q684" s="571"/>
      <c r="R684" s="571"/>
      <c r="S684" s="571"/>
      <c r="T684" s="571"/>
      <c r="U684" s="571"/>
      <c r="V684" s="571"/>
      <c r="W684" s="571"/>
      <c r="X684" s="571"/>
      <c r="Y684" s="571"/>
      <c r="Z684" s="571"/>
    </row>
    <row r="685" spans="1:26" ht="19.5">
      <c r="A685" s="590"/>
      <c r="B685" s="754"/>
      <c r="C685" s="754" t="s">
        <v>16</v>
      </c>
      <c r="D685" s="863" t="s">
        <v>17</v>
      </c>
      <c r="E685" s="857"/>
      <c r="F685" s="857"/>
      <c r="G685" s="189"/>
      <c r="H685" s="591" t="s">
        <v>12</v>
      </c>
      <c r="I685" s="269"/>
      <c r="J685" s="269"/>
      <c r="K685" s="496"/>
      <c r="L685" s="195">
        <f t="shared" ref="L685:N685" ca="1" si="282">L686+L687</f>
        <v>21820</v>
      </c>
      <c r="M685" s="195">
        <f t="shared" si="282"/>
        <v>0</v>
      </c>
      <c r="N685" s="195">
        <f t="shared" si="282"/>
        <v>0</v>
      </c>
      <c r="O685" s="195">
        <f t="shared" ref="O685:O688" ca="1" si="283">IF(L685&gt;0,N685*100/L685,0)</f>
        <v>0</v>
      </c>
      <c r="P685" s="195">
        <f t="shared" ref="P685:P688" si="284">IF(M685&gt;0,N685*100/M685,0)</f>
        <v>0</v>
      </c>
      <c r="Q685" s="571"/>
      <c r="R685" s="571"/>
      <c r="S685" s="571"/>
      <c r="T685" s="571"/>
      <c r="U685" s="571"/>
      <c r="V685" s="571"/>
      <c r="W685" s="571"/>
      <c r="X685" s="571"/>
      <c r="Y685" s="571"/>
      <c r="Z685" s="571"/>
    </row>
    <row r="686" spans="1:26" ht="18.75" hidden="1">
      <c r="A686" s="592"/>
      <c r="B686" s="750"/>
      <c r="C686" s="750"/>
      <c r="D686" s="711"/>
      <c r="E686" s="750" t="s">
        <v>184</v>
      </c>
      <c r="F686" s="750"/>
      <c r="G686" s="596"/>
      <c r="H686" s="165" t="s">
        <v>12</v>
      </c>
      <c r="I686" s="610"/>
      <c r="J686" s="610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597"/>
      <c r="R686" s="597"/>
      <c r="S686" s="597"/>
      <c r="T686" s="597"/>
      <c r="U686" s="597"/>
      <c r="V686" s="597"/>
      <c r="W686" s="597"/>
      <c r="X686" s="597"/>
      <c r="Y686" s="597"/>
      <c r="Z686" s="597"/>
    </row>
    <row r="687" spans="1:26" ht="18.75" hidden="1">
      <c r="A687" s="592"/>
      <c r="B687" s="600"/>
      <c r="C687" s="750"/>
      <c r="D687" s="711"/>
      <c r="E687" s="750" t="s">
        <v>185</v>
      </c>
      <c r="F687" s="750"/>
      <c r="G687" s="596"/>
      <c r="H687" s="165" t="s">
        <v>12</v>
      </c>
      <c r="I687" s="610"/>
      <c r="J687" s="610"/>
      <c r="K687" s="93"/>
      <c r="L687" s="93">
        <f t="shared" ca="1" si="285"/>
        <v>21820</v>
      </c>
      <c r="M687" s="93">
        <f t="shared" si="285"/>
        <v>0</v>
      </c>
      <c r="N687" s="93">
        <f t="shared" si="285"/>
        <v>0</v>
      </c>
      <c r="O687" s="93">
        <f t="shared" ca="1" si="283"/>
        <v>0</v>
      </c>
      <c r="P687" s="93">
        <f t="shared" si="284"/>
        <v>0</v>
      </c>
      <c r="Q687" s="597"/>
      <c r="R687" s="597"/>
      <c r="S687" s="597"/>
      <c r="T687" s="597"/>
      <c r="U687" s="597"/>
      <c r="V687" s="597"/>
      <c r="W687" s="597"/>
      <c r="X687" s="597"/>
      <c r="Y687" s="597"/>
      <c r="Z687" s="597"/>
    </row>
    <row r="688" spans="1:26" ht="18.75">
      <c r="A688" s="590"/>
      <c r="B688" s="568"/>
      <c r="C688" s="754"/>
      <c r="D688" s="599" t="s">
        <v>20</v>
      </c>
      <c r="E688" s="754"/>
      <c r="F688" s="754"/>
      <c r="G688" s="189"/>
      <c r="H688" s="161" t="s">
        <v>12</v>
      </c>
      <c r="I688" s="184"/>
      <c r="J688" s="184"/>
      <c r="K688" s="163"/>
      <c r="L688" s="496">
        <f t="shared" ref="L688:N688" ca="1" si="286">L689+L690</f>
        <v>21820</v>
      </c>
      <c r="M688" s="496">
        <f t="shared" si="286"/>
        <v>0</v>
      </c>
      <c r="N688" s="496">
        <f t="shared" si="286"/>
        <v>0</v>
      </c>
      <c r="O688" s="496">
        <f t="shared" ca="1" si="283"/>
        <v>0</v>
      </c>
      <c r="P688" s="496">
        <f t="shared" si="284"/>
        <v>0</v>
      </c>
      <c r="Q688" s="571"/>
      <c r="R688" s="571"/>
      <c r="S688" s="571"/>
      <c r="T688" s="571"/>
      <c r="U688" s="571"/>
      <c r="V688" s="571"/>
      <c r="W688" s="571"/>
      <c r="X688" s="571"/>
      <c r="Y688" s="571"/>
      <c r="Z688" s="571"/>
    </row>
    <row r="689" spans="1:26" ht="18.75" hidden="1">
      <c r="A689" s="592"/>
      <c r="B689" s="600"/>
      <c r="C689" s="750"/>
      <c r="D689" s="711"/>
      <c r="E689" s="750" t="s">
        <v>184</v>
      </c>
      <c r="F689" s="750"/>
      <c r="G689" s="596"/>
      <c r="H689" s="165" t="s">
        <v>12</v>
      </c>
      <c r="I689" s="610"/>
      <c r="J689" s="610"/>
      <c r="K689" s="93"/>
      <c r="L689" s="93">
        <v>0</v>
      </c>
      <c r="M689" s="93">
        <v>0</v>
      </c>
      <c r="N689" s="93">
        <v>0</v>
      </c>
      <c r="O689" s="93"/>
      <c r="P689" s="93"/>
      <c r="Q689" s="597"/>
      <c r="R689" s="597"/>
      <c r="S689" s="597"/>
      <c r="T689" s="597"/>
      <c r="U689" s="597"/>
      <c r="V689" s="597"/>
      <c r="W689" s="597"/>
      <c r="X689" s="597"/>
      <c r="Y689" s="597"/>
      <c r="Z689" s="597"/>
    </row>
    <row r="690" spans="1:26" ht="18.75" hidden="1">
      <c r="A690" s="592"/>
      <c r="B690" s="600"/>
      <c r="C690" s="750"/>
      <c r="D690" s="711"/>
      <c r="E690" s="750" t="s">
        <v>185</v>
      </c>
      <c r="F690" s="750"/>
      <c r="G690" s="596"/>
      <c r="H690" s="165" t="s">
        <v>12</v>
      </c>
      <c r="I690" s="610"/>
      <c r="J690" s="610"/>
      <c r="K690" s="93"/>
      <c r="L690" s="93">
        <f ca="1">IFERROR(__xludf.DUMMYFUNCTION("IMPORTRANGE(""https://docs.google.com/spreadsheets/d/1QqKyyYR6Q21VydFLVH3TRQUabQu_ym0Zz7PgGX0-kHA/edit?usp=sharing"",""แผน!HW68"")"),21820)</f>
        <v>21820</v>
      </c>
      <c r="M690" s="93">
        <v>0</v>
      </c>
      <c r="N690" s="93">
        <f>N691+N692+N693+N694</f>
        <v>0</v>
      </c>
      <c r="O690" s="93">
        <f ca="1">IF(L690&gt;0,N690*100/L690,0)</f>
        <v>0</v>
      </c>
      <c r="P690" s="93">
        <f>IF(M690&gt;0,N690*100/M690,0)</f>
        <v>0</v>
      </c>
      <c r="Q690" s="597"/>
      <c r="R690" s="597"/>
      <c r="S690" s="597"/>
      <c r="T690" s="597"/>
      <c r="U690" s="597"/>
      <c r="V690" s="597"/>
      <c r="W690" s="597"/>
      <c r="X690" s="597"/>
      <c r="Y690" s="597"/>
      <c r="Z690" s="597"/>
    </row>
    <row r="691" spans="1:26" ht="18.75">
      <c r="A691" s="567"/>
      <c r="B691" s="568"/>
      <c r="C691" s="754"/>
      <c r="D691" s="754"/>
      <c r="E691" s="754"/>
      <c r="F691" s="754" t="s">
        <v>186</v>
      </c>
      <c r="G691" s="189"/>
      <c r="H691" s="161" t="s">
        <v>12</v>
      </c>
      <c r="I691" s="269"/>
      <c r="J691" s="269"/>
      <c r="K691" s="496"/>
      <c r="L691" s="496"/>
      <c r="M691" s="496"/>
      <c r="N691" s="817">
        <v>0</v>
      </c>
      <c r="O691" s="496"/>
      <c r="P691" s="496"/>
      <c r="Q691" s="571"/>
      <c r="R691" s="571"/>
      <c r="S691" s="571"/>
      <c r="T691" s="571"/>
      <c r="U691" s="571"/>
      <c r="V691" s="571"/>
      <c r="W691" s="571"/>
      <c r="X691" s="571"/>
      <c r="Y691" s="571"/>
      <c r="Z691" s="571"/>
    </row>
    <row r="692" spans="1:26" ht="18.75">
      <c r="A692" s="567"/>
      <c r="B692" s="568"/>
      <c r="C692" s="754"/>
      <c r="D692" s="754"/>
      <c r="E692" s="754"/>
      <c r="F692" s="754" t="s">
        <v>187</v>
      </c>
      <c r="G692" s="189"/>
      <c r="H692" s="161" t="s">
        <v>12</v>
      </c>
      <c r="I692" s="269"/>
      <c r="J692" s="269"/>
      <c r="K692" s="496"/>
      <c r="L692" s="496"/>
      <c r="M692" s="496"/>
      <c r="N692" s="817">
        <v>0</v>
      </c>
      <c r="O692" s="496"/>
      <c r="P692" s="496"/>
      <c r="Q692" s="571"/>
      <c r="R692" s="571"/>
      <c r="S692" s="571"/>
      <c r="T692" s="571"/>
      <c r="U692" s="571"/>
      <c r="V692" s="571"/>
      <c r="W692" s="571"/>
      <c r="X692" s="571"/>
      <c r="Y692" s="571"/>
      <c r="Z692" s="571"/>
    </row>
    <row r="693" spans="1:26" ht="18.75">
      <c r="A693" s="567"/>
      <c r="B693" s="568"/>
      <c r="C693" s="754"/>
      <c r="D693" s="754"/>
      <c r="E693" s="754"/>
      <c r="F693" s="754" t="s">
        <v>188</v>
      </c>
      <c r="G693" s="189"/>
      <c r="H693" s="161" t="s">
        <v>12</v>
      </c>
      <c r="I693" s="269"/>
      <c r="J693" s="269"/>
      <c r="K693" s="496"/>
      <c r="L693" s="496"/>
      <c r="M693" s="496"/>
      <c r="N693" s="817">
        <v>0</v>
      </c>
      <c r="O693" s="496"/>
      <c r="P693" s="496"/>
      <c r="Q693" s="571"/>
      <c r="R693" s="571"/>
      <c r="S693" s="571"/>
      <c r="T693" s="571"/>
      <c r="U693" s="571"/>
      <c r="V693" s="571"/>
      <c r="W693" s="571"/>
      <c r="X693" s="571"/>
      <c r="Y693" s="571"/>
      <c r="Z693" s="571"/>
    </row>
    <row r="694" spans="1:26" ht="18.75">
      <c r="A694" s="567"/>
      <c r="B694" s="568"/>
      <c r="C694" s="754"/>
      <c r="D694" s="754"/>
      <c r="E694" s="754"/>
      <c r="F694" s="754" t="s">
        <v>189</v>
      </c>
      <c r="G694" s="189"/>
      <c r="H694" s="161" t="s">
        <v>12</v>
      </c>
      <c r="I694" s="269"/>
      <c r="J694" s="269"/>
      <c r="K694" s="496"/>
      <c r="L694" s="496"/>
      <c r="M694" s="496"/>
      <c r="N694" s="817">
        <v>0</v>
      </c>
      <c r="O694" s="496"/>
      <c r="P694" s="496"/>
      <c r="Q694" s="571"/>
      <c r="R694" s="571"/>
      <c r="S694" s="571"/>
      <c r="T694" s="571"/>
      <c r="U694" s="571"/>
      <c r="V694" s="571"/>
      <c r="W694" s="571"/>
      <c r="X694" s="571"/>
      <c r="Y694" s="571"/>
      <c r="Z694" s="571"/>
    </row>
    <row r="695" spans="1:26" ht="18.75">
      <c r="A695" s="590"/>
      <c r="B695" s="568"/>
      <c r="C695" s="754"/>
      <c r="D695" s="599" t="s">
        <v>21</v>
      </c>
      <c r="E695" s="754"/>
      <c r="F695" s="754"/>
      <c r="G695" s="189"/>
      <c r="H695" s="168" t="s">
        <v>12</v>
      </c>
      <c r="I695" s="184"/>
      <c r="J695" s="184"/>
      <c r="K695" s="163"/>
      <c r="L695" s="496">
        <f t="shared" ref="L695:N695" si="287">L696+L697</f>
        <v>0</v>
      </c>
      <c r="M695" s="496">
        <f t="shared" si="287"/>
        <v>0</v>
      </c>
      <c r="N695" s="496">
        <f t="shared" si="287"/>
        <v>0</v>
      </c>
      <c r="O695" s="496">
        <f t="shared" ref="O695:O697" si="288">IF(L695&gt;0,N695*100/L695,0)</f>
        <v>0</v>
      </c>
      <c r="P695" s="496">
        <f t="shared" ref="P695:P697" si="289">IF(M695&gt;0,N695*100/M695,0)</f>
        <v>0</v>
      </c>
      <c r="Q695" s="571"/>
      <c r="R695" s="571"/>
      <c r="S695" s="571"/>
      <c r="T695" s="571"/>
      <c r="U695" s="571"/>
      <c r="V695" s="571"/>
      <c r="W695" s="571"/>
      <c r="X695" s="571"/>
      <c r="Y695" s="571"/>
      <c r="Z695" s="571"/>
    </row>
    <row r="696" spans="1:26" ht="18.75" hidden="1">
      <c r="A696" s="592"/>
      <c r="B696" s="600"/>
      <c r="C696" s="750"/>
      <c r="D696" s="750"/>
      <c r="E696" s="750" t="s">
        <v>18</v>
      </c>
      <c r="F696" s="750"/>
      <c r="G696" s="596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597"/>
      <c r="R696" s="597"/>
      <c r="S696" s="597"/>
      <c r="T696" s="597"/>
      <c r="U696" s="597"/>
      <c r="V696" s="597"/>
      <c r="W696" s="597"/>
      <c r="X696" s="597"/>
      <c r="Y696" s="597"/>
      <c r="Z696" s="597"/>
    </row>
    <row r="697" spans="1:26" ht="18.75" hidden="1">
      <c r="A697" s="592"/>
      <c r="B697" s="600"/>
      <c r="C697" s="750"/>
      <c r="D697" s="750"/>
      <c r="E697" s="750" t="s">
        <v>19</v>
      </c>
      <c r="F697" s="750"/>
      <c r="G697" s="596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597"/>
      <c r="R697" s="597"/>
      <c r="S697" s="597"/>
      <c r="T697" s="597"/>
      <c r="U697" s="597"/>
      <c r="V697" s="597"/>
      <c r="W697" s="597"/>
      <c r="X697" s="597"/>
      <c r="Y697" s="597"/>
      <c r="Z697" s="597"/>
    </row>
    <row r="698" spans="1:26" ht="19.5">
      <c r="A698" s="601"/>
      <c r="B698" s="611"/>
      <c r="C698" s="754" t="s">
        <v>16</v>
      </c>
      <c r="D698" s="840" t="s">
        <v>38</v>
      </c>
      <c r="E698" s="752"/>
      <c r="F698" s="752"/>
      <c r="G698" s="606"/>
      <c r="H698" s="753"/>
      <c r="I698" s="184"/>
      <c r="J698" s="184"/>
      <c r="K698" s="163"/>
      <c r="L698" s="163"/>
      <c r="M698" s="163"/>
      <c r="N698" s="163"/>
      <c r="O698" s="163"/>
      <c r="P698" s="163"/>
      <c r="Q698" s="571"/>
      <c r="R698" s="571"/>
      <c r="S698" s="571"/>
      <c r="T698" s="571"/>
      <c r="U698" s="571"/>
      <c r="V698" s="571"/>
      <c r="W698" s="571"/>
      <c r="X698" s="571"/>
      <c r="Y698" s="571"/>
      <c r="Z698" s="571"/>
    </row>
    <row r="699" spans="1:26" ht="18.75">
      <c r="A699" s="735"/>
      <c r="B699" s="754"/>
      <c r="C699" s="754"/>
      <c r="D699" s="754" t="s">
        <v>294</v>
      </c>
      <c r="E699" s="754"/>
      <c r="F699" s="754"/>
      <c r="G699" s="189"/>
      <c r="H699" s="755" t="s">
        <v>46</v>
      </c>
      <c r="I699" s="756">
        <f ca="1">IFERROR(__xludf.DUMMYFUNCTION("IMPORTRANGE(""https://docs.google.com/spreadsheets/d/1QqKyyYR6Q21VydFLVH3TRQUabQu_ym0Zz7PgGX0-kHA/edit?usp=sharing"",""แผน!IC68"")"),10)</f>
        <v>10</v>
      </c>
      <c r="J699" s="269">
        <f ca="1">IFERROR(__xludf.DUMMYFUNCTION("IMPORTRANGE(""https://docs.google.com/spreadsheets/d/1XWAQStnk-4SwqDmLtmXYiTMKHgktTP8We1SCoS47DrQ/edit?usp=sharing"",""จัดที่ดิน!BB68"")"),0)</f>
        <v>0</v>
      </c>
      <c r="K699" s="496">
        <f t="shared" ref="K699:K701" ca="1" si="290">IF(I699&gt;0,J699*100/I699,0)</f>
        <v>0</v>
      </c>
      <c r="L699" s="496"/>
      <c r="M699" s="189"/>
      <c r="N699" s="757"/>
      <c r="O699" s="496"/>
      <c r="P699" s="496"/>
      <c r="Q699" s="571"/>
      <c r="R699" s="571"/>
      <c r="S699" s="571"/>
      <c r="T699" s="571"/>
      <c r="U699" s="571"/>
      <c r="V699" s="571"/>
      <c r="W699" s="571"/>
      <c r="X699" s="571"/>
      <c r="Y699" s="571"/>
      <c r="Z699" s="571"/>
    </row>
    <row r="700" spans="1:26" ht="18.75">
      <c r="A700" s="735"/>
      <c r="B700" s="754"/>
      <c r="C700" s="754"/>
      <c r="D700" s="754" t="s">
        <v>295</v>
      </c>
      <c r="E700" s="754"/>
      <c r="F700" s="754"/>
      <c r="G700" s="189"/>
      <c r="H700" s="755" t="s">
        <v>35</v>
      </c>
      <c r="I700" s="756">
        <f ca="1">IFERROR(__xludf.DUMMYFUNCTION("IMPORTRANGE(""https://docs.google.com/spreadsheets/d/1QqKyyYR6Q21VydFLVH3TRQUabQu_ym0Zz7PgGX0-kHA/edit?usp=sharing"",""แผน!ID68"")"),1)</f>
        <v>1</v>
      </c>
      <c r="J700" s="269">
        <f ca="1">IFERROR(__xludf.DUMMYFUNCTION("IMPORTRANGE(""https://docs.google.com/spreadsheets/d/1XWAQStnk-4SwqDmLtmXYiTMKHgktTP8We1SCoS47DrQ/edit?usp=sharing"",""จัดที่ดิน!BD68"")"),0)</f>
        <v>0</v>
      </c>
      <c r="K700" s="496">
        <f t="shared" ca="1" si="290"/>
        <v>0</v>
      </c>
      <c r="L700" s="496"/>
      <c r="M700" s="189"/>
      <c r="N700" s="757"/>
      <c r="O700" s="496"/>
      <c r="P700" s="496"/>
      <c r="Q700" s="571"/>
      <c r="R700" s="571"/>
      <c r="S700" s="571"/>
      <c r="T700" s="571"/>
      <c r="U700" s="571"/>
      <c r="V700" s="571"/>
      <c r="W700" s="571"/>
      <c r="X700" s="571"/>
      <c r="Y700" s="571"/>
      <c r="Z700" s="571"/>
    </row>
    <row r="701" spans="1:26" ht="19.5">
      <c r="A701" s="735"/>
      <c r="B701" s="754"/>
      <c r="C701" s="754"/>
      <c r="D701" s="754" t="s">
        <v>296</v>
      </c>
      <c r="E701" s="754"/>
      <c r="F701" s="754"/>
      <c r="G701" s="189"/>
      <c r="H701" s="758" t="s">
        <v>46</v>
      </c>
      <c r="I701" s="759">
        <f ca="1">IFERROR(__xludf.DUMMYFUNCTION("IMPORTRANGE(""https://docs.google.com/spreadsheets/d/1QqKyyYR6Q21VydFLVH3TRQUabQu_ym0Zz7PgGX0-kHA/edit?usp=sharing"",""แผน!IE68"")"),550)</f>
        <v>550</v>
      </c>
      <c r="J701" s="674">
        <f>J704+J707</f>
        <v>0</v>
      </c>
      <c r="K701" s="195">
        <f t="shared" ca="1" si="290"/>
        <v>0</v>
      </c>
      <c r="L701" s="496"/>
      <c r="M701" s="189"/>
      <c r="N701" s="757"/>
      <c r="O701" s="496"/>
      <c r="P701" s="496"/>
      <c r="Q701" s="571"/>
      <c r="R701" s="571"/>
      <c r="S701" s="571"/>
      <c r="T701" s="571"/>
      <c r="U701" s="571"/>
      <c r="V701" s="571"/>
      <c r="W701" s="571"/>
      <c r="X701" s="571"/>
      <c r="Y701" s="571"/>
      <c r="Z701" s="571"/>
    </row>
    <row r="702" spans="1:26" ht="18.75">
      <c r="A702" s="735"/>
      <c r="B702" s="754"/>
      <c r="C702" s="754"/>
      <c r="D702" s="754"/>
      <c r="E702" s="754" t="s">
        <v>297</v>
      </c>
      <c r="F702" s="754"/>
      <c r="G702" s="189"/>
      <c r="H702" s="755" t="s">
        <v>35</v>
      </c>
      <c r="I702" s="756"/>
      <c r="J702" s="214">
        <v>0</v>
      </c>
      <c r="K702" s="496"/>
      <c r="L702" s="496"/>
      <c r="M702" s="189"/>
      <c r="N702" s="757"/>
      <c r="O702" s="496"/>
      <c r="P702" s="496"/>
      <c r="Q702" s="571"/>
      <c r="R702" s="571"/>
      <c r="S702" s="571"/>
      <c r="T702" s="571"/>
      <c r="U702" s="571"/>
      <c r="V702" s="571"/>
      <c r="W702" s="571"/>
      <c r="X702" s="571"/>
      <c r="Y702" s="571"/>
      <c r="Z702" s="571"/>
    </row>
    <row r="703" spans="1:26" ht="18.75">
      <c r="A703" s="735"/>
      <c r="B703" s="754"/>
      <c r="C703" s="754"/>
      <c r="D703" s="754"/>
      <c r="E703" s="754"/>
      <c r="F703" s="754"/>
      <c r="G703" s="189"/>
      <c r="H703" s="755" t="s">
        <v>34</v>
      </c>
      <c r="I703" s="756"/>
      <c r="J703" s="214">
        <v>0</v>
      </c>
      <c r="K703" s="496"/>
      <c r="L703" s="496"/>
      <c r="M703" s="189"/>
      <c r="N703" s="757"/>
      <c r="O703" s="496"/>
      <c r="P703" s="496"/>
      <c r="Q703" s="571"/>
      <c r="R703" s="571"/>
      <c r="S703" s="571"/>
      <c r="T703" s="571"/>
      <c r="U703" s="571"/>
      <c r="V703" s="571"/>
      <c r="W703" s="571"/>
      <c r="X703" s="571"/>
      <c r="Y703" s="571"/>
      <c r="Z703" s="571"/>
    </row>
    <row r="704" spans="1:26" ht="18.75">
      <c r="A704" s="735"/>
      <c r="B704" s="754"/>
      <c r="C704" s="754"/>
      <c r="D704" s="754"/>
      <c r="E704" s="754"/>
      <c r="F704" s="754"/>
      <c r="G704" s="189"/>
      <c r="H704" s="755" t="s">
        <v>46</v>
      </c>
      <c r="I704" s="756">
        <f ca="1">IFERROR(__xludf.DUMMYFUNCTION("IMPORTRANGE(""https://docs.google.com/spreadsheets/d/1QqKyyYR6Q21VydFLVH3TRQUabQu_ym0Zz7PgGX0-kHA/edit?usp=sharing"",""แผน!IF68"")"),25)</f>
        <v>25</v>
      </c>
      <c r="J704" s="214">
        <v>0</v>
      </c>
      <c r="K704" s="496"/>
      <c r="L704" s="496"/>
      <c r="M704" s="189"/>
      <c r="N704" s="757"/>
      <c r="O704" s="496"/>
      <c r="P704" s="496"/>
      <c r="Q704" s="571"/>
      <c r="R704" s="571"/>
      <c r="S704" s="571"/>
      <c r="T704" s="571"/>
      <c r="U704" s="571"/>
      <c r="V704" s="571"/>
      <c r="W704" s="571"/>
      <c r="X704" s="571"/>
      <c r="Y704" s="571"/>
      <c r="Z704" s="571"/>
    </row>
    <row r="705" spans="1:26" ht="18.75">
      <c r="A705" s="735"/>
      <c r="B705" s="754"/>
      <c r="C705" s="754"/>
      <c r="D705" s="754"/>
      <c r="E705" s="754" t="s">
        <v>298</v>
      </c>
      <c r="F705" s="754"/>
      <c r="G705" s="189"/>
      <c r="H705" s="755" t="s">
        <v>35</v>
      </c>
      <c r="I705" s="756"/>
      <c r="J705" s="214">
        <v>0</v>
      </c>
      <c r="K705" s="496"/>
      <c r="L705" s="496"/>
      <c r="M705" s="189"/>
      <c r="N705" s="757"/>
      <c r="O705" s="496"/>
      <c r="P705" s="496"/>
      <c r="Q705" s="571"/>
      <c r="R705" s="571"/>
      <c r="S705" s="571"/>
      <c r="T705" s="571"/>
      <c r="U705" s="571"/>
      <c r="V705" s="571"/>
      <c r="W705" s="571"/>
      <c r="X705" s="571"/>
      <c r="Y705" s="571"/>
      <c r="Z705" s="571"/>
    </row>
    <row r="706" spans="1:26" ht="18.75">
      <c r="A706" s="735"/>
      <c r="B706" s="754"/>
      <c r="C706" s="754"/>
      <c r="D706" s="754"/>
      <c r="E706" s="754"/>
      <c r="F706" s="754"/>
      <c r="G706" s="189"/>
      <c r="H706" s="755" t="s">
        <v>34</v>
      </c>
      <c r="I706" s="756"/>
      <c r="J706" s="214">
        <v>0</v>
      </c>
      <c r="K706" s="496"/>
      <c r="L706" s="496"/>
      <c r="M706" s="189"/>
      <c r="N706" s="757"/>
      <c r="O706" s="496"/>
      <c r="P706" s="496"/>
      <c r="Q706" s="571"/>
      <c r="R706" s="571"/>
      <c r="S706" s="571"/>
      <c r="T706" s="571"/>
      <c r="U706" s="571"/>
      <c r="V706" s="571"/>
      <c r="W706" s="571"/>
      <c r="X706" s="571"/>
      <c r="Y706" s="571"/>
      <c r="Z706" s="571"/>
    </row>
    <row r="707" spans="1:26" ht="18.75">
      <c r="A707" s="735"/>
      <c r="B707" s="754"/>
      <c r="C707" s="754"/>
      <c r="D707" s="754"/>
      <c r="E707" s="754"/>
      <c r="F707" s="754"/>
      <c r="G707" s="189"/>
      <c r="H707" s="755" t="s">
        <v>46</v>
      </c>
      <c r="I707" s="756">
        <f ca="1">IFERROR(__xludf.DUMMYFUNCTION("IMPORTRANGE(""https://docs.google.com/spreadsheets/d/1QqKyyYR6Q21VydFLVH3TRQUabQu_ym0Zz7PgGX0-kHA/edit?usp=sharing"",""แผน!IG68"")"),525)</f>
        <v>525</v>
      </c>
      <c r="J707" s="214">
        <v>0</v>
      </c>
      <c r="K707" s="496"/>
      <c r="L707" s="496"/>
      <c r="M707" s="189"/>
      <c r="N707" s="757"/>
      <c r="O707" s="496"/>
      <c r="P707" s="496"/>
      <c r="Q707" s="571"/>
      <c r="R707" s="571"/>
      <c r="S707" s="571"/>
      <c r="T707" s="571"/>
      <c r="U707" s="571"/>
      <c r="V707" s="571"/>
      <c r="W707" s="571"/>
      <c r="X707" s="571"/>
      <c r="Y707" s="571"/>
      <c r="Z707" s="571"/>
    </row>
    <row r="708" spans="1:26" ht="19.5">
      <c r="A708" s="735"/>
      <c r="B708" s="754"/>
      <c r="C708" s="754"/>
      <c r="D708" s="760" t="s">
        <v>299</v>
      </c>
      <c r="E708" s="754"/>
      <c r="F708" s="754"/>
      <c r="G708" s="189"/>
      <c r="H708" s="758" t="s">
        <v>46</v>
      </c>
      <c r="I708" s="759">
        <f ca="1">IFERROR(__xludf.DUMMYFUNCTION("IMPORTRANGE(""https://docs.google.com/spreadsheets/d/1QqKyyYR6Q21VydFLVH3TRQUabQu_ym0Zz7PgGX0-kHA/edit?usp=sharing"",""แผน!IH68"")"),100)</f>
        <v>100</v>
      </c>
      <c r="J708" s="674">
        <f>J714+J717</f>
        <v>0</v>
      </c>
      <c r="K708" s="195">
        <f ca="1">IF(I708&gt;0,J708*100/I708,0)</f>
        <v>0</v>
      </c>
      <c r="L708" s="496"/>
      <c r="M708" s="189"/>
      <c r="N708" s="757"/>
      <c r="O708" s="496"/>
      <c r="P708" s="496"/>
      <c r="Q708" s="571"/>
      <c r="R708" s="571"/>
      <c r="S708" s="571"/>
      <c r="T708" s="571"/>
      <c r="U708" s="571"/>
      <c r="V708" s="571"/>
      <c r="W708" s="571"/>
      <c r="X708" s="571"/>
      <c r="Y708" s="571"/>
      <c r="Z708" s="571"/>
    </row>
    <row r="709" spans="1:26" ht="18.75">
      <c r="A709" s="735"/>
      <c r="B709" s="754"/>
      <c r="C709" s="754"/>
      <c r="D709" s="754"/>
      <c r="E709" s="754" t="s">
        <v>300</v>
      </c>
      <c r="F709" s="754"/>
      <c r="G709" s="189"/>
      <c r="H709" s="755" t="s">
        <v>34</v>
      </c>
      <c r="I709" s="756"/>
      <c r="J709" s="214">
        <v>0</v>
      </c>
      <c r="K709" s="496"/>
      <c r="L709" s="757"/>
      <c r="M709" s="189"/>
      <c r="N709" s="757"/>
      <c r="O709" s="496"/>
      <c r="P709" s="496"/>
      <c r="Q709" s="571"/>
      <c r="R709" s="571"/>
      <c r="S709" s="571"/>
      <c r="T709" s="571"/>
      <c r="U709" s="571"/>
      <c r="V709" s="571"/>
      <c r="W709" s="571"/>
      <c r="X709" s="571"/>
      <c r="Y709" s="571"/>
      <c r="Z709" s="571"/>
    </row>
    <row r="710" spans="1:26" ht="18.75">
      <c r="A710" s="735"/>
      <c r="B710" s="754"/>
      <c r="C710" s="754"/>
      <c r="D710" s="754"/>
      <c r="E710" s="754"/>
      <c r="F710" s="754"/>
      <c r="G710" s="189"/>
      <c r="H710" s="755" t="s">
        <v>46</v>
      </c>
      <c r="I710" s="756"/>
      <c r="J710" s="214">
        <v>0</v>
      </c>
      <c r="K710" s="496"/>
      <c r="L710" s="757"/>
      <c r="M710" s="189"/>
      <c r="N710" s="757"/>
      <c r="O710" s="496"/>
      <c r="P710" s="496"/>
      <c r="Q710" s="571"/>
      <c r="R710" s="571"/>
      <c r="S710" s="571"/>
      <c r="T710" s="571"/>
      <c r="U710" s="571"/>
      <c r="V710" s="571"/>
      <c r="W710" s="571"/>
      <c r="X710" s="571"/>
      <c r="Y710" s="571"/>
      <c r="Z710" s="571"/>
    </row>
    <row r="711" spans="1:26" ht="18.75">
      <c r="A711" s="735"/>
      <c r="B711" s="754"/>
      <c r="C711" s="754"/>
      <c r="D711" s="754"/>
      <c r="E711" s="754" t="s">
        <v>301</v>
      </c>
      <c r="F711" s="754"/>
      <c r="G711" s="189"/>
      <c r="H711" s="753"/>
      <c r="I711" s="756"/>
      <c r="J711" s="269"/>
      <c r="K711" s="496"/>
      <c r="L711" s="757"/>
      <c r="M711" s="189"/>
      <c r="N711" s="757"/>
      <c r="O711" s="496"/>
      <c r="P711" s="496"/>
      <c r="Q711" s="571"/>
      <c r="R711" s="571"/>
      <c r="S711" s="571"/>
      <c r="T711" s="571"/>
      <c r="U711" s="571"/>
      <c r="V711" s="571"/>
      <c r="W711" s="571"/>
      <c r="X711" s="571"/>
      <c r="Y711" s="571"/>
      <c r="Z711" s="571"/>
    </row>
    <row r="712" spans="1:26" ht="18.75">
      <c r="A712" s="735"/>
      <c r="B712" s="754"/>
      <c r="C712" s="754"/>
      <c r="D712" s="754"/>
      <c r="E712" s="754"/>
      <c r="F712" s="754" t="s">
        <v>302</v>
      </c>
      <c r="G712" s="189"/>
      <c r="H712" s="755" t="s">
        <v>35</v>
      </c>
      <c r="I712" s="756"/>
      <c r="J712" s="214">
        <v>0</v>
      </c>
      <c r="K712" s="496"/>
      <c r="L712" s="757"/>
      <c r="M712" s="189"/>
      <c r="N712" s="757"/>
      <c r="O712" s="496"/>
      <c r="P712" s="496"/>
      <c r="Q712" s="571"/>
      <c r="R712" s="571"/>
      <c r="S712" s="571"/>
      <c r="T712" s="571"/>
      <c r="U712" s="571"/>
      <c r="V712" s="571"/>
      <c r="W712" s="571"/>
      <c r="X712" s="571"/>
      <c r="Y712" s="571"/>
      <c r="Z712" s="571"/>
    </row>
    <row r="713" spans="1:26" ht="18.75">
      <c r="A713" s="735"/>
      <c r="B713" s="754"/>
      <c r="C713" s="754"/>
      <c r="D713" s="754"/>
      <c r="E713" s="754"/>
      <c r="F713" s="754"/>
      <c r="G713" s="189"/>
      <c r="H713" s="755" t="s">
        <v>34</v>
      </c>
      <c r="I713" s="756"/>
      <c r="J713" s="214">
        <v>0</v>
      </c>
      <c r="K713" s="496"/>
      <c r="L713" s="757"/>
      <c r="M713" s="189"/>
      <c r="N713" s="757"/>
      <c r="O713" s="496"/>
      <c r="P713" s="496"/>
      <c r="Q713" s="571"/>
      <c r="R713" s="571"/>
      <c r="S713" s="571"/>
      <c r="T713" s="571"/>
      <c r="U713" s="571"/>
      <c r="V713" s="571"/>
      <c r="W713" s="571"/>
      <c r="X713" s="571"/>
      <c r="Y713" s="571"/>
      <c r="Z713" s="571"/>
    </row>
    <row r="714" spans="1:26" ht="18.75">
      <c r="A714" s="735"/>
      <c r="B714" s="754"/>
      <c r="C714" s="754"/>
      <c r="D714" s="754"/>
      <c r="E714" s="754"/>
      <c r="F714" s="754"/>
      <c r="G714" s="189"/>
      <c r="H714" s="755" t="s">
        <v>46</v>
      </c>
      <c r="I714" s="756"/>
      <c r="J714" s="214">
        <v>0</v>
      </c>
      <c r="K714" s="496"/>
      <c r="L714" s="757"/>
      <c r="M714" s="189"/>
      <c r="N714" s="757"/>
      <c r="O714" s="496"/>
      <c r="P714" s="496"/>
      <c r="Q714" s="571"/>
      <c r="R714" s="571"/>
      <c r="S714" s="571"/>
      <c r="T714" s="571"/>
      <c r="U714" s="571"/>
      <c r="V714" s="571"/>
      <c r="W714" s="571"/>
      <c r="X714" s="571"/>
      <c r="Y714" s="571"/>
      <c r="Z714" s="571"/>
    </row>
    <row r="715" spans="1:26" ht="18.75">
      <c r="A715" s="735"/>
      <c r="B715" s="754"/>
      <c r="C715" s="754"/>
      <c r="D715" s="754"/>
      <c r="E715" s="754"/>
      <c r="F715" s="754" t="s">
        <v>303</v>
      </c>
      <c r="G715" s="189"/>
      <c r="H715" s="755" t="s">
        <v>35</v>
      </c>
      <c r="I715" s="756"/>
      <c r="J715" s="214">
        <v>0</v>
      </c>
      <c r="K715" s="496"/>
      <c r="L715" s="757"/>
      <c r="M715" s="189"/>
      <c r="N715" s="757"/>
      <c r="O715" s="496"/>
      <c r="P715" s="496"/>
      <c r="Q715" s="571"/>
      <c r="R715" s="571"/>
      <c r="S715" s="571"/>
      <c r="T715" s="571"/>
      <c r="U715" s="571"/>
      <c r="V715" s="571"/>
      <c r="W715" s="571"/>
      <c r="X715" s="571"/>
      <c r="Y715" s="571"/>
      <c r="Z715" s="571"/>
    </row>
    <row r="716" spans="1:26" ht="18.75">
      <c r="A716" s="735"/>
      <c r="B716" s="754"/>
      <c r="C716" s="754"/>
      <c r="D716" s="754"/>
      <c r="E716" s="754"/>
      <c r="F716" s="754"/>
      <c r="G716" s="189"/>
      <c r="H716" s="755" t="s">
        <v>34</v>
      </c>
      <c r="I716" s="756"/>
      <c r="J716" s="214">
        <v>0</v>
      </c>
      <c r="K716" s="496"/>
      <c r="L716" s="757"/>
      <c r="M716" s="189"/>
      <c r="N716" s="757"/>
      <c r="O716" s="496"/>
      <c r="P716" s="496"/>
      <c r="Q716" s="571"/>
      <c r="R716" s="571"/>
      <c r="S716" s="571"/>
      <c r="T716" s="571"/>
      <c r="U716" s="571"/>
      <c r="V716" s="571"/>
      <c r="W716" s="571"/>
      <c r="X716" s="571"/>
      <c r="Y716" s="571"/>
      <c r="Z716" s="571"/>
    </row>
    <row r="717" spans="1:26" ht="18.75">
      <c r="A717" s="735"/>
      <c r="B717" s="754"/>
      <c r="C717" s="754"/>
      <c r="D717" s="754"/>
      <c r="E717" s="754"/>
      <c r="F717" s="754"/>
      <c r="G717" s="189"/>
      <c r="H717" s="755" t="s">
        <v>46</v>
      </c>
      <c r="I717" s="756"/>
      <c r="J717" s="214">
        <v>0</v>
      </c>
      <c r="K717" s="496"/>
      <c r="L717" s="757"/>
      <c r="M717" s="189"/>
      <c r="N717" s="757"/>
      <c r="O717" s="496"/>
      <c r="P717" s="496"/>
      <c r="Q717" s="571"/>
      <c r="R717" s="571"/>
      <c r="S717" s="571"/>
      <c r="T717" s="571"/>
      <c r="U717" s="571"/>
      <c r="V717" s="571"/>
      <c r="W717" s="571"/>
      <c r="X717" s="571"/>
      <c r="Y717" s="571"/>
      <c r="Z717" s="571"/>
    </row>
    <row r="718" spans="1:26" ht="18.75">
      <c r="A718" s="735"/>
      <c r="B718" s="754"/>
      <c r="C718" s="754"/>
      <c r="D718" s="754" t="s">
        <v>304</v>
      </c>
      <c r="E718" s="754"/>
      <c r="F718" s="754"/>
      <c r="G718" s="189"/>
      <c r="H718" s="755" t="s">
        <v>35</v>
      </c>
      <c r="I718" s="756"/>
      <c r="J718" s="269">
        <f ca="1">IFERROR(__xludf.DUMMYFUNCTION("IMPORTRANGE(""https://docs.google.com/spreadsheets/d/1XWAQStnk-4SwqDmLtmXYiTMKHgktTP8We1SCoS47DrQ/edit?usp=sharing"",""จัดที่ดิน!BF68"")"),0)</f>
        <v>0</v>
      </c>
      <c r="K718" s="496"/>
      <c r="L718" s="496"/>
      <c r="M718" s="189"/>
      <c r="N718" s="757"/>
      <c r="O718" s="496"/>
      <c r="P718" s="496"/>
      <c r="Q718" s="571"/>
      <c r="R718" s="571"/>
      <c r="S718" s="571"/>
      <c r="T718" s="571"/>
      <c r="U718" s="571"/>
      <c r="V718" s="571"/>
      <c r="W718" s="571"/>
      <c r="X718" s="571"/>
      <c r="Y718" s="571"/>
      <c r="Z718" s="571"/>
    </row>
    <row r="719" spans="1:26" ht="18.75">
      <c r="A719" s="735"/>
      <c r="B719" s="754"/>
      <c r="C719" s="754"/>
      <c r="D719" s="754"/>
      <c r="E719" s="754"/>
      <c r="F719" s="754"/>
      <c r="G719" s="189"/>
      <c r="H719" s="755" t="s">
        <v>34</v>
      </c>
      <c r="I719" s="756"/>
      <c r="J719" s="269">
        <f ca="1">IFERROR(__xludf.DUMMYFUNCTION("IMPORTRANGE(""https://docs.google.com/spreadsheets/d/1XWAQStnk-4SwqDmLtmXYiTMKHgktTP8We1SCoS47DrQ/edit?usp=sharing"",""จัดที่ดิน!BG68"")"),0)</f>
        <v>0</v>
      </c>
      <c r="K719" s="496"/>
      <c r="L719" s="757"/>
      <c r="M719" s="189"/>
      <c r="N719" s="757"/>
      <c r="O719" s="496"/>
      <c r="P719" s="496"/>
      <c r="Q719" s="571"/>
      <c r="R719" s="571"/>
      <c r="S719" s="571"/>
      <c r="T719" s="571"/>
      <c r="U719" s="571"/>
      <c r="V719" s="571"/>
      <c r="W719" s="571"/>
      <c r="X719" s="571"/>
      <c r="Y719" s="571"/>
      <c r="Z719" s="571"/>
    </row>
    <row r="720" spans="1:26" ht="18.75">
      <c r="A720" s="735"/>
      <c r="B720" s="754"/>
      <c r="C720" s="754"/>
      <c r="D720" s="754"/>
      <c r="E720" s="754"/>
      <c r="F720" s="754"/>
      <c r="G720" s="189"/>
      <c r="H720" s="755" t="s">
        <v>46</v>
      </c>
      <c r="I720" s="756">
        <f ca="1">IFERROR(__xludf.DUMMYFUNCTION("IMPORTRANGE(""https://docs.google.com/spreadsheets/d/1QqKyyYR6Q21VydFLVH3TRQUabQu_ym0Zz7PgGX0-kHA/edit?usp=sharing"",""แผน!II68"")"),150)</f>
        <v>150</v>
      </c>
      <c r="J720" s="269">
        <f ca="1">IFERROR(__xludf.DUMMYFUNCTION("IMPORTRANGE(""https://docs.google.com/spreadsheets/d/1XWAQStnk-4SwqDmLtmXYiTMKHgktTP8We1SCoS47DrQ/edit?usp=sharing"",""จัดที่ดิน!BH68"")"),0)</f>
        <v>0</v>
      </c>
      <c r="K720" s="496">
        <f t="shared" ref="K720:K723" ca="1" si="291">IF(I720&gt;0,J720*100/I720,0)</f>
        <v>0</v>
      </c>
      <c r="L720" s="757"/>
      <c r="M720" s="189"/>
      <c r="N720" s="757"/>
      <c r="O720" s="496"/>
      <c r="P720" s="496"/>
      <c r="Q720" s="571"/>
      <c r="R720" s="571"/>
      <c r="S720" s="571"/>
      <c r="T720" s="571"/>
      <c r="U720" s="571"/>
      <c r="V720" s="571"/>
      <c r="W720" s="571"/>
      <c r="X720" s="571"/>
      <c r="Y720" s="571"/>
      <c r="Z720" s="571"/>
    </row>
    <row r="721" spans="1:26" ht="19.5">
      <c r="A721" s="735"/>
      <c r="B721" s="754"/>
      <c r="C721" s="754"/>
      <c r="D721" s="754" t="s">
        <v>305</v>
      </c>
      <c r="E721" s="754"/>
      <c r="F721" s="754"/>
      <c r="G721" s="189"/>
      <c r="H721" s="758" t="s">
        <v>35</v>
      </c>
      <c r="I721" s="759">
        <f ca="1">IFERROR(__xludf.DUMMYFUNCTION("IMPORTRANGE(""https://docs.google.com/spreadsheets/d/1QqKyyYR6Q21VydFLVH3TRQUabQu_ym0Zz7PgGX0-kHA/edit?usp=sharing"",""แผน!IJ68"")"),10)</f>
        <v>10</v>
      </c>
      <c r="J721" s="674">
        <f ca="1">J723+J726</f>
        <v>0</v>
      </c>
      <c r="K721" s="195">
        <f t="shared" ca="1" si="291"/>
        <v>0</v>
      </c>
      <c r="L721" s="757"/>
      <c r="M721" s="189"/>
      <c r="N721" s="757"/>
      <c r="O721" s="496"/>
      <c r="P721" s="496"/>
      <c r="Q721" s="571"/>
      <c r="R721" s="571"/>
      <c r="S721" s="571"/>
      <c r="T721" s="571"/>
      <c r="U721" s="571"/>
      <c r="V721" s="571"/>
      <c r="W721" s="571"/>
      <c r="X721" s="571"/>
      <c r="Y721" s="571"/>
      <c r="Z721" s="571"/>
    </row>
    <row r="722" spans="1:26" ht="19.5">
      <c r="A722" s="735"/>
      <c r="B722" s="754"/>
      <c r="C722" s="754"/>
      <c r="D722" s="754"/>
      <c r="E722" s="754"/>
      <c r="F722" s="754"/>
      <c r="G722" s="189"/>
      <c r="H722" s="758" t="s">
        <v>46</v>
      </c>
      <c r="I722" s="759">
        <f ca="1">IFERROR(__xludf.DUMMYFUNCTION("IMPORTRANGE(""https://docs.google.com/spreadsheets/d/1QqKyyYR6Q21VydFLVH3TRQUabQu_ym0Zz7PgGX0-kHA/edit?usp=sharing"",""แผน!IK68"")"),50)</f>
        <v>50</v>
      </c>
      <c r="J722" s="674">
        <f ca="1">J725+J728</f>
        <v>0</v>
      </c>
      <c r="K722" s="195">
        <f t="shared" ca="1" si="291"/>
        <v>0</v>
      </c>
      <c r="L722" s="496"/>
      <c r="M722" s="189"/>
      <c r="N722" s="757"/>
      <c r="O722" s="496"/>
      <c r="P722" s="496"/>
      <c r="Q722" s="571"/>
      <c r="R722" s="571"/>
      <c r="S722" s="571"/>
      <c r="T722" s="571"/>
      <c r="U722" s="571"/>
      <c r="V722" s="571"/>
      <c r="W722" s="571"/>
      <c r="X722" s="571"/>
      <c r="Y722" s="571"/>
      <c r="Z722" s="571"/>
    </row>
    <row r="723" spans="1:26" ht="18.75">
      <c r="A723" s="735"/>
      <c r="B723" s="754"/>
      <c r="C723" s="754"/>
      <c r="D723" s="754"/>
      <c r="E723" s="754" t="s">
        <v>306</v>
      </c>
      <c r="F723" s="754"/>
      <c r="G723" s="189"/>
      <c r="H723" s="755" t="s">
        <v>35</v>
      </c>
      <c r="I723" s="756">
        <f ca="1">IFERROR(__xludf.DUMMYFUNCTION("IMPORTRANGE(""https://docs.google.com/spreadsheets/d/1QqKyyYR6Q21VydFLVH3TRQUabQu_ym0Zz7PgGX0-kHA/edit?usp=sharing"",""แผน!IL68"")"),10)</f>
        <v>10</v>
      </c>
      <c r="J723" s="269">
        <f ca="1">IFERROR(__xludf.DUMMYFUNCTION("IMPORTRANGE(""https://docs.google.com/spreadsheets/d/1XWAQStnk-4SwqDmLtmXYiTMKHgktTP8We1SCoS47DrQ/edit?usp=sharing"",""จัดที่ดิน!BM68"")"),0)</f>
        <v>0</v>
      </c>
      <c r="K723" s="496">
        <f t="shared" ca="1" si="291"/>
        <v>0</v>
      </c>
      <c r="L723" s="496"/>
      <c r="M723" s="189"/>
      <c r="N723" s="757"/>
      <c r="O723" s="496"/>
      <c r="P723" s="496"/>
      <c r="Q723" s="571"/>
      <c r="R723" s="571"/>
      <c r="S723" s="571"/>
      <c r="T723" s="571"/>
      <c r="U723" s="571"/>
      <c r="V723" s="571"/>
      <c r="W723" s="571"/>
      <c r="X723" s="571"/>
      <c r="Y723" s="571"/>
      <c r="Z723" s="571"/>
    </row>
    <row r="724" spans="1:26" ht="18.75">
      <c r="A724" s="735"/>
      <c r="B724" s="754"/>
      <c r="C724" s="754"/>
      <c r="D724" s="754"/>
      <c r="E724" s="754"/>
      <c r="F724" s="754"/>
      <c r="G724" s="189"/>
      <c r="H724" s="755" t="s">
        <v>34</v>
      </c>
      <c r="I724" s="756"/>
      <c r="J724" s="269">
        <f ca="1">IFERROR(__xludf.DUMMYFUNCTION("IMPORTRANGE(""https://docs.google.com/spreadsheets/d/1XWAQStnk-4SwqDmLtmXYiTMKHgktTP8We1SCoS47DrQ/edit?usp=sharing"",""จัดที่ดิน!BN68"")"),0)</f>
        <v>0</v>
      </c>
      <c r="K724" s="496"/>
      <c r="L724" s="757"/>
      <c r="M724" s="189"/>
      <c r="N724" s="757"/>
      <c r="O724" s="496"/>
      <c r="P724" s="496"/>
      <c r="Q724" s="571"/>
      <c r="R724" s="571"/>
      <c r="S724" s="571"/>
      <c r="T724" s="571"/>
      <c r="U724" s="571"/>
      <c r="V724" s="571"/>
      <c r="W724" s="571"/>
      <c r="X724" s="571"/>
      <c r="Y724" s="571"/>
      <c r="Z724" s="571"/>
    </row>
    <row r="725" spans="1:26" ht="18.75">
      <c r="A725" s="735"/>
      <c r="B725" s="754"/>
      <c r="C725" s="754"/>
      <c r="D725" s="754"/>
      <c r="E725" s="754"/>
      <c r="F725" s="754"/>
      <c r="G725" s="189"/>
      <c r="H725" s="755" t="s">
        <v>46</v>
      </c>
      <c r="I725" s="756">
        <f ca="1">IFERROR(__xludf.DUMMYFUNCTION("IMPORTRANGE(""https://docs.google.com/spreadsheets/d/1QqKyyYR6Q21VydFLVH3TRQUabQu_ym0Zz7PgGX0-kHA/edit?usp=sharing"",""แผน!IM68"")"),50)</f>
        <v>50</v>
      </c>
      <c r="J725" s="269">
        <f ca="1">IFERROR(__xludf.DUMMYFUNCTION("IMPORTRANGE(""https://docs.google.com/spreadsheets/d/1XWAQStnk-4SwqDmLtmXYiTMKHgktTP8We1SCoS47DrQ/edit?usp=sharing"",""จัดที่ดิน!BO68"")"),0)</f>
        <v>0</v>
      </c>
      <c r="K725" s="496">
        <f t="shared" ref="K725:K726" ca="1" si="292">IF(I725&gt;0,J725*100/I725,0)</f>
        <v>0</v>
      </c>
      <c r="L725" s="757"/>
      <c r="M725" s="189"/>
      <c r="N725" s="757"/>
      <c r="O725" s="496"/>
      <c r="P725" s="496"/>
      <c r="Q725" s="571"/>
      <c r="R725" s="571"/>
      <c r="S725" s="571"/>
      <c r="T725" s="571"/>
      <c r="U725" s="571"/>
      <c r="V725" s="571"/>
      <c r="W725" s="571"/>
      <c r="X725" s="571"/>
      <c r="Y725" s="571"/>
      <c r="Z725" s="571"/>
    </row>
    <row r="726" spans="1:26" ht="18.75">
      <c r="A726" s="735"/>
      <c r="B726" s="754"/>
      <c r="C726" s="754"/>
      <c r="D726" s="754"/>
      <c r="E726" s="754" t="s">
        <v>307</v>
      </c>
      <c r="F726" s="754"/>
      <c r="G726" s="189"/>
      <c r="H726" s="755" t="s">
        <v>35</v>
      </c>
      <c r="I726" s="756">
        <f ca="1">IFERROR(__xludf.DUMMYFUNCTION("IMPORTRANGE(""https://docs.google.com/spreadsheets/d/1QqKyyYR6Q21VydFLVH3TRQUabQu_ym0Zz7PgGX0-kHA/edit?usp=sharing"",""แผน!IN68"")"),0)</f>
        <v>0</v>
      </c>
      <c r="J726" s="269">
        <f ca="1">IFERROR(__xludf.DUMMYFUNCTION("IMPORTRANGE(""https://docs.google.com/spreadsheets/d/1XWAQStnk-4SwqDmLtmXYiTMKHgktTP8We1SCoS47DrQ/edit?usp=sharing"",""จัดที่ดิน!BR68"")"),0)</f>
        <v>0</v>
      </c>
      <c r="K726" s="496">
        <f t="shared" ca="1" si="292"/>
        <v>0</v>
      </c>
      <c r="L726" s="496"/>
      <c r="M726" s="189"/>
      <c r="N726" s="757"/>
      <c r="O726" s="496"/>
      <c r="P726" s="496"/>
      <c r="Q726" s="571"/>
      <c r="R726" s="571"/>
      <c r="S726" s="571"/>
      <c r="T726" s="571"/>
      <c r="U726" s="571"/>
      <c r="V726" s="571"/>
      <c r="W726" s="571"/>
      <c r="X726" s="571"/>
      <c r="Y726" s="571"/>
      <c r="Z726" s="571"/>
    </row>
    <row r="727" spans="1:26" ht="18.75">
      <c r="A727" s="735"/>
      <c r="B727" s="754"/>
      <c r="C727" s="754"/>
      <c r="D727" s="754"/>
      <c r="E727" s="754"/>
      <c r="F727" s="754"/>
      <c r="G727" s="189"/>
      <c r="H727" s="755" t="s">
        <v>34</v>
      </c>
      <c r="I727" s="756"/>
      <c r="J727" s="269">
        <f ca="1">IFERROR(__xludf.DUMMYFUNCTION("IMPORTRANGE(""https://docs.google.com/spreadsheets/d/1XWAQStnk-4SwqDmLtmXYiTMKHgktTP8We1SCoS47DrQ/edit?usp=sharing"",""จัดที่ดิน!BS68"")"),0)</f>
        <v>0</v>
      </c>
      <c r="K727" s="496"/>
      <c r="L727" s="757"/>
      <c r="M727" s="189"/>
      <c r="N727" s="757"/>
      <c r="O727" s="496"/>
      <c r="P727" s="496"/>
      <c r="Q727" s="571"/>
      <c r="R727" s="571"/>
      <c r="S727" s="571"/>
      <c r="T727" s="571"/>
      <c r="U727" s="571"/>
      <c r="V727" s="571"/>
      <c r="W727" s="571"/>
      <c r="X727" s="571"/>
      <c r="Y727" s="571"/>
      <c r="Z727" s="571"/>
    </row>
    <row r="728" spans="1:26" ht="18.75">
      <c r="A728" s="735"/>
      <c r="B728" s="754"/>
      <c r="C728" s="754"/>
      <c r="D728" s="754"/>
      <c r="E728" s="754"/>
      <c r="F728" s="754"/>
      <c r="G728" s="189"/>
      <c r="H728" s="755" t="s">
        <v>46</v>
      </c>
      <c r="I728" s="756">
        <f ca="1">IFERROR(__xludf.DUMMYFUNCTION("IMPORTRANGE(""https://docs.google.com/spreadsheets/d/1QqKyyYR6Q21VydFLVH3TRQUabQu_ym0Zz7PgGX0-kHA/edit?usp=sharing"",""แผน!IO68"")"),0)</f>
        <v>0</v>
      </c>
      <c r="J728" s="269">
        <f ca="1">IFERROR(__xludf.DUMMYFUNCTION("IMPORTRANGE(""https://docs.google.com/spreadsheets/d/1XWAQStnk-4SwqDmLtmXYiTMKHgktTP8We1SCoS47DrQ/edit?usp=sharing"",""จัดที่ดิน!BT68"")"),0)</f>
        <v>0</v>
      </c>
      <c r="K728" s="496">
        <f t="shared" ref="K728:K729" ca="1" si="293">IF(I728&gt;0,J728*100/I728,0)</f>
        <v>0</v>
      </c>
      <c r="L728" s="757"/>
      <c r="M728" s="189"/>
      <c r="N728" s="757"/>
      <c r="O728" s="496"/>
      <c r="P728" s="496"/>
      <c r="Q728" s="571"/>
      <c r="R728" s="571"/>
      <c r="S728" s="571"/>
      <c r="T728" s="571"/>
      <c r="U728" s="571"/>
      <c r="V728" s="571"/>
      <c r="W728" s="571"/>
      <c r="X728" s="571"/>
      <c r="Y728" s="571"/>
      <c r="Z728" s="571"/>
    </row>
    <row r="729" spans="1:26" ht="19.5">
      <c r="A729" s="735"/>
      <c r="B729" s="754"/>
      <c r="C729" s="754"/>
      <c r="D729" s="754" t="s">
        <v>308</v>
      </c>
      <c r="E729" s="754"/>
      <c r="F729" s="754"/>
      <c r="G729" s="189"/>
      <c r="H729" s="758" t="s">
        <v>46</v>
      </c>
      <c r="I729" s="759">
        <f ca="1">IFERROR(__xludf.DUMMYFUNCTION("IMPORTRANGE(""https://docs.google.com/spreadsheets/d/1QqKyyYR6Q21VydFLVH3TRQUabQu_ym0Zz7PgGX0-kHA/edit?usp=sharing"",""แผน!IP68"")"),10)</f>
        <v>10</v>
      </c>
      <c r="J729" s="674">
        <f>J732+J735</f>
        <v>0</v>
      </c>
      <c r="K729" s="195">
        <f t="shared" ca="1" si="293"/>
        <v>0</v>
      </c>
      <c r="L729" s="496"/>
      <c r="M729" s="189"/>
      <c r="N729" s="757"/>
      <c r="O729" s="496"/>
      <c r="P729" s="496"/>
      <c r="Q729" s="571"/>
      <c r="R729" s="571"/>
      <c r="S729" s="571"/>
      <c r="T729" s="571"/>
      <c r="U729" s="571"/>
      <c r="V729" s="571"/>
      <c r="W729" s="571"/>
      <c r="X729" s="571"/>
      <c r="Y729" s="571"/>
      <c r="Z729" s="571"/>
    </row>
    <row r="730" spans="1:26" ht="18.75">
      <c r="A730" s="735"/>
      <c r="B730" s="754"/>
      <c r="C730" s="754"/>
      <c r="D730" s="754"/>
      <c r="E730" s="754" t="s">
        <v>309</v>
      </c>
      <c r="F730" s="754"/>
      <c r="G730" s="189"/>
      <c r="H730" s="755" t="s">
        <v>35</v>
      </c>
      <c r="I730" s="756"/>
      <c r="J730" s="214">
        <v>0</v>
      </c>
      <c r="K730" s="496"/>
      <c r="L730" s="757"/>
      <c r="M730" s="496"/>
      <c r="N730" s="757"/>
      <c r="O730" s="496"/>
      <c r="P730" s="496"/>
      <c r="Q730" s="571"/>
      <c r="R730" s="571"/>
      <c r="S730" s="571"/>
      <c r="T730" s="571"/>
      <c r="U730" s="571"/>
      <c r="V730" s="571"/>
      <c r="W730" s="571"/>
      <c r="X730" s="571"/>
      <c r="Y730" s="571"/>
      <c r="Z730" s="571"/>
    </row>
    <row r="731" spans="1:26" ht="18.75">
      <c r="A731" s="735"/>
      <c r="B731" s="754"/>
      <c r="C731" s="754"/>
      <c r="D731" s="754"/>
      <c r="E731" s="754"/>
      <c r="F731" s="754"/>
      <c r="G731" s="189"/>
      <c r="H731" s="755" t="s">
        <v>34</v>
      </c>
      <c r="I731" s="756"/>
      <c r="J731" s="214">
        <v>0</v>
      </c>
      <c r="K731" s="496"/>
      <c r="L731" s="757"/>
      <c r="M731" s="496"/>
      <c r="N731" s="757"/>
      <c r="O731" s="496"/>
      <c r="P731" s="496"/>
      <c r="Q731" s="571"/>
      <c r="R731" s="571"/>
      <c r="S731" s="571"/>
      <c r="T731" s="571"/>
      <c r="U731" s="571"/>
      <c r="V731" s="571"/>
      <c r="W731" s="571"/>
      <c r="X731" s="571"/>
      <c r="Y731" s="571"/>
      <c r="Z731" s="571"/>
    </row>
    <row r="732" spans="1:26" ht="18.75">
      <c r="A732" s="735"/>
      <c r="B732" s="754"/>
      <c r="C732" s="754"/>
      <c r="D732" s="754"/>
      <c r="E732" s="754"/>
      <c r="F732" s="754"/>
      <c r="G732" s="189"/>
      <c r="H732" s="755" t="s">
        <v>46</v>
      </c>
      <c r="I732" s="756"/>
      <c r="J732" s="214">
        <v>0</v>
      </c>
      <c r="K732" s="496"/>
      <c r="L732" s="757"/>
      <c r="M732" s="496"/>
      <c r="N732" s="757"/>
      <c r="O732" s="496"/>
      <c r="P732" s="496"/>
      <c r="Q732" s="571"/>
      <c r="R732" s="571"/>
      <c r="S732" s="571"/>
      <c r="T732" s="571"/>
      <c r="U732" s="571"/>
      <c r="V732" s="571"/>
      <c r="W732" s="571"/>
      <c r="X732" s="571"/>
      <c r="Y732" s="571"/>
      <c r="Z732" s="571"/>
    </row>
    <row r="733" spans="1:26" ht="18.75">
      <c r="A733" s="735"/>
      <c r="B733" s="754"/>
      <c r="C733" s="754"/>
      <c r="D733" s="754"/>
      <c r="E733" s="754" t="s">
        <v>310</v>
      </c>
      <c r="F733" s="754"/>
      <c r="G733" s="189"/>
      <c r="H733" s="755" t="s">
        <v>35</v>
      </c>
      <c r="I733" s="756"/>
      <c r="J733" s="214">
        <v>0</v>
      </c>
      <c r="K733" s="496"/>
      <c r="L733" s="757"/>
      <c r="M733" s="496"/>
      <c r="N733" s="757"/>
      <c r="O733" s="496"/>
      <c r="P733" s="496"/>
      <c r="Q733" s="571"/>
      <c r="R733" s="571"/>
      <c r="S733" s="571"/>
      <c r="T733" s="571"/>
      <c r="U733" s="571"/>
      <c r="V733" s="571"/>
      <c r="W733" s="571"/>
      <c r="X733" s="571"/>
      <c r="Y733" s="571"/>
      <c r="Z733" s="571"/>
    </row>
    <row r="734" spans="1:26" ht="18.75">
      <c r="A734" s="735"/>
      <c r="B734" s="754"/>
      <c r="C734" s="754"/>
      <c r="D734" s="754"/>
      <c r="E734" s="754"/>
      <c r="F734" s="754"/>
      <c r="G734" s="189"/>
      <c r="H734" s="755" t="s">
        <v>34</v>
      </c>
      <c r="I734" s="756"/>
      <c r="J734" s="214">
        <v>0</v>
      </c>
      <c r="K734" s="496"/>
      <c r="L734" s="757"/>
      <c r="M734" s="496"/>
      <c r="N734" s="757"/>
      <c r="O734" s="496"/>
      <c r="P734" s="496"/>
      <c r="Q734" s="571"/>
      <c r="R734" s="571"/>
      <c r="S734" s="571"/>
      <c r="T734" s="571"/>
      <c r="U734" s="571"/>
      <c r="V734" s="571"/>
      <c r="W734" s="571"/>
      <c r="X734" s="571"/>
      <c r="Y734" s="571"/>
      <c r="Z734" s="571"/>
    </row>
    <row r="735" spans="1:26" ht="19.5">
      <c r="A735" s="761"/>
      <c r="B735" s="762" t="s">
        <v>311</v>
      </c>
      <c r="C735" s="725"/>
      <c r="D735" s="725"/>
      <c r="E735" s="725"/>
      <c r="F735" s="725"/>
      <c r="G735" s="726"/>
      <c r="H735" s="421" t="s">
        <v>46</v>
      </c>
      <c r="I735" s="763"/>
      <c r="J735" s="423">
        <v>0</v>
      </c>
      <c r="K735" s="500"/>
      <c r="L735" s="764"/>
      <c r="M735" s="500"/>
      <c r="N735" s="764"/>
      <c r="O735" s="500"/>
      <c r="P735" s="500"/>
      <c r="Q735" s="571"/>
      <c r="R735" s="571"/>
      <c r="S735" s="571"/>
      <c r="T735" s="571"/>
      <c r="U735" s="571"/>
      <c r="V735" s="571"/>
      <c r="W735" s="571"/>
      <c r="X735" s="571"/>
      <c r="Y735" s="571"/>
      <c r="Z735" s="571"/>
    </row>
    <row r="736" spans="1:26" ht="19.5" hidden="1">
      <c r="A736" s="765">
        <v>9</v>
      </c>
      <c r="B736" s="766" t="s">
        <v>312</v>
      </c>
      <c r="C736" s="767"/>
      <c r="D736" s="767"/>
      <c r="E736" s="767"/>
      <c r="F736" s="767"/>
      <c r="G736" s="768"/>
      <c r="H736" s="769" t="s">
        <v>46</v>
      </c>
      <c r="I736" s="770"/>
      <c r="J736" s="770">
        <f>J751</f>
        <v>0</v>
      </c>
      <c r="K736" s="771">
        <f>IF(I736&gt;0,J736*100/I736,0)</f>
        <v>0</v>
      </c>
      <c r="L736" s="772"/>
      <c r="M736" s="772"/>
      <c r="N736" s="772"/>
      <c r="O736" s="772"/>
      <c r="P736" s="772"/>
      <c r="Q736" s="597"/>
      <c r="R736" s="597"/>
      <c r="S736" s="597"/>
      <c r="T736" s="597"/>
      <c r="U736" s="597"/>
      <c r="V736" s="597"/>
      <c r="W736" s="597"/>
      <c r="X736" s="597"/>
      <c r="Y736" s="597"/>
      <c r="Z736" s="597"/>
    </row>
    <row r="737" spans="1:26" ht="19.5" hidden="1">
      <c r="A737" s="592"/>
      <c r="B737" s="750"/>
      <c r="C737" s="750" t="s">
        <v>16</v>
      </c>
      <c r="D737" s="864" t="s">
        <v>17</v>
      </c>
      <c r="E737" s="857"/>
      <c r="F737" s="857"/>
      <c r="G737" s="596"/>
      <c r="H737" s="639" t="s">
        <v>12</v>
      </c>
      <c r="I737" s="610"/>
      <c r="J737" s="610"/>
      <c r="K737" s="93"/>
      <c r="L737" s="640">
        <f t="shared" ref="L737:N737" si="294">L738+L739</f>
        <v>0</v>
      </c>
      <c r="M737" s="640">
        <f t="shared" si="294"/>
        <v>0</v>
      </c>
      <c r="N737" s="640">
        <f t="shared" si="294"/>
        <v>0</v>
      </c>
      <c r="O737" s="640">
        <f t="shared" ref="O737:O742" si="295">IF(L737&gt;0,N737*100/L737,0)</f>
        <v>0</v>
      </c>
      <c r="P737" s="640">
        <f t="shared" ref="P737:P742" si="296">IF(M737&gt;0,N737*100/M737,0)</f>
        <v>0</v>
      </c>
      <c r="Q737" s="597"/>
      <c r="R737" s="597"/>
      <c r="S737" s="597"/>
      <c r="T737" s="597"/>
      <c r="U737" s="597"/>
      <c r="V737" s="597"/>
      <c r="W737" s="597"/>
      <c r="X737" s="597"/>
      <c r="Y737" s="597"/>
      <c r="Z737" s="597"/>
    </row>
    <row r="738" spans="1:26" ht="18.75" hidden="1">
      <c r="A738" s="592"/>
      <c r="B738" s="750"/>
      <c r="C738" s="750"/>
      <c r="D738" s="711"/>
      <c r="E738" s="750" t="s">
        <v>184</v>
      </c>
      <c r="F738" s="750"/>
      <c r="G738" s="596"/>
      <c r="H738" s="165" t="s">
        <v>12</v>
      </c>
      <c r="I738" s="610"/>
      <c r="J738" s="610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597"/>
      <c r="R738" s="597"/>
      <c r="S738" s="597"/>
      <c r="T738" s="597"/>
      <c r="U738" s="597"/>
      <c r="V738" s="597"/>
      <c r="W738" s="597"/>
      <c r="X738" s="597"/>
      <c r="Y738" s="597"/>
      <c r="Z738" s="597"/>
    </row>
    <row r="739" spans="1:26" ht="18.75" hidden="1">
      <c r="A739" s="592"/>
      <c r="B739" s="600"/>
      <c r="C739" s="750"/>
      <c r="D739" s="711"/>
      <c r="E739" s="750" t="s">
        <v>185</v>
      </c>
      <c r="F739" s="750"/>
      <c r="G739" s="596"/>
      <c r="H739" s="165" t="s">
        <v>12</v>
      </c>
      <c r="I739" s="610"/>
      <c r="J739" s="610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597"/>
      <c r="R739" s="597"/>
      <c r="S739" s="597"/>
      <c r="T739" s="597"/>
      <c r="U739" s="597"/>
      <c r="V739" s="597"/>
      <c r="W739" s="597"/>
      <c r="X739" s="597"/>
      <c r="Y739" s="597"/>
      <c r="Z739" s="597"/>
    </row>
    <row r="740" spans="1:26" ht="19.5" hidden="1">
      <c r="A740" s="592"/>
      <c r="B740" s="600"/>
      <c r="C740" s="750"/>
      <c r="D740" s="638" t="s">
        <v>20</v>
      </c>
      <c r="E740" s="750"/>
      <c r="F740" s="750"/>
      <c r="G740" s="596"/>
      <c r="H740" s="639" t="s">
        <v>12</v>
      </c>
      <c r="I740" s="166"/>
      <c r="J740" s="166"/>
      <c r="K740" s="167"/>
      <c r="L740" s="640">
        <f t="shared" ref="L740:N740" si="298">L741+L742</f>
        <v>0</v>
      </c>
      <c r="M740" s="640">
        <f t="shared" si="298"/>
        <v>0</v>
      </c>
      <c r="N740" s="640">
        <f t="shared" si="298"/>
        <v>0</v>
      </c>
      <c r="O740" s="640">
        <f t="shared" si="295"/>
        <v>0</v>
      </c>
      <c r="P740" s="640">
        <f t="shared" si="296"/>
        <v>0</v>
      </c>
      <c r="Q740" s="597"/>
      <c r="R740" s="597"/>
      <c r="S740" s="597"/>
      <c r="T740" s="597"/>
      <c r="U740" s="597"/>
      <c r="V740" s="597"/>
      <c r="W740" s="597"/>
      <c r="X740" s="597"/>
      <c r="Y740" s="597"/>
      <c r="Z740" s="597"/>
    </row>
    <row r="741" spans="1:26" ht="18.75" hidden="1">
      <c r="A741" s="592"/>
      <c r="B741" s="600"/>
      <c r="C741" s="750"/>
      <c r="D741" s="711"/>
      <c r="E741" s="750" t="s">
        <v>184</v>
      </c>
      <c r="F741" s="750"/>
      <c r="G741" s="596"/>
      <c r="H741" s="165" t="s">
        <v>12</v>
      </c>
      <c r="I741" s="610"/>
      <c r="J741" s="610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597"/>
      <c r="R741" s="597"/>
      <c r="S741" s="597"/>
      <c r="T741" s="597"/>
      <c r="U741" s="597"/>
      <c r="V741" s="597"/>
      <c r="W741" s="597"/>
      <c r="X741" s="597"/>
      <c r="Y741" s="597"/>
      <c r="Z741" s="597"/>
    </row>
    <row r="742" spans="1:26" ht="18.75" hidden="1">
      <c r="A742" s="592"/>
      <c r="B742" s="600"/>
      <c r="C742" s="750"/>
      <c r="D742" s="711"/>
      <c r="E742" s="750" t="s">
        <v>185</v>
      </c>
      <c r="F742" s="750"/>
      <c r="G742" s="596"/>
      <c r="H742" s="165" t="s">
        <v>12</v>
      </c>
      <c r="I742" s="610"/>
      <c r="J742" s="610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597"/>
      <c r="R742" s="597"/>
      <c r="S742" s="597"/>
      <c r="T742" s="597"/>
      <c r="U742" s="597"/>
      <c r="V742" s="597"/>
      <c r="W742" s="597"/>
      <c r="X742" s="597"/>
      <c r="Y742" s="597"/>
      <c r="Z742" s="597"/>
    </row>
    <row r="743" spans="1:26" ht="18.75" hidden="1">
      <c r="A743" s="642"/>
      <c r="B743" s="600"/>
      <c r="C743" s="750"/>
      <c r="D743" s="750"/>
      <c r="E743" s="750"/>
      <c r="F743" s="750" t="s">
        <v>186</v>
      </c>
      <c r="G743" s="596"/>
      <c r="H743" s="165" t="s">
        <v>12</v>
      </c>
      <c r="I743" s="610"/>
      <c r="J743" s="610"/>
      <c r="K743" s="93"/>
      <c r="L743" s="93"/>
      <c r="M743" s="93"/>
      <c r="N743" s="93"/>
      <c r="O743" s="93"/>
      <c r="P743" s="93"/>
      <c r="Q743" s="597"/>
      <c r="R743" s="597"/>
      <c r="S743" s="597"/>
      <c r="T743" s="597"/>
      <c r="U743" s="597"/>
      <c r="V743" s="597"/>
      <c r="W743" s="597"/>
      <c r="X743" s="597"/>
      <c r="Y743" s="597"/>
      <c r="Z743" s="597"/>
    </row>
    <row r="744" spans="1:26" ht="18.75" hidden="1">
      <c r="A744" s="642"/>
      <c r="B744" s="600"/>
      <c r="C744" s="750"/>
      <c r="D744" s="750"/>
      <c r="E744" s="750"/>
      <c r="F744" s="750" t="s">
        <v>187</v>
      </c>
      <c r="G744" s="596"/>
      <c r="H744" s="165" t="s">
        <v>12</v>
      </c>
      <c r="I744" s="610"/>
      <c r="J744" s="610"/>
      <c r="K744" s="93"/>
      <c r="L744" s="93"/>
      <c r="M744" s="93"/>
      <c r="N744" s="93"/>
      <c r="O744" s="93"/>
      <c r="P744" s="93"/>
      <c r="Q744" s="597"/>
      <c r="R744" s="597"/>
      <c r="S744" s="597"/>
      <c r="T744" s="597"/>
      <c r="U744" s="597"/>
      <c r="V744" s="597"/>
      <c r="W744" s="597"/>
      <c r="X744" s="597"/>
      <c r="Y744" s="597"/>
      <c r="Z744" s="597"/>
    </row>
    <row r="745" spans="1:26" ht="18.75" hidden="1">
      <c r="A745" s="642"/>
      <c r="B745" s="600"/>
      <c r="C745" s="750"/>
      <c r="D745" s="750"/>
      <c r="E745" s="750"/>
      <c r="F745" s="750" t="s">
        <v>188</v>
      </c>
      <c r="G745" s="596"/>
      <c r="H745" s="165" t="s">
        <v>12</v>
      </c>
      <c r="I745" s="610"/>
      <c r="J745" s="610"/>
      <c r="K745" s="93"/>
      <c r="L745" s="93"/>
      <c r="M745" s="93"/>
      <c r="N745" s="93"/>
      <c r="O745" s="93"/>
      <c r="P745" s="93"/>
      <c r="Q745" s="597"/>
      <c r="R745" s="597"/>
      <c r="S745" s="597"/>
      <c r="T745" s="597"/>
      <c r="U745" s="597"/>
      <c r="V745" s="597"/>
      <c r="W745" s="597"/>
      <c r="X745" s="597"/>
      <c r="Y745" s="597"/>
      <c r="Z745" s="597"/>
    </row>
    <row r="746" spans="1:26" ht="18.75" hidden="1">
      <c r="A746" s="642"/>
      <c r="B746" s="600"/>
      <c r="C746" s="750"/>
      <c r="D746" s="750"/>
      <c r="E746" s="750"/>
      <c r="F746" s="750" t="s">
        <v>189</v>
      </c>
      <c r="G746" s="596"/>
      <c r="H746" s="165" t="s">
        <v>12</v>
      </c>
      <c r="I746" s="610"/>
      <c r="J746" s="610"/>
      <c r="K746" s="93"/>
      <c r="L746" s="93"/>
      <c r="M746" s="93"/>
      <c r="N746" s="93"/>
      <c r="O746" s="93"/>
      <c r="P746" s="93"/>
      <c r="Q746" s="597"/>
      <c r="R746" s="597"/>
      <c r="S746" s="597"/>
      <c r="T746" s="597"/>
      <c r="U746" s="597"/>
      <c r="V746" s="597"/>
      <c r="W746" s="597"/>
      <c r="X746" s="597"/>
      <c r="Y746" s="597"/>
      <c r="Z746" s="597"/>
    </row>
    <row r="747" spans="1:26" ht="19.5" hidden="1">
      <c r="A747" s="592"/>
      <c r="B747" s="600"/>
      <c r="C747" s="750"/>
      <c r="D747" s="638" t="s">
        <v>21</v>
      </c>
      <c r="E747" s="750"/>
      <c r="F747" s="750"/>
      <c r="G747" s="596"/>
      <c r="H747" s="774" t="s">
        <v>12</v>
      </c>
      <c r="I747" s="166"/>
      <c r="J747" s="166"/>
      <c r="K747" s="167"/>
      <c r="L747" s="640">
        <f t="shared" ref="L747:N747" si="299">L748+L749</f>
        <v>0</v>
      </c>
      <c r="M747" s="640">
        <f t="shared" si="299"/>
        <v>0</v>
      </c>
      <c r="N747" s="640">
        <f t="shared" si="299"/>
        <v>0</v>
      </c>
      <c r="O747" s="640">
        <f t="shared" ref="O747:O749" si="300">IF(L747&gt;0,N747*100/L747,0)</f>
        <v>0</v>
      </c>
      <c r="P747" s="640">
        <f t="shared" ref="P747:P749" si="301">IF(M747&gt;0,N747*100/M747,0)</f>
        <v>0</v>
      </c>
      <c r="Q747" s="597"/>
      <c r="R747" s="597"/>
      <c r="S747" s="597"/>
      <c r="T747" s="597"/>
      <c r="U747" s="597"/>
      <c r="V747" s="597"/>
      <c r="W747" s="597"/>
      <c r="X747" s="597"/>
      <c r="Y747" s="597"/>
      <c r="Z747" s="597"/>
    </row>
    <row r="748" spans="1:26" ht="18.75" hidden="1">
      <c r="A748" s="592"/>
      <c r="B748" s="600"/>
      <c r="C748" s="750"/>
      <c r="D748" s="750"/>
      <c r="E748" s="750" t="s">
        <v>18</v>
      </c>
      <c r="F748" s="750"/>
      <c r="G748" s="596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597"/>
      <c r="R748" s="597"/>
      <c r="S748" s="597"/>
      <c r="T748" s="597"/>
      <c r="U748" s="597"/>
      <c r="V748" s="597"/>
      <c r="W748" s="597"/>
      <c r="X748" s="597"/>
      <c r="Y748" s="597"/>
      <c r="Z748" s="597"/>
    </row>
    <row r="749" spans="1:26" ht="18.75" hidden="1">
      <c r="A749" s="592"/>
      <c r="B749" s="600"/>
      <c r="C749" s="750"/>
      <c r="D749" s="750"/>
      <c r="E749" s="750" t="s">
        <v>19</v>
      </c>
      <c r="F749" s="750"/>
      <c r="G749" s="596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597"/>
      <c r="R749" s="597"/>
      <c r="S749" s="597"/>
      <c r="T749" s="597"/>
      <c r="U749" s="597"/>
      <c r="V749" s="597"/>
      <c r="W749" s="597"/>
      <c r="X749" s="597"/>
      <c r="Y749" s="597"/>
      <c r="Z749" s="597"/>
    </row>
    <row r="750" spans="1:26" ht="19.5" hidden="1">
      <c r="A750" s="607"/>
      <c r="B750" s="609"/>
      <c r="C750" s="750" t="s">
        <v>16</v>
      </c>
      <c r="D750" s="841" t="s">
        <v>38</v>
      </c>
      <c r="E750" s="644"/>
      <c r="F750" s="644"/>
      <c r="G750" s="645"/>
      <c r="H750" s="365"/>
      <c r="I750" s="166"/>
      <c r="J750" s="166"/>
      <c r="K750" s="167"/>
      <c r="L750" s="167"/>
      <c r="M750" s="167"/>
      <c r="N750" s="167"/>
      <c r="O750" s="167"/>
      <c r="P750" s="167"/>
      <c r="Q750" s="597"/>
      <c r="R750" s="597"/>
      <c r="S750" s="597"/>
      <c r="T750" s="597"/>
      <c r="U750" s="597"/>
      <c r="V750" s="597"/>
      <c r="W750" s="597"/>
      <c r="X750" s="597"/>
      <c r="Y750" s="597"/>
      <c r="Z750" s="597"/>
    </row>
    <row r="751" spans="1:26" ht="18.75" hidden="1">
      <c r="A751" s="642"/>
      <c r="B751" s="600"/>
      <c r="C751" s="750"/>
      <c r="D751" s="750"/>
      <c r="E751" s="750" t="s">
        <v>313</v>
      </c>
      <c r="F751" s="750"/>
      <c r="G751" s="596"/>
      <c r="H751" s="165" t="s">
        <v>46</v>
      </c>
      <c r="I751" s="610"/>
      <c r="J751" s="610"/>
      <c r="K751" s="93"/>
      <c r="L751" s="93"/>
      <c r="M751" s="93"/>
      <c r="N751" s="93"/>
      <c r="O751" s="93"/>
      <c r="P751" s="93"/>
      <c r="Q751" s="597"/>
      <c r="R751" s="597"/>
      <c r="S751" s="597"/>
      <c r="T751" s="597"/>
      <c r="U751" s="597"/>
      <c r="V751" s="597"/>
      <c r="W751" s="597"/>
      <c r="X751" s="597"/>
      <c r="Y751" s="597"/>
      <c r="Z751" s="597"/>
    </row>
    <row r="752" spans="1:26" ht="18.75" hidden="1">
      <c r="A752" s="642"/>
      <c r="B752" s="600"/>
      <c r="C752" s="750"/>
      <c r="D752" s="750"/>
      <c r="E752" s="750"/>
      <c r="F752" s="750"/>
      <c r="G752" s="596"/>
      <c r="H752" s="165" t="s">
        <v>314</v>
      </c>
      <c r="I752" s="610"/>
      <c r="J752" s="610"/>
      <c r="K752" s="93"/>
      <c r="L752" s="93"/>
      <c r="M752" s="93"/>
      <c r="N752" s="93"/>
      <c r="O752" s="93"/>
      <c r="P752" s="93"/>
      <c r="Q752" s="597"/>
      <c r="R752" s="597"/>
      <c r="S752" s="597"/>
      <c r="T752" s="597"/>
      <c r="U752" s="597"/>
      <c r="V752" s="597"/>
      <c r="W752" s="597"/>
      <c r="X752" s="597"/>
      <c r="Y752" s="597"/>
      <c r="Z752" s="597"/>
    </row>
    <row r="753" spans="1:26" ht="19.5" hidden="1">
      <c r="A753" s="776">
        <v>10</v>
      </c>
      <c r="B753" s="777" t="s">
        <v>315</v>
      </c>
      <c r="C753" s="778"/>
      <c r="D753" s="778"/>
      <c r="E753" s="778"/>
      <c r="F753" s="778"/>
      <c r="G753" s="779"/>
      <c r="H753" s="780" t="s">
        <v>46</v>
      </c>
      <c r="I753" s="781"/>
      <c r="J753" s="781">
        <f>J768</f>
        <v>0</v>
      </c>
      <c r="K753" s="782">
        <f>IF(I753&gt;0,J753*100/I753,0)</f>
        <v>0</v>
      </c>
      <c r="L753" s="783"/>
      <c r="M753" s="783"/>
      <c r="N753" s="783"/>
      <c r="O753" s="783"/>
      <c r="P753" s="783"/>
      <c r="Q753" s="597"/>
      <c r="R753" s="597"/>
      <c r="S753" s="597"/>
      <c r="T753" s="597"/>
      <c r="U753" s="597"/>
      <c r="V753" s="597"/>
      <c r="W753" s="597"/>
      <c r="X753" s="597"/>
      <c r="Y753" s="597"/>
      <c r="Z753" s="597"/>
    </row>
    <row r="754" spans="1:26" ht="19.5" hidden="1">
      <c r="A754" s="592"/>
      <c r="B754" s="750"/>
      <c r="C754" s="750" t="s">
        <v>16</v>
      </c>
      <c r="D754" s="864" t="s">
        <v>17</v>
      </c>
      <c r="E754" s="857"/>
      <c r="F754" s="857"/>
      <c r="G754" s="596"/>
      <c r="H754" s="639" t="s">
        <v>12</v>
      </c>
      <c r="I754" s="610"/>
      <c r="J754" s="610"/>
      <c r="K754" s="93"/>
      <c r="L754" s="640">
        <f t="shared" ref="L754:N754" si="302">L755+L756</f>
        <v>0</v>
      </c>
      <c r="M754" s="640">
        <f t="shared" si="302"/>
        <v>0</v>
      </c>
      <c r="N754" s="640">
        <f t="shared" si="302"/>
        <v>0</v>
      </c>
      <c r="O754" s="640">
        <f t="shared" ref="O754:O759" si="303">IF(L754&gt;0,N754*100/L754,0)</f>
        <v>0</v>
      </c>
      <c r="P754" s="640">
        <f t="shared" ref="P754:P759" si="304">IF(M754&gt;0,N754*100/M754,0)</f>
        <v>0</v>
      </c>
      <c r="Q754" s="597"/>
      <c r="R754" s="597"/>
      <c r="S754" s="597"/>
      <c r="T754" s="597"/>
      <c r="U754" s="597"/>
      <c r="V754" s="597"/>
      <c r="W754" s="597"/>
      <c r="X754" s="597"/>
      <c r="Y754" s="597"/>
      <c r="Z754" s="597"/>
    </row>
    <row r="755" spans="1:26" ht="18.75" hidden="1">
      <c r="A755" s="592"/>
      <c r="B755" s="750"/>
      <c r="C755" s="750"/>
      <c r="D755" s="711"/>
      <c r="E755" s="750" t="s">
        <v>184</v>
      </c>
      <c r="F755" s="750"/>
      <c r="G755" s="596"/>
      <c r="H755" s="165" t="s">
        <v>12</v>
      </c>
      <c r="I755" s="610"/>
      <c r="J755" s="610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597"/>
      <c r="R755" s="597"/>
      <c r="S755" s="597"/>
      <c r="T755" s="597"/>
      <c r="U755" s="597"/>
      <c r="V755" s="597"/>
      <c r="W755" s="597"/>
      <c r="X755" s="597"/>
      <c r="Y755" s="597"/>
      <c r="Z755" s="597"/>
    </row>
    <row r="756" spans="1:26" ht="18.75" hidden="1">
      <c r="A756" s="592"/>
      <c r="B756" s="600"/>
      <c r="C756" s="750"/>
      <c r="D756" s="711"/>
      <c r="E756" s="750" t="s">
        <v>185</v>
      </c>
      <c r="F756" s="750"/>
      <c r="G756" s="596"/>
      <c r="H756" s="165" t="s">
        <v>12</v>
      </c>
      <c r="I756" s="610"/>
      <c r="J756" s="610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597"/>
      <c r="R756" s="597"/>
      <c r="S756" s="597"/>
      <c r="T756" s="597"/>
      <c r="U756" s="597"/>
      <c r="V756" s="597"/>
      <c r="W756" s="597"/>
      <c r="X756" s="597"/>
      <c r="Y756" s="597"/>
      <c r="Z756" s="597"/>
    </row>
    <row r="757" spans="1:26" ht="19.5" hidden="1">
      <c r="A757" s="592"/>
      <c r="B757" s="600"/>
      <c r="C757" s="750"/>
      <c r="D757" s="638" t="s">
        <v>20</v>
      </c>
      <c r="E757" s="750"/>
      <c r="F757" s="750"/>
      <c r="G757" s="596"/>
      <c r="H757" s="639" t="s">
        <v>12</v>
      </c>
      <c r="I757" s="166"/>
      <c r="J757" s="166"/>
      <c r="K757" s="167"/>
      <c r="L757" s="640">
        <f t="shared" ref="L757:N757" si="306">L758+L759</f>
        <v>0</v>
      </c>
      <c r="M757" s="640">
        <f t="shared" si="306"/>
        <v>0</v>
      </c>
      <c r="N757" s="640">
        <f t="shared" si="306"/>
        <v>0</v>
      </c>
      <c r="O757" s="640">
        <f t="shared" si="303"/>
        <v>0</v>
      </c>
      <c r="P757" s="640">
        <f t="shared" si="304"/>
        <v>0</v>
      </c>
      <c r="Q757" s="597"/>
      <c r="R757" s="597"/>
      <c r="S757" s="597"/>
      <c r="T757" s="597"/>
      <c r="U757" s="597"/>
      <c r="V757" s="597"/>
      <c r="W757" s="597"/>
      <c r="X757" s="597"/>
      <c r="Y757" s="597"/>
      <c r="Z757" s="597"/>
    </row>
    <row r="758" spans="1:26" ht="18.75" hidden="1">
      <c r="A758" s="592"/>
      <c r="B758" s="600"/>
      <c r="C758" s="750"/>
      <c r="D758" s="711"/>
      <c r="E758" s="750" t="s">
        <v>184</v>
      </c>
      <c r="F758" s="750"/>
      <c r="G758" s="596"/>
      <c r="H758" s="165" t="s">
        <v>12</v>
      </c>
      <c r="I758" s="610"/>
      <c r="J758" s="610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597"/>
      <c r="R758" s="597"/>
      <c r="S758" s="597"/>
      <c r="T758" s="597"/>
      <c r="U758" s="597"/>
      <c r="V758" s="597"/>
      <c r="W758" s="597"/>
      <c r="X758" s="597"/>
      <c r="Y758" s="597"/>
      <c r="Z758" s="597"/>
    </row>
    <row r="759" spans="1:26" ht="18.75" hidden="1">
      <c r="A759" s="592"/>
      <c r="B759" s="600"/>
      <c r="C759" s="750"/>
      <c r="D759" s="711"/>
      <c r="E759" s="750" t="s">
        <v>185</v>
      </c>
      <c r="F759" s="750"/>
      <c r="G759" s="596"/>
      <c r="H759" s="165" t="s">
        <v>12</v>
      </c>
      <c r="I759" s="610"/>
      <c r="J759" s="610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597"/>
      <c r="R759" s="597"/>
      <c r="S759" s="597"/>
      <c r="T759" s="597"/>
      <c r="U759" s="597"/>
      <c r="V759" s="597"/>
      <c r="W759" s="597"/>
      <c r="X759" s="597"/>
      <c r="Y759" s="597"/>
      <c r="Z759" s="597"/>
    </row>
    <row r="760" spans="1:26" ht="18.75" hidden="1">
      <c r="A760" s="642"/>
      <c r="B760" s="600"/>
      <c r="C760" s="750"/>
      <c r="D760" s="750"/>
      <c r="E760" s="750"/>
      <c r="F760" s="750" t="s">
        <v>186</v>
      </c>
      <c r="G760" s="596"/>
      <c r="H760" s="165" t="s">
        <v>12</v>
      </c>
      <c r="I760" s="610"/>
      <c r="J760" s="610"/>
      <c r="K760" s="93"/>
      <c r="L760" s="93"/>
      <c r="M760" s="93"/>
      <c r="N760" s="93"/>
      <c r="O760" s="93"/>
      <c r="P760" s="93"/>
      <c r="Q760" s="597"/>
      <c r="R760" s="597"/>
      <c r="S760" s="597"/>
      <c r="T760" s="597"/>
      <c r="U760" s="597"/>
      <c r="V760" s="597"/>
      <c r="W760" s="597"/>
      <c r="X760" s="597"/>
      <c r="Y760" s="597"/>
      <c r="Z760" s="597"/>
    </row>
    <row r="761" spans="1:26" ht="18.75" hidden="1">
      <c r="A761" s="642"/>
      <c r="B761" s="600"/>
      <c r="C761" s="750"/>
      <c r="D761" s="750"/>
      <c r="E761" s="750"/>
      <c r="F761" s="750" t="s">
        <v>187</v>
      </c>
      <c r="G761" s="596"/>
      <c r="H761" s="165" t="s">
        <v>12</v>
      </c>
      <c r="I761" s="610"/>
      <c r="J761" s="610"/>
      <c r="K761" s="93"/>
      <c r="L761" s="93"/>
      <c r="M761" s="93"/>
      <c r="N761" s="93"/>
      <c r="O761" s="93"/>
      <c r="P761" s="93"/>
      <c r="Q761" s="597"/>
      <c r="R761" s="597"/>
      <c r="S761" s="597"/>
      <c r="T761" s="597"/>
      <c r="U761" s="597"/>
      <c r="V761" s="597"/>
      <c r="W761" s="597"/>
      <c r="X761" s="597"/>
      <c r="Y761" s="597"/>
      <c r="Z761" s="597"/>
    </row>
    <row r="762" spans="1:26" ht="18.75" hidden="1">
      <c r="A762" s="642"/>
      <c r="B762" s="600"/>
      <c r="C762" s="750"/>
      <c r="D762" s="750"/>
      <c r="E762" s="750"/>
      <c r="F762" s="750" t="s">
        <v>188</v>
      </c>
      <c r="G762" s="596"/>
      <c r="H762" s="165" t="s">
        <v>12</v>
      </c>
      <c r="I762" s="610"/>
      <c r="J762" s="610"/>
      <c r="K762" s="93"/>
      <c r="L762" s="93"/>
      <c r="M762" s="93"/>
      <c r="N762" s="93"/>
      <c r="O762" s="93"/>
      <c r="P762" s="93"/>
      <c r="Q762" s="597"/>
      <c r="R762" s="597"/>
      <c r="S762" s="597"/>
      <c r="T762" s="597"/>
      <c r="U762" s="597"/>
      <c r="V762" s="597"/>
      <c r="W762" s="597"/>
      <c r="X762" s="597"/>
      <c r="Y762" s="597"/>
      <c r="Z762" s="597"/>
    </row>
    <row r="763" spans="1:26" ht="18.75" hidden="1">
      <c r="A763" s="642"/>
      <c r="B763" s="600"/>
      <c r="C763" s="750"/>
      <c r="D763" s="750"/>
      <c r="E763" s="750"/>
      <c r="F763" s="750" t="s">
        <v>189</v>
      </c>
      <c r="G763" s="596"/>
      <c r="H763" s="165" t="s">
        <v>12</v>
      </c>
      <c r="I763" s="610"/>
      <c r="J763" s="610"/>
      <c r="K763" s="93"/>
      <c r="L763" s="93"/>
      <c r="M763" s="93"/>
      <c r="N763" s="93"/>
      <c r="O763" s="93"/>
      <c r="P763" s="93"/>
      <c r="Q763" s="597"/>
      <c r="R763" s="597"/>
      <c r="S763" s="597"/>
      <c r="T763" s="597"/>
      <c r="U763" s="597"/>
      <c r="V763" s="597"/>
      <c r="W763" s="597"/>
      <c r="X763" s="597"/>
      <c r="Y763" s="597"/>
      <c r="Z763" s="597"/>
    </row>
    <row r="764" spans="1:26" ht="19.5" hidden="1">
      <c r="A764" s="592"/>
      <c r="B764" s="600"/>
      <c r="C764" s="750"/>
      <c r="D764" s="638" t="s">
        <v>21</v>
      </c>
      <c r="E764" s="750"/>
      <c r="F764" s="750"/>
      <c r="G764" s="596"/>
      <c r="H764" s="774" t="s">
        <v>12</v>
      </c>
      <c r="I764" s="166"/>
      <c r="J764" s="166"/>
      <c r="K764" s="167"/>
      <c r="L764" s="640">
        <f t="shared" ref="L764:N764" si="307">L765+L766</f>
        <v>0</v>
      </c>
      <c r="M764" s="640">
        <f t="shared" si="307"/>
        <v>0</v>
      </c>
      <c r="N764" s="640">
        <f t="shared" si="307"/>
        <v>0</v>
      </c>
      <c r="O764" s="640">
        <f t="shared" ref="O764:O766" si="308">IF(L764&gt;0,N764*100/L764,0)</f>
        <v>0</v>
      </c>
      <c r="P764" s="640">
        <f t="shared" ref="P764:P766" si="309">IF(M764&gt;0,N764*100/M764,0)</f>
        <v>0</v>
      </c>
      <c r="Q764" s="597"/>
      <c r="R764" s="597"/>
      <c r="S764" s="597"/>
      <c r="T764" s="597"/>
      <c r="U764" s="597"/>
      <c r="V764" s="597"/>
      <c r="W764" s="597"/>
      <c r="X764" s="597"/>
      <c r="Y764" s="597"/>
      <c r="Z764" s="597"/>
    </row>
    <row r="765" spans="1:26" ht="18.75" hidden="1">
      <c r="A765" s="592"/>
      <c r="B765" s="600"/>
      <c r="C765" s="750"/>
      <c r="D765" s="750"/>
      <c r="E765" s="750" t="s">
        <v>18</v>
      </c>
      <c r="F765" s="750"/>
      <c r="G765" s="596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597"/>
      <c r="R765" s="597"/>
      <c r="S765" s="597"/>
      <c r="T765" s="597"/>
      <c r="U765" s="597"/>
      <c r="V765" s="597"/>
      <c r="W765" s="597"/>
      <c r="X765" s="597"/>
      <c r="Y765" s="597"/>
      <c r="Z765" s="597"/>
    </row>
    <row r="766" spans="1:26" ht="18.75" hidden="1">
      <c r="A766" s="592"/>
      <c r="B766" s="600"/>
      <c r="C766" s="750"/>
      <c r="D766" s="750"/>
      <c r="E766" s="750" t="s">
        <v>19</v>
      </c>
      <c r="F766" s="750"/>
      <c r="G766" s="596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597"/>
      <c r="R766" s="597"/>
      <c r="S766" s="597"/>
      <c r="T766" s="597"/>
      <c r="U766" s="597"/>
      <c r="V766" s="597"/>
      <c r="W766" s="597"/>
      <c r="X766" s="597"/>
      <c r="Y766" s="597"/>
      <c r="Z766" s="597"/>
    </row>
    <row r="767" spans="1:26" ht="19.5" hidden="1">
      <c r="A767" s="607"/>
      <c r="B767" s="609"/>
      <c r="C767" s="750" t="s">
        <v>16</v>
      </c>
      <c r="D767" s="841" t="s">
        <v>38</v>
      </c>
      <c r="E767" s="644"/>
      <c r="F767" s="644"/>
      <c r="G767" s="645"/>
      <c r="H767" s="365"/>
      <c r="I767" s="166"/>
      <c r="J767" s="166"/>
      <c r="K767" s="167"/>
      <c r="L767" s="167"/>
      <c r="M767" s="167"/>
      <c r="N767" s="167"/>
      <c r="O767" s="167"/>
      <c r="P767" s="167"/>
      <c r="Q767" s="597"/>
      <c r="R767" s="597"/>
      <c r="S767" s="597"/>
      <c r="T767" s="597"/>
      <c r="U767" s="597"/>
      <c r="V767" s="597"/>
      <c r="W767" s="597"/>
      <c r="X767" s="597"/>
      <c r="Y767" s="597"/>
      <c r="Z767" s="597"/>
    </row>
    <row r="768" spans="1:26" ht="18.75" hidden="1">
      <c r="A768" s="642"/>
      <c r="B768" s="600"/>
      <c r="C768" s="750"/>
      <c r="D768" s="750"/>
      <c r="E768" s="750" t="s">
        <v>316</v>
      </c>
      <c r="F768" s="750"/>
      <c r="G768" s="596"/>
      <c r="H768" s="165" t="s">
        <v>46</v>
      </c>
      <c r="I768" s="610"/>
      <c r="J768" s="610"/>
      <c r="K768" s="93"/>
      <c r="L768" s="93"/>
      <c r="M768" s="93"/>
      <c r="N768" s="93"/>
      <c r="O768" s="93"/>
      <c r="P768" s="93"/>
      <c r="Q768" s="597"/>
      <c r="R768" s="597"/>
      <c r="S768" s="597"/>
      <c r="T768" s="597"/>
      <c r="U768" s="597"/>
      <c r="V768" s="597"/>
      <c r="W768" s="597"/>
      <c r="X768" s="597"/>
      <c r="Y768" s="597"/>
      <c r="Z768" s="597"/>
    </row>
    <row r="769" spans="1:26" ht="19.5" hidden="1">
      <c r="A769" s="784">
        <v>11</v>
      </c>
      <c r="B769" s="785" t="s">
        <v>317</v>
      </c>
      <c r="C769" s="786"/>
      <c r="D769" s="786"/>
      <c r="E769" s="786"/>
      <c r="F769" s="786"/>
      <c r="G769" s="787"/>
      <c r="H769" s="788" t="s">
        <v>46</v>
      </c>
      <c r="I769" s="789"/>
      <c r="J769" s="789">
        <f>J784</f>
        <v>0</v>
      </c>
      <c r="K769" s="790">
        <f>IF(I769&gt;0,J769*100/I769,0)</f>
        <v>0</v>
      </c>
      <c r="L769" s="791"/>
      <c r="M769" s="791"/>
      <c r="N769" s="791"/>
      <c r="O769" s="791"/>
      <c r="P769" s="791"/>
      <c r="Q769" s="597"/>
      <c r="R769" s="597"/>
      <c r="S769" s="597"/>
      <c r="T769" s="597"/>
      <c r="U769" s="597"/>
      <c r="V769" s="597"/>
      <c r="W769" s="597"/>
      <c r="X769" s="597"/>
      <c r="Y769" s="597"/>
      <c r="Z769" s="597"/>
    </row>
    <row r="770" spans="1:26" ht="19.5" hidden="1">
      <c r="A770" s="592"/>
      <c r="B770" s="750"/>
      <c r="C770" s="750" t="s">
        <v>16</v>
      </c>
      <c r="D770" s="864" t="s">
        <v>17</v>
      </c>
      <c r="E770" s="857"/>
      <c r="F770" s="857"/>
      <c r="G770" s="596"/>
      <c r="H770" s="639" t="s">
        <v>12</v>
      </c>
      <c r="I770" s="610"/>
      <c r="J770" s="610"/>
      <c r="K770" s="93"/>
      <c r="L770" s="640">
        <f t="shared" ref="L770:N770" si="310">L771+L772</f>
        <v>0</v>
      </c>
      <c r="M770" s="640">
        <f t="shared" si="310"/>
        <v>0</v>
      </c>
      <c r="N770" s="640">
        <f t="shared" si="310"/>
        <v>0</v>
      </c>
      <c r="O770" s="640">
        <f t="shared" ref="O770:O775" si="311">IF(L770&gt;0,N770*100/L770,0)</f>
        <v>0</v>
      </c>
      <c r="P770" s="640">
        <f t="shared" ref="P770:P775" si="312">IF(M770&gt;0,N770*100/M770,0)</f>
        <v>0</v>
      </c>
      <c r="Q770" s="597"/>
      <c r="R770" s="597"/>
      <c r="S770" s="597"/>
      <c r="T770" s="597"/>
      <c r="U770" s="597"/>
      <c r="V770" s="597"/>
      <c r="W770" s="597"/>
      <c r="X770" s="597"/>
      <c r="Y770" s="597"/>
      <c r="Z770" s="597"/>
    </row>
    <row r="771" spans="1:26" ht="18.75" hidden="1">
      <c r="A771" s="592"/>
      <c r="B771" s="750"/>
      <c r="C771" s="750"/>
      <c r="D771" s="711"/>
      <c r="E771" s="750" t="s">
        <v>184</v>
      </c>
      <c r="F771" s="750"/>
      <c r="G771" s="596"/>
      <c r="H771" s="165" t="s">
        <v>12</v>
      </c>
      <c r="I771" s="610"/>
      <c r="J771" s="610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597"/>
      <c r="R771" s="597"/>
      <c r="S771" s="597"/>
      <c r="T771" s="597"/>
      <c r="U771" s="597"/>
      <c r="V771" s="597"/>
      <c r="W771" s="597"/>
      <c r="X771" s="597"/>
      <c r="Y771" s="597"/>
      <c r="Z771" s="597"/>
    </row>
    <row r="772" spans="1:26" ht="18.75" hidden="1">
      <c r="A772" s="592"/>
      <c r="B772" s="600"/>
      <c r="C772" s="750"/>
      <c r="D772" s="711"/>
      <c r="E772" s="750" t="s">
        <v>185</v>
      </c>
      <c r="F772" s="750"/>
      <c r="G772" s="596"/>
      <c r="H772" s="165" t="s">
        <v>12</v>
      </c>
      <c r="I772" s="610"/>
      <c r="J772" s="610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597"/>
      <c r="R772" s="597"/>
      <c r="S772" s="597"/>
      <c r="T772" s="597"/>
      <c r="U772" s="597"/>
      <c r="V772" s="597"/>
      <c r="W772" s="597"/>
      <c r="X772" s="597"/>
      <c r="Y772" s="597"/>
      <c r="Z772" s="597"/>
    </row>
    <row r="773" spans="1:26" ht="19.5" hidden="1">
      <c r="A773" s="592"/>
      <c r="B773" s="600"/>
      <c r="C773" s="750"/>
      <c r="D773" s="638" t="s">
        <v>20</v>
      </c>
      <c r="E773" s="750"/>
      <c r="F773" s="750"/>
      <c r="G773" s="596"/>
      <c r="H773" s="639" t="s">
        <v>12</v>
      </c>
      <c r="I773" s="166"/>
      <c r="J773" s="166"/>
      <c r="K773" s="167"/>
      <c r="L773" s="640">
        <f t="shared" ref="L773:N773" si="314">L774+L775</f>
        <v>0</v>
      </c>
      <c r="M773" s="640">
        <f t="shared" si="314"/>
        <v>0</v>
      </c>
      <c r="N773" s="640">
        <f t="shared" si="314"/>
        <v>0</v>
      </c>
      <c r="O773" s="640">
        <f t="shared" si="311"/>
        <v>0</v>
      </c>
      <c r="P773" s="640">
        <f t="shared" si="312"/>
        <v>0</v>
      </c>
      <c r="Q773" s="597"/>
      <c r="R773" s="597"/>
      <c r="S773" s="597"/>
      <c r="T773" s="597"/>
      <c r="U773" s="597"/>
      <c r="V773" s="597"/>
      <c r="W773" s="597"/>
      <c r="X773" s="597"/>
      <c r="Y773" s="597"/>
      <c r="Z773" s="597"/>
    </row>
    <row r="774" spans="1:26" ht="18.75" hidden="1">
      <c r="A774" s="592"/>
      <c r="B774" s="600"/>
      <c r="C774" s="750"/>
      <c r="D774" s="711"/>
      <c r="E774" s="750" t="s">
        <v>184</v>
      </c>
      <c r="F774" s="750"/>
      <c r="G774" s="596"/>
      <c r="H774" s="165" t="s">
        <v>12</v>
      </c>
      <c r="I774" s="610"/>
      <c r="J774" s="610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597"/>
      <c r="R774" s="597"/>
      <c r="S774" s="597"/>
      <c r="T774" s="597"/>
      <c r="U774" s="597"/>
      <c r="V774" s="597"/>
      <c r="W774" s="597"/>
      <c r="X774" s="597"/>
      <c r="Y774" s="597"/>
      <c r="Z774" s="597"/>
    </row>
    <row r="775" spans="1:26" ht="18.75" hidden="1">
      <c r="A775" s="592"/>
      <c r="B775" s="600"/>
      <c r="C775" s="750"/>
      <c r="D775" s="711"/>
      <c r="E775" s="750" t="s">
        <v>185</v>
      </c>
      <c r="F775" s="750"/>
      <c r="G775" s="596"/>
      <c r="H775" s="165" t="s">
        <v>12</v>
      </c>
      <c r="I775" s="610"/>
      <c r="J775" s="610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597"/>
      <c r="R775" s="597"/>
      <c r="S775" s="597"/>
      <c r="T775" s="597"/>
      <c r="U775" s="597"/>
      <c r="V775" s="597"/>
      <c r="W775" s="597"/>
      <c r="X775" s="597"/>
      <c r="Y775" s="597"/>
      <c r="Z775" s="597"/>
    </row>
    <row r="776" spans="1:26" ht="18.75" hidden="1">
      <c r="A776" s="642"/>
      <c r="B776" s="600"/>
      <c r="C776" s="750"/>
      <c r="D776" s="750"/>
      <c r="E776" s="750"/>
      <c r="F776" s="750" t="s">
        <v>186</v>
      </c>
      <c r="G776" s="596"/>
      <c r="H776" s="165" t="s">
        <v>12</v>
      </c>
      <c r="I776" s="610"/>
      <c r="J776" s="610"/>
      <c r="K776" s="93"/>
      <c r="L776" s="93"/>
      <c r="M776" s="93"/>
      <c r="N776" s="93"/>
      <c r="O776" s="93"/>
      <c r="P776" s="93"/>
      <c r="Q776" s="597"/>
      <c r="R776" s="597"/>
      <c r="S776" s="597"/>
      <c r="T776" s="597"/>
      <c r="U776" s="597"/>
      <c r="V776" s="597"/>
      <c r="W776" s="597"/>
      <c r="X776" s="597"/>
      <c r="Y776" s="597"/>
      <c r="Z776" s="597"/>
    </row>
    <row r="777" spans="1:26" ht="18.75" hidden="1">
      <c r="A777" s="642"/>
      <c r="B777" s="600"/>
      <c r="C777" s="750"/>
      <c r="D777" s="750"/>
      <c r="E777" s="750"/>
      <c r="F777" s="750" t="s">
        <v>187</v>
      </c>
      <c r="G777" s="596"/>
      <c r="H777" s="165" t="s">
        <v>12</v>
      </c>
      <c r="I777" s="610"/>
      <c r="J777" s="610"/>
      <c r="K777" s="93"/>
      <c r="L777" s="93"/>
      <c r="M777" s="93"/>
      <c r="N777" s="93"/>
      <c r="O777" s="93"/>
      <c r="P777" s="93"/>
      <c r="Q777" s="597"/>
      <c r="R777" s="597"/>
      <c r="S777" s="597"/>
      <c r="T777" s="597"/>
      <c r="U777" s="597"/>
      <c r="V777" s="597"/>
      <c r="W777" s="597"/>
      <c r="X777" s="597"/>
      <c r="Y777" s="597"/>
      <c r="Z777" s="597"/>
    </row>
    <row r="778" spans="1:26" ht="18.75" hidden="1">
      <c r="A778" s="642"/>
      <c r="B778" s="600"/>
      <c r="C778" s="750"/>
      <c r="D778" s="750"/>
      <c r="E778" s="750"/>
      <c r="F778" s="750" t="s">
        <v>188</v>
      </c>
      <c r="G778" s="596"/>
      <c r="H778" s="165" t="s">
        <v>12</v>
      </c>
      <c r="I778" s="610"/>
      <c r="J778" s="610"/>
      <c r="K778" s="93"/>
      <c r="L778" s="93"/>
      <c r="M778" s="93"/>
      <c r="N778" s="93"/>
      <c r="O778" s="93"/>
      <c r="P778" s="93"/>
      <c r="Q778" s="597"/>
      <c r="R778" s="597"/>
      <c r="S778" s="597"/>
      <c r="T778" s="597"/>
      <c r="U778" s="597"/>
      <c r="V778" s="597"/>
      <c r="W778" s="597"/>
      <c r="X778" s="597"/>
      <c r="Y778" s="597"/>
      <c r="Z778" s="597"/>
    </row>
    <row r="779" spans="1:26" ht="18.75" hidden="1">
      <c r="A779" s="642"/>
      <c r="B779" s="600"/>
      <c r="C779" s="750"/>
      <c r="D779" s="750"/>
      <c r="E779" s="750"/>
      <c r="F779" s="750" t="s">
        <v>189</v>
      </c>
      <c r="G779" s="596"/>
      <c r="H779" s="165" t="s">
        <v>12</v>
      </c>
      <c r="I779" s="610"/>
      <c r="J779" s="610"/>
      <c r="K779" s="93"/>
      <c r="L779" s="93"/>
      <c r="M779" s="93"/>
      <c r="N779" s="93"/>
      <c r="O779" s="93"/>
      <c r="P779" s="93"/>
      <c r="Q779" s="597"/>
      <c r="R779" s="597"/>
      <c r="S779" s="597"/>
      <c r="T779" s="597"/>
      <c r="U779" s="597"/>
      <c r="V779" s="597"/>
      <c r="W779" s="597"/>
      <c r="X779" s="597"/>
      <c r="Y779" s="597"/>
      <c r="Z779" s="597"/>
    </row>
    <row r="780" spans="1:26" ht="19.5" hidden="1">
      <c r="A780" s="592"/>
      <c r="B780" s="600"/>
      <c r="C780" s="750"/>
      <c r="D780" s="638" t="s">
        <v>21</v>
      </c>
      <c r="E780" s="750"/>
      <c r="F780" s="750"/>
      <c r="G780" s="596"/>
      <c r="H780" s="774" t="s">
        <v>12</v>
      </c>
      <c r="I780" s="166"/>
      <c r="J780" s="166"/>
      <c r="K780" s="167"/>
      <c r="L780" s="640">
        <f t="shared" ref="L780:N780" si="315">L781+L782</f>
        <v>0</v>
      </c>
      <c r="M780" s="640">
        <f t="shared" si="315"/>
        <v>0</v>
      </c>
      <c r="N780" s="640">
        <f t="shared" si="315"/>
        <v>0</v>
      </c>
      <c r="O780" s="640">
        <f t="shared" ref="O780:O782" si="316">IF(L780&gt;0,N780*100/L780,0)</f>
        <v>0</v>
      </c>
      <c r="P780" s="640">
        <f t="shared" ref="P780:P782" si="317">IF(M780&gt;0,N780*100/M780,0)</f>
        <v>0</v>
      </c>
      <c r="Q780" s="597"/>
      <c r="R780" s="597"/>
      <c r="S780" s="597"/>
      <c r="T780" s="597"/>
      <c r="U780" s="597"/>
      <c r="V780" s="597"/>
      <c r="W780" s="597"/>
      <c r="X780" s="597"/>
      <c r="Y780" s="597"/>
      <c r="Z780" s="597"/>
    </row>
    <row r="781" spans="1:26" ht="18.75" hidden="1">
      <c r="A781" s="592"/>
      <c r="B781" s="600"/>
      <c r="C781" s="750"/>
      <c r="D781" s="750"/>
      <c r="E781" s="750" t="s">
        <v>18</v>
      </c>
      <c r="F781" s="750"/>
      <c r="G781" s="596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597"/>
      <c r="R781" s="597"/>
      <c r="S781" s="597"/>
      <c r="T781" s="597"/>
      <c r="U781" s="597"/>
      <c r="V781" s="597"/>
      <c r="W781" s="597"/>
      <c r="X781" s="597"/>
      <c r="Y781" s="597"/>
      <c r="Z781" s="597"/>
    </row>
    <row r="782" spans="1:26" ht="18.75" hidden="1">
      <c r="A782" s="592"/>
      <c r="B782" s="600"/>
      <c r="C782" s="750"/>
      <c r="D782" s="750"/>
      <c r="E782" s="750" t="s">
        <v>19</v>
      </c>
      <c r="F782" s="750"/>
      <c r="G782" s="596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597"/>
      <c r="R782" s="597"/>
      <c r="S782" s="597"/>
      <c r="T782" s="597"/>
      <c r="U782" s="597"/>
      <c r="V782" s="597"/>
      <c r="W782" s="597"/>
      <c r="X782" s="597"/>
      <c r="Y782" s="597"/>
      <c r="Z782" s="597"/>
    </row>
    <row r="783" spans="1:26" ht="19.5" hidden="1">
      <c r="A783" s="607"/>
      <c r="B783" s="609"/>
      <c r="C783" s="750" t="s">
        <v>16</v>
      </c>
      <c r="D783" s="841" t="s">
        <v>38</v>
      </c>
      <c r="E783" s="644"/>
      <c r="F783" s="644"/>
      <c r="G783" s="645"/>
      <c r="H783" s="792"/>
      <c r="I783" s="166"/>
      <c r="J783" s="166"/>
      <c r="K783" s="167"/>
      <c r="L783" s="167"/>
      <c r="M783" s="167"/>
      <c r="N783" s="167"/>
      <c r="O783" s="167"/>
      <c r="P783" s="167"/>
      <c r="Q783" s="597"/>
      <c r="R783" s="597"/>
      <c r="S783" s="597"/>
      <c r="T783" s="597"/>
      <c r="U783" s="597"/>
      <c r="V783" s="597"/>
      <c r="W783" s="597"/>
      <c r="X783" s="597"/>
      <c r="Y783" s="597"/>
      <c r="Z783" s="597"/>
    </row>
    <row r="784" spans="1:26" ht="18.75" hidden="1">
      <c r="A784" s="642"/>
      <c r="B784" s="600"/>
      <c r="C784" s="750"/>
      <c r="D784" s="750"/>
      <c r="E784" s="750" t="s">
        <v>318</v>
      </c>
      <c r="F784" s="750"/>
      <c r="G784" s="596"/>
      <c r="H784" s="165" t="s">
        <v>46</v>
      </c>
      <c r="I784" s="610"/>
      <c r="J784" s="610"/>
      <c r="K784" s="93"/>
      <c r="L784" s="93"/>
      <c r="M784" s="93"/>
      <c r="N784" s="93"/>
      <c r="O784" s="93"/>
      <c r="P784" s="93"/>
      <c r="Q784" s="597"/>
      <c r="R784" s="597"/>
      <c r="S784" s="597"/>
      <c r="T784" s="597"/>
      <c r="U784" s="597"/>
      <c r="V784" s="597"/>
      <c r="W784" s="597"/>
      <c r="X784" s="597"/>
      <c r="Y784" s="597"/>
      <c r="Z784" s="597"/>
    </row>
    <row r="785" spans="1:26" ht="19.5" hidden="1">
      <c r="A785" s="793">
        <v>12</v>
      </c>
      <c r="B785" s="794" t="s">
        <v>319</v>
      </c>
      <c r="C785" s="795"/>
      <c r="D785" s="795"/>
      <c r="E785" s="795"/>
      <c r="F785" s="795"/>
      <c r="G785" s="796"/>
      <c r="H785" s="797" t="s">
        <v>46</v>
      </c>
      <c r="I785" s="798">
        <f t="shared" ref="I785:J785" ca="1" si="318">I800</f>
        <v>0</v>
      </c>
      <c r="J785" s="799">
        <f t="shared" ca="1" si="318"/>
        <v>0</v>
      </c>
      <c r="K785" s="800">
        <f ca="1">IF(I785&gt;0,J785*100/I785,0)</f>
        <v>0</v>
      </c>
      <c r="L785" s="801"/>
      <c r="M785" s="801"/>
      <c r="N785" s="801"/>
      <c r="O785" s="801"/>
      <c r="P785" s="801"/>
      <c r="Q785" s="571"/>
      <c r="R785" s="571"/>
      <c r="S785" s="571"/>
      <c r="T785" s="571"/>
      <c r="U785" s="571"/>
      <c r="V785" s="571"/>
      <c r="W785" s="571"/>
      <c r="X785" s="571"/>
      <c r="Y785" s="571"/>
      <c r="Z785" s="571"/>
    </row>
    <row r="786" spans="1:26" ht="19.5" hidden="1">
      <c r="A786" s="590"/>
      <c r="B786" s="568"/>
      <c r="C786" s="754" t="s">
        <v>16</v>
      </c>
      <c r="D786" s="863" t="s">
        <v>17</v>
      </c>
      <c r="E786" s="857"/>
      <c r="F786" s="857"/>
      <c r="G786" s="189"/>
      <c r="H786" s="591" t="s">
        <v>12</v>
      </c>
      <c r="I786" s="269"/>
      <c r="J786" s="269"/>
      <c r="K786" s="496"/>
      <c r="L786" s="195">
        <f t="shared" ref="L786:N786" ca="1" si="319">L787+L788</f>
        <v>0</v>
      </c>
      <c r="M786" s="195">
        <f t="shared" si="319"/>
        <v>0</v>
      </c>
      <c r="N786" s="195">
        <f t="shared" si="319"/>
        <v>0</v>
      </c>
      <c r="O786" s="195">
        <f t="shared" ref="O786:O791" ca="1" si="320">IF(L786&gt;0,N786*100/L786,0)</f>
        <v>0</v>
      </c>
      <c r="P786" s="195">
        <f t="shared" ref="P786:P791" si="321">IF(M786&gt;0,N786*100/M786,0)</f>
        <v>0</v>
      </c>
      <c r="Q786" s="571"/>
      <c r="R786" s="571"/>
      <c r="S786" s="571"/>
      <c r="T786" s="571"/>
      <c r="U786" s="571"/>
      <c r="V786" s="571"/>
      <c r="W786" s="571"/>
      <c r="X786" s="571"/>
      <c r="Y786" s="571"/>
      <c r="Z786" s="571"/>
    </row>
    <row r="787" spans="1:26" ht="18.75" hidden="1">
      <c r="A787" s="592"/>
      <c r="B787" s="600"/>
      <c r="C787" s="750"/>
      <c r="D787" s="711"/>
      <c r="E787" s="750" t="s">
        <v>184</v>
      </c>
      <c r="F787" s="750"/>
      <c r="G787" s="596"/>
      <c r="H787" s="165" t="s">
        <v>12</v>
      </c>
      <c r="I787" s="610"/>
      <c r="J787" s="610"/>
      <c r="K787" s="93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597"/>
      <c r="R787" s="597"/>
      <c r="S787" s="597"/>
      <c r="T787" s="597"/>
      <c r="U787" s="597"/>
      <c r="V787" s="597"/>
      <c r="W787" s="597"/>
      <c r="X787" s="597"/>
      <c r="Y787" s="597"/>
      <c r="Z787" s="597"/>
    </row>
    <row r="788" spans="1:26" ht="18.75" hidden="1">
      <c r="A788" s="592"/>
      <c r="B788" s="600"/>
      <c r="C788" s="600"/>
      <c r="D788" s="609"/>
      <c r="E788" s="750" t="s">
        <v>185</v>
      </c>
      <c r="F788" s="750"/>
      <c r="G788" s="596"/>
      <c r="H788" s="165" t="s">
        <v>12</v>
      </c>
      <c r="I788" s="610"/>
      <c r="J788" s="610"/>
      <c r="K788" s="93"/>
      <c r="L788" s="93">
        <f t="shared" ca="1" si="322"/>
        <v>0</v>
      </c>
      <c r="M788" s="93">
        <f t="shared" si="322"/>
        <v>0</v>
      </c>
      <c r="N788" s="93">
        <f t="shared" si="322"/>
        <v>0</v>
      </c>
      <c r="O788" s="93">
        <f t="shared" ca="1" si="320"/>
        <v>0</v>
      </c>
      <c r="P788" s="93">
        <f t="shared" si="321"/>
        <v>0</v>
      </c>
      <c r="Q788" s="597"/>
      <c r="R788" s="597"/>
      <c r="S788" s="597"/>
      <c r="T788" s="597"/>
      <c r="U788" s="597"/>
      <c r="V788" s="597"/>
      <c r="W788" s="597"/>
      <c r="X788" s="597"/>
      <c r="Y788" s="597"/>
      <c r="Z788" s="597"/>
    </row>
    <row r="789" spans="1:26" ht="18.75" hidden="1">
      <c r="A789" s="590"/>
      <c r="B789" s="568"/>
      <c r="C789" s="568"/>
      <c r="D789" s="599" t="s">
        <v>20</v>
      </c>
      <c r="E789" s="754"/>
      <c r="F789" s="754"/>
      <c r="G789" s="189"/>
      <c r="H789" s="161" t="s">
        <v>12</v>
      </c>
      <c r="I789" s="184"/>
      <c r="J789" s="184"/>
      <c r="K789" s="163"/>
      <c r="L789" s="496">
        <f t="shared" ref="L789:N789" ca="1" si="323">L790+L791</f>
        <v>0</v>
      </c>
      <c r="M789" s="496">
        <f t="shared" si="323"/>
        <v>0</v>
      </c>
      <c r="N789" s="496">
        <f t="shared" si="323"/>
        <v>0</v>
      </c>
      <c r="O789" s="496">
        <f t="shared" ca="1" si="320"/>
        <v>0</v>
      </c>
      <c r="P789" s="496">
        <f t="shared" si="321"/>
        <v>0</v>
      </c>
      <c r="Q789" s="571"/>
      <c r="R789" s="571"/>
      <c r="S789" s="571"/>
      <c r="T789" s="571"/>
      <c r="U789" s="571"/>
      <c r="V789" s="571"/>
      <c r="W789" s="571"/>
      <c r="X789" s="571"/>
      <c r="Y789" s="571"/>
      <c r="Z789" s="571"/>
    </row>
    <row r="790" spans="1:26" ht="18.75" hidden="1">
      <c r="A790" s="592"/>
      <c r="B790" s="600"/>
      <c r="C790" s="600"/>
      <c r="D790" s="609"/>
      <c r="E790" s="750" t="s">
        <v>184</v>
      </c>
      <c r="F790" s="750"/>
      <c r="G790" s="596"/>
      <c r="H790" s="165" t="s">
        <v>12</v>
      </c>
      <c r="I790" s="610"/>
      <c r="J790" s="610"/>
      <c r="K790" s="93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597"/>
      <c r="R790" s="597"/>
      <c r="S790" s="597"/>
      <c r="T790" s="597"/>
      <c r="U790" s="597"/>
      <c r="V790" s="597"/>
      <c r="W790" s="597"/>
      <c r="X790" s="597"/>
      <c r="Y790" s="597"/>
      <c r="Z790" s="597"/>
    </row>
    <row r="791" spans="1:26" ht="18.75" hidden="1">
      <c r="A791" s="592"/>
      <c r="B791" s="600"/>
      <c r="C791" s="600"/>
      <c r="D791" s="609"/>
      <c r="E791" s="750" t="s">
        <v>185</v>
      </c>
      <c r="F791" s="750"/>
      <c r="G791" s="596"/>
      <c r="H791" s="165" t="s">
        <v>12</v>
      </c>
      <c r="I791" s="610"/>
      <c r="J791" s="610"/>
      <c r="K791" s="93"/>
      <c r="L791" s="93">
        <f ca="1">IFERROR(__xludf.DUMMYFUNCTION("IMPORTRANGE(""https://docs.google.com/spreadsheets/d/1QqKyyYR6Q21VydFLVH3TRQUabQu_ym0Zz7PgGX0-kHA/edit?usp=sharing"",""แผน!JJ68"")"),0)</f>
        <v>0</v>
      </c>
      <c r="M791" s="93">
        <v>0</v>
      </c>
      <c r="N791" s="93">
        <f>N792+N793+N794+N795</f>
        <v>0</v>
      </c>
      <c r="O791" s="93">
        <f t="shared" ca="1" si="320"/>
        <v>0</v>
      </c>
      <c r="P791" s="93">
        <f t="shared" si="321"/>
        <v>0</v>
      </c>
      <c r="Q791" s="597"/>
      <c r="R791" s="597"/>
      <c r="S791" s="597"/>
      <c r="T791" s="597"/>
      <c r="U791" s="597"/>
      <c r="V791" s="597"/>
      <c r="W791" s="597"/>
      <c r="X791" s="597"/>
      <c r="Y791" s="597"/>
      <c r="Z791" s="597"/>
    </row>
    <row r="792" spans="1:26" ht="18.75" hidden="1">
      <c r="A792" s="567"/>
      <c r="B792" s="568"/>
      <c r="C792" s="754"/>
      <c r="D792" s="754"/>
      <c r="E792" s="754"/>
      <c r="F792" s="754" t="s">
        <v>186</v>
      </c>
      <c r="G792" s="189"/>
      <c r="H792" s="161" t="s">
        <v>12</v>
      </c>
      <c r="I792" s="269"/>
      <c r="J792" s="269"/>
      <c r="K792" s="496"/>
      <c r="L792" s="496"/>
      <c r="M792" s="496"/>
      <c r="N792" s="817">
        <v>0</v>
      </c>
      <c r="O792" s="496"/>
      <c r="P792" s="496"/>
      <c r="Q792" s="571"/>
      <c r="R792" s="571"/>
      <c r="S792" s="571"/>
      <c r="T792" s="571"/>
      <c r="U792" s="571"/>
      <c r="V792" s="571"/>
      <c r="W792" s="571"/>
      <c r="X792" s="571"/>
      <c r="Y792" s="571"/>
      <c r="Z792" s="571"/>
    </row>
    <row r="793" spans="1:26" ht="18.75" hidden="1">
      <c r="A793" s="567"/>
      <c r="B793" s="568"/>
      <c r="C793" s="754"/>
      <c r="D793" s="754"/>
      <c r="E793" s="754"/>
      <c r="F793" s="754" t="s">
        <v>187</v>
      </c>
      <c r="G793" s="189"/>
      <c r="H793" s="161" t="s">
        <v>12</v>
      </c>
      <c r="I793" s="269"/>
      <c r="J793" s="269"/>
      <c r="K793" s="496"/>
      <c r="L793" s="496"/>
      <c r="M793" s="496"/>
      <c r="N793" s="817">
        <v>0</v>
      </c>
      <c r="O793" s="496"/>
      <c r="P793" s="496"/>
      <c r="Q793" s="571"/>
      <c r="R793" s="571"/>
      <c r="S793" s="571"/>
      <c r="T793" s="571"/>
      <c r="U793" s="571"/>
      <c r="V793" s="571"/>
      <c r="W793" s="571"/>
      <c r="X793" s="571"/>
      <c r="Y793" s="571"/>
      <c r="Z793" s="571"/>
    </row>
    <row r="794" spans="1:26" ht="18.75" hidden="1">
      <c r="A794" s="567"/>
      <c r="B794" s="568"/>
      <c r="C794" s="754"/>
      <c r="D794" s="754"/>
      <c r="E794" s="754"/>
      <c r="F794" s="754" t="s">
        <v>188</v>
      </c>
      <c r="G794" s="189"/>
      <c r="H794" s="161" t="s">
        <v>12</v>
      </c>
      <c r="I794" s="269"/>
      <c r="J794" s="269"/>
      <c r="K794" s="496"/>
      <c r="L794" s="496"/>
      <c r="M794" s="496"/>
      <c r="N794" s="817">
        <v>0</v>
      </c>
      <c r="O794" s="496"/>
      <c r="P794" s="496"/>
      <c r="Q794" s="571"/>
      <c r="R794" s="571"/>
      <c r="S794" s="571"/>
      <c r="T794" s="571"/>
      <c r="U794" s="571"/>
      <c r="V794" s="571"/>
      <c r="W794" s="571"/>
      <c r="X794" s="571"/>
      <c r="Y794" s="571"/>
      <c r="Z794" s="571"/>
    </row>
    <row r="795" spans="1:26" ht="18.75" hidden="1">
      <c r="A795" s="567"/>
      <c r="B795" s="568"/>
      <c r="C795" s="754"/>
      <c r="D795" s="754"/>
      <c r="E795" s="754"/>
      <c r="F795" s="754" t="s">
        <v>189</v>
      </c>
      <c r="G795" s="189"/>
      <c r="H795" s="161" t="s">
        <v>12</v>
      </c>
      <c r="I795" s="269"/>
      <c r="J795" s="269"/>
      <c r="K795" s="496"/>
      <c r="L795" s="496"/>
      <c r="M795" s="496"/>
      <c r="N795" s="817">
        <v>0</v>
      </c>
      <c r="O795" s="496"/>
      <c r="P795" s="496"/>
      <c r="Q795" s="571"/>
      <c r="R795" s="571"/>
      <c r="S795" s="571"/>
      <c r="T795" s="571"/>
      <c r="U795" s="571"/>
      <c r="V795" s="571"/>
      <c r="W795" s="571"/>
      <c r="X795" s="571"/>
      <c r="Y795" s="571"/>
      <c r="Z795" s="571"/>
    </row>
    <row r="796" spans="1:26" ht="18.75" hidden="1">
      <c r="A796" s="590"/>
      <c r="B796" s="568"/>
      <c r="C796" s="754"/>
      <c r="D796" s="599" t="s">
        <v>21</v>
      </c>
      <c r="E796" s="754"/>
      <c r="F796" s="754"/>
      <c r="G796" s="189"/>
      <c r="H796" s="168" t="s">
        <v>12</v>
      </c>
      <c r="I796" s="184"/>
      <c r="J796" s="184"/>
      <c r="K796" s="163"/>
      <c r="L796" s="496">
        <f t="shared" ref="L796:N796" si="324">L797+L798</f>
        <v>0</v>
      </c>
      <c r="M796" s="496">
        <f t="shared" si="324"/>
        <v>0</v>
      </c>
      <c r="N796" s="496">
        <f t="shared" si="324"/>
        <v>0</v>
      </c>
      <c r="O796" s="496">
        <f t="shared" ref="O796:O798" si="325">IF(L796&gt;0,N796*100/L796,0)</f>
        <v>0</v>
      </c>
      <c r="P796" s="496">
        <f t="shared" ref="P796:P798" si="326">IF(M796&gt;0,N796*100/M796,0)</f>
        <v>0</v>
      </c>
      <c r="Q796" s="571"/>
      <c r="R796" s="571"/>
      <c r="S796" s="571"/>
      <c r="T796" s="571"/>
      <c r="U796" s="571"/>
      <c r="V796" s="571"/>
      <c r="W796" s="571"/>
      <c r="X796" s="571"/>
      <c r="Y796" s="571"/>
      <c r="Z796" s="571"/>
    </row>
    <row r="797" spans="1:26" ht="18.75" hidden="1">
      <c r="A797" s="592"/>
      <c r="B797" s="600"/>
      <c r="C797" s="750"/>
      <c r="D797" s="750"/>
      <c r="E797" s="750" t="s">
        <v>18</v>
      </c>
      <c r="F797" s="750"/>
      <c r="G797" s="596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597"/>
      <c r="R797" s="597"/>
      <c r="S797" s="597"/>
      <c r="T797" s="597"/>
      <c r="U797" s="597"/>
      <c r="V797" s="597"/>
      <c r="W797" s="597"/>
      <c r="X797" s="597"/>
      <c r="Y797" s="597"/>
      <c r="Z797" s="597"/>
    </row>
    <row r="798" spans="1:26" ht="18.75" hidden="1">
      <c r="A798" s="592"/>
      <c r="B798" s="600"/>
      <c r="C798" s="750"/>
      <c r="D798" s="750"/>
      <c r="E798" s="750" t="s">
        <v>19</v>
      </c>
      <c r="F798" s="750"/>
      <c r="G798" s="596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597"/>
      <c r="R798" s="597"/>
      <c r="S798" s="597"/>
      <c r="T798" s="597"/>
      <c r="U798" s="597"/>
      <c r="V798" s="597"/>
      <c r="W798" s="597"/>
      <c r="X798" s="597"/>
      <c r="Y798" s="597"/>
      <c r="Z798" s="597"/>
    </row>
    <row r="799" spans="1:26" ht="19.5" hidden="1">
      <c r="A799" s="601"/>
      <c r="B799" s="611"/>
      <c r="C799" s="754" t="s">
        <v>16</v>
      </c>
      <c r="D799" s="840" t="s">
        <v>38</v>
      </c>
      <c r="E799" s="752"/>
      <c r="F799" s="752"/>
      <c r="G799" s="606"/>
      <c r="H799" s="802"/>
      <c r="I799" s="184"/>
      <c r="J799" s="184"/>
      <c r="K799" s="163"/>
      <c r="L799" s="163"/>
      <c r="M799" s="163"/>
      <c r="N799" s="163"/>
      <c r="O799" s="163"/>
      <c r="P799" s="163"/>
      <c r="Q799" s="571"/>
      <c r="R799" s="571"/>
      <c r="S799" s="571"/>
      <c r="T799" s="571"/>
      <c r="U799" s="571"/>
      <c r="V799" s="571"/>
      <c r="W799" s="571"/>
      <c r="X799" s="571"/>
      <c r="Y799" s="571"/>
      <c r="Z799" s="571"/>
    </row>
    <row r="800" spans="1:26" ht="18.75" hidden="1">
      <c r="A800" s="601"/>
      <c r="B800" s="611"/>
      <c r="C800" s="611"/>
      <c r="D800" s="611"/>
      <c r="E800" s="619"/>
      <c r="F800" s="619" t="s">
        <v>320</v>
      </c>
      <c r="G800" s="753"/>
      <c r="H800" s="185" t="s">
        <v>46</v>
      </c>
      <c r="I800" s="184">
        <f ca="1">IFERROR(__xludf.DUMMYFUNCTION("IMPORTRANGE(""https://docs.google.com/spreadsheets/d/1QqKyyYR6Q21VydFLVH3TRQUabQu_ym0Zz7PgGX0-kHA/edit?usp=sharing"",""แผน!JN68"")"),0)</f>
        <v>0</v>
      </c>
      <c r="J800" s="184">
        <f ca="1">IFERROR(__xludf.DUMMYFUNCTION("IMPORTRANGE(""https://docs.google.com/spreadsheets/d/1MaWodYyGHDf7siQLGxnXhG4mBNTNIuy296niS2xXulU/edit?usp=sharing"",""RTK!H68"")"),0)</f>
        <v>0</v>
      </c>
      <c r="K800" s="496">
        <f ca="1">IF(I800&gt;0,J800*100/I800,0)</f>
        <v>0</v>
      </c>
      <c r="L800" s="496"/>
      <c r="M800" s="496"/>
      <c r="N800" s="496"/>
      <c r="O800" s="163"/>
      <c r="P800" s="163"/>
      <c r="Q800" s="571"/>
      <c r="R800" s="571"/>
      <c r="S800" s="571"/>
      <c r="T800" s="571"/>
      <c r="U800" s="571"/>
      <c r="V800" s="571"/>
      <c r="W800" s="571"/>
      <c r="X800" s="571"/>
      <c r="Y800" s="571"/>
      <c r="Z800" s="571"/>
    </row>
    <row r="801" spans="1:26" ht="18.75" hidden="1">
      <c r="A801" s="601"/>
      <c r="B801" s="611"/>
      <c r="C801" s="611"/>
      <c r="D801" s="611"/>
      <c r="E801" s="619"/>
      <c r="F801" s="619"/>
      <c r="G801" s="753"/>
      <c r="H801" s="161" t="s">
        <v>34</v>
      </c>
      <c r="I801" s="184"/>
      <c r="J801" s="269">
        <f ca="1">IFERROR(__xludf.DUMMYFUNCTION("IMPORTRANGE(""https://docs.google.com/spreadsheets/d/1MaWodYyGHDf7siQLGxnXhG4mBNTNIuy296niS2xXulU/edit?usp=sharing"",""RTK!I68"")"),0)</f>
        <v>0</v>
      </c>
      <c r="K801" s="496"/>
      <c r="L801" s="496"/>
      <c r="M801" s="496"/>
      <c r="N801" s="496"/>
      <c r="O801" s="163"/>
      <c r="P801" s="163"/>
      <c r="Q801" s="571"/>
      <c r="R801" s="571"/>
      <c r="S801" s="571"/>
      <c r="T801" s="571"/>
      <c r="U801" s="571"/>
      <c r="V801" s="571"/>
      <c r="W801" s="571"/>
      <c r="X801" s="571"/>
      <c r="Y801" s="571"/>
      <c r="Z801" s="571"/>
    </row>
    <row r="802" spans="1:26" ht="18.75" hidden="1">
      <c r="A802" s="607"/>
      <c r="B802" s="609"/>
      <c r="C802" s="609"/>
      <c r="D802" s="609"/>
      <c r="E802" s="711"/>
      <c r="F802" s="711" t="s">
        <v>321</v>
      </c>
      <c r="G802" s="365"/>
      <c r="H802" s="646" t="s">
        <v>46</v>
      </c>
      <c r="I802" s="166"/>
      <c r="J802" s="610"/>
      <c r="K802" s="167">
        <f>IF(I802&gt;0,J802*100/I802,0)</f>
        <v>0</v>
      </c>
      <c r="L802" s="167"/>
      <c r="M802" s="167"/>
      <c r="N802" s="167"/>
      <c r="O802" s="167"/>
      <c r="P802" s="167"/>
      <c r="Q802" s="597"/>
      <c r="R802" s="597"/>
      <c r="S802" s="597"/>
      <c r="T802" s="597"/>
      <c r="U802" s="597"/>
      <c r="V802" s="597"/>
      <c r="W802" s="597"/>
      <c r="X802" s="597"/>
      <c r="Y802" s="597"/>
      <c r="Z802" s="597"/>
    </row>
    <row r="803" spans="1:26" ht="18.75" hidden="1">
      <c r="A803" s="607"/>
      <c r="B803" s="609"/>
      <c r="C803" s="609"/>
      <c r="D803" s="609"/>
      <c r="E803" s="711"/>
      <c r="F803" s="711"/>
      <c r="G803" s="365"/>
      <c r="H803" s="646" t="s">
        <v>34</v>
      </c>
      <c r="I803" s="166"/>
      <c r="J803" s="610"/>
      <c r="K803" s="167"/>
      <c r="L803" s="167"/>
      <c r="M803" s="167"/>
      <c r="N803" s="167"/>
      <c r="O803" s="167"/>
      <c r="P803" s="167"/>
      <c r="Q803" s="597"/>
      <c r="R803" s="597"/>
      <c r="S803" s="597"/>
      <c r="T803" s="597"/>
      <c r="U803" s="597"/>
      <c r="V803" s="597"/>
      <c r="W803" s="597"/>
      <c r="X803" s="597"/>
      <c r="Y803" s="597"/>
      <c r="Z803" s="597"/>
    </row>
    <row r="804" spans="1:26" ht="19.5" hidden="1">
      <c r="A804" s="784">
        <v>13</v>
      </c>
      <c r="B804" s="785" t="s">
        <v>322</v>
      </c>
      <c r="C804" s="786"/>
      <c r="D804" s="803"/>
      <c r="E804" s="786"/>
      <c r="F804" s="786"/>
      <c r="G804" s="787"/>
      <c r="H804" s="788" t="s">
        <v>46</v>
      </c>
      <c r="I804" s="789"/>
      <c r="J804" s="789">
        <f>J819</f>
        <v>0</v>
      </c>
      <c r="K804" s="790">
        <f>IF(I804&gt;0,J804*100/I804,0)</f>
        <v>0</v>
      </c>
      <c r="L804" s="791"/>
      <c r="M804" s="791"/>
      <c r="N804" s="791"/>
      <c r="O804" s="791"/>
      <c r="P804" s="791"/>
      <c r="Q804" s="597"/>
      <c r="R804" s="597"/>
      <c r="S804" s="597"/>
      <c r="T804" s="597"/>
      <c r="U804" s="597"/>
      <c r="V804" s="597"/>
      <c r="W804" s="597"/>
      <c r="X804" s="597"/>
      <c r="Y804" s="597"/>
      <c r="Z804" s="597"/>
    </row>
    <row r="805" spans="1:26" ht="19.5" hidden="1">
      <c r="A805" s="592"/>
      <c r="B805" s="750"/>
      <c r="C805" s="750" t="s">
        <v>16</v>
      </c>
      <c r="D805" s="864" t="s">
        <v>17</v>
      </c>
      <c r="E805" s="857"/>
      <c r="F805" s="857"/>
      <c r="G805" s="596"/>
      <c r="H805" s="639" t="s">
        <v>12</v>
      </c>
      <c r="I805" s="610"/>
      <c r="J805" s="610"/>
      <c r="K805" s="93"/>
      <c r="L805" s="640">
        <f t="shared" ref="L805:N805" si="327">L806+L807</f>
        <v>0</v>
      </c>
      <c r="M805" s="640">
        <f t="shared" si="327"/>
        <v>0</v>
      </c>
      <c r="N805" s="640">
        <f t="shared" si="327"/>
        <v>0</v>
      </c>
      <c r="O805" s="640">
        <f t="shared" ref="O805:O810" si="328">IF(L805&gt;0,N805*100/L805,0)</f>
        <v>0</v>
      </c>
      <c r="P805" s="640">
        <f t="shared" ref="P805:P810" si="329">IF(M805&gt;0,N805*100/M805,0)</f>
        <v>0</v>
      </c>
      <c r="Q805" s="597"/>
      <c r="R805" s="597"/>
      <c r="S805" s="597"/>
      <c r="T805" s="597"/>
      <c r="U805" s="597"/>
      <c r="V805" s="597"/>
      <c r="W805" s="597"/>
      <c r="X805" s="597"/>
      <c r="Y805" s="597"/>
      <c r="Z805" s="597"/>
    </row>
    <row r="806" spans="1:26" ht="18.75" hidden="1">
      <c r="A806" s="592"/>
      <c r="B806" s="750"/>
      <c r="C806" s="750"/>
      <c r="D806" s="609"/>
      <c r="E806" s="750" t="s">
        <v>184</v>
      </c>
      <c r="F806" s="750"/>
      <c r="G806" s="596"/>
      <c r="H806" s="165" t="s">
        <v>12</v>
      </c>
      <c r="I806" s="610"/>
      <c r="J806" s="610"/>
      <c r="K806" s="93"/>
      <c r="L806" s="93">
        <f t="shared" ref="L806:N807" si="330">L809+L816</f>
        <v>0</v>
      </c>
      <c r="M806" s="93">
        <f t="shared" si="330"/>
        <v>0</v>
      </c>
      <c r="N806" s="93">
        <f t="shared" si="330"/>
        <v>0</v>
      </c>
      <c r="O806" s="93">
        <f t="shared" si="328"/>
        <v>0</v>
      </c>
      <c r="P806" s="93">
        <f t="shared" si="329"/>
        <v>0</v>
      </c>
      <c r="Q806" s="597"/>
      <c r="R806" s="597"/>
      <c r="S806" s="597"/>
      <c r="T806" s="597"/>
      <c r="U806" s="597"/>
      <c r="V806" s="597"/>
      <c r="W806" s="597"/>
      <c r="X806" s="597"/>
      <c r="Y806" s="597"/>
      <c r="Z806" s="597"/>
    </row>
    <row r="807" spans="1:26" ht="18.75" hidden="1">
      <c r="A807" s="592"/>
      <c r="B807" s="750"/>
      <c r="C807" s="750"/>
      <c r="D807" s="609"/>
      <c r="E807" s="750" t="s">
        <v>185</v>
      </c>
      <c r="F807" s="750"/>
      <c r="G807" s="596"/>
      <c r="H807" s="165" t="s">
        <v>12</v>
      </c>
      <c r="I807" s="610"/>
      <c r="J807" s="610"/>
      <c r="K807" s="93"/>
      <c r="L807" s="93">
        <f t="shared" si="330"/>
        <v>0</v>
      </c>
      <c r="M807" s="93">
        <f t="shared" si="330"/>
        <v>0</v>
      </c>
      <c r="N807" s="93">
        <f t="shared" si="330"/>
        <v>0</v>
      </c>
      <c r="O807" s="93">
        <f t="shared" si="328"/>
        <v>0</v>
      </c>
      <c r="P807" s="93">
        <f t="shared" si="329"/>
        <v>0</v>
      </c>
      <c r="Q807" s="597"/>
      <c r="R807" s="597"/>
      <c r="S807" s="597"/>
      <c r="T807" s="597"/>
      <c r="U807" s="597"/>
      <c r="V807" s="597"/>
      <c r="W807" s="597"/>
      <c r="X807" s="597"/>
      <c r="Y807" s="597"/>
      <c r="Z807" s="597"/>
    </row>
    <row r="808" spans="1:26" ht="19.5" hidden="1">
      <c r="A808" s="592"/>
      <c r="B808" s="600"/>
      <c r="C808" s="750"/>
      <c r="D808" s="869" t="s">
        <v>20</v>
      </c>
      <c r="E808" s="857"/>
      <c r="F808" s="857"/>
      <c r="G808" s="596"/>
      <c r="H808" s="639" t="s">
        <v>12</v>
      </c>
      <c r="I808" s="166"/>
      <c r="J808" s="166"/>
      <c r="K808" s="167"/>
      <c r="L808" s="640">
        <f t="shared" ref="L808:N808" si="331">L809+L810</f>
        <v>0</v>
      </c>
      <c r="M808" s="640">
        <f t="shared" si="331"/>
        <v>0</v>
      </c>
      <c r="N808" s="640">
        <f t="shared" si="331"/>
        <v>0</v>
      </c>
      <c r="O808" s="640">
        <f t="shared" si="328"/>
        <v>0</v>
      </c>
      <c r="P808" s="640">
        <f t="shared" si="329"/>
        <v>0</v>
      </c>
      <c r="Q808" s="597"/>
      <c r="R808" s="597"/>
      <c r="S808" s="597"/>
      <c r="T808" s="597"/>
      <c r="U808" s="597"/>
      <c r="V808" s="597"/>
      <c r="W808" s="597"/>
      <c r="X808" s="597"/>
      <c r="Y808" s="597"/>
      <c r="Z808" s="597"/>
    </row>
    <row r="809" spans="1:26" ht="18.75" hidden="1">
      <c r="A809" s="592"/>
      <c r="B809" s="750"/>
      <c r="C809" s="750"/>
      <c r="D809" s="609"/>
      <c r="E809" s="750" t="s">
        <v>184</v>
      </c>
      <c r="F809" s="750"/>
      <c r="G809" s="596"/>
      <c r="H809" s="165" t="s">
        <v>12</v>
      </c>
      <c r="I809" s="610"/>
      <c r="J809" s="610"/>
      <c r="K809" s="93"/>
      <c r="L809" s="93">
        <v>0</v>
      </c>
      <c r="M809" s="93">
        <v>0</v>
      </c>
      <c r="N809" s="93">
        <v>0</v>
      </c>
      <c r="O809" s="93">
        <f t="shared" si="328"/>
        <v>0</v>
      </c>
      <c r="P809" s="93">
        <f t="shared" si="329"/>
        <v>0</v>
      </c>
      <c r="Q809" s="597"/>
      <c r="R809" s="597"/>
      <c r="S809" s="597"/>
      <c r="T809" s="597"/>
      <c r="U809" s="597"/>
      <c r="V809" s="597"/>
      <c r="W809" s="597"/>
      <c r="X809" s="597"/>
      <c r="Y809" s="597"/>
      <c r="Z809" s="597"/>
    </row>
    <row r="810" spans="1:26" ht="18.75" hidden="1">
      <c r="A810" s="592"/>
      <c r="B810" s="750"/>
      <c r="C810" s="750"/>
      <c r="D810" s="609"/>
      <c r="E810" s="750" t="s">
        <v>185</v>
      </c>
      <c r="F810" s="750"/>
      <c r="G810" s="596"/>
      <c r="H810" s="165" t="s">
        <v>12</v>
      </c>
      <c r="I810" s="610"/>
      <c r="J810" s="610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8"/>
        <v>0</v>
      </c>
      <c r="P810" s="93">
        <f t="shared" si="329"/>
        <v>0</v>
      </c>
      <c r="Q810" s="597"/>
      <c r="R810" s="597"/>
      <c r="S810" s="597"/>
      <c r="T810" s="597"/>
      <c r="U810" s="597"/>
      <c r="V810" s="597"/>
      <c r="W810" s="597"/>
      <c r="X810" s="597"/>
      <c r="Y810" s="597"/>
      <c r="Z810" s="597"/>
    </row>
    <row r="811" spans="1:26" ht="18.75" hidden="1">
      <c r="A811" s="642"/>
      <c r="B811" s="600"/>
      <c r="C811" s="750"/>
      <c r="D811" s="600"/>
      <c r="E811" s="750"/>
      <c r="F811" s="750" t="s">
        <v>186</v>
      </c>
      <c r="G811" s="596"/>
      <c r="H811" s="165" t="s">
        <v>12</v>
      </c>
      <c r="I811" s="610"/>
      <c r="J811" s="610"/>
      <c r="K811" s="93"/>
      <c r="L811" s="93"/>
      <c r="M811" s="93"/>
      <c r="N811" s="93"/>
      <c r="O811" s="93"/>
      <c r="P811" s="93"/>
      <c r="Q811" s="597"/>
      <c r="R811" s="597"/>
      <c r="S811" s="597"/>
      <c r="T811" s="597"/>
      <c r="U811" s="597"/>
      <c r="V811" s="597"/>
      <c r="W811" s="597"/>
      <c r="X811" s="597"/>
      <c r="Y811" s="597"/>
      <c r="Z811" s="597"/>
    </row>
    <row r="812" spans="1:26" ht="18.75" hidden="1">
      <c r="A812" s="642"/>
      <c r="B812" s="600"/>
      <c r="C812" s="750"/>
      <c r="D812" s="600"/>
      <c r="E812" s="750"/>
      <c r="F812" s="750" t="s">
        <v>187</v>
      </c>
      <c r="G812" s="596"/>
      <c r="H812" s="165" t="s">
        <v>12</v>
      </c>
      <c r="I812" s="610"/>
      <c r="J812" s="610"/>
      <c r="K812" s="93"/>
      <c r="L812" s="93"/>
      <c r="M812" s="93"/>
      <c r="N812" s="93"/>
      <c r="O812" s="93"/>
      <c r="P812" s="93"/>
      <c r="Q812" s="597"/>
      <c r="R812" s="597"/>
      <c r="S812" s="597"/>
      <c r="T812" s="597"/>
      <c r="U812" s="597"/>
      <c r="V812" s="597"/>
      <c r="W812" s="597"/>
      <c r="X812" s="597"/>
      <c r="Y812" s="597"/>
      <c r="Z812" s="597"/>
    </row>
    <row r="813" spans="1:26" ht="18.75" hidden="1">
      <c r="A813" s="642"/>
      <c r="B813" s="600"/>
      <c r="C813" s="750"/>
      <c r="D813" s="600"/>
      <c r="E813" s="750"/>
      <c r="F813" s="750" t="s">
        <v>188</v>
      </c>
      <c r="G813" s="596"/>
      <c r="H813" s="165" t="s">
        <v>12</v>
      </c>
      <c r="I813" s="610"/>
      <c r="J813" s="610"/>
      <c r="K813" s="93"/>
      <c r="L813" s="93"/>
      <c r="M813" s="93"/>
      <c r="N813" s="93"/>
      <c r="O813" s="93"/>
      <c r="P813" s="93"/>
      <c r="Q813" s="597"/>
      <c r="R813" s="597"/>
      <c r="S813" s="597"/>
      <c r="T813" s="597"/>
      <c r="U813" s="597"/>
      <c r="V813" s="597"/>
      <c r="W813" s="597"/>
      <c r="X813" s="597"/>
      <c r="Y813" s="597"/>
      <c r="Z813" s="597"/>
    </row>
    <row r="814" spans="1:26" ht="18.75" hidden="1">
      <c r="A814" s="642"/>
      <c r="B814" s="600"/>
      <c r="C814" s="750"/>
      <c r="D814" s="600"/>
      <c r="E814" s="750"/>
      <c r="F814" s="750" t="s">
        <v>189</v>
      </c>
      <c r="G814" s="596"/>
      <c r="H814" s="165" t="s">
        <v>12</v>
      </c>
      <c r="I814" s="610"/>
      <c r="J814" s="610"/>
      <c r="K814" s="93"/>
      <c r="L814" s="93"/>
      <c r="M814" s="93"/>
      <c r="N814" s="93"/>
      <c r="O814" s="93"/>
      <c r="P814" s="93"/>
      <c r="Q814" s="597"/>
      <c r="R814" s="597"/>
      <c r="S814" s="597"/>
      <c r="T814" s="597"/>
      <c r="U814" s="597"/>
      <c r="V814" s="597"/>
      <c r="W814" s="597"/>
      <c r="X814" s="597"/>
      <c r="Y814" s="597"/>
      <c r="Z814" s="597"/>
    </row>
    <row r="815" spans="1:26" ht="19.5" hidden="1">
      <c r="A815" s="592"/>
      <c r="B815" s="600"/>
      <c r="C815" s="750"/>
      <c r="D815" s="869" t="s">
        <v>21</v>
      </c>
      <c r="E815" s="857"/>
      <c r="F815" s="857"/>
      <c r="G815" s="596"/>
      <c r="H815" s="774" t="s">
        <v>12</v>
      </c>
      <c r="I815" s="166"/>
      <c r="J815" s="166"/>
      <c r="K815" s="167"/>
      <c r="L815" s="640">
        <f t="shared" ref="L815:N815" si="332">L816+L817</f>
        <v>0</v>
      </c>
      <c r="M815" s="640">
        <f t="shared" si="332"/>
        <v>0</v>
      </c>
      <c r="N815" s="640">
        <f t="shared" si="332"/>
        <v>0</v>
      </c>
      <c r="O815" s="640">
        <f t="shared" ref="O815:O817" si="333">IF(L815&gt;0,N815*100/L815,0)</f>
        <v>0</v>
      </c>
      <c r="P815" s="640">
        <f t="shared" ref="P815:P817" si="334">IF(M815&gt;0,N815*100/M815,0)</f>
        <v>0</v>
      </c>
      <c r="Q815" s="597"/>
      <c r="R815" s="597"/>
      <c r="S815" s="597"/>
      <c r="T815" s="597"/>
      <c r="U815" s="597"/>
      <c r="V815" s="597"/>
      <c r="W815" s="597"/>
      <c r="X815" s="597"/>
      <c r="Y815" s="597"/>
      <c r="Z815" s="597"/>
    </row>
    <row r="816" spans="1:26" ht="18.75" hidden="1">
      <c r="A816" s="592"/>
      <c r="B816" s="600"/>
      <c r="C816" s="750"/>
      <c r="D816" s="600"/>
      <c r="E816" s="750" t="s">
        <v>18</v>
      </c>
      <c r="F816" s="750"/>
      <c r="G816" s="596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3"/>
        <v>0</v>
      </c>
      <c r="P816" s="93">
        <f t="shared" si="334"/>
        <v>0</v>
      </c>
      <c r="Q816" s="597"/>
      <c r="R816" s="597"/>
      <c r="S816" s="597"/>
      <c r="T816" s="597"/>
      <c r="U816" s="597"/>
      <c r="V816" s="597"/>
      <c r="W816" s="597"/>
      <c r="X816" s="597"/>
      <c r="Y816" s="597"/>
      <c r="Z816" s="597"/>
    </row>
    <row r="817" spans="1:26" ht="18.75" hidden="1">
      <c r="A817" s="592"/>
      <c r="B817" s="600"/>
      <c r="C817" s="750"/>
      <c r="D817" s="600"/>
      <c r="E817" s="750" t="s">
        <v>19</v>
      </c>
      <c r="F817" s="750"/>
      <c r="G817" s="596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3"/>
        <v>0</v>
      </c>
      <c r="P817" s="93">
        <f t="shared" si="334"/>
        <v>0</v>
      </c>
      <c r="Q817" s="597"/>
      <c r="R817" s="597"/>
      <c r="S817" s="597"/>
      <c r="T817" s="597"/>
      <c r="U817" s="597"/>
      <c r="V817" s="597"/>
      <c r="W817" s="597"/>
      <c r="X817" s="597"/>
      <c r="Y817" s="597"/>
      <c r="Z817" s="597"/>
    </row>
    <row r="818" spans="1:26" ht="19.5" hidden="1">
      <c r="A818" s="607"/>
      <c r="B818" s="609"/>
      <c r="C818" s="750" t="s">
        <v>16</v>
      </c>
      <c r="D818" s="842" t="s">
        <v>38</v>
      </c>
      <c r="E818" s="644"/>
      <c r="F818" s="644"/>
      <c r="G818" s="645"/>
      <c r="H818" s="365"/>
      <c r="I818" s="166"/>
      <c r="J818" s="166"/>
      <c r="K818" s="167"/>
      <c r="L818" s="167"/>
      <c r="M818" s="167"/>
      <c r="N818" s="167"/>
      <c r="O818" s="167"/>
      <c r="P818" s="167"/>
      <c r="Q818" s="597"/>
      <c r="R818" s="597"/>
      <c r="S818" s="597"/>
      <c r="T818" s="597"/>
      <c r="U818" s="597"/>
      <c r="V818" s="597"/>
      <c r="W818" s="597"/>
      <c r="X818" s="597"/>
      <c r="Y818" s="597"/>
      <c r="Z818" s="597"/>
    </row>
    <row r="819" spans="1:26" ht="19.5" hidden="1" thickBot="1">
      <c r="A819" s="805"/>
      <c r="B819" s="806"/>
      <c r="C819" s="808"/>
      <c r="D819" s="806"/>
      <c r="E819" s="808" t="s">
        <v>323</v>
      </c>
      <c r="F819" s="808"/>
      <c r="G819" s="809"/>
      <c r="H819" s="810" t="s">
        <v>46</v>
      </c>
      <c r="I819" s="811"/>
      <c r="J819" s="811"/>
      <c r="K819" s="812"/>
      <c r="L819" s="812"/>
      <c r="M819" s="812"/>
      <c r="N819" s="812"/>
      <c r="O819" s="812"/>
      <c r="P819" s="812"/>
      <c r="Q819" s="597"/>
      <c r="R819" s="597"/>
      <c r="S819" s="597"/>
      <c r="T819" s="597"/>
      <c r="U819" s="597"/>
      <c r="V819" s="597"/>
      <c r="W819" s="597"/>
      <c r="X819" s="597"/>
      <c r="Y819" s="597"/>
      <c r="Z819" s="597"/>
    </row>
    <row r="820" spans="1:26" ht="19.5">
      <c r="A820" s="813" t="s">
        <v>331</v>
      </c>
      <c r="B820" s="814"/>
      <c r="C820" s="814"/>
      <c r="D820" s="815"/>
      <c r="E820" s="814"/>
      <c r="F820" s="814"/>
      <c r="G820" s="816"/>
      <c r="H820" s="816"/>
      <c r="I820" s="214"/>
      <c r="J820" s="214"/>
      <c r="K820" s="817"/>
      <c r="L820" s="817"/>
      <c r="M820" s="817"/>
      <c r="N820" s="817"/>
      <c r="O820" s="817"/>
      <c r="P820" s="817"/>
      <c r="Q820" s="571"/>
      <c r="R820" s="571"/>
      <c r="S820" s="571"/>
      <c r="T820" s="571"/>
      <c r="U820" s="571"/>
      <c r="V820" s="571"/>
      <c r="W820" s="571"/>
      <c r="X820" s="571"/>
      <c r="Y820" s="571"/>
      <c r="Z820" s="571"/>
    </row>
    <row r="821" spans="1:26" ht="18.75">
      <c r="A821" s="735"/>
      <c r="B821" s="754" t="s">
        <v>325</v>
      </c>
      <c r="C821" s="754"/>
      <c r="D821" s="568"/>
      <c r="E821" s="754"/>
      <c r="F821" s="754"/>
      <c r="G821" s="189"/>
      <c r="H821" s="616" t="s">
        <v>12</v>
      </c>
      <c r="I821" s="269">
        <f ca="1">IFERROR(__xludf.DUMMYFUNCTION("IMPORTRANGE(""https://docs.google.com/spreadsheets/d/19vJNZY_5yjcGF2XGBMNZRCAIB0Kwfpjp8YEOfu-bneM/edit?usp=sharing"",""งานกองทุน!D68"")"),11162959.48)</f>
        <v>11162959.48</v>
      </c>
      <c r="J821" s="269">
        <f ca="1">IFERROR(__xludf.DUMMYFUNCTION("IMPORTRANGE(""https://docs.google.com/spreadsheets/d/19vJNZY_5yjcGF2XGBMNZRCAIB0Kwfpjp8YEOfu-bneM/edit?usp=sharing"",""งานกองทุน!F68"")"),510000)</f>
        <v>510000</v>
      </c>
      <c r="K821" s="496">
        <f t="shared" ref="K821:K828" ca="1" si="335">IF(I821&gt;0,J821*100/I821,0)</f>
        <v>4.5686809211637485</v>
      </c>
      <c r="L821" s="496"/>
      <c r="M821" s="496"/>
      <c r="N821" s="496"/>
      <c r="O821" s="496"/>
      <c r="P821" s="496"/>
      <c r="Q821" s="571"/>
      <c r="R821" s="571"/>
      <c r="S821" s="571"/>
      <c r="T821" s="571"/>
      <c r="U821" s="571"/>
      <c r="V821" s="571"/>
      <c r="W821" s="571"/>
      <c r="X821" s="571"/>
      <c r="Y821" s="571"/>
      <c r="Z821" s="571"/>
    </row>
    <row r="822" spans="1:26" ht="18.75">
      <c r="A822" s="735"/>
      <c r="B822" s="754"/>
      <c r="C822" s="754"/>
      <c r="D822" s="568"/>
      <c r="E822" s="754"/>
      <c r="F822" s="754"/>
      <c r="G822" s="189"/>
      <c r="H822" s="616" t="s">
        <v>35</v>
      </c>
      <c r="I822" s="269">
        <f ca="1">IFERROR(__xludf.DUMMYFUNCTION("IMPORTRANGE(""https://docs.google.com/spreadsheets/d/19vJNZY_5yjcGF2XGBMNZRCAIB0Kwfpjp8YEOfu-bneM/edit?usp=sharing"",""งานกองทุน!C68"")"),357)</f>
        <v>357</v>
      </c>
      <c r="J822" s="269">
        <f ca="1">IFERROR(__xludf.DUMMYFUNCTION("IMPORTRANGE(""https://docs.google.com/spreadsheets/d/19vJNZY_5yjcGF2XGBMNZRCAIB0Kwfpjp8YEOfu-bneM/edit?usp=sharing"",""งานกองทุน!E68"")"),17)</f>
        <v>17</v>
      </c>
      <c r="K822" s="496">
        <f t="shared" ca="1" si="335"/>
        <v>4.7619047619047619</v>
      </c>
      <c r="L822" s="496"/>
      <c r="M822" s="496"/>
      <c r="N822" s="496"/>
      <c r="O822" s="496"/>
      <c r="P822" s="496"/>
      <c r="Q822" s="571"/>
      <c r="R822" s="571"/>
      <c r="S822" s="571"/>
      <c r="T822" s="571"/>
      <c r="U822" s="571"/>
      <c r="V822" s="571"/>
      <c r="W822" s="571"/>
      <c r="X822" s="571"/>
      <c r="Y822" s="571"/>
      <c r="Z822" s="571"/>
    </row>
    <row r="823" spans="1:26" ht="18.75">
      <c r="A823" s="735"/>
      <c r="B823" s="754" t="s">
        <v>326</v>
      </c>
      <c r="C823" s="754"/>
      <c r="D823" s="568"/>
      <c r="E823" s="754"/>
      <c r="F823" s="754"/>
      <c r="G823" s="189"/>
      <c r="H823" s="616" t="s">
        <v>12</v>
      </c>
      <c r="I823" s="269">
        <f ca="1">IFERROR(__xludf.DUMMYFUNCTION("IMPORTRANGE(""https://docs.google.com/spreadsheets/d/19vJNZY_5yjcGF2XGBMNZRCAIB0Kwfpjp8YEOfu-bneM/edit?usp=sharing"",""งานกองทุน!I68"")"),7450393.69)</f>
        <v>7450393.6900000004</v>
      </c>
      <c r="J823" s="269">
        <f ca="1">IFERROR(__xludf.DUMMYFUNCTION("IMPORTRANGE(""https://docs.google.com/spreadsheets/d/19vJNZY_5yjcGF2XGBMNZRCAIB0Kwfpjp8YEOfu-bneM/edit?usp=sharing"",""งานกองทุน!K68"")"),163987.1)</f>
        <v>163987.1</v>
      </c>
      <c r="K823" s="496">
        <f t="shared" ca="1" si="335"/>
        <v>2.2010528144318773</v>
      </c>
      <c r="L823" s="496"/>
      <c r="M823" s="496"/>
      <c r="N823" s="496"/>
      <c r="O823" s="496"/>
      <c r="P823" s="496"/>
      <c r="Q823" s="571"/>
      <c r="R823" s="571"/>
      <c r="S823" s="571"/>
      <c r="T823" s="571"/>
      <c r="U823" s="571"/>
      <c r="V823" s="571"/>
      <c r="W823" s="571"/>
      <c r="X823" s="571"/>
      <c r="Y823" s="571"/>
      <c r="Z823" s="571"/>
    </row>
    <row r="824" spans="1:26" ht="18.75">
      <c r="A824" s="735"/>
      <c r="B824" s="754"/>
      <c r="C824" s="754"/>
      <c r="D824" s="568"/>
      <c r="E824" s="754"/>
      <c r="F824" s="754"/>
      <c r="G824" s="189"/>
      <c r="H824" s="616" t="s">
        <v>35</v>
      </c>
      <c r="I824" s="269">
        <f ca="1">IFERROR(__xludf.DUMMYFUNCTION("IMPORTRANGE(""https://docs.google.com/spreadsheets/d/19vJNZY_5yjcGF2XGBMNZRCAIB0Kwfpjp8YEOfu-bneM/edit?usp=sharing"",""งานกองทุน!H68"")"),327)</f>
        <v>327</v>
      </c>
      <c r="J824" s="269">
        <f ca="1">IFERROR(__xludf.DUMMYFUNCTION("IMPORTRANGE(""https://docs.google.com/spreadsheets/d/19vJNZY_5yjcGF2XGBMNZRCAIB0Kwfpjp8YEOfu-bneM/edit?usp=sharing"",""งานกองทุน!J68"")"),12)</f>
        <v>12</v>
      </c>
      <c r="K824" s="496">
        <f t="shared" ca="1" si="335"/>
        <v>3.669724770642202</v>
      </c>
      <c r="L824" s="496"/>
      <c r="M824" s="496"/>
      <c r="N824" s="496"/>
      <c r="O824" s="496"/>
      <c r="P824" s="496"/>
      <c r="Q824" s="571"/>
      <c r="R824" s="571"/>
      <c r="S824" s="571"/>
      <c r="T824" s="571"/>
      <c r="U824" s="571"/>
      <c r="V824" s="571"/>
      <c r="W824" s="571"/>
      <c r="X824" s="571"/>
      <c r="Y824" s="571"/>
      <c r="Z824" s="571"/>
    </row>
    <row r="825" spans="1:26" ht="18.75">
      <c r="A825" s="735"/>
      <c r="B825" s="754" t="s">
        <v>327</v>
      </c>
      <c r="C825" s="754"/>
      <c r="D825" s="568"/>
      <c r="E825" s="754"/>
      <c r="F825" s="754"/>
      <c r="G825" s="189"/>
      <c r="H825" s="616" t="s">
        <v>12</v>
      </c>
      <c r="I825" s="269">
        <f ca="1">IFERROR(__xludf.DUMMYFUNCTION("IMPORTRANGE(""https://docs.google.com/spreadsheets/d/19vJNZY_5yjcGF2XGBMNZRCAIB0Kwfpjp8YEOfu-bneM/edit?usp=sharing"",""งานกองทุน!N68"")"),9317700.69)</f>
        <v>9317700.6899999995</v>
      </c>
      <c r="J825" s="269">
        <f ca="1">IFERROR(__xludf.DUMMYFUNCTION("IMPORTRANGE(""https://docs.google.com/spreadsheets/d/19vJNZY_5yjcGF2XGBMNZRCAIB0Kwfpjp8YEOfu-bneM/edit?usp=sharing"",""งานกองทุน!P68"")"),307280.08)</f>
        <v>307280.08</v>
      </c>
      <c r="K825" s="496">
        <f t="shared" ca="1" si="335"/>
        <v>3.2978101596435807</v>
      </c>
      <c r="L825" s="496"/>
      <c r="M825" s="496"/>
      <c r="N825" s="496"/>
      <c r="O825" s="496"/>
      <c r="P825" s="496"/>
      <c r="Q825" s="571"/>
      <c r="R825" s="571"/>
      <c r="S825" s="571"/>
      <c r="T825" s="571"/>
      <c r="U825" s="571"/>
      <c r="V825" s="571"/>
      <c r="W825" s="571"/>
      <c r="X825" s="571"/>
      <c r="Y825" s="571"/>
      <c r="Z825" s="571"/>
    </row>
    <row r="826" spans="1:26" ht="18.75">
      <c r="A826" s="735"/>
      <c r="B826" s="754"/>
      <c r="C826" s="754"/>
      <c r="D826" s="568"/>
      <c r="E826" s="754"/>
      <c r="F826" s="754"/>
      <c r="G826" s="189"/>
      <c r="H826" s="616" t="s">
        <v>35</v>
      </c>
      <c r="I826" s="269">
        <f ca="1">IFERROR(__xludf.DUMMYFUNCTION("IMPORTRANGE(""https://docs.google.com/spreadsheets/d/19vJNZY_5yjcGF2XGBMNZRCAIB0Kwfpjp8YEOfu-bneM/edit?usp=sharing"",""งานกองทุน!M68"")"),1230)</f>
        <v>1230</v>
      </c>
      <c r="J826" s="269">
        <f ca="1">IFERROR(__xludf.DUMMYFUNCTION("IMPORTRANGE(""https://docs.google.com/spreadsheets/d/19vJNZY_5yjcGF2XGBMNZRCAIB0Kwfpjp8YEOfu-bneM/edit?usp=sharing"",""งานกองทุน!O68"")"),57)</f>
        <v>57</v>
      </c>
      <c r="K826" s="496">
        <f t="shared" ca="1" si="335"/>
        <v>4.6341463414634143</v>
      </c>
      <c r="L826" s="496"/>
      <c r="M826" s="496"/>
      <c r="N826" s="496"/>
      <c r="O826" s="496"/>
      <c r="P826" s="496"/>
      <c r="Q826" s="571"/>
      <c r="R826" s="571"/>
      <c r="S826" s="571"/>
      <c r="T826" s="571"/>
      <c r="U826" s="571"/>
      <c r="V826" s="571"/>
      <c r="W826" s="571"/>
      <c r="X826" s="571"/>
      <c r="Y826" s="571"/>
      <c r="Z826" s="571"/>
    </row>
    <row r="827" spans="1:26" ht="18.75">
      <c r="A827" s="735"/>
      <c r="B827" s="754" t="s">
        <v>328</v>
      </c>
      <c r="C827" s="754"/>
      <c r="D827" s="568"/>
      <c r="E827" s="754"/>
      <c r="F827" s="754"/>
      <c r="G827" s="189"/>
      <c r="H827" s="616" t="s">
        <v>12</v>
      </c>
      <c r="I827" s="269">
        <f ca="1">IFERROR(__xludf.DUMMYFUNCTION("IMPORTRANGE(""https://docs.google.com/spreadsheets/d/19vJNZY_5yjcGF2XGBMNZRCAIB0Kwfpjp8YEOfu-bneM/edit?usp=sharing"",""งานกองทุน!S68"")"),11230000)</f>
        <v>11230000</v>
      </c>
      <c r="J827" s="269">
        <f ca="1">IFERROR(__xludf.DUMMYFUNCTION("IMPORTRANGE(""https://docs.google.com/spreadsheets/d/19vJNZY_5yjcGF2XGBMNZRCAIB0Kwfpjp8YEOfu-bneM/edit?usp=sharing"",""งานกองทุน!U68"")"),925000)</f>
        <v>925000</v>
      </c>
      <c r="K827" s="496">
        <f t="shared" ca="1" si="335"/>
        <v>8.236865538735529</v>
      </c>
      <c r="L827" s="496"/>
      <c r="M827" s="496"/>
      <c r="N827" s="496"/>
      <c r="O827" s="496"/>
      <c r="P827" s="496"/>
      <c r="Q827" s="571"/>
      <c r="R827" s="571"/>
      <c r="S827" s="571"/>
      <c r="T827" s="571"/>
      <c r="U827" s="571"/>
      <c r="V827" s="571"/>
      <c r="W827" s="571"/>
      <c r="X827" s="571"/>
      <c r="Y827" s="571"/>
      <c r="Z827" s="571"/>
    </row>
    <row r="828" spans="1:26" ht="18.75">
      <c r="A828" s="738"/>
      <c r="B828" s="740"/>
      <c r="C828" s="740"/>
      <c r="D828" s="739"/>
      <c r="E828" s="740"/>
      <c r="F828" s="740"/>
      <c r="G828" s="818"/>
      <c r="H828" s="819" t="s">
        <v>35</v>
      </c>
      <c r="I828" s="499">
        <f ca="1">IFERROR(__xludf.DUMMYFUNCTION("IMPORTRANGE(""https://docs.google.com/spreadsheets/d/19vJNZY_5yjcGF2XGBMNZRCAIB0Kwfpjp8YEOfu-bneM/edit?usp=sharing"",""งานกองทุน!R68"")"),449)</f>
        <v>449</v>
      </c>
      <c r="J828" s="499">
        <f ca="1">IFERROR(__xludf.DUMMYFUNCTION("IMPORTRANGE(""https://docs.google.com/spreadsheets/d/19vJNZY_5yjcGF2XGBMNZRCAIB0Kwfpjp8YEOfu-bneM/edit?usp=sharing"",""งานกองทุน!T68"")"),30)</f>
        <v>30</v>
      </c>
      <c r="K828" s="500">
        <f t="shared" ca="1" si="335"/>
        <v>6.6815144766146997</v>
      </c>
      <c r="L828" s="500"/>
      <c r="M828" s="500"/>
      <c r="N828" s="500"/>
      <c r="O828" s="500"/>
      <c r="P828" s="500"/>
      <c r="Q828" s="571"/>
      <c r="R828" s="571"/>
      <c r="S828" s="571"/>
      <c r="T828" s="571"/>
      <c r="U828" s="571"/>
      <c r="V828" s="571"/>
      <c r="W828" s="571"/>
      <c r="X828" s="571"/>
      <c r="Y828" s="571"/>
      <c r="Z828" s="571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544:F544"/>
    <mergeCell ref="A7:G7"/>
    <mergeCell ref="A17:G17"/>
    <mergeCell ref="A27:G27"/>
    <mergeCell ref="B40:G40"/>
    <mergeCell ref="A50:G50"/>
    <mergeCell ref="B51:G51"/>
    <mergeCell ref="D419:F419"/>
    <mergeCell ref="D444:F444"/>
    <mergeCell ref="D467:F467"/>
    <mergeCell ref="D502:F502"/>
    <mergeCell ref="D523:F523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 gridLines="1"/>
  <pageMargins left="0.23622047244094491" right="0.23622047244094491" top="0.74803149606299213" bottom="0.74803149606299213" header="0" footer="0"/>
  <pageSetup paperSize="9" scale="42" fitToHeight="0" pageOrder="overThenDown" orientation="portrait" cellComments="atEnd" r:id="rId1"/>
  <headerFooter>
    <oddFooter>&amp;Cหน้า &amp;P/&amp;N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87222B-0DA4-4842-8814-A3537D215FBD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activeCell="A2" sqref="A2:P2"/>
      <selection pane="bottomLeft" activeCell="A2" sqref="A2:P2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9" width="18.7109375" bestFit="1" customWidth="1"/>
    <col min="10" max="10" width="16.85546875" bestFit="1" customWidth="1"/>
    <col min="11" max="11" width="12.5703125" customWidth="1"/>
    <col min="12" max="14" width="21.28515625" bestFit="1" customWidth="1"/>
    <col min="15" max="16" width="17.5703125" customWidth="1"/>
  </cols>
  <sheetData>
    <row r="1" spans="1:26" ht="19.5">
      <c r="A1" s="844" t="s">
        <v>0</v>
      </c>
      <c r="B1" s="845"/>
      <c r="C1" s="845"/>
      <c r="D1" s="845"/>
      <c r="E1" s="845"/>
      <c r="F1" s="845"/>
      <c r="G1" s="845"/>
      <c r="H1" s="845"/>
      <c r="I1" s="845"/>
      <c r="J1" s="845"/>
      <c r="K1" s="845"/>
      <c r="L1" s="845"/>
      <c r="M1" s="845"/>
      <c r="N1" s="845"/>
      <c r="O1" s="845"/>
      <c r="P1" s="845"/>
    </row>
    <row r="2" spans="1:26" ht="19.5">
      <c r="A2" s="844" t="s">
        <v>355</v>
      </c>
      <c r="B2" s="845"/>
      <c r="C2" s="845"/>
      <c r="D2" s="845"/>
      <c r="E2" s="845"/>
      <c r="F2" s="845"/>
      <c r="G2" s="845"/>
      <c r="H2" s="845"/>
      <c r="I2" s="845"/>
      <c r="J2" s="845"/>
      <c r="K2" s="845"/>
      <c r="L2" s="845"/>
      <c r="M2" s="845"/>
      <c r="N2" s="845"/>
      <c r="O2" s="845"/>
      <c r="P2" s="845"/>
    </row>
    <row r="3" spans="1:26" ht="19.5">
      <c r="A3" s="844" t="s">
        <v>347</v>
      </c>
      <c r="B3" s="845"/>
      <c r="C3" s="845"/>
      <c r="D3" s="845"/>
      <c r="E3" s="845"/>
      <c r="F3" s="845"/>
      <c r="G3" s="845"/>
      <c r="H3" s="845"/>
      <c r="I3" s="845"/>
      <c r="J3" s="845"/>
      <c r="K3" s="845"/>
      <c r="L3" s="845"/>
      <c r="M3" s="845"/>
      <c r="N3" s="845"/>
      <c r="O3" s="845"/>
      <c r="P3" s="845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52" t="s">
        <v>2</v>
      </c>
      <c r="B5" s="845"/>
      <c r="C5" s="845"/>
      <c r="D5" s="845"/>
      <c r="E5" s="845"/>
      <c r="F5" s="845"/>
      <c r="G5" s="853"/>
      <c r="H5" s="846" t="s">
        <v>3</v>
      </c>
      <c r="I5" s="848" t="s">
        <v>4</v>
      </c>
      <c r="J5" s="849"/>
      <c r="K5" s="847"/>
      <c r="L5" s="850" t="s">
        <v>5</v>
      </c>
      <c r="M5" s="847"/>
      <c r="N5" s="851" t="s">
        <v>6</v>
      </c>
      <c r="O5" s="849"/>
      <c r="P5" s="847"/>
    </row>
    <row r="6" spans="1:26" ht="19.5">
      <c r="A6" s="854"/>
      <c r="B6" s="849"/>
      <c r="C6" s="849"/>
      <c r="D6" s="849"/>
      <c r="E6" s="849"/>
      <c r="F6" s="849"/>
      <c r="G6" s="847"/>
      <c r="H6" s="847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55" t="s">
        <v>15</v>
      </c>
      <c r="B7" s="849"/>
      <c r="C7" s="849"/>
      <c r="D7" s="849"/>
      <c r="E7" s="849"/>
      <c r="F7" s="849"/>
      <c r="G7" s="847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7364170</v>
      </c>
      <c r="M8" s="22">
        <f t="shared" ca="1" si="0"/>
        <v>2897040</v>
      </c>
      <c r="N8" s="22">
        <f t="shared" ca="1" si="0"/>
        <v>1981167.79</v>
      </c>
      <c r="O8" s="22">
        <f t="shared" ref="O8:O16" ca="1" si="1">IF(L8&gt;0,N8*100/L8,0)</f>
        <v>26.902798142900014</v>
      </c>
      <c r="P8" s="22">
        <f t="shared" ref="P8:P16" ca="1" si="2">IF(M8&gt;0,N8*100/M8,0)</f>
        <v>68.385931502499105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7364170</v>
      </c>
      <c r="M10" s="30">
        <f t="shared" ca="1" si="3"/>
        <v>2897040</v>
      </c>
      <c r="N10" s="30">
        <f t="shared" ca="1" si="3"/>
        <v>1981167.79</v>
      </c>
      <c r="O10" s="30">
        <f t="shared" ca="1" si="1"/>
        <v>26.902798142900014</v>
      </c>
      <c r="P10" s="30">
        <f t="shared" ca="1" si="2"/>
        <v>68.385931502499105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16" t="s">
        <v>12</v>
      </c>
      <c r="I11" s="269"/>
      <c r="J11" s="269"/>
      <c r="K11" s="496"/>
      <c r="L11" s="496">
        <f t="shared" ref="L11:N11" ca="1" si="4">L12+L13</f>
        <v>6682570</v>
      </c>
      <c r="M11" s="496">
        <f t="shared" ca="1" si="4"/>
        <v>2262440</v>
      </c>
      <c r="N11" s="496">
        <f t="shared" ca="1" si="4"/>
        <v>1346567.79</v>
      </c>
      <c r="O11" s="496">
        <f t="shared" ca="1" si="1"/>
        <v>20.150447956400008</v>
      </c>
      <c r="P11" s="496">
        <f t="shared" ca="1" si="2"/>
        <v>59.518386785947918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2" t="s">
        <v>18</v>
      </c>
      <c r="F12" s="40"/>
      <c r="G12" s="42"/>
      <c r="H12" s="43" t="s">
        <v>12</v>
      </c>
      <c r="I12" s="610"/>
      <c r="J12" s="610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2" t="s">
        <v>19</v>
      </c>
      <c r="F13" s="40"/>
      <c r="G13" s="42"/>
      <c r="H13" s="43" t="s">
        <v>12</v>
      </c>
      <c r="I13" s="610"/>
      <c r="J13" s="610"/>
      <c r="K13" s="93"/>
      <c r="L13" s="93">
        <f t="shared" ca="1" si="5"/>
        <v>6682570</v>
      </c>
      <c r="M13" s="93">
        <f t="shared" ca="1" si="5"/>
        <v>2262440</v>
      </c>
      <c r="N13" s="93">
        <f t="shared" ca="1" si="5"/>
        <v>1346567.79</v>
      </c>
      <c r="O13" s="93">
        <f t="shared" ca="1" si="1"/>
        <v>20.150447956400008</v>
      </c>
      <c r="P13" s="93">
        <f t="shared" ca="1" si="2"/>
        <v>59.518386785947918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16" t="s">
        <v>12</v>
      </c>
      <c r="I14" s="269"/>
      <c r="J14" s="269"/>
      <c r="K14" s="496"/>
      <c r="L14" s="496">
        <f t="shared" ref="L14:N14" ca="1" si="6">L15+L16</f>
        <v>681600</v>
      </c>
      <c r="M14" s="496">
        <f t="shared" ca="1" si="6"/>
        <v>634600</v>
      </c>
      <c r="N14" s="496">
        <f t="shared" ca="1" si="6"/>
        <v>634600</v>
      </c>
      <c r="O14" s="496">
        <f t="shared" ca="1" si="1"/>
        <v>93.104460093896719</v>
      </c>
      <c r="P14" s="496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2" t="s">
        <v>18</v>
      </c>
      <c r="F15" s="40"/>
      <c r="G15" s="42"/>
      <c r="H15" s="43" t="s">
        <v>12</v>
      </c>
      <c r="I15" s="610"/>
      <c r="J15" s="610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681600</v>
      </c>
      <c r="M16" s="52">
        <f t="shared" ca="1" si="7"/>
        <v>634600</v>
      </c>
      <c r="N16" s="52">
        <f t="shared" ca="1" si="7"/>
        <v>634600</v>
      </c>
      <c r="O16" s="52">
        <f t="shared" ca="1" si="1"/>
        <v>93.104460093896719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55" t="s">
        <v>22</v>
      </c>
      <c r="B17" s="849"/>
      <c r="C17" s="849"/>
      <c r="D17" s="849"/>
      <c r="E17" s="849"/>
      <c r="F17" s="849"/>
      <c r="G17" s="847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5134563</v>
      </c>
      <c r="M18" s="22">
        <f t="shared" ca="1" si="8"/>
        <v>2897040</v>
      </c>
      <c r="N18" s="22">
        <f t="shared" ca="1" si="8"/>
        <v>1727830.31</v>
      </c>
      <c r="O18" s="22">
        <f t="shared" ref="O18:O26" ca="1" si="9">IF(L18&gt;0,N18*100/L18,0)</f>
        <v>33.650971075824756</v>
      </c>
      <c r="P18" s="22">
        <f t="shared" ref="P18:P26" ca="1" si="10">IF(M18&gt;0,N18*100/M18,0)</f>
        <v>59.641230704443153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5134563</v>
      </c>
      <c r="M20" s="30">
        <f t="shared" ca="1" si="11"/>
        <v>2897040</v>
      </c>
      <c r="N20" s="30">
        <f t="shared" ca="1" si="11"/>
        <v>1727830.31</v>
      </c>
      <c r="O20" s="30">
        <f t="shared" ca="1" si="9"/>
        <v>33.650971075824756</v>
      </c>
      <c r="P20" s="30">
        <f t="shared" ca="1" si="10"/>
        <v>59.641230704443153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16" t="s">
        <v>12</v>
      </c>
      <c r="I21" s="269"/>
      <c r="J21" s="269"/>
      <c r="K21" s="496"/>
      <c r="L21" s="496">
        <f t="shared" ref="L21:N21" ca="1" si="12">L22+L23</f>
        <v>4452963</v>
      </c>
      <c r="M21" s="496">
        <f t="shared" ca="1" si="12"/>
        <v>2262440</v>
      </c>
      <c r="N21" s="496">
        <f t="shared" ca="1" si="12"/>
        <v>1093230.31</v>
      </c>
      <c r="O21" s="496">
        <f t="shared" ca="1" si="9"/>
        <v>24.550626403138764</v>
      </c>
      <c r="P21" s="496">
        <f t="shared" ca="1" si="10"/>
        <v>48.320853149696788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2" t="s">
        <v>18</v>
      </c>
      <c r="F22" s="40"/>
      <c r="G22" s="42"/>
      <c r="H22" s="43" t="s">
        <v>12</v>
      </c>
      <c r="I22" s="610"/>
      <c r="J22" s="610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2" t="s">
        <v>19</v>
      </c>
      <c r="F23" s="40"/>
      <c r="G23" s="42"/>
      <c r="H23" s="43" t="s">
        <v>12</v>
      </c>
      <c r="I23" s="610"/>
      <c r="J23" s="610"/>
      <c r="K23" s="93"/>
      <c r="L23" s="93">
        <f t="shared" ca="1" si="13"/>
        <v>4452963</v>
      </c>
      <c r="M23" s="93">
        <f t="shared" ca="1" si="13"/>
        <v>2262440</v>
      </c>
      <c r="N23" s="93">
        <f t="shared" ca="1" si="13"/>
        <v>1093230.31</v>
      </c>
      <c r="O23" s="93">
        <f t="shared" ca="1" si="9"/>
        <v>24.550626403138764</v>
      </c>
      <c r="P23" s="93">
        <f t="shared" ca="1" si="10"/>
        <v>48.320853149696788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16" t="s">
        <v>12</v>
      </c>
      <c r="I24" s="269"/>
      <c r="J24" s="269"/>
      <c r="K24" s="496"/>
      <c r="L24" s="496">
        <f t="shared" ref="L24:N24" ca="1" si="14">L25+L26</f>
        <v>681600</v>
      </c>
      <c r="M24" s="496">
        <f t="shared" ca="1" si="14"/>
        <v>634600</v>
      </c>
      <c r="N24" s="496">
        <f t="shared" ca="1" si="14"/>
        <v>634600</v>
      </c>
      <c r="O24" s="496">
        <f t="shared" ca="1" si="9"/>
        <v>93.104460093896719</v>
      </c>
      <c r="P24" s="496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2" t="s">
        <v>18</v>
      </c>
      <c r="F25" s="40"/>
      <c r="G25" s="42"/>
      <c r="H25" s="43" t="s">
        <v>12</v>
      </c>
      <c r="I25" s="610"/>
      <c r="J25" s="610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681600</v>
      </c>
      <c r="M26" s="52">
        <f t="shared" ca="1" si="15"/>
        <v>634600</v>
      </c>
      <c r="N26" s="52">
        <f t="shared" ca="1" si="15"/>
        <v>634600</v>
      </c>
      <c r="O26" s="52">
        <f t="shared" ca="1" si="9"/>
        <v>93.104460093896719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55" t="s">
        <v>23</v>
      </c>
      <c r="B27" s="849"/>
      <c r="C27" s="849"/>
      <c r="D27" s="849"/>
      <c r="E27" s="849"/>
      <c r="F27" s="849"/>
      <c r="G27" s="847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2229607</v>
      </c>
      <c r="M28" s="22">
        <f t="shared" si="16"/>
        <v>0</v>
      </c>
      <c r="N28" s="22">
        <f t="shared" si="16"/>
        <v>253337.47999999998</v>
      </c>
      <c r="O28" s="22">
        <f t="shared" ref="O28:O37" ca="1" si="17">IF(L28&gt;0,N28*100/L28,0)</f>
        <v>11.362427548890903</v>
      </c>
      <c r="P28" s="22">
        <f t="shared" ref="P28:P37" si="18">IF(M28&gt;0,N28*100/M28,0)</f>
        <v>0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2229607</v>
      </c>
      <c r="M30" s="30">
        <f t="shared" si="19"/>
        <v>0</v>
      </c>
      <c r="N30" s="30">
        <f t="shared" si="19"/>
        <v>253337.47999999998</v>
      </c>
      <c r="O30" s="30">
        <f t="shared" ca="1" si="17"/>
        <v>11.362427548890903</v>
      </c>
      <c r="P30" s="30">
        <f t="shared" si="18"/>
        <v>0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16" t="s">
        <v>12</v>
      </c>
      <c r="I31" s="269"/>
      <c r="J31" s="269"/>
      <c r="K31" s="496"/>
      <c r="L31" s="496">
        <f t="shared" ref="L31:N31" ca="1" si="20">L32+L33</f>
        <v>2229607</v>
      </c>
      <c r="M31" s="496">
        <f t="shared" si="20"/>
        <v>0</v>
      </c>
      <c r="N31" s="496">
        <f t="shared" si="20"/>
        <v>253337.47999999998</v>
      </c>
      <c r="O31" s="496">
        <f t="shared" ca="1" si="17"/>
        <v>11.362427548890903</v>
      </c>
      <c r="P31" s="496">
        <f t="shared" si="18"/>
        <v>0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2" t="s">
        <v>18</v>
      </c>
      <c r="F32" s="40"/>
      <c r="G32" s="42"/>
      <c r="H32" s="43" t="s">
        <v>12</v>
      </c>
      <c r="I32" s="610"/>
      <c r="J32" s="610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2" t="s">
        <v>19</v>
      </c>
      <c r="F33" s="40"/>
      <c r="G33" s="42"/>
      <c r="H33" s="43" t="s">
        <v>12</v>
      </c>
      <c r="I33" s="610"/>
      <c r="J33" s="610"/>
      <c r="K33" s="93"/>
      <c r="L33" s="93">
        <f t="shared" ca="1" si="21"/>
        <v>2229607</v>
      </c>
      <c r="M33" s="93">
        <f t="shared" si="21"/>
        <v>0</v>
      </c>
      <c r="N33" s="93">
        <f t="shared" si="21"/>
        <v>253337.47999999998</v>
      </c>
      <c r="O33" s="93">
        <f t="shared" ca="1" si="17"/>
        <v>11.362427548890903</v>
      </c>
      <c r="P33" s="93">
        <f t="shared" si="18"/>
        <v>0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16" t="s">
        <v>12</v>
      </c>
      <c r="I34" s="269"/>
      <c r="J34" s="269"/>
      <c r="K34" s="496"/>
      <c r="L34" s="496">
        <f t="shared" ref="L34:N34" ca="1" si="22">L35+L36</f>
        <v>0</v>
      </c>
      <c r="M34" s="496">
        <f t="shared" si="22"/>
        <v>0</v>
      </c>
      <c r="N34" s="496">
        <f t="shared" si="22"/>
        <v>0</v>
      </c>
      <c r="O34" s="496">
        <f t="shared" ca="1" si="17"/>
        <v>0</v>
      </c>
      <c r="P34" s="496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2" t="s">
        <v>18</v>
      </c>
      <c r="F35" s="40"/>
      <c r="G35" s="42"/>
      <c r="H35" s="43" t="s">
        <v>12</v>
      </c>
      <c r="I35" s="610"/>
      <c r="J35" s="610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53" t="s">
        <v>24</v>
      </c>
      <c r="B37" s="54"/>
      <c r="C37" s="54"/>
      <c r="D37" s="54"/>
      <c r="E37" s="54"/>
      <c r="F37" s="54"/>
      <c r="G37" s="55"/>
      <c r="H37" s="56"/>
      <c r="I37" s="423"/>
      <c r="J37" s="423"/>
      <c r="K37" s="58"/>
      <c r="L37" s="59">
        <f t="shared" ref="L37:N37" ca="1" si="24">L41+L53+L66+L88+L119+L132+L149+L165+L181+L261+L277+L298+L315+L328+L345+L389+L402</f>
        <v>5134563</v>
      </c>
      <c r="M37" s="59">
        <f t="shared" ca="1" si="24"/>
        <v>2897040</v>
      </c>
      <c r="N37" s="59">
        <f t="shared" ca="1" si="24"/>
        <v>1727830.31</v>
      </c>
      <c r="O37" s="59">
        <f t="shared" ca="1" si="17"/>
        <v>33.650971075824756</v>
      </c>
      <c r="P37" s="59">
        <f t="shared" ca="1" si="18"/>
        <v>59.641230704443153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56" t="s">
        <v>27</v>
      </c>
      <c r="C40" s="857"/>
      <c r="D40" s="857"/>
      <c r="E40" s="857"/>
      <c r="F40" s="857"/>
      <c r="G40" s="858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20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406723</v>
      </c>
      <c r="M41" s="85">
        <f t="shared" ca="1" si="25"/>
        <v>214840</v>
      </c>
      <c r="N41" s="85">
        <f t="shared" ca="1" si="25"/>
        <v>116685</v>
      </c>
      <c r="O41" s="85">
        <f t="shared" ref="O41:O49" ca="1" si="26">IF(L41&gt;0,N41*100/L41,0)</f>
        <v>28.68905864679401</v>
      </c>
      <c r="P41" s="85">
        <f t="shared" ref="P41:P49" ca="1" si="27">IF(M41&gt;0,N41*100/M41,0)</f>
        <v>54.312511636566747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406723</v>
      </c>
      <c r="M43" s="92">
        <f t="shared" ca="1" si="28"/>
        <v>214840</v>
      </c>
      <c r="N43" s="92">
        <f t="shared" ca="1" si="28"/>
        <v>116685</v>
      </c>
      <c r="O43" s="92">
        <f t="shared" ca="1" si="26"/>
        <v>28.68905864679401</v>
      </c>
      <c r="P43" s="92">
        <f t="shared" ca="1" si="27"/>
        <v>54.312511636566747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16" t="s">
        <v>12</v>
      </c>
      <c r="I44" s="269"/>
      <c r="J44" s="269"/>
      <c r="K44" s="496"/>
      <c r="L44" s="496">
        <f t="shared" ref="L44:N44" ca="1" si="29">L45+L46</f>
        <v>406723</v>
      </c>
      <c r="M44" s="496">
        <f t="shared" ca="1" si="29"/>
        <v>214840</v>
      </c>
      <c r="N44" s="496">
        <f t="shared" ca="1" si="29"/>
        <v>116685</v>
      </c>
      <c r="O44" s="496">
        <f t="shared" ca="1" si="26"/>
        <v>28.68905864679401</v>
      </c>
      <c r="P44" s="496">
        <f t="shared" ca="1" si="27"/>
        <v>54.312511636566747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2" t="s">
        <v>18</v>
      </c>
      <c r="F45" s="40"/>
      <c r="G45" s="42"/>
      <c r="H45" s="43" t="s">
        <v>12</v>
      </c>
      <c r="I45" s="610"/>
      <c r="J45" s="610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2" t="s">
        <v>19</v>
      </c>
      <c r="F46" s="40"/>
      <c r="G46" s="42"/>
      <c r="H46" s="43" t="s">
        <v>12</v>
      </c>
      <c r="I46" s="610"/>
      <c r="J46" s="610"/>
      <c r="K46" s="93"/>
      <c r="L46" s="93">
        <f ca="1">IFERROR(__xludf.DUMMYFUNCTION("IMPORTRANGE(""https://docs.google.com/spreadsheets/d/1MeEWN-I1oV_STSDYn1IFDPWt_1FKiwhDph83XaGc0o0/edit?usp=sharing"",""งบพรบ!M69"")"),406723)</f>
        <v>406723</v>
      </c>
      <c r="M46" s="93">
        <f ca="1">IFERROR(__xludf.DUMMYFUNCTION("IMPORTRANGE(""https://docs.google.com/spreadsheets/d/1MeEWN-I1oV_STSDYn1IFDPWt_1FKiwhDph83XaGc0o0/edit?usp=sharing"",""งบพรบ!R69"")"),214840)</f>
        <v>214840</v>
      </c>
      <c r="N46" s="93">
        <f ca="1">IFERROR(__xludf.DUMMYFUNCTION("IMPORTRANGE(""https://docs.google.com/spreadsheets/d/1MeEWN-I1oV_STSDYn1IFDPWt_1FKiwhDph83XaGc0o0/edit?usp=sharing"",""งบพรบ!T69"")"),116685)</f>
        <v>116685</v>
      </c>
      <c r="O46" s="93">
        <f t="shared" ca="1" si="26"/>
        <v>28.68905864679401</v>
      </c>
      <c r="P46" s="93">
        <f t="shared" ca="1" si="27"/>
        <v>54.312511636566747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16" t="s">
        <v>12</v>
      </c>
      <c r="I47" s="269"/>
      <c r="J47" s="269"/>
      <c r="K47" s="496"/>
      <c r="L47" s="496">
        <f t="shared" ref="L47:N47" ca="1" si="30">L48+L49</f>
        <v>0</v>
      </c>
      <c r="M47" s="496">
        <f t="shared" ca="1" si="30"/>
        <v>0</v>
      </c>
      <c r="N47" s="496">
        <f t="shared" ca="1" si="30"/>
        <v>0</v>
      </c>
      <c r="O47" s="496">
        <f t="shared" ca="1" si="26"/>
        <v>0</v>
      </c>
      <c r="P47" s="496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2" t="s">
        <v>18</v>
      </c>
      <c r="F48" s="40"/>
      <c r="G48" s="42"/>
      <c r="H48" s="43" t="s">
        <v>12</v>
      </c>
      <c r="I48" s="610"/>
      <c r="J48" s="610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IFERROR(__xludf.DUMMYFUNCTION("IMPORTRANGE(""https://docs.google.com/spreadsheets/d/1MeEWN-I1oV_STSDYn1IFDPWt_1FKiwhDph83XaGc0o0/edit?usp=sharing"",""งบพรบ!P69"")"),0)</f>
        <v>0</v>
      </c>
      <c r="M49" s="52">
        <f ca="1">IFERROR(__xludf.DUMMYFUNCTION("IMPORTRANGE(""https://docs.google.com/spreadsheets/d/1MeEWN-I1oV_STSDYn1IFDPWt_1FKiwhDph83XaGc0o0/edit?usp=sharing"",""งบพรบ!S69"")"),0)</f>
        <v>0</v>
      </c>
      <c r="N49" s="52">
        <f ca="1">IFERROR(__xludf.DUMMYFUNCTION("IMPORTRANGE(""https://docs.google.com/spreadsheets/d/1MeEWN-I1oV_STSDYn1IFDPWt_1FKiwhDph83XaGc0o0/edit?usp=sharing"",""งบพรบ!U69"")"),0)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59" t="s">
        <v>28</v>
      </c>
      <c r="B50" s="849"/>
      <c r="C50" s="849"/>
      <c r="D50" s="849"/>
      <c r="E50" s="849"/>
      <c r="F50" s="849"/>
      <c r="G50" s="847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60" t="s">
        <v>29</v>
      </c>
      <c r="C51" s="857"/>
      <c r="D51" s="857"/>
      <c r="E51" s="857"/>
      <c r="F51" s="857"/>
      <c r="G51" s="858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21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1382600</v>
      </c>
      <c r="M53" s="116">
        <f t="shared" ca="1" si="31"/>
        <v>979420</v>
      </c>
      <c r="N53" s="116">
        <f t="shared" ca="1" si="31"/>
        <v>822856.87</v>
      </c>
      <c r="O53" s="116">
        <f t="shared" ref="O53:O61" ca="1" si="32">IF(L53&gt;0,N53*100/L53,0)</f>
        <v>59.515179372197309</v>
      </c>
      <c r="P53" s="116">
        <f t="shared" ref="P53:P61" ca="1" si="33">IF(M53&gt;0,N53*100/M53,0)</f>
        <v>84.014709726164469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1382600</v>
      </c>
      <c r="M55" s="123">
        <f t="shared" ca="1" si="34"/>
        <v>979420</v>
      </c>
      <c r="N55" s="123">
        <f t="shared" ca="1" si="34"/>
        <v>822856.87</v>
      </c>
      <c r="O55" s="123">
        <f t="shared" ca="1" si="32"/>
        <v>59.515179372197309</v>
      </c>
      <c r="P55" s="123">
        <f t="shared" ca="1" si="33"/>
        <v>84.014709726164469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16" t="s">
        <v>12</v>
      </c>
      <c r="I56" s="269"/>
      <c r="J56" s="269"/>
      <c r="K56" s="496"/>
      <c r="L56" s="496">
        <f t="shared" ref="L56:N56" ca="1" si="35">L57+L58</f>
        <v>825600</v>
      </c>
      <c r="M56" s="496">
        <f t="shared" ca="1" si="35"/>
        <v>469420</v>
      </c>
      <c r="N56" s="496">
        <f t="shared" ca="1" si="35"/>
        <v>312856.87</v>
      </c>
      <c r="O56" s="496">
        <f t="shared" ca="1" si="32"/>
        <v>37.894485222868219</v>
      </c>
      <c r="P56" s="496">
        <f t="shared" ca="1" si="33"/>
        <v>66.647537386562135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2" t="s">
        <v>18</v>
      </c>
      <c r="F57" s="40"/>
      <c r="G57" s="42"/>
      <c r="H57" s="43" t="s">
        <v>12</v>
      </c>
      <c r="I57" s="610"/>
      <c r="J57" s="610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2" t="s">
        <v>19</v>
      </c>
      <c r="F58" s="40"/>
      <c r="G58" s="42"/>
      <c r="H58" s="43" t="s">
        <v>12</v>
      </c>
      <c r="I58" s="610"/>
      <c r="J58" s="610"/>
      <c r="K58" s="93"/>
      <c r="L58" s="93">
        <f ca="1">IFERROR(__xludf.DUMMYFUNCTION("IMPORTRANGE(""https://docs.google.com/spreadsheets/d/1MeEWN-I1oV_STSDYn1IFDPWt_1FKiwhDph83XaGc0o0/edit?usp=sharing"",""งบพรบ!W69"")"),825600)</f>
        <v>825600</v>
      </c>
      <c r="M58" s="93">
        <f ca="1">IFERROR(__xludf.DUMMYFUNCTION("IMPORTRANGE(""https://docs.google.com/spreadsheets/d/1MeEWN-I1oV_STSDYn1IFDPWt_1FKiwhDph83XaGc0o0/edit?usp=sharing"",""งบพรบ!AB69"")"),469420)</f>
        <v>469420</v>
      </c>
      <c r="N58" s="93">
        <f ca="1">IFERROR(__xludf.DUMMYFUNCTION("IMPORTRANGE(""https://docs.google.com/spreadsheets/d/1MeEWN-I1oV_STSDYn1IFDPWt_1FKiwhDph83XaGc0o0/edit?usp=sharing"",""งบพรบ!AD69"")"),312856.87)</f>
        <v>312856.87</v>
      </c>
      <c r="O58" s="93">
        <f t="shared" ca="1" si="32"/>
        <v>37.894485222868219</v>
      </c>
      <c r="P58" s="93">
        <f t="shared" ca="1" si="33"/>
        <v>66.647537386562135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16" t="s">
        <v>12</v>
      </c>
      <c r="I59" s="269"/>
      <c r="J59" s="269"/>
      <c r="K59" s="496"/>
      <c r="L59" s="496">
        <f t="shared" ref="L59:N59" ca="1" si="36">L60+L61</f>
        <v>557000</v>
      </c>
      <c r="M59" s="496">
        <f t="shared" ca="1" si="36"/>
        <v>510000</v>
      </c>
      <c r="N59" s="496">
        <f t="shared" ca="1" si="36"/>
        <v>510000</v>
      </c>
      <c r="O59" s="496">
        <f t="shared" ca="1" si="32"/>
        <v>91.561938958707358</v>
      </c>
      <c r="P59" s="496">
        <f t="shared" ca="1" si="33"/>
        <v>100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2" t="s">
        <v>18</v>
      </c>
      <c r="F60" s="40"/>
      <c r="G60" s="42"/>
      <c r="H60" s="43" t="s">
        <v>12</v>
      </c>
      <c r="I60" s="610"/>
      <c r="J60" s="610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IFERROR(__xludf.DUMMYFUNCTION("IMPORTRANGE(""https://docs.google.com/spreadsheets/d/1MeEWN-I1oV_STSDYn1IFDPWt_1FKiwhDph83XaGc0o0/edit?usp=sharing"",""งบพรบ!Z69"")"),557000)</f>
        <v>557000</v>
      </c>
      <c r="M61" s="52">
        <f ca="1">IFERROR(__xludf.DUMMYFUNCTION("IMPORTRANGE(""https://docs.google.com/spreadsheets/d/1MeEWN-I1oV_STSDYn1IFDPWt_1FKiwhDph83XaGc0o0/edit?usp=sharing"",""งบพรบ!AC69"")"),510000)</f>
        <v>510000</v>
      </c>
      <c r="N61" s="52">
        <f ca="1">IFERROR(__xludf.DUMMYFUNCTION("IMPORTRANGE(""https://docs.google.com/spreadsheets/d/1MeEWN-I1oV_STSDYn1IFDPWt_1FKiwhDph83XaGc0o0/edit?usp=sharing"",""งบพรบ!AE69"")"),510000)</f>
        <v>510000</v>
      </c>
      <c r="O61" s="52">
        <f t="shared" ca="1" si="32"/>
        <v>91.561938958707358</v>
      </c>
      <c r="P61" s="52">
        <f t="shared" ca="1" si="33"/>
        <v>100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>
      <c r="A64" s="138"/>
      <c r="B64" s="208" t="s">
        <v>33</v>
      </c>
      <c r="C64" s="140"/>
      <c r="D64" s="141"/>
      <c r="E64" s="140"/>
      <c r="F64" s="140"/>
      <c r="G64" s="142"/>
      <c r="H64" s="143" t="s">
        <v>34</v>
      </c>
      <c r="I64" s="144">
        <f t="shared" ref="I64:J65" ca="1" si="37">I76</f>
        <v>1</v>
      </c>
      <c r="J64" s="144">
        <f t="shared" si="37"/>
        <v>0</v>
      </c>
      <c r="K64" s="145">
        <f t="shared" ref="K64:K65" ca="1" si="38">IF(I64&gt;0,J64*100/I64,0)</f>
        <v>0</v>
      </c>
      <c r="L64" s="146"/>
      <c r="M64" s="146"/>
      <c r="N64" s="146"/>
      <c r="O64" s="146"/>
      <c r="P64" s="146"/>
    </row>
    <row r="65" spans="1:26" ht="19.5">
      <c r="A65" s="138"/>
      <c r="B65" s="140"/>
      <c r="C65" s="140"/>
      <c r="D65" s="141"/>
      <c r="E65" s="140"/>
      <c r="F65" s="140"/>
      <c r="G65" s="142"/>
      <c r="H65" s="143" t="s">
        <v>35</v>
      </c>
      <c r="I65" s="144">
        <f t="shared" ca="1" si="37"/>
        <v>70</v>
      </c>
      <c r="J65" s="144">
        <f t="shared" si="37"/>
        <v>0</v>
      </c>
      <c r="K65" s="145">
        <f t="shared" ca="1" si="38"/>
        <v>0</v>
      </c>
      <c r="L65" s="146"/>
      <c r="M65" s="146"/>
      <c r="N65" s="146"/>
      <c r="O65" s="146"/>
      <c r="P65" s="146"/>
    </row>
    <row r="66" spans="1:26" ht="19.5">
      <c r="A66" s="147"/>
      <c r="B66" s="148"/>
      <c r="C66" s="149" t="s">
        <v>16</v>
      </c>
      <c r="D66" s="822" t="s">
        <v>17</v>
      </c>
      <c r="E66" s="148"/>
      <c r="F66" s="148"/>
      <c r="G66" s="151"/>
      <c r="H66" s="152" t="s">
        <v>12</v>
      </c>
      <c r="I66" s="419"/>
      <c r="J66" s="419"/>
      <c r="K66" s="154"/>
      <c r="L66" s="155">
        <f t="shared" ref="L66:N66" ca="1" si="39">L67+L68</f>
        <v>914700</v>
      </c>
      <c r="M66" s="155">
        <f t="shared" ca="1" si="39"/>
        <v>438850</v>
      </c>
      <c r="N66" s="155">
        <f t="shared" ca="1" si="39"/>
        <v>111061.93</v>
      </c>
      <c r="O66" s="155">
        <f t="shared" ref="O66:O74" ca="1" si="40">IF(L66&gt;0,N66*100/L66,0)</f>
        <v>12.141896796763966</v>
      </c>
      <c r="P66" s="155">
        <f t="shared" ref="P66:P74" ca="1" si="41">IF(M66&gt;0,N66*100/M66,0)</f>
        <v>25.307492309445141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2" t="s">
        <v>18</v>
      </c>
      <c r="F67" s="40"/>
      <c r="G67" s="157"/>
      <c r="H67" s="158" t="s">
        <v>12</v>
      </c>
      <c r="I67" s="610"/>
      <c r="J67" s="610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2" t="s">
        <v>19</v>
      </c>
      <c r="F68" s="40"/>
      <c r="G68" s="157"/>
      <c r="H68" s="158" t="s">
        <v>12</v>
      </c>
      <c r="I68" s="610"/>
      <c r="J68" s="610"/>
      <c r="K68" s="93"/>
      <c r="L68" s="93">
        <f t="shared" ca="1" si="42"/>
        <v>914700</v>
      </c>
      <c r="M68" s="93">
        <f t="shared" ca="1" si="42"/>
        <v>438850</v>
      </c>
      <c r="N68" s="93">
        <f t="shared" ca="1" si="42"/>
        <v>111061.93</v>
      </c>
      <c r="O68" s="93">
        <f t="shared" ca="1" si="40"/>
        <v>12.141896796763966</v>
      </c>
      <c r="P68" s="93">
        <f t="shared" ca="1" si="41"/>
        <v>25.307492309445141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>
      <c r="A69" s="159"/>
      <c r="B69" s="33"/>
      <c r="C69" s="281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6">
        <f t="shared" ref="L69:N69" ca="1" si="43">L70+L71</f>
        <v>914700</v>
      </c>
      <c r="M69" s="496">
        <f t="shared" ca="1" si="43"/>
        <v>438850</v>
      </c>
      <c r="N69" s="496">
        <f t="shared" ca="1" si="43"/>
        <v>111061.93</v>
      </c>
      <c r="O69" s="496">
        <f t="shared" ca="1" si="40"/>
        <v>12.141896796763966</v>
      </c>
      <c r="P69" s="496">
        <f t="shared" ca="1" si="41"/>
        <v>25.307492309445141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2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2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IFERROR(__xludf.DUMMYFUNCTION("IMPORTRANGE(""https://docs.google.com/spreadsheets/d/1MeEWN-I1oV_STSDYn1IFDPWt_1FKiwhDph83XaGc0o0/edit?usp=sharing"",""งบพรบ!AG69"")"),914700)</f>
        <v>914700</v>
      </c>
      <c r="M71" s="93">
        <f ca="1">IFERROR(__xludf.DUMMYFUNCTION("IMPORTRANGE(""https://docs.google.com/spreadsheets/d/1MeEWN-I1oV_STSDYn1IFDPWt_1FKiwhDph83XaGc0o0/edit?usp=sharing"",""งบพรบ!AL69"")"),438850)</f>
        <v>438850</v>
      </c>
      <c r="N71" s="93">
        <f ca="1">IFERROR(__xludf.DUMMYFUNCTION("IMPORTRANGE(""https://docs.google.com/spreadsheets/d/1MeEWN-I1oV_STSDYn1IFDPWt_1FKiwhDph83XaGc0o0/edit?usp=sharing"",""งบพรบ!AN69"")"),111061.93)</f>
        <v>111061.93</v>
      </c>
      <c r="O71" s="93">
        <f t="shared" ca="1" si="40"/>
        <v>12.141896796763966</v>
      </c>
      <c r="P71" s="93">
        <f t="shared" ca="1" si="41"/>
        <v>25.307492309445141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>
      <c r="A72" s="159"/>
      <c r="B72" s="33"/>
      <c r="C72" s="281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6">
        <f t="shared" ref="L72:N72" ca="1" si="44">L73+L74</f>
        <v>0</v>
      </c>
      <c r="M72" s="496">
        <f t="shared" ca="1" si="44"/>
        <v>0</v>
      </c>
      <c r="N72" s="496">
        <f t="shared" ca="1" si="44"/>
        <v>0</v>
      </c>
      <c r="O72" s="496">
        <f t="shared" ca="1" si="40"/>
        <v>0</v>
      </c>
      <c r="P72" s="496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2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2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IFERROR(__xludf.DUMMYFUNCTION("IMPORTRANGE(""https://docs.google.com/spreadsheets/d/1MeEWN-I1oV_STSDYn1IFDPWt_1FKiwhDph83XaGc0o0/edit?usp=sharing"",""งบพรบ!AJ69"")"),0)</f>
        <v>0</v>
      </c>
      <c r="M74" s="93">
        <f ca="1">IFERROR(__xludf.DUMMYFUNCTION("IMPORTRANGE(""https://docs.google.com/spreadsheets/d/1MeEWN-I1oV_STSDYn1IFDPWt_1FKiwhDph83XaGc0o0/edit?usp=sharing"",""งบพรบ!AM69"")"),0)</f>
        <v>0</v>
      </c>
      <c r="N74" s="93">
        <f ca="1">IFERROR(__xludf.DUMMYFUNCTION("IMPORTRANGE(""https://docs.google.com/spreadsheets/d/1MeEWN-I1oV_STSDYn1IFDPWt_1FKiwhDph83XaGc0o0/edit?usp=sharing"",""งบพรบ!AO69"")"),0)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>
      <c r="A75" s="170"/>
      <c r="B75" s="171"/>
      <c r="C75" s="164" t="s">
        <v>16</v>
      </c>
      <c r="D75" s="823" t="s">
        <v>38</v>
      </c>
      <c r="E75" s="173"/>
      <c r="F75" s="173"/>
      <c r="G75" s="174"/>
      <c r="H75" s="753"/>
      <c r="I75" s="184"/>
      <c r="J75" s="184"/>
      <c r="K75" s="163"/>
      <c r="L75" s="163"/>
      <c r="M75" s="163"/>
      <c r="N75" s="163"/>
      <c r="O75" s="163"/>
      <c r="P75" s="163"/>
    </row>
    <row r="76" spans="1:26" ht="19.5">
      <c r="A76" s="170"/>
      <c r="B76" s="171"/>
      <c r="C76" s="171"/>
      <c r="D76" s="176" t="s">
        <v>39</v>
      </c>
      <c r="E76" s="446"/>
      <c r="F76" s="178"/>
      <c r="G76" s="179"/>
      <c r="H76" s="180" t="s">
        <v>34</v>
      </c>
      <c r="I76" s="269">
        <f t="shared" ref="I76:J77" ca="1" si="45">I78+I80+I82</f>
        <v>1</v>
      </c>
      <c r="J76" s="269">
        <f t="shared" si="45"/>
        <v>0</v>
      </c>
      <c r="K76" s="163">
        <f t="shared" ref="K76:K84" ca="1" si="46">IF(I76&gt;0,J76*100/I76,0)</f>
        <v>0</v>
      </c>
      <c r="L76" s="163"/>
      <c r="M76" s="163"/>
      <c r="N76" s="163"/>
      <c r="O76" s="163"/>
      <c r="P76" s="163"/>
    </row>
    <row r="77" spans="1:26" ht="19.5">
      <c r="A77" s="170"/>
      <c r="B77" s="171"/>
      <c r="C77" s="171"/>
      <c r="D77" s="171"/>
      <c r="E77" s="178"/>
      <c r="F77" s="178"/>
      <c r="G77" s="179"/>
      <c r="H77" s="180" t="s">
        <v>35</v>
      </c>
      <c r="I77" s="269">
        <f t="shared" ca="1" si="45"/>
        <v>70</v>
      </c>
      <c r="J77" s="269">
        <f t="shared" si="45"/>
        <v>0</v>
      </c>
      <c r="K77" s="163">
        <f t="shared" ca="1" si="46"/>
        <v>0</v>
      </c>
      <c r="L77" s="163"/>
      <c r="M77" s="163"/>
      <c r="N77" s="163"/>
      <c r="O77" s="163"/>
      <c r="P77" s="163"/>
    </row>
    <row r="78" spans="1:26" ht="18.75">
      <c r="A78" s="170"/>
      <c r="B78" s="171"/>
      <c r="C78" s="171"/>
      <c r="D78" s="171"/>
      <c r="E78" s="446" t="s">
        <v>40</v>
      </c>
      <c r="F78" s="446"/>
      <c r="G78" s="179"/>
      <c r="H78" s="755" t="s">
        <v>34</v>
      </c>
      <c r="I78" s="184">
        <f ca="1">IFERROR(__xludf.DUMMYFUNCTION("IMPORTRANGE(""https://docs.google.com/spreadsheets/d/1QqKyyYR6Q21VydFLVH3TRQUabQu_ym0Zz7PgGX0-kHA/edit?usp=sharing"",""แผน!H69"")"),0)</f>
        <v>0</v>
      </c>
      <c r="J78" s="214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>
      <c r="A79" s="170"/>
      <c r="B79" s="171"/>
      <c r="C79" s="171"/>
      <c r="D79" s="171"/>
      <c r="E79" s="178"/>
      <c r="F79" s="178"/>
      <c r="G79" s="179"/>
      <c r="H79" s="755" t="s">
        <v>35</v>
      </c>
      <c r="I79" s="184">
        <f ca="1">IFERROR(__xludf.DUMMYFUNCTION("IMPORTRANGE(""https://docs.google.com/spreadsheets/d/1QqKyyYR6Q21VydFLVH3TRQUabQu_ym0Zz7PgGX0-kHA/edit?usp=sharing"",""แผน!I69"")"),0)</f>
        <v>0</v>
      </c>
      <c r="J79" s="214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>
      <c r="A80" s="170"/>
      <c r="B80" s="171"/>
      <c r="C80" s="171"/>
      <c r="D80" s="171"/>
      <c r="E80" s="446" t="s">
        <v>41</v>
      </c>
      <c r="F80" s="446"/>
      <c r="G80" s="179"/>
      <c r="H80" s="755" t="s">
        <v>34</v>
      </c>
      <c r="I80" s="184">
        <f ca="1">IFERROR(__xludf.DUMMYFUNCTION("IMPORTRANGE(""https://docs.google.com/spreadsheets/d/1QqKyyYR6Q21VydFLVH3TRQUabQu_ym0Zz7PgGX0-kHA/edit?usp=sharing"",""แผน!F69"")"),1)</f>
        <v>1</v>
      </c>
      <c r="J80" s="214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>
      <c r="A81" s="170"/>
      <c r="B81" s="171"/>
      <c r="C81" s="171"/>
      <c r="D81" s="171"/>
      <c r="E81" s="178"/>
      <c r="F81" s="178"/>
      <c r="G81" s="179"/>
      <c r="H81" s="755" t="s">
        <v>35</v>
      </c>
      <c r="I81" s="184">
        <f ca="1">IFERROR(__xludf.DUMMYFUNCTION("IMPORTRANGE(""https://docs.google.com/spreadsheets/d/1QqKyyYR6Q21VydFLVH3TRQUabQu_ym0Zz7PgGX0-kHA/edit?usp=sharing"",""แผน!G69"")"),70)</f>
        <v>70</v>
      </c>
      <c r="J81" s="214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>
      <c r="A82" s="170"/>
      <c r="B82" s="171"/>
      <c r="C82" s="171"/>
      <c r="D82" s="171"/>
      <c r="E82" s="446" t="s">
        <v>42</v>
      </c>
      <c r="F82" s="446"/>
      <c r="G82" s="179"/>
      <c r="H82" s="755" t="s">
        <v>34</v>
      </c>
      <c r="I82" s="184">
        <f ca="1">IFERROR(__xludf.DUMMYFUNCTION("IMPORTRANGE(""https://docs.google.com/spreadsheets/d/1QqKyyYR6Q21VydFLVH3TRQUabQu_ym0Zz7PgGX0-kHA/edit?usp=sharing"",""แผน!D69"")"),0)</f>
        <v>0</v>
      </c>
      <c r="J82" s="214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>
      <c r="A83" s="170"/>
      <c r="B83" s="171"/>
      <c r="C83" s="171"/>
      <c r="D83" s="171"/>
      <c r="E83" s="178"/>
      <c r="F83" s="178"/>
      <c r="G83" s="179"/>
      <c r="H83" s="755" t="s">
        <v>35</v>
      </c>
      <c r="I83" s="184">
        <f ca="1">IFERROR(__xludf.DUMMYFUNCTION("IMPORTRANGE(""https://docs.google.com/spreadsheets/d/1QqKyyYR6Q21VydFLVH3TRQUabQu_ym0Zz7PgGX0-kHA/edit?usp=sharing"",""แผน!E69"")"),0)</f>
        <v>0</v>
      </c>
      <c r="J83" s="214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>
      <c r="A84" s="170"/>
      <c r="B84" s="171"/>
      <c r="C84" s="171"/>
      <c r="D84" s="176" t="s">
        <v>43</v>
      </c>
      <c r="E84" s="446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IFERROR(__xludf.DUMMYFUNCTION("IMPORTRANGE(""https://docs.google.com/spreadsheets/d/1QqKyyYR6Q21VydFLVH3TRQUabQu_ym0Zz7PgGX0-kHA/edit?usp=sharing"",""แผน!J69"")"),1)</f>
        <v>1</v>
      </c>
      <c r="J84" s="214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8" t="s">
        <v>45</v>
      </c>
      <c r="C86" s="140"/>
      <c r="D86" s="141"/>
      <c r="E86" s="140"/>
      <c r="F86" s="140"/>
      <c r="G86" s="142"/>
      <c r="H86" s="143" t="s">
        <v>46</v>
      </c>
      <c r="I86" s="144">
        <f t="shared" ref="I86:J87" ca="1" si="47">I98</f>
        <v>45</v>
      </c>
      <c r="J86" s="144">
        <f t="shared" si="47"/>
        <v>0</v>
      </c>
      <c r="K86" s="145">
        <f t="shared" ref="K86:K87" ca="1" si="48">IF(I86&gt;0,J86*100/I86,0)</f>
        <v>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143" t="s">
        <v>35</v>
      </c>
      <c r="I87" s="144">
        <f t="shared" ca="1" si="47"/>
        <v>15</v>
      </c>
      <c r="J87" s="144">
        <f t="shared" si="47"/>
        <v>0</v>
      </c>
      <c r="K87" s="145">
        <f t="shared" ca="1" si="48"/>
        <v>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22" t="s">
        <v>17</v>
      </c>
      <c r="E88" s="148"/>
      <c r="F88" s="148"/>
      <c r="G88" s="151"/>
      <c r="H88" s="152" t="s">
        <v>12</v>
      </c>
      <c r="I88" s="419"/>
      <c r="J88" s="419"/>
      <c r="K88" s="154"/>
      <c r="L88" s="155">
        <f t="shared" ref="L88:N88" ca="1" si="49">L89+L90</f>
        <v>98960</v>
      </c>
      <c r="M88" s="155">
        <f t="shared" ca="1" si="49"/>
        <v>32760</v>
      </c>
      <c r="N88" s="155">
        <f t="shared" ca="1" si="49"/>
        <v>0</v>
      </c>
      <c r="O88" s="155">
        <f t="shared" ref="O88:O96" ca="1" si="50">IF(L88&gt;0,N88*100/L88,0)</f>
        <v>0</v>
      </c>
      <c r="P88" s="155">
        <f t="shared" ref="P88:P96" ca="1" si="51">IF(M88&gt;0,N88*100/M88,0)</f>
        <v>0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2" t="s">
        <v>18</v>
      </c>
      <c r="F89" s="40"/>
      <c r="G89" s="157"/>
      <c r="H89" s="158" t="s">
        <v>12</v>
      </c>
      <c r="I89" s="610"/>
      <c r="J89" s="610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2" t="s">
        <v>19</v>
      </c>
      <c r="F90" s="40"/>
      <c r="G90" s="157"/>
      <c r="H90" s="158" t="s">
        <v>12</v>
      </c>
      <c r="I90" s="610"/>
      <c r="J90" s="610"/>
      <c r="K90" s="93"/>
      <c r="L90" s="93">
        <f t="shared" ca="1" si="52"/>
        <v>98960</v>
      </c>
      <c r="M90" s="93">
        <f t="shared" ca="1" si="52"/>
        <v>32760</v>
      </c>
      <c r="N90" s="93">
        <f t="shared" ca="1" si="52"/>
        <v>0</v>
      </c>
      <c r="O90" s="93">
        <f t="shared" ca="1" si="50"/>
        <v>0</v>
      </c>
      <c r="P90" s="93">
        <f t="shared" ca="1" si="51"/>
        <v>0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1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6">
        <f t="shared" ref="L91:N91" ca="1" si="53">L92+L93</f>
        <v>98960</v>
      </c>
      <c r="M91" s="496">
        <f t="shared" ca="1" si="53"/>
        <v>32760</v>
      </c>
      <c r="N91" s="496">
        <f t="shared" ca="1" si="53"/>
        <v>0</v>
      </c>
      <c r="O91" s="496">
        <f t="shared" ca="1" si="50"/>
        <v>0</v>
      </c>
      <c r="P91" s="496">
        <f t="shared" ca="1" si="51"/>
        <v>0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2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2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IFERROR(__xludf.DUMMYFUNCTION("IMPORTRANGE(""https://docs.google.com/spreadsheets/d/1MeEWN-I1oV_STSDYn1IFDPWt_1FKiwhDph83XaGc0o0/edit?usp=sharing"",""งบพรบ!AQ69"")"),98960)</f>
        <v>98960</v>
      </c>
      <c r="M93" s="93">
        <f ca="1">IFERROR(__xludf.DUMMYFUNCTION("IMPORTRANGE(""https://docs.google.com/spreadsheets/d/1MeEWN-I1oV_STSDYn1IFDPWt_1FKiwhDph83XaGc0o0/edit?usp=sharing"",""งบพรบ!AV69"")"),32760)</f>
        <v>32760</v>
      </c>
      <c r="N93" s="93">
        <f ca="1">IFERROR(__xludf.DUMMYFUNCTION("IMPORTRANGE(""https://docs.google.com/spreadsheets/d/1MeEWN-I1oV_STSDYn1IFDPWt_1FKiwhDph83XaGc0o0/edit?usp=sharing"",""งบพรบ!AX69"")"),0)</f>
        <v>0</v>
      </c>
      <c r="O93" s="93">
        <f t="shared" ca="1" si="50"/>
        <v>0</v>
      </c>
      <c r="P93" s="93">
        <f t="shared" ca="1" si="51"/>
        <v>0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1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6">
        <f t="shared" ref="L94:N94" ca="1" si="54">L95+L96</f>
        <v>0</v>
      </c>
      <c r="M94" s="496">
        <f t="shared" ca="1" si="54"/>
        <v>0</v>
      </c>
      <c r="N94" s="496">
        <f t="shared" ca="1" si="54"/>
        <v>0</v>
      </c>
      <c r="O94" s="496">
        <f t="shared" ca="1" si="50"/>
        <v>0</v>
      </c>
      <c r="P94" s="496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2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2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IFERROR(__xludf.DUMMYFUNCTION("IMPORTRANGE(""https://docs.google.com/spreadsheets/d/1MeEWN-I1oV_STSDYn1IFDPWt_1FKiwhDph83XaGc0o0/edit?usp=sharing"",""งบพรบ!AT69"")"),0)</f>
        <v>0</v>
      </c>
      <c r="M96" s="93">
        <f ca="1">IFERROR(__xludf.DUMMYFUNCTION("IMPORTRANGE(""https://docs.google.com/spreadsheets/d/1MeEWN-I1oV_STSDYn1IFDPWt_1FKiwhDph83XaGc0o0/edit?usp=sharing"",""งบพรบ!AW69"")"),0)</f>
        <v>0</v>
      </c>
      <c r="N96" s="93">
        <f ca="1">IFERROR(__xludf.DUMMYFUNCTION("IMPORTRANGE(""https://docs.google.com/spreadsheets/d/1MeEWN-I1oV_STSDYn1IFDPWt_1FKiwhDph83XaGc0o0/edit?usp=sharing"",""งบพรบ!AY69"")"),0)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23" t="s">
        <v>38</v>
      </c>
      <c r="E97" s="173"/>
      <c r="F97" s="173"/>
      <c r="G97" s="174"/>
      <c r="H97" s="753"/>
      <c r="I97" s="184"/>
      <c r="J97" s="269"/>
      <c r="K97" s="496"/>
      <c r="L97" s="496"/>
      <c r="M97" s="496"/>
      <c r="N97" s="496"/>
      <c r="O97" s="163"/>
      <c r="P97" s="163"/>
    </row>
    <row r="98" spans="1:16" ht="18.75">
      <c r="A98" s="170"/>
      <c r="B98" s="171"/>
      <c r="C98" s="171"/>
      <c r="D98" s="446" t="s">
        <v>47</v>
      </c>
      <c r="E98" s="446"/>
      <c r="F98" s="178"/>
      <c r="G98" s="179"/>
      <c r="H98" s="616" t="s">
        <v>46</v>
      </c>
      <c r="I98" s="269">
        <f ca="1">IFERROR(__xludf.DUMMYFUNCTION("IMPORTRANGE(""https://docs.google.com/spreadsheets/d/1QqKyyYR6Q21VydFLVH3TRQUabQu_ym0Zz7PgGX0-kHA/edit?usp=sharing"",""แผน!K69"")"),45)</f>
        <v>45</v>
      </c>
      <c r="J98" s="269">
        <f>J102</f>
        <v>0</v>
      </c>
      <c r="K98" s="496">
        <f t="shared" ref="K98:K100" ca="1" si="55">IF(I98&gt;0,J98*100/I98,0)</f>
        <v>0</v>
      </c>
      <c r="L98" s="496"/>
      <c r="M98" s="496"/>
      <c r="N98" s="496"/>
      <c r="O98" s="163"/>
      <c r="P98" s="163"/>
    </row>
    <row r="99" spans="1:16" ht="18.75">
      <c r="A99" s="170"/>
      <c r="B99" s="171"/>
      <c r="C99" s="171"/>
      <c r="D99" s="446" t="s">
        <v>48</v>
      </c>
      <c r="E99" s="446"/>
      <c r="F99" s="178"/>
      <c r="G99" s="179"/>
      <c r="H99" s="616" t="s">
        <v>35</v>
      </c>
      <c r="I99" s="269">
        <f ca="1">IFERROR(__xludf.DUMMYFUNCTION("IMPORTRANGE(""https://docs.google.com/spreadsheets/d/1QqKyyYR6Q21VydFLVH3TRQUabQu_ym0Zz7PgGX0-kHA/edit?usp=sharing"",""แผน!L69"")"),15)</f>
        <v>15</v>
      </c>
      <c r="J99" s="269">
        <f>J104</f>
        <v>0</v>
      </c>
      <c r="K99" s="496">
        <f t="shared" ca="1" si="55"/>
        <v>0</v>
      </c>
      <c r="L99" s="496"/>
      <c r="M99" s="496"/>
      <c r="N99" s="496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16" t="s">
        <v>49</v>
      </c>
      <c r="I100" s="269">
        <f ca="1">IFERROR(__xludf.DUMMYFUNCTION("IMPORTRANGE(""https://docs.google.com/spreadsheets/d/1QqKyyYR6Q21VydFLVH3TRQUabQu_ym0Zz7PgGX0-kHA/edit?usp=sharing"",""แผน!M69"")"),2)</f>
        <v>2</v>
      </c>
      <c r="J100" s="269">
        <f>J107+J110</f>
        <v>0</v>
      </c>
      <c r="K100" s="496">
        <f t="shared" ca="1" si="55"/>
        <v>0</v>
      </c>
      <c r="L100" s="496"/>
      <c r="M100" s="496"/>
      <c r="N100" s="496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16"/>
      <c r="I101" s="269"/>
      <c r="J101" s="269"/>
      <c r="K101" s="496"/>
      <c r="L101" s="496"/>
      <c r="M101" s="496"/>
      <c r="N101" s="496"/>
      <c r="O101" s="163"/>
      <c r="P101" s="163"/>
    </row>
    <row r="102" spans="1:16" ht="18.75">
      <c r="A102" s="170"/>
      <c r="B102" s="171"/>
      <c r="C102" s="171"/>
      <c r="D102" s="178"/>
      <c r="E102" s="619" t="s">
        <v>47</v>
      </c>
      <c r="F102" s="178"/>
      <c r="G102" s="179"/>
      <c r="H102" s="616" t="s">
        <v>46</v>
      </c>
      <c r="I102" s="269">
        <f ca="1">IFERROR(__xludf.DUMMYFUNCTION("IMPORTRANGE(""https://docs.google.com/spreadsheets/d/1QqKyyYR6Q21VydFLVH3TRQUabQu_ym0Zz7PgGX0-kHA/edit?usp=sharing"",""แผน!N69"")"),45)</f>
        <v>45</v>
      </c>
      <c r="J102" s="214">
        <v>0</v>
      </c>
      <c r="K102" s="496">
        <f t="shared" ref="K102:K104" ca="1" si="56">IF(I102&gt;0,J102*100/I102,0)</f>
        <v>0</v>
      </c>
      <c r="L102" s="496"/>
      <c r="M102" s="496"/>
      <c r="N102" s="496"/>
      <c r="O102" s="163"/>
      <c r="P102" s="163"/>
    </row>
    <row r="103" spans="1:16" ht="19.5">
      <c r="A103" s="170"/>
      <c r="B103" s="171"/>
      <c r="C103" s="171"/>
      <c r="D103" s="178"/>
      <c r="E103" s="446" t="s">
        <v>51</v>
      </c>
      <c r="F103" s="178"/>
      <c r="G103" s="179"/>
      <c r="H103" s="616" t="s">
        <v>35</v>
      </c>
      <c r="I103" s="269">
        <f ca="1">IFERROR(__xludf.DUMMYFUNCTION("IMPORTRANGE(""https://docs.google.com/spreadsheets/d/1QqKyyYR6Q21VydFLVH3TRQUabQu_ym0Zz7PgGX0-kHA/edit?usp=sharing"",""แผน!O69"")"),15)</f>
        <v>15</v>
      </c>
      <c r="J103" s="214">
        <v>0</v>
      </c>
      <c r="K103" s="496">
        <f t="shared" ca="1" si="56"/>
        <v>0</v>
      </c>
      <c r="L103" s="496"/>
      <c r="M103" s="496"/>
      <c r="N103" s="496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16" t="s">
        <v>35</v>
      </c>
      <c r="I104" s="269">
        <f ca="1">IFERROR(__xludf.DUMMYFUNCTION("IMPORTRANGE(""https://docs.google.com/spreadsheets/d/1QqKyyYR6Q21VydFLVH3TRQUabQu_ym0Zz7PgGX0-kHA/edit?usp=sharing"",""แผน!O69"")"),15)</f>
        <v>15</v>
      </c>
      <c r="J104" s="214">
        <v>0</v>
      </c>
      <c r="K104" s="496">
        <f t="shared" ca="1" si="56"/>
        <v>0</v>
      </c>
      <c r="L104" s="496"/>
      <c r="M104" s="496"/>
      <c r="N104" s="496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69"/>
      <c r="J105" s="269"/>
      <c r="K105" s="496"/>
      <c r="L105" s="496"/>
      <c r="M105" s="496"/>
      <c r="N105" s="496"/>
      <c r="O105" s="163"/>
      <c r="P105" s="163"/>
    </row>
    <row r="106" spans="1:16" ht="19.5">
      <c r="A106" s="170"/>
      <c r="B106" s="171"/>
      <c r="C106" s="171"/>
      <c r="D106" s="178"/>
      <c r="E106" s="446" t="s">
        <v>54</v>
      </c>
      <c r="F106" s="178"/>
      <c r="G106" s="179"/>
      <c r="H106" s="616" t="s">
        <v>49</v>
      </c>
      <c r="I106" s="269">
        <f ca="1">IFERROR(__xludf.DUMMYFUNCTION("IMPORTRANGE(""https://docs.google.com/spreadsheets/d/1QqKyyYR6Q21VydFLVH3TRQUabQu_ym0Zz7PgGX0-kHA/edit?usp=sharing"",""แผน!P69"")"),1)</f>
        <v>1</v>
      </c>
      <c r="J106" s="214">
        <v>0</v>
      </c>
      <c r="K106" s="496">
        <f t="shared" ref="K106:K107" ca="1" si="57">IF(I106&gt;0,J106*100/I106,0)</f>
        <v>0</v>
      </c>
      <c r="L106" s="496"/>
      <c r="M106" s="496"/>
      <c r="N106" s="496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16" t="s">
        <v>49</v>
      </c>
      <c r="I107" s="269">
        <f ca="1">IFERROR(__xludf.DUMMYFUNCTION("IMPORTRANGE(""https://docs.google.com/spreadsheets/d/1QqKyyYR6Q21VydFLVH3TRQUabQu_ym0Zz7PgGX0-kHA/edit?usp=sharing"",""แผน!P69"")"),1)</f>
        <v>1</v>
      </c>
      <c r="J107" s="214">
        <v>0</v>
      </c>
      <c r="K107" s="496">
        <f t="shared" ca="1" si="57"/>
        <v>0</v>
      </c>
      <c r="L107" s="496"/>
      <c r="M107" s="496"/>
      <c r="N107" s="496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69"/>
      <c r="J108" s="269"/>
      <c r="K108" s="496"/>
      <c r="L108" s="496"/>
      <c r="M108" s="496"/>
      <c r="N108" s="496"/>
      <c r="O108" s="163"/>
      <c r="P108" s="163"/>
    </row>
    <row r="109" spans="1:16" ht="19.5">
      <c r="A109" s="170"/>
      <c r="B109" s="171"/>
      <c r="C109" s="171"/>
      <c r="D109" s="178"/>
      <c r="E109" s="446" t="s">
        <v>57</v>
      </c>
      <c r="F109" s="178"/>
      <c r="G109" s="179"/>
      <c r="H109" s="616" t="s">
        <v>49</v>
      </c>
      <c r="I109" s="269">
        <f ca="1">IFERROR(__xludf.DUMMYFUNCTION("IMPORTRANGE(""https://docs.google.com/spreadsheets/d/1QqKyyYR6Q21VydFLVH3TRQUabQu_ym0Zz7PgGX0-kHA/edit?usp=sharing"",""แผน!Q69"")"),1)</f>
        <v>1</v>
      </c>
      <c r="J109" s="214">
        <v>0</v>
      </c>
      <c r="K109" s="496">
        <f t="shared" ref="K109:K116" ca="1" si="58">IF(I109&gt;0,J109*100/I109,0)</f>
        <v>0</v>
      </c>
      <c r="L109" s="496"/>
      <c r="M109" s="496"/>
      <c r="N109" s="496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16" t="s">
        <v>49</v>
      </c>
      <c r="I110" s="269">
        <f ca="1">IFERROR(__xludf.DUMMYFUNCTION("IMPORTRANGE(""https://docs.google.com/spreadsheets/d/1QqKyyYR6Q21VydFLVH3TRQUabQu_ym0Zz7PgGX0-kHA/edit?usp=sharing"",""แผน!Q69"")"),1)</f>
        <v>1</v>
      </c>
      <c r="J110" s="214">
        <v>0</v>
      </c>
      <c r="K110" s="496">
        <f t="shared" ca="1" si="58"/>
        <v>0</v>
      </c>
      <c r="L110" s="496"/>
      <c r="M110" s="496"/>
      <c r="N110" s="496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58" t="s">
        <v>35</v>
      </c>
      <c r="I111" s="193">
        <f ca="1">IFERROR(__xludf.DUMMYFUNCTION("IMPORTRANGE(""https://docs.google.com/spreadsheets/d/1QqKyyYR6Q21VydFLVH3TRQUabQu_ym0Zz7PgGX0-kHA/edit?usp=sharing"",""แผน!R69"")"),15)</f>
        <v>15</v>
      </c>
      <c r="J111" s="674">
        <f>J114</f>
        <v>0</v>
      </c>
      <c r="K111" s="195">
        <f t="shared" ca="1" si="58"/>
        <v>0</v>
      </c>
      <c r="L111" s="496"/>
      <c r="M111" s="496"/>
      <c r="N111" s="496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2</v>
      </c>
      <c r="J112" s="674">
        <f t="shared" si="59"/>
        <v>0</v>
      </c>
      <c r="K112" s="195">
        <f t="shared" ca="1" si="58"/>
        <v>0</v>
      </c>
      <c r="L112" s="496"/>
      <c r="M112" s="496"/>
      <c r="N112" s="496"/>
      <c r="O112" s="163"/>
      <c r="P112" s="163"/>
    </row>
    <row r="113" spans="1:26" ht="19.5">
      <c r="A113" s="170"/>
      <c r="B113" s="171"/>
      <c r="C113" s="171"/>
      <c r="D113" s="171"/>
      <c r="E113" s="525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IFERROR(__xludf.DUMMYFUNCTION("IMPORTRANGE(""https://docs.google.com/spreadsheets/d/1QqKyyYR6Q21VydFLVH3TRQUabQu_ym0Zz7PgGX0-kHA/edit?usp=sharing"",""แผน!R69"")"),15)</f>
        <v>15</v>
      </c>
      <c r="J113" s="214">
        <v>0</v>
      </c>
      <c r="K113" s="496">
        <f t="shared" ca="1" si="58"/>
        <v>0</v>
      </c>
      <c r="L113" s="496"/>
      <c r="M113" s="496"/>
      <c r="N113" s="496"/>
      <c r="O113" s="163"/>
      <c r="P113" s="163"/>
    </row>
    <row r="114" spans="1:26" ht="19.5">
      <c r="A114" s="170"/>
      <c r="B114" s="171"/>
      <c r="C114" s="171"/>
      <c r="D114" s="171"/>
      <c r="E114" s="446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IFERROR(__xludf.DUMMYFUNCTION("IMPORTRANGE(""https://docs.google.com/spreadsheets/d/1QqKyyYR6Q21VydFLVH3TRQUabQu_ym0Zz7PgGX0-kHA/edit?usp=sharing"",""แผน!R69"")"),15)</f>
        <v>15</v>
      </c>
      <c r="J114" s="214">
        <v>0</v>
      </c>
      <c r="K114" s="496">
        <f t="shared" ca="1" si="58"/>
        <v>0</v>
      </c>
      <c r="L114" s="496"/>
      <c r="M114" s="496"/>
      <c r="N114" s="496"/>
      <c r="O114" s="163"/>
      <c r="P114" s="163"/>
    </row>
    <row r="115" spans="1:26" ht="18.75">
      <c r="A115" s="170"/>
      <c r="B115" s="171"/>
      <c r="C115" s="171"/>
      <c r="D115" s="171"/>
      <c r="E115" s="446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IFERROR(__xludf.DUMMYFUNCTION("IMPORTRANGE(""https://docs.google.com/spreadsheets/d/1QqKyyYR6Q21VydFLVH3TRQUabQu_ym0Zz7PgGX0-kHA/edit?usp=sharing"",""แผน!S69"")"),1)</f>
        <v>1</v>
      </c>
      <c r="J115" s="214">
        <v>0</v>
      </c>
      <c r="K115" s="496">
        <f t="shared" ca="1" si="58"/>
        <v>0</v>
      </c>
      <c r="L115" s="496"/>
      <c r="M115" s="496"/>
      <c r="N115" s="496"/>
      <c r="O115" s="163"/>
      <c r="P115" s="163"/>
    </row>
    <row r="116" spans="1:26" ht="18.75">
      <c r="A116" s="170"/>
      <c r="B116" s="171"/>
      <c r="C116" s="171"/>
      <c r="D116" s="171"/>
      <c r="E116" s="446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IFERROR(__xludf.DUMMYFUNCTION("IMPORTRANGE(""https://docs.google.com/spreadsheets/d/1QqKyyYR6Q21VydFLVH3TRQUabQu_ym0Zz7PgGX0-kHA/edit?usp=sharing"",""แผน!T69"")"),1)</f>
        <v>1</v>
      </c>
      <c r="J116" s="214">
        <v>0</v>
      </c>
      <c r="K116" s="496">
        <f t="shared" ca="1" si="58"/>
        <v>0</v>
      </c>
      <c r="L116" s="496"/>
      <c r="M116" s="496"/>
      <c r="N116" s="496"/>
      <c r="O116" s="163"/>
      <c r="P116" s="163"/>
    </row>
    <row r="117" spans="1:26" ht="19.5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>
      <c r="A118" s="138"/>
      <c r="B118" s="208" t="s">
        <v>65</v>
      </c>
      <c r="C118" s="204"/>
      <c r="D118" s="141"/>
      <c r="E118" s="140"/>
      <c r="F118" s="140"/>
      <c r="G118" s="142"/>
      <c r="H118" s="143"/>
      <c r="I118" s="205"/>
      <c r="J118" s="205"/>
      <c r="K118" s="146"/>
      <c r="L118" s="146"/>
      <c r="M118" s="146"/>
      <c r="N118" s="146"/>
      <c r="O118" s="146"/>
      <c r="P118" s="146"/>
    </row>
    <row r="119" spans="1:26" ht="19.5">
      <c r="A119" s="147"/>
      <c r="B119" s="148"/>
      <c r="C119" s="149" t="s">
        <v>16</v>
      </c>
      <c r="D119" s="822" t="s">
        <v>17</v>
      </c>
      <c r="E119" s="148"/>
      <c r="F119" s="148"/>
      <c r="G119" s="151"/>
      <c r="H119" s="152" t="s">
        <v>12</v>
      </c>
      <c r="I119" s="419"/>
      <c r="J119" s="419"/>
      <c r="K119" s="154"/>
      <c r="L119" s="155">
        <f t="shared" ref="L119:N119" ca="1" si="60">L120+L121</f>
        <v>26800</v>
      </c>
      <c r="M119" s="155">
        <f t="shared" ca="1" si="60"/>
        <v>26800</v>
      </c>
      <c r="N119" s="155">
        <f t="shared" ca="1" si="60"/>
        <v>26800</v>
      </c>
      <c r="O119" s="155">
        <f t="shared" ref="O119:O127" ca="1" si="61">IF(L119&gt;0,N119*100/L119,0)</f>
        <v>100</v>
      </c>
      <c r="P119" s="155">
        <f t="shared" ref="P119:P127" ca="1" si="62">IF(M119&gt;0,N119*100/M119,0)</f>
        <v>100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2" t="s">
        <v>18</v>
      </c>
      <c r="F120" s="40"/>
      <c r="G120" s="157"/>
      <c r="H120" s="158" t="s">
        <v>12</v>
      </c>
      <c r="I120" s="610"/>
      <c r="J120" s="610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2" t="s">
        <v>19</v>
      </c>
      <c r="F121" s="40"/>
      <c r="G121" s="157"/>
      <c r="H121" s="158" t="s">
        <v>12</v>
      </c>
      <c r="I121" s="610"/>
      <c r="J121" s="610"/>
      <c r="K121" s="93"/>
      <c r="L121" s="93">
        <f t="shared" ca="1" si="63"/>
        <v>26800</v>
      </c>
      <c r="M121" s="93">
        <f t="shared" ca="1" si="63"/>
        <v>26800</v>
      </c>
      <c r="N121" s="93">
        <f t="shared" ca="1" si="63"/>
        <v>26800</v>
      </c>
      <c r="O121" s="93">
        <f t="shared" ca="1" si="61"/>
        <v>100</v>
      </c>
      <c r="P121" s="93">
        <f t="shared" ca="1" si="62"/>
        <v>100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>
      <c r="A122" s="159"/>
      <c r="B122" s="33"/>
      <c r="C122" s="281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6">
        <f t="shared" ref="L122:N122" ca="1" si="64">L123+L124</f>
        <v>0</v>
      </c>
      <c r="M122" s="496">
        <f t="shared" ca="1" si="64"/>
        <v>0</v>
      </c>
      <c r="N122" s="496">
        <f t="shared" ca="1" si="64"/>
        <v>0</v>
      </c>
      <c r="O122" s="496">
        <f t="shared" ca="1" si="61"/>
        <v>0</v>
      </c>
      <c r="P122" s="496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2"/>
      <c r="D123" s="40"/>
      <c r="E123" s="222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2"/>
      <c r="D124" s="40"/>
      <c r="E124" s="222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IFERROR(__xludf.DUMMYFUNCTION("IMPORTRANGE(""https://docs.google.com/spreadsheets/d/1MeEWN-I1oV_STSDYn1IFDPWt_1FKiwhDph83XaGc0o0/edit?usp=sharing"",""งบพรบ!BA69"")"),0)</f>
        <v>0</v>
      </c>
      <c r="M124" s="93">
        <f ca="1">IFERROR(__xludf.DUMMYFUNCTION("IMPORTRANGE(""https://docs.google.com/spreadsheets/d/1MeEWN-I1oV_STSDYn1IFDPWt_1FKiwhDph83XaGc0o0/edit?usp=sharing"",""งบพรบ!BF69"")"),0)</f>
        <v>0</v>
      </c>
      <c r="N124" s="93">
        <f ca="1">IFERROR(__xludf.DUMMYFUNCTION("IMPORTRANGE(""https://docs.google.com/spreadsheets/d/1MeEWN-I1oV_STSDYn1IFDPWt_1FKiwhDph83XaGc0o0/edit?usp=sharing"",""งบพรบ!BH69"")"),0)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>
      <c r="A125" s="159"/>
      <c r="B125" s="33"/>
      <c r="C125" s="281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6">
        <f t="shared" ref="L125:N125" ca="1" si="65">L126+L127</f>
        <v>26800</v>
      </c>
      <c r="M125" s="496">
        <f t="shared" ca="1" si="65"/>
        <v>26800</v>
      </c>
      <c r="N125" s="496">
        <f t="shared" ca="1" si="65"/>
        <v>26800</v>
      </c>
      <c r="O125" s="496">
        <f t="shared" ca="1" si="61"/>
        <v>100</v>
      </c>
      <c r="P125" s="496">
        <f t="shared" ca="1" si="62"/>
        <v>100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2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2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IFERROR(__xludf.DUMMYFUNCTION("IMPORTRANGE(""https://docs.google.com/spreadsheets/d/1MeEWN-I1oV_STSDYn1IFDPWt_1FKiwhDph83XaGc0o0/edit?usp=sharing"",""งบพรบ!BD69"")"),26800)</f>
        <v>26800</v>
      </c>
      <c r="M127" s="93">
        <f ca="1">IFERROR(__xludf.DUMMYFUNCTION("IMPORTRANGE(""https://docs.google.com/spreadsheets/d/1MeEWN-I1oV_STSDYn1IFDPWt_1FKiwhDph83XaGc0o0/edit?usp=sharing"",""งบพรบ!BG69"")"),26800)</f>
        <v>26800</v>
      </c>
      <c r="N127" s="93">
        <f ca="1">IFERROR(__xludf.DUMMYFUNCTION("IMPORTRANGE(""https://docs.google.com/spreadsheets/d/1MeEWN-I1oV_STSDYn1IFDPWt_1FKiwhDph83XaGc0o0/edit?usp=sharing"",""งบพรบ!BI69"")"),26800)</f>
        <v>26800</v>
      </c>
      <c r="O127" s="93">
        <f t="shared" ca="1" si="61"/>
        <v>100</v>
      </c>
      <c r="P127" s="93">
        <f t="shared" ca="1" si="62"/>
        <v>100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66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8" t="s">
        <v>67</v>
      </c>
      <c r="C129" s="204"/>
      <c r="D129" s="141"/>
      <c r="E129" s="140"/>
      <c r="F129" s="140"/>
      <c r="G129" s="140"/>
      <c r="H129" s="207"/>
      <c r="I129" s="205"/>
      <c r="J129" s="205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8"/>
      <c r="C130" s="209" t="s">
        <v>68</v>
      </c>
      <c r="D130" s="141"/>
      <c r="E130" s="140"/>
      <c r="F130" s="140"/>
      <c r="G130" s="142"/>
      <c r="H130" s="143" t="s">
        <v>69</v>
      </c>
      <c r="I130" s="144">
        <f t="shared" ref="I130:J130" ca="1" si="66">I146</f>
        <v>0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8"/>
      <c r="C131" s="209" t="s">
        <v>70</v>
      </c>
      <c r="D131" s="141"/>
      <c r="E131" s="140"/>
      <c r="F131" s="140"/>
      <c r="G131" s="142"/>
      <c r="H131" s="143" t="s">
        <v>35</v>
      </c>
      <c r="I131" s="144">
        <f t="shared" ref="I131:J131" ca="1" si="68">I143</f>
        <v>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822" t="s">
        <v>17</v>
      </c>
      <c r="E132" s="148"/>
      <c r="F132" s="148"/>
      <c r="G132" s="151"/>
      <c r="H132" s="152" t="s">
        <v>12</v>
      </c>
      <c r="I132" s="419"/>
      <c r="J132" s="419"/>
      <c r="K132" s="154"/>
      <c r="L132" s="155">
        <f t="shared" ref="L132:N132" ca="1" si="69">L133+L134</f>
        <v>0</v>
      </c>
      <c r="M132" s="155">
        <f t="shared" ca="1" si="69"/>
        <v>0</v>
      </c>
      <c r="N132" s="155">
        <f t="shared" ca="1" si="69"/>
        <v>0</v>
      </c>
      <c r="O132" s="155">
        <f t="shared" ref="O132:O140" ca="1" si="70">IF(L132&gt;0,N132*100/L132,0)</f>
        <v>0</v>
      </c>
      <c r="P132" s="155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2" t="s">
        <v>18</v>
      </c>
      <c r="F133" s="40"/>
      <c r="G133" s="157"/>
      <c r="H133" s="158" t="s">
        <v>12</v>
      </c>
      <c r="I133" s="610"/>
      <c r="J133" s="610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2" t="s">
        <v>19</v>
      </c>
      <c r="F134" s="40"/>
      <c r="G134" s="157"/>
      <c r="H134" s="158" t="s">
        <v>12</v>
      </c>
      <c r="I134" s="610"/>
      <c r="J134" s="610"/>
      <c r="K134" s="93"/>
      <c r="L134" s="93">
        <f t="shared" ca="1" si="72"/>
        <v>0</v>
      </c>
      <c r="M134" s="93">
        <f t="shared" ca="1" si="72"/>
        <v>0</v>
      </c>
      <c r="N134" s="93">
        <f t="shared" ca="1" si="72"/>
        <v>0</v>
      </c>
      <c r="O134" s="93">
        <f t="shared" ca="1" si="70"/>
        <v>0</v>
      </c>
      <c r="P134" s="93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1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6">
        <f t="shared" ref="L135:N135" ca="1" si="73">L136+L137</f>
        <v>0</v>
      </c>
      <c r="M135" s="496">
        <f t="shared" ca="1" si="73"/>
        <v>0</v>
      </c>
      <c r="N135" s="496">
        <f t="shared" ca="1" si="73"/>
        <v>0</v>
      </c>
      <c r="O135" s="496">
        <f t="shared" ca="1" si="70"/>
        <v>0</v>
      </c>
      <c r="P135" s="496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2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2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IFERROR(__xludf.DUMMYFUNCTION("IMPORTRANGE(""https://docs.google.com/spreadsheets/d/1MeEWN-I1oV_STSDYn1IFDPWt_1FKiwhDph83XaGc0o0/edit?usp=sharing"",""งบพรบ!BK69"")"),0)</f>
        <v>0</v>
      </c>
      <c r="M137" s="93">
        <f ca="1">IFERROR(__xludf.DUMMYFUNCTION("IMPORTRANGE(""https://docs.google.com/spreadsheets/d/1MeEWN-I1oV_STSDYn1IFDPWt_1FKiwhDph83XaGc0o0/edit?usp=sharing"",""งบพรบ!BP69"")"),0)</f>
        <v>0</v>
      </c>
      <c r="N137" s="93">
        <f ca="1">IFERROR(__xludf.DUMMYFUNCTION("IMPORTRANGE(""https://docs.google.com/spreadsheets/d/1MeEWN-I1oV_STSDYn1IFDPWt_1FKiwhDph83XaGc0o0/edit?usp=sharing"",""งบพรบ!BR69"")"),0)</f>
        <v>0</v>
      </c>
      <c r="O137" s="93">
        <f t="shared" ca="1" si="70"/>
        <v>0</v>
      </c>
      <c r="P137" s="93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1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6">
        <f t="shared" ref="L138:N138" ca="1" si="74">L139+L140</f>
        <v>0</v>
      </c>
      <c r="M138" s="496">
        <f t="shared" ca="1" si="74"/>
        <v>0</v>
      </c>
      <c r="N138" s="496">
        <f t="shared" ca="1" si="74"/>
        <v>0</v>
      </c>
      <c r="O138" s="496">
        <f t="shared" ca="1" si="70"/>
        <v>0</v>
      </c>
      <c r="P138" s="496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2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2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IFERROR(__xludf.DUMMYFUNCTION("IMPORTRANGE(""https://docs.google.com/spreadsheets/d/1MeEWN-I1oV_STSDYn1IFDPWt_1FKiwhDph83XaGc0o0/edit?usp=sharing"",""งบพรบ!BN69"")"),0)</f>
        <v>0</v>
      </c>
      <c r="M140" s="93">
        <f ca="1">IFERROR(__xludf.DUMMYFUNCTION("IMPORTRANGE(""https://docs.google.com/spreadsheets/d/1MeEWN-I1oV_STSDYn1IFDPWt_1FKiwhDph83XaGc0o0/edit?usp=sharing"",""งบพรบ!BQ69"")"),0)</f>
        <v>0</v>
      </c>
      <c r="N140" s="93">
        <f ca="1">IFERROR(__xludf.DUMMYFUNCTION("IMPORTRANGE(""https://docs.google.com/spreadsheets/d/1MeEWN-I1oV_STSDYn1IFDPWt_1FKiwhDph83XaGc0o0/edit?usp=sharing"",""งบพรบ!BS69"")"),0)</f>
        <v>0</v>
      </c>
      <c r="O140" s="93">
        <f t="shared" ca="1" si="70"/>
        <v>0</v>
      </c>
      <c r="P140" s="93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823" t="s">
        <v>38</v>
      </c>
      <c r="E141" s="173"/>
      <c r="F141" s="173"/>
      <c r="G141" s="174"/>
      <c r="H141" s="168"/>
      <c r="I141" s="269"/>
      <c r="J141" s="269"/>
      <c r="K141" s="496"/>
      <c r="L141" s="496"/>
      <c r="M141" s="496"/>
      <c r="N141" s="496"/>
      <c r="O141" s="496"/>
      <c r="P141" s="496"/>
    </row>
    <row r="142" spans="1:26" ht="19.5" hidden="1">
      <c r="A142" s="159"/>
      <c r="B142" s="33"/>
      <c r="C142" s="210"/>
      <c r="D142" s="281" t="s">
        <v>71</v>
      </c>
      <c r="E142" s="34"/>
      <c r="F142" s="33"/>
      <c r="G142" s="213"/>
      <c r="H142" s="168"/>
      <c r="I142" s="269"/>
      <c r="J142" s="214">
        <v>0</v>
      </c>
      <c r="K142" s="496"/>
      <c r="L142" s="496"/>
      <c r="M142" s="496"/>
      <c r="N142" s="496"/>
      <c r="O142" s="496"/>
      <c r="P142" s="496"/>
    </row>
    <row r="143" spans="1:26" ht="19.5" hidden="1">
      <c r="A143" s="159"/>
      <c r="B143" s="33"/>
      <c r="C143" s="210"/>
      <c r="D143" s="281" t="s">
        <v>72</v>
      </c>
      <c r="E143" s="34"/>
      <c r="F143" s="33"/>
      <c r="G143" s="213"/>
      <c r="H143" s="168" t="s">
        <v>35</v>
      </c>
      <c r="I143" s="269">
        <f ca="1">I145</f>
        <v>0</v>
      </c>
      <c r="J143" s="269">
        <f ca="1">IF(AND(J144&gt;=I144,J145&gt;=I145),J145,0)</f>
        <v>0</v>
      </c>
      <c r="K143" s="496">
        <f t="shared" ref="K143:K146" ca="1" si="75">IF(I143&gt;0,J143*100/I143,0)</f>
        <v>0</v>
      </c>
      <c r="L143" s="496"/>
      <c r="M143" s="496"/>
      <c r="N143" s="496"/>
      <c r="O143" s="496"/>
      <c r="P143" s="496"/>
    </row>
    <row r="144" spans="1:26" ht="19.5" hidden="1">
      <c r="A144" s="159"/>
      <c r="B144" s="33"/>
      <c r="C144" s="210"/>
      <c r="D144" s="178"/>
      <c r="E144" s="281" t="s">
        <v>73</v>
      </c>
      <c r="F144" s="33"/>
      <c r="G144" s="213"/>
      <c r="H144" s="168" t="s">
        <v>35</v>
      </c>
      <c r="I144" s="269">
        <f ca="1">IFERROR(__xludf.DUMMYFUNCTION("IMPORTRANGE(""https://docs.google.com/spreadsheets/d/1QqKyyYR6Q21VydFLVH3TRQUabQu_ym0Zz7PgGX0-kHA/edit?usp=sharing"",""แผน!U69"")"),0)</f>
        <v>0</v>
      </c>
      <c r="J144" s="214">
        <v>0</v>
      </c>
      <c r="K144" s="496">
        <f t="shared" ca="1" si="75"/>
        <v>0</v>
      </c>
      <c r="L144" s="496"/>
      <c r="M144" s="496"/>
      <c r="N144" s="496"/>
      <c r="O144" s="496"/>
      <c r="P144" s="496"/>
    </row>
    <row r="145" spans="1:26" ht="19.5" hidden="1">
      <c r="A145" s="159"/>
      <c r="B145" s="33"/>
      <c r="C145" s="210"/>
      <c r="D145" s="178"/>
      <c r="E145" s="281" t="s">
        <v>74</v>
      </c>
      <c r="F145" s="33"/>
      <c r="G145" s="213"/>
      <c r="H145" s="168" t="s">
        <v>35</v>
      </c>
      <c r="I145" s="269">
        <f ca="1">IFERROR(__xludf.DUMMYFUNCTION("IMPORTRANGE(""https://docs.google.com/spreadsheets/d/1QqKyyYR6Q21VydFLVH3TRQUabQu_ym0Zz7PgGX0-kHA/edit?usp=sharing"",""แผน!V69"")"),0)</f>
        <v>0</v>
      </c>
      <c r="J145" s="214">
        <v>0</v>
      </c>
      <c r="K145" s="496">
        <f t="shared" ca="1" si="75"/>
        <v>0</v>
      </c>
      <c r="L145" s="496"/>
      <c r="M145" s="496"/>
      <c r="N145" s="496"/>
      <c r="O145" s="496"/>
      <c r="P145" s="496"/>
    </row>
    <row r="146" spans="1:26" ht="19.5" hidden="1">
      <c r="A146" s="159"/>
      <c r="B146" s="33"/>
      <c r="C146" s="210"/>
      <c r="D146" s="281" t="s">
        <v>75</v>
      </c>
      <c r="E146" s="34"/>
      <c r="F146" s="33"/>
      <c r="G146" s="213"/>
      <c r="H146" s="168" t="s">
        <v>69</v>
      </c>
      <c r="I146" s="269">
        <f ca="1">IFERROR(__xludf.DUMMYFUNCTION("IMPORTRANGE(""https://docs.google.com/spreadsheets/d/1QqKyyYR6Q21VydFLVH3TRQUabQu_ym0Zz7PgGX0-kHA/edit?usp=sharing"",""แผน!W69"")"),0)</f>
        <v>0</v>
      </c>
      <c r="J146" s="214">
        <v>0</v>
      </c>
      <c r="K146" s="496">
        <f t="shared" ca="1" si="75"/>
        <v>0</v>
      </c>
      <c r="L146" s="496"/>
      <c r="M146" s="496"/>
      <c r="N146" s="496"/>
      <c r="O146" s="496"/>
      <c r="P146" s="496"/>
    </row>
    <row r="147" spans="1:26" ht="19.5" hidden="1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 hidden="1">
      <c r="A148" s="216"/>
      <c r="B148" s="208" t="s">
        <v>77</v>
      </c>
      <c r="C148" s="208"/>
      <c r="D148" s="208"/>
      <c r="E148" s="824"/>
      <c r="F148" s="218"/>
      <c r="G148" s="219"/>
      <c r="H148" s="220" t="s">
        <v>35</v>
      </c>
      <c r="I148" s="144">
        <f t="shared" ref="I148:J148" ca="1" si="76">I159</f>
        <v>0</v>
      </c>
      <c r="J148" s="144">
        <f t="shared" si="76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1"/>
      <c r="R148" s="221"/>
      <c r="S148" s="221"/>
      <c r="T148" s="221"/>
      <c r="U148" s="221"/>
      <c r="V148" s="221"/>
      <c r="W148" s="221"/>
      <c r="X148" s="221"/>
      <c r="Y148" s="221"/>
      <c r="Z148" s="221"/>
    </row>
    <row r="149" spans="1:26" ht="19.5" hidden="1">
      <c r="A149" s="147"/>
      <c r="B149" s="148"/>
      <c r="C149" s="149" t="s">
        <v>16</v>
      </c>
      <c r="D149" s="822" t="s">
        <v>17</v>
      </c>
      <c r="E149" s="148"/>
      <c r="F149" s="148"/>
      <c r="G149" s="151"/>
      <c r="H149" s="152" t="s">
        <v>12</v>
      </c>
      <c r="I149" s="419"/>
      <c r="J149" s="419"/>
      <c r="K149" s="154"/>
      <c r="L149" s="155">
        <f t="shared" ref="L149:N149" ca="1" si="77">L150+L151</f>
        <v>0</v>
      </c>
      <c r="M149" s="155">
        <f t="shared" ca="1" si="77"/>
        <v>0</v>
      </c>
      <c r="N149" s="155">
        <f t="shared" ca="1" si="77"/>
        <v>0</v>
      </c>
      <c r="O149" s="155">
        <f t="shared" ref="O149:O157" ca="1" si="78">IF(L149&gt;0,N149*100/L149,0)</f>
        <v>0</v>
      </c>
      <c r="P149" s="155">
        <f t="shared" ref="P149:P157" ca="1" si="79">IF(M149&gt;0,N149*100/M149,0)</f>
        <v>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2" t="s">
        <v>18</v>
      </c>
      <c r="F150" s="40"/>
      <c r="G150" s="157"/>
      <c r="H150" s="158" t="s">
        <v>12</v>
      </c>
      <c r="I150" s="610"/>
      <c r="J150" s="610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2" t="s">
        <v>19</v>
      </c>
      <c r="F151" s="40"/>
      <c r="G151" s="157"/>
      <c r="H151" s="158" t="s">
        <v>12</v>
      </c>
      <c r="I151" s="610"/>
      <c r="J151" s="610"/>
      <c r="K151" s="93"/>
      <c r="L151" s="93">
        <f t="shared" ca="1" si="80"/>
        <v>0</v>
      </c>
      <c r="M151" s="93">
        <f t="shared" ca="1" si="80"/>
        <v>0</v>
      </c>
      <c r="N151" s="93">
        <f t="shared" ca="1" si="80"/>
        <v>0</v>
      </c>
      <c r="O151" s="93">
        <f t="shared" ca="1" si="78"/>
        <v>0</v>
      </c>
      <c r="P151" s="93">
        <f t="shared" ca="1" si="79"/>
        <v>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 hidden="1">
      <c r="A152" s="159"/>
      <c r="B152" s="33"/>
      <c r="C152" s="281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6">
        <f t="shared" ref="L152:N152" ca="1" si="81">L153+L154</f>
        <v>0</v>
      </c>
      <c r="M152" s="496">
        <f t="shared" ca="1" si="81"/>
        <v>0</v>
      </c>
      <c r="N152" s="496">
        <f t="shared" ca="1" si="81"/>
        <v>0</v>
      </c>
      <c r="O152" s="496">
        <f t="shared" ca="1" si="78"/>
        <v>0</v>
      </c>
      <c r="P152" s="496">
        <f t="shared" ca="1" si="79"/>
        <v>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2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2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IFERROR(__xludf.DUMMYFUNCTION("IMPORTRANGE(""https://docs.google.com/spreadsheets/d/1MeEWN-I1oV_STSDYn1IFDPWt_1FKiwhDph83XaGc0o0/edit?usp=sharing"",""งบพรบ!BU69"")"),0)</f>
        <v>0</v>
      </c>
      <c r="M154" s="93">
        <f ca="1">IFERROR(__xludf.DUMMYFUNCTION("IMPORTRANGE(""https://docs.google.com/spreadsheets/d/1MeEWN-I1oV_STSDYn1IFDPWt_1FKiwhDph83XaGc0o0/edit?usp=sharing"",""งบพรบ!BZ69"")"),0)</f>
        <v>0</v>
      </c>
      <c r="N154" s="93">
        <f ca="1">IFERROR(__xludf.DUMMYFUNCTION("IMPORTRANGE(""https://docs.google.com/spreadsheets/d/1MeEWN-I1oV_STSDYn1IFDPWt_1FKiwhDph83XaGc0o0/edit?usp=sharing"",""งบพรบ!CB69"")"),0)</f>
        <v>0</v>
      </c>
      <c r="O154" s="93">
        <f t="shared" ca="1" si="78"/>
        <v>0</v>
      </c>
      <c r="P154" s="93">
        <f t="shared" ca="1" si="79"/>
        <v>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 hidden="1">
      <c r="A155" s="159"/>
      <c r="B155" s="33"/>
      <c r="C155" s="281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6">
        <f t="shared" ref="L155:N155" ca="1" si="82">L156+L157</f>
        <v>0</v>
      </c>
      <c r="M155" s="496">
        <f t="shared" ca="1" si="82"/>
        <v>0</v>
      </c>
      <c r="N155" s="496">
        <f t="shared" ca="1" si="82"/>
        <v>0</v>
      </c>
      <c r="O155" s="496">
        <f t="shared" ca="1" si="78"/>
        <v>0</v>
      </c>
      <c r="P155" s="496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2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2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IFERROR(__xludf.DUMMYFUNCTION("IMPORTRANGE(""https://docs.google.com/spreadsheets/d/1MeEWN-I1oV_STSDYn1IFDPWt_1FKiwhDph83XaGc0o0/edit?usp=sharing"",""งบพรบ!BX69"")"),0)</f>
        <v>0</v>
      </c>
      <c r="M157" s="93">
        <f ca="1">IFERROR(__xludf.DUMMYFUNCTION("IMPORTRANGE(""https://docs.google.com/spreadsheets/d/1MeEWN-I1oV_STSDYn1IFDPWt_1FKiwhDph83XaGc0o0/edit?usp=sharing"",""งบพรบ!CA69"")"),0)</f>
        <v>0</v>
      </c>
      <c r="N157" s="93">
        <f ca="1">IFERROR(__xludf.DUMMYFUNCTION("IMPORTRANGE(""https://docs.google.com/spreadsheets/d/1MeEWN-I1oV_STSDYn1IFDPWt_1FKiwhDph83XaGc0o0/edit?usp=sharing"",""งบพรบ!CC69"")"),0)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 hidden="1">
      <c r="A158" s="170"/>
      <c r="B158" s="171"/>
      <c r="C158" s="164" t="s">
        <v>16</v>
      </c>
      <c r="D158" s="823" t="s">
        <v>38</v>
      </c>
      <c r="E158" s="173"/>
      <c r="F158" s="173"/>
      <c r="G158" s="174"/>
      <c r="H158" s="168"/>
      <c r="I158" s="269"/>
      <c r="J158" s="269"/>
      <c r="K158" s="496"/>
      <c r="L158" s="496"/>
      <c r="M158" s="496"/>
      <c r="N158" s="496"/>
      <c r="O158" s="496"/>
      <c r="P158" s="496"/>
    </row>
    <row r="159" spans="1:26" ht="19.5" hidden="1">
      <c r="A159" s="159"/>
      <c r="B159" s="33"/>
      <c r="C159" s="210"/>
      <c r="D159" s="281" t="s">
        <v>78</v>
      </c>
      <c r="E159" s="34"/>
      <c r="F159" s="33"/>
      <c r="G159" s="213"/>
      <c r="H159" s="168" t="s">
        <v>35</v>
      </c>
      <c r="I159" s="269">
        <f ca="1">IFERROR(__xludf.DUMMYFUNCTION("IMPORTRANGE(""https://docs.google.com/spreadsheets/d/1QqKyyYR6Q21VydFLVH3TRQUabQu_ym0Zz7PgGX0-kHA/edit?usp=sharing"",""แผน!X69"")"),0)</f>
        <v>0</v>
      </c>
      <c r="J159" s="214">
        <v>0</v>
      </c>
      <c r="K159" s="496">
        <f ca="1">IF(I159&gt;0,J159*100/I159,0)</f>
        <v>0</v>
      </c>
      <c r="L159" s="496"/>
      <c r="M159" s="496"/>
      <c r="N159" s="496"/>
      <c r="O159" s="496"/>
      <c r="P159" s="496"/>
    </row>
    <row r="160" spans="1:26" ht="19.5" hidden="1">
      <c r="A160" s="156"/>
      <c r="B160" s="40"/>
      <c r="C160" s="164"/>
      <c r="D160" s="222" t="s">
        <v>79</v>
      </c>
      <c r="E160" s="223"/>
      <c r="F160" s="40"/>
      <c r="G160" s="157"/>
      <c r="H160" s="169" t="s">
        <v>35</v>
      </c>
      <c r="I160" s="610"/>
      <c r="J160" s="610"/>
      <c r="K160" s="93"/>
      <c r="L160" s="93"/>
      <c r="M160" s="93"/>
      <c r="N160" s="93"/>
      <c r="O160" s="93"/>
      <c r="P160" s="93"/>
      <c r="Q160" s="224"/>
      <c r="R160" s="224"/>
      <c r="S160" s="224"/>
      <c r="T160" s="224"/>
      <c r="U160" s="224"/>
      <c r="V160" s="224"/>
      <c r="W160" s="224"/>
      <c r="X160" s="224"/>
      <c r="Y160" s="224"/>
      <c r="Z160" s="224"/>
    </row>
    <row r="161" spans="1:26" ht="19.5" hidden="1">
      <c r="A161" s="225"/>
      <c r="B161" s="226"/>
      <c r="C161" s="227"/>
      <c r="D161" s="228" t="s">
        <v>80</v>
      </c>
      <c r="E161" s="825"/>
      <c r="F161" s="226"/>
      <c r="G161" s="230"/>
      <c r="H161" s="231" t="s">
        <v>35</v>
      </c>
      <c r="I161" s="232"/>
      <c r="J161" s="232"/>
      <c r="K161" s="233"/>
      <c r="L161" s="233"/>
      <c r="M161" s="233"/>
      <c r="N161" s="233"/>
      <c r="O161" s="233"/>
      <c r="P161" s="233"/>
      <c r="Q161" s="224"/>
      <c r="R161" s="224"/>
      <c r="S161" s="224"/>
      <c r="T161" s="224"/>
      <c r="U161" s="224"/>
      <c r="V161" s="224"/>
      <c r="W161" s="224"/>
      <c r="X161" s="224"/>
      <c r="Y161" s="224"/>
      <c r="Z161" s="224"/>
    </row>
    <row r="162" spans="1:26" ht="19.5">
      <c r="A162" s="234" t="s">
        <v>81</v>
      </c>
      <c r="B162" s="235"/>
      <c r="C162" s="235"/>
      <c r="D162" s="235"/>
      <c r="E162" s="236"/>
      <c r="F162" s="236"/>
      <c r="G162" s="237"/>
      <c r="H162" s="238"/>
      <c r="I162" s="239"/>
      <c r="J162" s="239"/>
      <c r="K162" s="240"/>
      <c r="L162" s="240"/>
      <c r="M162" s="240"/>
      <c r="N162" s="240"/>
      <c r="O162" s="240"/>
      <c r="P162" s="240"/>
    </row>
    <row r="163" spans="1:26" ht="19.5">
      <c r="A163" s="241" t="s">
        <v>82</v>
      </c>
      <c r="B163" s="242"/>
      <c r="C163" s="242"/>
      <c r="D163" s="243"/>
      <c r="E163" s="243"/>
      <c r="F163" s="243"/>
      <c r="G163" s="244"/>
      <c r="H163" s="245"/>
      <c r="I163" s="246"/>
      <c r="J163" s="246"/>
      <c r="K163" s="247"/>
      <c r="L163" s="247"/>
      <c r="M163" s="247"/>
      <c r="N163" s="247"/>
      <c r="O163" s="247"/>
      <c r="P163" s="247"/>
    </row>
    <row r="164" spans="1:26" ht="19.5">
      <c r="A164" s="248"/>
      <c r="B164" s="249" t="s">
        <v>83</v>
      </c>
      <c r="C164" s="250"/>
      <c r="D164" s="173"/>
      <c r="E164" s="173"/>
      <c r="F164" s="173"/>
      <c r="G164" s="174"/>
      <c r="H164" s="251" t="s">
        <v>35</v>
      </c>
      <c r="I164" s="252">
        <f t="shared" ref="I164:J164" ca="1" si="83">I174+I177</f>
        <v>10</v>
      </c>
      <c r="J164" s="252">
        <f t="shared" si="83"/>
        <v>10</v>
      </c>
      <c r="K164" s="253">
        <f ca="1">IF(I164&gt;0,J164*100/I164,0)</f>
        <v>100</v>
      </c>
      <c r="L164" s="254"/>
      <c r="M164" s="254"/>
      <c r="N164" s="254"/>
      <c r="O164" s="254"/>
      <c r="P164" s="254"/>
    </row>
    <row r="165" spans="1:26" ht="19.5">
      <c r="A165" s="147"/>
      <c r="B165" s="148"/>
      <c r="C165" s="149" t="s">
        <v>16</v>
      </c>
      <c r="D165" s="822" t="s">
        <v>17</v>
      </c>
      <c r="E165" s="148"/>
      <c r="F165" s="148"/>
      <c r="G165" s="151"/>
      <c r="H165" s="152" t="s">
        <v>12</v>
      </c>
      <c r="I165" s="419"/>
      <c r="J165" s="419"/>
      <c r="K165" s="154"/>
      <c r="L165" s="155">
        <f t="shared" ref="L165:N165" ca="1" si="84">L166+L167</f>
        <v>21050</v>
      </c>
      <c r="M165" s="155">
        <f t="shared" ca="1" si="84"/>
        <v>21050</v>
      </c>
      <c r="N165" s="155">
        <f t="shared" ca="1" si="84"/>
        <v>21050</v>
      </c>
      <c r="O165" s="155">
        <f t="shared" ref="O165:O173" ca="1" si="85">IF(L165&gt;0,N165*100/L165,0)</f>
        <v>100</v>
      </c>
      <c r="P165" s="155">
        <f t="shared" ref="P165:P173" ca="1" si="86">IF(M165&gt;0,N165*100/M165,0)</f>
        <v>100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2" t="s">
        <v>18</v>
      </c>
      <c r="F166" s="40"/>
      <c r="G166" s="157"/>
      <c r="H166" s="158" t="s">
        <v>12</v>
      </c>
      <c r="I166" s="610"/>
      <c r="J166" s="610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2" t="s">
        <v>19</v>
      </c>
      <c r="F167" s="40"/>
      <c r="G167" s="157"/>
      <c r="H167" s="158" t="s">
        <v>12</v>
      </c>
      <c r="I167" s="610"/>
      <c r="J167" s="610"/>
      <c r="K167" s="93"/>
      <c r="L167" s="93">
        <f t="shared" ca="1" si="87"/>
        <v>21050</v>
      </c>
      <c r="M167" s="93">
        <f t="shared" ca="1" si="87"/>
        <v>21050</v>
      </c>
      <c r="N167" s="93">
        <f t="shared" ca="1" si="87"/>
        <v>21050</v>
      </c>
      <c r="O167" s="93">
        <f t="shared" ca="1" si="85"/>
        <v>100</v>
      </c>
      <c r="P167" s="93">
        <f t="shared" ca="1" si="86"/>
        <v>100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1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6">
        <f t="shared" ref="L168:N168" ca="1" si="88">L169+L170</f>
        <v>21050</v>
      </c>
      <c r="M168" s="496">
        <f t="shared" ca="1" si="88"/>
        <v>21050</v>
      </c>
      <c r="N168" s="496">
        <f t="shared" ca="1" si="88"/>
        <v>21050</v>
      </c>
      <c r="O168" s="496">
        <f t="shared" ca="1" si="85"/>
        <v>100</v>
      </c>
      <c r="P168" s="496">
        <f t="shared" ca="1" si="86"/>
        <v>100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2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2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IFERROR(__xludf.DUMMYFUNCTION("IMPORTRANGE(""https://docs.google.com/spreadsheets/d/1MeEWN-I1oV_STSDYn1IFDPWt_1FKiwhDph83XaGc0o0/edit?usp=sharing"",""งบพรบ!CE69"")"),21050)</f>
        <v>21050</v>
      </c>
      <c r="M170" s="93">
        <f ca="1">IFERROR(__xludf.DUMMYFUNCTION("IMPORTRANGE(""https://docs.google.com/spreadsheets/d/1MeEWN-I1oV_STSDYn1IFDPWt_1FKiwhDph83XaGc0o0/edit?usp=sharing"",""งบพรบ!CJ69"")"),21050)</f>
        <v>21050</v>
      </c>
      <c r="N170" s="93">
        <f ca="1">IFERROR(__xludf.DUMMYFUNCTION("IMPORTRANGE(""https://docs.google.com/spreadsheets/d/1MeEWN-I1oV_STSDYn1IFDPWt_1FKiwhDph83XaGc0o0/edit?usp=sharing"",""งบพรบ!CL69"")"),21050)</f>
        <v>21050</v>
      </c>
      <c r="O170" s="93">
        <f t="shared" ca="1" si="85"/>
        <v>100</v>
      </c>
      <c r="P170" s="93">
        <f t="shared" ca="1" si="86"/>
        <v>100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1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6">
        <f t="shared" ref="L171:N171" ca="1" si="89">L172+L173</f>
        <v>0</v>
      </c>
      <c r="M171" s="496">
        <f t="shared" ca="1" si="89"/>
        <v>0</v>
      </c>
      <c r="N171" s="496">
        <f t="shared" ca="1" si="89"/>
        <v>0</v>
      </c>
      <c r="O171" s="496">
        <f t="shared" ca="1" si="85"/>
        <v>0</v>
      </c>
      <c r="P171" s="496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2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2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IFERROR(__xludf.DUMMYFUNCTION("IMPORTRANGE(""https://docs.google.com/spreadsheets/d/1MeEWN-I1oV_STSDYn1IFDPWt_1FKiwhDph83XaGc0o0/edit?usp=sharing"",""งบพรบ!CH69"")"),0)</f>
        <v>0</v>
      </c>
      <c r="M173" s="93">
        <f ca="1">IFERROR(__xludf.DUMMYFUNCTION("IMPORTRANGE(""https://docs.google.com/spreadsheets/d/1MeEWN-I1oV_STSDYn1IFDPWt_1FKiwhDph83XaGc0o0/edit?usp=sharing"",""งบพรบ!CK69"")"),0)</f>
        <v>0</v>
      </c>
      <c r="N173" s="93">
        <f ca="1">IFERROR(__xludf.DUMMYFUNCTION("IMPORTRANGE(""https://docs.google.com/spreadsheets/d/1MeEWN-I1oV_STSDYn1IFDPWt_1FKiwhDph83XaGc0o0/edit?usp=sharing"",""งบพรบ!CM69"")"),0)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5"/>
      <c r="B174" s="256"/>
      <c r="C174" s="257" t="s">
        <v>84</v>
      </c>
      <c r="D174" s="256"/>
      <c r="E174" s="256"/>
      <c r="F174" s="256"/>
      <c r="G174" s="258"/>
      <c r="H174" s="259" t="s">
        <v>35</v>
      </c>
      <c r="I174" s="260">
        <f t="shared" ref="I174:J174" ca="1" si="90">I176</f>
        <v>10</v>
      </c>
      <c r="J174" s="260">
        <f t="shared" si="90"/>
        <v>10</v>
      </c>
      <c r="K174" s="261">
        <f ca="1">IF(I174&gt;0,J174*100/I174,0)</f>
        <v>100</v>
      </c>
      <c r="L174" s="261"/>
      <c r="M174" s="261"/>
      <c r="N174" s="261"/>
      <c r="O174" s="261"/>
      <c r="P174" s="261"/>
    </row>
    <row r="175" spans="1:26" ht="19.5">
      <c r="A175" s="170"/>
      <c r="B175" s="171"/>
      <c r="C175" s="164" t="s">
        <v>16</v>
      </c>
      <c r="D175" s="823" t="s">
        <v>38</v>
      </c>
      <c r="E175" s="173"/>
      <c r="F175" s="173"/>
      <c r="G175" s="174"/>
      <c r="H175" s="753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37" t="s">
        <v>85</v>
      </c>
      <c r="E176" s="178"/>
      <c r="F176" s="178"/>
      <c r="G176" s="179"/>
      <c r="H176" s="616" t="s">
        <v>35</v>
      </c>
      <c r="I176" s="269">
        <f ca="1">IFERROR(__xludf.DUMMYFUNCTION("IMPORTRANGE(""https://docs.google.com/spreadsheets/d/1QqKyyYR6Q21VydFLVH3TRQUabQu_ym0Zz7PgGX0-kHA/edit?usp=sharing"",""แผน!Y69"")"),10)</f>
        <v>10</v>
      </c>
      <c r="J176" s="214">
        <v>10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5"/>
      <c r="B177" s="263"/>
      <c r="C177" s="264" t="s">
        <v>86</v>
      </c>
      <c r="D177" s="263"/>
      <c r="E177" s="256"/>
      <c r="F177" s="256"/>
      <c r="G177" s="258"/>
      <c r="H177" s="265" t="s">
        <v>35</v>
      </c>
      <c r="I177" s="260"/>
      <c r="J177" s="260">
        <f>J179</f>
        <v>0</v>
      </c>
      <c r="K177" s="261"/>
      <c r="L177" s="261"/>
      <c r="M177" s="261"/>
      <c r="N177" s="261"/>
      <c r="O177" s="261"/>
      <c r="P177" s="261"/>
    </row>
    <row r="178" spans="1:26" ht="19.5" hidden="1">
      <c r="A178" s="170"/>
      <c r="B178" s="171"/>
      <c r="C178" s="164" t="s">
        <v>16</v>
      </c>
      <c r="D178" s="266" t="s">
        <v>38</v>
      </c>
      <c r="E178" s="173"/>
      <c r="F178" s="173"/>
      <c r="G178" s="174"/>
      <c r="H178" s="753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3" t="s">
        <v>87</v>
      </c>
      <c r="E179" s="178"/>
      <c r="F179" s="366"/>
      <c r="G179" s="179"/>
      <c r="H179" s="43" t="s">
        <v>35</v>
      </c>
      <c r="I179" s="269"/>
      <c r="J179" s="269"/>
      <c r="K179" s="163"/>
      <c r="L179" s="163"/>
      <c r="M179" s="163"/>
      <c r="N179" s="163"/>
      <c r="O179" s="163"/>
      <c r="P179" s="163"/>
    </row>
    <row r="180" spans="1:26" ht="19.5">
      <c r="A180" s="248"/>
      <c r="B180" s="249" t="s">
        <v>88</v>
      </c>
      <c r="C180" s="250"/>
      <c r="D180" s="173"/>
      <c r="E180" s="173"/>
      <c r="F180" s="173"/>
      <c r="G180" s="174"/>
      <c r="H180" s="251" t="s">
        <v>35</v>
      </c>
      <c r="I180" s="252">
        <f t="shared" ref="I180:J180" ca="1" si="91">I225+I226</f>
        <v>60</v>
      </c>
      <c r="J180" s="252">
        <f t="shared" si="91"/>
        <v>60</v>
      </c>
      <c r="K180" s="253">
        <f ca="1">IF(I180&gt;0,J180*100/I180,0)</f>
        <v>100</v>
      </c>
      <c r="L180" s="254"/>
      <c r="M180" s="254"/>
      <c r="N180" s="254"/>
      <c r="O180" s="254"/>
      <c r="P180" s="254"/>
    </row>
    <row r="181" spans="1:26" ht="19.5">
      <c r="A181" s="147"/>
      <c r="B181" s="148"/>
      <c r="C181" s="149" t="s">
        <v>16</v>
      </c>
      <c r="D181" s="822" t="s">
        <v>17</v>
      </c>
      <c r="E181" s="148"/>
      <c r="F181" s="148"/>
      <c r="G181" s="151"/>
      <c r="H181" s="152" t="s">
        <v>12</v>
      </c>
      <c r="I181" s="419"/>
      <c r="J181" s="419"/>
      <c r="K181" s="154"/>
      <c r="L181" s="155">
        <f t="shared" ref="L181:N181" ca="1" si="92">L182+L183</f>
        <v>276800</v>
      </c>
      <c r="M181" s="155">
        <f t="shared" ca="1" si="92"/>
        <v>153800</v>
      </c>
      <c r="N181" s="155">
        <f t="shared" ca="1" si="92"/>
        <v>153140</v>
      </c>
      <c r="O181" s="155">
        <f t="shared" ref="O181:O189" ca="1" si="93">IF(L181&gt;0,N181*100/L181,0)</f>
        <v>55.325144508670519</v>
      </c>
      <c r="P181" s="155">
        <f t="shared" ref="P181:P189" ca="1" si="94">IF(M181&gt;0,N181*100/M181,0)</f>
        <v>99.570871261378414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2" t="s">
        <v>18</v>
      </c>
      <c r="F182" s="40"/>
      <c r="G182" s="157"/>
      <c r="H182" s="158" t="s">
        <v>12</v>
      </c>
      <c r="I182" s="610"/>
      <c r="J182" s="610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2" t="s">
        <v>19</v>
      </c>
      <c r="F183" s="40"/>
      <c r="G183" s="157"/>
      <c r="H183" s="158" t="s">
        <v>12</v>
      </c>
      <c r="I183" s="610"/>
      <c r="J183" s="610"/>
      <c r="K183" s="93"/>
      <c r="L183" s="93">
        <f t="shared" ca="1" si="95"/>
        <v>276800</v>
      </c>
      <c r="M183" s="93">
        <f t="shared" ca="1" si="95"/>
        <v>153800</v>
      </c>
      <c r="N183" s="93">
        <f t="shared" ca="1" si="95"/>
        <v>153140</v>
      </c>
      <c r="O183" s="93">
        <f t="shared" ca="1" si="93"/>
        <v>55.325144508670519</v>
      </c>
      <c r="P183" s="93">
        <f t="shared" ca="1" si="94"/>
        <v>99.570871261378414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1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6">
        <f t="shared" ref="L184:N184" ca="1" si="96">L185+L186</f>
        <v>276800</v>
      </c>
      <c r="M184" s="496">
        <f t="shared" ca="1" si="96"/>
        <v>153800</v>
      </c>
      <c r="N184" s="496">
        <f t="shared" ca="1" si="96"/>
        <v>153140</v>
      </c>
      <c r="O184" s="496">
        <f t="shared" ca="1" si="93"/>
        <v>55.325144508670519</v>
      </c>
      <c r="P184" s="496">
        <f t="shared" ca="1" si="94"/>
        <v>99.570871261378414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2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2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IFERROR(__xludf.DUMMYFUNCTION("IMPORTRANGE(""https://docs.google.com/spreadsheets/d/1MeEWN-I1oV_STSDYn1IFDPWt_1FKiwhDph83XaGc0o0/edit?usp=sharing"",""งบพรบ!CO69"")"),276800)</f>
        <v>276800</v>
      </c>
      <c r="M186" s="93">
        <f ca="1">IFERROR(__xludf.DUMMYFUNCTION("IMPORTRANGE(""https://docs.google.com/spreadsheets/d/1MeEWN-I1oV_STSDYn1IFDPWt_1FKiwhDph83XaGc0o0/edit?usp=sharing"",""งบพรบ!CT69"")"),153800)</f>
        <v>153800</v>
      </c>
      <c r="N186" s="93">
        <f ca="1">IFERROR(__xludf.DUMMYFUNCTION("IMPORTRANGE(""https://docs.google.com/spreadsheets/d/1MeEWN-I1oV_STSDYn1IFDPWt_1FKiwhDph83XaGc0o0/edit?usp=sharing"",""งบพรบ!CV69"")"),153140)</f>
        <v>153140</v>
      </c>
      <c r="O186" s="93">
        <f t="shared" ca="1" si="93"/>
        <v>55.325144508670519</v>
      </c>
      <c r="P186" s="93">
        <f t="shared" ca="1" si="94"/>
        <v>99.570871261378414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1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6">
        <f t="shared" ref="L187:N187" ca="1" si="97">L188+L189</f>
        <v>0</v>
      </c>
      <c r="M187" s="496">
        <f t="shared" ca="1" si="97"/>
        <v>0</v>
      </c>
      <c r="N187" s="496">
        <f t="shared" ca="1" si="97"/>
        <v>0</v>
      </c>
      <c r="O187" s="496">
        <f t="shared" ca="1" si="93"/>
        <v>0</v>
      </c>
      <c r="P187" s="496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2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2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IFERROR(__xludf.DUMMYFUNCTION("IMPORTRANGE(""https://docs.google.com/spreadsheets/d/1MeEWN-I1oV_STSDYn1IFDPWt_1FKiwhDph83XaGc0o0/edit?usp=sharing"",""งบพรบ!CR69"")"),0)</f>
        <v>0</v>
      </c>
      <c r="M189" s="93">
        <f ca="1">IFERROR(__xludf.DUMMYFUNCTION("IMPORTRANGE(""https://docs.google.com/spreadsheets/d/1MeEWN-I1oV_STSDYn1IFDPWt_1FKiwhDph83XaGc0o0/edit?usp=sharing"",""งบพรบ!CU69"")"),0)</f>
        <v>0</v>
      </c>
      <c r="N189" s="93">
        <f ca="1">IFERROR(__xludf.DUMMYFUNCTION("IMPORTRANGE(""https://docs.google.com/spreadsheets/d/1MeEWN-I1oV_STSDYn1IFDPWt_1FKiwhDph83XaGc0o0/edit?usp=sharing"",""งบพรบ!CW69"")"),0)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5"/>
      <c r="B190" s="263"/>
      <c r="C190" s="270" t="s">
        <v>89</v>
      </c>
      <c r="D190" s="256"/>
      <c r="E190" s="256"/>
      <c r="F190" s="256"/>
      <c r="G190" s="258"/>
      <c r="H190" s="259" t="s">
        <v>90</v>
      </c>
      <c r="I190" s="271">
        <f t="shared" ref="I190:J190" ca="1" si="98">I193</f>
        <v>4</v>
      </c>
      <c r="J190" s="271">
        <f t="shared" si="98"/>
        <v>0</v>
      </c>
      <c r="K190" s="272">
        <f ca="1">IF(I190&gt;0,J190*100/I190,0)</f>
        <v>0</v>
      </c>
      <c r="L190" s="261"/>
      <c r="M190" s="261"/>
      <c r="N190" s="261"/>
      <c r="O190" s="261"/>
      <c r="P190" s="261"/>
    </row>
    <row r="191" spans="1:26" ht="19.5">
      <c r="A191" s="147"/>
      <c r="B191" s="148"/>
      <c r="C191" s="149" t="s">
        <v>16</v>
      </c>
      <c r="D191" s="826" t="s">
        <v>17</v>
      </c>
      <c r="E191" s="148"/>
      <c r="F191" s="148"/>
      <c r="G191" s="151"/>
      <c r="H191" s="274" t="s">
        <v>12</v>
      </c>
      <c r="I191" s="419"/>
      <c r="J191" s="419"/>
      <c r="K191" s="154"/>
      <c r="L191" s="155">
        <f ca="1">IFERROR(__xludf.DUMMYFUNCTION("IMPORTRANGE(""https://docs.google.com/spreadsheets/d/1QqKyyYR6Q21VydFLVH3TRQUabQu_ym0Zz7PgGX0-kHA/edit?usp=sharing"",""แผน!Z69"")"),6000)</f>
        <v>6000</v>
      </c>
      <c r="M191" s="155"/>
      <c r="N191" s="275">
        <v>0</v>
      </c>
      <c r="O191" s="155">
        <f ca="1">IF(L191&gt;0,N191*100/L191,0)</f>
        <v>0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0" t="s">
        <v>16</v>
      </c>
      <c r="D192" s="823" t="s">
        <v>38</v>
      </c>
      <c r="E192" s="173"/>
      <c r="F192" s="173"/>
      <c r="G192" s="174"/>
      <c r="H192" s="753"/>
      <c r="I192" s="269"/>
      <c r="J192" s="269"/>
      <c r="K192" s="496"/>
      <c r="L192" s="496"/>
      <c r="M192" s="496"/>
      <c r="N192" s="496"/>
      <c r="O192" s="496"/>
      <c r="P192" s="496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6" t="s">
        <v>91</v>
      </c>
      <c r="E193" s="178"/>
      <c r="F193" s="178"/>
      <c r="G193" s="179"/>
      <c r="H193" s="755" t="s">
        <v>90</v>
      </c>
      <c r="I193" s="269">
        <f ca="1">IFERROR(__xludf.DUMMYFUNCTION("IMPORTRANGE(""https://docs.google.com/spreadsheets/d/1QqKyyYR6Q21VydFLVH3TRQUabQu_ym0Zz7PgGX0-kHA/edit?usp=sharing"",""แผน!AC69"")"),4)</f>
        <v>4</v>
      </c>
      <c r="J193" s="214">
        <v>0</v>
      </c>
      <c r="K193" s="496">
        <f ca="1">IF(I193&gt;0,J193*100/I193,0)</f>
        <v>0</v>
      </c>
      <c r="L193" s="496"/>
      <c r="M193" s="496"/>
      <c r="N193" s="496"/>
      <c r="O193" s="496"/>
      <c r="P193" s="496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6" t="s">
        <v>92</v>
      </c>
      <c r="E194" s="178"/>
      <c r="F194" s="178"/>
      <c r="G194" s="179"/>
      <c r="H194" s="276" t="s">
        <v>35</v>
      </c>
      <c r="I194" s="269"/>
      <c r="J194" s="269">
        <f>J195+J196</f>
        <v>0</v>
      </c>
      <c r="K194" s="496"/>
      <c r="L194" s="496"/>
      <c r="M194" s="496"/>
      <c r="N194" s="496"/>
      <c r="O194" s="496"/>
      <c r="P194" s="496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6" t="s">
        <v>93</v>
      </c>
      <c r="F195" s="178"/>
      <c r="G195" s="179"/>
      <c r="H195" s="276" t="s">
        <v>35</v>
      </c>
      <c r="I195" s="269"/>
      <c r="J195" s="214">
        <v>0</v>
      </c>
      <c r="K195" s="496"/>
      <c r="L195" s="496"/>
      <c r="M195" s="496"/>
      <c r="N195" s="496"/>
      <c r="O195" s="496"/>
      <c r="P195" s="496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6" t="s">
        <v>94</v>
      </c>
      <c r="F196" s="178"/>
      <c r="G196" s="179"/>
      <c r="H196" s="276" t="s">
        <v>35</v>
      </c>
      <c r="I196" s="269"/>
      <c r="J196" s="214">
        <v>0</v>
      </c>
      <c r="K196" s="496"/>
      <c r="L196" s="496"/>
      <c r="M196" s="496"/>
      <c r="N196" s="496"/>
      <c r="O196" s="496"/>
      <c r="P196" s="496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5"/>
      <c r="B197" s="263"/>
      <c r="C197" s="270" t="s">
        <v>95</v>
      </c>
      <c r="D197" s="256"/>
      <c r="E197" s="256"/>
      <c r="F197" s="256"/>
      <c r="G197" s="258"/>
      <c r="H197" s="277" t="s">
        <v>96</v>
      </c>
      <c r="I197" s="271">
        <f t="shared" ref="I197:J197" ca="1" si="99">I204</f>
        <v>3</v>
      </c>
      <c r="J197" s="271">
        <f t="shared" si="99"/>
        <v>3</v>
      </c>
      <c r="K197" s="272">
        <f ca="1">IF(I197&gt;0,J197*100/I197,0)</f>
        <v>100</v>
      </c>
      <c r="L197" s="261"/>
      <c r="M197" s="261"/>
      <c r="N197" s="261"/>
      <c r="O197" s="261"/>
      <c r="P197" s="261"/>
    </row>
    <row r="198" spans="1:26" ht="19.5">
      <c r="A198" s="147"/>
      <c r="B198" s="148"/>
      <c r="C198" s="149" t="s">
        <v>16</v>
      </c>
      <c r="D198" s="826" t="s">
        <v>17</v>
      </c>
      <c r="E198" s="148"/>
      <c r="F198" s="148"/>
      <c r="G198" s="151"/>
      <c r="H198" s="274" t="s">
        <v>12</v>
      </c>
      <c r="I198" s="418"/>
      <c r="J198" s="418"/>
      <c r="K198" s="279"/>
      <c r="L198" s="155">
        <f ca="1">L199+L200+L201+L202</f>
        <v>39000</v>
      </c>
      <c r="M198" s="155"/>
      <c r="N198" s="155">
        <f>N199+N200+N201+N202</f>
        <v>0</v>
      </c>
      <c r="O198" s="155">
        <f ca="1">IF(L198&gt;0,N198*100/L198,0)</f>
        <v>0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0"/>
      <c r="C199" s="33"/>
      <c r="D199" s="281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6">
        <f ca="1">IFERROR(__xludf.DUMMYFUNCTION("IMPORTRANGE(""https://docs.google.com/spreadsheets/d/1QqKyyYR6Q21VydFLVH3TRQUabQu_ym0Zz7PgGX0-kHA/edit?usp=sharing"",""แผน!AE69"")"),3000)</f>
        <v>3000</v>
      </c>
      <c r="M199" s="496"/>
      <c r="N199" s="817">
        <v>0</v>
      </c>
      <c r="O199" s="496"/>
      <c r="P199" s="496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4"/>
      <c r="B200" s="280"/>
      <c r="C200" s="210"/>
      <c r="D200" s="281" t="s">
        <v>98</v>
      </c>
      <c r="E200" s="33"/>
      <c r="F200" s="33"/>
      <c r="G200" s="35"/>
      <c r="H200" s="616" t="s">
        <v>12</v>
      </c>
      <c r="I200" s="269"/>
      <c r="J200" s="269"/>
      <c r="K200" s="496"/>
      <c r="L200" s="496">
        <f ca="1">IFERROR(__xludf.DUMMYFUNCTION("IMPORTRANGE(""https://docs.google.com/spreadsheets/d/1QqKyyYR6Q21VydFLVH3TRQUabQu_ym0Zz7PgGX0-kHA/edit?usp=sharing"",""แผน!AF69"")"),24000)</f>
        <v>24000</v>
      </c>
      <c r="M200" s="496"/>
      <c r="N200" s="817">
        <v>0</v>
      </c>
      <c r="O200" s="496"/>
      <c r="P200" s="496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>
      <c r="A201" s="284"/>
      <c r="B201" s="280"/>
      <c r="C201" s="210"/>
      <c r="D201" s="281" t="s">
        <v>99</v>
      </c>
      <c r="E201" s="33"/>
      <c r="F201" s="33"/>
      <c r="G201" s="35"/>
      <c r="H201" s="616" t="s">
        <v>12</v>
      </c>
      <c r="I201" s="269"/>
      <c r="J201" s="269"/>
      <c r="K201" s="496"/>
      <c r="L201" s="496">
        <f ca="1">IFERROR(__xludf.DUMMYFUNCTION("IMPORTRANGE(""https://docs.google.com/spreadsheets/d/1QqKyyYR6Q21VydFLVH3TRQUabQu_ym0Zz7PgGX0-kHA/edit?usp=sharing"",""แผน!AG69"")"),12000)</f>
        <v>12000</v>
      </c>
      <c r="M201" s="496"/>
      <c r="N201" s="817">
        <v>0</v>
      </c>
      <c r="O201" s="496"/>
      <c r="P201" s="496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>
      <c r="A202" s="284"/>
      <c r="B202" s="280"/>
      <c r="C202" s="210"/>
      <c r="D202" s="281" t="s">
        <v>100</v>
      </c>
      <c r="E202" s="33"/>
      <c r="F202" s="33"/>
      <c r="G202" s="35"/>
      <c r="H202" s="616" t="s">
        <v>12</v>
      </c>
      <c r="I202" s="269"/>
      <c r="J202" s="269"/>
      <c r="K202" s="496"/>
      <c r="L202" s="496">
        <f ca="1">IFERROR(__xludf.DUMMYFUNCTION("IMPORTRANGE(""https://docs.google.com/spreadsheets/d/1QqKyyYR6Q21VydFLVH3TRQUabQu_ym0Zz7PgGX0-kHA/edit?usp=sharing"",""แผน!AH69"")"),0)</f>
        <v>0</v>
      </c>
      <c r="M202" s="496"/>
      <c r="N202" s="817">
        <v>0</v>
      </c>
      <c r="O202" s="496"/>
      <c r="P202" s="496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>
      <c r="A203" s="170"/>
      <c r="B203" s="171"/>
      <c r="C203" s="210" t="s">
        <v>16</v>
      </c>
      <c r="D203" s="823" t="s">
        <v>38</v>
      </c>
      <c r="E203" s="173"/>
      <c r="F203" s="173"/>
      <c r="G203" s="174"/>
      <c r="H203" s="753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53" t="s">
        <v>96</v>
      </c>
      <c r="I204" s="269">
        <f ca="1">IFERROR(__xludf.DUMMYFUNCTION("IMPORTRANGE(""https://docs.google.com/spreadsheets/d/1QqKyyYR6Q21VydFLVH3TRQUabQu_ym0Zz7PgGX0-kHA/edit?usp=sharing"",""แผน!AI69"")"),3)</f>
        <v>3</v>
      </c>
      <c r="J204" s="214">
        <v>3</v>
      </c>
      <c r="K204" s="163">
        <f ca="1">IF(I204&gt;0,J204*100/I204,0)</f>
        <v>100</v>
      </c>
      <c r="L204" s="496"/>
      <c r="M204" s="496"/>
      <c r="N204" s="496"/>
      <c r="O204" s="496"/>
      <c r="P204" s="496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6" t="s">
        <v>59</v>
      </c>
      <c r="E205" s="178"/>
      <c r="F205" s="178"/>
      <c r="G205" s="179"/>
      <c r="H205" s="753"/>
      <c r="I205" s="269"/>
      <c r="J205" s="269"/>
      <c r="K205" s="163"/>
      <c r="L205" s="496"/>
      <c r="M205" s="496"/>
      <c r="N205" s="496"/>
      <c r="O205" s="496"/>
      <c r="P205" s="496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25" t="s">
        <v>102</v>
      </c>
      <c r="F206" s="287"/>
      <c r="G206" s="288"/>
      <c r="H206" s="289" t="s">
        <v>96</v>
      </c>
      <c r="I206" s="269">
        <v>3</v>
      </c>
      <c r="J206" s="214">
        <v>0</v>
      </c>
      <c r="K206" s="163">
        <f t="shared" ref="K206:K208" si="100">IF(I206&gt;0,J206*100/I206,0)</f>
        <v>0</v>
      </c>
      <c r="L206" s="496"/>
      <c r="M206" s="496"/>
      <c r="N206" s="496"/>
      <c r="O206" s="496"/>
      <c r="P206" s="496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6"/>
      <c r="E207" s="446" t="s">
        <v>103</v>
      </c>
      <c r="F207" s="178"/>
      <c r="G207" s="178"/>
      <c r="H207" s="290" t="s">
        <v>104</v>
      </c>
      <c r="I207" s="269">
        <v>0</v>
      </c>
      <c r="J207" s="214">
        <v>0</v>
      </c>
      <c r="K207" s="163">
        <f t="shared" si="100"/>
        <v>0</v>
      </c>
      <c r="L207" s="496"/>
      <c r="M207" s="496"/>
      <c r="N207" s="496"/>
      <c r="O207" s="496"/>
      <c r="P207" s="496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>
      <c r="A208" s="255"/>
      <c r="B208" s="263"/>
      <c r="C208" s="270" t="s">
        <v>105</v>
      </c>
      <c r="D208" s="256"/>
      <c r="E208" s="256"/>
      <c r="F208" s="291"/>
      <c r="G208" s="258"/>
      <c r="H208" s="277" t="s">
        <v>96</v>
      </c>
      <c r="I208" s="271">
        <f t="shared" ref="I208:J208" ca="1" si="101">I215</f>
        <v>6</v>
      </c>
      <c r="J208" s="271">
        <f t="shared" si="101"/>
        <v>6</v>
      </c>
      <c r="K208" s="272">
        <f t="shared" ca="1" si="100"/>
        <v>100</v>
      </c>
      <c r="L208" s="261"/>
      <c r="M208" s="261"/>
      <c r="N208" s="261"/>
      <c r="O208" s="261"/>
      <c r="P208" s="261"/>
    </row>
    <row r="209" spans="1:26" ht="19.5">
      <c r="A209" s="147"/>
      <c r="B209" s="148"/>
      <c r="C209" s="149" t="s">
        <v>16</v>
      </c>
      <c r="D209" s="826" t="s">
        <v>17</v>
      </c>
      <c r="E209" s="148"/>
      <c r="F209" s="148"/>
      <c r="G209" s="151"/>
      <c r="H209" s="274" t="s">
        <v>12</v>
      </c>
      <c r="I209" s="418"/>
      <c r="J209" s="418"/>
      <c r="K209" s="279"/>
      <c r="L209" s="155">
        <f ca="1">L210+L211+L212</f>
        <v>84000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>
      <c r="A210" s="159"/>
      <c r="B210" s="280"/>
      <c r="C210" s="33"/>
      <c r="D210" s="281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6">
        <f ca="1">IFERROR(__xludf.DUMMYFUNCTION("IMPORTRANGE(""https://docs.google.com/spreadsheets/d/1QqKyyYR6Q21VydFLVH3TRQUabQu_ym0Zz7PgGX0-kHA/edit?usp=sharing"",""แผน!AK69"")"),6000)</f>
        <v>6000</v>
      </c>
      <c r="M210" s="496"/>
      <c r="N210" s="817">
        <v>0</v>
      </c>
      <c r="O210" s="496"/>
      <c r="P210" s="496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>
      <c r="A211" s="284"/>
      <c r="B211" s="280"/>
      <c r="C211" s="292"/>
      <c r="D211" s="281" t="s">
        <v>99</v>
      </c>
      <c r="E211" s="33"/>
      <c r="F211" s="33"/>
      <c r="G211" s="35"/>
      <c r="H211" s="161" t="s">
        <v>12</v>
      </c>
      <c r="I211" s="269"/>
      <c r="J211" s="269"/>
      <c r="K211" s="496"/>
      <c r="L211" s="496">
        <f ca="1">IFERROR(__xludf.DUMMYFUNCTION("IMPORTRANGE(""https://docs.google.com/spreadsheets/d/1QqKyyYR6Q21VydFLVH3TRQUabQu_ym0Zz7PgGX0-kHA/edit?usp=sharing"",""แผน!AL69"")"),30000)</f>
        <v>30000</v>
      </c>
      <c r="M211" s="496"/>
      <c r="N211" s="817">
        <v>0</v>
      </c>
      <c r="O211" s="496"/>
      <c r="P211" s="496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>
      <c r="A212" s="284"/>
      <c r="B212" s="280"/>
      <c r="C212" s="292"/>
      <c r="D212" s="281" t="s">
        <v>98</v>
      </c>
      <c r="E212" s="33"/>
      <c r="F212" s="33"/>
      <c r="G212" s="35"/>
      <c r="H212" s="161" t="s">
        <v>12</v>
      </c>
      <c r="I212" s="269"/>
      <c r="J212" s="269"/>
      <c r="K212" s="496"/>
      <c r="L212" s="496">
        <f ca="1">IFERROR(__xludf.DUMMYFUNCTION("IMPORTRANGE(""https://docs.google.com/spreadsheets/d/1QqKyyYR6Q21VydFLVH3TRQUabQu_ym0Zz7PgGX0-kHA/edit?usp=sharing"",""แผน!AM69"")"),48000)</f>
        <v>48000</v>
      </c>
      <c r="M212" s="496"/>
      <c r="N212" s="817">
        <v>0</v>
      </c>
      <c r="O212" s="496"/>
      <c r="P212" s="496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>
      <c r="A213" s="170"/>
      <c r="B213" s="171"/>
      <c r="C213" s="292" t="s">
        <v>16</v>
      </c>
      <c r="D213" s="823" t="s">
        <v>38</v>
      </c>
      <c r="E213" s="173"/>
      <c r="F213" s="173"/>
      <c r="G213" s="174"/>
      <c r="H213" s="753"/>
      <c r="I213" s="184"/>
      <c r="J213" s="269"/>
      <c r="K213" s="496"/>
      <c r="L213" s="496"/>
      <c r="M213" s="496"/>
      <c r="N213" s="496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>
      <c r="A214" s="170"/>
      <c r="B214" s="171"/>
      <c r="C214" s="171"/>
      <c r="D214" s="176" t="s">
        <v>106</v>
      </c>
      <c r="E214" s="178"/>
      <c r="F214" s="178"/>
      <c r="G214" s="179"/>
      <c r="H214" s="753" t="s">
        <v>96</v>
      </c>
      <c r="I214" s="269">
        <f ca="1">IFERROR(__xludf.DUMMYFUNCTION("IMPORTRANGE(""https://docs.google.com/spreadsheets/d/1QqKyyYR6Q21VydFLVH3TRQUabQu_ym0Zz7PgGX0-kHA/edit?usp=sharing"",""แผน!AN69"")"),6)</f>
        <v>6</v>
      </c>
      <c r="J214" s="214">
        <v>0</v>
      </c>
      <c r="K214" s="496">
        <f t="shared" ref="K214:K216" ca="1" si="102">IF(I214&gt;0,J214*100/I214,0)</f>
        <v>0</v>
      </c>
      <c r="L214" s="496"/>
      <c r="M214" s="496"/>
      <c r="N214" s="496"/>
      <c r="O214" s="496"/>
      <c r="P214" s="496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>
      <c r="A215" s="170"/>
      <c r="B215" s="171"/>
      <c r="C215" s="171"/>
      <c r="D215" s="176" t="s">
        <v>107</v>
      </c>
      <c r="E215" s="178"/>
      <c r="F215" s="178"/>
      <c r="G215" s="179"/>
      <c r="H215" s="753" t="s">
        <v>96</v>
      </c>
      <c r="I215" s="269">
        <f ca="1">IFERROR(__xludf.DUMMYFUNCTION("IMPORTRANGE(""https://docs.google.com/spreadsheets/d/1QqKyyYR6Q21VydFLVH3TRQUabQu_ym0Zz7PgGX0-kHA/edit?usp=sharing"",""แผน!AN69"")"),6)</f>
        <v>6</v>
      </c>
      <c r="J215" s="214">
        <v>6</v>
      </c>
      <c r="K215" s="496">
        <f t="shared" ca="1" si="102"/>
        <v>100</v>
      </c>
      <c r="L215" s="496"/>
      <c r="M215" s="496"/>
      <c r="N215" s="496"/>
      <c r="O215" s="496"/>
      <c r="P215" s="496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5"/>
      <c r="B216" s="263"/>
      <c r="C216" s="270" t="s">
        <v>108</v>
      </c>
      <c r="D216" s="256"/>
      <c r="E216" s="256"/>
      <c r="F216" s="291"/>
      <c r="G216" s="258"/>
      <c r="H216" s="259" t="s">
        <v>109</v>
      </c>
      <c r="I216" s="271">
        <f t="shared" ref="I216:J216" ca="1" si="103">I224</f>
        <v>40000</v>
      </c>
      <c r="J216" s="271">
        <f t="shared" si="103"/>
        <v>0</v>
      </c>
      <c r="K216" s="272">
        <f t="shared" ca="1" si="102"/>
        <v>0</v>
      </c>
      <c r="L216" s="261"/>
      <c r="M216" s="261"/>
      <c r="N216" s="261"/>
      <c r="O216" s="261"/>
      <c r="P216" s="261"/>
    </row>
    <row r="217" spans="1:26" ht="19.5">
      <c r="A217" s="147"/>
      <c r="B217" s="148"/>
      <c r="C217" s="149" t="s">
        <v>16</v>
      </c>
      <c r="D217" s="826" t="s">
        <v>17</v>
      </c>
      <c r="E217" s="148"/>
      <c r="F217" s="148"/>
      <c r="G217" s="151"/>
      <c r="H217" s="274" t="s">
        <v>12</v>
      </c>
      <c r="I217" s="418"/>
      <c r="J217" s="418"/>
      <c r="K217" s="279"/>
      <c r="L217" s="155">
        <f ca="1">L218+L219+L220</f>
        <v>15000</v>
      </c>
      <c r="M217" s="155"/>
      <c r="N217" s="155">
        <f>N218+N219+N220</f>
        <v>0</v>
      </c>
      <c r="O217" s="155">
        <f ca="1">IF(L217&gt;0,N217*100/L217,0)</f>
        <v>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0"/>
      <c r="C218" s="33"/>
      <c r="D218" s="281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6">
        <f ca="1">IFERROR(__xludf.DUMMYFUNCTION("IMPORTRANGE(""https://docs.google.com/spreadsheets/d/1QqKyyYR6Q21VydFLVH3TRQUabQu_ym0Zz7PgGX0-kHA/edit?usp=sharing"",""แผน!AP69"")"),5000)</f>
        <v>5000</v>
      </c>
      <c r="M218" s="496"/>
      <c r="N218" s="817">
        <v>0</v>
      </c>
      <c r="O218" s="496"/>
      <c r="P218" s="496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4"/>
      <c r="B219" s="280"/>
      <c r="C219" s="292"/>
      <c r="D219" s="281" t="s">
        <v>110</v>
      </c>
      <c r="E219" s="33"/>
      <c r="F219" s="33"/>
      <c r="G219" s="35"/>
      <c r="H219" s="161" t="s">
        <v>12</v>
      </c>
      <c r="I219" s="269"/>
      <c r="J219" s="269"/>
      <c r="K219" s="496"/>
      <c r="L219" s="496">
        <f ca="1">IFERROR(__xludf.DUMMYFUNCTION("IMPORTRANGE(""https://docs.google.com/spreadsheets/d/1QqKyyYR6Q21VydFLVH3TRQUabQu_ym0Zz7PgGX0-kHA/edit?usp=sharing"",""แผน!AQ69"")"),10000)</f>
        <v>10000</v>
      </c>
      <c r="M219" s="496"/>
      <c r="N219" s="817">
        <v>0</v>
      </c>
      <c r="O219" s="496"/>
      <c r="P219" s="496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0"/>
      <c r="C220" s="292"/>
      <c r="D220" s="281" t="s">
        <v>98</v>
      </c>
      <c r="E220" s="33"/>
      <c r="F220" s="33"/>
      <c r="G220" s="35"/>
      <c r="H220" s="161" t="s">
        <v>12</v>
      </c>
      <c r="I220" s="269"/>
      <c r="J220" s="269"/>
      <c r="K220" s="496"/>
      <c r="L220" s="496">
        <f ca="1">IFERROR(__xludf.DUMMYFUNCTION("IMPORTRANGE(""https://docs.google.com/spreadsheets/d/1QqKyyYR6Q21VydFLVH3TRQUabQu_ym0Zz7PgGX0-kHA/edit?usp=sharing"",""แผน!AR69"")"),0)</f>
        <v>0</v>
      </c>
      <c r="M220" s="496"/>
      <c r="N220" s="817">
        <v>0</v>
      </c>
      <c r="O220" s="496"/>
      <c r="P220" s="496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70"/>
      <c r="B221" s="171"/>
      <c r="C221" s="292" t="s">
        <v>16</v>
      </c>
      <c r="D221" s="823" t="s">
        <v>38</v>
      </c>
      <c r="E221" s="173"/>
      <c r="F221" s="173"/>
      <c r="G221" s="174"/>
      <c r="H221" s="753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1" t="s">
        <v>111</v>
      </c>
      <c r="E222" s="178"/>
      <c r="F222" s="178"/>
      <c r="G222" s="179"/>
      <c r="H222" s="753"/>
      <c r="I222" s="269"/>
      <c r="J222" s="269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55" t="s">
        <v>109</v>
      </c>
      <c r="I223" s="269">
        <f ca="1">IFERROR(__xludf.DUMMYFUNCTION("IMPORTRANGE(""https://docs.google.com/spreadsheets/d/1QqKyyYR6Q21VydFLVH3TRQUabQu_ym0Zz7PgGX0-kHA/edit?usp=sharing"",""แผน!AT69"")"),40000)</f>
        <v>40000</v>
      </c>
      <c r="J223" s="214">
        <v>0</v>
      </c>
      <c r="K223" s="163">
        <f t="shared" ref="K223:K226" ca="1" si="104">IF(I223&gt;0,J223*100/I223,0)</f>
        <v>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55" t="s">
        <v>109</v>
      </c>
      <c r="I224" s="269">
        <f ca="1">IFERROR(__xludf.DUMMYFUNCTION("IMPORTRANGE(""https://docs.google.com/spreadsheets/d/1QqKyyYR6Q21VydFLVH3TRQUabQu_ym0Zz7PgGX0-kHA/edit?usp=sharing"",""แผน!AT69"")"),40000)</f>
        <v>40000</v>
      </c>
      <c r="J224" s="214">
        <v>0</v>
      </c>
      <c r="K224" s="163">
        <f t="shared" ca="1" si="104"/>
        <v>0</v>
      </c>
      <c r="L224" s="496"/>
      <c r="M224" s="496"/>
      <c r="N224" s="496"/>
      <c r="O224" s="496"/>
      <c r="P224" s="496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1" t="s">
        <v>114</v>
      </c>
      <c r="E225" s="178"/>
      <c r="F225" s="178"/>
      <c r="G225" s="179"/>
      <c r="H225" s="755" t="s">
        <v>35</v>
      </c>
      <c r="I225" s="269">
        <f ca="1">IFERROR(__xludf.DUMMYFUNCTION("IMPORTRANGE(""https://docs.google.com/spreadsheets/d/1QqKyyYR6Q21VydFLVH3TRQUabQu_ym0Zz7PgGX0-kHA/edit?usp=sharing"",""แผน!AS69"")"),0)</f>
        <v>0</v>
      </c>
      <c r="J225" s="214">
        <v>0</v>
      </c>
      <c r="K225" s="163">
        <f t="shared" ca="1" si="104"/>
        <v>0</v>
      </c>
      <c r="L225" s="496"/>
      <c r="M225" s="496"/>
      <c r="N225" s="496"/>
      <c r="O225" s="496"/>
      <c r="P225" s="496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5"/>
      <c r="B226" s="263"/>
      <c r="C226" s="341" t="s">
        <v>115</v>
      </c>
      <c r="D226" s="256"/>
      <c r="E226" s="256"/>
      <c r="F226" s="256"/>
      <c r="G226" s="258"/>
      <c r="H226" s="265" t="s">
        <v>35</v>
      </c>
      <c r="I226" s="344">
        <f t="shared" ref="I226:J226" ca="1" si="105">I237+I248</f>
        <v>60</v>
      </c>
      <c r="J226" s="344">
        <f t="shared" si="105"/>
        <v>60</v>
      </c>
      <c r="K226" s="345">
        <f t="shared" ca="1" si="104"/>
        <v>100</v>
      </c>
      <c r="L226" s="261"/>
      <c r="M226" s="261"/>
      <c r="N226" s="261"/>
      <c r="O226" s="261"/>
      <c r="P226" s="261"/>
    </row>
    <row r="227" spans="1:26" ht="19.5" hidden="1">
      <c r="A227" s="347"/>
      <c r="B227" s="348"/>
      <c r="C227" s="349" t="s">
        <v>16</v>
      </c>
      <c r="D227" s="827" t="s">
        <v>17</v>
      </c>
      <c r="E227" s="348"/>
      <c r="F227" s="348"/>
      <c r="G227" s="351"/>
      <c r="H227" s="352" t="s">
        <v>12</v>
      </c>
      <c r="I227" s="353"/>
      <c r="J227" s="353"/>
      <c r="K227" s="354"/>
      <c r="L227" s="355">
        <f t="shared" ref="L227:L231" ca="1" si="106">L238+L249</f>
        <v>132800</v>
      </c>
      <c r="M227" s="355"/>
      <c r="N227" s="355">
        <f t="shared" ref="N227:N231" si="107">N238+N249</f>
        <v>0</v>
      </c>
      <c r="O227" s="828"/>
      <c r="P227" s="828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6"/>
      <c r="C228" s="40"/>
      <c r="D228" s="222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40000</v>
      </c>
      <c r="M228" s="93"/>
      <c r="N228" s="93">
        <f t="shared" si="107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8"/>
      <c r="B229" s="356"/>
      <c r="C229" s="359"/>
      <c r="D229" s="222" t="s">
        <v>98</v>
      </c>
      <c r="E229" s="40"/>
      <c r="F229" s="40"/>
      <c r="G229" s="42"/>
      <c r="H229" s="165" t="s">
        <v>12</v>
      </c>
      <c r="I229" s="610"/>
      <c r="J229" s="610"/>
      <c r="K229" s="93"/>
      <c r="L229" s="93">
        <f t="shared" ca="1" si="106"/>
        <v>52800</v>
      </c>
      <c r="M229" s="93"/>
      <c r="N229" s="93">
        <f t="shared" si="107"/>
        <v>0</v>
      </c>
      <c r="O229" s="93"/>
      <c r="P229" s="93"/>
      <c r="Q229" s="360"/>
      <c r="R229" s="360"/>
      <c r="S229" s="360"/>
      <c r="T229" s="360"/>
      <c r="U229" s="360"/>
      <c r="V229" s="360"/>
      <c r="W229" s="360"/>
      <c r="X229" s="360"/>
      <c r="Y229" s="360"/>
      <c r="Z229" s="360"/>
    </row>
    <row r="230" spans="1:26" ht="19.5" hidden="1">
      <c r="A230" s="358"/>
      <c r="B230" s="356"/>
      <c r="C230" s="359"/>
      <c r="D230" s="222" t="s">
        <v>116</v>
      </c>
      <c r="E230" s="40"/>
      <c r="F230" s="40"/>
      <c r="G230" s="42"/>
      <c r="H230" s="165" t="s">
        <v>12</v>
      </c>
      <c r="I230" s="610"/>
      <c r="J230" s="610"/>
      <c r="K230" s="93"/>
      <c r="L230" s="93">
        <f t="shared" ca="1" si="106"/>
        <v>20000</v>
      </c>
      <c r="M230" s="93"/>
      <c r="N230" s="93">
        <f t="shared" si="107"/>
        <v>0</v>
      </c>
      <c r="O230" s="93"/>
      <c r="P230" s="93"/>
      <c r="Q230" s="360"/>
      <c r="R230" s="360"/>
      <c r="S230" s="360"/>
      <c r="T230" s="360"/>
      <c r="U230" s="360"/>
      <c r="V230" s="360"/>
      <c r="W230" s="360"/>
      <c r="X230" s="360"/>
      <c r="Y230" s="360"/>
      <c r="Z230" s="360"/>
    </row>
    <row r="231" spans="1:26" ht="19.5" hidden="1">
      <c r="A231" s="358"/>
      <c r="B231" s="356"/>
      <c r="C231" s="359"/>
      <c r="D231" s="222" t="s">
        <v>100</v>
      </c>
      <c r="E231" s="40"/>
      <c r="F231" s="40"/>
      <c r="G231" s="42"/>
      <c r="H231" s="165" t="s">
        <v>12</v>
      </c>
      <c r="I231" s="610"/>
      <c r="J231" s="610"/>
      <c r="K231" s="93"/>
      <c r="L231" s="93">
        <f t="shared" ca="1" si="106"/>
        <v>20000</v>
      </c>
      <c r="M231" s="93"/>
      <c r="N231" s="93">
        <f t="shared" si="107"/>
        <v>0</v>
      </c>
      <c r="O231" s="93"/>
      <c r="P231" s="93"/>
      <c r="Q231" s="360"/>
      <c r="R231" s="360"/>
      <c r="S231" s="360"/>
      <c r="T231" s="360"/>
      <c r="U231" s="360"/>
      <c r="V231" s="360"/>
      <c r="W231" s="360"/>
      <c r="X231" s="360"/>
      <c r="Y231" s="360"/>
      <c r="Z231" s="360"/>
    </row>
    <row r="232" spans="1:26" ht="19.5" hidden="1">
      <c r="A232" s="361"/>
      <c r="B232" s="362"/>
      <c r="C232" s="359" t="s">
        <v>16</v>
      </c>
      <c r="D232" s="266" t="s">
        <v>38</v>
      </c>
      <c r="E232" s="363"/>
      <c r="F232" s="363"/>
      <c r="G232" s="364"/>
      <c r="H232" s="365"/>
      <c r="I232" s="166"/>
      <c r="J232" s="610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1"/>
      <c r="B233" s="362"/>
      <c r="C233" s="362"/>
      <c r="D233" s="366" t="s">
        <v>117</v>
      </c>
      <c r="E233" s="372"/>
      <c r="F233" s="372"/>
      <c r="G233" s="368"/>
      <c r="H233" s="369" t="s">
        <v>35</v>
      </c>
      <c r="I233" s="610">
        <f t="shared" ref="I233:J233" ca="1" si="108">I244+I255</f>
        <v>60</v>
      </c>
      <c r="J233" s="610">
        <f t="shared" si="108"/>
        <v>60</v>
      </c>
      <c r="K233" s="93">
        <f ca="1">IF(I233&gt;0,J233*100/I233,0)</f>
        <v>100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1"/>
      <c r="B234" s="362"/>
      <c r="C234" s="362"/>
      <c r="D234" s="371" t="s">
        <v>43</v>
      </c>
      <c r="E234" s="372"/>
      <c r="F234" s="372"/>
      <c r="G234" s="368"/>
      <c r="H234" s="369"/>
      <c r="I234" s="610"/>
      <c r="J234" s="610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1"/>
      <c r="B235" s="362"/>
      <c r="C235" s="362"/>
      <c r="D235" s="362"/>
      <c r="E235" s="373" t="s">
        <v>118</v>
      </c>
      <c r="F235" s="372"/>
      <c r="G235" s="368"/>
      <c r="H235" s="369" t="s">
        <v>35</v>
      </c>
      <c r="I235" s="610">
        <f t="shared" ref="I235:J236" si="109">I246+I257</f>
        <v>20</v>
      </c>
      <c r="J235" s="610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1"/>
      <c r="B236" s="362"/>
      <c r="C236" s="362"/>
      <c r="D236" s="362"/>
      <c r="E236" s="373" t="s">
        <v>119</v>
      </c>
      <c r="F236" s="372"/>
      <c r="G236" s="368"/>
      <c r="H236" s="369" t="s">
        <v>69</v>
      </c>
      <c r="I236" s="610">
        <f t="shared" si="109"/>
        <v>2</v>
      </c>
      <c r="J236" s="610">
        <f t="shared" si="109"/>
        <v>0</v>
      </c>
      <c r="K236" s="93">
        <f t="shared" si="110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>
      <c r="A237" s="255"/>
      <c r="B237" s="263"/>
      <c r="C237" s="270" t="s">
        <v>120</v>
      </c>
      <c r="D237" s="256"/>
      <c r="E237" s="256"/>
      <c r="F237" s="256"/>
      <c r="G237" s="258"/>
      <c r="H237" s="259" t="s">
        <v>35</v>
      </c>
      <c r="I237" s="271">
        <f t="shared" ref="I237:J237" ca="1" si="111">I244</f>
        <v>20</v>
      </c>
      <c r="J237" s="271">
        <f t="shared" si="111"/>
        <v>20</v>
      </c>
      <c r="K237" s="272">
        <f t="shared" ca="1" si="110"/>
        <v>100</v>
      </c>
      <c r="L237" s="261"/>
      <c r="M237" s="261"/>
      <c r="N237" s="261"/>
      <c r="O237" s="261"/>
      <c r="P237" s="261"/>
    </row>
    <row r="238" spans="1:26" ht="19.5">
      <c r="A238" s="147"/>
      <c r="B238" s="148"/>
      <c r="C238" s="149" t="s">
        <v>16</v>
      </c>
      <c r="D238" s="822" t="s">
        <v>17</v>
      </c>
      <c r="E238" s="148"/>
      <c r="F238" s="148"/>
      <c r="G238" s="151"/>
      <c r="H238" s="274" t="s">
        <v>12</v>
      </c>
      <c r="I238" s="418"/>
      <c r="J238" s="418"/>
      <c r="K238" s="279"/>
      <c r="L238" s="155">
        <f ca="1">L239+L240+L241+L242</f>
        <v>68800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>
      <c r="A239" s="314"/>
      <c r="B239" s="315"/>
      <c r="C239" s="316"/>
      <c r="D239" s="324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282">
        <f ca="1">IFERROR(__xludf.DUMMYFUNCTION("IMPORTRANGE(""https://docs.google.com/spreadsheets/d/1QqKyyYR6Q21VydFLVH3TRQUabQu_ym0Zz7PgGX0-kHA/edit?usp=sharing"",""แผน!AV69"")"),20000)</f>
        <v>20000</v>
      </c>
      <c r="M239" s="282"/>
      <c r="N239" s="829">
        <v>0</v>
      </c>
      <c r="O239" s="282"/>
      <c r="P239" s="28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>
      <c r="A240" s="322"/>
      <c r="B240" s="315"/>
      <c r="C240" s="323"/>
      <c r="D240" s="324" t="s">
        <v>98</v>
      </c>
      <c r="E240" s="316"/>
      <c r="F240" s="316"/>
      <c r="G240" s="318"/>
      <c r="H240" s="319" t="s">
        <v>12</v>
      </c>
      <c r="I240" s="325"/>
      <c r="J240" s="325"/>
      <c r="K240" s="282"/>
      <c r="L240" s="282">
        <f ca="1">IFERROR(__xludf.DUMMYFUNCTION("IMPORTRANGE(""https://docs.google.com/spreadsheets/d/1QqKyyYR6Q21VydFLVH3TRQUabQu_ym0Zz7PgGX0-kHA/edit?usp=sharing"",""แผน!AW69"")"),18800)</f>
        <v>18800</v>
      </c>
      <c r="M240" s="282"/>
      <c r="N240" s="829">
        <v>0</v>
      </c>
      <c r="O240" s="282"/>
      <c r="P240" s="282"/>
      <c r="Q240" s="326"/>
      <c r="R240" s="326"/>
      <c r="S240" s="326"/>
      <c r="T240" s="326"/>
      <c r="U240" s="326"/>
      <c r="V240" s="326"/>
      <c r="W240" s="326"/>
      <c r="X240" s="326"/>
      <c r="Y240" s="326"/>
      <c r="Z240" s="326"/>
    </row>
    <row r="241" spans="1:26" ht="19.5">
      <c r="A241" s="322"/>
      <c r="B241" s="315"/>
      <c r="C241" s="323"/>
      <c r="D241" s="324" t="s">
        <v>116</v>
      </c>
      <c r="E241" s="316"/>
      <c r="F241" s="316"/>
      <c r="G241" s="318"/>
      <c r="H241" s="319" t="s">
        <v>12</v>
      </c>
      <c r="I241" s="325"/>
      <c r="J241" s="325"/>
      <c r="K241" s="282"/>
      <c r="L241" s="282">
        <f ca="1">IFERROR(__xludf.DUMMYFUNCTION("IMPORTRANGE(""https://docs.google.com/spreadsheets/d/1QqKyyYR6Q21VydFLVH3TRQUabQu_ym0Zz7PgGX0-kHA/edit?usp=sharing"",""แผน!AX69"")"),20000)</f>
        <v>20000</v>
      </c>
      <c r="M241" s="282"/>
      <c r="N241" s="829">
        <v>0</v>
      </c>
      <c r="O241" s="282"/>
      <c r="P241" s="282"/>
      <c r="Q241" s="326"/>
      <c r="R241" s="326"/>
      <c r="S241" s="326"/>
      <c r="T241" s="326"/>
      <c r="U241" s="326"/>
      <c r="V241" s="326"/>
      <c r="W241" s="326"/>
      <c r="X241" s="326"/>
      <c r="Y241" s="326"/>
      <c r="Z241" s="326"/>
    </row>
    <row r="242" spans="1:26" ht="19.5">
      <c r="A242" s="322"/>
      <c r="B242" s="315"/>
      <c r="C242" s="323"/>
      <c r="D242" s="324" t="s">
        <v>100</v>
      </c>
      <c r="E242" s="316"/>
      <c r="F242" s="316"/>
      <c r="G242" s="318"/>
      <c r="H242" s="319" t="s">
        <v>12</v>
      </c>
      <c r="I242" s="325"/>
      <c r="J242" s="325"/>
      <c r="K242" s="282"/>
      <c r="L242" s="282">
        <f ca="1">IFERROR(__xludf.DUMMYFUNCTION("IMPORTRANGE(""https://docs.google.com/spreadsheets/d/1QqKyyYR6Q21VydFLVH3TRQUabQu_ym0Zz7PgGX0-kHA/edit?usp=sharing"",""แผน!AY69"")"),10000)</f>
        <v>10000</v>
      </c>
      <c r="M242" s="282"/>
      <c r="N242" s="829">
        <v>0</v>
      </c>
      <c r="O242" s="282"/>
      <c r="P242" s="282"/>
      <c r="Q242" s="326"/>
      <c r="R242" s="326"/>
      <c r="S242" s="326"/>
      <c r="T242" s="326"/>
      <c r="U242" s="326"/>
      <c r="V242" s="326"/>
      <c r="W242" s="326"/>
      <c r="X242" s="326"/>
      <c r="Y242" s="326"/>
      <c r="Z242" s="326"/>
    </row>
    <row r="243" spans="1:26" ht="19.5">
      <c r="A243" s="170"/>
      <c r="B243" s="171"/>
      <c r="C243" s="292" t="s">
        <v>16</v>
      </c>
      <c r="D243" s="823" t="s">
        <v>38</v>
      </c>
      <c r="E243" s="173"/>
      <c r="F243" s="173"/>
      <c r="G243" s="174"/>
      <c r="H243" s="753"/>
      <c r="I243" s="184"/>
      <c r="J243" s="269"/>
      <c r="K243" s="496"/>
      <c r="L243" s="496"/>
      <c r="M243" s="496"/>
      <c r="N243" s="496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>
      <c r="A244" s="170"/>
      <c r="B244" s="171"/>
      <c r="C244" s="171"/>
      <c r="D244" s="446" t="s">
        <v>117</v>
      </c>
      <c r="E244" s="178"/>
      <c r="F244" s="178"/>
      <c r="G244" s="179"/>
      <c r="H244" s="755" t="s">
        <v>35</v>
      </c>
      <c r="I244" s="269">
        <f ca="1">IFERROR(__xludf.DUMMYFUNCTION("IMPORTRANGE(""https://docs.google.com/spreadsheets/d/1QqKyyYR6Q21VydFLVH3TRQUabQu_ym0Zz7PgGX0-kHA/edit?usp=sharing"",""แผน!BE69"")"),20)</f>
        <v>20</v>
      </c>
      <c r="J244" s="214">
        <v>20</v>
      </c>
      <c r="K244" s="496">
        <f ca="1">IF(I244&gt;0,J244*100/I244,0)</f>
        <v>100</v>
      </c>
      <c r="L244" s="496"/>
      <c r="M244" s="496"/>
      <c r="N244" s="496"/>
      <c r="O244" s="496"/>
      <c r="P244" s="496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>
      <c r="A245" s="170"/>
      <c r="B245" s="171"/>
      <c r="C245" s="171"/>
      <c r="D245" s="830" t="s">
        <v>43</v>
      </c>
      <c r="E245" s="178"/>
      <c r="F245" s="178"/>
      <c r="G245" s="179"/>
      <c r="H245" s="755"/>
      <c r="I245" s="269"/>
      <c r="J245" s="269"/>
      <c r="K245" s="496"/>
      <c r="L245" s="496"/>
      <c r="M245" s="496"/>
      <c r="N245" s="496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>
      <c r="A246" s="170"/>
      <c r="B246" s="171"/>
      <c r="C246" s="171"/>
      <c r="D246" s="171"/>
      <c r="E246" s="176" t="s">
        <v>118</v>
      </c>
      <c r="F246" s="178"/>
      <c r="G246" s="179"/>
      <c r="H246" s="755" t="s">
        <v>35</v>
      </c>
      <c r="I246" s="269">
        <v>20</v>
      </c>
      <c r="J246" s="214">
        <v>0</v>
      </c>
      <c r="K246" s="496">
        <f t="shared" ref="K246:K248" si="112">IF(I246&gt;0,J246*100/I246,0)</f>
        <v>0</v>
      </c>
      <c r="L246" s="496"/>
      <c r="M246" s="496"/>
      <c r="N246" s="496"/>
      <c r="O246" s="496"/>
      <c r="P246" s="496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>
      <c r="A247" s="170"/>
      <c r="B247" s="171"/>
      <c r="C247" s="171"/>
      <c r="D247" s="171"/>
      <c r="E247" s="176" t="s">
        <v>119</v>
      </c>
      <c r="F247" s="178"/>
      <c r="G247" s="179"/>
      <c r="H247" s="755" t="s">
        <v>69</v>
      </c>
      <c r="I247" s="269">
        <v>1</v>
      </c>
      <c r="J247" s="214">
        <v>0</v>
      </c>
      <c r="K247" s="496">
        <f t="shared" si="112"/>
        <v>0</v>
      </c>
      <c r="L247" s="496"/>
      <c r="M247" s="496"/>
      <c r="N247" s="496"/>
      <c r="O247" s="496"/>
      <c r="P247" s="496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>
      <c r="A248" s="255"/>
      <c r="B248" s="263"/>
      <c r="C248" s="270" t="s">
        <v>121</v>
      </c>
      <c r="D248" s="256"/>
      <c r="E248" s="256"/>
      <c r="F248" s="256"/>
      <c r="G248" s="258"/>
      <c r="H248" s="259" t="s">
        <v>35</v>
      </c>
      <c r="I248" s="271">
        <f t="shared" ref="I248:J248" ca="1" si="113">I255</f>
        <v>40</v>
      </c>
      <c r="J248" s="271">
        <f t="shared" si="113"/>
        <v>40</v>
      </c>
      <c r="K248" s="272">
        <f t="shared" ca="1" si="112"/>
        <v>100</v>
      </c>
      <c r="L248" s="261"/>
      <c r="M248" s="261"/>
      <c r="N248" s="261"/>
      <c r="O248" s="261"/>
      <c r="P248" s="261"/>
    </row>
    <row r="249" spans="1:26" ht="19.5">
      <c r="A249" s="147"/>
      <c r="B249" s="148"/>
      <c r="C249" s="149" t="s">
        <v>16</v>
      </c>
      <c r="D249" s="826" t="s">
        <v>17</v>
      </c>
      <c r="E249" s="148"/>
      <c r="F249" s="148"/>
      <c r="G249" s="151"/>
      <c r="H249" s="274" t="s">
        <v>12</v>
      </c>
      <c r="I249" s="418"/>
      <c r="J249" s="418"/>
      <c r="K249" s="279"/>
      <c r="L249" s="155">
        <f ca="1">L250+L251+L252+L253</f>
        <v>64000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>
      <c r="A250" s="314"/>
      <c r="B250" s="315"/>
      <c r="C250" s="316"/>
      <c r="D250" s="324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282">
        <f ca="1">IFERROR(__xludf.DUMMYFUNCTION("IMPORTRANGE(""https://docs.google.com/spreadsheets/d/1QqKyyYR6Q21VydFLVH3TRQUabQu_ym0Zz7PgGX0-kHA/edit?usp=sharing"",""แผน!AZ69"")"),20000)</f>
        <v>20000</v>
      </c>
      <c r="M250" s="282"/>
      <c r="N250" s="829">
        <v>0</v>
      </c>
      <c r="O250" s="282"/>
      <c r="P250" s="282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9.5">
      <c r="A251" s="322"/>
      <c r="B251" s="315"/>
      <c r="C251" s="323"/>
      <c r="D251" s="324" t="s">
        <v>98</v>
      </c>
      <c r="E251" s="316"/>
      <c r="F251" s="316"/>
      <c r="G251" s="318"/>
      <c r="H251" s="319" t="s">
        <v>12</v>
      </c>
      <c r="I251" s="325"/>
      <c r="J251" s="325"/>
      <c r="K251" s="282"/>
      <c r="L251" s="282">
        <f ca="1">IFERROR(__xludf.DUMMYFUNCTION("IMPORTRANGE(""https://docs.google.com/spreadsheets/d/1QqKyyYR6Q21VydFLVH3TRQUabQu_ym0Zz7PgGX0-kHA/edit?usp=sharing"",""แผน!BA69"")"),34000)</f>
        <v>34000</v>
      </c>
      <c r="M251" s="282"/>
      <c r="N251" s="829">
        <v>0</v>
      </c>
      <c r="O251" s="282"/>
      <c r="P251" s="282"/>
      <c r="Q251" s="326"/>
      <c r="R251" s="326"/>
      <c r="S251" s="326"/>
      <c r="T251" s="326"/>
      <c r="U251" s="326"/>
      <c r="V251" s="326"/>
      <c r="W251" s="326"/>
      <c r="X251" s="326"/>
      <c r="Y251" s="326"/>
      <c r="Z251" s="326"/>
    </row>
    <row r="252" spans="1:26" ht="19.5">
      <c r="A252" s="322"/>
      <c r="B252" s="315"/>
      <c r="C252" s="323"/>
      <c r="D252" s="324" t="s">
        <v>116</v>
      </c>
      <c r="E252" s="316"/>
      <c r="F252" s="316"/>
      <c r="G252" s="318"/>
      <c r="H252" s="319" t="s">
        <v>12</v>
      </c>
      <c r="I252" s="325"/>
      <c r="J252" s="325"/>
      <c r="K252" s="282"/>
      <c r="L252" s="282">
        <f ca="1">IFERROR(__xludf.DUMMYFUNCTION("IMPORTRANGE(""https://docs.google.com/spreadsheets/d/1QqKyyYR6Q21VydFLVH3TRQUabQu_ym0Zz7PgGX0-kHA/edit?usp=sharing"",""แผน!BB69"")"),0)</f>
        <v>0</v>
      </c>
      <c r="M252" s="282"/>
      <c r="N252" s="829">
        <v>0</v>
      </c>
      <c r="O252" s="282"/>
      <c r="P252" s="282"/>
      <c r="Q252" s="326"/>
      <c r="R252" s="326"/>
      <c r="S252" s="326"/>
      <c r="T252" s="326"/>
      <c r="U252" s="326"/>
      <c r="V252" s="326"/>
      <c r="W252" s="326"/>
      <c r="X252" s="326"/>
      <c r="Y252" s="326"/>
      <c r="Z252" s="326"/>
    </row>
    <row r="253" spans="1:26" ht="19.5">
      <c r="A253" s="322"/>
      <c r="B253" s="315"/>
      <c r="C253" s="323"/>
      <c r="D253" s="324" t="s">
        <v>100</v>
      </c>
      <c r="E253" s="316"/>
      <c r="F253" s="316"/>
      <c r="G253" s="318"/>
      <c r="H253" s="319" t="s">
        <v>12</v>
      </c>
      <c r="I253" s="325"/>
      <c r="J253" s="325"/>
      <c r="K253" s="282"/>
      <c r="L253" s="282">
        <f ca="1">IFERROR(__xludf.DUMMYFUNCTION("IMPORTRANGE(""https://docs.google.com/spreadsheets/d/1QqKyyYR6Q21VydFLVH3TRQUabQu_ym0Zz7PgGX0-kHA/edit?usp=sharing"",""แผน!BC69"")"),10000)</f>
        <v>10000</v>
      </c>
      <c r="M253" s="282"/>
      <c r="N253" s="829">
        <v>0</v>
      </c>
      <c r="O253" s="282"/>
      <c r="P253" s="282"/>
      <c r="Q253" s="326"/>
      <c r="R253" s="326"/>
      <c r="S253" s="326"/>
      <c r="T253" s="326"/>
      <c r="U253" s="326"/>
      <c r="V253" s="326"/>
      <c r="W253" s="326"/>
      <c r="X253" s="326"/>
      <c r="Y253" s="326"/>
      <c r="Z253" s="326"/>
    </row>
    <row r="254" spans="1:26" ht="19.5">
      <c r="A254" s="170"/>
      <c r="B254" s="171"/>
      <c r="C254" s="292" t="s">
        <v>16</v>
      </c>
      <c r="D254" s="823" t="s">
        <v>38</v>
      </c>
      <c r="E254" s="173"/>
      <c r="F254" s="173"/>
      <c r="G254" s="174"/>
      <c r="H254" s="753"/>
      <c r="I254" s="184"/>
      <c r="J254" s="269"/>
      <c r="K254" s="496"/>
      <c r="L254" s="496"/>
      <c r="M254" s="496"/>
      <c r="N254" s="496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>
      <c r="A255" s="170"/>
      <c r="B255" s="171"/>
      <c r="C255" s="171"/>
      <c r="D255" s="446" t="s">
        <v>117</v>
      </c>
      <c r="E255" s="178"/>
      <c r="F255" s="178"/>
      <c r="G255" s="179"/>
      <c r="H255" s="755" t="s">
        <v>35</v>
      </c>
      <c r="I255" s="269">
        <f ca="1">IFERROR(__xludf.DUMMYFUNCTION("IMPORTRANGE(""https://docs.google.com/spreadsheets/d/1QqKyyYR6Q21VydFLVH3TRQUabQu_ym0Zz7PgGX0-kHA/edit?usp=sharing"",""แผน!BF69"")"),40)</f>
        <v>40</v>
      </c>
      <c r="J255" s="214">
        <v>40</v>
      </c>
      <c r="K255" s="496">
        <f ca="1">IF(I255&gt;0,J255*100/I255,0)</f>
        <v>100</v>
      </c>
      <c r="L255" s="496"/>
      <c r="M255" s="496"/>
      <c r="N255" s="496"/>
      <c r="O255" s="496"/>
      <c r="P255" s="496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>
      <c r="A256" s="170"/>
      <c r="B256" s="171"/>
      <c r="C256" s="171"/>
      <c r="D256" s="830" t="s">
        <v>43</v>
      </c>
      <c r="E256" s="178"/>
      <c r="F256" s="178"/>
      <c r="G256" s="179"/>
      <c r="H256" s="755"/>
      <c r="I256" s="269"/>
      <c r="J256" s="269"/>
      <c r="K256" s="496"/>
      <c r="L256" s="496"/>
      <c r="M256" s="496"/>
      <c r="N256" s="496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>
      <c r="A257" s="170"/>
      <c r="B257" s="171"/>
      <c r="C257" s="171"/>
      <c r="D257" s="171"/>
      <c r="E257" s="176" t="s">
        <v>118</v>
      </c>
      <c r="F257" s="178"/>
      <c r="G257" s="179"/>
      <c r="H257" s="755" t="s">
        <v>35</v>
      </c>
      <c r="I257" s="269">
        <v>0</v>
      </c>
      <c r="J257" s="214">
        <v>0</v>
      </c>
      <c r="K257" s="496">
        <f t="shared" ref="K257:K258" si="114">IF(I257&gt;0,J257*100/I257,0)</f>
        <v>0</v>
      </c>
      <c r="L257" s="496"/>
      <c r="M257" s="496"/>
      <c r="N257" s="496"/>
      <c r="O257" s="496"/>
      <c r="P257" s="496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>
      <c r="A258" s="170"/>
      <c r="B258" s="171"/>
      <c r="C258" s="171"/>
      <c r="D258" s="171"/>
      <c r="E258" s="176" t="s">
        <v>119</v>
      </c>
      <c r="F258" s="178"/>
      <c r="G258" s="179"/>
      <c r="H258" s="755" t="s">
        <v>69</v>
      </c>
      <c r="I258" s="269">
        <v>1</v>
      </c>
      <c r="J258" s="214">
        <v>0</v>
      </c>
      <c r="K258" s="496">
        <f t="shared" si="114"/>
        <v>0</v>
      </c>
      <c r="L258" s="496"/>
      <c r="M258" s="496"/>
      <c r="N258" s="496"/>
      <c r="O258" s="496"/>
      <c r="P258" s="496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1" t="s">
        <v>122</v>
      </c>
      <c r="B259" s="242"/>
      <c r="C259" s="242"/>
      <c r="D259" s="243"/>
      <c r="E259" s="243"/>
      <c r="F259" s="243"/>
      <c r="G259" s="244"/>
      <c r="H259" s="245"/>
      <c r="I259" s="246"/>
      <c r="J259" s="246"/>
      <c r="K259" s="247"/>
      <c r="L259" s="247"/>
      <c r="M259" s="247"/>
      <c r="N259" s="247"/>
      <c r="O259" s="247"/>
      <c r="P259" s="247"/>
    </row>
    <row r="260" spans="1:26" ht="19.5">
      <c r="A260" s="248"/>
      <c r="B260" s="249" t="s">
        <v>123</v>
      </c>
      <c r="C260" s="250"/>
      <c r="D260" s="173"/>
      <c r="E260" s="173"/>
      <c r="F260" s="173"/>
      <c r="G260" s="174"/>
      <c r="H260" s="251" t="s">
        <v>35</v>
      </c>
      <c r="I260" s="252">
        <f t="shared" ref="I260:J260" ca="1" si="115">I271</f>
        <v>22</v>
      </c>
      <c r="J260" s="252">
        <f t="shared" si="115"/>
        <v>0</v>
      </c>
      <c r="K260" s="253">
        <f ca="1">IF(I260&gt;0,J260*100/I260,0)</f>
        <v>0</v>
      </c>
      <c r="L260" s="254"/>
      <c r="M260" s="254"/>
      <c r="N260" s="254"/>
      <c r="O260" s="254"/>
      <c r="P260" s="254"/>
    </row>
    <row r="261" spans="1:26" ht="19.5">
      <c r="A261" s="147"/>
      <c r="B261" s="148"/>
      <c r="C261" s="149" t="s">
        <v>16</v>
      </c>
      <c r="D261" s="822" t="s">
        <v>17</v>
      </c>
      <c r="E261" s="148"/>
      <c r="F261" s="148"/>
      <c r="G261" s="151"/>
      <c r="H261" s="152" t="s">
        <v>12</v>
      </c>
      <c r="I261" s="419"/>
      <c r="J261" s="419"/>
      <c r="K261" s="154"/>
      <c r="L261" s="155">
        <f t="shared" ref="L261:N261" ca="1" si="116">L262+L263</f>
        <v>26900</v>
      </c>
      <c r="M261" s="155">
        <f t="shared" ca="1" si="116"/>
        <v>0</v>
      </c>
      <c r="N261" s="155">
        <f t="shared" ca="1" si="116"/>
        <v>0</v>
      </c>
      <c r="O261" s="155">
        <f t="shared" ref="O261:O269" ca="1" si="117">IF(L261&gt;0,N261*100/L261,0)</f>
        <v>0</v>
      </c>
      <c r="P261" s="155">
        <f t="shared" ref="P261:P269" ca="1" si="118">IF(M261&gt;0,N261*100/M261,0)</f>
        <v>0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2" t="s">
        <v>18</v>
      </c>
      <c r="F262" s="40"/>
      <c r="G262" s="157"/>
      <c r="H262" s="158" t="s">
        <v>12</v>
      </c>
      <c r="I262" s="610"/>
      <c r="J262" s="610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2" t="s">
        <v>19</v>
      </c>
      <c r="F263" s="40"/>
      <c r="G263" s="157"/>
      <c r="H263" s="158" t="s">
        <v>12</v>
      </c>
      <c r="I263" s="610"/>
      <c r="J263" s="610"/>
      <c r="K263" s="93"/>
      <c r="L263" s="93">
        <f t="shared" ca="1" si="119"/>
        <v>26900</v>
      </c>
      <c r="M263" s="93">
        <f t="shared" ca="1" si="119"/>
        <v>0</v>
      </c>
      <c r="N263" s="93">
        <f t="shared" ca="1" si="119"/>
        <v>0</v>
      </c>
      <c r="O263" s="93">
        <f t="shared" ca="1" si="117"/>
        <v>0</v>
      </c>
      <c r="P263" s="93">
        <f t="shared" ca="1" si="118"/>
        <v>0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1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6">
        <f t="shared" ref="L264:N264" ca="1" si="120">L265+L266</f>
        <v>26900</v>
      </c>
      <c r="M264" s="496">
        <f t="shared" ca="1" si="120"/>
        <v>0</v>
      </c>
      <c r="N264" s="496">
        <f t="shared" ca="1" si="120"/>
        <v>0</v>
      </c>
      <c r="O264" s="496">
        <f t="shared" ca="1" si="117"/>
        <v>0</v>
      </c>
      <c r="P264" s="496">
        <f t="shared" ca="1" si="118"/>
        <v>0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2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2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IFERROR(__xludf.DUMMYFUNCTION("IMPORTRANGE(""https://docs.google.com/spreadsheets/d/1MeEWN-I1oV_STSDYn1IFDPWt_1FKiwhDph83XaGc0o0/edit?usp=sharing"",""งบพรบ!CY69"")"),26900)</f>
        <v>26900</v>
      </c>
      <c r="M266" s="93">
        <f ca="1">IFERROR(__xludf.DUMMYFUNCTION("IMPORTRANGE(""https://docs.google.com/spreadsheets/d/1MeEWN-I1oV_STSDYn1IFDPWt_1FKiwhDph83XaGc0o0/edit?usp=sharing"",""งบพรบ!DD69"")"),0)</f>
        <v>0</v>
      </c>
      <c r="N266" s="93">
        <f ca="1">IFERROR(__xludf.DUMMYFUNCTION("IMPORTRANGE(""https://docs.google.com/spreadsheets/d/1MeEWN-I1oV_STSDYn1IFDPWt_1FKiwhDph83XaGc0o0/edit?usp=sharing"",""งบพรบ!DF69"")"),0)</f>
        <v>0</v>
      </c>
      <c r="O266" s="93">
        <f t="shared" ca="1" si="117"/>
        <v>0</v>
      </c>
      <c r="P266" s="93">
        <f t="shared" ca="1" si="118"/>
        <v>0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1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6">
        <f t="shared" ref="L267:N267" ca="1" si="121">L268+L269</f>
        <v>0</v>
      </c>
      <c r="M267" s="496">
        <f t="shared" ca="1" si="121"/>
        <v>0</v>
      </c>
      <c r="N267" s="496">
        <f t="shared" ca="1" si="121"/>
        <v>0</v>
      </c>
      <c r="O267" s="496">
        <f t="shared" ca="1" si="117"/>
        <v>0</v>
      </c>
      <c r="P267" s="496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2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2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IFERROR(__xludf.DUMMYFUNCTION("IMPORTRANGE(""https://docs.google.com/spreadsheets/d/1MeEWN-I1oV_STSDYn1IFDPWt_1FKiwhDph83XaGc0o0/edit?usp=sharing"",""งบพรบ!DB69"")"),0)</f>
        <v>0</v>
      </c>
      <c r="M269" s="93">
        <f ca="1">IFERROR(__xludf.DUMMYFUNCTION("IMPORTRANGE(""https://docs.google.com/spreadsheets/d/1MeEWN-I1oV_STSDYn1IFDPWt_1FKiwhDph83XaGc0o0/edit?usp=sharing"",""งบพรบ!DE69"")"),0)</f>
        <v>0</v>
      </c>
      <c r="N269" s="93">
        <f ca="1">IFERROR(__xludf.DUMMYFUNCTION("IMPORTRANGE(""https://docs.google.com/spreadsheets/d/1MeEWN-I1oV_STSDYn1IFDPWt_1FKiwhDph83XaGc0o0/edit?usp=sharing"",""งบพรบ!DG69"")"),0)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1" t="s">
        <v>16</v>
      </c>
      <c r="D270" s="823" t="s">
        <v>38</v>
      </c>
      <c r="E270" s="173"/>
      <c r="F270" s="173"/>
      <c r="G270" s="174"/>
      <c r="H270" s="753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5" t="s">
        <v>124</v>
      </c>
      <c r="E271" s="178"/>
      <c r="F271" s="366"/>
      <c r="G271" s="179"/>
      <c r="H271" s="376" t="s">
        <v>35</v>
      </c>
      <c r="I271" s="269">
        <f ca="1">IFERROR(__xludf.DUMMYFUNCTION("IMPORTRANGE(""https://docs.google.com/spreadsheets/d/1QqKyyYR6Q21VydFLVH3TRQUabQu_ym0Zz7PgGX0-kHA/edit?usp=sharing"",""แผน!EA69"")"),22)</f>
        <v>22</v>
      </c>
      <c r="J271" s="214">
        <v>0</v>
      </c>
      <c r="K271" s="163">
        <f ca="1">IF(I271&gt;0,J271*100/I271,0)</f>
        <v>0</v>
      </c>
      <c r="L271" s="163"/>
      <c r="M271" s="163"/>
      <c r="N271" s="163"/>
      <c r="O271" s="163"/>
      <c r="P271" s="163"/>
    </row>
    <row r="272" spans="1:26" ht="18.75" hidden="1">
      <c r="A272" s="377"/>
      <c r="B272" s="378"/>
      <c r="C272" s="378"/>
      <c r="D272" s="379" t="s">
        <v>125</v>
      </c>
      <c r="E272" s="380"/>
      <c r="F272" s="380"/>
      <c r="G272" s="381"/>
      <c r="H272" s="50" t="s">
        <v>35</v>
      </c>
      <c r="I272" s="499">
        <v>0</v>
      </c>
      <c r="J272" s="499">
        <v>0</v>
      </c>
      <c r="K272" s="384">
        <v>0</v>
      </c>
      <c r="L272" s="384"/>
      <c r="M272" s="384"/>
      <c r="N272" s="384"/>
      <c r="O272" s="384"/>
      <c r="P272" s="384"/>
    </row>
    <row r="273" spans="1:26" ht="19.5">
      <c r="A273" s="385" t="s">
        <v>126</v>
      </c>
      <c r="B273" s="386"/>
      <c r="C273" s="386"/>
      <c r="D273" s="386"/>
      <c r="E273" s="387"/>
      <c r="F273" s="387"/>
      <c r="G273" s="388"/>
      <c r="H273" s="389"/>
      <c r="I273" s="390"/>
      <c r="J273" s="390"/>
      <c r="K273" s="391"/>
      <c r="L273" s="391"/>
      <c r="M273" s="391"/>
      <c r="N273" s="391"/>
      <c r="O273" s="391"/>
      <c r="P273" s="391"/>
    </row>
    <row r="274" spans="1:26" ht="19.5">
      <c r="A274" s="392" t="s">
        <v>127</v>
      </c>
      <c r="B274" s="393"/>
      <c r="C274" s="394"/>
      <c r="D274" s="393"/>
      <c r="E274" s="393"/>
      <c r="F274" s="393"/>
      <c r="G274" s="393"/>
      <c r="H274" s="395"/>
      <c r="I274" s="396"/>
      <c r="J274" s="397"/>
      <c r="K274" s="398"/>
      <c r="L274" s="398"/>
      <c r="M274" s="398"/>
      <c r="N274" s="398"/>
      <c r="O274" s="398"/>
      <c r="P274" s="398"/>
    </row>
    <row r="275" spans="1:26" ht="19.5">
      <c r="A275" s="399"/>
      <c r="B275" s="408" t="s">
        <v>128</v>
      </c>
      <c r="C275" s="401"/>
      <c r="D275" s="402"/>
      <c r="E275" s="401"/>
      <c r="F275" s="401"/>
      <c r="G275" s="403"/>
      <c r="H275" s="404" t="s">
        <v>35</v>
      </c>
      <c r="I275" s="405">
        <f t="shared" ref="I275:J275" ca="1" si="122">I288</f>
        <v>30</v>
      </c>
      <c r="J275" s="405">
        <f t="shared" ca="1" si="122"/>
        <v>0</v>
      </c>
      <c r="K275" s="406">
        <f t="shared" ref="K275:K276" ca="1" si="123">IF(I275&gt;0,J275*100/I275,0)</f>
        <v>0</v>
      </c>
      <c r="L275" s="407"/>
      <c r="M275" s="407"/>
      <c r="N275" s="407"/>
      <c r="O275" s="407"/>
      <c r="P275" s="407"/>
    </row>
    <row r="276" spans="1:26" ht="19.5">
      <c r="A276" s="399"/>
      <c r="B276" s="408"/>
      <c r="C276" s="401"/>
      <c r="D276" s="402"/>
      <c r="E276" s="401"/>
      <c r="F276" s="401"/>
      <c r="G276" s="403"/>
      <c r="H276" s="404" t="s">
        <v>46</v>
      </c>
      <c r="I276" s="831">
        <f t="shared" ref="I276:J276" ca="1" si="124">I287</f>
        <v>300</v>
      </c>
      <c r="J276" s="831">
        <f t="shared" si="124"/>
        <v>0</v>
      </c>
      <c r="K276" s="407">
        <f t="shared" ca="1" si="123"/>
        <v>0</v>
      </c>
      <c r="L276" s="407"/>
      <c r="M276" s="407"/>
      <c r="N276" s="407"/>
      <c r="O276" s="407"/>
      <c r="P276" s="407"/>
    </row>
    <row r="277" spans="1:26" ht="19.5">
      <c r="A277" s="147"/>
      <c r="B277" s="148"/>
      <c r="C277" s="149" t="s">
        <v>16</v>
      </c>
      <c r="D277" s="822" t="s">
        <v>17</v>
      </c>
      <c r="E277" s="148"/>
      <c r="F277" s="148"/>
      <c r="G277" s="151"/>
      <c r="H277" s="152" t="s">
        <v>12</v>
      </c>
      <c r="I277" s="419"/>
      <c r="J277" s="419"/>
      <c r="K277" s="154"/>
      <c r="L277" s="155">
        <f t="shared" ref="L277:N277" ca="1" si="125">L278+L279</f>
        <v>111710</v>
      </c>
      <c r="M277" s="155">
        <f t="shared" ca="1" si="125"/>
        <v>46460</v>
      </c>
      <c r="N277" s="155">
        <f t="shared" ca="1" si="125"/>
        <v>45200</v>
      </c>
      <c r="O277" s="155">
        <f t="shared" ref="O277:O285" ca="1" si="126">IF(L277&gt;0,N277*100/L277,0)</f>
        <v>40.461910303464329</v>
      </c>
      <c r="P277" s="155">
        <f t="shared" ref="P277:P285" ca="1" si="127">IF(M277&gt;0,N277*100/M277,0)</f>
        <v>97.287989668532077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2" t="s">
        <v>18</v>
      </c>
      <c r="F278" s="40"/>
      <c r="G278" s="157"/>
      <c r="H278" s="158" t="s">
        <v>12</v>
      </c>
      <c r="I278" s="610"/>
      <c r="J278" s="610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2" t="s">
        <v>19</v>
      </c>
      <c r="F279" s="40"/>
      <c r="G279" s="157"/>
      <c r="H279" s="158" t="s">
        <v>12</v>
      </c>
      <c r="I279" s="610"/>
      <c r="J279" s="610"/>
      <c r="K279" s="93"/>
      <c r="L279" s="93">
        <f t="shared" ca="1" si="128"/>
        <v>111710</v>
      </c>
      <c r="M279" s="93">
        <f t="shared" ca="1" si="128"/>
        <v>46460</v>
      </c>
      <c r="N279" s="93">
        <f t="shared" ca="1" si="128"/>
        <v>45200</v>
      </c>
      <c r="O279" s="93">
        <f t="shared" ca="1" si="126"/>
        <v>40.461910303464329</v>
      </c>
      <c r="P279" s="93">
        <f t="shared" ca="1" si="127"/>
        <v>97.287989668532077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>
      <c r="A280" s="159"/>
      <c r="B280" s="33"/>
      <c r="C280" s="281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6">
        <f t="shared" ref="L280:N280" ca="1" si="129">L281+L282</f>
        <v>111710</v>
      </c>
      <c r="M280" s="496">
        <f t="shared" ca="1" si="129"/>
        <v>46460</v>
      </c>
      <c r="N280" s="496">
        <f t="shared" ca="1" si="129"/>
        <v>45200</v>
      </c>
      <c r="O280" s="496">
        <f t="shared" ca="1" si="126"/>
        <v>40.461910303464329</v>
      </c>
      <c r="P280" s="496">
        <f t="shared" ca="1" si="127"/>
        <v>97.287989668532077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2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2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IFERROR(__xludf.DUMMYFUNCTION("IMPORTRANGE(""https://docs.google.com/spreadsheets/d/1MeEWN-I1oV_STSDYn1IFDPWt_1FKiwhDph83XaGc0o0/edit?usp=sharing"",""งบพรบ!DI69"")"),111710)</f>
        <v>111710</v>
      </c>
      <c r="M282" s="93">
        <f ca="1">IFERROR(__xludf.DUMMYFUNCTION("IMPORTRANGE(""https://docs.google.com/spreadsheets/d/1MeEWN-I1oV_STSDYn1IFDPWt_1FKiwhDph83XaGc0o0/edit?usp=sharing"",""งบพรบ!DN69"")"),46460)</f>
        <v>46460</v>
      </c>
      <c r="N282" s="93">
        <f ca="1">IFERROR(__xludf.DUMMYFUNCTION("IMPORTRANGE(""https://docs.google.com/spreadsheets/d/1MeEWN-I1oV_STSDYn1IFDPWt_1FKiwhDph83XaGc0o0/edit?usp=sharing"",""งบพรบ!DP69"")"),45200)</f>
        <v>45200</v>
      </c>
      <c r="O282" s="93">
        <f t="shared" ca="1" si="126"/>
        <v>40.461910303464329</v>
      </c>
      <c r="P282" s="93">
        <f t="shared" ca="1" si="127"/>
        <v>97.287989668532077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>
      <c r="A283" s="159"/>
      <c r="B283" s="33"/>
      <c r="C283" s="281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6">
        <f t="shared" ref="L283:N283" ca="1" si="130">L284+L285</f>
        <v>0</v>
      </c>
      <c r="M283" s="496">
        <f t="shared" ca="1" si="130"/>
        <v>0</v>
      </c>
      <c r="N283" s="496">
        <f t="shared" ca="1" si="130"/>
        <v>0</v>
      </c>
      <c r="O283" s="496">
        <f t="shared" ca="1" si="126"/>
        <v>0</v>
      </c>
      <c r="P283" s="496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2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2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IFERROR(__xludf.DUMMYFUNCTION("IMPORTRANGE(""https://docs.google.com/spreadsheets/d/1MeEWN-I1oV_STSDYn1IFDPWt_1FKiwhDph83XaGc0o0/edit?usp=sharing"",""งบพรบ!DL69"")"),0)</f>
        <v>0</v>
      </c>
      <c r="M285" s="93">
        <f ca="1">IFERROR(__xludf.DUMMYFUNCTION("IMPORTRANGE(""https://docs.google.com/spreadsheets/d/1MeEWN-I1oV_STSDYn1IFDPWt_1FKiwhDph83XaGc0o0/edit?usp=sharing"",""งบพรบ!DO69"")"),0)</f>
        <v>0</v>
      </c>
      <c r="N285" s="93">
        <f ca="1">IFERROR(__xludf.DUMMYFUNCTION("IMPORTRANGE(""https://docs.google.com/spreadsheets/d/1MeEWN-I1oV_STSDYn1IFDPWt_1FKiwhDph83XaGc0o0/edit?usp=sharing"",""งบพรบ!DQ69"")"),0)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>
      <c r="A286" s="170"/>
      <c r="B286" s="171"/>
      <c r="C286" s="164" t="s">
        <v>16</v>
      </c>
      <c r="D286" s="823" t="s">
        <v>38</v>
      </c>
      <c r="E286" s="173"/>
      <c r="F286" s="173"/>
      <c r="G286" s="174"/>
      <c r="H286" s="753"/>
      <c r="I286" s="184"/>
      <c r="J286" s="184"/>
      <c r="K286" s="163"/>
      <c r="L286" s="163"/>
      <c r="M286" s="163"/>
      <c r="N286" s="163"/>
      <c r="O286" s="163"/>
      <c r="P286" s="163"/>
    </row>
    <row r="287" spans="1:26" ht="18.75">
      <c r="A287" s="170"/>
      <c r="B287" s="171"/>
      <c r="C287" s="171"/>
      <c r="D287" s="619" t="s">
        <v>129</v>
      </c>
      <c r="E287" s="171"/>
      <c r="F287" s="178"/>
      <c r="G287" s="179"/>
      <c r="H287" s="185" t="s">
        <v>46</v>
      </c>
      <c r="I287" s="269">
        <f ca="1">IFERROR(__xludf.DUMMYFUNCTION("IMPORTRANGE(""https://docs.google.com/spreadsheets/d/1QqKyyYR6Q21VydFLVH3TRQUabQu_ym0Zz7PgGX0-kHA/edit?usp=sharing"",""แผน!EC69"")"),300)</f>
        <v>300</v>
      </c>
      <c r="J287" s="214">
        <v>0</v>
      </c>
      <c r="K287" s="163">
        <f t="shared" ref="K287:K288" ca="1" si="131">IF(I287&gt;0,J287*100/I287,0)</f>
        <v>0</v>
      </c>
      <c r="L287" s="163"/>
      <c r="M287" s="163"/>
      <c r="N287" s="163"/>
      <c r="O287" s="163"/>
      <c r="P287" s="163"/>
    </row>
    <row r="288" spans="1:26" ht="19.5">
      <c r="A288" s="170"/>
      <c r="B288" s="171"/>
      <c r="C288" s="171"/>
      <c r="D288" s="619" t="s">
        <v>130</v>
      </c>
      <c r="E288" s="171"/>
      <c r="F288" s="178"/>
      <c r="G288" s="179"/>
      <c r="H288" s="180" t="s">
        <v>35</v>
      </c>
      <c r="I288" s="674">
        <f ca="1">IFERROR(__xludf.DUMMYFUNCTION("IMPORTRANGE(""https://docs.google.com/spreadsheets/d/1QqKyyYR6Q21VydFLVH3TRQUabQu_ym0Zz7PgGX0-kHA/edit?usp=sharing"",""แผน!EB69"")"),30)</f>
        <v>30</v>
      </c>
      <c r="J288" s="674">
        <f ca="1">IF(AND(J291&gt;=I288,J294&gt;=I288),J294,0)</f>
        <v>0</v>
      </c>
      <c r="K288" s="410">
        <f t="shared" ca="1" si="131"/>
        <v>0</v>
      </c>
      <c r="L288" s="163"/>
      <c r="M288" s="163"/>
      <c r="N288" s="163"/>
      <c r="O288" s="163"/>
      <c r="P288" s="163"/>
    </row>
    <row r="289" spans="1:26" ht="19.5">
      <c r="A289" s="170"/>
      <c r="B289" s="171"/>
      <c r="C289" s="171"/>
      <c r="D289" s="411"/>
      <c r="E289" s="412" t="s">
        <v>131</v>
      </c>
      <c r="F289" s="178"/>
      <c r="G289" s="179"/>
      <c r="H289" s="755"/>
      <c r="I289" s="184"/>
      <c r="J289" s="269"/>
      <c r="K289" s="163"/>
      <c r="L289" s="163"/>
      <c r="M289" s="163"/>
      <c r="N289" s="163"/>
      <c r="O289" s="163"/>
      <c r="P289" s="163"/>
    </row>
    <row r="290" spans="1:26" ht="19.5">
      <c r="A290" s="170"/>
      <c r="B290" s="171"/>
      <c r="C290" s="171"/>
      <c r="D290" s="411"/>
      <c r="E290" s="619" t="s">
        <v>132</v>
      </c>
      <c r="F290" s="178"/>
      <c r="G290" s="179"/>
      <c r="H290" s="755" t="s">
        <v>35</v>
      </c>
      <c r="I290" s="184">
        <f ca="1">IFERROR(__xludf.DUMMYFUNCTION("IMPORTRANGE(""https://docs.google.com/spreadsheets/d/1QqKyyYR6Q21VydFLVH3TRQUabQu_ym0Zz7PgGX0-kHA/edit?usp=sharing"",""แผน!EB69"")"),30)</f>
        <v>30</v>
      </c>
      <c r="J290" s="214">
        <v>30</v>
      </c>
      <c r="K290" s="163">
        <f t="shared" ref="K290:K291" ca="1" si="132">IF(I290&gt;0,J290*100/I290,0)</f>
        <v>100</v>
      </c>
      <c r="L290" s="163"/>
      <c r="M290" s="163"/>
      <c r="N290" s="163"/>
      <c r="O290" s="163"/>
      <c r="P290" s="163"/>
    </row>
    <row r="291" spans="1:26" ht="19.5">
      <c r="A291" s="170"/>
      <c r="B291" s="171"/>
      <c r="C291" s="171"/>
      <c r="D291" s="178"/>
      <c r="E291" s="619" t="s">
        <v>133</v>
      </c>
      <c r="F291" s="178"/>
      <c r="G291" s="179"/>
      <c r="H291" s="755" t="s">
        <v>35</v>
      </c>
      <c r="I291" s="184">
        <f ca="1">IFERROR(__xludf.DUMMYFUNCTION("IMPORTRANGE(""https://docs.google.com/spreadsheets/d/1QqKyyYR6Q21VydFLVH3TRQUabQu_ym0Zz7PgGX0-kHA/edit?usp=sharing"",""แผน!EB69"")"),30)</f>
        <v>30</v>
      </c>
      <c r="J291" s="214">
        <v>30</v>
      </c>
      <c r="K291" s="163">
        <f t="shared" ca="1" si="132"/>
        <v>100</v>
      </c>
      <c r="L291" s="163"/>
      <c r="M291" s="163"/>
      <c r="N291" s="163"/>
      <c r="O291" s="163"/>
      <c r="P291" s="163"/>
    </row>
    <row r="292" spans="1:26" ht="19.5">
      <c r="A292" s="413"/>
      <c r="B292" s="414"/>
      <c r="C292" s="414"/>
      <c r="D292" s="415"/>
      <c r="E292" s="416" t="s">
        <v>134</v>
      </c>
      <c r="F292" s="287"/>
      <c r="G292" s="288"/>
      <c r="H292" s="417"/>
      <c r="I292" s="418"/>
      <c r="J292" s="419"/>
      <c r="K292" s="279"/>
      <c r="L292" s="279"/>
      <c r="M292" s="279"/>
      <c r="N292" s="279"/>
      <c r="O292" s="279"/>
      <c r="P292" s="279"/>
    </row>
    <row r="293" spans="1:26" ht="19.5">
      <c r="A293" s="170"/>
      <c r="B293" s="171"/>
      <c r="C293" s="171"/>
      <c r="D293" s="411"/>
      <c r="E293" s="619" t="s">
        <v>132</v>
      </c>
      <c r="F293" s="178"/>
      <c r="G293" s="179"/>
      <c r="H293" s="755" t="s">
        <v>35</v>
      </c>
      <c r="I293" s="184">
        <f ca="1">IFERROR(__xludf.DUMMYFUNCTION("IMPORTRANGE(""https://docs.google.com/spreadsheets/d/1QqKyyYR6Q21VydFLVH3TRQUabQu_ym0Zz7PgGX0-kHA/edit?usp=sharing"",""แผน!EB69"")"),30)</f>
        <v>30</v>
      </c>
      <c r="J293" s="214">
        <v>0</v>
      </c>
      <c r="K293" s="163">
        <f t="shared" ref="K293:K294" ca="1" si="133">IF(I293&gt;0,J293*100/I293,0)</f>
        <v>0</v>
      </c>
      <c r="L293" s="163"/>
      <c r="M293" s="163"/>
      <c r="N293" s="163"/>
      <c r="O293" s="163"/>
      <c r="P293" s="163"/>
    </row>
    <row r="294" spans="1:26" ht="19.5">
      <c r="A294" s="377"/>
      <c r="B294" s="378"/>
      <c r="C294" s="378"/>
      <c r="D294" s="380"/>
      <c r="E294" s="725" t="s">
        <v>136</v>
      </c>
      <c r="F294" s="380"/>
      <c r="G294" s="381"/>
      <c r="H294" s="421" t="s">
        <v>35</v>
      </c>
      <c r="I294" s="422">
        <f ca="1">IFERROR(__xludf.DUMMYFUNCTION("IMPORTRANGE(""https://docs.google.com/spreadsheets/d/1QqKyyYR6Q21VydFLVH3TRQUabQu_ym0Zz7PgGX0-kHA/edit?usp=sharing"",""แผน!EB69"")"),30)</f>
        <v>30</v>
      </c>
      <c r="J294" s="423">
        <v>0</v>
      </c>
      <c r="K294" s="384">
        <f t="shared" ca="1" si="133"/>
        <v>0</v>
      </c>
      <c r="L294" s="384"/>
      <c r="M294" s="384"/>
      <c r="N294" s="384"/>
      <c r="O294" s="384"/>
      <c r="P294" s="384"/>
    </row>
    <row r="295" spans="1:26" ht="19.5">
      <c r="A295" s="424" t="s">
        <v>137</v>
      </c>
      <c r="B295" s="425"/>
      <c r="C295" s="425"/>
      <c r="D295" s="425"/>
      <c r="E295" s="426"/>
      <c r="F295" s="426"/>
      <c r="G295" s="427"/>
      <c r="H295" s="428"/>
      <c r="I295" s="429"/>
      <c r="J295" s="429"/>
      <c r="K295" s="430"/>
      <c r="L295" s="430"/>
      <c r="M295" s="430"/>
      <c r="N295" s="430"/>
      <c r="O295" s="430"/>
      <c r="P295" s="430"/>
    </row>
    <row r="296" spans="1:26" ht="19.5" hidden="1">
      <c r="A296" s="431" t="s">
        <v>138</v>
      </c>
      <c r="B296" s="432"/>
      <c r="C296" s="432"/>
      <c r="D296" s="433"/>
      <c r="E296" s="433"/>
      <c r="F296" s="433"/>
      <c r="G296" s="434"/>
      <c r="H296" s="435"/>
      <c r="I296" s="436"/>
      <c r="J296" s="436"/>
      <c r="K296" s="437"/>
      <c r="L296" s="437"/>
      <c r="M296" s="437"/>
      <c r="N296" s="437"/>
      <c r="O296" s="437"/>
      <c r="P296" s="437"/>
    </row>
    <row r="297" spans="1:26" ht="19.5" hidden="1">
      <c r="A297" s="438"/>
      <c r="B297" s="439" t="s">
        <v>139</v>
      </c>
      <c r="C297" s="440"/>
      <c r="D297" s="440"/>
      <c r="E297" s="440"/>
      <c r="F297" s="440"/>
      <c r="G297" s="441"/>
      <c r="H297" s="442" t="s">
        <v>35</v>
      </c>
      <c r="I297" s="443">
        <f t="shared" ref="I297:J297" ca="1" si="134">I309</f>
        <v>0</v>
      </c>
      <c r="J297" s="443">
        <f t="shared" si="134"/>
        <v>0</v>
      </c>
      <c r="K297" s="444">
        <f ca="1">IF(I297&gt;0,J297*100/I297,0)</f>
        <v>0</v>
      </c>
      <c r="L297" s="445"/>
      <c r="M297" s="445"/>
      <c r="N297" s="445"/>
      <c r="O297" s="445"/>
      <c r="P297" s="445"/>
    </row>
    <row r="298" spans="1:26" ht="19.5" hidden="1">
      <c r="A298" s="147"/>
      <c r="B298" s="148"/>
      <c r="C298" s="149" t="s">
        <v>16</v>
      </c>
      <c r="D298" s="822" t="s">
        <v>17</v>
      </c>
      <c r="E298" s="148"/>
      <c r="F298" s="148"/>
      <c r="G298" s="151"/>
      <c r="H298" s="152" t="s">
        <v>12</v>
      </c>
      <c r="I298" s="419"/>
      <c r="J298" s="419"/>
      <c r="K298" s="154"/>
      <c r="L298" s="155">
        <f t="shared" ref="L298:N298" ca="1" si="135">L299+L300</f>
        <v>0</v>
      </c>
      <c r="M298" s="155">
        <f t="shared" ca="1" si="135"/>
        <v>0</v>
      </c>
      <c r="N298" s="155">
        <f t="shared" ca="1" si="135"/>
        <v>0</v>
      </c>
      <c r="O298" s="155">
        <f t="shared" ref="O298:O306" ca="1" si="136">IF(L298&gt;0,N298*100/L298,0)</f>
        <v>0</v>
      </c>
      <c r="P298" s="155">
        <f t="shared" ref="P298:P306" ca="1" si="137">IF(M298&gt;0,N298*100/M298,0)</f>
        <v>0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2" t="s">
        <v>18</v>
      </c>
      <c r="F299" s="40"/>
      <c r="G299" s="157"/>
      <c r="H299" s="158" t="s">
        <v>12</v>
      </c>
      <c r="I299" s="610"/>
      <c r="J299" s="610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2" t="s">
        <v>19</v>
      </c>
      <c r="F300" s="40"/>
      <c r="G300" s="157"/>
      <c r="H300" s="158" t="s">
        <v>12</v>
      </c>
      <c r="I300" s="610"/>
      <c r="J300" s="610"/>
      <c r="K300" s="93"/>
      <c r="L300" s="93">
        <f t="shared" ca="1" si="138"/>
        <v>0</v>
      </c>
      <c r="M300" s="93">
        <f t="shared" ca="1" si="138"/>
        <v>0</v>
      </c>
      <c r="N300" s="93">
        <f t="shared" ca="1" si="138"/>
        <v>0</v>
      </c>
      <c r="O300" s="93">
        <f t="shared" ca="1" si="136"/>
        <v>0</v>
      </c>
      <c r="P300" s="93">
        <f t="shared" ca="1" si="137"/>
        <v>0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 hidden="1">
      <c r="A301" s="159"/>
      <c r="B301" s="33"/>
      <c r="C301" s="281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6">
        <f t="shared" ref="L301:N301" ca="1" si="139">L302+L303</f>
        <v>0</v>
      </c>
      <c r="M301" s="496">
        <f t="shared" ca="1" si="139"/>
        <v>0</v>
      </c>
      <c r="N301" s="496">
        <f t="shared" ca="1" si="139"/>
        <v>0</v>
      </c>
      <c r="O301" s="496">
        <f t="shared" ca="1" si="136"/>
        <v>0</v>
      </c>
      <c r="P301" s="496">
        <f t="shared" ca="1" si="137"/>
        <v>0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2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2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IFERROR(__xludf.DUMMYFUNCTION("IMPORTRANGE(""https://docs.google.com/spreadsheets/d/1MeEWN-I1oV_STSDYn1IFDPWt_1FKiwhDph83XaGc0o0/edit?usp=sharing"",""งบพรบ!DS69"")"),0)</f>
        <v>0</v>
      </c>
      <c r="M303" s="93">
        <f ca="1">IFERROR(__xludf.DUMMYFUNCTION("IMPORTRANGE(""https://docs.google.com/spreadsheets/d/1MeEWN-I1oV_STSDYn1IFDPWt_1FKiwhDph83XaGc0o0/edit?usp=sharing"",""งบพรบ!DX69"")"),0)</f>
        <v>0</v>
      </c>
      <c r="N303" s="93">
        <f ca="1">IFERROR(__xludf.DUMMYFUNCTION("IMPORTRANGE(""https://docs.google.com/spreadsheets/d/1MeEWN-I1oV_STSDYn1IFDPWt_1FKiwhDph83XaGc0o0/edit?usp=sharing"",""งบพรบ!DZ69"")"),0)</f>
        <v>0</v>
      </c>
      <c r="O303" s="93">
        <f t="shared" ca="1" si="136"/>
        <v>0</v>
      </c>
      <c r="P303" s="93">
        <f t="shared" ca="1" si="137"/>
        <v>0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 hidden="1">
      <c r="A304" s="159"/>
      <c r="B304" s="33"/>
      <c r="C304" s="281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6">
        <f t="shared" ref="L304:N304" ca="1" si="140">L305+L306</f>
        <v>0</v>
      </c>
      <c r="M304" s="496">
        <f t="shared" ca="1" si="140"/>
        <v>0</v>
      </c>
      <c r="N304" s="496">
        <f t="shared" ca="1" si="140"/>
        <v>0</v>
      </c>
      <c r="O304" s="496">
        <f t="shared" ca="1" si="136"/>
        <v>0</v>
      </c>
      <c r="P304" s="496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2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2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IFERROR(__xludf.DUMMYFUNCTION("IMPORTRANGE(""https://docs.google.com/spreadsheets/d/1MeEWN-I1oV_STSDYn1IFDPWt_1FKiwhDph83XaGc0o0/edit?usp=sharing"",""งบพรบ!DV69"")"),0)</f>
        <v>0</v>
      </c>
      <c r="M306" s="93">
        <f ca="1">IFERROR(__xludf.DUMMYFUNCTION("IMPORTRANGE(""https://docs.google.com/spreadsheets/d/1MeEWN-I1oV_STSDYn1IFDPWt_1FKiwhDph83XaGc0o0/edit?usp=sharing"",""งบพรบ!DY69"")"),0)</f>
        <v>0</v>
      </c>
      <c r="N306" s="93">
        <f ca="1">IFERROR(__xludf.DUMMYFUNCTION("IMPORTRANGE(""https://docs.google.com/spreadsheets/d/1MeEWN-I1oV_STSDYn1IFDPWt_1FKiwhDph83XaGc0o0/edit?usp=sharing"",""งบพรบ!EA69"")"),0)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 hidden="1">
      <c r="A307" s="170"/>
      <c r="B307" s="171"/>
      <c r="C307" s="164" t="s">
        <v>16</v>
      </c>
      <c r="D307" s="823" t="s">
        <v>38</v>
      </c>
      <c r="E307" s="173"/>
      <c r="F307" s="173"/>
      <c r="G307" s="174"/>
      <c r="H307" s="753"/>
      <c r="I307" s="269"/>
      <c r="J307" s="269"/>
      <c r="K307" s="496"/>
      <c r="L307" s="496"/>
      <c r="M307" s="496"/>
      <c r="N307" s="496"/>
      <c r="O307" s="496"/>
      <c r="P307" s="496"/>
    </row>
    <row r="308" spans="1:26" ht="18.75" hidden="1">
      <c r="A308" s="170"/>
      <c r="B308" s="171"/>
      <c r="C308" s="171"/>
      <c r="D308" s="446" t="s">
        <v>140</v>
      </c>
      <c r="E308" s="446"/>
      <c r="F308" s="446"/>
      <c r="G308" s="179"/>
      <c r="H308" s="755"/>
      <c r="I308" s="269"/>
      <c r="J308" s="214">
        <v>0</v>
      </c>
      <c r="K308" s="496"/>
      <c r="L308" s="496"/>
      <c r="M308" s="496"/>
      <c r="N308" s="496"/>
      <c r="O308" s="496"/>
      <c r="P308" s="496"/>
    </row>
    <row r="309" spans="1:26" ht="18.75" hidden="1">
      <c r="A309" s="170"/>
      <c r="B309" s="171"/>
      <c r="C309" s="171"/>
      <c r="D309" s="446" t="s">
        <v>141</v>
      </c>
      <c r="E309" s="446"/>
      <c r="F309" s="446"/>
      <c r="G309" s="179"/>
      <c r="H309" s="755" t="s">
        <v>35</v>
      </c>
      <c r="I309" s="269">
        <f ca="1">IFERROR(__xludf.DUMMYFUNCTION("IMPORTRANGE(""https://docs.google.com/spreadsheets/d/1QqKyyYR6Q21VydFLVH3TRQUabQu_ym0Zz7PgGX0-kHA/edit?usp=sharing"",""แผน!ED69"")"),0)</f>
        <v>0</v>
      </c>
      <c r="J309" s="214">
        <v>0</v>
      </c>
      <c r="K309" s="496">
        <f t="shared" ref="K309:K312" ca="1" si="141">IF(I309&gt;0,J309*100/I309,0)</f>
        <v>0</v>
      </c>
      <c r="L309" s="496"/>
      <c r="M309" s="496"/>
      <c r="N309" s="496"/>
      <c r="O309" s="496"/>
      <c r="P309" s="496"/>
    </row>
    <row r="310" spans="1:26" ht="18.75" hidden="1">
      <c r="A310" s="170"/>
      <c r="B310" s="171"/>
      <c r="C310" s="171"/>
      <c r="D310" s="446" t="s">
        <v>142</v>
      </c>
      <c r="E310" s="446"/>
      <c r="F310" s="446"/>
      <c r="G310" s="179"/>
      <c r="H310" s="755" t="s">
        <v>35</v>
      </c>
      <c r="I310" s="269">
        <f ca="1">IFERROR(__xludf.DUMMYFUNCTION("IMPORTRANGE(""https://docs.google.com/spreadsheets/d/1QqKyyYR6Q21VydFLVH3TRQUabQu_ym0Zz7PgGX0-kHA/edit?usp=sharing"",""แผน!ED69"")"),0)</f>
        <v>0</v>
      </c>
      <c r="J310" s="214">
        <v>0</v>
      </c>
      <c r="K310" s="496">
        <f t="shared" ca="1" si="141"/>
        <v>0</v>
      </c>
      <c r="L310" s="496"/>
      <c r="M310" s="496"/>
      <c r="N310" s="496"/>
      <c r="O310" s="496"/>
      <c r="P310" s="496"/>
    </row>
    <row r="311" spans="1:26" ht="18.75" hidden="1">
      <c r="A311" s="170"/>
      <c r="B311" s="171"/>
      <c r="C311" s="171"/>
      <c r="D311" s="446" t="s">
        <v>59</v>
      </c>
      <c r="E311" s="446"/>
      <c r="F311" s="446"/>
      <c r="G311" s="179"/>
      <c r="H311" s="755" t="s">
        <v>35</v>
      </c>
      <c r="I311" s="269">
        <f ca="1">IFERROR(__xludf.DUMMYFUNCTION("IMPORTRANGE(""https://docs.google.com/spreadsheets/d/1QqKyyYR6Q21VydFLVH3TRQUabQu_ym0Zz7PgGX0-kHA/edit?usp=sharing"",""แผน!ED69"")"),0)</f>
        <v>0</v>
      </c>
      <c r="J311" s="214">
        <v>0</v>
      </c>
      <c r="K311" s="496">
        <f t="shared" ca="1" si="141"/>
        <v>0</v>
      </c>
      <c r="L311" s="496"/>
      <c r="M311" s="496"/>
      <c r="N311" s="496"/>
      <c r="O311" s="496"/>
      <c r="P311" s="496"/>
    </row>
    <row r="312" spans="1:26" ht="18.75" hidden="1">
      <c r="A312" s="170"/>
      <c r="B312" s="171"/>
      <c r="C312" s="171"/>
      <c r="D312" s="446" t="s">
        <v>143</v>
      </c>
      <c r="E312" s="446"/>
      <c r="F312" s="446"/>
      <c r="G312" s="179"/>
      <c r="H312" s="755" t="s">
        <v>35</v>
      </c>
      <c r="I312" s="269">
        <f ca="1">IFERROR(__xludf.DUMMYFUNCTION("IMPORTRANGE(""https://docs.google.com/spreadsheets/d/1QqKyyYR6Q21VydFLVH3TRQUabQu_ym0Zz7PgGX0-kHA/edit?usp=sharing"",""แผน!EE69"")"),0)</f>
        <v>0</v>
      </c>
      <c r="J312" s="214">
        <v>0</v>
      </c>
      <c r="K312" s="496">
        <f t="shared" ca="1" si="141"/>
        <v>0</v>
      </c>
      <c r="L312" s="496"/>
      <c r="M312" s="496"/>
      <c r="N312" s="496"/>
      <c r="O312" s="496"/>
      <c r="P312" s="496"/>
    </row>
    <row r="313" spans="1:26" ht="19.5">
      <c r="A313" s="431" t="s">
        <v>144</v>
      </c>
      <c r="B313" s="432"/>
      <c r="C313" s="432"/>
      <c r="D313" s="433"/>
      <c r="E313" s="432"/>
      <c r="F313" s="432"/>
      <c r="G313" s="432"/>
      <c r="H313" s="448"/>
      <c r="I313" s="436"/>
      <c r="J313" s="436"/>
      <c r="K313" s="437"/>
      <c r="L313" s="437"/>
      <c r="M313" s="437"/>
      <c r="N313" s="437"/>
      <c r="O313" s="437"/>
      <c r="P313" s="437"/>
    </row>
    <row r="314" spans="1:26" ht="19.5">
      <c r="A314" s="449"/>
      <c r="B314" s="439" t="s">
        <v>145</v>
      </c>
      <c r="C314" s="450"/>
      <c r="D314" s="451"/>
      <c r="E314" s="440"/>
      <c r="F314" s="440"/>
      <c r="G314" s="441"/>
      <c r="H314" s="442" t="s">
        <v>146</v>
      </c>
      <c r="I314" s="443">
        <f t="shared" ref="I314:J314" ca="1" si="142">I325</f>
        <v>2</v>
      </c>
      <c r="J314" s="443">
        <f t="shared" si="142"/>
        <v>1</v>
      </c>
      <c r="K314" s="444">
        <f ca="1">IF(I314&gt;0,J314*100/I314,0)</f>
        <v>50</v>
      </c>
      <c r="L314" s="445"/>
      <c r="M314" s="445"/>
      <c r="N314" s="445"/>
      <c r="O314" s="445"/>
      <c r="P314" s="445"/>
    </row>
    <row r="315" spans="1:26" ht="19.5">
      <c r="A315" s="147"/>
      <c r="B315" s="148"/>
      <c r="C315" s="149" t="s">
        <v>16</v>
      </c>
      <c r="D315" s="822" t="s">
        <v>17</v>
      </c>
      <c r="E315" s="148"/>
      <c r="F315" s="148"/>
      <c r="G315" s="151"/>
      <c r="H315" s="152" t="s">
        <v>12</v>
      </c>
      <c r="I315" s="419"/>
      <c r="J315" s="419"/>
      <c r="K315" s="154"/>
      <c r="L315" s="155">
        <f t="shared" ref="L315:N315" ca="1" si="143">L316+L317</f>
        <v>153000</v>
      </c>
      <c r="M315" s="155">
        <f t="shared" ca="1" si="143"/>
        <v>76500</v>
      </c>
      <c r="N315" s="155">
        <f t="shared" ca="1" si="143"/>
        <v>30705.59</v>
      </c>
      <c r="O315" s="155">
        <f t="shared" ref="O315:O323" ca="1" si="144">IF(L315&gt;0,N315*100/L315,0)</f>
        <v>20.069013071895426</v>
      </c>
      <c r="P315" s="155">
        <f t="shared" ref="P315:P323" ca="1" si="145">IF(M315&gt;0,N315*100/M315,0)</f>
        <v>40.138026143790853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2" t="s">
        <v>18</v>
      </c>
      <c r="F316" s="40"/>
      <c r="G316" s="157"/>
      <c r="H316" s="158" t="s">
        <v>12</v>
      </c>
      <c r="I316" s="610"/>
      <c r="J316" s="610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2" t="s">
        <v>19</v>
      </c>
      <c r="F317" s="40"/>
      <c r="G317" s="157"/>
      <c r="H317" s="158" t="s">
        <v>12</v>
      </c>
      <c r="I317" s="610"/>
      <c r="J317" s="610"/>
      <c r="K317" s="93"/>
      <c r="L317" s="93">
        <f t="shared" ca="1" si="146"/>
        <v>153000</v>
      </c>
      <c r="M317" s="93">
        <f t="shared" ca="1" si="146"/>
        <v>76500</v>
      </c>
      <c r="N317" s="93">
        <f t="shared" ca="1" si="146"/>
        <v>30705.59</v>
      </c>
      <c r="O317" s="93">
        <f t="shared" ca="1" si="144"/>
        <v>20.069013071895426</v>
      </c>
      <c r="P317" s="93">
        <f t="shared" ca="1" si="145"/>
        <v>40.138026143790853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>
      <c r="A318" s="159"/>
      <c r="B318" s="33"/>
      <c r="C318" s="281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6">
        <f t="shared" ref="L318:N318" ca="1" si="147">L319+L320</f>
        <v>153000</v>
      </c>
      <c r="M318" s="496">
        <f t="shared" ca="1" si="147"/>
        <v>76500</v>
      </c>
      <c r="N318" s="496">
        <f t="shared" ca="1" si="147"/>
        <v>30705.59</v>
      </c>
      <c r="O318" s="496">
        <f t="shared" ca="1" si="144"/>
        <v>20.069013071895426</v>
      </c>
      <c r="P318" s="496">
        <f t="shared" ca="1" si="145"/>
        <v>40.138026143790853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2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2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IFERROR(__xludf.DUMMYFUNCTION("IMPORTRANGE(""https://docs.google.com/spreadsheets/d/1MeEWN-I1oV_STSDYn1IFDPWt_1FKiwhDph83XaGc0o0/edit?usp=sharing"",""งบพรบ!EC69"")"),153000)</f>
        <v>153000</v>
      </c>
      <c r="M320" s="93">
        <f ca="1">IFERROR(__xludf.DUMMYFUNCTION("IMPORTRANGE(""https://docs.google.com/spreadsheets/d/1MeEWN-I1oV_STSDYn1IFDPWt_1FKiwhDph83XaGc0o0/edit?usp=sharing"",""งบพรบ!EH69"")"),76500)</f>
        <v>76500</v>
      </c>
      <c r="N320" s="93">
        <f ca="1">IFERROR(__xludf.DUMMYFUNCTION("IMPORTRANGE(""https://docs.google.com/spreadsheets/d/1MeEWN-I1oV_STSDYn1IFDPWt_1FKiwhDph83XaGc0o0/edit?usp=sharing"",""งบพรบ!EJ69"")"),30705.59)</f>
        <v>30705.59</v>
      </c>
      <c r="O320" s="93">
        <f t="shared" ca="1" si="144"/>
        <v>20.069013071895426</v>
      </c>
      <c r="P320" s="93">
        <f t="shared" ca="1" si="145"/>
        <v>40.138026143790853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>
      <c r="A321" s="159"/>
      <c r="B321" s="33"/>
      <c r="C321" s="281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6">
        <f t="shared" ref="L321:N321" ca="1" si="148">L322+L323</f>
        <v>0</v>
      </c>
      <c r="M321" s="496">
        <f t="shared" ca="1" si="148"/>
        <v>0</v>
      </c>
      <c r="N321" s="496">
        <f t="shared" ca="1" si="148"/>
        <v>0</v>
      </c>
      <c r="O321" s="496">
        <f t="shared" ca="1" si="144"/>
        <v>0</v>
      </c>
      <c r="P321" s="496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2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2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IFERROR(__xludf.DUMMYFUNCTION("IMPORTRANGE(""https://docs.google.com/spreadsheets/d/1MeEWN-I1oV_STSDYn1IFDPWt_1FKiwhDph83XaGc0o0/edit?usp=sharing"",""งบพรบ!EF69"")"),0)</f>
        <v>0</v>
      </c>
      <c r="M323" s="93">
        <f ca="1">IFERROR(__xludf.DUMMYFUNCTION("IMPORTRANGE(""https://docs.google.com/spreadsheets/d/1MeEWN-I1oV_STSDYn1IFDPWt_1FKiwhDph83XaGc0o0/edit?usp=sharing"",""งบพรบ!EI69"")"),0)</f>
        <v>0</v>
      </c>
      <c r="N323" s="93">
        <f ca="1">IFERROR(__xludf.DUMMYFUNCTION("IMPORTRANGE(""https://docs.google.com/spreadsheets/d/1MeEWN-I1oV_STSDYn1IFDPWt_1FKiwhDph83XaGc0o0/edit?usp=sharing"",""งบพรบ!EK69"")"),0)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>
      <c r="A324" s="170"/>
      <c r="B324" s="171"/>
      <c r="C324" s="164" t="s">
        <v>16</v>
      </c>
      <c r="D324" s="823" t="s">
        <v>38</v>
      </c>
      <c r="E324" s="173"/>
      <c r="F324" s="173"/>
      <c r="G324" s="174"/>
      <c r="H324" s="753"/>
      <c r="I324" s="184"/>
      <c r="J324" s="269"/>
      <c r="K324" s="496"/>
      <c r="L324" s="496"/>
      <c r="M324" s="496"/>
      <c r="N324" s="496"/>
      <c r="O324" s="163"/>
      <c r="P324" s="163"/>
    </row>
    <row r="325" spans="1:26" ht="18.75">
      <c r="A325" s="170"/>
      <c r="B325" s="171"/>
      <c r="C325" s="171"/>
      <c r="D325" s="176" t="s">
        <v>147</v>
      </c>
      <c r="E325" s="178"/>
      <c r="F325" s="446"/>
      <c r="G325" s="179"/>
      <c r="H325" s="616" t="s">
        <v>146</v>
      </c>
      <c r="I325" s="269">
        <f ca="1">IFERROR(__xludf.DUMMYFUNCTION("IMPORTRANGE(""https://docs.google.com/spreadsheets/d/1QqKyyYR6Q21VydFLVH3TRQUabQu_ym0Zz7PgGX0-kHA/edit?usp=sharing"",""แผน!EF69"")"),2)</f>
        <v>2</v>
      </c>
      <c r="J325" s="214">
        <v>1</v>
      </c>
      <c r="K325" s="496">
        <f ca="1">IF(I325&gt;0,J325*100/I325,0)</f>
        <v>50</v>
      </c>
      <c r="L325" s="496"/>
      <c r="M325" s="496"/>
      <c r="N325" s="496"/>
      <c r="O325" s="163"/>
      <c r="P325" s="163"/>
    </row>
    <row r="326" spans="1:26" ht="19.5">
      <c r="A326" s="431" t="s">
        <v>148</v>
      </c>
      <c r="B326" s="432"/>
      <c r="C326" s="432"/>
      <c r="D326" s="433"/>
      <c r="E326" s="432"/>
      <c r="F326" s="432"/>
      <c r="G326" s="432"/>
      <c r="H326" s="448"/>
      <c r="I326" s="436"/>
      <c r="J326" s="436"/>
      <c r="K326" s="437"/>
      <c r="L326" s="437"/>
      <c r="M326" s="437"/>
      <c r="N326" s="437"/>
      <c r="O326" s="437"/>
      <c r="P326" s="437"/>
    </row>
    <row r="327" spans="1:26" ht="19.5">
      <c r="A327" s="438"/>
      <c r="B327" s="439" t="s">
        <v>149</v>
      </c>
      <c r="C327" s="451"/>
      <c r="D327" s="440"/>
      <c r="E327" s="440"/>
      <c r="F327" s="440"/>
      <c r="G327" s="441"/>
      <c r="H327" s="442" t="s">
        <v>35</v>
      </c>
      <c r="I327" s="443">
        <f ca="1">IFERROR(__xludf.DUMMYFUNCTION("IMPORTRANGE(""https://docs.google.com/spreadsheets/d/1QqKyyYR6Q21VydFLVH3TRQUabQu_ym0Zz7PgGX0-kHA/edit?usp=sharing"",""แผน!EG69"")"),5300)</f>
        <v>5300</v>
      </c>
      <c r="J327" s="443">
        <f ca="1">J338+J341+J342+J343</f>
        <v>1264</v>
      </c>
      <c r="K327" s="444">
        <f ca="1">IF(I327&gt;0,J327*100/I327,0)</f>
        <v>23.849056603773583</v>
      </c>
      <c r="L327" s="445"/>
      <c r="M327" s="445"/>
      <c r="N327" s="445"/>
      <c r="O327" s="445"/>
      <c r="P327" s="445"/>
    </row>
    <row r="328" spans="1:26" ht="19.5">
      <c r="A328" s="147"/>
      <c r="B328" s="148"/>
      <c r="C328" s="149" t="s">
        <v>16</v>
      </c>
      <c r="D328" s="822" t="s">
        <v>17</v>
      </c>
      <c r="E328" s="148"/>
      <c r="F328" s="148"/>
      <c r="G328" s="151"/>
      <c r="H328" s="152" t="s">
        <v>12</v>
      </c>
      <c r="I328" s="419"/>
      <c r="J328" s="419"/>
      <c r="K328" s="154"/>
      <c r="L328" s="155">
        <f t="shared" ref="L328:N328" ca="1" si="149">L329+L330</f>
        <v>182000</v>
      </c>
      <c r="M328" s="155">
        <f t="shared" ca="1" si="149"/>
        <v>91000</v>
      </c>
      <c r="N328" s="155">
        <f t="shared" ca="1" si="149"/>
        <v>45262.26</v>
      </c>
      <c r="O328" s="155">
        <f t="shared" ref="O328:O336" ca="1" si="150">IF(L328&gt;0,N328*100/L328,0)</f>
        <v>24.869373626373626</v>
      </c>
      <c r="P328" s="155">
        <f t="shared" ref="P328:P336" ca="1" si="151">IF(M328&gt;0,N328*100/M328,0)</f>
        <v>49.738747252747253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2" t="s">
        <v>18</v>
      </c>
      <c r="F329" s="40"/>
      <c r="G329" s="157"/>
      <c r="H329" s="158" t="s">
        <v>12</v>
      </c>
      <c r="I329" s="610"/>
      <c r="J329" s="610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2" t="s">
        <v>19</v>
      </c>
      <c r="F330" s="40"/>
      <c r="G330" s="157"/>
      <c r="H330" s="158" t="s">
        <v>12</v>
      </c>
      <c r="I330" s="610"/>
      <c r="J330" s="610"/>
      <c r="K330" s="93"/>
      <c r="L330" s="93">
        <f t="shared" ca="1" si="152"/>
        <v>182000</v>
      </c>
      <c r="M330" s="93">
        <f t="shared" ca="1" si="152"/>
        <v>91000</v>
      </c>
      <c r="N330" s="93">
        <f t="shared" ca="1" si="152"/>
        <v>45262.26</v>
      </c>
      <c r="O330" s="93">
        <f t="shared" ca="1" si="150"/>
        <v>24.869373626373626</v>
      </c>
      <c r="P330" s="93">
        <f t="shared" ca="1" si="151"/>
        <v>49.738747252747253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1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6">
        <f t="shared" ref="L331:N331" ca="1" si="153">L332+L333</f>
        <v>182000</v>
      </c>
      <c r="M331" s="496">
        <f t="shared" ca="1" si="153"/>
        <v>91000</v>
      </c>
      <c r="N331" s="496">
        <f t="shared" ca="1" si="153"/>
        <v>45262.26</v>
      </c>
      <c r="O331" s="496">
        <f t="shared" ca="1" si="150"/>
        <v>24.869373626373626</v>
      </c>
      <c r="P331" s="496">
        <f t="shared" ca="1" si="151"/>
        <v>49.738747252747253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2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2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IFERROR(__xludf.DUMMYFUNCTION("IMPORTRANGE(""https://docs.google.com/spreadsheets/d/1MeEWN-I1oV_STSDYn1IFDPWt_1FKiwhDph83XaGc0o0/edit?usp=sharing"",""งบพรบ!EM69"")"),182000)</f>
        <v>182000</v>
      </c>
      <c r="M333" s="93">
        <f ca="1">IFERROR(__xludf.DUMMYFUNCTION("IMPORTRANGE(""https://docs.google.com/spreadsheets/d/1MeEWN-I1oV_STSDYn1IFDPWt_1FKiwhDph83XaGc0o0/edit?usp=sharing"",""งบพรบ!ER69"")"),91000)</f>
        <v>91000</v>
      </c>
      <c r="N333" s="93">
        <f ca="1">IFERROR(__xludf.DUMMYFUNCTION("IMPORTRANGE(""https://docs.google.com/spreadsheets/d/1MeEWN-I1oV_STSDYn1IFDPWt_1FKiwhDph83XaGc0o0/edit?usp=sharing"",""งบพรบ!ET69"")"),45262.26)</f>
        <v>45262.26</v>
      </c>
      <c r="O333" s="93">
        <f t="shared" ca="1" si="150"/>
        <v>24.869373626373626</v>
      </c>
      <c r="P333" s="93">
        <f t="shared" ca="1" si="151"/>
        <v>49.738747252747253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1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6">
        <f t="shared" ref="L334:N334" ca="1" si="154">L335+L336</f>
        <v>0</v>
      </c>
      <c r="M334" s="496">
        <f t="shared" ca="1" si="154"/>
        <v>0</v>
      </c>
      <c r="N334" s="496">
        <f t="shared" ca="1" si="154"/>
        <v>0</v>
      </c>
      <c r="O334" s="496">
        <f t="shared" ca="1" si="150"/>
        <v>0</v>
      </c>
      <c r="P334" s="496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2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2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IFERROR(__xludf.DUMMYFUNCTION("IMPORTRANGE(""https://docs.google.com/spreadsheets/d/1MeEWN-I1oV_STSDYn1IFDPWt_1FKiwhDph83XaGc0o0/edit?usp=sharing"",""งบพรบ!EP69"")"),0)</f>
        <v>0</v>
      </c>
      <c r="M336" s="93">
        <f ca="1">IFERROR(__xludf.DUMMYFUNCTION("IMPORTRANGE(""https://docs.google.com/spreadsheets/d/1MeEWN-I1oV_STSDYn1IFDPWt_1FKiwhDph83XaGc0o0/edit?usp=sharing"",""งบพรบ!ES69"")"),0)</f>
        <v>0</v>
      </c>
      <c r="N336" s="93">
        <f ca="1">IFERROR(__xludf.DUMMYFUNCTION("IMPORTRANGE(""https://docs.google.com/spreadsheets/d/1MeEWN-I1oV_STSDYn1IFDPWt_1FKiwhDph83XaGc0o0/edit?usp=sharing"",""งบพรบ!EU69"")"),0)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23" t="s">
        <v>38</v>
      </c>
      <c r="E337" s="173"/>
      <c r="F337" s="173"/>
      <c r="G337" s="174"/>
      <c r="H337" s="753"/>
      <c r="I337" s="184"/>
      <c r="J337" s="269"/>
      <c r="K337" s="496"/>
      <c r="L337" s="496"/>
      <c r="M337" s="496"/>
      <c r="N337" s="496"/>
      <c r="O337" s="163"/>
      <c r="P337" s="163"/>
    </row>
    <row r="338" spans="1:26" ht="18.75">
      <c r="A338" s="284"/>
      <c r="B338" s="33"/>
      <c r="C338" s="280"/>
      <c r="D338" s="446" t="s">
        <v>150</v>
      </c>
      <c r="E338" s="171"/>
      <c r="F338" s="33"/>
      <c r="G338" s="35"/>
      <c r="H338" s="276" t="s">
        <v>35</v>
      </c>
      <c r="I338" s="269">
        <f ca="1">IFERROR(__xludf.DUMMYFUNCTION("IMPORTRANGE(""https://docs.google.com/spreadsheets/d/1QqKyyYR6Q21VydFLVH3TRQUabQu_ym0Zz7PgGX0-kHA/edit?usp=sharing"",""แผน!EG69"")"),5300)</f>
        <v>5300</v>
      </c>
      <c r="J338" s="269">
        <f ca="1">IFERROR(__xludf.DUMMYFUNCTION("IMPORTRANGE(""https://docs.google.com/spreadsheets/d/1kVcqe37tkHyjCSG3S0O1AXqVkqjo8mSIZil3BcpIysc/edit?usp=sharing"",""ศูนย์!D69"")"),1232)</f>
        <v>1232</v>
      </c>
      <c r="K338" s="496">
        <f ca="1">IF(I338&gt;0,J338*100/I338,0)</f>
        <v>23.245283018867923</v>
      </c>
      <c r="L338" s="496"/>
      <c r="M338" s="496"/>
      <c r="N338" s="496"/>
      <c r="O338" s="496"/>
      <c r="P338" s="496"/>
    </row>
    <row r="339" spans="1:26" ht="18.75">
      <c r="A339" s="284"/>
      <c r="B339" s="33"/>
      <c r="C339" s="280"/>
      <c r="D339" s="446" t="s">
        <v>151</v>
      </c>
      <c r="E339" s="171"/>
      <c r="F339" s="33"/>
      <c r="G339" s="35"/>
      <c r="H339" s="276"/>
      <c r="I339" s="269"/>
      <c r="J339" s="269"/>
      <c r="K339" s="496"/>
      <c r="L339" s="496"/>
      <c r="M339" s="496"/>
      <c r="N339" s="496"/>
      <c r="O339" s="496"/>
      <c r="P339" s="496"/>
    </row>
    <row r="340" spans="1:26" ht="18.75">
      <c r="A340" s="284"/>
      <c r="B340" s="33"/>
      <c r="C340" s="280"/>
      <c r="D340" s="178"/>
      <c r="E340" s="446" t="s">
        <v>152</v>
      </c>
      <c r="F340" s="33"/>
      <c r="G340" s="35"/>
      <c r="H340" s="276" t="s">
        <v>153</v>
      </c>
      <c r="I340" s="269">
        <f ca="1">IFERROR(__xludf.DUMMYFUNCTION("IMPORTRANGE(""https://docs.google.com/spreadsheets/d/1QqKyyYR6Q21VydFLVH3TRQUabQu_ym0Zz7PgGX0-kHA/edit?usp=sharing"",""แผน!EH69"")"),7)</f>
        <v>7</v>
      </c>
      <c r="J340" s="269">
        <f ca="1">IFERROR(__xludf.DUMMYFUNCTION("IMPORTRANGE(""https://docs.google.com/spreadsheets/d/1kVcqe37tkHyjCSG3S0O1AXqVkqjo8mSIZil3BcpIysc/edit?usp=sharing"",""ศูนย์!E69"")"),2)</f>
        <v>2</v>
      </c>
      <c r="K340" s="496">
        <f ca="1">IF(I340&gt;0,J340*100/I340,0)</f>
        <v>28.571428571428573</v>
      </c>
      <c r="L340" s="496"/>
      <c r="M340" s="496"/>
      <c r="N340" s="496"/>
      <c r="O340" s="496"/>
      <c r="P340" s="496"/>
    </row>
    <row r="341" spans="1:26" ht="18.75">
      <c r="A341" s="284"/>
      <c r="B341" s="33"/>
      <c r="C341" s="280"/>
      <c r="D341" s="178"/>
      <c r="E341" s="446" t="s">
        <v>154</v>
      </c>
      <c r="F341" s="33"/>
      <c r="G341" s="35"/>
      <c r="H341" s="276" t="s">
        <v>35</v>
      </c>
      <c r="I341" s="269"/>
      <c r="J341" s="269">
        <f ca="1">IFERROR(__xludf.DUMMYFUNCTION("IMPORTRANGE(""https://docs.google.com/spreadsheets/d/1kVcqe37tkHyjCSG3S0O1AXqVkqjo8mSIZil3BcpIysc/edit?usp=sharing"",""ศูนย์!F69"")"),32)</f>
        <v>32</v>
      </c>
      <c r="K341" s="496"/>
      <c r="L341" s="496"/>
      <c r="M341" s="496"/>
      <c r="N341" s="496"/>
      <c r="O341" s="496"/>
      <c r="P341" s="496"/>
    </row>
    <row r="342" spans="1:26" ht="18.75">
      <c r="A342" s="284"/>
      <c r="B342" s="33"/>
      <c r="C342" s="280"/>
      <c r="D342" s="446" t="s">
        <v>155</v>
      </c>
      <c r="E342" s="178"/>
      <c r="F342" s="178"/>
      <c r="G342" s="35"/>
      <c r="H342" s="276" t="s">
        <v>35</v>
      </c>
      <c r="I342" s="269"/>
      <c r="J342" s="269">
        <f ca="1">IFERROR(__xludf.DUMMYFUNCTION("IMPORTRANGE(""https://docs.google.com/spreadsheets/d/1kVcqe37tkHyjCSG3S0O1AXqVkqjo8mSIZil3BcpIysc/edit?usp=sharing"",""ศูนย์!G69"")"),0)</f>
        <v>0</v>
      </c>
      <c r="K342" s="496"/>
      <c r="L342" s="496"/>
      <c r="M342" s="496"/>
      <c r="N342" s="496"/>
      <c r="O342" s="496"/>
      <c r="P342" s="496"/>
    </row>
    <row r="343" spans="1:26" ht="18.75">
      <c r="A343" s="284"/>
      <c r="B343" s="33"/>
      <c r="C343" s="280"/>
      <c r="D343" s="446" t="s">
        <v>156</v>
      </c>
      <c r="E343" s="178"/>
      <c r="F343" s="178"/>
      <c r="G343" s="35"/>
      <c r="H343" s="276" t="s">
        <v>35</v>
      </c>
      <c r="I343" s="269"/>
      <c r="J343" s="269">
        <f ca="1">IFERROR(__xludf.DUMMYFUNCTION("IMPORTRANGE(""https://docs.google.com/spreadsheets/d/1kVcqe37tkHyjCSG3S0O1AXqVkqjo8mSIZil3BcpIysc/edit?usp=sharing"",""ศูนย์!H69"")"),0)</f>
        <v>0</v>
      </c>
      <c r="K343" s="496"/>
      <c r="L343" s="496"/>
      <c r="M343" s="496"/>
      <c r="N343" s="496"/>
      <c r="O343" s="496"/>
      <c r="P343" s="496"/>
    </row>
    <row r="344" spans="1:26" ht="19.5">
      <c r="A344" s="438"/>
      <c r="B344" s="439" t="s">
        <v>157</v>
      </c>
      <c r="C344" s="451"/>
      <c r="D344" s="440"/>
      <c r="E344" s="440"/>
      <c r="F344" s="440"/>
      <c r="G344" s="441"/>
      <c r="H344" s="442"/>
      <c r="I344" s="452"/>
      <c r="J344" s="452"/>
      <c r="K344" s="445"/>
      <c r="L344" s="445"/>
      <c r="M344" s="445"/>
      <c r="N344" s="445"/>
      <c r="O344" s="445"/>
      <c r="P344" s="445"/>
    </row>
    <row r="345" spans="1:26" ht="19.5">
      <c r="A345" s="147"/>
      <c r="B345" s="148"/>
      <c r="C345" s="149" t="s">
        <v>16</v>
      </c>
      <c r="D345" s="822" t="s">
        <v>17</v>
      </c>
      <c r="E345" s="148"/>
      <c r="F345" s="148"/>
      <c r="G345" s="151"/>
      <c r="H345" s="152" t="s">
        <v>12</v>
      </c>
      <c r="I345" s="419"/>
      <c r="J345" s="419"/>
      <c r="K345" s="154"/>
      <c r="L345" s="155">
        <f t="shared" ref="L345:N345" ca="1" si="155">L346+L347</f>
        <v>1533320</v>
      </c>
      <c r="M345" s="155">
        <f t="shared" ca="1" si="155"/>
        <v>815560</v>
      </c>
      <c r="N345" s="155">
        <f t="shared" ca="1" si="155"/>
        <v>355068.66000000003</v>
      </c>
      <c r="O345" s="155">
        <f t="shared" ref="O345:O353" ca="1" si="156">IF(L345&gt;0,N345*100/L345,0)</f>
        <v>23.156853103070461</v>
      </c>
      <c r="P345" s="155">
        <f t="shared" ref="P345:P353" ca="1" si="157">IF(M345&gt;0,N345*100/M345,0)</f>
        <v>43.53679189759184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2" t="s">
        <v>18</v>
      </c>
      <c r="F346" s="40"/>
      <c r="G346" s="157"/>
      <c r="H346" s="158" t="s">
        <v>12</v>
      </c>
      <c r="I346" s="610"/>
      <c r="J346" s="610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2" t="s">
        <v>19</v>
      </c>
      <c r="F347" s="40"/>
      <c r="G347" s="157"/>
      <c r="H347" s="158" t="s">
        <v>12</v>
      </c>
      <c r="I347" s="610"/>
      <c r="J347" s="610"/>
      <c r="K347" s="93"/>
      <c r="L347" s="93">
        <f t="shared" ca="1" si="158"/>
        <v>1533320</v>
      </c>
      <c r="M347" s="93">
        <f t="shared" ca="1" si="158"/>
        <v>815560</v>
      </c>
      <c r="N347" s="93">
        <f t="shared" ca="1" si="158"/>
        <v>355068.66000000003</v>
      </c>
      <c r="O347" s="93">
        <f t="shared" ca="1" si="156"/>
        <v>23.156853103070461</v>
      </c>
      <c r="P347" s="93">
        <f t="shared" ca="1" si="157"/>
        <v>43.53679189759184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1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6">
        <f t="shared" ref="L348:N348" ca="1" si="159">L349+L350</f>
        <v>1435520</v>
      </c>
      <c r="M348" s="496">
        <f t="shared" ca="1" si="159"/>
        <v>717760</v>
      </c>
      <c r="N348" s="496">
        <f t="shared" ca="1" si="159"/>
        <v>257268.66</v>
      </c>
      <c r="O348" s="496">
        <f t="shared" ca="1" si="156"/>
        <v>17.92163536558181</v>
      </c>
      <c r="P348" s="496">
        <f t="shared" ca="1" si="157"/>
        <v>35.843270731163621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2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2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IFERROR(__xludf.DUMMYFUNCTION("IMPORTRANGE(""https://docs.google.com/spreadsheets/d/1MeEWN-I1oV_STSDYn1IFDPWt_1FKiwhDph83XaGc0o0/edit?usp=sharing"",""งบพรบ!EW69"")"),1435520)</f>
        <v>1435520</v>
      </c>
      <c r="M350" s="93">
        <f ca="1">IFERROR(__xludf.DUMMYFUNCTION("IMPORTRANGE(""https://docs.google.com/spreadsheets/d/1MeEWN-I1oV_STSDYn1IFDPWt_1FKiwhDph83XaGc0o0/edit?usp=sharing"",""งบพรบ!FB69"")"),717760)</f>
        <v>717760</v>
      </c>
      <c r="N350" s="93">
        <f ca="1">IFERROR(__xludf.DUMMYFUNCTION("IMPORTRANGE(""https://docs.google.com/spreadsheets/d/1MeEWN-I1oV_STSDYn1IFDPWt_1FKiwhDph83XaGc0o0/edit?usp=sharing"",""งบพรบ!FD69"")"),257268.66)</f>
        <v>257268.66</v>
      </c>
      <c r="O350" s="93">
        <f t="shared" ca="1" si="156"/>
        <v>17.92163536558181</v>
      </c>
      <c r="P350" s="93">
        <f t="shared" ca="1" si="157"/>
        <v>35.843270731163621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1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6">
        <f t="shared" ref="L351:N351" ca="1" si="160">L352+L353</f>
        <v>97800</v>
      </c>
      <c r="M351" s="496">
        <f t="shared" ca="1" si="160"/>
        <v>97800</v>
      </c>
      <c r="N351" s="496">
        <f t="shared" ca="1" si="160"/>
        <v>97800</v>
      </c>
      <c r="O351" s="496">
        <f t="shared" ca="1" si="156"/>
        <v>100</v>
      </c>
      <c r="P351" s="496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2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2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IFERROR(__xludf.DUMMYFUNCTION("IMPORTRANGE(""https://docs.google.com/spreadsheets/d/1MeEWN-I1oV_STSDYn1IFDPWt_1FKiwhDph83XaGc0o0/edit?usp=sharing"",""งบพรบ!EZ69"")"),97800)</f>
        <v>97800</v>
      </c>
      <c r="M353" s="93">
        <f ca="1">IFERROR(__xludf.DUMMYFUNCTION("IMPORTRANGE(""https://docs.google.com/spreadsheets/d/1MeEWN-I1oV_STSDYn1IFDPWt_1FKiwhDph83XaGc0o0/edit?usp=sharing"",""งบพรบ!FC69"")"),97800)</f>
        <v>97800</v>
      </c>
      <c r="N353" s="93">
        <f ca="1">IFERROR(__xludf.DUMMYFUNCTION("IMPORTRANGE(""https://docs.google.com/spreadsheets/d/1MeEWN-I1oV_STSDYn1IFDPWt_1FKiwhDph83XaGc0o0/edit?usp=sharing"",""งบพรบ!FE69"")"),97800)</f>
        <v>97800</v>
      </c>
      <c r="O353" s="93">
        <f t="shared" ca="1" si="156"/>
        <v>100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5"/>
      <c r="B354" s="263"/>
      <c r="C354" s="256"/>
      <c r="D354" s="832" t="s">
        <v>158</v>
      </c>
      <c r="E354" s="256"/>
      <c r="F354" s="256"/>
      <c r="G354" s="258"/>
      <c r="H354" s="454"/>
      <c r="I354" s="260"/>
      <c r="J354" s="260"/>
      <c r="K354" s="261"/>
      <c r="L354" s="261"/>
      <c r="M354" s="261"/>
      <c r="N354" s="261"/>
      <c r="O354" s="261"/>
      <c r="P354" s="261"/>
    </row>
    <row r="355" spans="1:26" ht="19.5">
      <c r="A355" s="455"/>
      <c r="B355" s="456"/>
      <c r="C355" s="457"/>
      <c r="D355" s="833" t="s">
        <v>159</v>
      </c>
      <c r="E355" s="459"/>
      <c r="F355" s="459"/>
      <c r="G355" s="460"/>
      <c r="H355" s="461" t="s">
        <v>35</v>
      </c>
      <c r="I355" s="463">
        <f ca="1">IFERROR(__xludf.DUMMYFUNCTION("IMPORTRANGE(""https://docs.google.com/spreadsheets/d/1QqKyyYR6Q21VydFLVH3TRQUabQu_ym0Zz7PgGX0-kHA/edit?usp=sharing"",""แผน!EP69"")"),570)</f>
        <v>570</v>
      </c>
      <c r="J355" s="463">
        <f ca="1">J362</f>
        <v>1</v>
      </c>
      <c r="K355" s="464">
        <f ca="1">IF(I355&gt;0,J355*100/I355,0)</f>
        <v>0.17543859649122806</v>
      </c>
      <c r="L355" s="465"/>
      <c r="M355" s="465"/>
      <c r="N355" s="465"/>
      <c r="O355" s="465"/>
      <c r="P355" s="465"/>
    </row>
    <row r="356" spans="1:26" ht="19.5">
      <c r="A356" s="455"/>
      <c r="B356" s="456"/>
      <c r="C356" s="457"/>
      <c r="D356" s="466" t="s">
        <v>160</v>
      </c>
      <c r="E356" s="459"/>
      <c r="F356" s="459"/>
      <c r="G356" s="460"/>
      <c r="H356" s="467"/>
      <c r="I356" s="468"/>
      <c r="J356" s="468"/>
      <c r="K356" s="465"/>
      <c r="L356" s="465"/>
      <c r="M356" s="465"/>
      <c r="N356" s="465"/>
      <c r="O356" s="465"/>
      <c r="P356" s="465"/>
    </row>
    <row r="357" spans="1:26" ht="19.5">
      <c r="A357" s="170"/>
      <c r="B357" s="171"/>
      <c r="C357" s="164" t="s">
        <v>16</v>
      </c>
      <c r="D357" s="823" t="s">
        <v>38</v>
      </c>
      <c r="E357" s="173"/>
      <c r="F357" s="173"/>
      <c r="G357" s="174"/>
      <c r="H357" s="753"/>
      <c r="I357" s="269"/>
      <c r="J357" s="269"/>
      <c r="K357" s="496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69">
        <v>0</v>
      </c>
      <c r="J358" s="269">
        <f ca="1">IFERROR(__xludf.DUMMYFUNCTION("IMPORTRANGE(""https://docs.google.com/spreadsheets/d/1XWAQStnk-4SwqDmLtmXYiTMKHgktTP8We1SCoS47DrQ/edit?usp=sharing"",""จัดที่ดิน!W69"")"),103)</f>
        <v>103</v>
      </c>
      <c r="K358" s="496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69">
        <f ca="1">IFERROR(__xludf.DUMMYFUNCTION("IMPORTRANGE(""https://docs.google.com/spreadsheets/d/1QqKyyYR6Q21VydFLVH3TRQUabQu_ym0Zz7PgGX0-kHA/edit?usp=sharing"",""แผน!EO69"")"),8500)</f>
        <v>8500</v>
      </c>
      <c r="J359" s="269">
        <f ca="1">IFERROR(__xludf.DUMMYFUNCTION("IMPORTRANGE(""https://docs.google.com/spreadsheets/d/1XWAQStnk-4SwqDmLtmXYiTMKHgktTP8We1SCoS47DrQ/edit?usp=sharing"",""จัดที่ดิน!X69"")"),1203.88999999999)</f>
        <v>1203.8899999999901</v>
      </c>
      <c r="K359" s="496">
        <f t="shared" ca="1" si="161"/>
        <v>14.163411764705765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755" t="s">
        <v>35</v>
      </c>
      <c r="I360" s="269">
        <f ca="1">IFERROR(__xludf.DUMMYFUNCTION("IMPORTRANGE(""https://docs.google.com/spreadsheets/d/1QqKyyYR6Q21VydFLVH3TRQUabQu_ym0Zz7PgGX0-kHA/edit?usp=sharing"",""แผน!EP69"")"),570)</f>
        <v>570</v>
      </c>
      <c r="J360" s="269">
        <f ca="1">IFERROR(__xludf.DUMMYFUNCTION("IMPORTRANGE(""https://docs.google.com/spreadsheets/d/1XWAQStnk-4SwqDmLtmXYiTMKHgktTP8We1SCoS47DrQ/edit?usp=sharing"",""จัดที่ดิน!Y69"")"),96)</f>
        <v>96</v>
      </c>
      <c r="K360" s="496">
        <f t="shared" ca="1" si="161"/>
        <v>16.842105263157894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755" t="s">
        <v>46</v>
      </c>
      <c r="I361" s="269">
        <v>0</v>
      </c>
      <c r="J361" s="269">
        <f ca="1">IFERROR(__xludf.DUMMYFUNCTION("IMPORTRANGE(""https://docs.google.com/spreadsheets/d/1XWAQStnk-4SwqDmLtmXYiTMKHgktTP8We1SCoS47DrQ/edit?usp=sharing"",""จัดที่ดิน!Z69"")"),1146.19)</f>
        <v>1146.19</v>
      </c>
      <c r="K361" s="496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755" t="s">
        <v>35</v>
      </c>
      <c r="I362" s="269">
        <f ca="1">IFERROR(__xludf.DUMMYFUNCTION("IMPORTRANGE(""https://docs.google.com/spreadsheets/d/1QqKyyYR6Q21VydFLVH3TRQUabQu_ym0Zz7PgGX0-kHA/edit?usp=sharing"",""แผน!EP69"")"),570)</f>
        <v>570</v>
      </c>
      <c r="J362" s="269">
        <f ca="1">IFERROR(__xludf.DUMMYFUNCTION("IMPORTRANGE(""https://docs.google.com/spreadsheets/d/1XWAQStnk-4SwqDmLtmXYiTMKHgktTP8We1SCoS47DrQ/edit?usp=sharing"",""จัดที่ดิน!AA69"")"),1)</f>
        <v>1</v>
      </c>
      <c r="K362" s="496">
        <f t="shared" ca="1" si="161"/>
        <v>0.17543859649122806</v>
      </c>
      <c r="L362" s="163"/>
      <c r="M362" s="163"/>
      <c r="N362" s="163"/>
      <c r="O362" s="163"/>
      <c r="P362" s="163"/>
    </row>
    <row r="363" spans="1:26" ht="18.75">
      <c r="A363" s="469" t="s">
        <v>164</v>
      </c>
      <c r="B363" s="178"/>
      <c r="C363" s="171"/>
      <c r="D363" s="178"/>
      <c r="E363" s="446"/>
      <c r="F363" s="178"/>
      <c r="G363" s="179"/>
      <c r="H363" s="755" t="s">
        <v>46</v>
      </c>
      <c r="I363" s="269">
        <v>0</v>
      </c>
      <c r="J363" s="269">
        <f ca="1">IFERROR(__xludf.DUMMYFUNCTION("IMPORTRANGE(""https://docs.google.com/spreadsheets/d/1XWAQStnk-4SwqDmLtmXYiTMKHgktTP8We1SCoS47DrQ/edit?usp=sharing"",""จัดที่ดิน!AB69"")"),21)</f>
        <v>21</v>
      </c>
      <c r="K363" s="496">
        <f t="shared" si="161"/>
        <v>0</v>
      </c>
      <c r="L363" s="163"/>
      <c r="M363" s="163"/>
      <c r="N363" s="163"/>
      <c r="O363" s="163"/>
      <c r="P363" s="163"/>
    </row>
    <row r="364" spans="1:26" ht="19.5">
      <c r="A364" s="470"/>
      <c r="B364" s="471"/>
      <c r="C364" s="472"/>
      <c r="D364" s="473" t="s">
        <v>165</v>
      </c>
      <c r="E364" s="474"/>
      <c r="F364" s="474"/>
      <c r="G364" s="475"/>
      <c r="H364" s="476" t="s">
        <v>35</v>
      </c>
      <c r="I364" s="477">
        <f t="shared" ref="I364:J364" ca="1" si="162">I365+I374</f>
        <v>770</v>
      </c>
      <c r="J364" s="477">
        <f t="shared" ca="1" si="162"/>
        <v>4</v>
      </c>
      <c r="K364" s="478">
        <f t="shared" ca="1" si="161"/>
        <v>0.51948051948051943</v>
      </c>
      <c r="L364" s="479"/>
      <c r="M364" s="479"/>
      <c r="N364" s="479"/>
      <c r="O364" s="479"/>
      <c r="P364" s="479"/>
      <c r="Q364" s="480"/>
      <c r="R364" s="480"/>
      <c r="S364" s="480"/>
      <c r="T364" s="480"/>
      <c r="U364" s="480"/>
      <c r="V364" s="480"/>
      <c r="W364" s="480"/>
      <c r="X364" s="480"/>
      <c r="Y364" s="480"/>
      <c r="Z364" s="480"/>
    </row>
    <row r="365" spans="1:26" ht="19.5">
      <c r="A365" s="481"/>
      <c r="B365" s="482"/>
      <c r="C365" s="484"/>
      <c r="D365" s="484" t="s">
        <v>166</v>
      </c>
      <c r="E365" s="485"/>
      <c r="F365" s="485"/>
      <c r="G365" s="486"/>
      <c r="H365" s="487" t="s">
        <v>35</v>
      </c>
      <c r="I365" s="489">
        <f ca="1">IFERROR(__xludf.DUMMYFUNCTION("IMPORTRANGE(""https://docs.google.com/spreadsheets/d/1QqKyyYR6Q21VydFLVH3TRQUabQu_ym0Zz7PgGX0-kHA/edit?usp=sharing"",""แผน!EJ69"")"),200)</f>
        <v>200</v>
      </c>
      <c r="J365" s="489">
        <f ca="1">J372</f>
        <v>1</v>
      </c>
      <c r="K365" s="490">
        <f t="shared" ca="1" si="161"/>
        <v>0.5</v>
      </c>
      <c r="L365" s="491"/>
      <c r="M365" s="491"/>
      <c r="N365" s="491"/>
      <c r="O365" s="491"/>
      <c r="P365" s="491"/>
      <c r="Q365" s="480"/>
      <c r="R365" s="480"/>
      <c r="S365" s="480"/>
      <c r="T365" s="480"/>
      <c r="U365" s="480"/>
      <c r="V365" s="480"/>
      <c r="W365" s="480"/>
      <c r="X365" s="480"/>
      <c r="Y365" s="480"/>
      <c r="Z365" s="480"/>
    </row>
    <row r="366" spans="1:26" ht="19.5">
      <c r="A366" s="481"/>
      <c r="B366" s="482"/>
      <c r="C366" s="484"/>
      <c r="D366" s="492" t="s">
        <v>167</v>
      </c>
      <c r="E366" s="485"/>
      <c r="F366" s="485"/>
      <c r="G366" s="486"/>
      <c r="H366" s="493"/>
      <c r="I366" s="494"/>
      <c r="J366" s="494"/>
      <c r="K366" s="491"/>
      <c r="L366" s="491"/>
      <c r="M366" s="491"/>
      <c r="N366" s="491"/>
      <c r="O366" s="491"/>
      <c r="P366" s="491"/>
      <c r="Q366" s="480"/>
      <c r="R366" s="480"/>
      <c r="S366" s="480"/>
      <c r="T366" s="480"/>
      <c r="U366" s="480"/>
      <c r="V366" s="480"/>
      <c r="W366" s="480"/>
      <c r="X366" s="480"/>
      <c r="Y366" s="480"/>
      <c r="Z366" s="480"/>
    </row>
    <row r="367" spans="1:26" ht="19.5">
      <c r="A367" s="170"/>
      <c r="B367" s="171"/>
      <c r="C367" s="164" t="s">
        <v>16</v>
      </c>
      <c r="D367" s="823" t="s">
        <v>38</v>
      </c>
      <c r="E367" s="173"/>
      <c r="F367" s="173"/>
      <c r="G367" s="174"/>
      <c r="H367" s="753"/>
      <c r="I367" s="269"/>
      <c r="J367" s="269"/>
      <c r="K367" s="496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69">
        <v>0</v>
      </c>
      <c r="J368" s="269">
        <f ca="1">IFERROR(__xludf.DUMMYFUNCTION("IMPORTRANGE(""https://docs.google.com/spreadsheets/d/1XWAQStnk-4SwqDmLtmXYiTMKHgktTP8We1SCoS47DrQ/edit?usp=sharing"",""จัดที่ดิน!E69"")"),29)</f>
        <v>29</v>
      </c>
      <c r="K368" s="496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69">
        <f ca="1">IFERROR(__xludf.DUMMYFUNCTION("IMPORTRANGE(""https://docs.google.com/spreadsheets/d/1QqKyyYR6Q21VydFLVH3TRQUabQu_ym0Zz7PgGX0-kHA/edit?usp=sharing"",""แผน!EI69"")"),3000)</f>
        <v>3000</v>
      </c>
      <c r="J369" s="269">
        <f ca="1">IFERROR(__xludf.DUMMYFUNCTION("IMPORTRANGE(""https://docs.google.com/spreadsheets/d/1XWAQStnk-4SwqDmLtmXYiTMKHgktTP8We1SCoS47DrQ/edit?usp=sharing"",""จัดที่ดิน!F69"")"),351.58)</f>
        <v>351.58</v>
      </c>
      <c r="K369" s="496">
        <f t="shared" ca="1" si="163"/>
        <v>11.719333333333333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55" t="s">
        <v>35</v>
      </c>
      <c r="I370" s="269">
        <f ca="1">IFERROR(__xludf.DUMMYFUNCTION("IMPORTRANGE(""https://docs.google.com/spreadsheets/d/1QqKyyYR6Q21VydFLVH3TRQUabQu_ym0Zz7PgGX0-kHA/edit?usp=sharing"",""แผน!EJ69"")"),200)</f>
        <v>200</v>
      </c>
      <c r="J370" s="269">
        <f ca="1">IFERROR(__xludf.DUMMYFUNCTION("IMPORTRANGE(""https://docs.google.com/spreadsheets/d/1XWAQStnk-4SwqDmLtmXYiTMKHgktTP8We1SCoS47DrQ/edit?usp=sharing"",""จัดที่ดิน!G69"")"),22)</f>
        <v>22</v>
      </c>
      <c r="K370" s="496">
        <f t="shared" ca="1" si="163"/>
        <v>11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55" t="s">
        <v>46</v>
      </c>
      <c r="I371" s="269">
        <v>0</v>
      </c>
      <c r="J371" s="269">
        <f ca="1">IFERROR(__xludf.DUMMYFUNCTION("IMPORTRANGE(""https://docs.google.com/spreadsheets/d/1XWAQStnk-4SwqDmLtmXYiTMKHgktTP8We1SCoS47DrQ/edit?usp=sharing"",""จัดที่ดิน!H69"")"),293.88)</f>
        <v>293.88</v>
      </c>
      <c r="K371" s="496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55" t="s">
        <v>35</v>
      </c>
      <c r="I372" s="269">
        <f ca="1">IFERROR(__xludf.DUMMYFUNCTION("IMPORTRANGE(""https://docs.google.com/spreadsheets/d/1QqKyyYR6Q21VydFLVH3TRQUabQu_ym0Zz7PgGX0-kHA/edit?usp=sharing"",""แผน!EJ69"")"),200)</f>
        <v>200</v>
      </c>
      <c r="J372" s="269">
        <f ca="1">IFERROR(__xludf.DUMMYFUNCTION("IMPORTRANGE(""https://docs.google.com/spreadsheets/d/1XWAQStnk-4SwqDmLtmXYiTMKHgktTP8We1SCoS47DrQ/edit?usp=sharing"",""จัดที่ดิน!I69"")"),1)</f>
        <v>1</v>
      </c>
      <c r="K372" s="496">
        <f t="shared" ca="1" si="163"/>
        <v>0.5</v>
      </c>
      <c r="L372" s="163"/>
      <c r="M372" s="163"/>
      <c r="N372" s="163"/>
      <c r="O372" s="163"/>
      <c r="P372" s="163"/>
    </row>
    <row r="373" spans="1:26" ht="18.75">
      <c r="A373" s="469" t="s">
        <v>164</v>
      </c>
      <c r="B373" s="178"/>
      <c r="C373" s="171"/>
      <c r="D373" s="178"/>
      <c r="E373" s="446"/>
      <c r="F373" s="178"/>
      <c r="G373" s="179"/>
      <c r="H373" s="755" t="s">
        <v>46</v>
      </c>
      <c r="I373" s="269">
        <v>0</v>
      </c>
      <c r="J373" s="269">
        <f ca="1">IFERROR(__xludf.DUMMYFUNCTION("IMPORTRANGE(""https://docs.google.com/spreadsheets/d/1XWAQStnk-4SwqDmLtmXYiTMKHgktTP8We1SCoS47DrQ/edit?usp=sharing"",""จัดที่ดิน!J69"")"),21)</f>
        <v>21</v>
      </c>
      <c r="K373" s="496">
        <f t="shared" si="163"/>
        <v>0</v>
      </c>
      <c r="L373" s="163"/>
      <c r="M373" s="163"/>
      <c r="N373" s="163"/>
      <c r="O373" s="163"/>
      <c r="P373" s="163"/>
    </row>
    <row r="374" spans="1:26" ht="19.5">
      <c r="A374" s="481"/>
      <c r="B374" s="482"/>
      <c r="C374" s="484"/>
      <c r="D374" s="484" t="s">
        <v>168</v>
      </c>
      <c r="E374" s="485"/>
      <c r="F374" s="485"/>
      <c r="G374" s="486"/>
      <c r="H374" s="487" t="s">
        <v>35</v>
      </c>
      <c r="I374" s="495">
        <f ca="1">IFERROR(__xludf.DUMMYFUNCTION("IMPORTRANGE(""https://docs.google.com/spreadsheets/d/1QqKyyYR6Q21VydFLVH3TRQUabQu_ym0Zz7PgGX0-kHA/edit?usp=sharing"",""แผน!EU69"")"),570)</f>
        <v>570</v>
      </c>
      <c r="J374" s="489">
        <f ca="1">J381</f>
        <v>3</v>
      </c>
      <c r="K374" s="490">
        <f t="shared" ca="1" si="163"/>
        <v>0.52631578947368418</v>
      </c>
      <c r="L374" s="491"/>
      <c r="M374" s="491"/>
      <c r="N374" s="491"/>
      <c r="O374" s="491"/>
      <c r="P374" s="491"/>
      <c r="Q374" s="480"/>
      <c r="R374" s="480"/>
      <c r="S374" s="480"/>
      <c r="T374" s="480"/>
      <c r="U374" s="480"/>
      <c r="V374" s="480"/>
      <c r="W374" s="480"/>
      <c r="X374" s="480"/>
      <c r="Y374" s="480"/>
      <c r="Z374" s="480"/>
    </row>
    <row r="375" spans="1:26" ht="19.5">
      <c r="A375" s="481"/>
      <c r="B375" s="482"/>
      <c r="C375" s="484"/>
      <c r="D375" s="492" t="s">
        <v>169</v>
      </c>
      <c r="E375" s="485"/>
      <c r="F375" s="485"/>
      <c r="G375" s="486"/>
      <c r="H375" s="493"/>
      <c r="I375" s="494"/>
      <c r="J375" s="494"/>
      <c r="K375" s="491"/>
      <c r="L375" s="491"/>
      <c r="M375" s="491"/>
      <c r="N375" s="491"/>
      <c r="O375" s="491"/>
      <c r="P375" s="491"/>
      <c r="Q375" s="480"/>
      <c r="R375" s="480"/>
      <c r="S375" s="480"/>
      <c r="T375" s="480"/>
      <c r="U375" s="480"/>
      <c r="V375" s="480"/>
      <c r="W375" s="480"/>
      <c r="X375" s="480"/>
      <c r="Y375" s="480"/>
      <c r="Z375" s="480"/>
    </row>
    <row r="376" spans="1:26" ht="19.5">
      <c r="A376" s="170"/>
      <c r="B376" s="171"/>
      <c r="C376" s="164" t="s">
        <v>16</v>
      </c>
      <c r="D376" s="823" t="s">
        <v>38</v>
      </c>
      <c r="E376" s="173"/>
      <c r="F376" s="173"/>
      <c r="G376" s="174"/>
      <c r="H376" s="753"/>
      <c r="I376" s="269"/>
      <c r="J376" s="269"/>
      <c r="K376" s="496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69">
        <v>0</v>
      </c>
      <c r="J377" s="269">
        <f ca="1">IFERROR(__xludf.DUMMYFUNCTION("IMPORTRANGE(""https://docs.google.com/spreadsheets/d/1XWAQStnk-4SwqDmLtmXYiTMKHgktTP8We1SCoS47DrQ/edit?usp=sharing"",""จัดที่ดิน!AH69"")"),74)</f>
        <v>74</v>
      </c>
      <c r="K377" s="496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69">
        <f ca="1">IFERROR(__xludf.DUMMYFUNCTION("IMPORTRANGE(""https://docs.google.com/spreadsheets/d/1QqKyyYR6Q21VydFLVH3TRQUabQu_ym0Zz7PgGX0-kHA/edit?usp=sharing"",""แผน!ET69"")"),5500)</f>
        <v>5500</v>
      </c>
      <c r="J378" s="269">
        <f ca="1">IFERROR(__xludf.DUMMYFUNCTION("IMPORTRANGE(""https://docs.google.com/spreadsheets/d/1XWAQStnk-4SwqDmLtmXYiTMKHgktTP8We1SCoS47DrQ/edit?usp=sharing"",""จัดที่ดิน!AI69"")"),852.31)</f>
        <v>852.31</v>
      </c>
      <c r="K378" s="496">
        <f t="shared" ca="1" si="164"/>
        <v>15.496545454545455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55" t="s">
        <v>35</v>
      </c>
      <c r="I379" s="269">
        <f ca="1">IFERROR(__xludf.DUMMYFUNCTION("IMPORTRANGE(""https://docs.google.com/spreadsheets/d/1QqKyyYR6Q21VydFLVH3TRQUabQu_ym0Zz7PgGX0-kHA/edit?usp=sharing"",""แผน!EU69"")"),570)</f>
        <v>570</v>
      </c>
      <c r="J379" s="269">
        <f ca="1">IFERROR(__xludf.DUMMYFUNCTION("IMPORTRANGE(""https://docs.google.com/spreadsheets/d/1XWAQStnk-4SwqDmLtmXYiTMKHgktTP8We1SCoS47DrQ/edit?usp=sharing"",""จัดที่ดิน!AJ69"")"),77)</f>
        <v>77</v>
      </c>
      <c r="K379" s="496">
        <f t="shared" ca="1" si="164"/>
        <v>13.508771929824562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55" t="s">
        <v>46</v>
      </c>
      <c r="I380" s="269">
        <v>0</v>
      </c>
      <c r="J380" s="269">
        <f ca="1">IFERROR(__xludf.DUMMYFUNCTION("IMPORTRANGE(""https://docs.google.com/spreadsheets/d/1XWAQStnk-4SwqDmLtmXYiTMKHgktTP8We1SCoS47DrQ/edit?usp=sharing"",""จัดที่ดิน!AK69"")"),894.12)</f>
        <v>894.12</v>
      </c>
      <c r="K380" s="496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55" t="s">
        <v>35</v>
      </c>
      <c r="I381" s="269">
        <f ca="1">IFERROR(__xludf.DUMMYFUNCTION("IMPORTRANGE(""https://docs.google.com/spreadsheets/d/1QqKyyYR6Q21VydFLVH3TRQUabQu_ym0Zz7PgGX0-kHA/edit?usp=sharing"",""แผน!EU69"")"),570)</f>
        <v>570</v>
      </c>
      <c r="J381" s="269">
        <f ca="1">IFERROR(__xludf.DUMMYFUNCTION("IMPORTRANGE(""https://docs.google.com/spreadsheets/d/1XWAQStnk-4SwqDmLtmXYiTMKHgktTP8We1SCoS47DrQ/edit?usp=sharing"",""จัดที่ดิน!AL69"")"),3)</f>
        <v>3</v>
      </c>
      <c r="K381" s="496">
        <f t="shared" ca="1" si="164"/>
        <v>0.52631578947368418</v>
      </c>
      <c r="L381" s="163"/>
      <c r="M381" s="163"/>
      <c r="N381" s="163"/>
      <c r="O381" s="163"/>
      <c r="P381" s="163"/>
    </row>
    <row r="382" spans="1:26" ht="18.75">
      <c r="A382" s="469" t="s">
        <v>164</v>
      </c>
      <c r="B382" s="178"/>
      <c r="C382" s="171"/>
      <c r="D382" s="178"/>
      <c r="E382" s="446"/>
      <c r="F382" s="178"/>
      <c r="G382" s="179"/>
      <c r="H382" s="755" t="s">
        <v>46</v>
      </c>
      <c r="I382" s="269">
        <v>0</v>
      </c>
      <c r="J382" s="269">
        <f ca="1">IFERROR(__xludf.DUMMYFUNCTION("IMPORTRANGE(""https://docs.google.com/spreadsheets/d/1XWAQStnk-4SwqDmLtmXYiTMKHgktTP8We1SCoS47DrQ/edit?usp=sharing"",""จัดที่ดิน!AM69"")"),41.81)</f>
        <v>41.81</v>
      </c>
      <c r="K382" s="496">
        <f t="shared" si="164"/>
        <v>0</v>
      </c>
      <c r="L382" s="163"/>
      <c r="M382" s="163"/>
      <c r="N382" s="163"/>
      <c r="O382" s="163"/>
      <c r="P382" s="163"/>
    </row>
    <row r="383" spans="1:26" ht="19.5">
      <c r="A383" s="255"/>
      <c r="B383" s="263"/>
      <c r="C383" s="256"/>
      <c r="D383" s="832" t="s">
        <v>170</v>
      </c>
      <c r="E383" s="256"/>
      <c r="F383" s="256"/>
      <c r="G383" s="258"/>
      <c r="H383" s="454"/>
      <c r="I383" s="260"/>
      <c r="J383" s="260"/>
      <c r="K383" s="261"/>
      <c r="L383" s="261"/>
      <c r="M383" s="261"/>
      <c r="N383" s="261"/>
      <c r="O383" s="261"/>
      <c r="P383" s="261"/>
    </row>
    <row r="384" spans="1:26" ht="19.5">
      <c r="A384" s="170"/>
      <c r="B384" s="171"/>
      <c r="C384" s="33" t="s">
        <v>16</v>
      </c>
      <c r="D384" s="823" t="s">
        <v>38</v>
      </c>
      <c r="E384" s="173"/>
      <c r="F384" s="173"/>
      <c r="G384" s="174"/>
      <c r="H384" s="753"/>
      <c r="I384" s="269"/>
      <c r="J384" s="269"/>
      <c r="K384" s="496"/>
      <c r="L384" s="163"/>
      <c r="M384" s="163"/>
      <c r="N384" s="163"/>
      <c r="O384" s="163"/>
      <c r="P384" s="163"/>
    </row>
    <row r="385" spans="1:26" ht="18.75">
      <c r="A385" s="377"/>
      <c r="B385" s="380"/>
      <c r="C385" s="378"/>
      <c r="D385" s="380"/>
      <c r="E385" s="497" t="s">
        <v>163</v>
      </c>
      <c r="F385" s="380"/>
      <c r="G385" s="381"/>
      <c r="H385" s="498" t="s">
        <v>35</v>
      </c>
      <c r="I385" s="499">
        <f ca="1">IFERROR(__xludf.DUMMYFUNCTION("IMPORTRANGE(""https://docs.google.com/spreadsheets/d/1QqKyyYR6Q21VydFLVH3TRQUabQu_ym0Zz7PgGX0-kHA/edit?usp=sharing"",""แผน!EW69"")"),20)</f>
        <v>20</v>
      </c>
      <c r="J385" s="499">
        <f ca="1">IFERROR(__xludf.DUMMYFUNCTION("IMPORTRANGE(""https://docs.google.com/spreadsheets/d/1XWAQStnk-4SwqDmLtmXYiTMKHgktTP8We1SCoS47DrQ/edit?usp=sharing"",""จัดที่ดิน!AP69"")"),0)</f>
        <v>0</v>
      </c>
      <c r="K385" s="500">
        <f ca="1">IF(I385&gt;0,J385*100/I385,0)</f>
        <v>0</v>
      </c>
      <c r="L385" s="384"/>
      <c r="M385" s="384"/>
      <c r="N385" s="384"/>
      <c r="O385" s="384"/>
      <c r="P385" s="384"/>
    </row>
    <row r="386" spans="1:26" ht="19.5" hidden="1">
      <c r="A386" s="501" t="s">
        <v>171</v>
      </c>
      <c r="B386" s="502"/>
      <c r="C386" s="502"/>
      <c r="D386" s="502"/>
      <c r="E386" s="503"/>
      <c r="F386" s="503"/>
      <c r="G386" s="504"/>
      <c r="H386" s="505"/>
      <c r="I386" s="506"/>
      <c r="J386" s="506"/>
      <c r="K386" s="507"/>
      <c r="L386" s="507"/>
      <c r="M386" s="507"/>
      <c r="N386" s="507"/>
      <c r="O386" s="507"/>
      <c r="P386" s="507"/>
    </row>
    <row r="387" spans="1:26" ht="19.5" hidden="1">
      <c r="A387" s="508" t="s">
        <v>172</v>
      </c>
      <c r="B387" s="509"/>
      <c r="C387" s="509"/>
      <c r="D387" s="510"/>
      <c r="E387" s="509"/>
      <c r="F387" s="509"/>
      <c r="G387" s="509"/>
      <c r="H387" s="511"/>
      <c r="I387" s="512"/>
      <c r="J387" s="512"/>
      <c r="K387" s="513"/>
      <c r="L387" s="513"/>
      <c r="M387" s="513"/>
      <c r="N387" s="513"/>
      <c r="O387" s="513"/>
      <c r="P387" s="513"/>
    </row>
    <row r="388" spans="1:26" ht="19.5" hidden="1">
      <c r="A388" s="514"/>
      <c r="B388" s="515" t="s">
        <v>173</v>
      </c>
      <c r="C388" s="516"/>
      <c r="D388" s="517"/>
      <c r="E388" s="517"/>
      <c r="F388" s="517"/>
      <c r="G388" s="518"/>
      <c r="H388" s="519" t="s">
        <v>69</v>
      </c>
      <c r="I388" s="520">
        <f t="shared" ref="I388:J388" si="165">I400</f>
        <v>0</v>
      </c>
      <c r="J388" s="520">
        <f t="shared" si="165"/>
        <v>0</v>
      </c>
      <c r="K388" s="521">
        <f>IF(I388&gt;0,J388*100/I388,0)</f>
        <v>0</v>
      </c>
      <c r="L388" s="522"/>
      <c r="M388" s="522"/>
      <c r="N388" s="522"/>
      <c r="O388" s="522"/>
      <c r="P388" s="522"/>
    </row>
    <row r="389" spans="1:26" ht="19.5" hidden="1">
      <c r="A389" s="147"/>
      <c r="B389" s="148"/>
      <c r="C389" s="149" t="s">
        <v>16</v>
      </c>
      <c r="D389" s="822" t="s">
        <v>17</v>
      </c>
      <c r="E389" s="148"/>
      <c r="F389" s="148"/>
      <c r="G389" s="151"/>
      <c r="H389" s="152" t="s">
        <v>12</v>
      </c>
      <c r="I389" s="419"/>
      <c r="J389" s="419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2" t="s">
        <v>18</v>
      </c>
      <c r="F390" s="40"/>
      <c r="G390" s="157"/>
      <c r="H390" s="158" t="s">
        <v>12</v>
      </c>
      <c r="I390" s="610"/>
      <c r="J390" s="610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2" t="s">
        <v>19</v>
      </c>
      <c r="F391" s="40"/>
      <c r="G391" s="157"/>
      <c r="H391" s="158" t="s">
        <v>12</v>
      </c>
      <c r="I391" s="610"/>
      <c r="J391" s="610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1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6">
        <f t="shared" ref="L392:N392" ca="1" si="170">L393+L394</f>
        <v>0</v>
      </c>
      <c r="M392" s="496">
        <f t="shared" ca="1" si="170"/>
        <v>0</v>
      </c>
      <c r="N392" s="496">
        <f t="shared" ca="1" si="170"/>
        <v>0</v>
      </c>
      <c r="O392" s="496">
        <f t="shared" ca="1" si="167"/>
        <v>0</v>
      </c>
      <c r="P392" s="496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2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2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IFERROR(__xludf.DUMMYFUNCTION("IMPORTRANGE(""https://docs.google.com/spreadsheets/d/1MeEWN-I1oV_STSDYn1IFDPWt_1FKiwhDph83XaGc0o0/edit?usp=sharing"",""งบพรบ!FG69"")"),0)</f>
        <v>0</v>
      </c>
      <c r="M394" s="93">
        <f ca="1">IFERROR(__xludf.DUMMYFUNCTION("IMPORTRANGE(""https://docs.google.com/spreadsheets/d/1MeEWN-I1oV_STSDYn1IFDPWt_1FKiwhDph83XaGc0o0/edit?usp=sharing"",""งบพรบ!FL69"")"),0)</f>
        <v>0</v>
      </c>
      <c r="N394" s="93">
        <f ca="1">IFERROR(__xludf.DUMMYFUNCTION("IMPORTRANGE(""https://docs.google.com/spreadsheets/d/1MeEWN-I1oV_STSDYn1IFDPWt_1FKiwhDph83XaGc0o0/edit?usp=sharing"",""งบพรบ!FN69"")"),0)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1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6">
        <f t="shared" ref="L395:N395" ca="1" si="171">L396+L397</f>
        <v>0</v>
      </c>
      <c r="M395" s="496">
        <f t="shared" ca="1" si="171"/>
        <v>0</v>
      </c>
      <c r="N395" s="496">
        <f t="shared" ca="1" si="171"/>
        <v>0</v>
      </c>
      <c r="O395" s="496">
        <f t="shared" ca="1" si="167"/>
        <v>0</v>
      </c>
      <c r="P395" s="496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2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2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IFERROR(__xludf.DUMMYFUNCTION("IMPORTRANGE(""https://docs.google.com/spreadsheets/d/1MeEWN-I1oV_STSDYn1IFDPWt_1FKiwhDph83XaGc0o0/edit?usp=sharing"",""งบพรบ!FJ69"")"),0)</f>
        <v>0</v>
      </c>
      <c r="M397" s="93">
        <f ca="1">IFERROR(__xludf.DUMMYFUNCTION("IMPORTRANGE(""https://docs.google.com/spreadsheets/d/1MeEWN-I1oV_STSDYn1IFDPWt_1FKiwhDph83XaGc0o0/edit?usp=sharing"",""งบพรบ!FM69"")"),0)</f>
        <v>0</v>
      </c>
      <c r="N397" s="93">
        <f ca="1">IFERROR(__xludf.DUMMYFUNCTION("IMPORTRANGE(""https://docs.google.com/spreadsheets/d/1MeEWN-I1oV_STSDYn1IFDPWt_1FKiwhDph83XaGc0o0/edit?usp=sharing"",""งบพรบ!FO69"")"),0)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23" t="s">
        <v>38</v>
      </c>
      <c r="E398" s="173"/>
      <c r="F398" s="173"/>
      <c r="G398" s="174"/>
      <c r="H398" s="753"/>
      <c r="I398" s="184"/>
      <c r="J398" s="269"/>
      <c r="K398" s="496"/>
      <c r="L398" s="496"/>
      <c r="M398" s="496"/>
      <c r="N398" s="496"/>
      <c r="O398" s="163"/>
      <c r="P398" s="163"/>
    </row>
    <row r="399" spans="1:26" ht="18.75" hidden="1">
      <c r="A399" s="523"/>
      <c r="B399" s="148"/>
      <c r="C399" s="524"/>
      <c r="D399" s="525" t="s">
        <v>174</v>
      </c>
      <c r="E399" s="414"/>
      <c r="F399" s="148"/>
      <c r="G399" s="151"/>
      <c r="H399" s="526" t="s">
        <v>9</v>
      </c>
      <c r="I399" s="269">
        <v>0</v>
      </c>
      <c r="J399" s="214">
        <v>0</v>
      </c>
      <c r="K399" s="496">
        <f t="shared" ref="K399:K401" si="172">IF(I399&gt;0,J399*100/I399,0)</f>
        <v>0</v>
      </c>
      <c r="L399" s="527"/>
      <c r="M399" s="527"/>
      <c r="N399" s="527"/>
      <c r="O399" s="527"/>
      <c r="P399" s="527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4"/>
      <c r="B400" s="33"/>
      <c r="C400" s="280"/>
      <c r="D400" s="446" t="s">
        <v>175</v>
      </c>
      <c r="E400" s="171"/>
      <c r="F400" s="33"/>
      <c r="G400" s="35"/>
      <c r="H400" s="276" t="s">
        <v>69</v>
      </c>
      <c r="I400" s="269">
        <v>0</v>
      </c>
      <c r="J400" s="214">
        <v>0</v>
      </c>
      <c r="K400" s="496">
        <f t="shared" si="172"/>
        <v>0</v>
      </c>
      <c r="L400" s="496"/>
      <c r="M400" s="496"/>
      <c r="N400" s="496"/>
      <c r="O400" s="496"/>
      <c r="P400" s="496"/>
    </row>
    <row r="401" spans="1:26" ht="19.5" hidden="1">
      <c r="A401" s="514"/>
      <c r="B401" s="515" t="s">
        <v>176</v>
      </c>
      <c r="C401" s="516"/>
      <c r="D401" s="517"/>
      <c r="E401" s="517"/>
      <c r="F401" s="517"/>
      <c r="G401" s="518"/>
      <c r="H401" s="519" t="s">
        <v>69</v>
      </c>
      <c r="I401" s="520">
        <f t="shared" ref="I401:J401" si="173">I412</f>
        <v>0</v>
      </c>
      <c r="J401" s="520">
        <f t="shared" si="173"/>
        <v>0</v>
      </c>
      <c r="K401" s="521">
        <f t="shared" si="172"/>
        <v>0</v>
      </c>
      <c r="L401" s="522"/>
      <c r="M401" s="522"/>
      <c r="N401" s="522"/>
      <c r="O401" s="522"/>
      <c r="P401" s="522"/>
    </row>
    <row r="402" spans="1:26" ht="19.5" hidden="1">
      <c r="A402" s="147"/>
      <c r="B402" s="148"/>
      <c r="C402" s="149" t="s">
        <v>16</v>
      </c>
      <c r="D402" s="822" t="s">
        <v>17</v>
      </c>
      <c r="E402" s="148"/>
      <c r="F402" s="148"/>
      <c r="G402" s="151"/>
      <c r="H402" s="152" t="s">
        <v>12</v>
      </c>
      <c r="I402" s="419"/>
      <c r="J402" s="419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2" t="s">
        <v>18</v>
      </c>
      <c r="F403" s="40"/>
      <c r="G403" s="157"/>
      <c r="H403" s="158" t="s">
        <v>12</v>
      </c>
      <c r="I403" s="610"/>
      <c r="J403" s="610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2" t="s">
        <v>19</v>
      </c>
      <c r="F404" s="40"/>
      <c r="G404" s="157"/>
      <c r="H404" s="158" t="s">
        <v>12</v>
      </c>
      <c r="I404" s="610"/>
      <c r="J404" s="610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1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6">
        <f t="shared" ref="L405:N405" ca="1" si="178">L406+L407</f>
        <v>0</v>
      </c>
      <c r="M405" s="496">
        <f t="shared" ca="1" si="178"/>
        <v>0</v>
      </c>
      <c r="N405" s="496">
        <f t="shared" ca="1" si="178"/>
        <v>0</v>
      </c>
      <c r="O405" s="496">
        <f t="shared" ca="1" si="175"/>
        <v>0</v>
      </c>
      <c r="P405" s="496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2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2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IFERROR(__xludf.DUMMYFUNCTION("IMPORTRANGE(""https://docs.google.com/spreadsheets/d/1MeEWN-I1oV_STSDYn1IFDPWt_1FKiwhDph83XaGc0o0/edit?usp=sharing"",""งบพรบ!FQ69"")"),0)</f>
        <v>0</v>
      </c>
      <c r="M407" s="93">
        <f ca="1">IFERROR(__xludf.DUMMYFUNCTION("IMPORTRANGE(""https://docs.google.com/spreadsheets/d/1MeEWN-I1oV_STSDYn1IFDPWt_1FKiwhDph83XaGc0o0/edit?usp=sharing"",""งบพรบ!FV69"")"),0)</f>
        <v>0</v>
      </c>
      <c r="N407" s="93">
        <f ca="1">IFERROR(__xludf.DUMMYFUNCTION("IMPORTRANGE(""https://docs.google.com/spreadsheets/d/1MeEWN-I1oV_STSDYn1IFDPWt_1FKiwhDph83XaGc0o0/edit?usp=sharing"",""งบพรบ!FX69"")"),0)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1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6">
        <f t="shared" ref="L408:N408" ca="1" si="179">L409+L410</f>
        <v>0</v>
      </c>
      <c r="M408" s="496">
        <f t="shared" ca="1" si="179"/>
        <v>0</v>
      </c>
      <c r="N408" s="496">
        <f t="shared" ca="1" si="179"/>
        <v>0</v>
      </c>
      <c r="O408" s="496">
        <f t="shared" ca="1" si="175"/>
        <v>0</v>
      </c>
      <c r="P408" s="496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2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2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IFERROR(__xludf.DUMMYFUNCTION("IMPORTRANGE(""https://docs.google.com/spreadsheets/d/1MeEWN-I1oV_STSDYn1IFDPWt_1FKiwhDph83XaGc0o0/edit?usp=sharing"",""งบพรบ!FT69"")"),0)</f>
        <v>0</v>
      </c>
      <c r="M410" s="93">
        <f ca="1">IFERROR(__xludf.DUMMYFUNCTION("IMPORTRANGE(""https://docs.google.com/spreadsheets/d/1MeEWN-I1oV_STSDYn1IFDPWt_1FKiwhDph83XaGc0o0/edit?usp=sharing"",""งบพรบ!FW69"")"),0)</f>
        <v>0</v>
      </c>
      <c r="N410" s="93">
        <f ca="1">IFERROR(__xludf.DUMMYFUNCTION("IMPORTRANGE(""https://docs.google.com/spreadsheets/d/1MeEWN-I1oV_STSDYn1IFDPWt_1FKiwhDph83XaGc0o0/edit?usp=sharing"",""งบพรบ!FY69"")"),0)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34" t="s">
        <v>38</v>
      </c>
      <c r="E411" s="529"/>
      <c r="F411" s="529"/>
      <c r="G411" s="530"/>
      <c r="H411" s="753"/>
      <c r="I411" s="269"/>
      <c r="J411" s="269"/>
      <c r="K411" s="496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6" t="s">
        <v>177</v>
      </c>
      <c r="E412" s="178"/>
      <c r="F412" s="178"/>
      <c r="G412" s="179"/>
      <c r="H412" s="531" t="s">
        <v>69</v>
      </c>
      <c r="I412" s="269">
        <v>0</v>
      </c>
      <c r="J412" s="214">
        <v>0</v>
      </c>
      <c r="K412" s="496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2"/>
      <c r="B413" s="533"/>
      <c r="C413" s="533"/>
      <c r="D413" s="534" t="s">
        <v>178</v>
      </c>
      <c r="E413" s="533"/>
      <c r="F413" s="533"/>
      <c r="G413" s="535"/>
      <c r="H413" s="536" t="s">
        <v>179</v>
      </c>
      <c r="I413" s="537">
        <v>0</v>
      </c>
      <c r="J413" s="538">
        <v>0</v>
      </c>
      <c r="K413" s="539">
        <f t="shared" si="180"/>
        <v>0</v>
      </c>
      <c r="L413" s="540"/>
      <c r="M413" s="540"/>
      <c r="N413" s="540"/>
      <c r="O413" s="540"/>
      <c r="P413" s="540"/>
    </row>
    <row r="414" spans="1:26" ht="19.5">
      <c r="A414" s="541" t="s">
        <v>180</v>
      </c>
      <c r="B414" s="542"/>
      <c r="C414" s="542"/>
      <c r="D414" s="542"/>
      <c r="E414" s="542"/>
      <c r="F414" s="542"/>
      <c r="G414" s="543"/>
      <c r="H414" s="544"/>
      <c r="I414" s="545"/>
      <c r="J414" s="545"/>
      <c r="K414" s="546"/>
      <c r="L414" s="547">
        <f t="shared" ref="L414:N414" ca="1" si="181">L419+L444+L467+L502+L523+L544+L629+L655+L685+L737+L754+L770+L786+L805</f>
        <v>2229607</v>
      </c>
      <c r="M414" s="547">
        <f t="shared" si="181"/>
        <v>0</v>
      </c>
      <c r="N414" s="547">
        <f t="shared" si="181"/>
        <v>253337.47999999998</v>
      </c>
      <c r="O414" s="547">
        <f ca="1">IF(L414&gt;0,N414*100/L414,0)</f>
        <v>11.362427548890903</v>
      </c>
      <c r="P414" s="547">
        <f>IF(M414&gt;0,N414*100/M414,0)</f>
        <v>0</v>
      </c>
    </row>
    <row r="415" spans="1:26" ht="19.5">
      <c r="A415" s="548" t="s">
        <v>181</v>
      </c>
      <c r="B415" s="549"/>
      <c r="C415" s="549"/>
      <c r="D415" s="549"/>
      <c r="E415" s="549"/>
      <c r="F415" s="549"/>
      <c r="G415" s="549"/>
      <c r="H415" s="550"/>
      <c r="I415" s="551"/>
      <c r="J415" s="551"/>
      <c r="K415" s="552"/>
      <c r="L415" s="553"/>
      <c r="M415" s="553"/>
      <c r="N415" s="553"/>
      <c r="O415" s="553"/>
      <c r="P415" s="553"/>
    </row>
    <row r="416" spans="1:26" ht="19.5">
      <c r="A416" s="548" t="s">
        <v>182</v>
      </c>
      <c r="B416" s="549"/>
      <c r="C416" s="549"/>
      <c r="D416" s="549"/>
      <c r="E416" s="549"/>
      <c r="F416" s="549"/>
      <c r="G416" s="554"/>
      <c r="H416" s="555"/>
      <c r="I416" s="556"/>
      <c r="J416" s="556"/>
      <c r="K416" s="553"/>
      <c r="L416" s="553"/>
      <c r="M416" s="553"/>
      <c r="N416" s="553"/>
      <c r="O416" s="553"/>
      <c r="P416" s="553"/>
    </row>
    <row r="417" spans="1:26" ht="39">
      <c r="A417" s="557">
        <v>1</v>
      </c>
      <c r="B417" s="559" t="s">
        <v>183</v>
      </c>
      <c r="C417" s="559"/>
      <c r="D417" s="560"/>
      <c r="E417" s="560"/>
      <c r="F417" s="560"/>
      <c r="G417" s="561"/>
      <c r="H417" s="562" t="s">
        <v>35</v>
      </c>
      <c r="I417" s="563">
        <f t="shared" ref="I417:J418" ca="1" si="182">I433</f>
        <v>20</v>
      </c>
      <c r="J417" s="563">
        <f t="shared" ca="1" si="182"/>
        <v>0</v>
      </c>
      <c r="K417" s="564">
        <f t="shared" ref="K417:K418" ca="1" si="183">IF(I417&gt;0,J417*100/I417,0)</f>
        <v>0</v>
      </c>
      <c r="L417" s="565"/>
      <c r="M417" s="565"/>
      <c r="N417" s="565"/>
      <c r="O417" s="565"/>
      <c r="P417" s="565"/>
    </row>
    <row r="418" spans="1:26" ht="19.5">
      <c r="A418" s="566"/>
      <c r="B418" s="557"/>
      <c r="C418" s="559"/>
      <c r="D418" s="560"/>
      <c r="E418" s="560"/>
      <c r="F418" s="560"/>
      <c r="G418" s="561"/>
      <c r="H418" s="562" t="s">
        <v>49</v>
      </c>
      <c r="I418" s="563">
        <f t="shared" ca="1" si="182"/>
        <v>1</v>
      </c>
      <c r="J418" s="563">
        <f t="shared" si="182"/>
        <v>0</v>
      </c>
      <c r="K418" s="564">
        <f t="shared" ca="1" si="183"/>
        <v>0</v>
      </c>
      <c r="L418" s="565"/>
      <c r="M418" s="565"/>
      <c r="N418" s="565"/>
      <c r="O418" s="565"/>
      <c r="P418" s="565"/>
    </row>
    <row r="419" spans="1:26" ht="19.5">
      <c r="A419" s="147"/>
      <c r="B419" s="148"/>
      <c r="C419" s="148" t="s">
        <v>16</v>
      </c>
      <c r="D419" s="868" t="s">
        <v>17</v>
      </c>
      <c r="E419" s="862"/>
      <c r="F419" s="862"/>
      <c r="G419" s="151"/>
      <c r="H419" s="274" t="s">
        <v>12</v>
      </c>
      <c r="I419" s="419"/>
      <c r="J419" s="419"/>
      <c r="K419" s="154"/>
      <c r="L419" s="155">
        <f t="shared" ref="L419:N419" ca="1" si="184">L420+L421</f>
        <v>78660</v>
      </c>
      <c r="M419" s="155">
        <f t="shared" si="184"/>
        <v>0</v>
      </c>
      <c r="N419" s="155">
        <f t="shared" si="184"/>
        <v>6030</v>
      </c>
      <c r="O419" s="155">
        <f t="shared" ref="O419:O424" ca="1" si="185">IF(L419&gt;0,N419*100/L419,0)</f>
        <v>7.665903890160183</v>
      </c>
      <c r="P419" s="155">
        <f t="shared" ref="P419:P424" si="186">IF(M419&gt;0,N419*100/M419,0)</f>
        <v>0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2"/>
      <c r="E420" s="222" t="s">
        <v>184</v>
      </c>
      <c r="F420" s="40"/>
      <c r="G420" s="157"/>
      <c r="H420" s="165" t="s">
        <v>12</v>
      </c>
      <c r="I420" s="610"/>
      <c r="J420" s="610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2"/>
      <c r="E421" s="222" t="s">
        <v>185</v>
      </c>
      <c r="F421" s="40"/>
      <c r="G421" s="157"/>
      <c r="H421" s="165" t="s">
        <v>12</v>
      </c>
      <c r="I421" s="610"/>
      <c r="J421" s="610"/>
      <c r="K421" s="93"/>
      <c r="L421" s="93">
        <f t="shared" ca="1" si="187"/>
        <v>78660</v>
      </c>
      <c r="M421" s="93">
        <f t="shared" si="187"/>
        <v>0</v>
      </c>
      <c r="N421" s="93">
        <f t="shared" si="187"/>
        <v>6030</v>
      </c>
      <c r="O421" s="93">
        <f t="shared" ca="1" si="185"/>
        <v>7.665903890160183</v>
      </c>
      <c r="P421" s="93">
        <f t="shared" si="186"/>
        <v>0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0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6">
        <f t="shared" ref="L422:N422" ca="1" si="188">L423+L424</f>
        <v>78660</v>
      </c>
      <c r="M422" s="496">
        <f t="shared" si="188"/>
        <v>0</v>
      </c>
      <c r="N422" s="496">
        <f t="shared" si="188"/>
        <v>6030</v>
      </c>
      <c r="O422" s="496">
        <f t="shared" ca="1" si="185"/>
        <v>7.665903890160183</v>
      </c>
      <c r="P422" s="496">
        <f t="shared" si="186"/>
        <v>0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2"/>
      <c r="E423" s="222" t="s">
        <v>184</v>
      </c>
      <c r="F423" s="40"/>
      <c r="G423" s="157"/>
      <c r="H423" s="165" t="s">
        <v>12</v>
      </c>
      <c r="I423" s="610"/>
      <c r="J423" s="610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2"/>
      <c r="E424" s="222" t="s">
        <v>185</v>
      </c>
      <c r="F424" s="40"/>
      <c r="G424" s="157"/>
      <c r="H424" s="165" t="s">
        <v>12</v>
      </c>
      <c r="I424" s="610"/>
      <c r="J424" s="610"/>
      <c r="K424" s="93"/>
      <c r="L424" s="93">
        <f ca="1">IFERROR(__xludf.DUMMYFUNCTION("IMPORTRANGE(""https://docs.google.com/spreadsheets/d/1QqKyyYR6Q21VydFLVH3TRQUabQu_ym0Zz7PgGX0-kHA/edit?usp=sharing"",""แผน!EY69"")"),78660)</f>
        <v>78660</v>
      </c>
      <c r="M424" s="93">
        <v>0</v>
      </c>
      <c r="N424" s="93">
        <f>N425+N426+N427+N428</f>
        <v>6030</v>
      </c>
      <c r="O424" s="93">
        <f t="shared" ca="1" si="185"/>
        <v>7.665903890160183</v>
      </c>
      <c r="P424" s="93">
        <f t="shared" si="186"/>
        <v>0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67"/>
      <c r="B425" s="568"/>
      <c r="C425" s="754"/>
      <c r="D425" s="754"/>
      <c r="E425" s="754"/>
      <c r="F425" s="754" t="s">
        <v>186</v>
      </c>
      <c r="G425" s="189"/>
      <c r="H425" s="161" t="s">
        <v>12</v>
      </c>
      <c r="I425" s="269"/>
      <c r="J425" s="269"/>
      <c r="K425" s="496"/>
      <c r="L425" s="496"/>
      <c r="M425" s="496"/>
      <c r="N425" s="817">
        <v>0</v>
      </c>
      <c r="O425" s="496"/>
      <c r="P425" s="496"/>
      <c r="Q425" s="571"/>
      <c r="R425" s="571"/>
      <c r="S425" s="571"/>
      <c r="T425" s="571"/>
      <c r="U425" s="571"/>
      <c r="V425" s="571"/>
      <c r="W425" s="571"/>
      <c r="X425" s="571"/>
      <c r="Y425" s="571"/>
      <c r="Z425" s="571"/>
    </row>
    <row r="426" spans="1:26" ht="18.75">
      <c r="A426" s="567"/>
      <c r="B426" s="568"/>
      <c r="C426" s="754"/>
      <c r="D426" s="754"/>
      <c r="E426" s="754"/>
      <c r="F426" s="754" t="s">
        <v>187</v>
      </c>
      <c r="G426" s="189"/>
      <c r="H426" s="161" t="s">
        <v>12</v>
      </c>
      <c r="I426" s="269"/>
      <c r="J426" s="269"/>
      <c r="K426" s="496"/>
      <c r="L426" s="496"/>
      <c r="M426" s="496"/>
      <c r="N426" s="817">
        <v>0</v>
      </c>
      <c r="O426" s="496"/>
      <c r="P426" s="496"/>
      <c r="Q426" s="571"/>
      <c r="R426" s="571"/>
      <c r="S426" s="571"/>
      <c r="T426" s="571"/>
      <c r="U426" s="571"/>
      <c r="V426" s="571"/>
      <c r="W426" s="571"/>
      <c r="X426" s="571"/>
      <c r="Y426" s="571"/>
      <c r="Z426" s="571"/>
    </row>
    <row r="427" spans="1:26" ht="18.75">
      <c r="A427" s="567"/>
      <c r="B427" s="568"/>
      <c r="C427" s="754"/>
      <c r="D427" s="754"/>
      <c r="E427" s="754"/>
      <c r="F427" s="754" t="s">
        <v>188</v>
      </c>
      <c r="G427" s="189"/>
      <c r="H427" s="161" t="s">
        <v>12</v>
      </c>
      <c r="I427" s="269"/>
      <c r="J427" s="269"/>
      <c r="K427" s="496"/>
      <c r="L427" s="496"/>
      <c r="M427" s="496"/>
      <c r="N427" s="817">
        <v>0</v>
      </c>
      <c r="O427" s="496"/>
      <c r="P427" s="496"/>
      <c r="Q427" s="571"/>
      <c r="R427" s="571"/>
      <c r="S427" s="571"/>
      <c r="T427" s="571"/>
      <c r="U427" s="571"/>
      <c r="V427" s="571"/>
      <c r="W427" s="571"/>
      <c r="X427" s="571"/>
      <c r="Y427" s="571"/>
      <c r="Z427" s="571"/>
    </row>
    <row r="428" spans="1:26" ht="18.75">
      <c r="A428" s="284"/>
      <c r="B428" s="280"/>
      <c r="C428" s="33"/>
      <c r="D428" s="33"/>
      <c r="E428" s="33"/>
      <c r="F428" s="281" t="s">
        <v>189</v>
      </c>
      <c r="G428" s="213"/>
      <c r="H428" s="161" t="s">
        <v>12</v>
      </c>
      <c r="I428" s="269"/>
      <c r="J428" s="269"/>
      <c r="K428" s="496"/>
      <c r="L428" s="496"/>
      <c r="M428" s="496"/>
      <c r="N428" s="817">
        <v>6030</v>
      </c>
      <c r="O428" s="496"/>
      <c r="P428" s="496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0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6">
        <f t="shared" ref="L429:N429" ca="1" si="189">L430+L431</f>
        <v>0</v>
      </c>
      <c r="M429" s="496">
        <f t="shared" si="189"/>
        <v>0</v>
      </c>
      <c r="N429" s="496">
        <f t="shared" si="189"/>
        <v>0</v>
      </c>
      <c r="O429" s="496">
        <f t="shared" ref="O429:O431" ca="1" si="190">IF(L429&gt;0,N429*100/L429,0)</f>
        <v>0</v>
      </c>
      <c r="P429" s="496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6"/>
      <c r="C430" s="40"/>
      <c r="D430" s="40"/>
      <c r="E430" s="222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6"/>
      <c r="C431" s="40"/>
      <c r="D431" s="40"/>
      <c r="E431" s="222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IFERROR(__xludf.DUMMYFUNCTION("IMPORTRANGE(""https://docs.google.com/spreadsheets/d/1QqKyyYR6Q21VydFLVH3TRQUabQu_ym0Zz7PgGX0-kHA/edit?usp=sharing"",""แผน!FB69"")"),0)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3"/>
      <c r="B432" s="414"/>
      <c r="C432" s="148" t="s">
        <v>16</v>
      </c>
      <c r="D432" s="835" t="s">
        <v>38</v>
      </c>
      <c r="E432" s="573"/>
      <c r="F432" s="573"/>
      <c r="G432" s="574"/>
      <c r="H432" s="575"/>
      <c r="I432" s="419"/>
      <c r="J432" s="419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190</v>
      </c>
      <c r="E433" s="178"/>
      <c r="F433" s="178"/>
      <c r="G433" s="179"/>
      <c r="H433" s="196" t="s">
        <v>35</v>
      </c>
      <c r="I433" s="674">
        <f ca="1">I435</f>
        <v>20</v>
      </c>
      <c r="J433" s="674">
        <f ca="1">IF(AND(J435=I435,J437=I437,J439=I439),I437+I439,IF(AND(J435=I437,J437=I437),I437,IF(AND(J435=I439,J439=I439),I439,0)))</f>
        <v>0</v>
      </c>
      <c r="K433" s="195">
        <f t="shared" ref="K433:K435" ca="1" si="192">IF(I433&gt;0,J433*100/I433,0)</f>
        <v>0</v>
      </c>
      <c r="L433" s="496"/>
      <c r="M433" s="496"/>
      <c r="N433" s="496"/>
      <c r="O433" s="496"/>
      <c r="P433" s="496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191</v>
      </c>
      <c r="E434" s="178"/>
      <c r="F434" s="178"/>
      <c r="G434" s="179"/>
      <c r="H434" s="196" t="s">
        <v>49</v>
      </c>
      <c r="I434" s="674">
        <f t="shared" ref="I434:J434" ca="1" si="193">I438+I440</f>
        <v>1</v>
      </c>
      <c r="J434" s="674">
        <f t="shared" si="193"/>
        <v>0</v>
      </c>
      <c r="K434" s="195">
        <f t="shared" ca="1" si="192"/>
        <v>0</v>
      </c>
      <c r="L434" s="496"/>
      <c r="M434" s="496"/>
      <c r="N434" s="496"/>
      <c r="O434" s="496"/>
      <c r="P434" s="496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6" t="s">
        <v>192</v>
      </c>
      <c r="E435" s="178"/>
      <c r="F435" s="178"/>
      <c r="G435" s="179"/>
      <c r="H435" s="616" t="s">
        <v>35</v>
      </c>
      <c r="I435" s="576">
        <f ca="1">IFERROR(__xludf.DUMMYFUNCTION("IMPORTRANGE(""https://docs.google.com/spreadsheets/d/1QqKyyYR6Q21VydFLVH3TRQUabQu_ym0Zz7PgGX0-kHA/edit?usp=sharing"",""แผน!FC69"")"),20)</f>
        <v>20</v>
      </c>
      <c r="J435" s="577">
        <v>0</v>
      </c>
      <c r="K435" s="496">
        <f t="shared" ca="1" si="192"/>
        <v>0</v>
      </c>
      <c r="L435" s="496"/>
      <c r="M435" s="496"/>
      <c r="N435" s="496"/>
      <c r="O435" s="496"/>
      <c r="P435" s="496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6" t="s">
        <v>193</v>
      </c>
      <c r="E436" s="178"/>
      <c r="F436" s="178"/>
      <c r="G436" s="179"/>
      <c r="H436" s="616"/>
      <c r="I436" s="269"/>
      <c r="J436" s="269"/>
      <c r="K436" s="496"/>
      <c r="L436" s="496"/>
      <c r="M436" s="496"/>
      <c r="N436" s="496"/>
      <c r="O436" s="496"/>
      <c r="P436" s="496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6" t="s">
        <v>194</v>
      </c>
      <c r="E437" s="178"/>
      <c r="F437" s="178"/>
      <c r="G437" s="179"/>
      <c r="H437" s="616" t="s">
        <v>35</v>
      </c>
      <c r="I437" s="576">
        <f ca="1">IFERROR(__xludf.DUMMYFUNCTION("IMPORTRANGE(""https://docs.google.com/spreadsheets/d/1QqKyyYR6Q21VydFLVH3TRQUabQu_ym0Zz7PgGX0-kHA/edit?usp=sharing"",""แผน!FD69"")"),0)</f>
        <v>0</v>
      </c>
      <c r="J437" s="577">
        <v>0</v>
      </c>
      <c r="K437" s="496">
        <f t="shared" ref="K437:K443" ca="1" si="194">IF(I437&gt;0,J437*100/I437,0)</f>
        <v>0</v>
      </c>
      <c r="L437" s="496"/>
      <c r="M437" s="496"/>
      <c r="N437" s="496"/>
      <c r="O437" s="496"/>
      <c r="P437" s="496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6" t="s">
        <v>195</v>
      </c>
      <c r="E438" s="178"/>
      <c r="F438" s="178"/>
      <c r="G438" s="179"/>
      <c r="H438" s="616" t="s">
        <v>49</v>
      </c>
      <c r="I438" s="269">
        <f ca="1">IFERROR(__xludf.DUMMYFUNCTION("IMPORTRANGE(""https://docs.google.com/spreadsheets/d/1QqKyyYR6Q21VydFLVH3TRQUabQu_ym0Zz7PgGX0-kHA/edit?usp=sharing"",""แผน!FE69"")"),0)</f>
        <v>0</v>
      </c>
      <c r="J438" s="214">
        <v>0</v>
      </c>
      <c r="K438" s="496">
        <f t="shared" ca="1" si="194"/>
        <v>0</v>
      </c>
      <c r="L438" s="496"/>
      <c r="M438" s="496"/>
      <c r="N438" s="496"/>
      <c r="O438" s="496"/>
      <c r="P438" s="496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6" t="s">
        <v>196</v>
      </c>
      <c r="E439" s="178"/>
      <c r="F439" s="178"/>
      <c r="G439" s="179"/>
      <c r="H439" s="616" t="s">
        <v>35</v>
      </c>
      <c r="I439" s="576">
        <f ca="1">IFERROR(__xludf.DUMMYFUNCTION("IMPORTRANGE(""https://docs.google.com/spreadsheets/d/1QqKyyYR6Q21VydFLVH3TRQUabQu_ym0Zz7PgGX0-kHA/edit?usp=sharing"",""แผน!FF69"")"),20)</f>
        <v>20</v>
      </c>
      <c r="J439" s="577">
        <v>0</v>
      </c>
      <c r="K439" s="496">
        <f t="shared" ca="1" si="194"/>
        <v>0</v>
      </c>
      <c r="L439" s="496"/>
      <c r="M439" s="496"/>
      <c r="N439" s="496"/>
      <c r="O439" s="496"/>
      <c r="P439" s="496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6" t="s">
        <v>197</v>
      </c>
      <c r="E440" s="178"/>
      <c r="F440" s="178"/>
      <c r="G440" s="179"/>
      <c r="H440" s="616" t="s">
        <v>49</v>
      </c>
      <c r="I440" s="269">
        <f ca="1">IFERROR(__xludf.DUMMYFUNCTION("IMPORTRANGE(""https://docs.google.com/spreadsheets/d/1QqKyyYR6Q21VydFLVH3TRQUabQu_ym0Zz7PgGX0-kHA/edit?usp=sharing"",""แผน!FG69"")"),1)</f>
        <v>1</v>
      </c>
      <c r="J440" s="214">
        <v>0</v>
      </c>
      <c r="K440" s="496">
        <f t="shared" ca="1" si="194"/>
        <v>0</v>
      </c>
      <c r="L440" s="496"/>
      <c r="M440" s="496"/>
      <c r="N440" s="496"/>
      <c r="O440" s="496"/>
      <c r="P440" s="496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 hidden="1">
      <c r="A441" s="170"/>
      <c r="B441" s="171"/>
      <c r="C441" s="171"/>
      <c r="D441" s="446" t="s">
        <v>198</v>
      </c>
      <c r="E441" s="178"/>
      <c r="F441" s="178"/>
      <c r="G441" s="179"/>
      <c r="H441" s="616" t="s">
        <v>35</v>
      </c>
      <c r="I441" s="269">
        <f ca="1">IFERROR(__xludf.DUMMYFUNCTION("IMPORTRANGE(""https://docs.google.com/spreadsheets/d/1QqKyyYR6Q21VydFLVH3TRQUabQu_ym0Zz7PgGX0-kHA/edit?usp=sharing"",""แผน!FH69"")"),0)</f>
        <v>0</v>
      </c>
      <c r="J441" s="269">
        <v>0</v>
      </c>
      <c r="K441" s="496">
        <f t="shared" ca="1" si="194"/>
        <v>0</v>
      </c>
      <c r="L441" s="496"/>
      <c r="M441" s="496"/>
      <c r="N441" s="496"/>
      <c r="O441" s="496"/>
      <c r="P441" s="496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 hidden="1">
      <c r="A442" s="578">
        <v>2</v>
      </c>
      <c r="B442" s="579" t="s">
        <v>199</v>
      </c>
      <c r="C442" s="580"/>
      <c r="D442" s="580"/>
      <c r="E442" s="580"/>
      <c r="F442" s="580"/>
      <c r="G442" s="581"/>
      <c r="H442" s="582" t="s">
        <v>35</v>
      </c>
      <c r="I442" s="583">
        <f t="shared" ref="I442:J442" ca="1" si="195">I460</f>
        <v>0</v>
      </c>
      <c r="J442" s="583">
        <f t="shared" si="195"/>
        <v>0</v>
      </c>
      <c r="K442" s="584">
        <f t="shared" ca="1" si="194"/>
        <v>0</v>
      </c>
      <c r="L442" s="585"/>
      <c r="M442" s="585"/>
      <c r="N442" s="585"/>
      <c r="O442" s="585"/>
      <c r="P442" s="585"/>
      <c r="Q442" s="571"/>
      <c r="R442" s="571"/>
      <c r="S442" s="571"/>
      <c r="T442" s="571"/>
      <c r="U442" s="571"/>
      <c r="V442" s="571"/>
      <c r="W442" s="571"/>
      <c r="X442" s="571"/>
      <c r="Y442" s="571"/>
      <c r="Z442" s="571"/>
    </row>
    <row r="443" spans="1:26" ht="19.5" hidden="1">
      <c r="A443" s="586"/>
      <c r="B443" s="587"/>
      <c r="C443" s="588"/>
      <c r="D443" s="588"/>
      <c r="E443" s="588"/>
      <c r="F443" s="588"/>
      <c r="G443" s="589"/>
      <c r="H443" s="562" t="s">
        <v>46</v>
      </c>
      <c r="I443" s="563">
        <f t="shared" ref="I443:J443" ca="1" si="196">I462</f>
        <v>0</v>
      </c>
      <c r="J443" s="563">
        <f t="shared" si="196"/>
        <v>0</v>
      </c>
      <c r="K443" s="564">
        <f t="shared" ca="1" si="194"/>
        <v>0</v>
      </c>
      <c r="L443" s="565"/>
      <c r="M443" s="565"/>
      <c r="N443" s="565"/>
      <c r="O443" s="565"/>
      <c r="P443" s="565"/>
      <c r="Q443" s="571"/>
      <c r="R443" s="571"/>
      <c r="S443" s="571"/>
      <c r="T443" s="571"/>
      <c r="U443" s="571"/>
      <c r="V443" s="571"/>
      <c r="W443" s="571"/>
      <c r="X443" s="571"/>
      <c r="Y443" s="571"/>
      <c r="Z443" s="571"/>
    </row>
    <row r="444" spans="1:26" ht="19.5" hidden="1">
      <c r="A444" s="590"/>
      <c r="B444" s="754"/>
      <c r="C444" s="754" t="s">
        <v>16</v>
      </c>
      <c r="D444" s="863" t="s">
        <v>17</v>
      </c>
      <c r="E444" s="857"/>
      <c r="F444" s="857"/>
      <c r="G444" s="189"/>
      <c r="H444" s="591" t="s">
        <v>12</v>
      </c>
      <c r="I444" s="269"/>
      <c r="J444" s="269"/>
      <c r="K444" s="496"/>
      <c r="L444" s="195">
        <f t="shared" ref="L444:N444" ca="1" si="197">L445+L446</f>
        <v>0</v>
      </c>
      <c r="M444" s="195">
        <f t="shared" si="197"/>
        <v>0</v>
      </c>
      <c r="N444" s="195">
        <f t="shared" si="197"/>
        <v>0</v>
      </c>
      <c r="O444" s="195">
        <f t="shared" ref="O444:O449" ca="1" si="198">IF(L444&gt;0,N444*100/L444,0)</f>
        <v>0</v>
      </c>
      <c r="P444" s="195">
        <f t="shared" ref="P444:P449" si="199">IF(M444&gt;0,N444*100/M444,0)</f>
        <v>0</v>
      </c>
      <c r="Q444" s="571"/>
      <c r="R444" s="571"/>
      <c r="S444" s="571"/>
      <c r="T444" s="571"/>
      <c r="U444" s="571"/>
      <c r="V444" s="571"/>
      <c r="W444" s="571"/>
      <c r="X444" s="571"/>
      <c r="Y444" s="571"/>
      <c r="Z444" s="571"/>
    </row>
    <row r="445" spans="1:26" ht="18.75" hidden="1">
      <c r="A445" s="592"/>
      <c r="B445" s="750"/>
      <c r="C445" s="750"/>
      <c r="D445" s="711"/>
      <c r="E445" s="750" t="s">
        <v>184</v>
      </c>
      <c r="F445" s="750"/>
      <c r="G445" s="596"/>
      <c r="H445" s="165" t="s">
        <v>12</v>
      </c>
      <c r="I445" s="610"/>
      <c r="J445" s="610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597"/>
      <c r="R445" s="597"/>
      <c r="S445" s="597"/>
      <c r="T445" s="597"/>
      <c r="U445" s="597"/>
      <c r="V445" s="597"/>
      <c r="W445" s="597"/>
      <c r="X445" s="597"/>
      <c r="Y445" s="597"/>
      <c r="Z445" s="597"/>
    </row>
    <row r="446" spans="1:26" ht="18.75" hidden="1">
      <c r="A446" s="592"/>
      <c r="B446" s="600"/>
      <c r="C446" s="750"/>
      <c r="D446" s="711"/>
      <c r="E446" s="750" t="s">
        <v>185</v>
      </c>
      <c r="F446" s="750"/>
      <c r="G446" s="596"/>
      <c r="H446" s="165" t="s">
        <v>12</v>
      </c>
      <c r="I446" s="610"/>
      <c r="J446" s="610"/>
      <c r="K446" s="93"/>
      <c r="L446" s="93">
        <f t="shared" ca="1" si="200"/>
        <v>0</v>
      </c>
      <c r="M446" s="93">
        <f t="shared" si="200"/>
        <v>0</v>
      </c>
      <c r="N446" s="93">
        <f t="shared" si="200"/>
        <v>0</v>
      </c>
      <c r="O446" s="93">
        <f t="shared" ca="1" si="198"/>
        <v>0</v>
      </c>
      <c r="P446" s="93">
        <f t="shared" si="199"/>
        <v>0</v>
      </c>
      <c r="Q446" s="597"/>
      <c r="R446" s="597"/>
      <c r="S446" s="597"/>
      <c r="T446" s="597"/>
      <c r="U446" s="597"/>
      <c r="V446" s="597"/>
      <c r="W446" s="597"/>
      <c r="X446" s="597"/>
      <c r="Y446" s="597"/>
      <c r="Z446" s="597"/>
    </row>
    <row r="447" spans="1:26" ht="18.75" hidden="1">
      <c r="A447" s="590"/>
      <c r="B447" s="568"/>
      <c r="C447" s="754"/>
      <c r="D447" s="599" t="s">
        <v>20</v>
      </c>
      <c r="E447" s="754"/>
      <c r="F447" s="754"/>
      <c r="G447" s="189"/>
      <c r="H447" s="161" t="s">
        <v>12</v>
      </c>
      <c r="I447" s="184"/>
      <c r="J447" s="184"/>
      <c r="K447" s="163"/>
      <c r="L447" s="496">
        <f t="shared" ref="L447:N447" ca="1" si="201">L448+L449</f>
        <v>0</v>
      </c>
      <c r="M447" s="496">
        <f t="shared" si="201"/>
        <v>0</v>
      </c>
      <c r="N447" s="496">
        <f t="shared" si="201"/>
        <v>0</v>
      </c>
      <c r="O447" s="496">
        <f t="shared" ca="1" si="198"/>
        <v>0</v>
      </c>
      <c r="P447" s="496">
        <f t="shared" si="199"/>
        <v>0</v>
      </c>
      <c r="Q447" s="571"/>
      <c r="R447" s="571"/>
      <c r="S447" s="571"/>
      <c r="T447" s="571"/>
      <c r="U447" s="571"/>
      <c r="V447" s="571"/>
      <c r="W447" s="571"/>
      <c r="X447" s="571"/>
      <c r="Y447" s="571"/>
      <c r="Z447" s="571"/>
    </row>
    <row r="448" spans="1:26" ht="18.75" hidden="1">
      <c r="A448" s="592"/>
      <c r="B448" s="600"/>
      <c r="C448" s="750"/>
      <c r="D448" s="711"/>
      <c r="E448" s="750" t="s">
        <v>184</v>
      </c>
      <c r="F448" s="750"/>
      <c r="G448" s="596"/>
      <c r="H448" s="165" t="s">
        <v>12</v>
      </c>
      <c r="I448" s="610"/>
      <c r="J448" s="610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597"/>
      <c r="R448" s="597"/>
      <c r="S448" s="597"/>
      <c r="T448" s="597"/>
      <c r="U448" s="597"/>
      <c r="V448" s="597"/>
      <c r="W448" s="597"/>
      <c r="X448" s="597"/>
      <c r="Y448" s="597"/>
      <c r="Z448" s="597"/>
    </row>
    <row r="449" spans="1:26" ht="18.75" hidden="1">
      <c r="A449" s="592"/>
      <c r="B449" s="600"/>
      <c r="C449" s="750"/>
      <c r="D449" s="711"/>
      <c r="E449" s="750" t="s">
        <v>185</v>
      </c>
      <c r="F449" s="750"/>
      <c r="G449" s="596"/>
      <c r="H449" s="165" t="s">
        <v>12</v>
      </c>
      <c r="I449" s="610"/>
      <c r="J449" s="610"/>
      <c r="K449" s="93"/>
      <c r="L449" s="93">
        <f ca="1">IFERROR(__xludf.DUMMYFUNCTION("IMPORTRANGE(""https://docs.google.com/spreadsheets/d/1QqKyyYR6Q21VydFLVH3TRQUabQu_ym0Zz7PgGX0-kHA/edit?usp=sharing"",""แผน!FJ69"")"),0)</f>
        <v>0</v>
      </c>
      <c r="M449" s="93">
        <v>0</v>
      </c>
      <c r="N449" s="93">
        <f>N450+N451+N452+N453</f>
        <v>0</v>
      </c>
      <c r="O449" s="93">
        <f t="shared" ca="1" si="198"/>
        <v>0</v>
      </c>
      <c r="P449" s="93">
        <f t="shared" si="199"/>
        <v>0</v>
      </c>
      <c r="Q449" s="597"/>
      <c r="R449" s="597"/>
      <c r="S449" s="597"/>
      <c r="T449" s="597"/>
      <c r="U449" s="597"/>
      <c r="V449" s="597"/>
      <c r="W449" s="597"/>
      <c r="X449" s="597"/>
      <c r="Y449" s="597"/>
      <c r="Z449" s="597"/>
    </row>
    <row r="450" spans="1:26" ht="18.75" hidden="1">
      <c r="A450" s="567"/>
      <c r="B450" s="568"/>
      <c r="C450" s="754"/>
      <c r="D450" s="754"/>
      <c r="E450" s="754"/>
      <c r="F450" s="754" t="s">
        <v>186</v>
      </c>
      <c r="G450" s="189"/>
      <c r="H450" s="161" t="s">
        <v>12</v>
      </c>
      <c r="I450" s="269"/>
      <c r="J450" s="269"/>
      <c r="K450" s="496"/>
      <c r="L450" s="496"/>
      <c r="M450" s="496"/>
      <c r="N450" s="817">
        <v>0</v>
      </c>
      <c r="O450" s="496"/>
      <c r="P450" s="496"/>
      <c r="Q450" s="571"/>
      <c r="R450" s="571"/>
      <c r="S450" s="571"/>
      <c r="T450" s="571"/>
      <c r="U450" s="571"/>
      <c r="V450" s="571"/>
      <c r="W450" s="571"/>
      <c r="X450" s="571"/>
      <c r="Y450" s="571"/>
      <c r="Z450" s="571"/>
    </row>
    <row r="451" spans="1:26" ht="18.75" hidden="1">
      <c r="A451" s="567"/>
      <c r="B451" s="568"/>
      <c r="C451" s="754"/>
      <c r="D451" s="754"/>
      <c r="E451" s="754"/>
      <c r="F451" s="754" t="s">
        <v>187</v>
      </c>
      <c r="G451" s="189"/>
      <c r="H451" s="161" t="s">
        <v>12</v>
      </c>
      <c r="I451" s="269"/>
      <c r="J451" s="269"/>
      <c r="K451" s="496"/>
      <c r="L451" s="496"/>
      <c r="M451" s="496"/>
      <c r="N451" s="817">
        <v>0</v>
      </c>
      <c r="O451" s="496"/>
      <c r="P451" s="496"/>
      <c r="Q451" s="571"/>
      <c r="R451" s="571"/>
      <c r="S451" s="571"/>
      <c r="T451" s="571"/>
      <c r="U451" s="571"/>
      <c r="V451" s="571"/>
      <c r="W451" s="571"/>
      <c r="X451" s="571"/>
      <c r="Y451" s="571"/>
      <c r="Z451" s="571"/>
    </row>
    <row r="452" spans="1:26" ht="18.75" hidden="1">
      <c r="A452" s="567"/>
      <c r="B452" s="568"/>
      <c r="C452" s="568"/>
      <c r="D452" s="568"/>
      <c r="E452" s="568"/>
      <c r="F452" s="754" t="s">
        <v>188</v>
      </c>
      <c r="G452" s="189"/>
      <c r="H452" s="161" t="s">
        <v>12</v>
      </c>
      <c r="I452" s="269"/>
      <c r="J452" s="269"/>
      <c r="K452" s="496"/>
      <c r="L452" s="496"/>
      <c r="M452" s="496"/>
      <c r="N452" s="817">
        <v>0</v>
      </c>
      <c r="O452" s="496"/>
      <c r="P452" s="496"/>
      <c r="Q452" s="571"/>
      <c r="R452" s="571"/>
      <c r="S452" s="571"/>
      <c r="T452" s="571"/>
      <c r="U452" s="571"/>
      <c r="V452" s="571"/>
      <c r="W452" s="571"/>
      <c r="X452" s="571"/>
      <c r="Y452" s="571"/>
      <c r="Z452" s="571"/>
    </row>
    <row r="453" spans="1:26" ht="18.75" hidden="1">
      <c r="A453" s="567"/>
      <c r="B453" s="568"/>
      <c r="C453" s="568"/>
      <c r="D453" s="568"/>
      <c r="E453" s="568"/>
      <c r="F453" s="754" t="s">
        <v>189</v>
      </c>
      <c r="G453" s="189"/>
      <c r="H453" s="161" t="s">
        <v>12</v>
      </c>
      <c r="I453" s="269"/>
      <c r="J453" s="269"/>
      <c r="K453" s="496"/>
      <c r="L453" s="496"/>
      <c r="M453" s="496"/>
      <c r="N453" s="817">
        <v>0</v>
      </c>
      <c r="O453" s="496"/>
      <c r="P453" s="496"/>
      <c r="Q453" s="571"/>
      <c r="R453" s="571"/>
      <c r="S453" s="571"/>
      <c r="T453" s="571"/>
      <c r="U453" s="571"/>
      <c r="V453" s="571"/>
      <c r="W453" s="571"/>
      <c r="X453" s="571"/>
      <c r="Y453" s="571"/>
      <c r="Z453" s="571"/>
    </row>
    <row r="454" spans="1:26" ht="18.75" hidden="1">
      <c r="A454" s="590"/>
      <c r="B454" s="568"/>
      <c r="C454" s="568"/>
      <c r="D454" s="599" t="s">
        <v>21</v>
      </c>
      <c r="E454" s="568"/>
      <c r="F454" s="754"/>
      <c r="G454" s="189"/>
      <c r="H454" s="168" t="s">
        <v>12</v>
      </c>
      <c r="I454" s="184"/>
      <c r="J454" s="184"/>
      <c r="K454" s="163"/>
      <c r="L454" s="496">
        <f t="shared" ref="L454:N454" ca="1" si="202">L455+L456</f>
        <v>0</v>
      </c>
      <c r="M454" s="496">
        <f t="shared" si="202"/>
        <v>0</v>
      </c>
      <c r="N454" s="496">
        <f t="shared" si="202"/>
        <v>0</v>
      </c>
      <c r="O454" s="496">
        <f t="shared" ref="O454:O456" ca="1" si="203">IF(L454&gt;0,N454*100/L454,0)</f>
        <v>0</v>
      </c>
      <c r="P454" s="496">
        <f t="shared" ref="P454:P456" si="204">IF(M454&gt;0,N454*100/M454,0)</f>
        <v>0</v>
      </c>
      <c r="Q454" s="571"/>
      <c r="R454" s="571"/>
      <c r="S454" s="571"/>
      <c r="T454" s="571"/>
      <c r="U454" s="571"/>
      <c r="V454" s="571"/>
      <c r="W454" s="571"/>
      <c r="X454" s="571"/>
      <c r="Y454" s="571"/>
      <c r="Z454" s="571"/>
    </row>
    <row r="455" spans="1:26" ht="18.75" hidden="1">
      <c r="A455" s="592"/>
      <c r="B455" s="600"/>
      <c r="C455" s="600"/>
      <c r="D455" s="600"/>
      <c r="E455" s="600" t="s">
        <v>18</v>
      </c>
      <c r="F455" s="750"/>
      <c r="G455" s="596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597"/>
      <c r="R455" s="597"/>
      <c r="S455" s="597"/>
      <c r="T455" s="597"/>
      <c r="U455" s="597"/>
      <c r="V455" s="597"/>
      <c r="W455" s="597"/>
      <c r="X455" s="597"/>
      <c r="Y455" s="597"/>
      <c r="Z455" s="597"/>
    </row>
    <row r="456" spans="1:26" ht="18.75" hidden="1">
      <c r="A456" s="592"/>
      <c r="B456" s="600"/>
      <c r="C456" s="600"/>
      <c r="D456" s="600"/>
      <c r="E456" s="600" t="s">
        <v>19</v>
      </c>
      <c r="F456" s="750"/>
      <c r="G456" s="596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IFERROR(__xludf.DUMMYFUNCTION("IMPORTRANGE(""https://docs.google.com/spreadsheets/d/1QqKyyYR6Q21VydFLVH3TRQUabQu_ym0Zz7PgGX0-kHA/edit?usp=sharing"",""แผน!FM69"")"),0)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597"/>
      <c r="R456" s="597"/>
      <c r="S456" s="597"/>
      <c r="T456" s="597"/>
      <c r="U456" s="597"/>
      <c r="V456" s="597"/>
      <c r="W456" s="597"/>
      <c r="X456" s="597"/>
      <c r="Y456" s="597"/>
      <c r="Z456" s="597"/>
    </row>
    <row r="457" spans="1:26" ht="19.5" hidden="1">
      <c r="A457" s="601"/>
      <c r="B457" s="611"/>
      <c r="C457" s="568" t="s">
        <v>16</v>
      </c>
      <c r="D457" s="836" t="s">
        <v>38</v>
      </c>
      <c r="E457" s="604"/>
      <c r="F457" s="752"/>
      <c r="G457" s="606"/>
      <c r="H457" s="753"/>
      <c r="I457" s="269"/>
      <c r="J457" s="269"/>
      <c r="K457" s="496"/>
      <c r="L457" s="496"/>
      <c r="M457" s="496"/>
      <c r="N457" s="496"/>
      <c r="O457" s="496"/>
      <c r="P457" s="496"/>
      <c r="Q457" s="571"/>
      <c r="R457" s="571"/>
      <c r="S457" s="571"/>
      <c r="T457" s="571"/>
      <c r="U457" s="571"/>
      <c r="V457" s="571"/>
      <c r="W457" s="571"/>
      <c r="X457" s="571"/>
      <c r="Y457" s="571"/>
      <c r="Z457" s="571"/>
    </row>
    <row r="458" spans="1:26" ht="18.75" hidden="1">
      <c r="A458" s="607"/>
      <c r="B458" s="609"/>
      <c r="C458" s="609"/>
      <c r="D458" s="609" t="s">
        <v>200</v>
      </c>
      <c r="E458" s="609"/>
      <c r="F458" s="711"/>
      <c r="G458" s="365"/>
      <c r="H458" s="369" t="s">
        <v>35</v>
      </c>
      <c r="I458" s="610">
        <v>0</v>
      </c>
      <c r="J458" s="610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597"/>
      <c r="R458" s="597"/>
      <c r="S458" s="597"/>
      <c r="T458" s="597"/>
      <c r="U458" s="597"/>
      <c r="V458" s="597"/>
      <c r="W458" s="597"/>
      <c r="X458" s="597"/>
      <c r="Y458" s="597"/>
      <c r="Z458" s="597"/>
    </row>
    <row r="459" spans="1:26" ht="18.75" hidden="1">
      <c r="A459" s="607"/>
      <c r="B459" s="609"/>
      <c r="C459" s="609"/>
      <c r="D459" s="609" t="s">
        <v>201</v>
      </c>
      <c r="E459" s="609"/>
      <c r="F459" s="711"/>
      <c r="G459" s="365"/>
      <c r="H459" s="369"/>
      <c r="I459" s="610"/>
      <c r="J459" s="610"/>
      <c r="K459" s="93"/>
      <c r="L459" s="93"/>
      <c r="M459" s="93"/>
      <c r="N459" s="93"/>
      <c r="O459" s="93"/>
      <c r="P459" s="93"/>
      <c r="Q459" s="597"/>
      <c r="R459" s="597"/>
      <c r="S459" s="597"/>
      <c r="T459" s="597"/>
      <c r="U459" s="597"/>
      <c r="V459" s="597"/>
      <c r="W459" s="597"/>
      <c r="X459" s="597"/>
      <c r="Y459" s="597"/>
      <c r="Z459" s="597"/>
    </row>
    <row r="460" spans="1:26" ht="18.75" hidden="1">
      <c r="A460" s="601"/>
      <c r="B460" s="611"/>
      <c r="C460" s="611"/>
      <c r="D460" s="611" t="s">
        <v>202</v>
      </c>
      <c r="E460" s="611"/>
      <c r="F460" s="619"/>
      <c r="G460" s="753"/>
      <c r="H460" s="755" t="s">
        <v>35</v>
      </c>
      <c r="I460" s="269">
        <f ca="1">IFERROR(__xludf.DUMMYFUNCTION("IMPORTRANGE(""https://docs.google.com/spreadsheets/d/1QqKyyYR6Q21VydFLVH3TRQUabQu_ym0Zz7PgGX0-kHA/edit?usp=sharing"",""แผน!FN69"")"),0)</f>
        <v>0</v>
      </c>
      <c r="J460" s="214">
        <v>0</v>
      </c>
      <c r="K460" s="496">
        <f ca="1">IF(I460&gt;0,J460*100/I460,0)</f>
        <v>0</v>
      </c>
      <c r="L460" s="496"/>
      <c r="M460" s="496"/>
      <c r="N460" s="496"/>
      <c r="O460" s="496"/>
      <c r="P460" s="496"/>
      <c r="Q460" s="571"/>
      <c r="R460" s="571"/>
      <c r="S460" s="571"/>
      <c r="T460" s="571"/>
      <c r="U460" s="571"/>
      <c r="V460" s="571"/>
      <c r="W460" s="571"/>
      <c r="X460" s="571"/>
      <c r="Y460" s="571"/>
      <c r="Z460" s="571"/>
    </row>
    <row r="461" spans="1:26" ht="18.75" hidden="1">
      <c r="A461" s="601"/>
      <c r="B461" s="611"/>
      <c r="C461" s="611"/>
      <c r="D461" s="611" t="s">
        <v>203</v>
      </c>
      <c r="E461" s="619"/>
      <c r="F461" s="619"/>
      <c r="G461" s="753"/>
      <c r="H461" s="755"/>
      <c r="I461" s="269"/>
      <c r="J461" s="269"/>
      <c r="K461" s="496"/>
      <c r="L461" s="496"/>
      <c r="M461" s="496"/>
      <c r="N461" s="496"/>
      <c r="O461" s="496"/>
      <c r="P461" s="496"/>
      <c r="Q461" s="571"/>
      <c r="R461" s="571"/>
      <c r="S461" s="571"/>
      <c r="T461" s="571"/>
      <c r="U461" s="571"/>
      <c r="V461" s="571"/>
      <c r="W461" s="571"/>
      <c r="X461" s="571"/>
      <c r="Y461" s="571"/>
      <c r="Z461" s="571"/>
    </row>
    <row r="462" spans="1:26" ht="18.75" hidden="1">
      <c r="A462" s="601"/>
      <c r="B462" s="611"/>
      <c r="C462" s="611"/>
      <c r="D462" s="611" t="s">
        <v>204</v>
      </c>
      <c r="E462" s="619"/>
      <c r="F462" s="619"/>
      <c r="G462" s="753"/>
      <c r="H462" s="755" t="s">
        <v>46</v>
      </c>
      <c r="I462" s="269">
        <f ca="1">IFERROR(__xludf.DUMMYFUNCTION("IMPORTRANGE(""https://docs.google.com/spreadsheets/d/1QqKyyYR6Q21VydFLVH3TRQUabQu_ym0Zz7PgGX0-kHA/edit?usp=sharing"",""แผน!FO69"")"),0)</f>
        <v>0</v>
      </c>
      <c r="J462" s="214">
        <v>0</v>
      </c>
      <c r="K462" s="496">
        <f ca="1">IF(I462&gt;0,J462*100/I462,0)</f>
        <v>0</v>
      </c>
      <c r="L462" s="496"/>
      <c r="M462" s="496"/>
      <c r="N462" s="496"/>
      <c r="O462" s="496"/>
      <c r="P462" s="496"/>
      <c r="Q462" s="571"/>
      <c r="R462" s="571"/>
      <c r="S462" s="571"/>
      <c r="T462" s="571"/>
      <c r="U462" s="571"/>
      <c r="V462" s="571"/>
      <c r="W462" s="571"/>
      <c r="X462" s="571"/>
      <c r="Y462" s="571"/>
      <c r="Z462" s="571"/>
    </row>
    <row r="463" spans="1:26" ht="18.75" hidden="1">
      <c r="A463" s="601"/>
      <c r="B463" s="611"/>
      <c r="C463" s="611"/>
      <c r="D463" s="611" t="s">
        <v>59</v>
      </c>
      <c r="E463" s="619"/>
      <c r="F463" s="754"/>
      <c r="G463" s="189"/>
      <c r="H463" s="755" t="s">
        <v>46</v>
      </c>
      <c r="I463" s="269">
        <f ca="1">IFERROR(__xludf.DUMMYFUNCTION("IMPORTRANGE(""https://docs.google.com/spreadsheets/d/1QqKyyYR6Q21VydFLVH3TRQUabQu_ym0Zz7PgGX0-kHA/edit?usp=sharing"",""แผน!FO69"")"),0)</f>
        <v>0</v>
      </c>
      <c r="J463" s="214">
        <v>0</v>
      </c>
      <c r="K463" s="496"/>
      <c r="L463" s="496"/>
      <c r="M463" s="496"/>
      <c r="N463" s="496"/>
      <c r="O463" s="496"/>
      <c r="P463" s="496"/>
      <c r="Q463" s="571"/>
      <c r="R463" s="571"/>
      <c r="S463" s="571"/>
      <c r="T463" s="571"/>
      <c r="U463" s="571"/>
      <c r="V463" s="571"/>
      <c r="W463" s="571"/>
      <c r="X463" s="571"/>
      <c r="Y463" s="571"/>
      <c r="Z463" s="571"/>
    </row>
    <row r="464" spans="1:26" ht="19.5" hidden="1">
      <c r="A464" s="601"/>
      <c r="B464" s="611"/>
      <c r="C464" s="611"/>
      <c r="D464" s="611"/>
      <c r="E464" s="619"/>
      <c r="F464" s="619"/>
      <c r="G464" s="613"/>
      <c r="H464" s="755" t="s">
        <v>35</v>
      </c>
      <c r="I464" s="269">
        <f ca="1">IFERROR(__xludf.DUMMYFUNCTION("IMPORTRANGE(""https://docs.google.com/spreadsheets/d/1QqKyyYR6Q21VydFLVH3TRQUabQu_ym0Zz7PgGX0-kHA/edit?usp=sharing"",""แผน!FN69"")"),0)</f>
        <v>0</v>
      </c>
      <c r="J464" s="214">
        <v>0</v>
      </c>
      <c r="K464" s="496"/>
      <c r="L464" s="496"/>
      <c r="M464" s="496"/>
      <c r="N464" s="496"/>
      <c r="O464" s="496"/>
      <c r="P464" s="496"/>
      <c r="Q464" s="571"/>
      <c r="R464" s="571"/>
      <c r="S464" s="571"/>
      <c r="T464" s="571"/>
      <c r="U464" s="571"/>
      <c r="V464" s="571"/>
      <c r="W464" s="571"/>
      <c r="X464" s="571"/>
      <c r="Y464" s="571"/>
      <c r="Z464" s="571"/>
    </row>
    <row r="465" spans="1:26" ht="19.5">
      <c r="A465" s="578">
        <v>3</v>
      </c>
      <c r="B465" s="579" t="s">
        <v>205</v>
      </c>
      <c r="C465" s="580"/>
      <c r="D465" s="580"/>
      <c r="E465" s="580"/>
      <c r="F465" s="580"/>
      <c r="G465" s="581"/>
      <c r="H465" s="582" t="s">
        <v>35</v>
      </c>
      <c r="I465" s="583">
        <f ca="1">IFERROR(__xludf.DUMMYFUNCTION("IMPORTRANGE(""https://docs.google.com/spreadsheets/d/1QqKyyYR6Q21VydFLVH3TRQUabQu_ym0Zz7PgGX0-kHA/edit?usp=sharing"",""แผน!FX69"")"),51)</f>
        <v>51</v>
      </c>
      <c r="J465" s="583">
        <f>J485+J489+J492</f>
        <v>0</v>
      </c>
      <c r="K465" s="584">
        <f t="shared" ref="K465:K466" ca="1" si="205">IF(I465&gt;0,J465*100/I465,0)</f>
        <v>0</v>
      </c>
      <c r="L465" s="585"/>
      <c r="M465" s="585"/>
      <c r="N465" s="585"/>
      <c r="O465" s="585"/>
      <c r="P465" s="585"/>
      <c r="Q465" s="571"/>
      <c r="R465" s="571"/>
      <c r="S465" s="571"/>
      <c r="T465" s="571"/>
      <c r="U465" s="571"/>
      <c r="V465" s="571"/>
      <c r="W465" s="571"/>
      <c r="X465" s="571"/>
      <c r="Y465" s="571"/>
      <c r="Z465" s="571"/>
    </row>
    <row r="466" spans="1:26" ht="19.5">
      <c r="A466" s="586"/>
      <c r="B466" s="587"/>
      <c r="C466" s="588"/>
      <c r="D466" s="588"/>
      <c r="E466" s="588"/>
      <c r="F466" s="588"/>
      <c r="G466" s="589"/>
      <c r="H466" s="562" t="s">
        <v>46</v>
      </c>
      <c r="I466" s="563">
        <f ca="1">IFERROR(__xludf.DUMMYFUNCTION("IMPORTRANGE(""https://docs.google.com/spreadsheets/d/1QqKyyYR6Q21VydFLVH3TRQUabQu_ym0Zz7PgGX0-kHA/edit?usp=sharing"",""แผน!FW69"")"),500)</f>
        <v>500</v>
      </c>
      <c r="J466" s="563">
        <f>J483+J487</f>
        <v>0</v>
      </c>
      <c r="K466" s="564">
        <f t="shared" ca="1" si="205"/>
        <v>0</v>
      </c>
      <c r="L466" s="565"/>
      <c r="M466" s="565"/>
      <c r="N466" s="565"/>
      <c r="O466" s="565"/>
      <c r="P466" s="565"/>
      <c r="Q466" s="571"/>
      <c r="R466" s="571"/>
      <c r="S466" s="571"/>
      <c r="T466" s="571"/>
      <c r="U466" s="571"/>
      <c r="V466" s="571"/>
      <c r="W466" s="571"/>
      <c r="X466" s="571"/>
      <c r="Y466" s="571"/>
      <c r="Z466" s="571"/>
    </row>
    <row r="467" spans="1:26" ht="19.5">
      <c r="A467" s="590"/>
      <c r="B467" s="754"/>
      <c r="C467" s="754" t="s">
        <v>16</v>
      </c>
      <c r="D467" s="863" t="s">
        <v>17</v>
      </c>
      <c r="E467" s="857"/>
      <c r="F467" s="857"/>
      <c r="G467" s="189"/>
      <c r="H467" s="591" t="s">
        <v>12</v>
      </c>
      <c r="I467" s="269"/>
      <c r="J467" s="269"/>
      <c r="K467" s="496"/>
      <c r="L467" s="195">
        <f t="shared" ref="L467:N467" ca="1" si="206">L468+L469</f>
        <v>403983</v>
      </c>
      <c r="M467" s="195">
        <f t="shared" si="206"/>
        <v>0</v>
      </c>
      <c r="N467" s="195">
        <f t="shared" si="206"/>
        <v>5700</v>
      </c>
      <c r="O467" s="195">
        <f t="shared" ref="O467:O472" ca="1" si="207">IF(L467&gt;0,N467*100/L467,0)</f>
        <v>1.4109504607867163</v>
      </c>
      <c r="P467" s="195">
        <f t="shared" ref="P467:P472" si="208">IF(M467&gt;0,N467*100/M467,0)</f>
        <v>0</v>
      </c>
      <c r="Q467" s="571"/>
      <c r="R467" s="571"/>
      <c r="S467" s="571"/>
      <c r="T467" s="571"/>
      <c r="U467" s="571"/>
      <c r="V467" s="571"/>
      <c r="W467" s="571"/>
      <c r="X467" s="571"/>
      <c r="Y467" s="571"/>
      <c r="Z467" s="571"/>
    </row>
    <row r="468" spans="1:26" ht="18.75" hidden="1">
      <c r="A468" s="592"/>
      <c r="B468" s="750"/>
      <c r="C468" s="750"/>
      <c r="D468" s="711"/>
      <c r="E468" s="750" t="s">
        <v>184</v>
      </c>
      <c r="F468" s="750"/>
      <c r="G468" s="596"/>
      <c r="H468" s="165" t="s">
        <v>12</v>
      </c>
      <c r="I468" s="610"/>
      <c r="J468" s="610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597"/>
      <c r="R468" s="597"/>
      <c r="S468" s="597"/>
      <c r="T468" s="597"/>
      <c r="U468" s="597"/>
      <c r="V468" s="597"/>
      <c r="W468" s="597"/>
      <c r="X468" s="597"/>
      <c r="Y468" s="597"/>
      <c r="Z468" s="597"/>
    </row>
    <row r="469" spans="1:26" ht="18.75" hidden="1">
      <c r="A469" s="592"/>
      <c r="B469" s="600"/>
      <c r="C469" s="750"/>
      <c r="D469" s="711"/>
      <c r="E469" s="750" t="s">
        <v>185</v>
      </c>
      <c r="F469" s="750"/>
      <c r="G469" s="596"/>
      <c r="H469" s="165" t="s">
        <v>12</v>
      </c>
      <c r="I469" s="610"/>
      <c r="J469" s="610"/>
      <c r="K469" s="93"/>
      <c r="L469" s="93">
        <f t="shared" ca="1" si="209"/>
        <v>403983</v>
      </c>
      <c r="M469" s="93">
        <f t="shared" si="209"/>
        <v>0</v>
      </c>
      <c r="N469" s="93">
        <f t="shared" si="209"/>
        <v>5700</v>
      </c>
      <c r="O469" s="93">
        <f t="shared" ca="1" si="207"/>
        <v>1.4109504607867163</v>
      </c>
      <c r="P469" s="93">
        <f t="shared" si="208"/>
        <v>0</v>
      </c>
      <c r="Q469" s="597"/>
      <c r="R469" s="597"/>
      <c r="S469" s="597"/>
      <c r="T469" s="597"/>
      <c r="U469" s="597"/>
      <c r="V469" s="597"/>
      <c r="W469" s="597"/>
      <c r="X469" s="597"/>
      <c r="Y469" s="597"/>
      <c r="Z469" s="597"/>
    </row>
    <row r="470" spans="1:26" ht="18.75">
      <c r="A470" s="590"/>
      <c r="B470" s="568"/>
      <c r="C470" s="754"/>
      <c r="D470" s="599" t="s">
        <v>20</v>
      </c>
      <c r="E470" s="754"/>
      <c r="F470" s="754"/>
      <c r="G470" s="189"/>
      <c r="H470" s="161" t="s">
        <v>12</v>
      </c>
      <c r="I470" s="184"/>
      <c r="J470" s="184"/>
      <c r="K470" s="163"/>
      <c r="L470" s="496">
        <f t="shared" ref="L470:N470" ca="1" si="210">L471+L472</f>
        <v>403983</v>
      </c>
      <c r="M470" s="496">
        <f t="shared" si="210"/>
        <v>0</v>
      </c>
      <c r="N470" s="496">
        <f t="shared" si="210"/>
        <v>5700</v>
      </c>
      <c r="O470" s="496">
        <f t="shared" ca="1" si="207"/>
        <v>1.4109504607867163</v>
      </c>
      <c r="P470" s="496">
        <f t="shared" si="208"/>
        <v>0</v>
      </c>
      <c r="Q470" s="571"/>
      <c r="R470" s="571"/>
      <c r="S470" s="571"/>
      <c r="T470" s="571"/>
      <c r="U470" s="571"/>
      <c r="V470" s="571"/>
      <c r="W470" s="571"/>
      <c r="X470" s="571"/>
      <c r="Y470" s="571"/>
      <c r="Z470" s="571"/>
    </row>
    <row r="471" spans="1:26" ht="18.75" hidden="1">
      <c r="A471" s="592"/>
      <c r="B471" s="600"/>
      <c r="C471" s="750"/>
      <c r="D471" s="711"/>
      <c r="E471" s="750" t="s">
        <v>184</v>
      </c>
      <c r="F471" s="750"/>
      <c r="G471" s="596"/>
      <c r="H471" s="165" t="s">
        <v>12</v>
      </c>
      <c r="I471" s="610"/>
      <c r="J471" s="610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597"/>
      <c r="R471" s="597"/>
      <c r="S471" s="597"/>
      <c r="T471" s="597"/>
      <c r="U471" s="597"/>
      <c r="V471" s="597"/>
      <c r="W471" s="597"/>
      <c r="X471" s="597"/>
      <c r="Y471" s="597"/>
      <c r="Z471" s="597"/>
    </row>
    <row r="472" spans="1:26" ht="18.75" hidden="1">
      <c r="A472" s="592"/>
      <c r="B472" s="600"/>
      <c r="C472" s="750"/>
      <c r="D472" s="711"/>
      <c r="E472" s="750" t="s">
        <v>185</v>
      </c>
      <c r="F472" s="750"/>
      <c r="G472" s="596"/>
      <c r="H472" s="165" t="s">
        <v>12</v>
      </c>
      <c r="I472" s="610"/>
      <c r="J472" s="610"/>
      <c r="K472" s="93"/>
      <c r="L472" s="93">
        <f ca="1">IFERROR(__xludf.DUMMYFUNCTION("IMPORTRANGE(""https://docs.google.com/spreadsheets/d/1QqKyyYR6Q21VydFLVH3TRQUabQu_ym0Zz7PgGX0-kHA/edit?usp=sharing"",""แผน!FS69"")"),403983)</f>
        <v>403983</v>
      </c>
      <c r="M472" s="93">
        <v>0</v>
      </c>
      <c r="N472" s="93">
        <f>N473+N474+N475+N476</f>
        <v>5700</v>
      </c>
      <c r="O472" s="93">
        <f t="shared" ca="1" si="207"/>
        <v>1.4109504607867163</v>
      </c>
      <c r="P472" s="93">
        <f t="shared" si="208"/>
        <v>0</v>
      </c>
      <c r="Q472" s="597"/>
      <c r="R472" s="597"/>
      <c r="S472" s="597"/>
      <c r="T472" s="597"/>
      <c r="U472" s="597"/>
      <c r="V472" s="597"/>
      <c r="W472" s="597"/>
      <c r="X472" s="597"/>
      <c r="Y472" s="597"/>
      <c r="Z472" s="597"/>
    </row>
    <row r="473" spans="1:26" ht="18.75">
      <c r="A473" s="567"/>
      <c r="B473" s="568"/>
      <c r="C473" s="754"/>
      <c r="D473" s="754"/>
      <c r="E473" s="754"/>
      <c r="F473" s="754" t="s">
        <v>186</v>
      </c>
      <c r="G473" s="189"/>
      <c r="H473" s="161" t="s">
        <v>12</v>
      </c>
      <c r="I473" s="269"/>
      <c r="J473" s="269"/>
      <c r="K473" s="496"/>
      <c r="L473" s="496"/>
      <c r="M473" s="496"/>
      <c r="N473" s="817">
        <v>0</v>
      </c>
      <c r="O473" s="496"/>
      <c r="P473" s="496"/>
      <c r="Q473" s="571"/>
      <c r="R473" s="571"/>
      <c r="S473" s="571"/>
      <c r="T473" s="571"/>
      <c r="U473" s="571"/>
      <c r="V473" s="571"/>
      <c r="W473" s="571"/>
      <c r="X473" s="571"/>
      <c r="Y473" s="571"/>
      <c r="Z473" s="571"/>
    </row>
    <row r="474" spans="1:26" ht="18.75">
      <c r="A474" s="567"/>
      <c r="B474" s="568"/>
      <c r="C474" s="754"/>
      <c r="D474" s="754"/>
      <c r="E474" s="754"/>
      <c r="F474" s="754" t="s">
        <v>187</v>
      </c>
      <c r="G474" s="189"/>
      <c r="H474" s="161" t="s">
        <v>12</v>
      </c>
      <c r="I474" s="269"/>
      <c r="J474" s="269"/>
      <c r="K474" s="496"/>
      <c r="L474" s="496"/>
      <c r="M474" s="496"/>
      <c r="N474" s="817">
        <v>0</v>
      </c>
      <c r="O474" s="496"/>
      <c r="P474" s="496"/>
      <c r="Q474" s="571"/>
      <c r="R474" s="571"/>
      <c r="S474" s="571"/>
      <c r="T474" s="571"/>
      <c r="U474" s="571"/>
      <c r="V474" s="571"/>
      <c r="W474" s="571"/>
      <c r="X474" s="571"/>
      <c r="Y474" s="571"/>
      <c r="Z474" s="571"/>
    </row>
    <row r="475" spans="1:26" ht="18.75">
      <c r="A475" s="567"/>
      <c r="B475" s="568"/>
      <c r="C475" s="568"/>
      <c r="D475" s="568"/>
      <c r="E475" s="568"/>
      <c r="F475" s="754" t="s">
        <v>188</v>
      </c>
      <c r="G475" s="189"/>
      <c r="H475" s="161" t="s">
        <v>12</v>
      </c>
      <c r="I475" s="269"/>
      <c r="J475" s="269"/>
      <c r="K475" s="496"/>
      <c r="L475" s="496"/>
      <c r="M475" s="496"/>
      <c r="N475" s="817">
        <v>0</v>
      </c>
      <c r="O475" s="496"/>
      <c r="P475" s="496"/>
      <c r="Q475" s="571"/>
      <c r="R475" s="571"/>
      <c r="S475" s="571"/>
      <c r="T475" s="571"/>
      <c r="U475" s="571"/>
      <c r="V475" s="571"/>
      <c r="W475" s="571"/>
      <c r="X475" s="571"/>
      <c r="Y475" s="571"/>
      <c r="Z475" s="571"/>
    </row>
    <row r="476" spans="1:26" ht="18.75">
      <c r="A476" s="567"/>
      <c r="B476" s="568"/>
      <c r="C476" s="568"/>
      <c r="D476" s="568"/>
      <c r="E476" s="568"/>
      <c r="F476" s="754" t="s">
        <v>189</v>
      </c>
      <c r="G476" s="189"/>
      <c r="H476" s="161" t="s">
        <v>12</v>
      </c>
      <c r="I476" s="269"/>
      <c r="J476" s="269"/>
      <c r="K476" s="496"/>
      <c r="L476" s="496"/>
      <c r="M476" s="496"/>
      <c r="N476" s="817">
        <v>5700</v>
      </c>
      <c r="O476" s="496"/>
      <c r="P476" s="496"/>
      <c r="Q476" s="571"/>
      <c r="R476" s="571"/>
      <c r="S476" s="571"/>
      <c r="T476" s="571"/>
      <c r="U476" s="571"/>
      <c r="V476" s="571"/>
      <c r="W476" s="571"/>
      <c r="X476" s="571"/>
      <c r="Y476" s="571"/>
      <c r="Z476" s="571"/>
    </row>
    <row r="477" spans="1:26" ht="18.75">
      <c r="A477" s="590"/>
      <c r="B477" s="568"/>
      <c r="C477" s="568"/>
      <c r="D477" s="599" t="s">
        <v>21</v>
      </c>
      <c r="E477" s="568"/>
      <c r="F477" s="568"/>
      <c r="G477" s="189"/>
      <c r="H477" s="168" t="s">
        <v>12</v>
      </c>
      <c r="I477" s="184"/>
      <c r="J477" s="184"/>
      <c r="K477" s="163"/>
      <c r="L477" s="496">
        <f t="shared" ref="L477:N477" ca="1" si="211">L478+L479</f>
        <v>0</v>
      </c>
      <c r="M477" s="496">
        <f t="shared" si="211"/>
        <v>0</v>
      </c>
      <c r="N477" s="496">
        <f t="shared" si="211"/>
        <v>0</v>
      </c>
      <c r="O477" s="496">
        <f t="shared" ref="O477:O479" ca="1" si="212">IF(L477&gt;0,N477*100/L477,0)</f>
        <v>0</v>
      </c>
      <c r="P477" s="496">
        <f t="shared" ref="P477:P479" si="213">IF(M477&gt;0,N477*100/M477,0)</f>
        <v>0</v>
      </c>
      <c r="Q477" s="571"/>
      <c r="R477" s="571"/>
      <c r="S477" s="571"/>
      <c r="T477" s="571"/>
      <c r="U477" s="571"/>
      <c r="V477" s="571"/>
      <c r="W477" s="571"/>
      <c r="X477" s="571"/>
      <c r="Y477" s="571"/>
      <c r="Z477" s="571"/>
    </row>
    <row r="478" spans="1:26" ht="18.75" hidden="1">
      <c r="A478" s="592"/>
      <c r="B478" s="600"/>
      <c r="C478" s="600"/>
      <c r="D478" s="600"/>
      <c r="E478" s="600" t="s">
        <v>18</v>
      </c>
      <c r="F478" s="600"/>
      <c r="G478" s="596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597"/>
      <c r="R478" s="597"/>
      <c r="S478" s="597"/>
      <c r="T478" s="597"/>
      <c r="U478" s="597"/>
      <c r="V478" s="597"/>
      <c r="W478" s="597"/>
      <c r="X478" s="597"/>
      <c r="Y478" s="597"/>
      <c r="Z478" s="597"/>
    </row>
    <row r="479" spans="1:26" ht="18.75" hidden="1">
      <c r="A479" s="592"/>
      <c r="B479" s="600"/>
      <c r="C479" s="600"/>
      <c r="D479" s="600"/>
      <c r="E479" s="600" t="s">
        <v>19</v>
      </c>
      <c r="F479" s="600"/>
      <c r="G479" s="596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IFERROR(__xludf.DUMMYFUNCTION("IMPORTRANGE(""https://docs.google.com/spreadsheets/d/1QqKyyYR6Q21VydFLVH3TRQUabQu_ym0Zz7PgGX0-kHA/edit?usp=sharing"",""แผน!FV69"")"),0)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597"/>
      <c r="R479" s="597"/>
      <c r="S479" s="597"/>
      <c r="T479" s="597"/>
      <c r="U479" s="597"/>
      <c r="V479" s="597"/>
      <c r="W479" s="597"/>
      <c r="X479" s="597"/>
      <c r="Y479" s="597"/>
      <c r="Z479" s="597"/>
    </row>
    <row r="480" spans="1:26" ht="19.5">
      <c r="A480" s="601"/>
      <c r="B480" s="611"/>
      <c r="C480" s="568" t="s">
        <v>16</v>
      </c>
      <c r="D480" s="837" t="s">
        <v>38</v>
      </c>
      <c r="E480" s="604"/>
      <c r="F480" s="752"/>
      <c r="G480" s="606"/>
      <c r="H480" s="753"/>
      <c r="I480" s="269"/>
      <c r="J480" s="269"/>
      <c r="K480" s="496"/>
      <c r="L480" s="496"/>
      <c r="M480" s="496"/>
      <c r="N480" s="496"/>
      <c r="O480" s="496"/>
      <c r="P480" s="496"/>
      <c r="Q480" s="571"/>
      <c r="R480" s="571"/>
      <c r="S480" s="571"/>
      <c r="T480" s="571"/>
      <c r="U480" s="571"/>
      <c r="V480" s="571"/>
      <c r="W480" s="571"/>
      <c r="X480" s="571"/>
      <c r="Y480" s="571"/>
      <c r="Z480" s="571"/>
    </row>
    <row r="481" spans="1:26" ht="19.5">
      <c r="A481" s="601"/>
      <c r="B481" s="611"/>
      <c r="C481" s="611"/>
      <c r="D481" s="618" t="s">
        <v>206</v>
      </c>
      <c r="E481" s="611"/>
      <c r="F481" s="611"/>
      <c r="G481" s="753"/>
      <c r="H481" s="189"/>
      <c r="I481" s="269"/>
      <c r="J481" s="269"/>
      <c r="K481" s="496"/>
      <c r="L481" s="496"/>
      <c r="M481" s="496"/>
      <c r="N481" s="496"/>
      <c r="O481" s="496"/>
      <c r="P481" s="496"/>
      <c r="Q481" s="571"/>
      <c r="R481" s="571"/>
      <c r="S481" s="571"/>
      <c r="T481" s="571"/>
      <c r="U481" s="571"/>
      <c r="V481" s="571"/>
      <c r="W481" s="571"/>
      <c r="X481" s="571"/>
      <c r="Y481" s="571"/>
      <c r="Z481" s="571"/>
    </row>
    <row r="482" spans="1:26" ht="18.75">
      <c r="A482" s="601"/>
      <c r="B482" s="611"/>
      <c r="C482" s="611"/>
      <c r="D482" s="611"/>
      <c r="E482" s="611" t="s">
        <v>207</v>
      </c>
      <c r="F482" s="611"/>
      <c r="G482" s="753"/>
      <c r="H482" s="189"/>
      <c r="I482" s="269"/>
      <c r="J482" s="269"/>
      <c r="K482" s="496"/>
      <c r="L482" s="496"/>
      <c r="M482" s="496"/>
      <c r="N482" s="496"/>
      <c r="O482" s="496"/>
      <c r="P482" s="496"/>
      <c r="Q482" s="571"/>
      <c r="R482" s="571"/>
      <c r="S482" s="571"/>
      <c r="T482" s="571"/>
      <c r="U482" s="571"/>
      <c r="V482" s="571"/>
      <c r="W482" s="571"/>
      <c r="X482" s="571"/>
      <c r="Y482" s="571"/>
      <c r="Z482" s="571"/>
    </row>
    <row r="483" spans="1:26" ht="18.75">
      <c r="A483" s="601"/>
      <c r="B483" s="611"/>
      <c r="C483" s="611"/>
      <c r="D483" s="611"/>
      <c r="E483" s="611"/>
      <c r="F483" s="611" t="s">
        <v>208</v>
      </c>
      <c r="G483" s="753"/>
      <c r="H483" s="616" t="s">
        <v>46</v>
      </c>
      <c r="I483" s="269">
        <f ca="1">IFERROR(__xludf.DUMMYFUNCTION("IMPORTRANGE(""https://docs.google.com/spreadsheets/d/1QqKyyYR6Q21VydFLVH3TRQUabQu_ym0Zz7PgGX0-kHA/edit?usp=sharing"",""แผน!FY69"")"),450)</f>
        <v>450</v>
      </c>
      <c r="J483" s="214">
        <v>0</v>
      </c>
      <c r="K483" s="496">
        <f ca="1">IF(I483&gt;0,J483*100/I483,0)</f>
        <v>0</v>
      </c>
      <c r="L483" s="496"/>
      <c r="M483" s="496"/>
      <c r="N483" s="496"/>
      <c r="O483" s="496"/>
      <c r="P483" s="496"/>
      <c r="Q483" s="571"/>
      <c r="R483" s="571"/>
      <c r="S483" s="571"/>
      <c r="T483" s="571"/>
      <c r="U483" s="571"/>
      <c r="V483" s="571"/>
      <c r="W483" s="571"/>
      <c r="X483" s="571"/>
      <c r="Y483" s="571"/>
      <c r="Z483" s="571"/>
    </row>
    <row r="484" spans="1:26" ht="18.75">
      <c r="A484" s="601"/>
      <c r="B484" s="611"/>
      <c r="C484" s="611"/>
      <c r="D484" s="611"/>
      <c r="E484" s="611"/>
      <c r="F484" s="611" t="s">
        <v>209</v>
      </c>
      <c r="G484" s="753"/>
      <c r="H484" s="616" t="s">
        <v>35</v>
      </c>
      <c r="I484" s="269"/>
      <c r="J484" s="214">
        <v>0</v>
      </c>
      <c r="K484" s="496"/>
      <c r="L484" s="496"/>
      <c r="M484" s="496"/>
      <c r="N484" s="496"/>
      <c r="O484" s="496"/>
      <c r="P484" s="496"/>
      <c r="Q484" s="571"/>
      <c r="R484" s="571"/>
      <c r="S484" s="571"/>
      <c r="T484" s="571"/>
      <c r="U484" s="571"/>
      <c r="V484" s="571"/>
      <c r="W484" s="571"/>
      <c r="X484" s="571"/>
      <c r="Y484" s="571"/>
      <c r="Z484" s="571"/>
    </row>
    <row r="485" spans="1:26" ht="18.75">
      <c r="A485" s="601"/>
      <c r="B485" s="611"/>
      <c r="C485" s="611"/>
      <c r="D485" s="611"/>
      <c r="E485" s="611"/>
      <c r="F485" s="611" t="s">
        <v>210</v>
      </c>
      <c r="G485" s="753"/>
      <c r="H485" s="616" t="s">
        <v>35</v>
      </c>
      <c r="I485" s="269">
        <f ca="1">IFERROR(__xludf.DUMMYFUNCTION("IMPORTRANGE(""https://docs.google.com/spreadsheets/d/1QqKyyYR6Q21VydFLVH3TRQUabQu_ym0Zz7PgGX0-kHA/edit?usp=sharing"",""แผน!FZ69"")"),45)</f>
        <v>45</v>
      </c>
      <c r="J485" s="214">
        <v>0</v>
      </c>
      <c r="K485" s="496">
        <f ca="1">IF(I485&gt;0,J485*100/I485,0)</f>
        <v>0</v>
      </c>
      <c r="L485" s="496"/>
      <c r="M485" s="496"/>
      <c r="N485" s="496"/>
      <c r="O485" s="496"/>
      <c r="P485" s="496"/>
      <c r="Q485" s="571"/>
      <c r="R485" s="571"/>
      <c r="S485" s="571"/>
      <c r="T485" s="571"/>
      <c r="U485" s="571"/>
      <c r="V485" s="571"/>
      <c r="W485" s="571"/>
      <c r="X485" s="571"/>
      <c r="Y485" s="571"/>
      <c r="Z485" s="571"/>
    </row>
    <row r="486" spans="1:26" ht="18.75">
      <c r="A486" s="601"/>
      <c r="B486" s="611"/>
      <c r="C486" s="611"/>
      <c r="D486" s="611"/>
      <c r="E486" s="611" t="s">
        <v>62</v>
      </c>
      <c r="F486" s="611"/>
      <c r="G486" s="753"/>
      <c r="H486" s="616"/>
      <c r="I486" s="269"/>
      <c r="J486" s="269"/>
      <c r="K486" s="496"/>
      <c r="L486" s="496"/>
      <c r="M486" s="496"/>
      <c r="N486" s="496"/>
      <c r="O486" s="496"/>
      <c r="P486" s="496"/>
      <c r="Q486" s="571"/>
      <c r="R486" s="571"/>
      <c r="S486" s="571"/>
      <c r="T486" s="571"/>
      <c r="U486" s="571"/>
      <c r="V486" s="571"/>
      <c r="W486" s="571"/>
      <c r="X486" s="571"/>
      <c r="Y486" s="571"/>
      <c r="Z486" s="571"/>
    </row>
    <row r="487" spans="1:26" ht="18.75">
      <c r="A487" s="601"/>
      <c r="B487" s="611"/>
      <c r="C487" s="611"/>
      <c r="D487" s="611"/>
      <c r="E487" s="611"/>
      <c r="F487" s="611" t="s">
        <v>208</v>
      </c>
      <c r="G487" s="753"/>
      <c r="H487" s="616" t="s">
        <v>46</v>
      </c>
      <c r="I487" s="269">
        <f ca="1">IFERROR(__xludf.DUMMYFUNCTION("IMPORTRANGE(""https://docs.google.com/spreadsheets/d/1QqKyyYR6Q21VydFLVH3TRQUabQu_ym0Zz7PgGX0-kHA/edit?usp=sharing"",""แผน!GA69"")"),50)</f>
        <v>50</v>
      </c>
      <c r="J487" s="214">
        <v>0</v>
      </c>
      <c r="K487" s="496">
        <f ca="1">IF(I487&gt;0,J487*100/I487,0)</f>
        <v>0</v>
      </c>
      <c r="L487" s="496"/>
      <c r="M487" s="496"/>
      <c r="N487" s="496"/>
      <c r="O487" s="496"/>
      <c r="P487" s="496"/>
      <c r="Q487" s="571"/>
      <c r="R487" s="571"/>
      <c r="S487" s="571"/>
      <c r="T487" s="571"/>
      <c r="U487" s="571"/>
      <c r="V487" s="571"/>
      <c r="W487" s="571"/>
      <c r="X487" s="571"/>
      <c r="Y487" s="571"/>
      <c r="Z487" s="571"/>
    </row>
    <row r="488" spans="1:26" ht="18.75">
      <c r="A488" s="601"/>
      <c r="B488" s="611"/>
      <c r="C488" s="611"/>
      <c r="D488" s="611"/>
      <c r="E488" s="611"/>
      <c r="F488" s="611" t="s">
        <v>211</v>
      </c>
      <c r="G488" s="753"/>
      <c r="H488" s="616" t="s">
        <v>35</v>
      </c>
      <c r="I488" s="269"/>
      <c r="J488" s="214">
        <v>0</v>
      </c>
      <c r="K488" s="496"/>
      <c r="L488" s="496"/>
      <c r="M488" s="496"/>
      <c r="N488" s="496"/>
      <c r="O488" s="496"/>
      <c r="P488" s="496"/>
      <c r="Q488" s="571"/>
      <c r="R488" s="571"/>
      <c r="S488" s="571"/>
      <c r="T488" s="571"/>
      <c r="U488" s="571"/>
      <c r="V488" s="571"/>
      <c r="W488" s="571"/>
      <c r="X488" s="571"/>
      <c r="Y488" s="571"/>
      <c r="Z488" s="571"/>
    </row>
    <row r="489" spans="1:26" ht="18.75">
      <c r="A489" s="601"/>
      <c r="B489" s="611"/>
      <c r="C489" s="611"/>
      <c r="D489" s="611"/>
      <c r="E489" s="611"/>
      <c r="F489" s="611" t="s">
        <v>212</v>
      </c>
      <c r="G489" s="753"/>
      <c r="H489" s="616" t="s">
        <v>35</v>
      </c>
      <c r="I489" s="269">
        <f ca="1">IFERROR(__xludf.DUMMYFUNCTION("IMPORTRANGE(""https://docs.google.com/spreadsheets/d/1QqKyyYR6Q21VydFLVH3TRQUabQu_ym0Zz7PgGX0-kHA/edit?usp=sharing"",""แผน!GB69"")"),5)</f>
        <v>5</v>
      </c>
      <c r="J489" s="214">
        <v>0</v>
      </c>
      <c r="K489" s="496">
        <f ca="1">IF(I489&gt;0,J489*100/I489,0)</f>
        <v>0</v>
      </c>
      <c r="L489" s="496"/>
      <c r="M489" s="496"/>
      <c r="N489" s="496"/>
      <c r="O489" s="496"/>
      <c r="P489" s="496"/>
      <c r="Q489" s="571"/>
      <c r="R489" s="571"/>
      <c r="S489" s="571"/>
      <c r="T489" s="571"/>
      <c r="U489" s="571"/>
      <c r="V489" s="571"/>
      <c r="W489" s="571"/>
      <c r="X489" s="571"/>
      <c r="Y489" s="571"/>
      <c r="Z489" s="571"/>
    </row>
    <row r="490" spans="1:26" ht="18.75">
      <c r="A490" s="601"/>
      <c r="B490" s="611"/>
      <c r="C490" s="611"/>
      <c r="D490" s="611"/>
      <c r="E490" s="611" t="s">
        <v>63</v>
      </c>
      <c r="F490" s="619"/>
      <c r="G490" s="753"/>
      <c r="H490" s="616"/>
      <c r="I490" s="269"/>
      <c r="J490" s="269"/>
      <c r="K490" s="496"/>
      <c r="L490" s="496"/>
      <c r="M490" s="496"/>
      <c r="N490" s="496"/>
      <c r="O490" s="496"/>
      <c r="P490" s="496"/>
      <c r="Q490" s="571"/>
      <c r="R490" s="571"/>
      <c r="S490" s="571"/>
      <c r="T490" s="571"/>
      <c r="U490" s="571"/>
      <c r="V490" s="571"/>
      <c r="W490" s="571"/>
      <c r="X490" s="571"/>
      <c r="Y490" s="571"/>
      <c r="Z490" s="571"/>
    </row>
    <row r="491" spans="1:26" ht="18.75">
      <c r="A491" s="601"/>
      <c r="B491" s="611"/>
      <c r="C491" s="611"/>
      <c r="D491" s="611"/>
      <c r="E491" s="611"/>
      <c r="F491" s="611" t="s">
        <v>213</v>
      </c>
      <c r="G491" s="753"/>
      <c r="H491" s="616" t="s">
        <v>35</v>
      </c>
      <c r="I491" s="269"/>
      <c r="J491" s="214">
        <v>0</v>
      </c>
      <c r="K491" s="496"/>
      <c r="L491" s="496"/>
      <c r="M491" s="496"/>
      <c r="N491" s="496"/>
      <c r="O491" s="496"/>
      <c r="P491" s="496"/>
      <c r="Q491" s="571"/>
      <c r="R491" s="571"/>
      <c r="S491" s="571"/>
      <c r="T491" s="571"/>
      <c r="U491" s="571"/>
      <c r="V491" s="571"/>
      <c r="W491" s="571"/>
      <c r="X491" s="571"/>
      <c r="Y491" s="571"/>
      <c r="Z491" s="571"/>
    </row>
    <row r="492" spans="1:26" ht="18.75">
      <c r="A492" s="601"/>
      <c r="B492" s="611"/>
      <c r="C492" s="611"/>
      <c r="D492" s="611"/>
      <c r="E492" s="611"/>
      <c r="F492" s="611" t="s">
        <v>214</v>
      </c>
      <c r="G492" s="753"/>
      <c r="H492" s="616" t="s">
        <v>35</v>
      </c>
      <c r="I492" s="269">
        <f ca="1">IFERROR(__xludf.DUMMYFUNCTION("IMPORTRANGE(""https://docs.google.com/spreadsheets/d/1QqKyyYR6Q21VydFLVH3TRQUabQu_ym0Zz7PgGX0-kHA/edit?usp=sharing"",""แผน!GC69"")"),1)</f>
        <v>1</v>
      </c>
      <c r="J492" s="214">
        <v>0</v>
      </c>
      <c r="K492" s="496">
        <f ca="1">IF(I492&gt;0,J492*100/I492,0)</f>
        <v>0</v>
      </c>
      <c r="L492" s="496"/>
      <c r="M492" s="496"/>
      <c r="N492" s="496"/>
      <c r="O492" s="496"/>
      <c r="P492" s="496"/>
      <c r="Q492" s="571"/>
      <c r="R492" s="571"/>
      <c r="S492" s="571"/>
      <c r="T492" s="571"/>
      <c r="U492" s="571"/>
      <c r="V492" s="571"/>
      <c r="W492" s="571"/>
      <c r="X492" s="571"/>
      <c r="Y492" s="571"/>
      <c r="Z492" s="571"/>
    </row>
    <row r="493" spans="1:26" ht="19.5">
      <c r="A493" s="601"/>
      <c r="B493" s="611"/>
      <c r="C493" s="611"/>
      <c r="D493" s="618" t="s">
        <v>59</v>
      </c>
      <c r="E493" s="611"/>
      <c r="F493" s="619"/>
      <c r="G493" s="753"/>
      <c r="H493" s="189"/>
      <c r="I493" s="269"/>
      <c r="J493" s="269"/>
      <c r="K493" s="496"/>
      <c r="L493" s="496"/>
      <c r="M493" s="496"/>
      <c r="N493" s="496"/>
      <c r="O493" s="496"/>
      <c r="P493" s="496"/>
      <c r="Q493" s="571"/>
      <c r="R493" s="571"/>
      <c r="S493" s="571"/>
      <c r="T493" s="571"/>
      <c r="U493" s="571"/>
      <c r="V493" s="571"/>
      <c r="W493" s="571"/>
      <c r="X493" s="571"/>
      <c r="Y493" s="571"/>
      <c r="Z493" s="571"/>
    </row>
    <row r="494" spans="1:26" ht="18.75">
      <c r="A494" s="601"/>
      <c r="B494" s="611"/>
      <c r="C494" s="611"/>
      <c r="D494" s="611"/>
      <c r="E494" s="611" t="s">
        <v>207</v>
      </c>
      <c r="F494" s="619"/>
      <c r="G494" s="753"/>
      <c r="H494" s="189"/>
      <c r="I494" s="269"/>
      <c r="J494" s="269"/>
      <c r="K494" s="496"/>
      <c r="L494" s="496"/>
      <c r="M494" s="496"/>
      <c r="N494" s="496"/>
      <c r="O494" s="496"/>
      <c r="P494" s="496"/>
      <c r="Q494" s="571"/>
      <c r="R494" s="571"/>
      <c r="S494" s="571"/>
      <c r="T494" s="571"/>
      <c r="U494" s="571"/>
      <c r="V494" s="571"/>
      <c r="W494" s="571"/>
      <c r="X494" s="571"/>
      <c r="Y494" s="571"/>
      <c r="Z494" s="571"/>
    </row>
    <row r="495" spans="1:26" ht="18.75">
      <c r="A495" s="601"/>
      <c r="B495" s="611"/>
      <c r="C495" s="611"/>
      <c r="D495" s="611"/>
      <c r="E495" s="611"/>
      <c r="F495" s="619" t="s">
        <v>215</v>
      </c>
      <c r="G495" s="753"/>
      <c r="H495" s="616" t="s">
        <v>46</v>
      </c>
      <c r="I495" s="269">
        <f ca="1">IFERROR(__xludf.DUMMYFUNCTION("IMPORTRANGE(""https://docs.google.com/spreadsheets/d/1QqKyyYR6Q21VydFLVH3TRQUabQu_ym0Zz7PgGX0-kHA/edit?usp=sharing"",""แผน!FY69"")"),450)</f>
        <v>450</v>
      </c>
      <c r="J495" s="214">
        <v>0</v>
      </c>
      <c r="K495" s="496">
        <f ca="1">IF(I495&gt;0,J495*100/I495,0)</f>
        <v>0</v>
      </c>
      <c r="L495" s="496"/>
      <c r="M495" s="496"/>
      <c r="N495" s="496"/>
      <c r="O495" s="496"/>
      <c r="P495" s="496"/>
      <c r="Q495" s="571"/>
      <c r="R495" s="571"/>
      <c r="S495" s="571"/>
      <c r="T495" s="571"/>
      <c r="U495" s="571"/>
      <c r="V495" s="571"/>
      <c r="W495" s="571"/>
      <c r="X495" s="571"/>
      <c r="Y495" s="571"/>
      <c r="Z495" s="571"/>
    </row>
    <row r="496" spans="1:26" ht="18.75">
      <c r="A496" s="601"/>
      <c r="B496" s="611"/>
      <c r="C496" s="611"/>
      <c r="D496" s="611"/>
      <c r="E496" s="611"/>
      <c r="F496" s="619" t="s">
        <v>216</v>
      </c>
      <c r="G496" s="753"/>
      <c r="H496" s="616" t="s">
        <v>46</v>
      </c>
      <c r="I496" s="269"/>
      <c r="J496" s="214">
        <v>0</v>
      </c>
      <c r="K496" s="496"/>
      <c r="L496" s="496"/>
      <c r="M496" s="496"/>
      <c r="N496" s="496"/>
      <c r="O496" s="496"/>
      <c r="P496" s="496"/>
      <c r="Q496" s="571"/>
      <c r="R496" s="571"/>
      <c r="S496" s="571"/>
      <c r="T496" s="571"/>
      <c r="U496" s="571"/>
      <c r="V496" s="571"/>
      <c r="W496" s="571"/>
      <c r="X496" s="571"/>
      <c r="Y496" s="571"/>
      <c r="Z496" s="571"/>
    </row>
    <row r="497" spans="1:26" ht="18.75">
      <c r="A497" s="601"/>
      <c r="B497" s="611"/>
      <c r="C497" s="611"/>
      <c r="D497" s="611"/>
      <c r="E497" s="611" t="s">
        <v>62</v>
      </c>
      <c r="F497" s="619"/>
      <c r="G497" s="753"/>
      <c r="H497" s="189"/>
      <c r="I497" s="269"/>
      <c r="J497" s="269"/>
      <c r="K497" s="496"/>
      <c r="L497" s="496"/>
      <c r="M497" s="496"/>
      <c r="N497" s="496"/>
      <c r="O497" s="496"/>
      <c r="P497" s="496"/>
      <c r="Q497" s="571"/>
      <c r="R497" s="571"/>
      <c r="S497" s="571"/>
      <c r="T497" s="571"/>
      <c r="U497" s="571"/>
      <c r="V497" s="571"/>
      <c r="W497" s="571"/>
      <c r="X497" s="571"/>
      <c r="Y497" s="571"/>
      <c r="Z497" s="571"/>
    </row>
    <row r="498" spans="1:26" ht="18.75">
      <c r="A498" s="601"/>
      <c r="B498" s="611"/>
      <c r="C498" s="611"/>
      <c r="D498" s="611"/>
      <c r="E498" s="619"/>
      <c r="F498" s="619" t="s">
        <v>217</v>
      </c>
      <c r="G498" s="753"/>
      <c r="H498" s="616" t="s">
        <v>46</v>
      </c>
      <c r="I498" s="269">
        <f ca="1">IFERROR(__xludf.DUMMYFUNCTION("IMPORTRANGE(""https://docs.google.com/spreadsheets/d/1QqKyyYR6Q21VydFLVH3TRQUabQu_ym0Zz7PgGX0-kHA/edit?usp=sharing"",""แผน!GA69"")"),50)</f>
        <v>50</v>
      </c>
      <c r="J498" s="214">
        <v>0</v>
      </c>
      <c r="K498" s="496">
        <f ca="1">IF(I498&gt;0,J498*100/I498,0)</f>
        <v>0</v>
      </c>
      <c r="L498" s="496"/>
      <c r="M498" s="496"/>
      <c r="N498" s="496"/>
      <c r="O498" s="496"/>
      <c r="P498" s="496"/>
      <c r="Q498" s="571"/>
      <c r="R498" s="571"/>
      <c r="S498" s="571"/>
      <c r="T498" s="571"/>
      <c r="U498" s="571"/>
      <c r="V498" s="571"/>
      <c r="W498" s="571"/>
      <c r="X498" s="571"/>
      <c r="Y498" s="571"/>
      <c r="Z498" s="571"/>
    </row>
    <row r="499" spans="1:26" ht="18.75">
      <c r="A499" s="601"/>
      <c r="B499" s="611"/>
      <c r="C499" s="611"/>
      <c r="D499" s="611"/>
      <c r="E499" s="619"/>
      <c r="F499" s="619" t="s">
        <v>218</v>
      </c>
      <c r="G499" s="753"/>
      <c r="H499" s="616" t="s">
        <v>46</v>
      </c>
      <c r="I499" s="269"/>
      <c r="J499" s="214">
        <v>0</v>
      </c>
      <c r="K499" s="496"/>
      <c r="L499" s="496"/>
      <c r="M499" s="496"/>
      <c r="N499" s="496"/>
      <c r="O499" s="496"/>
      <c r="P499" s="496"/>
      <c r="Q499" s="571"/>
      <c r="R499" s="571"/>
      <c r="S499" s="571"/>
      <c r="T499" s="571"/>
      <c r="U499" s="571"/>
      <c r="V499" s="571"/>
      <c r="W499" s="571"/>
      <c r="X499" s="571"/>
      <c r="Y499" s="571"/>
      <c r="Z499" s="571"/>
    </row>
    <row r="500" spans="1:26" ht="19.5" hidden="1">
      <c r="A500" s="620">
        <v>4</v>
      </c>
      <c r="B500" s="621" t="s">
        <v>219</v>
      </c>
      <c r="C500" s="622"/>
      <c r="D500" s="623"/>
      <c r="E500" s="623"/>
      <c r="F500" s="623"/>
      <c r="G500" s="624"/>
      <c r="H500" s="625" t="s">
        <v>109</v>
      </c>
      <c r="I500" s="626"/>
      <c r="J500" s="626">
        <f t="shared" ref="J500:J501" si="214">J516</f>
        <v>0</v>
      </c>
      <c r="K500" s="627">
        <f t="shared" ref="K500:K501" si="215">IF(I500&gt;0,J500*100/I500,0)</f>
        <v>0</v>
      </c>
      <c r="L500" s="628"/>
      <c r="M500" s="628"/>
      <c r="N500" s="628"/>
      <c r="O500" s="628"/>
      <c r="P500" s="628"/>
      <c r="Q500" s="597"/>
      <c r="R500" s="597"/>
      <c r="S500" s="597"/>
      <c r="T500" s="597"/>
      <c r="U500" s="597"/>
      <c r="V500" s="597"/>
      <c r="W500" s="597"/>
      <c r="X500" s="597"/>
      <c r="Y500" s="597"/>
      <c r="Z500" s="597"/>
    </row>
    <row r="501" spans="1:26" ht="19.5" hidden="1">
      <c r="A501" s="629"/>
      <c r="B501" s="631" t="s">
        <v>220</v>
      </c>
      <c r="C501" s="631"/>
      <c r="D501" s="632"/>
      <c r="E501" s="632"/>
      <c r="F501" s="632"/>
      <c r="G501" s="633"/>
      <c r="H501" s="634" t="s">
        <v>35</v>
      </c>
      <c r="I501" s="635"/>
      <c r="J501" s="635">
        <f t="shared" si="214"/>
        <v>0</v>
      </c>
      <c r="K501" s="636">
        <f t="shared" si="215"/>
        <v>0</v>
      </c>
      <c r="L501" s="637"/>
      <c r="M501" s="637"/>
      <c r="N501" s="637"/>
      <c r="O501" s="637"/>
      <c r="P501" s="637"/>
      <c r="Q501" s="597"/>
      <c r="R501" s="597"/>
      <c r="S501" s="597"/>
      <c r="T501" s="597"/>
      <c r="U501" s="597"/>
      <c r="V501" s="597"/>
      <c r="W501" s="597"/>
      <c r="X501" s="597"/>
      <c r="Y501" s="597"/>
      <c r="Z501" s="597"/>
    </row>
    <row r="502" spans="1:26" ht="19.5" hidden="1">
      <c r="A502" s="592"/>
      <c r="B502" s="750"/>
      <c r="C502" s="750" t="s">
        <v>16</v>
      </c>
      <c r="D502" s="864" t="s">
        <v>17</v>
      </c>
      <c r="E502" s="857"/>
      <c r="F502" s="857"/>
      <c r="G502" s="596"/>
      <c r="H502" s="639" t="s">
        <v>12</v>
      </c>
      <c r="I502" s="610"/>
      <c r="J502" s="610"/>
      <c r="K502" s="93"/>
      <c r="L502" s="640">
        <f t="shared" ref="L502:N502" si="216">L503+L504</f>
        <v>0</v>
      </c>
      <c r="M502" s="640">
        <f t="shared" si="216"/>
        <v>0</v>
      </c>
      <c r="N502" s="640">
        <f t="shared" si="216"/>
        <v>0</v>
      </c>
      <c r="O502" s="640">
        <f t="shared" ref="O502:O507" si="217">IF(L502&gt;0,N502*100/L502,0)</f>
        <v>0</v>
      </c>
      <c r="P502" s="640">
        <f t="shared" ref="P502:P507" si="218">IF(M502&gt;0,N502*100/M502,0)</f>
        <v>0</v>
      </c>
      <c r="Q502" s="597"/>
      <c r="R502" s="597"/>
      <c r="S502" s="597"/>
      <c r="T502" s="597"/>
      <c r="U502" s="597"/>
      <c r="V502" s="597"/>
      <c r="W502" s="597"/>
      <c r="X502" s="597"/>
      <c r="Y502" s="597"/>
      <c r="Z502" s="597"/>
    </row>
    <row r="503" spans="1:26" ht="18.75" hidden="1">
      <c r="A503" s="592"/>
      <c r="B503" s="750"/>
      <c r="C503" s="750"/>
      <c r="D503" s="711"/>
      <c r="E503" s="750" t="s">
        <v>184</v>
      </c>
      <c r="F503" s="750"/>
      <c r="G503" s="596"/>
      <c r="H503" s="165" t="s">
        <v>12</v>
      </c>
      <c r="I503" s="610"/>
      <c r="J503" s="610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597"/>
      <c r="R503" s="597"/>
      <c r="S503" s="597"/>
      <c r="T503" s="597"/>
      <c r="U503" s="597"/>
      <c r="V503" s="597"/>
      <c r="W503" s="597"/>
      <c r="X503" s="597"/>
      <c r="Y503" s="597"/>
      <c r="Z503" s="597"/>
    </row>
    <row r="504" spans="1:26" ht="18.75" hidden="1">
      <c r="A504" s="592"/>
      <c r="B504" s="600"/>
      <c r="C504" s="750"/>
      <c r="D504" s="711"/>
      <c r="E504" s="750" t="s">
        <v>185</v>
      </c>
      <c r="F504" s="750"/>
      <c r="G504" s="596"/>
      <c r="H504" s="165" t="s">
        <v>12</v>
      </c>
      <c r="I504" s="610"/>
      <c r="J504" s="610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597"/>
      <c r="R504" s="597"/>
      <c r="S504" s="597"/>
      <c r="T504" s="597"/>
      <c r="U504" s="597"/>
      <c r="V504" s="597"/>
      <c r="W504" s="597"/>
      <c r="X504" s="597"/>
      <c r="Y504" s="597"/>
      <c r="Z504" s="597"/>
    </row>
    <row r="505" spans="1:26" ht="18.75" hidden="1">
      <c r="A505" s="592"/>
      <c r="B505" s="600"/>
      <c r="C505" s="750"/>
      <c r="D505" s="641" t="s">
        <v>20</v>
      </c>
      <c r="E505" s="750"/>
      <c r="F505" s="750"/>
      <c r="G505" s="596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597"/>
      <c r="R505" s="597"/>
      <c r="S505" s="597"/>
      <c r="T505" s="597"/>
      <c r="U505" s="597"/>
      <c r="V505" s="597"/>
      <c r="W505" s="597"/>
      <c r="X505" s="597"/>
      <c r="Y505" s="597"/>
      <c r="Z505" s="597"/>
    </row>
    <row r="506" spans="1:26" ht="18.75" hidden="1">
      <c r="A506" s="592"/>
      <c r="B506" s="600"/>
      <c r="C506" s="750"/>
      <c r="D506" s="711"/>
      <c r="E506" s="750" t="s">
        <v>184</v>
      </c>
      <c r="F506" s="750"/>
      <c r="G506" s="596"/>
      <c r="H506" s="165" t="s">
        <v>12</v>
      </c>
      <c r="I506" s="610"/>
      <c r="J506" s="610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597"/>
      <c r="R506" s="597"/>
      <c r="S506" s="597"/>
      <c r="T506" s="597"/>
      <c r="U506" s="597"/>
      <c r="V506" s="597"/>
      <c r="W506" s="597"/>
      <c r="X506" s="597"/>
      <c r="Y506" s="597"/>
      <c r="Z506" s="597"/>
    </row>
    <row r="507" spans="1:26" ht="18.75" hidden="1">
      <c r="A507" s="592"/>
      <c r="B507" s="600"/>
      <c r="C507" s="750"/>
      <c r="D507" s="711"/>
      <c r="E507" s="750" t="s">
        <v>185</v>
      </c>
      <c r="F507" s="750"/>
      <c r="G507" s="596"/>
      <c r="H507" s="165" t="s">
        <v>12</v>
      </c>
      <c r="I507" s="610"/>
      <c r="J507" s="610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597"/>
      <c r="R507" s="597"/>
      <c r="S507" s="597"/>
      <c r="T507" s="597"/>
      <c r="U507" s="597"/>
      <c r="V507" s="597"/>
      <c r="W507" s="597"/>
      <c r="X507" s="597"/>
      <c r="Y507" s="597"/>
      <c r="Z507" s="597"/>
    </row>
    <row r="508" spans="1:26" ht="18.75" hidden="1">
      <c r="A508" s="642"/>
      <c r="B508" s="600"/>
      <c r="C508" s="750"/>
      <c r="D508" s="750"/>
      <c r="E508" s="750"/>
      <c r="F508" s="750" t="s">
        <v>186</v>
      </c>
      <c r="G508" s="596"/>
      <c r="H508" s="165" t="s">
        <v>12</v>
      </c>
      <c r="I508" s="610"/>
      <c r="J508" s="610"/>
      <c r="K508" s="93"/>
      <c r="L508" s="93"/>
      <c r="M508" s="93"/>
      <c r="N508" s="93">
        <v>0</v>
      </c>
      <c r="O508" s="93"/>
      <c r="P508" s="93"/>
      <c r="Q508" s="597"/>
      <c r="R508" s="597"/>
      <c r="S508" s="597"/>
      <c r="T508" s="597"/>
      <c r="U508" s="597"/>
      <c r="V508" s="597"/>
      <c r="W508" s="597"/>
      <c r="X508" s="597"/>
      <c r="Y508" s="597"/>
      <c r="Z508" s="597"/>
    </row>
    <row r="509" spans="1:26" ht="18.75" hidden="1">
      <c r="A509" s="642"/>
      <c r="B509" s="600"/>
      <c r="C509" s="750"/>
      <c r="D509" s="750"/>
      <c r="E509" s="750"/>
      <c r="F509" s="750" t="s">
        <v>187</v>
      </c>
      <c r="G509" s="596"/>
      <c r="H509" s="165" t="s">
        <v>12</v>
      </c>
      <c r="I509" s="610"/>
      <c r="J509" s="610"/>
      <c r="K509" s="93"/>
      <c r="L509" s="93"/>
      <c r="M509" s="93"/>
      <c r="N509" s="93">
        <v>0</v>
      </c>
      <c r="O509" s="93"/>
      <c r="P509" s="93"/>
      <c r="Q509" s="597"/>
      <c r="R509" s="597"/>
      <c r="S509" s="597"/>
      <c r="T509" s="597"/>
      <c r="U509" s="597"/>
      <c r="V509" s="597"/>
      <c r="W509" s="597"/>
      <c r="X509" s="597"/>
      <c r="Y509" s="597"/>
      <c r="Z509" s="597"/>
    </row>
    <row r="510" spans="1:26" ht="18.75" hidden="1">
      <c r="A510" s="642"/>
      <c r="B510" s="600"/>
      <c r="C510" s="600"/>
      <c r="D510" s="600"/>
      <c r="E510" s="750"/>
      <c r="F510" s="750" t="s">
        <v>188</v>
      </c>
      <c r="G510" s="596"/>
      <c r="H510" s="165" t="s">
        <v>12</v>
      </c>
      <c r="I510" s="610"/>
      <c r="J510" s="610"/>
      <c r="K510" s="93"/>
      <c r="L510" s="93"/>
      <c r="M510" s="93"/>
      <c r="N510" s="93">
        <v>0</v>
      </c>
      <c r="O510" s="93"/>
      <c r="P510" s="93"/>
      <c r="Q510" s="597"/>
      <c r="R510" s="597"/>
      <c r="S510" s="597"/>
      <c r="T510" s="597"/>
      <c r="U510" s="597"/>
      <c r="V510" s="597"/>
      <c r="W510" s="597"/>
      <c r="X510" s="597"/>
      <c r="Y510" s="597"/>
      <c r="Z510" s="597"/>
    </row>
    <row r="511" spans="1:26" ht="18.75" hidden="1">
      <c r="A511" s="642"/>
      <c r="B511" s="600"/>
      <c r="C511" s="600"/>
      <c r="D511" s="600"/>
      <c r="E511" s="750"/>
      <c r="F511" s="750" t="s">
        <v>189</v>
      </c>
      <c r="G511" s="596"/>
      <c r="H511" s="165" t="s">
        <v>12</v>
      </c>
      <c r="I511" s="610"/>
      <c r="J511" s="610"/>
      <c r="K511" s="93"/>
      <c r="L511" s="93"/>
      <c r="M511" s="93"/>
      <c r="N511" s="93">
        <v>0</v>
      </c>
      <c r="O511" s="93"/>
      <c r="P511" s="93"/>
      <c r="Q511" s="597"/>
      <c r="R511" s="597"/>
      <c r="S511" s="597"/>
      <c r="T511" s="597"/>
      <c r="U511" s="597"/>
      <c r="V511" s="597"/>
      <c r="W511" s="597"/>
      <c r="X511" s="597"/>
      <c r="Y511" s="597"/>
      <c r="Z511" s="597"/>
    </row>
    <row r="512" spans="1:26" ht="18.75" hidden="1">
      <c r="A512" s="592"/>
      <c r="B512" s="600"/>
      <c r="C512" s="600"/>
      <c r="D512" s="641" t="s">
        <v>21</v>
      </c>
      <c r="E512" s="600"/>
      <c r="F512" s="750"/>
      <c r="G512" s="596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597"/>
      <c r="R512" s="597"/>
      <c r="S512" s="597"/>
      <c r="T512" s="597"/>
      <c r="U512" s="597"/>
      <c r="V512" s="597"/>
      <c r="W512" s="597"/>
      <c r="X512" s="597"/>
      <c r="Y512" s="597"/>
      <c r="Z512" s="597"/>
    </row>
    <row r="513" spans="1:26" ht="18.75" hidden="1">
      <c r="A513" s="592"/>
      <c r="B513" s="600"/>
      <c r="C513" s="600"/>
      <c r="D513" s="600"/>
      <c r="E513" s="600" t="s">
        <v>18</v>
      </c>
      <c r="F513" s="750"/>
      <c r="G513" s="596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597"/>
      <c r="R513" s="597"/>
      <c r="S513" s="597"/>
      <c r="T513" s="597"/>
      <c r="U513" s="597"/>
      <c r="V513" s="597"/>
      <c r="W513" s="597"/>
      <c r="X513" s="597"/>
      <c r="Y513" s="597"/>
      <c r="Z513" s="597"/>
    </row>
    <row r="514" spans="1:26" ht="18.75" hidden="1">
      <c r="A514" s="592"/>
      <c r="B514" s="600"/>
      <c r="C514" s="600"/>
      <c r="D514" s="750"/>
      <c r="E514" s="600" t="s">
        <v>19</v>
      </c>
      <c r="F514" s="750"/>
      <c r="G514" s="596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597"/>
      <c r="R514" s="597"/>
      <c r="S514" s="597"/>
      <c r="T514" s="597"/>
      <c r="U514" s="597"/>
      <c r="V514" s="597"/>
      <c r="W514" s="597"/>
      <c r="X514" s="597"/>
      <c r="Y514" s="597"/>
      <c r="Z514" s="597"/>
    </row>
    <row r="515" spans="1:26" ht="19.5" hidden="1">
      <c r="A515" s="607"/>
      <c r="B515" s="609"/>
      <c r="C515" s="600" t="s">
        <v>16</v>
      </c>
      <c r="D515" s="838" t="s">
        <v>38</v>
      </c>
      <c r="E515" s="644"/>
      <c r="F515" s="644"/>
      <c r="G515" s="645"/>
      <c r="H515" s="365"/>
      <c r="I515" s="166"/>
      <c r="J515" s="166"/>
      <c r="K515" s="167"/>
      <c r="L515" s="167"/>
      <c r="M515" s="167"/>
      <c r="N515" s="167"/>
      <c r="O515" s="167"/>
      <c r="P515" s="167"/>
      <c r="Q515" s="597"/>
      <c r="R515" s="597"/>
      <c r="S515" s="597"/>
      <c r="T515" s="597"/>
      <c r="U515" s="597"/>
      <c r="V515" s="597"/>
      <c r="W515" s="597"/>
      <c r="X515" s="597"/>
      <c r="Y515" s="597"/>
      <c r="Z515" s="597"/>
    </row>
    <row r="516" spans="1:26" ht="18.75" hidden="1">
      <c r="A516" s="607"/>
      <c r="B516" s="609"/>
      <c r="C516" s="609"/>
      <c r="D516" s="609" t="s">
        <v>221</v>
      </c>
      <c r="E516" s="711"/>
      <c r="F516" s="711"/>
      <c r="G516" s="365"/>
      <c r="H516" s="646" t="s">
        <v>109</v>
      </c>
      <c r="I516" s="610"/>
      <c r="J516" s="610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597"/>
      <c r="R516" s="597"/>
      <c r="S516" s="597"/>
      <c r="T516" s="597"/>
      <c r="U516" s="597"/>
      <c r="V516" s="597"/>
      <c r="W516" s="597"/>
      <c r="X516" s="597"/>
      <c r="Y516" s="597"/>
      <c r="Z516" s="597"/>
    </row>
    <row r="517" spans="1:26" ht="19.5" hidden="1">
      <c r="A517" s="607"/>
      <c r="B517" s="609"/>
      <c r="C517" s="609"/>
      <c r="D517" s="609" t="s">
        <v>222</v>
      </c>
      <c r="E517" s="711"/>
      <c r="F517" s="711"/>
      <c r="G517" s="365"/>
      <c r="H517" s="647" t="s">
        <v>35</v>
      </c>
      <c r="I517" s="648"/>
      <c r="J517" s="648">
        <f>J518+J519</f>
        <v>0</v>
      </c>
      <c r="K517" s="649">
        <f t="shared" si="224"/>
        <v>0</v>
      </c>
      <c r="L517" s="167"/>
      <c r="M517" s="167"/>
      <c r="N517" s="167"/>
      <c r="O517" s="167"/>
      <c r="P517" s="167"/>
      <c r="Q517" s="597"/>
      <c r="R517" s="597"/>
      <c r="S517" s="597"/>
      <c r="T517" s="597"/>
      <c r="U517" s="597"/>
      <c r="V517" s="597"/>
      <c r="W517" s="597"/>
      <c r="X517" s="597"/>
      <c r="Y517" s="597"/>
      <c r="Z517" s="597"/>
    </row>
    <row r="518" spans="1:26" ht="18.75" hidden="1">
      <c r="A518" s="607"/>
      <c r="B518" s="609"/>
      <c r="C518" s="609"/>
      <c r="D518" s="609"/>
      <c r="E518" s="609" t="s">
        <v>223</v>
      </c>
      <c r="F518" s="711"/>
      <c r="G518" s="365"/>
      <c r="H518" s="369" t="s">
        <v>35</v>
      </c>
      <c r="I518" s="610"/>
      <c r="J518" s="610"/>
      <c r="K518" s="167"/>
      <c r="L518" s="167"/>
      <c r="M518" s="167"/>
      <c r="N518" s="167"/>
      <c r="O518" s="167"/>
      <c r="P518" s="167"/>
      <c r="Q518" s="597"/>
      <c r="R518" s="597"/>
      <c r="S518" s="597"/>
      <c r="T518" s="597"/>
      <c r="U518" s="597"/>
      <c r="V518" s="597"/>
      <c r="W518" s="597"/>
      <c r="X518" s="597"/>
      <c r="Y518" s="597"/>
      <c r="Z518" s="597"/>
    </row>
    <row r="519" spans="1:26" ht="18.75" hidden="1">
      <c r="A519" s="607"/>
      <c r="B519" s="609"/>
      <c r="C519" s="609"/>
      <c r="D519" s="609"/>
      <c r="E519" s="609" t="s">
        <v>224</v>
      </c>
      <c r="F519" s="711"/>
      <c r="G519" s="365"/>
      <c r="H519" s="646" t="s">
        <v>35</v>
      </c>
      <c r="I519" s="610"/>
      <c r="J519" s="610"/>
      <c r="K519" s="167"/>
      <c r="L519" s="167"/>
      <c r="M519" s="167"/>
      <c r="N519" s="167"/>
      <c r="O519" s="167"/>
      <c r="P519" s="167"/>
      <c r="Q519" s="597"/>
      <c r="R519" s="597"/>
      <c r="S519" s="597"/>
      <c r="T519" s="597"/>
      <c r="U519" s="597"/>
      <c r="V519" s="597"/>
      <c r="W519" s="597"/>
      <c r="X519" s="597"/>
      <c r="Y519" s="597"/>
      <c r="Z519" s="597"/>
    </row>
    <row r="520" spans="1:26" ht="19.5">
      <c r="A520" s="650" t="s">
        <v>137</v>
      </c>
      <c r="B520" s="651"/>
      <c r="C520" s="651"/>
      <c r="D520" s="652"/>
      <c r="E520" s="652"/>
      <c r="F520" s="652"/>
      <c r="G520" s="653"/>
      <c r="H520" s="654"/>
      <c r="I520" s="655"/>
      <c r="J520" s="655"/>
      <c r="K520" s="656"/>
      <c r="L520" s="656"/>
      <c r="M520" s="656"/>
      <c r="N520" s="656"/>
      <c r="O520" s="656"/>
      <c r="P520" s="656"/>
    </row>
    <row r="521" spans="1:26" ht="19.5">
      <c r="A521" s="657">
        <v>5</v>
      </c>
      <c r="B521" s="658" t="s">
        <v>225</v>
      </c>
      <c r="C521" s="659"/>
      <c r="D521" s="660"/>
      <c r="E521" s="660"/>
      <c r="F521" s="660"/>
      <c r="G521" s="660"/>
      <c r="H521" s="661"/>
      <c r="I521" s="662"/>
      <c r="J521" s="662"/>
      <c r="K521" s="663"/>
      <c r="L521" s="663"/>
      <c r="M521" s="663"/>
      <c r="N521" s="663"/>
      <c r="O521" s="663"/>
      <c r="P521" s="663"/>
      <c r="Q521" s="571"/>
      <c r="R521" s="571"/>
      <c r="S521" s="571"/>
      <c r="T521" s="571"/>
      <c r="U521" s="571"/>
      <c r="V521" s="571"/>
      <c r="W521" s="571"/>
      <c r="X521" s="571"/>
      <c r="Y521" s="571"/>
      <c r="Z521" s="571"/>
    </row>
    <row r="522" spans="1:26" ht="19.5">
      <c r="A522" s="664"/>
      <c r="B522" s="665" t="s">
        <v>226</v>
      </c>
      <c r="C522" s="666"/>
      <c r="D522" s="666"/>
      <c r="E522" s="666"/>
      <c r="F522" s="666"/>
      <c r="G522" s="667"/>
      <c r="H522" s="668" t="s">
        <v>35</v>
      </c>
      <c r="I522" s="699">
        <f t="shared" ref="I522:J522" ca="1" si="225">I537</f>
        <v>50</v>
      </c>
      <c r="J522" s="699">
        <f t="shared" ca="1" si="225"/>
        <v>0</v>
      </c>
      <c r="K522" s="670">
        <f ca="1">IF(I522&gt;0,J522*100/I522,0)</f>
        <v>0</v>
      </c>
      <c r="L522" s="671"/>
      <c r="M522" s="671"/>
      <c r="N522" s="671"/>
      <c r="O522" s="671"/>
      <c r="P522" s="671"/>
      <c r="Q522" s="571"/>
      <c r="R522" s="571"/>
      <c r="S522" s="571"/>
      <c r="T522" s="571"/>
      <c r="U522" s="571"/>
      <c r="V522" s="571"/>
      <c r="W522" s="571"/>
      <c r="X522" s="571"/>
      <c r="Y522" s="571"/>
      <c r="Z522" s="571"/>
    </row>
    <row r="523" spans="1:26" ht="19.5">
      <c r="A523" s="590"/>
      <c r="B523" s="754"/>
      <c r="C523" s="754" t="s">
        <v>16</v>
      </c>
      <c r="D523" s="863" t="s">
        <v>17</v>
      </c>
      <c r="E523" s="857"/>
      <c r="F523" s="857"/>
      <c r="G523" s="189"/>
      <c r="H523" s="591" t="s">
        <v>12</v>
      </c>
      <c r="I523" s="269"/>
      <c r="J523" s="269"/>
      <c r="K523" s="496"/>
      <c r="L523" s="195">
        <f t="shared" ref="L523:N523" ca="1" si="226">L524+L525</f>
        <v>427460</v>
      </c>
      <c r="M523" s="195">
        <f t="shared" si="226"/>
        <v>0</v>
      </c>
      <c r="N523" s="195">
        <f t="shared" si="226"/>
        <v>47590</v>
      </c>
      <c r="O523" s="195">
        <f t="shared" ref="O523:O528" ca="1" si="227">IF(L523&gt;0,N523*100/L523,0)</f>
        <v>11.133205446123615</v>
      </c>
      <c r="P523" s="195">
        <f t="shared" ref="P523:P528" si="228">IF(M523&gt;0,N523*100/M523,0)</f>
        <v>0</v>
      </c>
      <c r="Q523" s="571"/>
      <c r="R523" s="571"/>
      <c r="S523" s="571"/>
      <c r="T523" s="571"/>
      <c r="U523" s="571"/>
      <c r="V523" s="571"/>
      <c r="W523" s="571"/>
      <c r="X523" s="571"/>
      <c r="Y523" s="571"/>
      <c r="Z523" s="571"/>
    </row>
    <row r="524" spans="1:26" ht="18.75" hidden="1">
      <c r="A524" s="592"/>
      <c r="B524" s="750"/>
      <c r="C524" s="750"/>
      <c r="D524" s="711"/>
      <c r="E524" s="750" t="s">
        <v>184</v>
      </c>
      <c r="F524" s="750"/>
      <c r="G524" s="596"/>
      <c r="H524" s="165" t="s">
        <v>12</v>
      </c>
      <c r="I524" s="610"/>
      <c r="J524" s="610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597"/>
      <c r="R524" s="597"/>
      <c r="S524" s="597"/>
      <c r="T524" s="597"/>
      <c r="U524" s="597"/>
      <c r="V524" s="597"/>
      <c r="W524" s="597"/>
      <c r="X524" s="597"/>
      <c r="Y524" s="597"/>
      <c r="Z524" s="597"/>
    </row>
    <row r="525" spans="1:26" ht="18.75" hidden="1">
      <c r="A525" s="592"/>
      <c r="B525" s="600"/>
      <c r="C525" s="750"/>
      <c r="D525" s="711"/>
      <c r="E525" s="750" t="s">
        <v>185</v>
      </c>
      <c r="F525" s="750"/>
      <c r="G525" s="596"/>
      <c r="H525" s="165" t="s">
        <v>12</v>
      </c>
      <c r="I525" s="610"/>
      <c r="J525" s="610"/>
      <c r="K525" s="93"/>
      <c r="L525" s="93">
        <f t="shared" ca="1" si="229"/>
        <v>427460</v>
      </c>
      <c r="M525" s="93">
        <f t="shared" si="229"/>
        <v>0</v>
      </c>
      <c r="N525" s="93">
        <f t="shared" si="229"/>
        <v>47590</v>
      </c>
      <c r="O525" s="93">
        <f t="shared" ca="1" si="227"/>
        <v>11.133205446123615</v>
      </c>
      <c r="P525" s="93">
        <f t="shared" si="228"/>
        <v>0</v>
      </c>
      <c r="Q525" s="597"/>
      <c r="R525" s="597"/>
      <c r="S525" s="597"/>
      <c r="T525" s="597"/>
      <c r="U525" s="597"/>
      <c r="V525" s="597"/>
      <c r="W525" s="597"/>
      <c r="X525" s="597"/>
      <c r="Y525" s="597"/>
      <c r="Z525" s="597"/>
    </row>
    <row r="526" spans="1:26" ht="18.75">
      <c r="A526" s="590"/>
      <c r="B526" s="568"/>
      <c r="C526" s="754"/>
      <c r="D526" s="599" t="s">
        <v>20</v>
      </c>
      <c r="E526" s="754"/>
      <c r="F526" s="754"/>
      <c r="G526" s="189"/>
      <c r="H526" s="161" t="s">
        <v>12</v>
      </c>
      <c r="I526" s="184"/>
      <c r="J526" s="184"/>
      <c r="K526" s="163"/>
      <c r="L526" s="496">
        <f t="shared" ref="L526:N526" ca="1" si="230">L527+L528</f>
        <v>427460</v>
      </c>
      <c r="M526" s="496">
        <f t="shared" si="230"/>
        <v>0</v>
      </c>
      <c r="N526" s="496">
        <f t="shared" si="230"/>
        <v>47590</v>
      </c>
      <c r="O526" s="496">
        <f t="shared" ca="1" si="227"/>
        <v>11.133205446123615</v>
      </c>
      <c r="P526" s="496">
        <f t="shared" si="228"/>
        <v>0</v>
      </c>
      <c r="Q526" s="571"/>
      <c r="R526" s="571"/>
      <c r="S526" s="571"/>
      <c r="T526" s="571"/>
      <c r="U526" s="571"/>
      <c r="V526" s="571"/>
      <c r="W526" s="571"/>
      <c r="X526" s="571"/>
      <c r="Y526" s="571"/>
      <c r="Z526" s="571"/>
    </row>
    <row r="527" spans="1:26" ht="18.75" hidden="1">
      <c r="A527" s="592"/>
      <c r="B527" s="600"/>
      <c r="C527" s="750"/>
      <c r="D527" s="711"/>
      <c r="E527" s="750" t="s">
        <v>184</v>
      </c>
      <c r="F527" s="750"/>
      <c r="G527" s="596"/>
      <c r="H527" s="165" t="s">
        <v>12</v>
      </c>
      <c r="I527" s="610"/>
      <c r="J527" s="610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597"/>
      <c r="R527" s="597"/>
      <c r="S527" s="597"/>
      <c r="T527" s="597"/>
      <c r="U527" s="597"/>
      <c r="V527" s="597"/>
      <c r="W527" s="597"/>
      <c r="X527" s="597"/>
      <c r="Y527" s="597"/>
      <c r="Z527" s="597"/>
    </row>
    <row r="528" spans="1:26" ht="18.75" hidden="1">
      <c r="A528" s="592"/>
      <c r="B528" s="600"/>
      <c r="C528" s="750"/>
      <c r="D528" s="711"/>
      <c r="E528" s="750" t="s">
        <v>185</v>
      </c>
      <c r="F528" s="750"/>
      <c r="G528" s="596"/>
      <c r="H528" s="165" t="s">
        <v>12</v>
      </c>
      <c r="I528" s="610"/>
      <c r="J528" s="610"/>
      <c r="K528" s="93"/>
      <c r="L528" s="93">
        <f ca="1">IFERROR(__xludf.DUMMYFUNCTION("IMPORTRANGE(""https://docs.google.com/spreadsheets/d/1QqKyyYR6Q21VydFLVH3TRQUabQu_ym0Zz7PgGX0-kHA/edit?usp=sharing"",""แผน!GQ69"")"),427460)</f>
        <v>427460</v>
      </c>
      <c r="M528" s="93">
        <v>0</v>
      </c>
      <c r="N528" s="93">
        <f>N529+N530+N531+N532</f>
        <v>47590</v>
      </c>
      <c r="O528" s="93">
        <f t="shared" ca="1" si="227"/>
        <v>11.133205446123615</v>
      </c>
      <c r="P528" s="93">
        <f t="shared" si="228"/>
        <v>0</v>
      </c>
      <c r="Q528" s="597"/>
      <c r="R528" s="597"/>
      <c r="S528" s="597"/>
      <c r="T528" s="597"/>
      <c r="U528" s="597"/>
      <c r="V528" s="597"/>
      <c r="W528" s="597"/>
      <c r="X528" s="597"/>
      <c r="Y528" s="597"/>
      <c r="Z528" s="597"/>
    </row>
    <row r="529" spans="1:26" ht="18.75">
      <c r="A529" s="567"/>
      <c r="B529" s="568"/>
      <c r="C529" s="754"/>
      <c r="D529" s="754"/>
      <c r="E529" s="754"/>
      <c r="F529" s="754" t="s">
        <v>186</v>
      </c>
      <c r="G529" s="189"/>
      <c r="H529" s="161" t="s">
        <v>12</v>
      </c>
      <c r="I529" s="269"/>
      <c r="J529" s="269"/>
      <c r="K529" s="496"/>
      <c r="L529" s="496"/>
      <c r="M529" s="496"/>
      <c r="N529" s="817">
        <v>40060</v>
      </c>
      <c r="O529" s="496"/>
      <c r="P529" s="496"/>
      <c r="Q529" s="571"/>
      <c r="R529" s="571"/>
      <c r="S529" s="571"/>
      <c r="T529" s="571"/>
      <c r="U529" s="571"/>
      <c r="V529" s="571"/>
      <c r="W529" s="571"/>
      <c r="X529" s="571"/>
      <c r="Y529" s="571"/>
      <c r="Z529" s="571"/>
    </row>
    <row r="530" spans="1:26" ht="18.75">
      <c r="A530" s="567"/>
      <c r="B530" s="568"/>
      <c r="C530" s="754"/>
      <c r="D530" s="754"/>
      <c r="E530" s="754"/>
      <c r="F530" s="754" t="s">
        <v>187</v>
      </c>
      <c r="G530" s="189"/>
      <c r="H530" s="161" t="s">
        <v>12</v>
      </c>
      <c r="I530" s="269"/>
      <c r="J530" s="269"/>
      <c r="K530" s="496"/>
      <c r="L530" s="496"/>
      <c r="M530" s="496"/>
      <c r="N530" s="817">
        <v>0</v>
      </c>
      <c r="O530" s="496"/>
      <c r="P530" s="496"/>
      <c r="Q530" s="571"/>
      <c r="R530" s="571"/>
      <c r="S530" s="571"/>
      <c r="T530" s="571"/>
      <c r="U530" s="571"/>
      <c r="V530" s="571"/>
      <c r="W530" s="571"/>
      <c r="X530" s="571"/>
      <c r="Y530" s="571"/>
      <c r="Z530" s="571"/>
    </row>
    <row r="531" spans="1:26" ht="18.75">
      <c r="A531" s="567"/>
      <c r="B531" s="568"/>
      <c r="C531" s="754"/>
      <c r="D531" s="754"/>
      <c r="E531" s="754"/>
      <c r="F531" s="754" t="s">
        <v>188</v>
      </c>
      <c r="G531" s="189"/>
      <c r="H531" s="161" t="s">
        <v>12</v>
      </c>
      <c r="I531" s="269"/>
      <c r="J531" s="269"/>
      <c r="K531" s="496"/>
      <c r="L531" s="496"/>
      <c r="M531" s="496"/>
      <c r="N531" s="817">
        <v>0</v>
      </c>
      <c r="O531" s="496"/>
      <c r="P531" s="496"/>
      <c r="Q531" s="571"/>
      <c r="R531" s="571"/>
      <c r="S531" s="571"/>
      <c r="T531" s="571"/>
      <c r="U531" s="571"/>
      <c r="V531" s="571"/>
      <c r="W531" s="571"/>
      <c r="X531" s="571"/>
      <c r="Y531" s="571"/>
      <c r="Z531" s="571"/>
    </row>
    <row r="532" spans="1:26" ht="18.75">
      <c r="A532" s="567"/>
      <c r="B532" s="568"/>
      <c r="C532" s="754"/>
      <c r="D532" s="754"/>
      <c r="E532" s="754"/>
      <c r="F532" s="754" t="s">
        <v>189</v>
      </c>
      <c r="G532" s="189"/>
      <c r="H532" s="161" t="s">
        <v>12</v>
      </c>
      <c r="I532" s="269"/>
      <c r="J532" s="269"/>
      <c r="K532" s="496"/>
      <c r="L532" s="496"/>
      <c r="M532" s="496"/>
      <c r="N532" s="817">
        <v>7530</v>
      </c>
      <c r="O532" s="496"/>
      <c r="P532" s="496"/>
      <c r="Q532" s="571"/>
      <c r="R532" s="571"/>
      <c r="S532" s="571"/>
      <c r="T532" s="571"/>
      <c r="U532" s="571"/>
      <c r="V532" s="571"/>
      <c r="W532" s="571"/>
      <c r="X532" s="571"/>
      <c r="Y532" s="571"/>
      <c r="Z532" s="571"/>
    </row>
    <row r="533" spans="1:26" ht="18.75">
      <c r="A533" s="590"/>
      <c r="B533" s="568"/>
      <c r="C533" s="754"/>
      <c r="D533" s="599" t="s">
        <v>21</v>
      </c>
      <c r="E533" s="754"/>
      <c r="F533" s="754"/>
      <c r="G533" s="189"/>
      <c r="H533" s="168" t="s">
        <v>12</v>
      </c>
      <c r="I533" s="184"/>
      <c r="J533" s="184"/>
      <c r="K533" s="163"/>
      <c r="L533" s="496">
        <f t="shared" ref="L533:N533" ca="1" si="231">L534+L535</f>
        <v>0</v>
      </c>
      <c r="M533" s="496">
        <f t="shared" si="231"/>
        <v>0</v>
      </c>
      <c r="N533" s="496">
        <f t="shared" si="231"/>
        <v>0</v>
      </c>
      <c r="O533" s="496">
        <f t="shared" ref="O533:O535" ca="1" si="232">IF(L533&gt;0,N533*100/L533,0)</f>
        <v>0</v>
      </c>
      <c r="P533" s="496">
        <f t="shared" ref="P533:P535" si="233">IF(M533&gt;0,N533*100/M533,0)</f>
        <v>0</v>
      </c>
      <c r="Q533" s="571"/>
      <c r="R533" s="571"/>
      <c r="S533" s="571"/>
      <c r="T533" s="571"/>
      <c r="U533" s="571"/>
      <c r="V533" s="571"/>
      <c r="W533" s="571"/>
      <c r="X533" s="571"/>
      <c r="Y533" s="571"/>
      <c r="Z533" s="571"/>
    </row>
    <row r="534" spans="1:26" ht="18.75" hidden="1">
      <c r="A534" s="592"/>
      <c r="B534" s="600"/>
      <c r="C534" s="750"/>
      <c r="D534" s="750"/>
      <c r="E534" s="750" t="s">
        <v>18</v>
      </c>
      <c r="F534" s="750"/>
      <c r="G534" s="596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597"/>
      <c r="R534" s="597"/>
      <c r="S534" s="597"/>
      <c r="T534" s="597"/>
      <c r="U534" s="597"/>
      <c r="V534" s="597"/>
      <c r="W534" s="597"/>
      <c r="X534" s="597"/>
      <c r="Y534" s="597"/>
      <c r="Z534" s="597"/>
    </row>
    <row r="535" spans="1:26" ht="18.75" hidden="1">
      <c r="A535" s="592"/>
      <c r="B535" s="600"/>
      <c r="C535" s="750"/>
      <c r="D535" s="750"/>
      <c r="E535" s="750" t="s">
        <v>19</v>
      </c>
      <c r="F535" s="750"/>
      <c r="G535" s="596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IFERROR(__xludf.DUMMYFUNCTION("IMPORTRANGE(""https://docs.google.com/spreadsheets/d/1QqKyyYR6Q21VydFLVH3TRQUabQu_ym0Zz7PgGX0-kHA/edit?usp=sharing"",""แผน!GT69"")"),0)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597"/>
      <c r="R535" s="597"/>
      <c r="S535" s="597"/>
      <c r="T535" s="597"/>
      <c r="U535" s="597"/>
      <c r="V535" s="597"/>
      <c r="W535" s="597"/>
      <c r="X535" s="597"/>
      <c r="Y535" s="597"/>
      <c r="Z535" s="597"/>
    </row>
    <row r="536" spans="1:26" ht="19.5">
      <c r="A536" s="601"/>
      <c r="B536" s="611"/>
      <c r="C536" s="754" t="s">
        <v>16</v>
      </c>
      <c r="D536" s="839" t="s">
        <v>38</v>
      </c>
      <c r="E536" s="752"/>
      <c r="F536" s="752"/>
      <c r="G536" s="606"/>
      <c r="H536" s="753"/>
      <c r="I536" s="184"/>
      <c r="J536" s="184"/>
      <c r="K536" s="163"/>
      <c r="L536" s="163"/>
      <c r="M536" s="163"/>
      <c r="N536" s="163"/>
      <c r="O536" s="163"/>
      <c r="P536" s="163"/>
      <c r="Q536" s="571"/>
      <c r="R536" s="571"/>
      <c r="S536" s="571"/>
      <c r="T536" s="571"/>
      <c r="U536" s="571"/>
      <c r="V536" s="571"/>
      <c r="W536" s="571"/>
      <c r="X536" s="571"/>
      <c r="Y536" s="571"/>
      <c r="Z536" s="571"/>
    </row>
    <row r="537" spans="1:26" ht="19.5">
      <c r="A537" s="567"/>
      <c r="B537" s="568"/>
      <c r="C537" s="754"/>
      <c r="D537" s="754" t="s">
        <v>227</v>
      </c>
      <c r="E537" s="754"/>
      <c r="F537" s="754"/>
      <c r="G537" s="189"/>
      <c r="H537" s="616" t="s">
        <v>35</v>
      </c>
      <c r="I537" s="674">
        <f ca="1">IFERROR(__xludf.DUMMYFUNCTION("IMPORTRANGE(""https://docs.google.com/spreadsheets/d/1QqKyyYR6Q21VydFLVH3TRQUabQu_ym0Zz7PgGX0-kHA/edit?usp=sharing"",""แผน!GU69"")"),50)</f>
        <v>50</v>
      </c>
      <c r="J537" s="674">
        <f ca="1">IF(AND(J538=I538,J539=I539,J540=I540,J541=I541),I537,0)</f>
        <v>0</v>
      </c>
      <c r="K537" s="496">
        <f t="shared" ref="K537:K543" ca="1" si="234">IF(I537&gt;0,J537*100/I537,0)</f>
        <v>0</v>
      </c>
      <c r="L537" s="496"/>
      <c r="M537" s="496"/>
      <c r="N537" s="496"/>
      <c r="O537" s="496"/>
      <c r="P537" s="496"/>
      <c r="Q537" s="675"/>
      <c r="R537" s="675"/>
      <c r="S537" s="675"/>
      <c r="T537" s="675"/>
      <c r="U537" s="675"/>
      <c r="V537" s="675"/>
      <c r="W537" s="675"/>
      <c r="X537" s="675"/>
      <c r="Y537" s="675"/>
      <c r="Z537" s="675"/>
    </row>
    <row r="538" spans="1:26" ht="18.75">
      <c r="A538" s="567"/>
      <c r="B538" s="568"/>
      <c r="C538" s="754"/>
      <c r="D538" s="754"/>
      <c r="E538" s="754" t="s">
        <v>228</v>
      </c>
      <c r="F538" s="754"/>
      <c r="G538" s="189"/>
      <c r="H538" s="616" t="s">
        <v>35</v>
      </c>
      <c r="I538" s="269">
        <f ca="1">IFERROR(__xludf.DUMMYFUNCTION("IMPORTRANGE(""https://docs.google.com/spreadsheets/d/1QqKyyYR6Q21VydFLVH3TRQUabQu_ym0Zz7PgGX0-kHA/edit?usp=sharing"",""แผน!GV69"")"),50)</f>
        <v>50</v>
      </c>
      <c r="J538" s="214">
        <v>0</v>
      </c>
      <c r="K538" s="496">
        <f t="shared" ca="1" si="234"/>
        <v>0</v>
      </c>
      <c r="L538" s="496"/>
      <c r="M538" s="496"/>
      <c r="N538" s="496"/>
      <c r="O538" s="496"/>
      <c r="P538" s="496"/>
      <c r="Q538" s="675"/>
      <c r="R538" s="675"/>
      <c r="S538" s="675"/>
      <c r="T538" s="675"/>
      <c r="U538" s="675"/>
      <c r="V538" s="675"/>
      <c r="W538" s="675"/>
      <c r="X538" s="675"/>
      <c r="Y538" s="675"/>
      <c r="Z538" s="675"/>
    </row>
    <row r="539" spans="1:26" ht="18.75">
      <c r="A539" s="567"/>
      <c r="B539" s="568"/>
      <c r="C539" s="754"/>
      <c r="D539" s="754"/>
      <c r="E539" s="754" t="s">
        <v>229</v>
      </c>
      <c r="F539" s="754"/>
      <c r="G539" s="189"/>
      <c r="H539" s="616" t="s">
        <v>35</v>
      </c>
      <c r="I539" s="269">
        <f ca="1">IFERROR(__xludf.DUMMYFUNCTION("IMPORTRANGE(""https://docs.google.com/spreadsheets/d/1QqKyyYR6Q21VydFLVH3TRQUabQu_ym0Zz7PgGX0-kHA/edit?usp=sharing"",""แผน!GW69"")"),0)</f>
        <v>0</v>
      </c>
      <c r="J539" s="214">
        <v>0</v>
      </c>
      <c r="K539" s="496">
        <f t="shared" ca="1" si="234"/>
        <v>0</v>
      </c>
      <c r="L539" s="496"/>
      <c r="M539" s="496"/>
      <c r="N539" s="496"/>
      <c r="O539" s="496"/>
      <c r="P539" s="496"/>
      <c r="Q539" s="675"/>
      <c r="R539" s="675"/>
      <c r="S539" s="675"/>
      <c r="T539" s="675"/>
      <c r="U539" s="675"/>
      <c r="V539" s="675"/>
      <c r="W539" s="675"/>
      <c r="X539" s="675"/>
      <c r="Y539" s="675"/>
      <c r="Z539" s="675"/>
    </row>
    <row r="540" spans="1:26" ht="18.75">
      <c r="A540" s="567"/>
      <c r="B540" s="568"/>
      <c r="C540" s="754"/>
      <c r="D540" s="754"/>
      <c r="E540" s="754" t="s">
        <v>230</v>
      </c>
      <c r="F540" s="754"/>
      <c r="G540" s="189"/>
      <c r="H540" s="616" t="s">
        <v>35</v>
      </c>
      <c r="I540" s="269">
        <f ca="1">IFERROR(__xludf.DUMMYFUNCTION("IMPORTRANGE(""https://docs.google.com/spreadsheets/d/1QqKyyYR6Q21VydFLVH3TRQUabQu_ym0Zz7PgGX0-kHA/edit?usp=sharing"",""แผน!GX69"")"),0)</f>
        <v>0</v>
      </c>
      <c r="J540" s="214">
        <v>0</v>
      </c>
      <c r="K540" s="496">
        <f t="shared" ca="1" si="234"/>
        <v>0</v>
      </c>
      <c r="L540" s="496"/>
      <c r="M540" s="496"/>
      <c r="N540" s="496"/>
      <c r="O540" s="496"/>
      <c r="P540" s="496"/>
      <c r="Q540" s="675"/>
      <c r="R540" s="675"/>
      <c r="S540" s="675"/>
      <c r="T540" s="675"/>
      <c r="U540" s="675"/>
      <c r="V540" s="675"/>
      <c r="W540" s="675"/>
      <c r="X540" s="675"/>
      <c r="Y540" s="675"/>
      <c r="Z540" s="675"/>
    </row>
    <row r="541" spans="1:26" ht="18.75">
      <c r="A541" s="567"/>
      <c r="B541" s="568"/>
      <c r="C541" s="754"/>
      <c r="D541" s="754"/>
      <c r="E541" s="760" t="s">
        <v>231</v>
      </c>
      <c r="F541" s="754"/>
      <c r="G541" s="189"/>
      <c r="H541" s="616" t="s">
        <v>35</v>
      </c>
      <c r="I541" s="269">
        <f ca="1">IFERROR(__xludf.DUMMYFUNCTION("IMPORTRANGE(""https://docs.google.com/spreadsheets/d/1QqKyyYR6Q21VydFLVH3TRQUabQu_ym0Zz7PgGX0-kHA/edit?usp=sharing"",""แผน!GY69"")"),50)</f>
        <v>50</v>
      </c>
      <c r="J541" s="214">
        <v>0</v>
      </c>
      <c r="K541" s="496">
        <f t="shared" ca="1" si="234"/>
        <v>0</v>
      </c>
      <c r="L541" s="496"/>
      <c r="M541" s="496"/>
      <c r="N541" s="496"/>
      <c r="O541" s="496"/>
      <c r="P541" s="496"/>
      <c r="Q541" s="675"/>
      <c r="R541" s="675"/>
      <c r="S541" s="675"/>
      <c r="T541" s="675"/>
      <c r="U541" s="675"/>
      <c r="V541" s="675"/>
      <c r="W541" s="675"/>
      <c r="X541" s="675"/>
      <c r="Y541" s="675"/>
      <c r="Z541" s="675"/>
    </row>
    <row r="542" spans="1:26" ht="18.75">
      <c r="A542" s="567"/>
      <c r="B542" s="568"/>
      <c r="C542" s="754"/>
      <c r="D542" s="754" t="s">
        <v>59</v>
      </c>
      <c r="E542" s="754"/>
      <c r="F542" s="754"/>
      <c r="G542" s="189"/>
      <c r="H542" s="616" t="s">
        <v>35</v>
      </c>
      <c r="I542" s="269">
        <f ca="1">IFERROR(__xludf.DUMMYFUNCTION("IMPORTRANGE(""https://docs.google.com/spreadsheets/d/1QqKyyYR6Q21VydFLVH3TRQUabQu_ym0Zz7PgGX0-kHA/edit?usp=sharing"",""แผน!GZ69"")"),50)</f>
        <v>50</v>
      </c>
      <c r="J542" s="214">
        <v>0</v>
      </c>
      <c r="K542" s="496">
        <f t="shared" ca="1" si="234"/>
        <v>0</v>
      </c>
      <c r="L542" s="496"/>
      <c r="M542" s="496"/>
      <c r="N542" s="496"/>
      <c r="O542" s="496"/>
      <c r="P542" s="496"/>
      <c r="Q542" s="675"/>
      <c r="R542" s="675"/>
      <c r="S542" s="675"/>
      <c r="T542" s="675"/>
      <c r="U542" s="675"/>
      <c r="V542" s="675"/>
      <c r="W542" s="675"/>
      <c r="X542" s="675"/>
      <c r="Y542" s="675"/>
      <c r="Z542" s="675"/>
    </row>
    <row r="543" spans="1:26" ht="19.5">
      <c r="A543" s="657">
        <v>6</v>
      </c>
      <c r="B543" s="678" t="s">
        <v>232</v>
      </c>
      <c r="C543" s="660"/>
      <c r="D543" s="660"/>
      <c r="E543" s="660"/>
      <c r="F543" s="660"/>
      <c r="G543" s="661"/>
      <c r="H543" s="679" t="s">
        <v>46</v>
      </c>
      <c r="I543" s="680">
        <f t="shared" ref="I543:J543" ca="1" si="235">I559</f>
        <v>132197</v>
      </c>
      <c r="J543" s="680">
        <f t="shared" si="235"/>
        <v>0</v>
      </c>
      <c r="K543" s="681">
        <f t="shared" ca="1" si="234"/>
        <v>0</v>
      </c>
      <c r="L543" s="663"/>
      <c r="M543" s="663"/>
      <c r="N543" s="663"/>
      <c r="O543" s="663"/>
      <c r="P543" s="663"/>
      <c r="Q543" s="571"/>
      <c r="R543" s="571"/>
      <c r="S543" s="571"/>
      <c r="T543" s="571"/>
      <c r="U543" s="571"/>
      <c r="V543" s="571"/>
      <c r="W543" s="571"/>
      <c r="X543" s="571"/>
      <c r="Y543" s="571"/>
      <c r="Z543" s="571"/>
    </row>
    <row r="544" spans="1:26" ht="19.5">
      <c r="A544" s="682"/>
      <c r="B544" s="683"/>
      <c r="C544" s="683" t="s">
        <v>16</v>
      </c>
      <c r="D544" s="867" t="s">
        <v>17</v>
      </c>
      <c r="E544" s="862"/>
      <c r="F544" s="862"/>
      <c r="G544" s="684"/>
      <c r="H544" s="274" t="s">
        <v>12</v>
      </c>
      <c r="I544" s="419"/>
      <c r="J544" s="419"/>
      <c r="K544" s="154"/>
      <c r="L544" s="155">
        <f t="shared" ref="L544:N544" ca="1" si="236">L545+L546</f>
        <v>606964</v>
      </c>
      <c r="M544" s="155">
        <f t="shared" si="236"/>
        <v>0</v>
      </c>
      <c r="N544" s="155">
        <f t="shared" si="236"/>
        <v>133484.15</v>
      </c>
      <c r="O544" s="155">
        <f t="shared" ref="O544:O549" ca="1" si="237">IF(L544&gt;0,N544*100/L544,0)</f>
        <v>21.992103320790029</v>
      </c>
      <c r="P544" s="155">
        <f t="shared" ref="P544:P549" si="238">IF(M544&gt;0,N544*100/M544,0)</f>
        <v>0</v>
      </c>
      <c r="Q544" s="571"/>
      <c r="R544" s="571"/>
      <c r="S544" s="571"/>
      <c r="T544" s="571"/>
      <c r="U544" s="571"/>
      <c r="V544" s="571"/>
      <c r="W544" s="571"/>
      <c r="X544" s="571"/>
      <c r="Y544" s="571"/>
      <c r="Z544" s="571"/>
    </row>
    <row r="545" spans="1:26" ht="18.75" hidden="1">
      <c r="A545" s="592"/>
      <c r="B545" s="750"/>
      <c r="C545" s="750"/>
      <c r="D545" s="750"/>
      <c r="E545" s="750" t="s">
        <v>184</v>
      </c>
      <c r="F545" s="750"/>
      <c r="G545" s="596"/>
      <c r="H545" s="165" t="s">
        <v>12</v>
      </c>
      <c r="I545" s="610"/>
      <c r="J545" s="610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597"/>
      <c r="R545" s="597"/>
      <c r="S545" s="597"/>
      <c r="T545" s="597"/>
      <c r="U545" s="597"/>
      <c r="V545" s="597"/>
      <c r="W545" s="597"/>
      <c r="X545" s="597"/>
      <c r="Y545" s="597"/>
      <c r="Z545" s="597"/>
    </row>
    <row r="546" spans="1:26" ht="18.75" hidden="1">
      <c r="A546" s="592"/>
      <c r="B546" s="600"/>
      <c r="C546" s="750"/>
      <c r="D546" s="750"/>
      <c r="E546" s="750" t="s">
        <v>185</v>
      </c>
      <c r="F546" s="750"/>
      <c r="G546" s="596"/>
      <c r="H546" s="165" t="s">
        <v>12</v>
      </c>
      <c r="I546" s="610"/>
      <c r="J546" s="610"/>
      <c r="K546" s="93"/>
      <c r="L546" s="93">
        <f t="shared" ca="1" si="239"/>
        <v>606964</v>
      </c>
      <c r="M546" s="93">
        <f t="shared" si="240"/>
        <v>0</v>
      </c>
      <c r="N546" s="93">
        <f t="shared" si="240"/>
        <v>133484.15</v>
      </c>
      <c r="O546" s="93">
        <f t="shared" ca="1" si="237"/>
        <v>21.992103320790029</v>
      </c>
      <c r="P546" s="93">
        <f t="shared" si="238"/>
        <v>0</v>
      </c>
      <c r="Q546" s="597"/>
      <c r="R546" s="597"/>
      <c r="S546" s="597"/>
      <c r="T546" s="597"/>
      <c r="U546" s="597"/>
      <c r="V546" s="597"/>
      <c r="W546" s="597"/>
      <c r="X546" s="597"/>
      <c r="Y546" s="597"/>
      <c r="Z546" s="597"/>
    </row>
    <row r="547" spans="1:26" ht="18.75">
      <c r="A547" s="590"/>
      <c r="B547" s="568"/>
      <c r="C547" s="754"/>
      <c r="D547" s="599" t="s">
        <v>20</v>
      </c>
      <c r="E547" s="754"/>
      <c r="F547" s="754"/>
      <c r="G547" s="189"/>
      <c r="H547" s="161" t="s">
        <v>12</v>
      </c>
      <c r="I547" s="184"/>
      <c r="J547" s="184"/>
      <c r="K547" s="163"/>
      <c r="L547" s="496">
        <f t="shared" ref="L547:N547" ca="1" si="241">L548+L549</f>
        <v>606964</v>
      </c>
      <c r="M547" s="496">
        <f t="shared" si="241"/>
        <v>0</v>
      </c>
      <c r="N547" s="496">
        <f t="shared" si="241"/>
        <v>133484.15</v>
      </c>
      <c r="O547" s="496">
        <f t="shared" ca="1" si="237"/>
        <v>21.992103320790029</v>
      </c>
      <c r="P547" s="496">
        <f t="shared" si="238"/>
        <v>0</v>
      </c>
      <c r="Q547" s="571"/>
      <c r="R547" s="571"/>
      <c r="S547" s="571"/>
      <c r="T547" s="571"/>
      <c r="U547" s="571"/>
      <c r="V547" s="571"/>
      <c r="W547" s="571"/>
      <c r="X547" s="571"/>
      <c r="Y547" s="571"/>
      <c r="Z547" s="571"/>
    </row>
    <row r="548" spans="1:26" ht="18.75" hidden="1">
      <c r="A548" s="592"/>
      <c r="B548" s="600"/>
      <c r="C548" s="750"/>
      <c r="D548" s="711"/>
      <c r="E548" s="750" t="s">
        <v>184</v>
      </c>
      <c r="F548" s="750"/>
      <c r="G548" s="596"/>
      <c r="H548" s="165" t="s">
        <v>12</v>
      </c>
      <c r="I548" s="610"/>
      <c r="J548" s="610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597"/>
      <c r="R548" s="597"/>
      <c r="S548" s="597"/>
      <c r="T548" s="597"/>
      <c r="U548" s="597"/>
      <c r="V548" s="597"/>
      <c r="W548" s="597"/>
      <c r="X548" s="597"/>
      <c r="Y548" s="597"/>
      <c r="Z548" s="597"/>
    </row>
    <row r="549" spans="1:26" ht="18.75" hidden="1">
      <c r="A549" s="592"/>
      <c r="B549" s="600"/>
      <c r="C549" s="750"/>
      <c r="D549" s="711"/>
      <c r="E549" s="750" t="s">
        <v>185</v>
      </c>
      <c r="F549" s="750"/>
      <c r="G549" s="596"/>
      <c r="H549" s="165" t="s">
        <v>12</v>
      </c>
      <c r="I549" s="610"/>
      <c r="J549" s="610"/>
      <c r="K549" s="93"/>
      <c r="L549" s="93">
        <f ca="1">IFERROR(__xludf.DUMMYFUNCTION("IMPORTRANGE(""https://docs.google.com/spreadsheets/d/1QqKyyYR6Q21VydFLVH3TRQUabQu_ym0Zz7PgGX0-kHA/edit?usp=sharing"",""แผน!HB69"")"),606964)</f>
        <v>606964</v>
      </c>
      <c r="M549" s="93">
        <v>0</v>
      </c>
      <c r="N549" s="93">
        <f>N550+N551+N552+N553+N554</f>
        <v>133484.15</v>
      </c>
      <c r="O549" s="93">
        <f t="shared" ca="1" si="237"/>
        <v>21.992103320790029</v>
      </c>
      <c r="P549" s="93">
        <f t="shared" si="238"/>
        <v>0</v>
      </c>
      <c r="Q549" s="597"/>
      <c r="R549" s="597"/>
      <c r="S549" s="597"/>
      <c r="T549" s="597"/>
      <c r="U549" s="597"/>
      <c r="V549" s="597"/>
      <c r="W549" s="597"/>
      <c r="X549" s="597"/>
      <c r="Y549" s="597"/>
      <c r="Z549" s="597"/>
    </row>
    <row r="550" spans="1:26" ht="18.75">
      <c r="A550" s="567"/>
      <c r="B550" s="568"/>
      <c r="C550" s="754"/>
      <c r="D550" s="754"/>
      <c r="E550" s="754"/>
      <c r="F550" s="754" t="s">
        <v>186</v>
      </c>
      <c r="G550" s="189"/>
      <c r="H550" s="161" t="s">
        <v>12</v>
      </c>
      <c r="I550" s="269"/>
      <c r="J550" s="269"/>
      <c r="K550" s="496"/>
      <c r="L550" s="496"/>
      <c r="M550" s="496"/>
      <c r="N550" s="817">
        <v>0</v>
      </c>
      <c r="O550" s="496"/>
      <c r="P550" s="496"/>
      <c r="Q550" s="571"/>
      <c r="R550" s="571"/>
      <c r="S550" s="571"/>
      <c r="T550" s="571"/>
      <c r="U550" s="571"/>
      <c r="V550" s="571"/>
      <c r="W550" s="571"/>
      <c r="X550" s="571"/>
      <c r="Y550" s="571"/>
      <c r="Z550" s="571"/>
    </row>
    <row r="551" spans="1:26" ht="18.75">
      <c r="A551" s="567"/>
      <c r="B551" s="568"/>
      <c r="C551" s="568"/>
      <c r="D551" s="568"/>
      <c r="E551" s="754"/>
      <c r="F551" s="754" t="s">
        <v>187</v>
      </c>
      <c r="G551" s="189"/>
      <c r="H551" s="161" t="s">
        <v>12</v>
      </c>
      <c r="I551" s="269"/>
      <c r="J551" s="269"/>
      <c r="K551" s="496"/>
      <c r="L551" s="496"/>
      <c r="M551" s="496"/>
      <c r="N551" s="817">
        <v>0</v>
      </c>
      <c r="O551" s="496"/>
      <c r="P551" s="496"/>
      <c r="Q551" s="571"/>
      <c r="R551" s="571"/>
      <c r="S551" s="571"/>
      <c r="T551" s="571"/>
      <c r="U551" s="571"/>
      <c r="V551" s="571"/>
      <c r="W551" s="571"/>
      <c r="X551" s="571"/>
      <c r="Y551" s="571"/>
      <c r="Z551" s="571"/>
    </row>
    <row r="552" spans="1:26" ht="18.75">
      <c r="A552" s="567"/>
      <c r="B552" s="568"/>
      <c r="C552" s="754"/>
      <c r="D552" s="754"/>
      <c r="E552" s="754"/>
      <c r="F552" s="754" t="s">
        <v>188</v>
      </c>
      <c r="G552" s="189"/>
      <c r="H552" s="161" t="s">
        <v>12</v>
      </c>
      <c r="I552" s="269"/>
      <c r="J552" s="269"/>
      <c r="K552" s="496"/>
      <c r="L552" s="496"/>
      <c r="M552" s="496"/>
      <c r="N552" s="817">
        <v>25566.67</v>
      </c>
      <c r="O552" s="496"/>
      <c r="P552" s="496"/>
      <c r="Q552" s="571"/>
      <c r="R552" s="571"/>
      <c r="S552" s="571"/>
      <c r="T552" s="571"/>
      <c r="U552" s="571"/>
      <c r="V552" s="571"/>
      <c r="W552" s="571"/>
      <c r="X552" s="571"/>
      <c r="Y552" s="571"/>
      <c r="Z552" s="571"/>
    </row>
    <row r="553" spans="1:26" ht="18.75">
      <c r="A553" s="567"/>
      <c r="B553" s="568"/>
      <c r="C553" s="568"/>
      <c r="D553" s="568"/>
      <c r="E553" s="754"/>
      <c r="F553" s="754" t="s">
        <v>189</v>
      </c>
      <c r="G553" s="189"/>
      <c r="H553" s="161" t="s">
        <v>12</v>
      </c>
      <c r="I553" s="269"/>
      <c r="J553" s="269"/>
      <c r="K553" s="496"/>
      <c r="L553" s="496"/>
      <c r="M553" s="496"/>
      <c r="N553" s="817">
        <v>107917.48</v>
      </c>
      <c r="O553" s="496"/>
      <c r="P553" s="496"/>
      <c r="Q553" s="571"/>
      <c r="R553" s="571"/>
      <c r="S553" s="571"/>
      <c r="T553" s="571"/>
      <c r="U553" s="571"/>
      <c r="V553" s="571"/>
      <c r="W553" s="571"/>
      <c r="X553" s="571"/>
      <c r="Y553" s="571"/>
      <c r="Z553" s="571"/>
    </row>
    <row r="554" spans="1:26" ht="18.75">
      <c r="A554" s="567"/>
      <c r="B554" s="568"/>
      <c r="C554" s="568"/>
      <c r="D554" s="568"/>
      <c r="E554" s="754"/>
      <c r="F554" s="754" t="s">
        <v>233</v>
      </c>
      <c r="G554" s="189"/>
      <c r="H554" s="161" t="s">
        <v>12</v>
      </c>
      <c r="I554" s="269"/>
      <c r="J554" s="269"/>
      <c r="K554" s="496"/>
      <c r="L554" s="496"/>
      <c r="M554" s="496"/>
      <c r="N554" s="817">
        <v>0</v>
      </c>
      <c r="O554" s="496"/>
      <c r="P554" s="496"/>
      <c r="Q554" s="571"/>
      <c r="R554" s="571"/>
      <c r="S554" s="571"/>
      <c r="T554" s="571"/>
      <c r="U554" s="571"/>
      <c r="V554" s="571"/>
      <c r="W554" s="571"/>
      <c r="X554" s="571"/>
      <c r="Y554" s="571"/>
      <c r="Z554" s="571"/>
    </row>
    <row r="555" spans="1:26" ht="18.75">
      <c r="A555" s="590"/>
      <c r="B555" s="568"/>
      <c r="C555" s="568"/>
      <c r="D555" s="599" t="s">
        <v>21</v>
      </c>
      <c r="E555" s="754"/>
      <c r="F555" s="754"/>
      <c r="G555" s="189"/>
      <c r="H555" s="168" t="s">
        <v>12</v>
      </c>
      <c r="I555" s="184"/>
      <c r="J555" s="184"/>
      <c r="K555" s="163"/>
      <c r="L555" s="496">
        <f t="shared" ref="L555:N555" ca="1" si="242">L556+L557</f>
        <v>0</v>
      </c>
      <c r="M555" s="496">
        <f t="shared" si="242"/>
        <v>0</v>
      </c>
      <c r="N555" s="496">
        <f t="shared" si="242"/>
        <v>0</v>
      </c>
      <c r="O555" s="496">
        <f t="shared" ref="O555:O557" ca="1" si="243">IF(L555&gt;0,N555*100/L555,0)</f>
        <v>0</v>
      </c>
      <c r="P555" s="496">
        <f t="shared" ref="P555:P557" si="244">IF(M555&gt;0,N555*100/M555,0)</f>
        <v>0</v>
      </c>
      <c r="Q555" s="571"/>
      <c r="R555" s="571"/>
      <c r="S555" s="571"/>
      <c r="T555" s="571"/>
      <c r="U555" s="571"/>
      <c r="V555" s="571"/>
      <c r="W555" s="571"/>
      <c r="X555" s="571"/>
      <c r="Y555" s="571"/>
      <c r="Z555" s="571"/>
    </row>
    <row r="556" spans="1:26" ht="18.75" hidden="1">
      <c r="A556" s="592"/>
      <c r="B556" s="600"/>
      <c r="C556" s="600"/>
      <c r="D556" s="750"/>
      <c r="E556" s="750" t="s">
        <v>18</v>
      </c>
      <c r="F556" s="750"/>
      <c r="G556" s="596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597"/>
      <c r="R556" s="597"/>
      <c r="S556" s="597"/>
      <c r="T556" s="597"/>
      <c r="U556" s="597"/>
      <c r="V556" s="597"/>
      <c r="W556" s="597"/>
      <c r="X556" s="597"/>
      <c r="Y556" s="597"/>
      <c r="Z556" s="597"/>
    </row>
    <row r="557" spans="1:26" ht="18.75" hidden="1">
      <c r="A557" s="592"/>
      <c r="B557" s="600"/>
      <c r="C557" s="600"/>
      <c r="D557" s="750"/>
      <c r="E557" s="750" t="s">
        <v>19</v>
      </c>
      <c r="F557" s="750"/>
      <c r="G557" s="596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IFERROR(__xludf.DUMMYFUNCTION("IMPORTRANGE(""https://docs.google.com/spreadsheets/d/1QqKyyYR6Q21VydFLVH3TRQUabQu_ym0Zz7PgGX0-kHA/edit?usp=sharing"",""แผน!HF69"")"),0)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597"/>
      <c r="R557" s="597"/>
      <c r="S557" s="597"/>
      <c r="T557" s="597"/>
      <c r="U557" s="597"/>
      <c r="V557" s="597"/>
      <c r="W557" s="597"/>
      <c r="X557" s="597"/>
      <c r="Y557" s="597"/>
      <c r="Z557" s="597"/>
    </row>
    <row r="558" spans="1:26" ht="19.5">
      <c r="A558" s="601"/>
      <c r="B558" s="611"/>
      <c r="C558" s="568" t="s">
        <v>16</v>
      </c>
      <c r="D558" s="839" t="s">
        <v>38</v>
      </c>
      <c r="E558" s="752"/>
      <c r="F558" s="752"/>
      <c r="G558" s="606"/>
      <c r="H558" s="753"/>
      <c r="I558" s="184"/>
      <c r="J558" s="184"/>
      <c r="K558" s="163"/>
      <c r="L558" s="163"/>
      <c r="M558" s="163"/>
      <c r="N558" s="163"/>
      <c r="O558" s="163"/>
      <c r="P558" s="163"/>
      <c r="Q558" s="571"/>
      <c r="R558" s="571"/>
      <c r="S558" s="571"/>
      <c r="T558" s="571"/>
      <c r="U558" s="571"/>
      <c r="V558" s="571"/>
      <c r="W558" s="571"/>
      <c r="X558" s="571"/>
      <c r="Y558" s="571"/>
      <c r="Z558" s="571"/>
    </row>
    <row r="559" spans="1:26" ht="19.5">
      <c r="A559" s="685"/>
      <c r="B559" s="686" t="s">
        <v>234</v>
      </c>
      <c r="C559" s="687"/>
      <c r="D559" s="687"/>
      <c r="E559" s="666"/>
      <c r="F559" s="666"/>
      <c r="G559" s="667"/>
      <c r="H559" s="688" t="s">
        <v>46</v>
      </c>
      <c r="I559" s="699">
        <f t="shared" ref="I559:J559" ca="1" si="245">I576</f>
        <v>132197</v>
      </c>
      <c r="J559" s="699">
        <f t="shared" si="245"/>
        <v>0</v>
      </c>
      <c r="K559" s="670">
        <f t="shared" ref="K559:K561" ca="1" si="246">IF(I559&gt;0,J559*100/I559,0)</f>
        <v>0</v>
      </c>
      <c r="L559" s="671"/>
      <c r="M559" s="671"/>
      <c r="N559" s="671"/>
      <c r="O559" s="671"/>
      <c r="P559" s="671"/>
      <c r="Q559" s="571"/>
      <c r="R559" s="571"/>
      <c r="S559" s="571"/>
      <c r="T559" s="571"/>
      <c r="U559" s="571"/>
      <c r="V559" s="571"/>
      <c r="W559" s="571"/>
      <c r="X559" s="571"/>
      <c r="Y559" s="571"/>
      <c r="Z559" s="571"/>
    </row>
    <row r="560" spans="1:26" ht="19.5">
      <c r="A560" s="601"/>
      <c r="B560" s="611"/>
      <c r="C560" s="618" t="s">
        <v>235</v>
      </c>
      <c r="D560" s="611"/>
      <c r="E560" s="619"/>
      <c r="F560" s="619"/>
      <c r="G560" s="753"/>
      <c r="H560" s="758" t="s">
        <v>46</v>
      </c>
      <c r="I560" s="193">
        <f ca="1">IFERROR(__xludf.DUMMYFUNCTION("IMPORTRANGE(""https://docs.google.com/spreadsheets/d/1QqKyyYR6Q21VydFLVH3TRQUabQu_ym0Zz7PgGX0-kHA/edit?usp=sharing"",""แผน!HH69"")"),132197)</f>
        <v>132197</v>
      </c>
      <c r="J560" s="193">
        <f t="shared" ref="J560:J561" si="247">J562+J564+J566</f>
        <v>0</v>
      </c>
      <c r="K560" s="410">
        <f t="shared" ca="1" si="246"/>
        <v>0</v>
      </c>
      <c r="L560" s="163"/>
      <c r="M560" s="163"/>
      <c r="N560" s="163"/>
      <c r="O560" s="163"/>
      <c r="P560" s="163"/>
      <c r="Q560" s="571"/>
      <c r="R560" s="571"/>
      <c r="S560" s="571"/>
      <c r="T560" s="571"/>
      <c r="U560" s="571"/>
      <c r="V560" s="571"/>
      <c r="W560" s="571"/>
      <c r="X560" s="571"/>
      <c r="Y560" s="571"/>
      <c r="Z560" s="571"/>
    </row>
    <row r="561" spans="1:26" ht="19.5">
      <c r="A561" s="601"/>
      <c r="B561" s="611"/>
      <c r="C561" s="611"/>
      <c r="D561" s="619"/>
      <c r="E561" s="619"/>
      <c r="F561" s="619"/>
      <c r="G561" s="753"/>
      <c r="H561" s="758" t="s">
        <v>34</v>
      </c>
      <c r="I561" s="193">
        <f ca="1">IFERROR(__xludf.DUMMYFUNCTION("IMPORTRANGE(""https://docs.google.com/spreadsheets/d/1QqKyyYR6Q21VydFLVH3TRQUabQu_ym0Zz7PgGX0-kHA/edit?usp=sharing"",""แผน!HG69"")"),11643)</f>
        <v>11643</v>
      </c>
      <c r="J561" s="193">
        <f t="shared" si="247"/>
        <v>0</v>
      </c>
      <c r="K561" s="410">
        <f t="shared" ca="1" si="246"/>
        <v>0</v>
      </c>
      <c r="L561" s="163"/>
      <c r="M561" s="163"/>
      <c r="N561" s="163"/>
      <c r="O561" s="163"/>
      <c r="P561" s="163"/>
      <c r="Q561" s="571"/>
      <c r="R561" s="571"/>
      <c r="S561" s="571"/>
      <c r="T561" s="571"/>
      <c r="U561" s="571"/>
      <c r="V561" s="571"/>
      <c r="W561" s="571"/>
      <c r="X561" s="571"/>
      <c r="Y561" s="571"/>
      <c r="Z561" s="571"/>
    </row>
    <row r="562" spans="1:26" ht="18.75">
      <c r="A562" s="601"/>
      <c r="B562" s="611"/>
      <c r="C562" s="611"/>
      <c r="D562" s="619" t="s">
        <v>236</v>
      </c>
      <c r="E562" s="619"/>
      <c r="F562" s="619"/>
      <c r="G562" s="753"/>
      <c r="H562" s="755" t="s">
        <v>46</v>
      </c>
      <c r="I562" s="184"/>
      <c r="J562" s="214">
        <v>0</v>
      </c>
      <c r="K562" s="163"/>
      <c r="L562" s="163"/>
      <c r="M562" s="163"/>
      <c r="N562" s="163"/>
      <c r="O562" s="163"/>
      <c r="P562" s="163"/>
      <c r="Q562" s="571"/>
      <c r="R562" s="571"/>
      <c r="S562" s="571"/>
      <c r="T562" s="571"/>
      <c r="U562" s="571"/>
      <c r="V562" s="571"/>
      <c r="W562" s="571"/>
      <c r="X562" s="571"/>
      <c r="Y562" s="571"/>
      <c r="Z562" s="571"/>
    </row>
    <row r="563" spans="1:26" ht="18.75">
      <c r="A563" s="601"/>
      <c r="B563" s="611"/>
      <c r="C563" s="611"/>
      <c r="D563" s="611"/>
      <c r="E563" s="619"/>
      <c r="F563" s="619"/>
      <c r="G563" s="753"/>
      <c r="H563" s="755" t="s">
        <v>34</v>
      </c>
      <c r="I563" s="184"/>
      <c r="J563" s="214">
        <v>0</v>
      </c>
      <c r="K563" s="163"/>
      <c r="L563" s="163"/>
      <c r="M563" s="163"/>
      <c r="N563" s="163"/>
      <c r="O563" s="163"/>
      <c r="P563" s="163"/>
      <c r="Q563" s="571"/>
      <c r="R563" s="571"/>
      <c r="S563" s="571"/>
      <c r="T563" s="571"/>
      <c r="U563" s="571"/>
      <c r="V563" s="571"/>
      <c r="W563" s="571"/>
      <c r="X563" s="571"/>
      <c r="Y563" s="571"/>
      <c r="Z563" s="571"/>
    </row>
    <row r="564" spans="1:26" ht="18.75">
      <c r="A564" s="601"/>
      <c r="B564" s="611"/>
      <c r="C564" s="611"/>
      <c r="D564" s="619" t="s">
        <v>237</v>
      </c>
      <c r="E564" s="619"/>
      <c r="F564" s="619"/>
      <c r="G564" s="753"/>
      <c r="H564" s="755" t="s">
        <v>46</v>
      </c>
      <c r="I564" s="184"/>
      <c r="J564" s="214">
        <v>0</v>
      </c>
      <c r="K564" s="163"/>
      <c r="L564" s="163"/>
      <c r="M564" s="163"/>
      <c r="N564" s="163"/>
      <c r="O564" s="163"/>
      <c r="P564" s="163"/>
      <c r="Q564" s="571"/>
      <c r="R564" s="571"/>
      <c r="S564" s="571"/>
      <c r="T564" s="571"/>
      <c r="U564" s="571"/>
      <c r="V564" s="571"/>
      <c r="W564" s="571"/>
      <c r="X564" s="571"/>
      <c r="Y564" s="571"/>
      <c r="Z564" s="571"/>
    </row>
    <row r="565" spans="1:26" ht="18.75">
      <c r="A565" s="601"/>
      <c r="B565" s="611"/>
      <c r="C565" s="611"/>
      <c r="D565" s="619"/>
      <c r="E565" s="619"/>
      <c r="F565" s="619"/>
      <c r="G565" s="753"/>
      <c r="H565" s="755" t="s">
        <v>34</v>
      </c>
      <c r="I565" s="184"/>
      <c r="J565" s="214">
        <v>0</v>
      </c>
      <c r="K565" s="163"/>
      <c r="L565" s="163"/>
      <c r="M565" s="163"/>
      <c r="N565" s="163"/>
      <c r="O565" s="163"/>
      <c r="P565" s="163"/>
      <c r="Q565" s="571"/>
      <c r="R565" s="571"/>
      <c r="S565" s="571"/>
      <c r="T565" s="571"/>
      <c r="U565" s="571"/>
      <c r="V565" s="571"/>
      <c r="W565" s="571"/>
      <c r="X565" s="571"/>
      <c r="Y565" s="571"/>
      <c r="Z565" s="571"/>
    </row>
    <row r="566" spans="1:26" ht="18.75">
      <c r="A566" s="601"/>
      <c r="B566" s="611"/>
      <c r="C566" s="611"/>
      <c r="D566" s="619" t="s">
        <v>238</v>
      </c>
      <c r="E566" s="619"/>
      <c r="F566" s="619"/>
      <c r="G566" s="753"/>
      <c r="H566" s="755" t="s">
        <v>46</v>
      </c>
      <c r="I566" s="184"/>
      <c r="J566" s="214">
        <v>0</v>
      </c>
      <c r="K566" s="163"/>
      <c r="L566" s="163"/>
      <c r="M566" s="163"/>
      <c r="N566" s="163"/>
      <c r="O566" s="163"/>
      <c r="P566" s="163"/>
      <c r="Q566" s="571"/>
      <c r="R566" s="571"/>
      <c r="S566" s="571"/>
      <c r="T566" s="571"/>
      <c r="U566" s="571"/>
      <c r="V566" s="571"/>
      <c r="W566" s="571"/>
      <c r="X566" s="571"/>
      <c r="Y566" s="571"/>
      <c r="Z566" s="571"/>
    </row>
    <row r="567" spans="1:26" ht="18.75">
      <c r="A567" s="601"/>
      <c r="B567" s="611"/>
      <c r="C567" s="611"/>
      <c r="D567" s="619"/>
      <c r="E567" s="619"/>
      <c r="F567" s="619"/>
      <c r="G567" s="753"/>
      <c r="H567" s="755" t="s">
        <v>34</v>
      </c>
      <c r="I567" s="184"/>
      <c r="J567" s="214">
        <v>0</v>
      </c>
      <c r="K567" s="163"/>
      <c r="L567" s="163"/>
      <c r="M567" s="163"/>
      <c r="N567" s="163"/>
      <c r="O567" s="163"/>
      <c r="P567" s="163"/>
      <c r="Q567" s="571"/>
      <c r="R567" s="571"/>
      <c r="S567" s="571"/>
      <c r="T567" s="571"/>
      <c r="U567" s="571"/>
      <c r="V567" s="571"/>
      <c r="W567" s="571"/>
      <c r="X567" s="571"/>
      <c r="Y567" s="571"/>
      <c r="Z567" s="571"/>
    </row>
    <row r="568" spans="1:26" ht="19.5">
      <c r="A568" s="601"/>
      <c r="B568" s="611"/>
      <c r="C568" s="618" t="s">
        <v>239</v>
      </c>
      <c r="D568" s="619"/>
      <c r="E568" s="619"/>
      <c r="F568" s="619"/>
      <c r="G568" s="753"/>
      <c r="H568" s="758" t="s">
        <v>46</v>
      </c>
      <c r="I568" s="193">
        <f ca="1">IFERROR(__xludf.DUMMYFUNCTION("IMPORTRANGE(""https://docs.google.com/spreadsheets/d/1QqKyyYR6Q21VydFLVH3TRQUabQu_ym0Zz7PgGX0-kHA/edit?usp=sharing"",""แผน!HH69"")"),132197)</f>
        <v>132197</v>
      </c>
      <c r="J568" s="674">
        <f t="shared" ref="J568:J569" si="248">J570+J572+J574</f>
        <v>0</v>
      </c>
      <c r="K568" s="410">
        <f t="shared" ref="K568:K569" ca="1" si="249">IF(I568&gt;0,J568*100/I568,0)</f>
        <v>0</v>
      </c>
      <c r="L568" s="163"/>
      <c r="M568" s="163"/>
      <c r="N568" s="163"/>
      <c r="O568" s="163"/>
      <c r="P568" s="163"/>
      <c r="Q568" s="571"/>
      <c r="R568" s="571"/>
      <c r="S568" s="571"/>
      <c r="T568" s="571"/>
      <c r="U568" s="571"/>
      <c r="V568" s="571"/>
      <c r="W568" s="571"/>
      <c r="X568" s="571"/>
      <c r="Y568" s="571"/>
      <c r="Z568" s="571"/>
    </row>
    <row r="569" spans="1:26" ht="19.5">
      <c r="A569" s="601"/>
      <c r="B569" s="611"/>
      <c r="C569" s="611"/>
      <c r="D569" s="611"/>
      <c r="E569" s="619"/>
      <c r="F569" s="619"/>
      <c r="G569" s="753"/>
      <c r="H569" s="758" t="s">
        <v>34</v>
      </c>
      <c r="I569" s="193">
        <f ca="1">IFERROR(__xludf.DUMMYFUNCTION("IMPORTRANGE(""https://docs.google.com/spreadsheets/d/1QqKyyYR6Q21VydFLVH3TRQUabQu_ym0Zz7PgGX0-kHA/edit?usp=sharing"",""แผน!HG69"")"),11643)</f>
        <v>11643</v>
      </c>
      <c r="J569" s="674">
        <f t="shared" si="248"/>
        <v>0</v>
      </c>
      <c r="K569" s="410">
        <f t="shared" ca="1" si="249"/>
        <v>0</v>
      </c>
      <c r="L569" s="163"/>
      <c r="M569" s="163"/>
      <c r="N569" s="163"/>
      <c r="O569" s="163"/>
      <c r="P569" s="163"/>
      <c r="Q569" s="571"/>
      <c r="R569" s="571"/>
      <c r="S569" s="571"/>
      <c r="T569" s="571"/>
      <c r="U569" s="571"/>
      <c r="V569" s="571"/>
      <c r="W569" s="571"/>
      <c r="X569" s="571"/>
      <c r="Y569" s="571"/>
      <c r="Z569" s="571"/>
    </row>
    <row r="570" spans="1:26" ht="18.75">
      <c r="A570" s="601"/>
      <c r="B570" s="611"/>
      <c r="C570" s="611"/>
      <c r="D570" s="619" t="s">
        <v>240</v>
      </c>
      <c r="E570" s="611"/>
      <c r="F570" s="619"/>
      <c r="G570" s="753"/>
      <c r="H570" s="755" t="s">
        <v>46</v>
      </c>
      <c r="I570" s="184"/>
      <c r="J570" s="214">
        <v>0</v>
      </c>
      <c r="K570" s="163"/>
      <c r="L570" s="163"/>
      <c r="M570" s="163"/>
      <c r="N570" s="163"/>
      <c r="O570" s="163"/>
      <c r="P570" s="163"/>
      <c r="Q570" s="571"/>
      <c r="R570" s="571"/>
      <c r="S570" s="571"/>
      <c r="T570" s="571"/>
      <c r="U570" s="571"/>
      <c r="V570" s="571"/>
      <c r="W570" s="571"/>
      <c r="X570" s="571"/>
      <c r="Y570" s="571"/>
      <c r="Z570" s="571"/>
    </row>
    <row r="571" spans="1:26" ht="18.75">
      <c r="A571" s="601"/>
      <c r="B571" s="611"/>
      <c r="C571" s="611"/>
      <c r="D571" s="611"/>
      <c r="E571" s="619"/>
      <c r="F571" s="619"/>
      <c r="G571" s="753"/>
      <c r="H571" s="755" t="s">
        <v>34</v>
      </c>
      <c r="I571" s="184"/>
      <c r="J571" s="214">
        <v>0</v>
      </c>
      <c r="K571" s="163"/>
      <c r="L571" s="163"/>
      <c r="M571" s="163"/>
      <c r="N571" s="163"/>
      <c r="O571" s="163"/>
      <c r="P571" s="163"/>
      <c r="Q571" s="571"/>
      <c r="R571" s="571"/>
      <c r="S571" s="571"/>
      <c r="T571" s="571"/>
      <c r="U571" s="571"/>
      <c r="V571" s="571"/>
      <c r="W571" s="571"/>
      <c r="X571" s="571"/>
      <c r="Y571" s="571"/>
      <c r="Z571" s="571"/>
    </row>
    <row r="572" spans="1:26" ht="18.75">
      <c r="A572" s="601"/>
      <c r="B572" s="611"/>
      <c r="C572" s="611"/>
      <c r="D572" s="619" t="s">
        <v>241</v>
      </c>
      <c r="E572" s="619"/>
      <c r="F572" s="619"/>
      <c r="G572" s="753"/>
      <c r="H572" s="755" t="s">
        <v>46</v>
      </c>
      <c r="I572" s="184"/>
      <c r="J572" s="214">
        <v>0</v>
      </c>
      <c r="K572" s="163"/>
      <c r="L572" s="163"/>
      <c r="M572" s="163"/>
      <c r="N572" s="163"/>
      <c r="O572" s="163"/>
      <c r="P572" s="163"/>
      <c r="Q572" s="571"/>
      <c r="R572" s="571"/>
      <c r="S572" s="571"/>
      <c r="T572" s="571"/>
      <c r="U572" s="571"/>
      <c r="V572" s="571"/>
      <c r="W572" s="571"/>
      <c r="X572" s="571"/>
      <c r="Y572" s="571"/>
      <c r="Z572" s="571"/>
    </row>
    <row r="573" spans="1:26" ht="18.75">
      <c r="A573" s="601"/>
      <c r="B573" s="611"/>
      <c r="C573" s="611"/>
      <c r="D573" s="619"/>
      <c r="E573" s="619"/>
      <c r="F573" s="619"/>
      <c r="G573" s="753"/>
      <c r="H573" s="755" t="s">
        <v>34</v>
      </c>
      <c r="I573" s="184"/>
      <c r="J573" s="214">
        <v>0</v>
      </c>
      <c r="K573" s="163"/>
      <c r="L573" s="163"/>
      <c r="M573" s="163"/>
      <c r="N573" s="163"/>
      <c r="O573" s="163"/>
      <c r="P573" s="163"/>
      <c r="Q573" s="571"/>
      <c r="R573" s="571"/>
      <c r="S573" s="571"/>
      <c r="T573" s="571"/>
      <c r="U573" s="571"/>
      <c r="V573" s="571"/>
      <c r="W573" s="571"/>
      <c r="X573" s="571"/>
      <c r="Y573" s="571"/>
      <c r="Z573" s="571"/>
    </row>
    <row r="574" spans="1:26" ht="18.75">
      <c r="A574" s="601"/>
      <c r="B574" s="611"/>
      <c r="C574" s="611"/>
      <c r="D574" s="619" t="s">
        <v>242</v>
      </c>
      <c r="E574" s="619"/>
      <c r="F574" s="619"/>
      <c r="G574" s="753"/>
      <c r="H574" s="755" t="s">
        <v>46</v>
      </c>
      <c r="I574" s="184"/>
      <c r="J574" s="214">
        <v>0</v>
      </c>
      <c r="K574" s="163"/>
      <c r="L574" s="163"/>
      <c r="M574" s="163"/>
      <c r="N574" s="163"/>
      <c r="O574" s="163"/>
      <c r="P574" s="163"/>
      <c r="Q574" s="571"/>
      <c r="R574" s="571"/>
      <c r="S574" s="571"/>
      <c r="T574" s="571"/>
      <c r="U574" s="571"/>
      <c r="V574" s="571"/>
      <c r="W574" s="571"/>
      <c r="X574" s="571"/>
      <c r="Y574" s="571"/>
      <c r="Z574" s="571"/>
    </row>
    <row r="575" spans="1:26" ht="18.75">
      <c r="A575" s="601"/>
      <c r="B575" s="611"/>
      <c r="C575" s="611"/>
      <c r="D575" s="611"/>
      <c r="E575" s="619"/>
      <c r="F575" s="619"/>
      <c r="G575" s="753"/>
      <c r="H575" s="755" t="s">
        <v>34</v>
      </c>
      <c r="I575" s="184"/>
      <c r="J575" s="214">
        <v>0</v>
      </c>
      <c r="K575" s="163"/>
      <c r="L575" s="163"/>
      <c r="M575" s="163"/>
      <c r="N575" s="163"/>
      <c r="O575" s="163"/>
      <c r="P575" s="163"/>
      <c r="Q575" s="571"/>
      <c r="R575" s="571"/>
      <c r="S575" s="571"/>
      <c r="T575" s="571"/>
      <c r="U575" s="571"/>
      <c r="V575" s="571"/>
      <c r="W575" s="571"/>
      <c r="X575" s="571"/>
      <c r="Y575" s="571"/>
      <c r="Z575" s="571"/>
    </row>
    <row r="576" spans="1:26" ht="19.5">
      <c r="A576" s="601"/>
      <c r="B576" s="611"/>
      <c r="C576" s="618" t="s">
        <v>243</v>
      </c>
      <c r="D576" s="611"/>
      <c r="E576" s="611"/>
      <c r="F576" s="619"/>
      <c r="G576" s="753"/>
      <c r="H576" s="758" t="s">
        <v>46</v>
      </c>
      <c r="I576" s="193">
        <f ca="1">IFERROR(__xludf.DUMMYFUNCTION("IMPORTRANGE(""https://docs.google.com/spreadsheets/d/1QqKyyYR6Q21VydFLVH3TRQUabQu_ym0Zz7PgGX0-kHA/edit?usp=sharing"",""แผน!HH69"")"),132197)</f>
        <v>132197</v>
      </c>
      <c r="J576" s="674">
        <f t="shared" ref="J576:J577" si="250">J578+J580+J582+J588+J590</f>
        <v>0</v>
      </c>
      <c r="K576" s="410">
        <f t="shared" ref="K576:K577" ca="1" si="251">IF(I576&gt;0,J576*100/I576,0)</f>
        <v>0</v>
      </c>
      <c r="L576" s="163"/>
      <c r="M576" s="163"/>
      <c r="N576" s="163"/>
      <c r="O576" s="163"/>
      <c r="P576" s="163"/>
      <c r="Q576" s="571"/>
      <c r="R576" s="571"/>
      <c r="S576" s="571"/>
      <c r="T576" s="571"/>
      <c r="U576" s="571"/>
      <c r="V576" s="571"/>
      <c r="W576" s="571"/>
      <c r="X576" s="571"/>
      <c r="Y576" s="571"/>
      <c r="Z576" s="571"/>
    </row>
    <row r="577" spans="1:26" ht="19.5">
      <c r="A577" s="601"/>
      <c r="B577" s="611"/>
      <c r="C577" s="611"/>
      <c r="D577" s="611"/>
      <c r="E577" s="619"/>
      <c r="F577" s="619"/>
      <c r="G577" s="753"/>
      <c r="H577" s="758" t="s">
        <v>34</v>
      </c>
      <c r="I577" s="193">
        <f ca="1">IFERROR(__xludf.DUMMYFUNCTION("IMPORTRANGE(""https://docs.google.com/spreadsheets/d/1QqKyyYR6Q21VydFLVH3TRQUabQu_ym0Zz7PgGX0-kHA/edit?usp=sharing"",""แผน!HG69"")"),11643)</f>
        <v>11643</v>
      </c>
      <c r="J577" s="674">
        <f t="shared" si="250"/>
        <v>0</v>
      </c>
      <c r="K577" s="410">
        <f t="shared" ca="1" si="251"/>
        <v>0</v>
      </c>
      <c r="L577" s="163"/>
      <c r="M577" s="163"/>
      <c r="N577" s="163"/>
      <c r="O577" s="163"/>
      <c r="P577" s="163"/>
      <c r="Q577" s="571"/>
      <c r="R577" s="571"/>
      <c r="S577" s="571"/>
      <c r="T577" s="571"/>
      <c r="U577" s="571"/>
      <c r="V577" s="571"/>
      <c r="W577" s="571"/>
      <c r="X577" s="571"/>
      <c r="Y577" s="571"/>
      <c r="Z577" s="571"/>
    </row>
    <row r="578" spans="1:26" ht="18.75">
      <c r="A578" s="601"/>
      <c r="B578" s="611"/>
      <c r="C578" s="611"/>
      <c r="D578" s="619" t="s">
        <v>244</v>
      </c>
      <c r="E578" s="619"/>
      <c r="F578" s="619"/>
      <c r="G578" s="753"/>
      <c r="H578" s="755" t="s">
        <v>46</v>
      </c>
      <c r="I578" s="184"/>
      <c r="J578" s="214">
        <v>0</v>
      </c>
      <c r="K578" s="163"/>
      <c r="L578" s="163"/>
      <c r="M578" s="163"/>
      <c r="N578" s="163"/>
      <c r="O578" s="163"/>
      <c r="P578" s="163"/>
      <c r="Q578" s="571"/>
      <c r="R578" s="571"/>
      <c r="S578" s="571"/>
      <c r="T578" s="571"/>
      <c r="U578" s="571"/>
      <c r="V578" s="571"/>
      <c r="W578" s="571"/>
      <c r="X578" s="571"/>
      <c r="Y578" s="571"/>
      <c r="Z578" s="571"/>
    </row>
    <row r="579" spans="1:26" ht="18.75">
      <c r="A579" s="601"/>
      <c r="B579" s="611"/>
      <c r="C579" s="611"/>
      <c r="D579" s="611"/>
      <c r="E579" s="619"/>
      <c r="F579" s="619"/>
      <c r="G579" s="753"/>
      <c r="H579" s="755" t="s">
        <v>34</v>
      </c>
      <c r="I579" s="184"/>
      <c r="J579" s="214">
        <v>0</v>
      </c>
      <c r="K579" s="163"/>
      <c r="L579" s="163"/>
      <c r="M579" s="163"/>
      <c r="N579" s="163"/>
      <c r="O579" s="163"/>
      <c r="P579" s="163"/>
      <c r="Q579" s="571"/>
      <c r="R579" s="571"/>
      <c r="S579" s="571"/>
      <c r="T579" s="571"/>
      <c r="U579" s="571"/>
      <c r="V579" s="571"/>
      <c r="W579" s="571"/>
      <c r="X579" s="571"/>
      <c r="Y579" s="571"/>
      <c r="Z579" s="571"/>
    </row>
    <row r="580" spans="1:26" ht="18.75">
      <c r="A580" s="601"/>
      <c r="B580" s="611"/>
      <c r="C580" s="611"/>
      <c r="D580" s="619" t="s">
        <v>245</v>
      </c>
      <c r="E580" s="619"/>
      <c r="F580" s="619"/>
      <c r="G580" s="753"/>
      <c r="H580" s="755" t="s">
        <v>46</v>
      </c>
      <c r="I580" s="184"/>
      <c r="J580" s="214">
        <v>0</v>
      </c>
      <c r="K580" s="163"/>
      <c r="L580" s="163"/>
      <c r="M580" s="163"/>
      <c r="N580" s="163"/>
      <c r="O580" s="163"/>
      <c r="P580" s="163"/>
      <c r="Q580" s="571"/>
      <c r="R580" s="571"/>
      <c r="S580" s="571"/>
      <c r="T580" s="571"/>
      <c r="U580" s="571"/>
      <c r="V580" s="571"/>
      <c r="W580" s="571"/>
      <c r="X580" s="571"/>
      <c r="Y580" s="571"/>
      <c r="Z580" s="571"/>
    </row>
    <row r="581" spans="1:26" ht="18.75">
      <c r="A581" s="601"/>
      <c r="B581" s="611"/>
      <c r="C581" s="611"/>
      <c r="D581" s="611"/>
      <c r="E581" s="619"/>
      <c r="F581" s="619"/>
      <c r="G581" s="753"/>
      <c r="H581" s="755" t="s">
        <v>34</v>
      </c>
      <c r="I581" s="184"/>
      <c r="J581" s="214">
        <v>0</v>
      </c>
      <c r="K581" s="163"/>
      <c r="L581" s="163"/>
      <c r="M581" s="163"/>
      <c r="N581" s="163"/>
      <c r="O581" s="163"/>
      <c r="P581" s="163"/>
      <c r="Q581" s="571"/>
      <c r="R581" s="571"/>
      <c r="S581" s="571"/>
      <c r="T581" s="571"/>
      <c r="U581" s="571"/>
      <c r="V581" s="571"/>
      <c r="W581" s="571"/>
      <c r="X581" s="571"/>
      <c r="Y581" s="571"/>
      <c r="Z581" s="571"/>
    </row>
    <row r="582" spans="1:26" ht="19.5">
      <c r="A582" s="601"/>
      <c r="B582" s="611"/>
      <c r="C582" s="611"/>
      <c r="D582" s="619" t="s">
        <v>246</v>
      </c>
      <c r="E582" s="619"/>
      <c r="F582" s="619"/>
      <c r="G582" s="753"/>
      <c r="H582" s="755" t="s">
        <v>46</v>
      </c>
      <c r="I582" s="184"/>
      <c r="J582" s="674">
        <f t="shared" ref="J582:J583" si="252">J584+J586</f>
        <v>0</v>
      </c>
      <c r="K582" s="410"/>
      <c r="L582" s="163"/>
      <c r="M582" s="163"/>
      <c r="N582" s="163"/>
      <c r="O582" s="163"/>
      <c r="P582" s="163"/>
      <c r="Q582" s="571"/>
      <c r="R582" s="571"/>
      <c r="S582" s="571"/>
      <c r="T582" s="571"/>
      <c r="U582" s="571"/>
      <c r="V582" s="571"/>
      <c r="W582" s="571"/>
      <c r="X582" s="571"/>
      <c r="Y582" s="571"/>
      <c r="Z582" s="571"/>
    </row>
    <row r="583" spans="1:26" ht="19.5">
      <c r="A583" s="601"/>
      <c r="B583" s="611"/>
      <c r="C583" s="611"/>
      <c r="D583" s="611"/>
      <c r="E583" s="619"/>
      <c r="F583" s="619"/>
      <c r="G583" s="753"/>
      <c r="H583" s="755" t="s">
        <v>34</v>
      </c>
      <c r="I583" s="184"/>
      <c r="J583" s="674">
        <f t="shared" si="252"/>
        <v>0</v>
      </c>
      <c r="K583" s="410"/>
      <c r="L583" s="163"/>
      <c r="M583" s="163"/>
      <c r="N583" s="163"/>
      <c r="O583" s="163"/>
      <c r="P583" s="163"/>
      <c r="Q583" s="571"/>
      <c r="R583" s="571"/>
      <c r="S583" s="571"/>
      <c r="T583" s="571"/>
      <c r="U583" s="571"/>
      <c r="V583" s="571"/>
      <c r="W583" s="571"/>
      <c r="X583" s="571"/>
      <c r="Y583" s="571"/>
      <c r="Z583" s="571"/>
    </row>
    <row r="584" spans="1:26" ht="18.75">
      <c r="A584" s="601"/>
      <c r="B584" s="611"/>
      <c r="C584" s="611"/>
      <c r="D584" s="611"/>
      <c r="E584" s="619" t="s">
        <v>247</v>
      </c>
      <c r="F584" s="619"/>
      <c r="G584" s="753"/>
      <c r="H584" s="755" t="s">
        <v>46</v>
      </c>
      <c r="I584" s="184"/>
      <c r="J584" s="214">
        <v>0</v>
      </c>
      <c r="K584" s="163"/>
      <c r="L584" s="163"/>
      <c r="M584" s="163"/>
      <c r="N584" s="163"/>
      <c r="O584" s="163"/>
      <c r="P584" s="163"/>
      <c r="Q584" s="571"/>
      <c r="R584" s="571"/>
      <c r="S584" s="571"/>
      <c r="T584" s="571"/>
      <c r="U584" s="571"/>
      <c r="V584" s="571"/>
      <c r="W584" s="571"/>
      <c r="X584" s="571"/>
      <c r="Y584" s="571"/>
      <c r="Z584" s="571"/>
    </row>
    <row r="585" spans="1:26" ht="18.75">
      <c r="A585" s="601"/>
      <c r="B585" s="611"/>
      <c r="C585" s="611"/>
      <c r="D585" s="611"/>
      <c r="E585" s="619"/>
      <c r="F585" s="619"/>
      <c r="G585" s="753"/>
      <c r="H585" s="755" t="s">
        <v>34</v>
      </c>
      <c r="I585" s="184"/>
      <c r="J585" s="214">
        <v>0</v>
      </c>
      <c r="K585" s="163"/>
      <c r="L585" s="163"/>
      <c r="M585" s="163"/>
      <c r="N585" s="163"/>
      <c r="O585" s="163"/>
      <c r="P585" s="163"/>
      <c r="Q585" s="571"/>
      <c r="R585" s="571"/>
      <c r="S585" s="571"/>
      <c r="T585" s="571"/>
      <c r="U585" s="571"/>
      <c r="V585" s="571"/>
      <c r="W585" s="571"/>
      <c r="X585" s="571"/>
      <c r="Y585" s="571"/>
      <c r="Z585" s="571"/>
    </row>
    <row r="586" spans="1:26" ht="18.75">
      <c r="A586" s="601"/>
      <c r="B586" s="611"/>
      <c r="C586" s="611"/>
      <c r="D586" s="611"/>
      <c r="E586" s="619" t="s">
        <v>248</v>
      </c>
      <c r="F586" s="619"/>
      <c r="G586" s="753"/>
      <c r="H586" s="755" t="s">
        <v>46</v>
      </c>
      <c r="I586" s="184"/>
      <c r="J586" s="214">
        <v>0</v>
      </c>
      <c r="K586" s="163"/>
      <c r="L586" s="163"/>
      <c r="M586" s="163"/>
      <c r="N586" s="163"/>
      <c r="O586" s="163"/>
      <c r="P586" s="163"/>
      <c r="Q586" s="571"/>
      <c r="R586" s="571"/>
      <c r="S586" s="571"/>
      <c r="T586" s="571"/>
      <c r="U586" s="571"/>
      <c r="V586" s="571"/>
      <c r="W586" s="571"/>
      <c r="X586" s="571"/>
      <c r="Y586" s="571"/>
      <c r="Z586" s="571"/>
    </row>
    <row r="587" spans="1:26" ht="18.75">
      <c r="A587" s="601"/>
      <c r="B587" s="611"/>
      <c r="C587" s="611"/>
      <c r="D587" s="611"/>
      <c r="E587" s="611"/>
      <c r="F587" s="619"/>
      <c r="G587" s="753"/>
      <c r="H587" s="755" t="s">
        <v>34</v>
      </c>
      <c r="I587" s="184"/>
      <c r="J587" s="214">
        <v>0</v>
      </c>
      <c r="K587" s="163"/>
      <c r="L587" s="163"/>
      <c r="M587" s="163"/>
      <c r="N587" s="163"/>
      <c r="O587" s="163"/>
      <c r="P587" s="163"/>
      <c r="Q587" s="571"/>
      <c r="R587" s="571"/>
      <c r="S587" s="571"/>
      <c r="T587" s="571"/>
      <c r="U587" s="571"/>
      <c r="V587" s="571"/>
      <c r="W587" s="571"/>
      <c r="X587" s="571"/>
      <c r="Y587" s="571"/>
      <c r="Z587" s="571"/>
    </row>
    <row r="588" spans="1:26" ht="18.75">
      <c r="A588" s="601"/>
      <c r="B588" s="611"/>
      <c r="C588" s="611"/>
      <c r="D588" s="619" t="s">
        <v>249</v>
      </c>
      <c r="E588" s="619"/>
      <c r="F588" s="619"/>
      <c r="G588" s="753"/>
      <c r="H588" s="755" t="s">
        <v>46</v>
      </c>
      <c r="I588" s="184"/>
      <c r="J588" s="214">
        <v>0</v>
      </c>
      <c r="K588" s="163"/>
      <c r="L588" s="163"/>
      <c r="M588" s="163"/>
      <c r="N588" s="163"/>
      <c r="O588" s="163"/>
      <c r="P588" s="163"/>
      <c r="Q588" s="571"/>
      <c r="R588" s="571"/>
      <c r="S588" s="571"/>
      <c r="T588" s="571"/>
      <c r="U588" s="571"/>
      <c r="V588" s="571"/>
      <c r="W588" s="571"/>
      <c r="X588" s="571"/>
      <c r="Y588" s="571"/>
      <c r="Z588" s="571"/>
    </row>
    <row r="589" spans="1:26" ht="18.75">
      <c r="A589" s="601"/>
      <c r="B589" s="611"/>
      <c r="C589" s="611"/>
      <c r="D589" s="611"/>
      <c r="E589" s="611"/>
      <c r="F589" s="619"/>
      <c r="G589" s="753"/>
      <c r="H589" s="755" t="s">
        <v>34</v>
      </c>
      <c r="I589" s="184"/>
      <c r="J589" s="214">
        <v>0</v>
      </c>
      <c r="K589" s="163"/>
      <c r="L589" s="163"/>
      <c r="M589" s="163"/>
      <c r="N589" s="163"/>
      <c r="O589" s="163"/>
      <c r="P589" s="163"/>
      <c r="Q589" s="571"/>
      <c r="R589" s="571"/>
      <c r="S589" s="571"/>
      <c r="T589" s="571"/>
      <c r="U589" s="571"/>
      <c r="V589" s="571"/>
      <c r="W589" s="571"/>
      <c r="X589" s="571"/>
      <c r="Y589" s="571"/>
      <c r="Z589" s="571"/>
    </row>
    <row r="590" spans="1:26" ht="18.75">
      <c r="A590" s="601"/>
      <c r="B590" s="611"/>
      <c r="C590" s="611"/>
      <c r="D590" s="619" t="s">
        <v>250</v>
      </c>
      <c r="E590" s="619"/>
      <c r="F590" s="619"/>
      <c r="G590" s="753"/>
      <c r="H590" s="755" t="s">
        <v>46</v>
      </c>
      <c r="I590" s="184"/>
      <c r="J590" s="214">
        <v>0</v>
      </c>
      <c r="K590" s="163"/>
      <c r="L590" s="163"/>
      <c r="M590" s="163"/>
      <c r="N590" s="163"/>
      <c r="O590" s="163"/>
      <c r="P590" s="163"/>
      <c r="Q590" s="571"/>
      <c r="R590" s="571"/>
      <c r="S590" s="571"/>
      <c r="T590" s="571"/>
      <c r="U590" s="571"/>
      <c r="V590" s="571"/>
      <c r="W590" s="571"/>
      <c r="X590" s="571"/>
      <c r="Y590" s="571"/>
      <c r="Z590" s="571"/>
    </row>
    <row r="591" spans="1:26" ht="18.75">
      <c r="A591" s="689"/>
      <c r="B591" s="690"/>
      <c r="C591" s="690"/>
      <c r="D591" s="690"/>
      <c r="E591" s="571"/>
      <c r="F591" s="571"/>
      <c r="G591" s="691"/>
      <c r="H591" s="692" t="s">
        <v>34</v>
      </c>
      <c r="I591" s="693"/>
      <c r="J591" s="694">
        <v>0</v>
      </c>
      <c r="K591" s="695"/>
      <c r="L591" s="695"/>
      <c r="M591" s="695"/>
      <c r="N591" s="695"/>
      <c r="O591" s="695"/>
      <c r="P591" s="695"/>
      <c r="Q591" s="571"/>
      <c r="R591" s="571"/>
      <c r="S591" s="571"/>
      <c r="T591" s="571"/>
      <c r="U591" s="571"/>
      <c r="V591" s="571"/>
      <c r="W591" s="571"/>
      <c r="X591" s="571"/>
      <c r="Y591" s="571"/>
      <c r="Z591" s="571"/>
    </row>
    <row r="592" spans="1:26" ht="19.5">
      <c r="A592" s="685"/>
      <c r="B592" s="686" t="s">
        <v>251</v>
      </c>
      <c r="C592" s="687"/>
      <c r="D592" s="687"/>
      <c r="E592" s="666"/>
      <c r="F592" s="666"/>
      <c r="G592" s="667"/>
      <c r="H592" s="688" t="s">
        <v>46</v>
      </c>
      <c r="I592" s="699">
        <f t="shared" ref="I592:J592" ca="1" si="253">I593</f>
        <v>6932</v>
      </c>
      <c r="J592" s="699">
        <f t="shared" si="253"/>
        <v>0</v>
      </c>
      <c r="K592" s="670">
        <f t="shared" ref="K592:K594" ca="1" si="254">IF(I592&gt;0,J592*100/I592,0)</f>
        <v>0</v>
      </c>
      <c r="L592" s="671"/>
      <c r="M592" s="671"/>
      <c r="N592" s="671"/>
      <c r="O592" s="671"/>
      <c r="P592" s="671"/>
      <c r="Q592" s="571"/>
      <c r="R592" s="571"/>
      <c r="S592" s="571"/>
      <c r="T592" s="571"/>
      <c r="U592" s="571"/>
      <c r="V592" s="571"/>
      <c r="W592" s="571"/>
      <c r="X592" s="571"/>
      <c r="Y592" s="571"/>
      <c r="Z592" s="571"/>
    </row>
    <row r="593" spans="1:26" ht="19.5">
      <c r="A593" s="601"/>
      <c r="B593" s="611"/>
      <c r="C593" s="618" t="s">
        <v>252</v>
      </c>
      <c r="D593" s="611"/>
      <c r="E593" s="611"/>
      <c r="F593" s="619"/>
      <c r="G593" s="753"/>
      <c r="H593" s="758" t="s">
        <v>46</v>
      </c>
      <c r="I593" s="193">
        <f ca="1">IFERROR(__xludf.DUMMYFUNCTION("IMPORTRANGE(""https://docs.google.com/spreadsheets/d/1QqKyyYR6Q21VydFLVH3TRQUabQu_ym0Zz7PgGX0-kHA/edit?usp=sharing"",""แผน!HJ69"")"),6932)</f>
        <v>6932</v>
      </c>
      <c r="J593" s="193">
        <f t="shared" ref="J593:J594" si="255">J595+J603+J609</f>
        <v>0</v>
      </c>
      <c r="K593" s="410">
        <f t="shared" ca="1" si="254"/>
        <v>0</v>
      </c>
      <c r="L593" s="163"/>
      <c r="M593" s="163"/>
      <c r="N593" s="163"/>
      <c r="O593" s="163"/>
      <c r="P593" s="163"/>
      <c r="Q593" s="571"/>
      <c r="R593" s="571"/>
      <c r="S593" s="571"/>
      <c r="T593" s="571"/>
      <c r="U593" s="571"/>
      <c r="V593" s="571"/>
      <c r="W593" s="571"/>
      <c r="X593" s="571"/>
      <c r="Y593" s="571"/>
      <c r="Z593" s="571"/>
    </row>
    <row r="594" spans="1:26" ht="19.5">
      <c r="A594" s="601"/>
      <c r="B594" s="611"/>
      <c r="C594" s="611"/>
      <c r="D594" s="611"/>
      <c r="E594" s="619"/>
      <c r="F594" s="619"/>
      <c r="G594" s="753"/>
      <c r="H594" s="758" t="s">
        <v>34</v>
      </c>
      <c r="I594" s="193">
        <f ca="1">IFERROR(__xludf.DUMMYFUNCTION("IMPORTRANGE(""https://docs.google.com/spreadsheets/d/1QqKyyYR6Q21VydFLVH3TRQUabQu_ym0Zz7PgGX0-kHA/edit?usp=sharing"",""แผน!HI69"")"),387)</f>
        <v>387</v>
      </c>
      <c r="J594" s="193">
        <f t="shared" si="255"/>
        <v>0</v>
      </c>
      <c r="K594" s="410">
        <f t="shared" ca="1" si="254"/>
        <v>0</v>
      </c>
      <c r="L594" s="163"/>
      <c r="M594" s="163"/>
      <c r="N594" s="163"/>
      <c r="O594" s="163"/>
      <c r="P594" s="163"/>
      <c r="Q594" s="571"/>
      <c r="R594" s="571"/>
      <c r="S594" s="571"/>
      <c r="T594" s="571"/>
      <c r="U594" s="571"/>
      <c r="V594" s="571"/>
      <c r="W594" s="571"/>
      <c r="X594" s="571"/>
      <c r="Y594" s="571"/>
      <c r="Z594" s="571"/>
    </row>
    <row r="595" spans="1:26" ht="18.75">
      <c r="A595" s="601"/>
      <c r="B595" s="611"/>
      <c r="C595" s="611" t="s">
        <v>253</v>
      </c>
      <c r="D595" s="611"/>
      <c r="E595" s="611"/>
      <c r="F595" s="619"/>
      <c r="G595" s="753"/>
      <c r="H595" s="755" t="s">
        <v>46</v>
      </c>
      <c r="I595" s="184"/>
      <c r="J595" s="184">
        <f t="shared" ref="J595:J596" si="256">J597+J599</f>
        <v>0</v>
      </c>
      <c r="K595" s="163"/>
      <c r="L595" s="163"/>
      <c r="M595" s="163"/>
      <c r="N595" s="163"/>
      <c r="O595" s="163"/>
      <c r="P595" s="163"/>
      <c r="Q595" s="571"/>
      <c r="R595" s="571"/>
      <c r="S595" s="571"/>
      <c r="T595" s="571"/>
      <c r="U595" s="571"/>
      <c r="V595" s="571"/>
      <c r="W595" s="571"/>
      <c r="X595" s="571"/>
      <c r="Y595" s="571"/>
      <c r="Z595" s="571"/>
    </row>
    <row r="596" spans="1:26" ht="18.75">
      <c r="A596" s="601"/>
      <c r="B596" s="611"/>
      <c r="C596" s="611"/>
      <c r="D596" s="611"/>
      <c r="E596" s="619"/>
      <c r="F596" s="619"/>
      <c r="G596" s="753"/>
      <c r="H596" s="755" t="s">
        <v>34</v>
      </c>
      <c r="I596" s="184"/>
      <c r="J596" s="184">
        <f t="shared" si="256"/>
        <v>0</v>
      </c>
      <c r="K596" s="163"/>
      <c r="L596" s="163"/>
      <c r="M596" s="163"/>
      <c r="N596" s="163"/>
      <c r="O596" s="163"/>
      <c r="P596" s="163"/>
      <c r="Q596" s="571"/>
      <c r="R596" s="571"/>
      <c r="S596" s="571"/>
      <c r="T596" s="571"/>
      <c r="U596" s="571"/>
      <c r="V596" s="571"/>
      <c r="W596" s="571"/>
      <c r="X596" s="571"/>
      <c r="Y596" s="571"/>
      <c r="Z596" s="571"/>
    </row>
    <row r="597" spans="1:26" ht="18.75">
      <c r="A597" s="601"/>
      <c r="B597" s="611"/>
      <c r="C597" s="611"/>
      <c r="D597" s="737" t="s">
        <v>254</v>
      </c>
      <c r="E597" s="619"/>
      <c r="F597" s="619"/>
      <c r="G597" s="753"/>
      <c r="H597" s="755" t="s">
        <v>46</v>
      </c>
      <c r="I597" s="184"/>
      <c r="J597" s="214">
        <v>0</v>
      </c>
      <c r="K597" s="163"/>
      <c r="L597" s="163"/>
      <c r="M597" s="163"/>
      <c r="N597" s="163"/>
      <c r="O597" s="163"/>
      <c r="P597" s="163"/>
      <c r="Q597" s="571"/>
      <c r="R597" s="571"/>
      <c r="S597" s="571"/>
      <c r="T597" s="571"/>
      <c r="U597" s="571"/>
      <c r="V597" s="571"/>
      <c r="W597" s="571"/>
      <c r="X597" s="571"/>
      <c r="Y597" s="571"/>
      <c r="Z597" s="571"/>
    </row>
    <row r="598" spans="1:26" ht="18.75">
      <c r="A598" s="601"/>
      <c r="B598" s="611"/>
      <c r="C598" s="611"/>
      <c r="D598" s="611"/>
      <c r="E598" s="619"/>
      <c r="F598" s="619"/>
      <c r="G598" s="753"/>
      <c r="H598" s="755" t="s">
        <v>34</v>
      </c>
      <c r="I598" s="269"/>
      <c r="J598" s="214">
        <v>0</v>
      </c>
      <c r="K598" s="163"/>
      <c r="L598" s="163"/>
      <c r="M598" s="163"/>
      <c r="N598" s="163"/>
      <c r="O598" s="163"/>
      <c r="P598" s="163"/>
      <c r="Q598" s="571"/>
      <c r="R598" s="571"/>
      <c r="S598" s="571"/>
      <c r="T598" s="571"/>
      <c r="U598" s="571"/>
      <c r="V598" s="571"/>
      <c r="W598" s="571"/>
      <c r="X598" s="571"/>
      <c r="Y598" s="571"/>
      <c r="Z598" s="571"/>
    </row>
    <row r="599" spans="1:26" ht="18.75">
      <c r="A599" s="601"/>
      <c r="B599" s="611"/>
      <c r="C599" s="611"/>
      <c r="D599" s="737" t="s">
        <v>255</v>
      </c>
      <c r="E599" s="619"/>
      <c r="F599" s="619"/>
      <c r="G599" s="753"/>
      <c r="H599" s="755" t="s">
        <v>46</v>
      </c>
      <c r="I599" s="269"/>
      <c r="J599" s="214">
        <v>0</v>
      </c>
      <c r="K599" s="163"/>
      <c r="L599" s="163"/>
      <c r="M599" s="163"/>
      <c r="N599" s="163"/>
      <c r="O599" s="163"/>
      <c r="P599" s="163"/>
      <c r="Q599" s="571"/>
      <c r="R599" s="571"/>
      <c r="S599" s="571"/>
      <c r="T599" s="571"/>
      <c r="U599" s="571"/>
      <c r="V599" s="571"/>
      <c r="W599" s="571"/>
      <c r="X599" s="571"/>
      <c r="Y599" s="571"/>
      <c r="Z599" s="571"/>
    </row>
    <row r="600" spans="1:26" ht="18.75">
      <c r="A600" s="601"/>
      <c r="B600" s="611"/>
      <c r="C600" s="611"/>
      <c r="D600" s="611"/>
      <c r="E600" s="619"/>
      <c r="F600" s="619"/>
      <c r="G600" s="753"/>
      <c r="H600" s="755" t="s">
        <v>34</v>
      </c>
      <c r="I600" s="269"/>
      <c r="J600" s="214">
        <v>0</v>
      </c>
      <c r="K600" s="163"/>
      <c r="L600" s="163"/>
      <c r="M600" s="163"/>
      <c r="N600" s="163"/>
      <c r="O600" s="163"/>
      <c r="P600" s="163"/>
      <c r="Q600" s="571"/>
      <c r="R600" s="571"/>
      <c r="S600" s="571"/>
      <c r="T600" s="571"/>
      <c r="U600" s="571"/>
      <c r="V600" s="571"/>
      <c r="W600" s="571"/>
      <c r="X600" s="571"/>
      <c r="Y600" s="571"/>
      <c r="Z600" s="571"/>
    </row>
    <row r="601" spans="1:26" ht="18.75">
      <c r="A601" s="601"/>
      <c r="B601" s="611"/>
      <c r="C601" s="611"/>
      <c r="D601" s="737" t="s">
        <v>256</v>
      </c>
      <c r="E601" s="619"/>
      <c r="F601" s="619"/>
      <c r="G601" s="753"/>
      <c r="H601" s="755" t="s">
        <v>46</v>
      </c>
      <c r="I601" s="269"/>
      <c r="J601" s="214">
        <v>0</v>
      </c>
      <c r="K601" s="163"/>
      <c r="L601" s="163"/>
      <c r="M601" s="163"/>
      <c r="N601" s="163"/>
      <c r="O601" s="163"/>
      <c r="P601" s="163"/>
      <c r="Q601" s="571"/>
      <c r="R601" s="571"/>
      <c r="S601" s="571"/>
      <c r="T601" s="571"/>
      <c r="U601" s="571"/>
      <c r="V601" s="571"/>
      <c r="W601" s="571"/>
      <c r="X601" s="571"/>
      <c r="Y601" s="571"/>
      <c r="Z601" s="571"/>
    </row>
    <row r="602" spans="1:26" ht="18.75">
      <c r="A602" s="601"/>
      <c r="B602" s="611"/>
      <c r="C602" s="611"/>
      <c r="D602" s="611"/>
      <c r="E602" s="619"/>
      <c r="F602" s="619"/>
      <c r="G602" s="753"/>
      <c r="H602" s="755" t="s">
        <v>34</v>
      </c>
      <c r="I602" s="269"/>
      <c r="J602" s="214">
        <v>0</v>
      </c>
      <c r="K602" s="163"/>
      <c r="L602" s="163"/>
      <c r="M602" s="163"/>
      <c r="N602" s="163"/>
      <c r="O602" s="163"/>
      <c r="P602" s="163"/>
      <c r="Q602" s="571"/>
      <c r="R602" s="571"/>
      <c r="S602" s="571"/>
      <c r="T602" s="571"/>
      <c r="U602" s="571"/>
      <c r="V602" s="571"/>
      <c r="W602" s="571"/>
      <c r="X602" s="571"/>
      <c r="Y602" s="571"/>
      <c r="Z602" s="571"/>
    </row>
    <row r="603" spans="1:26" ht="18.75">
      <c r="A603" s="601"/>
      <c r="B603" s="611"/>
      <c r="C603" s="696" t="s">
        <v>257</v>
      </c>
      <c r="D603" s="611"/>
      <c r="E603" s="611"/>
      <c r="F603" s="619"/>
      <c r="G603" s="753"/>
      <c r="H603" s="755" t="s">
        <v>46</v>
      </c>
      <c r="I603" s="269"/>
      <c r="J603" s="269">
        <f t="shared" ref="J603:J604" si="257">J605+J607</f>
        <v>0</v>
      </c>
      <c r="K603" s="163"/>
      <c r="L603" s="163"/>
      <c r="M603" s="163"/>
      <c r="N603" s="163"/>
      <c r="O603" s="163"/>
      <c r="P603" s="163"/>
      <c r="Q603" s="571"/>
      <c r="R603" s="571"/>
      <c r="S603" s="571"/>
      <c r="T603" s="571"/>
      <c r="U603" s="571"/>
      <c r="V603" s="571"/>
      <c r="W603" s="571"/>
      <c r="X603" s="571"/>
      <c r="Y603" s="571"/>
      <c r="Z603" s="571"/>
    </row>
    <row r="604" spans="1:26" ht="18.75">
      <c r="A604" s="601"/>
      <c r="B604" s="611"/>
      <c r="C604" s="611"/>
      <c r="D604" s="611"/>
      <c r="E604" s="619"/>
      <c r="F604" s="619"/>
      <c r="G604" s="753"/>
      <c r="H604" s="755" t="s">
        <v>34</v>
      </c>
      <c r="I604" s="269"/>
      <c r="J604" s="269">
        <f t="shared" si="257"/>
        <v>0</v>
      </c>
      <c r="K604" s="163"/>
      <c r="L604" s="163"/>
      <c r="M604" s="163"/>
      <c r="N604" s="163"/>
      <c r="O604" s="163"/>
      <c r="P604" s="163"/>
      <c r="Q604" s="571"/>
      <c r="R604" s="571"/>
      <c r="S604" s="571"/>
      <c r="T604" s="571"/>
      <c r="U604" s="571"/>
      <c r="V604" s="571"/>
      <c r="W604" s="571"/>
      <c r="X604" s="571"/>
      <c r="Y604" s="571"/>
      <c r="Z604" s="571"/>
    </row>
    <row r="605" spans="1:26" ht="18.75">
      <c r="A605" s="601"/>
      <c r="B605" s="611"/>
      <c r="C605" s="611"/>
      <c r="D605" s="696" t="s">
        <v>258</v>
      </c>
      <c r="E605" s="619"/>
      <c r="F605" s="619"/>
      <c r="G605" s="753"/>
      <c r="H605" s="755" t="s">
        <v>46</v>
      </c>
      <c r="I605" s="269"/>
      <c r="J605" s="214">
        <v>0</v>
      </c>
      <c r="K605" s="163"/>
      <c r="L605" s="163"/>
      <c r="M605" s="163"/>
      <c r="N605" s="163"/>
      <c r="O605" s="163"/>
      <c r="P605" s="163"/>
      <c r="Q605" s="571"/>
      <c r="R605" s="571"/>
      <c r="S605" s="571"/>
      <c r="T605" s="571"/>
      <c r="U605" s="571"/>
      <c r="V605" s="571"/>
      <c r="W605" s="571"/>
      <c r="X605" s="571"/>
      <c r="Y605" s="571"/>
      <c r="Z605" s="571"/>
    </row>
    <row r="606" spans="1:26" ht="18.75">
      <c r="A606" s="601"/>
      <c r="B606" s="611"/>
      <c r="C606" s="611"/>
      <c r="D606" s="611"/>
      <c r="E606" s="611"/>
      <c r="F606" s="619"/>
      <c r="G606" s="753"/>
      <c r="H606" s="755" t="s">
        <v>34</v>
      </c>
      <c r="I606" s="269"/>
      <c r="J606" s="214">
        <v>0</v>
      </c>
      <c r="K606" s="163"/>
      <c r="L606" s="163"/>
      <c r="M606" s="163"/>
      <c r="N606" s="163"/>
      <c r="O606" s="163"/>
      <c r="P606" s="163"/>
      <c r="Q606" s="571"/>
      <c r="R606" s="571"/>
      <c r="S606" s="571"/>
      <c r="T606" s="571"/>
      <c r="U606" s="571"/>
      <c r="V606" s="571"/>
      <c r="W606" s="571"/>
      <c r="X606" s="571"/>
      <c r="Y606" s="571"/>
      <c r="Z606" s="571"/>
    </row>
    <row r="607" spans="1:26" ht="18.75">
      <c r="A607" s="601"/>
      <c r="B607" s="611"/>
      <c r="C607" s="611"/>
      <c r="D607" s="696" t="s">
        <v>259</v>
      </c>
      <c r="E607" s="611"/>
      <c r="F607" s="619"/>
      <c r="G607" s="753"/>
      <c r="H607" s="755" t="s">
        <v>46</v>
      </c>
      <c r="I607" s="269"/>
      <c r="J607" s="214">
        <v>0</v>
      </c>
      <c r="K607" s="163"/>
      <c r="L607" s="163"/>
      <c r="M607" s="163"/>
      <c r="N607" s="163"/>
      <c r="O607" s="163"/>
      <c r="P607" s="163"/>
      <c r="Q607" s="571"/>
      <c r="R607" s="571"/>
      <c r="S607" s="571"/>
      <c r="T607" s="571"/>
      <c r="U607" s="571"/>
      <c r="V607" s="571"/>
      <c r="W607" s="571"/>
      <c r="X607" s="571"/>
      <c r="Y607" s="571"/>
      <c r="Z607" s="571"/>
    </row>
    <row r="608" spans="1:26" ht="18.75">
      <c r="A608" s="601"/>
      <c r="B608" s="611"/>
      <c r="C608" s="611"/>
      <c r="D608" s="611"/>
      <c r="E608" s="619"/>
      <c r="F608" s="619"/>
      <c r="G608" s="753"/>
      <c r="H608" s="755" t="s">
        <v>34</v>
      </c>
      <c r="I608" s="269"/>
      <c r="J608" s="214">
        <v>0</v>
      </c>
      <c r="K608" s="163"/>
      <c r="L608" s="163"/>
      <c r="M608" s="163"/>
      <c r="N608" s="163"/>
      <c r="O608" s="163"/>
      <c r="P608" s="163"/>
      <c r="Q608" s="571"/>
      <c r="R608" s="571"/>
      <c r="S608" s="571"/>
      <c r="T608" s="571"/>
      <c r="U608" s="571"/>
      <c r="V608" s="571"/>
      <c r="W608" s="571"/>
      <c r="X608" s="571"/>
      <c r="Y608" s="571"/>
      <c r="Z608" s="571"/>
    </row>
    <row r="609" spans="1:26" ht="18.75">
      <c r="A609" s="601"/>
      <c r="B609" s="611"/>
      <c r="C609" s="611" t="s">
        <v>260</v>
      </c>
      <c r="D609" s="611"/>
      <c r="E609" s="611"/>
      <c r="F609" s="619"/>
      <c r="G609" s="753"/>
      <c r="H609" s="755" t="s">
        <v>46</v>
      </c>
      <c r="I609" s="269"/>
      <c r="J609" s="214">
        <v>0</v>
      </c>
      <c r="K609" s="163"/>
      <c r="L609" s="163"/>
      <c r="M609" s="163"/>
      <c r="N609" s="163"/>
      <c r="O609" s="163"/>
      <c r="P609" s="163"/>
      <c r="Q609" s="571"/>
      <c r="R609" s="571"/>
      <c r="S609" s="571"/>
      <c r="T609" s="571"/>
      <c r="U609" s="571"/>
      <c r="V609" s="571"/>
      <c r="W609" s="571"/>
      <c r="X609" s="571"/>
      <c r="Y609" s="571"/>
      <c r="Z609" s="571"/>
    </row>
    <row r="610" spans="1:26" ht="18.75">
      <c r="A610" s="601"/>
      <c r="B610" s="611"/>
      <c r="C610" s="611"/>
      <c r="D610" s="611"/>
      <c r="E610" s="619"/>
      <c r="F610" s="619"/>
      <c r="G610" s="753"/>
      <c r="H610" s="755" t="s">
        <v>34</v>
      </c>
      <c r="I610" s="269"/>
      <c r="J610" s="214">
        <v>0</v>
      </c>
      <c r="K610" s="163"/>
      <c r="L610" s="163"/>
      <c r="M610" s="163"/>
      <c r="N610" s="163"/>
      <c r="O610" s="163"/>
      <c r="P610" s="163"/>
      <c r="Q610" s="571"/>
      <c r="R610" s="571"/>
      <c r="S610" s="571"/>
      <c r="T610" s="571"/>
      <c r="U610" s="571"/>
      <c r="V610" s="571"/>
      <c r="W610" s="571"/>
      <c r="X610" s="571"/>
      <c r="Y610" s="571"/>
      <c r="Z610" s="571"/>
    </row>
    <row r="611" spans="1:26" ht="19.5" hidden="1">
      <c r="A611" s="685"/>
      <c r="B611" s="697" t="s">
        <v>261</v>
      </c>
      <c r="C611" s="687"/>
      <c r="D611" s="687"/>
      <c r="E611" s="666"/>
      <c r="F611" s="666"/>
      <c r="G611" s="667"/>
      <c r="H611" s="698" t="s">
        <v>46</v>
      </c>
      <c r="I611" s="699">
        <v>0</v>
      </c>
      <c r="J611" s="699">
        <f>J614+J616</f>
        <v>0</v>
      </c>
      <c r="K611" s="670">
        <f t="shared" ref="K611:K613" si="258">IF(I611&gt;0,J611*100/I611,0)</f>
        <v>0</v>
      </c>
      <c r="L611" s="671"/>
      <c r="M611" s="671"/>
      <c r="N611" s="671"/>
      <c r="O611" s="671"/>
      <c r="P611" s="671"/>
      <c r="Q611" s="571"/>
      <c r="R611" s="571"/>
      <c r="S611" s="571"/>
      <c r="T611" s="571"/>
      <c r="U611" s="571"/>
      <c r="V611" s="571"/>
      <c r="W611" s="571"/>
      <c r="X611" s="571"/>
      <c r="Y611" s="571"/>
      <c r="Z611" s="571"/>
    </row>
    <row r="612" spans="1:26" ht="19.5" hidden="1">
      <c r="A612" s="700"/>
      <c r="B612" s="710"/>
      <c r="C612" s="702" t="s">
        <v>262</v>
      </c>
      <c r="D612" s="710"/>
      <c r="E612" s="710"/>
      <c r="F612" s="703"/>
      <c r="G612" s="704"/>
      <c r="H612" s="705" t="s">
        <v>46</v>
      </c>
      <c r="I612" s="707">
        <v>0</v>
      </c>
      <c r="J612" s="707">
        <f t="shared" ref="J612:J613" si="259">J614+J616</f>
        <v>0</v>
      </c>
      <c r="K612" s="708">
        <f t="shared" si="258"/>
        <v>0</v>
      </c>
      <c r="L612" s="709"/>
      <c r="M612" s="709"/>
      <c r="N612" s="709"/>
      <c r="O612" s="709"/>
      <c r="P612" s="709"/>
      <c r="Q612" s="597"/>
      <c r="R612" s="597"/>
      <c r="S612" s="597"/>
      <c r="T612" s="597"/>
      <c r="U612" s="597"/>
      <c r="V612" s="597"/>
      <c r="W612" s="597"/>
      <c r="X612" s="597"/>
      <c r="Y612" s="597"/>
      <c r="Z612" s="597"/>
    </row>
    <row r="613" spans="1:26" ht="19.5" hidden="1">
      <c r="A613" s="700"/>
      <c r="B613" s="710"/>
      <c r="C613" s="710" t="s">
        <v>263</v>
      </c>
      <c r="D613" s="710"/>
      <c r="E613" s="710"/>
      <c r="F613" s="703"/>
      <c r="G613" s="704"/>
      <c r="H613" s="705" t="s">
        <v>34</v>
      </c>
      <c r="I613" s="707">
        <v>0</v>
      </c>
      <c r="J613" s="707">
        <f t="shared" si="259"/>
        <v>0</v>
      </c>
      <c r="K613" s="708">
        <f t="shared" si="258"/>
        <v>0</v>
      </c>
      <c r="L613" s="709"/>
      <c r="M613" s="709"/>
      <c r="N613" s="709"/>
      <c r="O613" s="709"/>
      <c r="P613" s="709"/>
      <c r="Q613" s="597"/>
      <c r="R613" s="597"/>
      <c r="S613" s="597"/>
      <c r="T613" s="597"/>
      <c r="U613" s="597"/>
      <c r="V613" s="597"/>
      <c r="W613" s="597"/>
      <c r="X613" s="597"/>
      <c r="Y613" s="597"/>
      <c r="Z613" s="597"/>
    </row>
    <row r="614" spans="1:26" ht="18.75" hidden="1">
      <c r="A614" s="607"/>
      <c r="B614" s="609"/>
      <c r="C614" s="609"/>
      <c r="D614" s="711" t="s">
        <v>264</v>
      </c>
      <c r="E614" s="609"/>
      <c r="F614" s="711"/>
      <c r="G614" s="365"/>
      <c r="H614" s="369" t="s">
        <v>46</v>
      </c>
      <c r="I614" s="610"/>
      <c r="J614" s="610">
        <v>0</v>
      </c>
      <c r="K614" s="167"/>
      <c r="L614" s="167"/>
      <c r="M614" s="167"/>
      <c r="N614" s="167"/>
      <c r="O614" s="167"/>
      <c r="P614" s="167"/>
      <c r="Q614" s="597"/>
      <c r="R614" s="597"/>
      <c r="S614" s="597"/>
      <c r="T614" s="597"/>
      <c r="U614" s="597"/>
      <c r="V614" s="597"/>
      <c r="W614" s="597"/>
      <c r="X614" s="597"/>
      <c r="Y614" s="597"/>
      <c r="Z614" s="597"/>
    </row>
    <row r="615" spans="1:26" ht="18.75" hidden="1">
      <c r="A615" s="607"/>
      <c r="B615" s="609"/>
      <c r="C615" s="609"/>
      <c r="D615" s="609"/>
      <c r="E615" s="609"/>
      <c r="F615" s="711"/>
      <c r="G615" s="365"/>
      <c r="H615" s="369" t="s">
        <v>34</v>
      </c>
      <c r="I615" s="610"/>
      <c r="J615" s="610">
        <v>0</v>
      </c>
      <c r="K615" s="167"/>
      <c r="L615" s="167"/>
      <c r="M615" s="167"/>
      <c r="N615" s="167"/>
      <c r="O615" s="167"/>
      <c r="P615" s="167"/>
      <c r="Q615" s="597"/>
      <c r="R615" s="597"/>
      <c r="S615" s="597"/>
      <c r="T615" s="597"/>
      <c r="U615" s="597"/>
      <c r="V615" s="597"/>
      <c r="W615" s="597"/>
      <c r="X615" s="597"/>
      <c r="Y615" s="597"/>
      <c r="Z615" s="597"/>
    </row>
    <row r="616" spans="1:26" ht="18.75" hidden="1">
      <c r="A616" s="607"/>
      <c r="B616" s="609"/>
      <c r="C616" s="609"/>
      <c r="D616" s="712" t="s">
        <v>264</v>
      </c>
      <c r="E616" s="711"/>
      <c r="F616" s="711"/>
      <c r="G616" s="365"/>
      <c r="H616" s="369" t="s">
        <v>46</v>
      </c>
      <c r="I616" s="610"/>
      <c r="J616" s="610">
        <v>0</v>
      </c>
      <c r="K616" s="167"/>
      <c r="L616" s="167"/>
      <c r="M616" s="167"/>
      <c r="N616" s="167"/>
      <c r="O616" s="167"/>
      <c r="P616" s="167"/>
      <c r="Q616" s="597"/>
      <c r="R616" s="597"/>
      <c r="S616" s="597"/>
      <c r="T616" s="597"/>
      <c r="U616" s="597"/>
      <c r="V616" s="597"/>
      <c r="W616" s="597"/>
      <c r="X616" s="597"/>
      <c r="Y616" s="597"/>
      <c r="Z616" s="597"/>
    </row>
    <row r="617" spans="1:26" ht="18.75" hidden="1">
      <c r="A617" s="607"/>
      <c r="B617" s="609"/>
      <c r="C617" s="609"/>
      <c r="D617" s="609"/>
      <c r="E617" s="711"/>
      <c r="F617" s="711"/>
      <c r="G617" s="365"/>
      <c r="H617" s="369" t="s">
        <v>34</v>
      </c>
      <c r="I617" s="610"/>
      <c r="J617" s="610">
        <v>0</v>
      </c>
      <c r="K617" s="167"/>
      <c r="L617" s="167"/>
      <c r="M617" s="167"/>
      <c r="N617" s="167"/>
      <c r="O617" s="167"/>
      <c r="P617" s="167"/>
      <c r="Q617" s="597"/>
      <c r="R617" s="597"/>
      <c r="S617" s="597"/>
      <c r="T617" s="597"/>
      <c r="U617" s="597"/>
      <c r="V617" s="597"/>
      <c r="W617" s="597"/>
      <c r="X617" s="597"/>
      <c r="Y617" s="597"/>
      <c r="Z617" s="597"/>
    </row>
    <row r="618" spans="1:26" ht="18.75" hidden="1">
      <c r="A618" s="607"/>
      <c r="B618" s="609"/>
      <c r="C618" s="609"/>
      <c r="D618" s="712" t="s">
        <v>265</v>
      </c>
      <c r="E618" s="711"/>
      <c r="F618" s="711"/>
      <c r="G618" s="365"/>
      <c r="H618" s="369" t="s">
        <v>46</v>
      </c>
      <c r="I618" s="610"/>
      <c r="J618" s="610">
        <v>0</v>
      </c>
      <c r="K618" s="167"/>
      <c r="L618" s="167"/>
      <c r="M618" s="167"/>
      <c r="N618" s="167"/>
      <c r="O618" s="167"/>
      <c r="P618" s="167"/>
      <c r="Q618" s="597"/>
      <c r="R618" s="597"/>
      <c r="S618" s="597"/>
      <c r="T618" s="597"/>
      <c r="U618" s="597"/>
      <c r="V618" s="597"/>
      <c r="W618" s="597"/>
      <c r="X618" s="597"/>
      <c r="Y618" s="597"/>
      <c r="Z618" s="597"/>
    </row>
    <row r="619" spans="1:26" ht="18.75" hidden="1">
      <c r="A619" s="607"/>
      <c r="B619" s="609"/>
      <c r="C619" s="609"/>
      <c r="D619" s="609"/>
      <c r="E619" s="711"/>
      <c r="F619" s="711"/>
      <c r="G619" s="365"/>
      <c r="H619" s="369" t="s">
        <v>34</v>
      </c>
      <c r="I619" s="610"/>
      <c r="J619" s="610">
        <v>0</v>
      </c>
      <c r="K619" s="167"/>
      <c r="L619" s="167"/>
      <c r="M619" s="167"/>
      <c r="N619" s="167"/>
      <c r="O619" s="167"/>
      <c r="P619" s="167"/>
      <c r="Q619" s="597"/>
      <c r="R619" s="597"/>
      <c r="S619" s="597"/>
      <c r="T619" s="597"/>
      <c r="U619" s="597"/>
      <c r="V619" s="597"/>
      <c r="W619" s="597"/>
      <c r="X619" s="597"/>
      <c r="Y619" s="597"/>
      <c r="Z619" s="597"/>
    </row>
    <row r="620" spans="1:26" ht="19.5" hidden="1">
      <c r="A620" s="713"/>
      <c r="B620" s="722"/>
      <c r="C620" s="715" t="s">
        <v>266</v>
      </c>
      <c r="D620" s="722"/>
      <c r="E620" s="722"/>
      <c r="F620" s="716"/>
      <c r="G620" s="717"/>
      <c r="H620" s="718" t="s">
        <v>46</v>
      </c>
      <c r="I620" s="719">
        <f ca="1">IFERROR(__xludf.DUMMYFUNCTION("IMPORTRANGE(""https://docs.google.com/spreadsheets/d/1QqKyyYR6Q21VydFLVH3TRQUabQu_ym0Zz7PgGX0-kHA/edit?usp=sharing"",""แผน!HL69"")"),0)</f>
        <v>0</v>
      </c>
      <c r="J620" s="719">
        <f t="shared" ref="J620:J621" si="260">J622+J624+J626</f>
        <v>0</v>
      </c>
      <c r="K620" s="720">
        <f t="shared" ref="K620:K621" ca="1" si="261">IF(I620&gt;0,J620*100/I620,0)</f>
        <v>0</v>
      </c>
      <c r="L620" s="721"/>
      <c r="M620" s="721"/>
      <c r="N620" s="721"/>
      <c r="O620" s="721"/>
      <c r="P620" s="721"/>
      <c r="Q620" s="571"/>
      <c r="R620" s="571"/>
      <c r="S620" s="571"/>
      <c r="T620" s="571"/>
      <c r="U620" s="571"/>
      <c r="V620" s="571"/>
      <c r="W620" s="571"/>
      <c r="X620" s="571"/>
      <c r="Y620" s="571"/>
      <c r="Z620" s="571"/>
    </row>
    <row r="621" spans="1:26" ht="19.5" hidden="1">
      <c r="A621" s="713"/>
      <c r="B621" s="722"/>
      <c r="C621" s="722" t="s">
        <v>267</v>
      </c>
      <c r="D621" s="722"/>
      <c r="E621" s="722"/>
      <c r="F621" s="716"/>
      <c r="G621" s="717"/>
      <c r="H621" s="718" t="s">
        <v>34</v>
      </c>
      <c r="I621" s="719">
        <f ca="1">IFERROR(__xludf.DUMMYFUNCTION("IMPORTRANGE(""https://docs.google.com/spreadsheets/d/1QqKyyYR6Q21VydFLVH3TRQUabQu_ym0Zz7PgGX0-kHA/edit?usp=sharing"",""แผน!HK69"")"),0)</f>
        <v>0</v>
      </c>
      <c r="J621" s="719">
        <f t="shared" si="260"/>
        <v>0</v>
      </c>
      <c r="K621" s="720">
        <f t="shared" ca="1" si="261"/>
        <v>0</v>
      </c>
      <c r="L621" s="721"/>
      <c r="M621" s="721"/>
      <c r="N621" s="721"/>
      <c r="O621" s="721"/>
      <c r="P621" s="721"/>
      <c r="Q621" s="571"/>
      <c r="R621" s="571"/>
      <c r="S621" s="571"/>
      <c r="T621" s="571"/>
      <c r="U621" s="571"/>
      <c r="V621" s="571"/>
      <c r="W621" s="571"/>
      <c r="X621" s="571"/>
      <c r="Y621" s="571"/>
      <c r="Z621" s="571"/>
    </row>
    <row r="622" spans="1:26" ht="18.75" hidden="1">
      <c r="A622" s="601"/>
      <c r="B622" s="611"/>
      <c r="C622" s="611"/>
      <c r="D622" s="737" t="s">
        <v>268</v>
      </c>
      <c r="E622" s="619"/>
      <c r="F622" s="619"/>
      <c r="G622" s="753"/>
      <c r="H622" s="755" t="s">
        <v>46</v>
      </c>
      <c r="I622" s="269"/>
      <c r="J622" s="214">
        <v>0</v>
      </c>
      <c r="K622" s="163"/>
      <c r="L622" s="163"/>
      <c r="M622" s="163"/>
      <c r="N622" s="163"/>
      <c r="O622" s="163"/>
      <c r="P622" s="163"/>
      <c r="Q622" s="571"/>
      <c r="R622" s="571"/>
      <c r="S622" s="571"/>
      <c r="T622" s="571"/>
      <c r="U622" s="571"/>
      <c r="V622" s="571"/>
      <c r="W622" s="571"/>
      <c r="X622" s="571"/>
      <c r="Y622" s="571"/>
      <c r="Z622" s="571"/>
    </row>
    <row r="623" spans="1:26" ht="18.75" hidden="1">
      <c r="A623" s="601"/>
      <c r="B623" s="611"/>
      <c r="C623" s="611"/>
      <c r="D623" s="611"/>
      <c r="E623" s="619"/>
      <c r="F623" s="619"/>
      <c r="G623" s="753"/>
      <c r="H623" s="755" t="s">
        <v>34</v>
      </c>
      <c r="I623" s="269"/>
      <c r="J623" s="214">
        <v>0</v>
      </c>
      <c r="K623" s="163"/>
      <c r="L623" s="163"/>
      <c r="M623" s="163"/>
      <c r="N623" s="163"/>
      <c r="O623" s="163"/>
      <c r="P623" s="163"/>
      <c r="Q623" s="571"/>
      <c r="R623" s="571"/>
      <c r="S623" s="571"/>
      <c r="T623" s="571"/>
      <c r="U623" s="571"/>
      <c r="V623" s="571"/>
      <c r="W623" s="571"/>
      <c r="X623" s="571"/>
      <c r="Y623" s="571"/>
      <c r="Z623" s="571"/>
    </row>
    <row r="624" spans="1:26" ht="18.75" hidden="1">
      <c r="A624" s="601"/>
      <c r="B624" s="611"/>
      <c r="C624" s="611"/>
      <c r="D624" s="737" t="s">
        <v>264</v>
      </c>
      <c r="E624" s="619"/>
      <c r="F624" s="619"/>
      <c r="G624" s="753"/>
      <c r="H624" s="755" t="s">
        <v>46</v>
      </c>
      <c r="I624" s="269"/>
      <c r="J624" s="214">
        <v>0</v>
      </c>
      <c r="K624" s="163"/>
      <c r="L624" s="163"/>
      <c r="M624" s="163"/>
      <c r="N624" s="163"/>
      <c r="O624" s="163"/>
      <c r="P624" s="163"/>
      <c r="Q624" s="571"/>
      <c r="R624" s="571"/>
      <c r="S624" s="571"/>
      <c r="T624" s="571"/>
      <c r="U624" s="571"/>
      <c r="V624" s="571"/>
      <c r="W624" s="571"/>
      <c r="X624" s="571"/>
      <c r="Y624" s="571"/>
      <c r="Z624" s="571"/>
    </row>
    <row r="625" spans="1:26" ht="18.75" hidden="1">
      <c r="A625" s="601"/>
      <c r="B625" s="611"/>
      <c r="C625" s="611"/>
      <c r="D625" s="611"/>
      <c r="E625" s="619"/>
      <c r="F625" s="619"/>
      <c r="G625" s="753"/>
      <c r="H625" s="755" t="s">
        <v>34</v>
      </c>
      <c r="I625" s="269"/>
      <c r="J625" s="214">
        <v>0</v>
      </c>
      <c r="K625" s="163"/>
      <c r="L625" s="163"/>
      <c r="M625" s="163"/>
      <c r="N625" s="163"/>
      <c r="O625" s="163"/>
      <c r="P625" s="163"/>
      <c r="Q625" s="571"/>
      <c r="R625" s="571"/>
      <c r="S625" s="571"/>
      <c r="T625" s="571"/>
      <c r="U625" s="571"/>
      <c r="V625" s="571"/>
      <c r="W625" s="571"/>
      <c r="X625" s="571"/>
      <c r="Y625" s="571"/>
      <c r="Z625" s="571"/>
    </row>
    <row r="626" spans="1:26" ht="18.75" hidden="1">
      <c r="A626" s="601"/>
      <c r="B626" s="611"/>
      <c r="C626" s="611"/>
      <c r="D626" s="737" t="s">
        <v>269</v>
      </c>
      <c r="E626" s="619"/>
      <c r="F626" s="619"/>
      <c r="G626" s="753"/>
      <c r="H626" s="755" t="s">
        <v>46</v>
      </c>
      <c r="I626" s="269"/>
      <c r="J626" s="214">
        <v>0</v>
      </c>
      <c r="K626" s="163"/>
      <c r="L626" s="163"/>
      <c r="M626" s="163"/>
      <c r="N626" s="163"/>
      <c r="O626" s="163"/>
      <c r="P626" s="163"/>
      <c r="Q626" s="571"/>
      <c r="R626" s="571"/>
      <c r="S626" s="571"/>
      <c r="T626" s="571"/>
      <c r="U626" s="571"/>
      <c r="V626" s="571"/>
      <c r="W626" s="571"/>
      <c r="X626" s="571"/>
      <c r="Y626" s="571"/>
      <c r="Z626" s="571"/>
    </row>
    <row r="627" spans="1:26" ht="18.75" hidden="1">
      <c r="A627" s="723"/>
      <c r="B627" s="724"/>
      <c r="C627" s="724"/>
      <c r="D627" s="724"/>
      <c r="E627" s="725"/>
      <c r="F627" s="725"/>
      <c r="G627" s="726"/>
      <c r="H627" s="421" t="s">
        <v>34</v>
      </c>
      <c r="I627" s="499"/>
      <c r="J627" s="423">
        <v>0</v>
      </c>
      <c r="K627" s="384"/>
      <c r="L627" s="384"/>
      <c r="M627" s="384"/>
      <c r="N627" s="384"/>
      <c r="O627" s="384"/>
      <c r="P627" s="384"/>
      <c r="Q627" s="571"/>
      <c r="R627" s="571"/>
      <c r="S627" s="571"/>
      <c r="T627" s="571"/>
      <c r="U627" s="571"/>
      <c r="V627" s="571"/>
      <c r="W627" s="571"/>
      <c r="X627" s="571"/>
      <c r="Y627" s="571"/>
      <c r="Z627" s="571"/>
    </row>
    <row r="628" spans="1:26" ht="19.5">
      <c r="A628" s="727">
        <v>7</v>
      </c>
      <c r="B628" s="728" t="s">
        <v>270</v>
      </c>
      <c r="C628" s="729"/>
      <c r="D628" s="729"/>
      <c r="E628" s="729"/>
      <c r="F628" s="729"/>
      <c r="G628" s="730"/>
      <c r="H628" s="731" t="s">
        <v>35</v>
      </c>
      <c r="I628" s="732">
        <f t="shared" ref="I628:J628" ca="1" si="262">I651</f>
        <v>100</v>
      </c>
      <c r="J628" s="732">
        <f t="shared" ca="1" si="262"/>
        <v>0</v>
      </c>
      <c r="K628" s="733">
        <f ca="1">IF(I628&gt;0,J628*100/I628,0)</f>
        <v>0</v>
      </c>
      <c r="L628" s="734"/>
      <c r="M628" s="734"/>
      <c r="N628" s="734"/>
      <c r="O628" s="734"/>
      <c r="P628" s="734"/>
      <c r="Q628" s="571"/>
      <c r="R628" s="571"/>
      <c r="S628" s="571"/>
      <c r="T628" s="571"/>
      <c r="U628" s="571"/>
      <c r="V628" s="571"/>
      <c r="W628" s="571"/>
      <c r="X628" s="571"/>
      <c r="Y628" s="571"/>
      <c r="Z628" s="571"/>
    </row>
    <row r="629" spans="1:26" ht="19.5">
      <c r="A629" s="590"/>
      <c r="B629" s="754"/>
      <c r="C629" s="754" t="s">
        <v>16</v>
      </c>
      <c r="D629" s="863" t="s">
        <v>17</v>
      </c>
      <c r="E629" s="857"/>
      <c r="F629" s="857"/>
      <c r="G629" s="189"/>
      <c r="H629" s="591" t="s">
        <v>12</v>
      </c>
      <c r="I629" s="269"/>
      <c r="J629" s="269"/>
      <c r="K629" s="496"/>
      <c r="L629" s="195">
        <f t="shared" ref="L629:N629" ca="1" si="263">L630+L631</f>
        <v>364940</v>
      </c>
      <c r="M629" s="195">
        <f t="shared" si="263"/>
        <v>0</v>
      </c>
      <c r="N629" s="195">
        <f t="shared" si="263"/>
        <v>31533.33</v>
      </c>
      <c r="O629" s="195">
        <f t="shared" ref="O629:O634" ca="1" si="264">IF(L629&gt;0,N629*100/L629,0)</f>
        <v>8.6406888803638946</v>
      </c>
      <c r="P629" s="195">
        <f t="shared" ref="P629:P634" si="265">IF(M629&gt;0,N629*100/M629,0)</f>
        <v>0</v>
      </c>
      <c r="Q629" s="571"/>
      <c r="R629" s="571"/>
      <c r="S629" s="571"/>
      <c r="T629" s="571"/>
      <c r="U629" s="571"/>
      <c r="V629" s="571"/>
      <c r="W629" s="571"/>
      <c r="X629" s="571"/>
      <c r="Y629" s="571"/>
      <c r="Z629" s="571"/>
    </row>
    <row r="630" spans="1:26" ht="18.75" hidden="1">
      <c r="A630" s="592"/>
      <c r="B630" s="750"/>
      <c r="C630" s="750"/>
      <c r="D630" s="711"/>
      <c r="E630" s="750" t="s">
        <v>184</v>
      </c>
      <c r="F630" s="750"/>
      <c r="G630" s="596"/>
      <c r="H630" s="165" t="s">
        <v>12</v>
      </c>
      <c r="I630" s="610"/>
      <c r="J630" s="610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597"/>
      <c r="R630" s="597"/>
      <c r="S630" s="597"/>
      <c r="T630" s="597"/>
      <c r="U630" s="597"/>
      <c r="V630" s="597"/>
      <c r="W630" s="597"/>
      <c r="X630" s="597"/>
      <c r="Y630" s="597"/>
      <c r="Z630" s="597"/>
    </row>
    <row r="631" spans="1:26" ht="18.75" hidden="1">
      <c r="A631" s="592"/>
      <c r="B631" s="600"/>
      <c r="C631" s="750"/>
      <c r="D631" s="711"/>
      <c r="E631" s="750" t="s">
        <v>185</v>
      </c>
      <c r="F631" s="750"/>
      <c r="G631" s="596"/>
      <c r="H631" s="165" t="s">
        <v>12</v>
      </c>
      <c r="I631" s="610"/>
      <c r="J631" s="610"/>
      <c r="K631" s="93"/>
      <c r="L631" s="93">
        <f t="shared" ca="1" si="266"/>
        <v>364940</v>
      </c>
      <c r="M631" s="93">
        <f t="shared" si="266"/>
        <v>0</v>
      </c>
      <c r="N631" s="93">
        <f t="shared" si="266"/>
        <v>31533.33</v>
      </c>
      <c r="O631" s="93">
        <f t="shared" ca="1" si="264"/>
        <v>8.6406888803638946</v>
      </c>
      <c r="P631" s="93">
        <f t="shared" si="265"/>
        <v>0</v>
      </c>
      <c r="Q631" s="597"/>
      <c r="R631" s="597"/>
      <c r="S631" s="597"/>
      <c r="T631" s="597"/>
      <c r="U631" s="597"/>
      <c r="V631" s="597"/>
      <c r="W631" s="597"/>
      <c r="X631" s="597"/>
      <c r="Y631" s="597"/>
      <c r="Z631" s="597"/>
    </row>
    <row r="632" spans="1:26" ht="18.75">
      <c r="A632" s="590"/>
      <c r="B632" s="568"/>
      <c r="C632" s="754"/>
      <c r="D632" s="599" t="s">
        <v>20</v>
      </c>
      <c r="E632" s="754"/>
      <c r="F632" s="754"/>
      <c r="G632" s="189"/>
      <c r="H632" s="161" t="s">
        <v>12</v>
      </c>
      <c r="I632" s="184"/>
      <c r="J632" s="184"/>
      <c r="K632" s="163"/>
      <c r="L632" s="496">
        <f t="shared" ref="L632:N632" ca="1" si="267">L633+L634</f>
        <v>364940</v>
      </c>
      <c r="M632" s="496">
        <f t="shared" si="267"/>
        <v>0</v>
      </c>
      <c r="N632" s="496">
        <f t="shared" si="267"/>
        <v>31533.33</v>
      </c>
      <c r="O632" s="496">
        <f t="shared" ca="1" si="264"/>
        <v>8.6406888803638946</v>
      </c>
      <c r="P632" s="496">
        <f t="shared" si="265"/>
        <v>0</v>
      </c>
      <c r="Q632" s="571"/>
      <c r="R632" s="571"/>
      <c r="S632" s="571"/>
      <c r="T632" s="571"/>
      <c r="U632" s="571"/>
      <c r="V632" s="571"/>
      <c r="W632" s="571"/>
      <c r="X632" s="571"/>
      <c r="Y632" s="571"/>
      <c r="Z632" s="571"/>
    </row>
    <row r="633" spans="1:26" ht="18.75" hidden="1">
      <c r="A633" s="592"/>
      <c r="B633" s="600"/>
      <c r="C633" s="750"/>
      <c r="D633" s="711"/>
      <c r="E633" s="750" t="s">
        <v>184</v>
      </c>
      <c r="F633" s="750"/>
      <c r="G633" s="596"/>
      <c r="H633" s="165" t="s">
        <v>12</v>
      </c>
      <c r="I633" s="610"/>
      <c r="J633" s="610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597"/>
      <c r="R633" s="597"/>
      <c r="S633" s="597"/>
      <c r="T633" s="597"/>
      <c r="U633" s="597"/>
      <c r="V633" s="597"/>
      <c r="W633" s="597"/>
      <c r="X633" s="597"/>
      <c r="Y633" s="597"/>
      <c r="Z633" s="597"/>
    </row>
    <row r="634" spans="1:26" ht="18.75" hidden="1">
      <c r="A634" s="592"/>
      <c r="B634" s="600"/>
      <c r="C634" s="750"/>
      <c r="D634" s="711"/>
      <c r="E634" s="750" t="s">
        <v>185</v>
      </c>
      <c r="F634" s="750"/>
      <c r="G634" s="596"/>
      <c r="H634" s="165" t="s">
        <v>12</v>
      </c>
      <c r="I634" s="610"/>
      <c r="J634" s="610"/>
      <c r="K634" s="93"/>
      <c r="L634" s="93">
        <f ca="1">IFERROR(__xludf.DUMMYFUNCTION("IMPORTRANGE(""https://docs.google.com/spreadsheets/d/1QqKyyYR6Q21VydFLVH3TRQUabQu_ym0Zz7PgGX0-kHA/edit?usp=sharing"",""แผน!HN69"")"),364940)</f>
        <v>364940</v>
      </c>
      <c r="M634" s="93">
        <v>0</v>
      </c>
      <c r="N634" s="93">
        <f>N635+N636+N637+N638</f>
        <v>31533.33</v>
      </c>
      <c r="O634" s="93">
        <f t="shared" ca="1" si="264"/>
        <v>8.6406888803638946</v>
      </c>
      <c r="P634" s="93">
        <f t="shared" si="265"/>
        <v>0</v>
      </c>
      <c r="Q634" s="597"/>
      <c r="R634" s="597"/>
      <c r="S634" s="597"/>
      <c r="T634" s="597"/>
      <c r="U634" s="597"/>
      <c r="V634" s="597"/>
      <c r="W634" s="597"/>
      <c r="X634" s="597"/>
      <c r="Y634" s="597"/>
      <c r="Z634" s="597"/>
    </row>
    <row r="635" spans="1:26" ht="18.75">
      <c r="A635" s="567"/>
      <c r="B635" s="568"/>
      <c r="C635" s="754"/>
      <c r="D635" s="754"/>
      <c r="E635" s="754"/>
      <c r="F635" s="754" t="s">
        <v>186</v>
      </c>
      <c r="G635" s="189"/>
      <c r="H635" s="161" t="s">
        <v>12</v>
      </c>
      <c r="I635" s="269"/>
      <c r="J635" s="269"/>
      <c r="K635" s="496"/>
      <c r="L635" s="496"/>
      <c r="M635" s="496"/>
      <c r="N635" s="817">
        <v>0</v>
      </c>
      <c r="O635" s="496"/>
      <c r="P635" s="496"/>
      <c r="Q635" s="571"/>
      <c r="R635" s="571"/>
      <c r="S635" s="571"/>
      <c r="T635" s="571"/>
      <c r="U635" s="571"/>
      <c r="V635" s="571"/>
      <c r="W635" s="571"/>
      <c r="X635" s="571"/>
      <c r="Y635" s="571"/>
      <c r="Z635" s="571"/>
    </row>
    <row r="636" spans="1:26" ht="18.75">
      <c r="A636" s="567"/>
      <c r="B636" s="568"/>
      <c r="C636" s="754"/>
      <c r="D636" s="754"/>
      <c r="E636" s="754"/>
      <c r="F636" s="754" t="s">
        <v>187</v>
      </c>
      <c r="G636" s="189"/>
      <c r="H636" s="161" t="s">
        <v>12</v>
      </c>
      <c r="I636" s="269"/>
      <c r="J636" s="269"/>
      <c r="K636" s="496"/>
      <c r="L636" s="496"/>
      <c r="M636" s="496"/>
      <c r="N636" s="817">
        <v>0</v>
      </c>
      <c r="O636" s="496"/>
      <c r="P636" s="496"/>
      <c r="Q636" s="571"/>
      <c r="R636" s="571"/>
      <c r="S636" s="571"/>
      <c r="T636" s="571"/>
      <c r="U636" s="571"/>
      <c r="V636" s="571"/>
      <c r="W636" s="571"/>
      <c r="X636" s="571"/>
      <c r="Y636" s="571"/>
      <c r="Z636" s="571"/>
    </row>
    <row r="637" spans="1:26" ht="18.75">
      <c r="A637" s="567"/>
      <c r="B637" s="568"/>
      <c r="C637" s="754"/>
      <c r="D637" s="754"/>
      <c r="E637" s="754"/>
      <c r="F637" s="754" t="s">
        <v>188</v>
      </c>
      <c r="G637" s="189"/>
      <c r="H637" s="161" t="s">
        <v>12</v>
      </c>
      <c r="I637" s="269"/>
      <c r="J637" s="269"/>
      <c r="K637" s="496"/>
      <c r="L637" s="496"/>
      <c r="M637" s="496"/>
      <c r="N637" s="817">
        <v>25133.33</v>
      </c>
      <c r="O637" s="496"/>
      <c r="P637" s="496"/>
      <c r="Q637" s="571"/>
      <c r="R637" s="571"/>
      <c r="S637" s="571"/>
      <c r="T637" s="571"/>
      <c r="U637" s="571"/>
      <c r="V637" s="571"/>
      <c r="W637" s="571"/>
      <c r="X637" s="571"/>
      <c r="Y637" s="571"/>
      <c r="Z637" s="571"/>
    </row>
    <row r="638" spans="1:26" ht="18.75">
      <c r="A638" s="567"/>
      <c r="B638" s="568"/>
      <c r="C638" s="754"/>
      <c r="D638" s="754"/>
      <c r="E638" s="754"/>
      <c r="F638" s="754" t="s">
        <v>189</v>
      </c>
      <c r="G638" s="189"/>
      <c r="H638" s="161" t="s">
        <v>12</v>
      </c>
      <c r="I638" s="269"/>
      <c r="J638" s="269"/>
      <c r="K638" s="496"/>
      <c r="L638" s="496"/>
      <c r="M638" s="496"/>
      <c r="N638" s="817">
        <v>6400</v>
      </c>
      <c r="O638" s="496"/>
      <c r="P638" s="496"/>
      <c r="Q638" s="571"/>
      <c r="R638" s="571"/>
      <c r="S638" s="571"/>
      <c r="T638" s="571"/>
      <c r="U638" s="571"/>
      <c r="V638" s="571"/>
      <c r="W638" s="571"/>
      <c r="X638" s="571"/>
      <c r="Y638" s="571"/>
      <c r="Z638" s="571"/>
    </row>
    <row r="639" spans="1:26" ht="18.75">
      <c r="A639" s="590"/>
      <c r="B639" s="568"/>
      <c r="C639" s="754"/>
      <c r="D639" s="599" t="s">
        <v>21</v>
      </c>
      <c r="E639" s="754"/>
      <c r="F639" s="754"/>
      <c r="G639" s="189"/>
      <c r="H639" s="168" t="s">
        <v>12</v>
      </c>
      <c r="I639" s="184"/>
      <c r="J639" s="184"/>
      <c r="K639" s="163"/>
      <c r="L639" s="496">
        <f t="shared" ref="L639:N639" ca="1" si="268">L640+L641</f>
        <v>0</v>
      </c>
      <c r="M639" s="496">
        <f t="shared" si="268"/>
        <v>0</v>
      </c>
      <c r="N639" s="496">
        <f t="shared" si="268"/>
        <v>0</v>
      </c>
      <c r="O639" s="496">
        <f t="shared" ref="O639:O641" ca="1" si="269">IF(L639&gt;0,N639*100/L639,0)</f>
        <v>0</v>
      </c>
      <c r="P639" s="496">
        <f t="shared" ref="P639:P641" si="270">IF(M639&gt;0,N639*100/M639,0)</f>
        <v>0</v>
      </c>
      <c r="Q639" s="571"/>
      <c r="R639" s="571"/>
      <c r="S639" s="571"/>
      <c r="T639" s="571"/>
      <c r="U639" s="571"/>
      <c r="V639" s="571"/>
      <c r="W639" s="571"/>
      <c r="X639" s="571"/>
      <c r="Y639" s="571"/>
      <c r="Z639" s="571"/>
    </row>
    <row r="640" spans="1:26" ht="18.75" hidden="1">
      <c r="A640" s="592"/>
      <c r="B640" s="600"/>
      <c r="C640" s="750"/>
      <c r="D640" s="750"/>
      <c r="E640" s="750" t="s">
        <v>18</v>
      </c>
      <c r="F640" s="750"/>
      <c r="G640" s="596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597"/>
      <c r="R640" s="597"/>
      <c r="S640" s="597"/>
      <c r="T640" s="597"/>
      <c r="U640" s="597"/>
      <c r="V640" s="597"/>
      <c r="W640" s="597"/>
      <c r="X640" s="597"/>
      <c r="Y640" s="597"/>
      <c r="Z640" s="597"/>
    </row>
    <row r="641" spans="1:26" ht="18.75" hidden="1">
      <c r="A641" s="592"/>
      <c r="B641" s="600"/>
      <c r="C641" s="750"/>
      <c r="D641" s="750"/>
      <c r="E641" s="750" t="s">
        <v>19</v>
      </c>
      <c r="F641" s="750"/>
      <c r="G641" s="596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IFERROR(__xludf.DUMMYFUNCTION("IMPORTRANGE(""https://docs.google.com/spreadsheets/d/1QqKyyYR6Q21VydFLVH3TRQUabQu_ym0Zz7PgGX0-kHA/edit?usp=sharing"",""แผน!HQ69"")"),0)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597"/>
      <c r="R641" s="597"/>
      <c r="S641" s="597"/>
      <c r="T641" s="597"/>
      <c r="U641" s="597"/>
      <c r="V641" s="597"/>
      <c r="W641" s="597"/>
      <c r="X641" s="597"/>
      <c r="Y641" s="597"/>
      <c r="Z641" s="597"/>
    </row>
    <row r="642" spans="1:26" ht="19.5">
      <c r="A642" s="601"/>
      <c r="B642" s="611"/>
      <c r="C642" s="754" t="s">
        <v>16</v>
      </c>
      <c r="D642" s="839" t="s">
        <v>38</v>
      </c>
      <c r="E642" s="752"/>
      <c r="F642" s="752"/>
      <c r="G642" s="606"/>
      <c r="H642" s="753"/>
      <c r="I642" s="184"/>
      <c r="J642" s="184"/>
      <c r="K642" s="163"/>
      <c r="L642" s="163"/>
      <c r="M642" s="163"/>
      <c r="N642" s="163"/>
      <c r="O642" s="163"/>
      <c r="P642" s="163"/>
      <c r="Q642" s="571"/>
      <c r="R642" s="571"/>
      <c r="S642" s="571"/>
      <c r="T642" s="571"/>
      <c r="U642" s="571"/>
      <c r="V642" s="571"/>
      <c r="W642" s="571"/>
      <c r="X642" s="571"/>
      <c r="Y642" s="571"/>
      <c r="Z642" s="571"/>
    </row>
    <row r="643" spans="1:26" ht="18.75">
      <c r="A643" s="735"/>
      <c r="B643" s="568"/>
      <c r="C643" s="754"/>
      <c r="D643" s="619"/>
      <c r="E643" s="737" t="s">
        <v>271</v>
      </c>
      <c r="F643" s="619"/>
      <c r="G643" s="753"/>
      <c r="H643" s="755" t="s">
        <v>272</v>
      </c>
      <c r="I643" s="269">
        <f ca="1">IFERROR(__xludf.DUMMYFUNCTION("IMPORTRANGE(""https://docs.google.com/spreadsheets/d/1QqKyyYR6Q21VydFLVH3TRQUabQu_ym0Zz7PgGX0-kHA/edit?usp=sharing"",""แผน!HR69"")"),0)</f>
        <v>0</v>
      </c>
      <c r="J643" s="214">
        <v>0</v>
      </c>
      <c r="K643" s="163">
        <f t="shared" ref="K643:K652" ca="1" si="271">IF(I643&gt;0,J643*100/I643,0)</f>
        <v>0</v>
      </c>
      <c r="L643" s="163"/>
      <c r="M643" s="163"/>
      <c r="N643" s="496"/>
      <c r="O643" s="163"/>
      <c r="P643" s="163"/>
      <c r="Q643" s="571"/>
      <c r="R643" s="571"/>
      <c r="S643" s="571"/>
      <c r="T643" s="571"/>
      <c r="U643" s="571"/>
      <c r="V643" s="571"/>
      <c r="W643" s="571"/>
      <c r="X643" s="571"/>
      <c r="Y643" s="571"/>
      <c r="Z643" s="571"/>
    </row>
    <row r="644" spans="1:26" ht="18.75">
      <c r="A644" s="735"/>
      <c r="B644" s="568"/>
      <c r="C644" s="754"/>
      <c r="D644" s="619"/>
      <c r="E644" s="737" t="s">
        <v>273</v>
      </c>
      <c r="F644" s="619"/>
      <c r="G644" s="753"/>
      <c r="H644" s="755" t="s">
        <v>274</v>
      </c>
      <c r="I644" s="269">
        <f ca="1">IFERROR(__xludf.DUMMYFUNCTION("IMPORTRANGE(""https://docs.google.com/spreadsheets/d/1QqKyyYR6Q21VydFLVH3TRQUabQu_ym0Zz7PgGX0-kHA/edit?usp=sharing"",""แผน!HR69"")"),0)</f>
        <v>0</v>
      </c>
      <c r="J644" s="214">
        <v>0</v>
      </c>
      <c r="K644" s="163">
        <f t="shared" ca="1" si="271"/>
        <v>0</v>
      </c>
      <c r="L644" s="163"/>
      <c r="M644" s="163"/>
      <c r="N644" s="496"/>
      <c r="O644" s="163"/>
      <c r="P644" s="163"/>
      <c r="Q644" s="571"/>
      <c r="R644" s="571"/>
      <c r="S644" s="571"/>
      <c r="T644" s="571"/>
      <c r="U644" s="571"/>
      <c r="V644" s="571"/>
      <c r="W644" s="571"/>
      <c r="X644" s="571"/>
      <c r="Y644" s="571"/>
      <c r="Z644" s="571"/>
    </row>
    <row r="645" spans="1:26" ht="18.75">
      <c r="A645" s="735"/>
      <c r="B645" s="568"/>
      <c r="C645" s="754"/>
      <c r="D645" s="619"/>
      <c r="E645" s="737" t="s">
        <v>275</v>
      </c>
      <c r="F645" s="619"/>
      <c r="G645" s="753"/>
      <c r="H645" s="755" t="s">
        <v>34</v>
      </c>
      <c r="I645" s="269">
        <v>0</v>
      </c>
      <c r="J645" s="269">
        <f ca="1">IFERROR(__xludf.DUMMYFUNCTION("IMPORTRANGE(""https://docs.google.com/spreadsheets/d/1XWAQStnk-4SwqDmLtmXYiTMKHgktTP8We1SCoS47DrQ/edit?usp=sharing"",""จัดที่ดิน!AS69"")"),54)</f>
        <v>54</v>
      </c>
      <c r="K645" s="163">
        <f t="shared" si="271"/>
        <v>0</v>
      </c>
      <c r="L645" s="163"/>
      <c r="M645" s="163"/>
      <c r="N645" s="496"/>
      <c r="O645" s="163"/>
      <c r="P645" s="163"/>
      <c r="Q645" s="571"/>
      <c r="R645" s="571"/>
      <c r="S645" s="571"/>
      <c r="T645" s="571"/>
      <c r="U645" s="571"/>
      <c r="V645" s="571"/>
      <c r="W645" s="571"/>
      <c r="X645" s="571"/>
      <c r="Y645" s="571"/>
      <c r="Z645" s="571"/>
    </row>
    <row r="646" spans="1:26" ht="18.75">
      <c r="A646" s="735"/>
      <c r="B646" s="568"/>
      <c r="C646" s="754"/>
      <c r="D646" s="619"/>
      <c r="E646" s="619"/>
      <c r="F646" s="619"/>
      <c r="G646" s="753"/>
      <c r="H646" s="755" t="s">
        <v>46</v>
      </c>
      <c r="I646" s="269">
        <v>0</v>
      </c>
      <c r="J646" s="269">
        <f ca="1">IFERROR(__xludf.DUMMYFUNCTION("IMPORTRANGE(""https://docs.google.com/spreadsheets/d/1XWAQStnk-4SwqDmLtmXYiTMKHgktTP8We1SCoS47DrQ/edit?usp=sharing"",""จัดที่ดิน!AT69"")"),59.97)</f>
        <v>59.97</v>
      </c>
      <c r="K646" s="496">
        <f t="shared" si="271"/>
        <v>0</v>
      </c>
      <c r="L646" s="163"/>
      <c r="M646" s="163"/>
      <c r="N646" s="496"/>
      <c r="O646" s="163"/>
      <c r="P646" s="163"/>
      <c r="Q646" s="571"/>
      <c r="R646" s="571"/>
      <c r="S646" s="571"/>
      <c r="T646" s="571"/>
      <c r="U646" s="571"/>
      <c r="V646" s="571"/>
      <c r="W646" s="571"/>
      <c r="X646" s="571"/>
      <c r="Y646" s="571"/>
      <c r="Z646" s="571"/>
    </row>
    <row r="647" spans="1:26" ht="18.75">
      <c r="A647" s="735"/>
      <c r="B647" s="568"/>
      <c r="C647" s="754"/>
      <c r="D647" s="619"/>
      <c r="E647" s="737" t="s">
        <v>162</v>
      </c>
      <c r="F647" s="619"/>
      <c r="G647" s="753"/>
      <c r="H647" s="755" t="s">
        <v>35</v>
      </c>
      <c r="I647" s="269">
        <f ca="1">IFERROR(__xludf.DUMMYFUNCTION("IMPORTRANGE(""https://docs.google.com/spreadsheets/d/1QqKyyYR6Q21VydFLVH3TRQUabQu_ym0Zz7PgGX0-kHA/edit?usp=sharing"",""แผน!HS69"")"),100)</f>
        <v>100</v>
      </c>
      <c r="J647" s="269">
        <f ca="1">IFERROR(__xludf.DUMMYFUNCTION("IMPORTRANGE(""https://docs.google.com/spreadsheets/d/1XWAQStnk-4SwqDmLtmXYiTMKHgktTP8We1SCoS47DrQ/edit?usp=sharing"",""จัดที่ดิน!AU69"")"),53)</f>
        <v>53</v>
      </c>
      <c r="K647" s="163">
        <f t="shared" ca="1" si="271"/>
        <v>53</v>
      </c>
      <c r="L647" s="163"/>
      <c r="M647" s="163"/>
      <c r="N647" s="163"/>
      <c r="O647" s="163"/>
      <c r="P647" s="163"/>
      <c r="Q647" s="571"/>
      <c r="R647" s="571"/>
      <c r="S647" s="571"/>
      <c r="T647" s="571"/>
      <c r="U647" s="571"/>
      <c r="V647" s="571"/>
      <c r="W647" s="571"/>
      <c r="X647" s="571"/>
      <c r="Y647" s="571"/>
      <c r="Z647" s="571"/>
    </row>
    <row r="648" spans="1:26" ht="18.75">
      <c r="A648" s="735"/>
      <c r="B648" s="568"/>
      <c r="C648" s="754"/>
      <c r="D648" s="619"/>
      <c r="E648" s="619"/>
      <c r="F648" s="619"/>
      <c r="G648" s="753"/>
      <c r="H648" s="755" t="s">
        <v>46</v>
      </c>
      <c r="I648" s="269">
        <v>0</v>
      </c>
      <c r="J648" s="269">
        <f ca="1">IFERROR(__xludf.DUMMYFUNCTION("IMPORTRANGE(""https://docs.google.com/spreadsheets/d/1XWAQStnk-4SwqDmLtmXYiTMKHgktTP8We1SCoS47DrQ/edit?usp=sharing"",""จัดที่ดิน!AV69"")"),60.17)</f>
        <v>60.17</v>
      </c>
      <c r="K648" s="496">
        <f t="shared" si="271"/>
        <v>0</v>
      </c>
      <c r="L648" s="163"/>
      <c r="M648" s="163"/>
      <c r="N648" s="163"/>
      <c r="O648" s="163"/>
      <c r="P648" s="163"/>
      <c r="Q648" s="571"/>
      <c r="R648" s="571"/>
      <c r="S648" s="571"/>
      <c r="T648" s="571"/>
      <c r="U648" s="571"/>
      <c r="V648" s="571"/>
      <c r="W648" s="571"/>
      <c r="X648" s="571"/>
      <c r="Y648" s="571"/>
      <c r="Z648" s="571"/>
    </row>
    <row r="649" spans="1:26" ht="18.75">
      <c r="A649" s="735"/>
      <c r="B649" s="568"/>
      <c r="C649" s="754"/>
      <c r="D649" s="619"/>
      <c r="E649" s="737" t="s">
        <v>276</v>
      </c>
      <c r="F649" s="619"/>
      <c r="G649" s="753"/>
      <c r="H649" s="755" t="s">
        <v>35</v>
      </c>
      <c r="I649" s="269">
        <f ca="1">IFERROR(__xludf.DUMMYFUNCTION("IMPORTRANGE(""https://docs.google.com/spreadsheets/d/1QqKyyYR6Q21VydFLVH3TRQUabQu_ym0Zz7PgGX0-kHA/edit?usp=sharing"",""แผน!HS69"")"),100)</f>
        <v>100</v>
      </c>
      <c r="J649" s="269">
        <f ca="1">IFERROR(__xludf.DUMMYFUNCTION("IMPORTRANGE(""https://docs.google.com/spreadsheets/d/1XWAQStnk-4SwqDmLtmXYiTMKHgktTP8We1SCoS47DrQ/edit?usp=sharing"",""จัดที่ดิน!AW69"")"),0)</f>
        <v>0</v>
      </c>
      <c r="K649" s="163">
        <f t="shared" ca="1" si="271"/>
        <v>0</v>
      </c>
      <c r="L649" s="163"/>
      <c r="M649" s="163"/>
      <c r="N649" s="163"/>
      <c r="O649" s="163"/>
      <c r="P649" s="163"/>
      <c r="Q649" s="571"/>
      <c r="R649" s="571"/>
      <c r="S649" s="571"/>
      <c r="T649" s="571"/>
      <c r="U649" s="571"/>
      <c r="V649" s="571"/>
      <c r="W649" s="571"/>
      <c r="X649" s="571"/>
      <c r="Y649" s="571"/>
      <c r="Z649" s="571"/>
    </row>
    <row r="650" spans="1:26" ht="18.75">
      <c r="A650" s="735"/>
      <c r="B650" s="568"/>
      <c r="C650" s="754"/>
      <c r="D650" s="619"/>
      <c r="E650" s="619"/>
      <c r="F650" s="619"/>
      <c r="G650" s="753"/>
      <c r="H650" s="755" t="s">
        <v>46</v>
      </c>
      <c r="I650" s="269">
        <v>0</v>
      </c>
      <c r="J650" s="269">
        <f ca="1">IFERROR(__xludf.DUMMYFUNCTION("IMPORTRANGE(""https://docs.google.com/spreadsheets/d/1XWAQStnk-4SwqDmLtmXYiTMKHgktTP8We1SCoS47DrQ/edit?usp=sharing"",""จัดที่ดิน!AX69"")"),0)</f>
        <v>0</v>
      </c>
      <c r="K650" s="496">
        <f t="shared" si="271"/>
        <v>0</v>
      </c>
      <c r="L650" s="163"/>
      <c r="M650" s="163"/>
      <c r="N650" s="163"/>
      <c r="O650" s="163"/>
      <c r="P650" s="163"/>
      <c r="Q650" s="571"/>
      <c r="R650" s="571"/>
      <c r="S650" s="571"/>
      <c r="T650" s="571"/>
      <c r="U650" s="571"/>
      <c r="V650" s="571"/>
      <c r="W650" s="571"/>
      <c r="X650" s="571"/>
      <c r="Y650" s="571"/>
      <c r="Z650" s="571"/>
    </row>
    <row r="651" spans="1:26" ht="18.75">
      <c r="A651" s="735"/>
      <c r="B651" s="568"/>
      <c r="C651" s="754"/>
      <c r="D651" s="619"/>
      <c r="E651" s="737" t="s">
        <v>277</v>
      </c>
      <c r="F651" s="619"/>
      <c r="G651" s="753"/>
      <c r="H651" s="755" t="s">
        <v>35</v>
      </c>
      <c r="I651" s="269">
        <f ca="1">IFERROR(__xludf.DUMMYFUNCTION("IMPORTRANGE(""https://docs.google.com/spreadsheets/d/1QqKyyYR6Q21VydFLVH3TRQUabQu_ym0Zz7PgGX0-kHA/edit?usp=sharing"",""แผน!HS69"")"),100)</f>
        <v>100</v>
      </c>
      <c r="J651" s="269">
        <f ca="1">IFERROR(__xludf.DUMMYFUNCTION("IMPORTRANGE(""https://docs.google.com/spreadsheets/d/1XWAQStnk-4SwqDmLtmXYiTMKHgktTP8We1SCoS47DrQ/edit?usp=sharing"",""จัดที่ดิน!AY69"")"),0)</f>
        <v>0</v>
      </c>
      <c r="K651" s="163">
        <f t="shared" ca="1" si="271"/>
        <v>0</v>
      </c>
      <c r="L651" s="163"/>
      <c r="M651" s="163"/>
      <c r="N651" s="163"/>
      <c r="O651" s="163"/>
      <c r="P651" s="163"/>
      <c r="Q651" s="571"/>
      <c r="R651" s="571"/>
      <c r="S651" s="571"/>
      <c r="T651" s="571"/>
      <c r="U651" s="571"/>
      <c r="V651" s="571"/>
      <c r="W651" s="571"/>
      <c r="X651" s="571"/>
      <c r="Y651" s="571"/>
      <c r="Z651" s="571"/>
    </row>
    <row r="652" spans="1:26" ht="18.75">
      <c r="A652" s="738"/>
      <c r="B652" s="739"/>
      <c r="C652" s="740"/>
      <c r="D652" s="725"/>
      <c r="E652" s="725"/>
      <c r="F652" s="725"/>
      <c r="G652" s="726"/>
      <c r="H652" s="498" t="s">
        <v>46</v>
      </c>
      <c r="I652" s="499">
        <v>0</v>
      </c>
      <c r="J652" s="499">
        <f ca="1">IFERROR(__xludf.DUMMYFUNCTION("IMPORTRANGE(""https://docs.google.com/spreadsheets/d/1XWAQStnk-4SwqDmLtmXYiTMKHgktTP8We1SCoS47DrQ/edit?usp=sharing"",""จัดที่ดิน!AZ69"")"),0)</f>
        <v>0</v>
      </c>
      <c r="K652" s="500">
        <f t="shared" si="271"/>
        <v>0</v>
      </c>
      <c r="L652" s="384"/>
      <c r="M652" s="384"/>
      <c r="N652" s="384"/>
      <c r="O652" s="384"/>
      <c r="P652" s="384"/>
      <c r="Q652" s="571"/>
      <c r="R652" s="571"/>
      <c r="S652" s="571"/>
      <c r="T652" s="571"/>
      <c r="U652" s="571"/>
      <c r="V652" s="571"/>
      <c r="W652" s="571"/>
      <c r="X652" s="571"/>
      <c r="Y652" s="571"/>
      <c r="Z652" s="571"/>
    </row>
    <row r="653" spans="1:26" ht="19.5">
      <c r="A653" s="741">
        <v>8</v>
      </c>
      <c r="B653" s="728" t="s">
        <v>278</v>
      </c>
      <c r="C653" s="729"/>
      <c r="D653" s="729"/>
      <c r="E653" s="729"/>
      <c r="F653" s="729"/>
      <c r="G653" s="730"/>
      <c r="H653" s="730"/>
      <c r="I653" s="742"/>
      <c r="J653" s="742"/>
      <c r="K653" s="734"/>
      <c r="L653" s="734"/>
      <c r="M653" s="734"/>
      <c r="N653" s="734"/>
      <c r="O653" s="734"/>
      <c r="P653" s="734"/>
      <c r="Q653" s="571"/>
      <c r="R653" s="571"/>
      <c r="S653" s="571"/>
      <c r="T653" s="571"/>
      <c r="U653" s="571"/>
      <c r="V653" s="571"/>
      <c r="W653" s="571"/>
      <c r="X653" s="571"/>
      <c r="Y653" s="571"/>
      <c r="Z653" s="571"/>
    </row>
    <row r="654" spans="1:26" ht="19.5">
      <c r="A654" s="666"/>
      <c r="B654" s="665" t="s">
        <v>279</v>
      </c>
      <c r="C654" s="666"/>
      <c r="D654" s="666"/>
      <c r="E654" s="666"/>
      <c r="F654" s="666"/>
      <c r="G654" s="667"/>
      <c r="H654" s="698" t="s">
        <v>46</v>
      </c>
      <c r="I654" s="699">
        <f t="shared" ref="I654:J654" ca="1" si="272">I669</f>
        <v>100</v>
      </c>
      <c r="J654" s="699">
        <f t="shared" si="272"/>
        <v>0</v>
      </c>
      <c r="K654" s="670">
        <f ca="1">IF(I654&gt;0,J654*100/I654,0)</f>
        <v>0</v>
      </c>
      <c r="L654" s="671"/>
      <c r="M654" s="671"/>
      <c r="N654" s="671"/>
      <c r="O654" s="671"/>
      <c r="P654" s="671"/>
      <c r="Q654" s="571"/>
      <c r="R654" s="571"/>
      <c r="S654" s="571"/>
      <c r="T654" s="571"/>
      <c r="U654" s="571"/>
      <c r="V654" s="571"/>
      <c r="W654" s="571"/>
      <c r="X654" s="571"/>
      <c r="Y654" s="571"/>
      <c r="Z654" s="571"/>
    </row>
    <row r="655" spans="1:26" ht="19.5">
      <c r="A655" s="590"/>
      <c r="B655" s="754"/>
      <c r="C655" s="754" t="s">
        <v>16</v>
      </c>
      <c r="D655" s="863" t="s">
        <v>17</v>
      </c>
      <c r="E655" s="857"/>
      <c r="F655" s="857"/>
      <c r="G655" s="189"/>
      <c r="H655" s="591" t="s">
        <v>12</v>
      </c>
      <c r="I655" s="269"/>
      <c r="J655" s="269"/>
      <c r="K655" s="496"/>
      <c r="L655" s="195">
        <f t="shared" ref="L655:N655" ca="1" si="273">L656+L657</f>
        <v>12400</v>
      </c>
      <c r="M655" s="195">
        <f t="shared" si="273"/>
        <v>0</v>
      </c>
      <c r="N655" s="195">
        <f t="shared" si="273"/>
        <v>3000</v>
      </c>
      <c r="O655" s="195">
        <f t="shared" ref="O655:O660" ca="1" si="274">IF(L655&gt;0,N655*100/L655,0)</f>
        <v>24.193548387096776</v>
      </c>
      <c r="P655" s="195">
        <f t="shared" ref="P655:P660" si="275">IF(M655&gt;0,N655*100/M655,0)</f>
        <v>0</v>
      </c>
      <c r="Q655" s="571"/>
      <c r="R655" s="571"/>
      <c r="S655" s="571"/>
      <c r="T655" s="571"/>
      <c r="U655" s="571"/>
      <c r="V655" s="571"/>
      <c r="W655" s="571"/>
      <c r="X655" s="571"/>
      <c r="Y655" s="571"/>
      <c r="Z655" s="571"/>
    </row>
    <row r="656" spans="1:26" ht="18.75" hidden="1">
      <c r="A656" s="592"/>
      <c r="B656" s="750"/>
      <c r="C656" s="750"/>
      <c r="D656" s="711"/>
      <c r="E656" s="750" t="s">
        <v>184</v>
      </c>
      <c r="F656" s="750"/>
      <c r="G656" s="596"/>
      <c r="H656" s="165" t="s">
        <v>12</v>
      </c>
      <c r="I656" s="610"/>
      <c r="J656" s="610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597"/>
      <c r="R656" s="597"/>
      <c r="S656" s="597"/>
      <c r="T656" s="597"/>
      <c r="U656" s="597"/>
      <c r="V656" s="597"/>
      <c r="W656" s="597"/>
      <c r="X656" s="597"/>
      <c r="Y656" s="597"/>
      <c r="Z656" s="597"/>
    </row>
    <row r="657" spans="1:26" ht="18.75" hidden="1">
      <c r="A657" s="592"/>
      <c r="B657" s="600"/>
      <c r="C657" s="750"/>
      <c r="D657" s="711"/>
      <c r="E657" s="750" t="s">
        <v>185</v>
      </c>
      <c r="F657" s="750"/>
      <c r="G657" s="596"/>
      <c r="H657" s="165" t="s">
        <v>12</v>
      </c>
      <c r="I657" s="610"/>
      <c r="J657" s="610"/>
      <c r="K657" s="93"/>
      <c r="L657" s="93">
        <f t="shared" ca="1" si="276"/>
        <v>12400</v>
      </c>
      <c r="M657" s="93">
        <f t="shared" si="276"/>
        <v>0</v>
      </c>
      <c r="N657" s="93">
        <f t="shared" si="276"/>
        <v>3000</v>
      </c>
      <c r="O657" s="93">
        <f t="shared" ca="1" si="274"/>
        <v>24.193548387096776</v>
      </c>
      <c r="P657" s="93">
        <f t="shared" si="275"/>
        <v>0</v>
      </c>
      <c r="Q657" s="597"/>
      <c r="R657" s="597"/>
      <c r="S657" s="597"/>
      <c r="T657" s="597"/>
      <c r="U657" s="597"/>
      <c r="V657" s="597"/>
      <c r="W657" s="597"/>
      <c r="X657" s="597"/>
      <c r="Y657" s="597"/>
      <c r="Z657" s="597"/>
    </row>
    <row r="658" spans="1:26" ht="18.75">
      <c r="A658" s="590"/>
      <c r="B658" s="568"/>
      <c r="C658" s="754"/>
      <c r="D658" s="599" t="s">
        <v>20</v>
      </c>
      <c r="E658" s="754"/>
      <c r="F658" s="754"/>
      <c r="G658" s="189"/>
      <c r="H658" s="161" t="s">
        <v>12</v>
      </c>
      <c r="I658" s="184"/>
      <c r="J658" s="184"/>
      <c r="K658" s="163"/>
      <c r="L658" s="496">
        <f t="shared" ref="L658:N658" ca="1" si="277">L659+L660</f>
        <v>12400</v>
      </c>
      <c r="M658" s="496">
        <f t="shared" si="277"/>
        <v>0</v>
      </c>
      <c r="N658" s="496">
        <f t="shared" si="277"/>
        <v>3000</v>
      </c>
      <c r="O658" s="496">
        <f t="shared" ca="1" si="274"/>
        <v>24.193548387096776</v>
      </c>
      <c r="P658" s="496">
        <f t="shared" si="275"/>
        <v>0</v>
      </c>
      <c r="Q658" s="571"/>
      <c r="R658" s="571"/>
      <c r="S658" s="571"/>
      <c r="T658" s="571"/>
      <c r="U658" s="571"/>
      <c r="V658" s="571"/>
      <c r="W658" s="571"/>
      <c r="X658" s="571"/>
      <c r="Y658" s="571"/>
      <c r="Z658" s="571"/>
    </row>
    <row r="659" spans="1:26" ht="18.75" hidden="1">
      <c r="A659" s="592"/>
      <c r="B659" s="600"/>
      <c r="C659" s="750"/>
      <c r="D659" s="711"/>
      <c r="E659" s="750" t="s">
        <v>184</v>
      </c>
      <c r="F659" s="750"/>
      <c r="G659" s="596"/>
      <c r="H659" s="165" t="s">
        <v>12</v>
      </c>
      <c r="I659" s="610"/>
      <c r="J659" s="610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597"/>
      <c r="R659" s="597"/>
      <c r="S659" s="597"/>
      <c r="T659" s="597"/>
      <c r="U659" s="597"/>
      <c r="V659" s="597"/>
      <c r="W659" s="597"/>
      <c r="X659" s="597"/>
      <c r="Y659" s="597"/>
      <c r="Z659" s="597"/>
    </row>
    <row r="660" spans="1:26" ht="18.75" hidden="1">
      <c r="A660" s="592"/>
      <c r="B660" s="600"/>
      <c r="C660" s="750"/>
      <c r="D660" s="711"/>
      <c r="E660" s="750" t="s">
        <v>185</v>
      </c>
      <c r="F660" s="750"/>
      <c r="G660" s="596"/>
      <c r="H660" s="165" t="s">
        <v>12</v>
      </c>
      <c r="I660" s="610"/>
      <c r="J660" s="610"/>
      <c r="K660" s="93"/>
      <c r="L660" s="93">
        <f ca="1">IFERROR(__xludf.DUMMYFUNCTION("IMPORTRANGE(""https://docs.google.com/spreadsheets/d/1QqKyyYR6Q21VydFLVH3TRQUabQu_ym0Zz7PgGX0-kHA/edit?usp=sharing"",""แผน!HV69"")"),12400)</f>
        <v>12400</v>
      </c>
      <c r="M660" s="93">
        <v>0</v>
      </c>
      <c r="N660" s="93">
        <f>N661+N662+N663+N664</f>
        <v>3000</v>
      </c>
      <c r="O660" s="93">
        <f t="shared" ca="1" si="274"/>
        <v>24.193548387096776</v>
      </c>
      <c r="P660" s="93">
        <f t="shared" si="275"/>
        <v>0</v>
      </c>
      <c r="Q660" s="597"/>
      <c r="R660" s="597"/>
      <c r="S660" s="597"/>
      <c r="T660" s="597"/>
      <c r="U660" s="597"/>
      <c r="V660" s="597"/>
      <c r="W660" s="597"/>
      <c r="X660" s="597"/>
      <c r="Y660" s="597"/>
      <c r="Z660" s="597"/>
    </row>
    <row r="661" spans="1:26" ht="18.75">
      <c r="A661" s="567"/>
      <c r="B661" s="568"/>
      <c r="C661" s="754"/>
      <c r="D661" s="754"/>
      <c r="E661" s="754"/>
      <c r="F661" s="754" t="s">
        <v>186</v>
      </c>
      <c r="G661" s="189"/>
      <c r="H661" s="161" t="s">
        <v>12</v>
      </c>
      <c r="I661" s="269"/>
      <c r="J661" s="269"/>
      <c r="K661" s="496"/>
      <c r="L661" s="496"/>
      <c r="M661" s="496"/>
      <c r="N661" s="817">
        <v>0</v>
      </c>
      <c r="O661" s="496"/>
      <c r="P661" s="496"/>
      <c r="Q661" s="571"/>
      <c r="R661" s="571"/>
      <c r="S661" s="571"/>
      <c r="T661" s="571"/>
      <c r="U661" s="571"/>
      <c r="V661" s="571"/>
      <c r="W661" s="571"/>
      <c r="X661" s="571"/>
      <c r="Y661" s="571"/>
      <c r="Z661" s="571"/>
    </row>
    <row r="662" spans="1:26" ht="18.75">
      <c r="A662" s="567"/>
      <c r="B662" s="568"/>
      <c r="C662" s="754"/>
      <c r="D662" s="754"/>
      <c r="E662" s="754"/>
      <c r="F662" s="754" t="s">
        <v>187</v>
      </c>
      <c r="G662" s="189"/>
      <c r="H662" s="161" t="s">
        <v>12</v>
      </c>
      <c r="I662" s="269"/>
      <c r="J662" s="269"/>
      <c r="K662" s="496"/>
      <c r="L662" s="496"/>
      <c r="M662" s="496"/>
      <c r="N662" s="817">
        <v>0</v>
      </c>
      <c r="O662" s="496"/>
      <c r="P662" s="496"/>
      <c r="Q662" s="571"/>
      <c r="R662" s="571"/>
      <c r="S662" s="571"/>
      <c r="T662" s="571"/>
      <c r="U662" s="571"/>
      <c r="V662" s="571"/>
      <c r="W662" s="571"/>
      <c r="X662" s="571"/>
      <c r="Y662" s="571"/>
      <c r="Z662" s="571"/>
    </row>
    <row r="663" spans="1:26" ht="18.75">
      <c r="A663" s="567"/>
      <c r="B663" s="568"/>
      <c r="C663" s="568"/>
      <c r="D663" s="754"/>
      <c r="E663" s="754"/>
      <c r="F663" s="754" t="s">
        <v>188</v>
      </c>
      <c r="G663" s="189"/>
      <c r="H663" s="161" t="s">
        <v>12</v>
      </c>
      <c r="I663" s="269"/>
      <c r="J663" s="269"/>
      <c r="K663" s="496"/>
      <c r="L663" s="496"/>
      <c r="M663" s="496"/>
      <c r="N663" s="817">
        <v>0</v>
      </c>
      <c r="O663" s="496"/>
      <c r="P663" s="496"/>
      <c r="Q663" s="571"/>
      <c r="R663" s="571"/>
      <c r="S663" s="571"/>
      <c r="T663" s="571"/>
      <c r="U663" s="571"/>
      <c r="V663" s="571"/>
      <c r="W663" s="571"/>
      <c r="X663" s="571"/>
      <c r="Y663" s="571"/>
      <c r="Z663" s="571"/>
    </row>
    <row r="664" spans="1:26" ht="18.75">
      <c r="A664" s="567"/>
      <c r="B664" s="568"/>
      <c r="C664" s="568"/>
      <c r="D664" s="568"/>
      <c r="E664" s="754"/>
      <c r="F664" s="754" t="s">
        <v>189</v>
      </c>
      <c r="G664" s="189"/>
      <c r="H664" s="161" t="s">
        <v>12</v>
      </c>
      <c r="I664" s="269"/>
      <c r="J664" s="269"/>
      <c r="K664" s="496"/>
      <c r="L664" s="496"/>
      <c r="M664" s="496"/>
      <c r="N664" s="817">
        <v>3000</v>
      </c>
      <c r="O664" s="496"/>
      <c r="P664" s="496"/>
      <c r="Q664" s="571"/>
      <c r="R664" s="571"/>
      <c r="S664" s="571"/>
      <c r="T664" s="571"/>
      <c r="U664" s="571"/>
      <c r="V664" s="571"/>
      <c r="W664" s="571"/>
      <c r="X664" s="571"/>
      <c r="Y664" s="571"/>
      <c r="Z664" s="571"/>
    </row>
    <row r="665" spans="1:26" ht="18.75">
      <c r="A665" s="590"/>
      <c r="B665" s="568"/>
      <c r="C665" s="568"/>
      <c r="D665" s="599" t="s">
        <v>21</v>
      </c>
      <c r="E665" s="754"/>
      <c r="F665" s="754"/>
      <c r="G665" s="189"/>
      <c r="H665" s="168" t="s">
        <v>12</v>
      </c>
      <c r="I665" s="184"/>
      <c r="J665" s="184"/>
      <c r="K665" s="163"/>
      <c r="L665" s="496">
        <f t="shared" ref="L665:N665" si="278">L666+L667</f>
        <v>0</v>
      </c>
      <c r="M665" s="496">
        <f t="shared" si="278"/>
        <v>0</v>
      </c>
      <c r="N665" s="496">
        <f t="shared" si="278"/>
        <v>0</v>
      </c>
      <c r="O665" s="496">
        <f t="shared" ref="O665:O667" si="279">IF(L665&gt;0,N665*100/L665,0)</f>
        <v>0</v>
      </c>
      <c r="P665" s="496">
        <f t="shared" ref="P665:P667" si="280">IF(M665&gt;0,N665*100/M665,0)</f>
        <v>0</v>
      </c>
      <c r="Q665" s="571"/>
      <c r="R665" s="571"/>
      <c r="S665" s="571"/>
      <c r="T665" s="571"/>
      <c r="U665" s="571"/>
      <c r="V665" s="571"/>
      <c r="W665" s="571"/>
      <c r="X665" s="571"/>
      <c r="Y665" s="571"/>
      <c r="Z665" s="571"/>
    </row>
    <row r="666" spans="1:26" ht="18.75" hidden="1">
      <c r="A666" s="592"/>
      <c r="B666" s="600"/>
      <c r="C666" s="600"/>
      <c r="D666" s="600"/>
      <c r="E666" s="750" t="s">
        <v>18</v>
      </c>
      <c r="F666" s="750"/>
      <c r="G666" s="596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597"/>
      <c r="R666" s="597"/>
      <c r="S666" s="597"/>
      <c r="T666" s="597"/>
      <c r="U666" s="597"/>
      <c r="V666" s="597"/>
      <c r="W666" s="597"/>
      <c r="X666" s="597"/>
      <c r="Y666" s="597"/>
      <c r="Z666" s="597"/>
    </row>
    <row r="667" spans="1:26" ht="18.75" hidden="1">
      <c r="A667" s="592"/>
      <c r="B667" s="600"/>
      <c r="C667" s="600"/>
      <c r="D667" s="600"/>
      <c r="E667" s="750" t="s">
        <v>19</v>
      </c>
      <c r="F667" s="750"/>
      <c r="G667" s="596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597"/>
      <c r="R667" s="597"/>
      <c r="S667" s="597"/>
      <c r="T667" s="597"/>
      <c r="U667" s="597"/>
      <c r="V667" s="597"/>
      <c r="W667" s="597"/>
      <c r="X667" s="597"/>
      <c r="Y667" s="597"/>
      <c r="Z667" s="597"/>
    </row>
    <row r="668" spans="1:26" ht="19.5">
      <c r="A668" s="601"/>
      <c r="B668" s="611"/>
      <c r="C668" s="568" t="s">
        <v>16</v>
      </c>
      <c r="D668" s="836" t="s">
        <v>38</v>
      </c>
      <c r="E668" s="752"/>
      <c r="F668" s="752"/>
      <c r="G668" s="606"/>
      <c r="H668" s="753"/>
      <c r="I668" s="184"/>
      <c r="J668" s="184"/>
      <c r="K668" s="163"/>
      <c r="L668" s="163"/>
      <c r="M668" s="163"/>
      <c r="N668" s="163"/>
      <c r="O668" s="163"/>
      <c r="P668" s="163"/>
      <c r="Q668" s="571"/>
      <c r="R668" s="571"/>
      <c r="S668" s="571"/>
      <c r="T668" s="571"/>
      <c r="U668" s="571"/>
      <c r="V668" s="571"/>
      <c r="W668" s="571"/>
      <c r="X668" s="571"/>
      <c r="Y668" s="571"/>
      <c r="Z668" s="571"/>
    </row>
    <row r="669" spans="1:26" ht="19.5">
      <c r="A669" s="601"/>
      <c r="B669" s="611"/>
      <c r="C669" s="611"/>
      <c r="D669" s="611" t="s">
        <v>280</v>
      </c>
      <c r="E669" s="619"/>
      <c r="F669" s="619"/>
      <c r="G669" s="753"/>
      <c r="H669" s="758" t="s">
        <v>46</v>
      </c>
      <c r="I669" s="674">
        <f ca="1">IFERROR(__xludf.DUMMYFUNCTION("IMPORTRANGE(""https://docs.google.com/spreadsheets/d/1QqKyyYR6Q21VydFLVH3TRQUabQu_ym0Zz7PgGX0-kHA/edit?usp=sharing"",""แผน!IA69"")"),100)</f>
        <v>100</v>
      </c>
      <c r="J669" s="674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1"/>
      <c r="R669" s="571"/>
      <c r="S669" s="571"/>
      <c r="T669" s="571"/>
      <c r="U669" s="571"/>
      <c r="V669" s="571"/>
      <c r="W669" s="571"/>
      <c r="X669" s="571"/>
      <c r="Y669" s="571"/>
      <c r="Z669" s="571"/>
    </row>
    <row r="670" spans="1:26" ht="18.75">
      <c r="A670" s="601"/>
      <c r="B670" s="611"/>
      <c r="C670" s="611"/>
      <c r="D670" s="611"/>
      <c r="E670" s="619" t="s">
        <v>281</v>
      </c>
      <c r="F670" s="619"/>
      <c r="G670" s="753"/>
      <c r="H670" s="755" t="s">
        <v>69</v>
      </c>
      <c r="I670" s="269">
        <f ca="1">IFERROR(__xludf.DUMMYFUNCTION("IMPORTRANGE(""https://docs.google.com/spreadsheets/d/1QqKyyYR6Q21VydFLVH3TRQUabQu_ym0Zz7PgGX0-kHA/edit?usp=sharing"",""แผน!HZ69"")"),4)</f>
        <v>4</v>
      </c>
      <c r="J670" s="214">
        <v>4</v>
      </c>
      <c r="K670" s="496">
        <f ca="1">IF(I670&gt;0,(J670*100)/I670,0)</f>
        <v>100</v>
      </c>
      <c r="L670" s="163"/>
      <c r="M670" s="163"/>
      <c r="N670" s="163"/>
      <c r="O670" s="163"/>
      <c r="P670" s="163"/>
      <c r="Q670" s="571"/>
      <c r="R670" s="571"/>
      <c r="S670" s="571"/>
      <c r="T670" s="571"/>
      <c r="U670" s="571"/>
      <c r="V670" s="571"/>
      <c r="W670" s="571"/>
      <c r="X670" s="571"/>
      <c r="Y670" s="571"/>
      <c r="Z670" s="571"/>
    </row>
    <row r="671" spans="1:26" ht="18.75">
      <c r="A671" s="601"/>
      <c r="B671" s="611"/>
      <c r="C671" s="611"/>
      <c r="D671" s="611"/>
      <c r="E671" s="619" t="s">
        <v>282</v>
      </c>
      <c r="F671" s="619"/>
      <c r="G671" s="753"/>
      <c r="H671" s="755" t="s">
        <v>69</v>
      </c>
      <c r="I671" s="269">
        <f ca="1">IFERROR(__xludf.DUMMYFUNCTION("IMPORTRANGE(""https://docs.google.com/spreadsheets/d/1QqKyyYR6Q21VydFLVH3TRQUabQu_ym0Zz7PgGX0-kHA/edit?usp=sharing"",""แผน!HZ69"")"),4)</f>
        <v>4</v>
      </c>
      <c r="J671" s="214">
        <v>4</v>
      </c>
      <c r="K671" s="496">
        <f ca="1">IF(I$671&gt;0,J671*100/I$671,0)</f>
        <v>100</v>
      </c>
      <c r="L671" s="163"/>
      <c r="M671" s="163"/>
      <c r="N671" s="163"/>
      <c r="O671" s="163"/>
      <c r="P671" s="163"/>
      <c r="Q671" s="571"/>
      <c r="R671" s="571"/>
      <c r="S671" s="571"/>
      <c r="T671" s="571"/>
      <c r="U671" s="571"/>
      <c r="V671" s="571"/>
      <c r="W671" s="571"/>
      <c r="X671" s="571"/>
      <c r="Y671" s="571"/>
      <c r="Z671" s="571"/>
    </row>
    <row r="672" spans="1:26" ht="18.75">
      <c r="A672" s="601"/>
      <c r="B672" s="611"/>
      <c r="C672" s="611"/>
      <c r="D672" s="611"/>
      <c r="E672" s="619" t="s">
        <v>283</v>
      </c>
      <c r="F672" s="619"/>
      <c r="G672" s="753"/>
      <c r="H672" s="755" t="s">
        <v>46</v>
      </c>
      <c r="I672" s="269"/>
      <c r="J672" s="214">
        <v>0</v>
      </c>
      <c r="K672" s="496">
        <f t="shared" ref="K672:K675" ca="1" si="281">IF(I$669&gt;0,J672*100/I$669,0)</f>
        <v>0</v>
      </c>
      <c r="L672" s="163"/>
      <c r="M672" s="163"/>
      <c r="N672" s="163"/>
      <c r="O672" s="163"/>
      <c r="P672" s="163"/>
      <c r="Q672" s="571"/>
      <c r="R672" s="571"/>
      <c r="S672" s="571"/>
      <c r="T672" s="571"/>
      <c r="U672" s="571"/>
      <c r="V672" s="571"/>
      <c r="W672" s="571"/>
      <c r="X672" s="571"/>
      <c r="Y672" s="571"/>
      <c r="Z672" s="571"/>
    </row>
    <row r="673" spans="1:26" ht="18.75">
      <c r="A673" s="601"/>
      <c r="B673" s="611"/>
      <c r="C673" s="611"/>
      <c r="D673" s="611"/>
      <c r="E673" s="619" t="s">
        <v>284</v>
      </c>
      <c r="F673" s="619"/>
      <c r="G673" s="753"/>
      <c r="H673" s="755" t="s">
        <v>46</v>
      </c>
      <c r="I673" s="269"/>
      <c r="J673" s="214">
        <v>0</v>
      </c>
      <c r="K673" s="496">
        <f t="shared" ca="1" si="281"/>
        <v>0</v>
      </c>
      <c r="L673" s="163"/>
      <c r="M673" s="163"/>
      <c r="N673" s="163"/>
      <c r="O673" s="163"/>
      <c r="P673" s="163"/>
      <c r="Q673" s="571"/>
      <c r="R673" s="571"/>
      <c r="S673" s="571"/>
      <c r="T673" s="571"/>
      <c r="U673" s="571"/>
      <c r="V673" s="571"/>
      <c r="W673" s="571"/>
      <c r="X673" s="571"/>
      <c r="Y673" s="571"/>
      <c r="Z673" s="571"/>
    </row>
    <row r="674" spans="1:26" ht="18.75">
      <c r="A674" s="601"/>
      <c r="B674" s="611"/>
      <c r="C674" s="611"/>
      <c r="D674" s="611"/>
      <c r="E674" s="619" t="s">
        <v>285</v>
      </c>
      <c r="F674" s="619"/>
      <c r="G674" s="753"/>
      <c r="H674" s="755" t="s">
        <v>46</v>
      </c>
      <c r="I674" s="269"/>
      <c r="J674" s="214">
        <v>0</v>
      </c>
      <c r="K674" s="496">
        <f t="shared" ca="1" si="281"/>
        <v>0</v>
      </c>
      <c r="L674" s="163"/>
      <c r="M674" s="163"/>
      <c r="N674" s="163"/>
      <c r="O674" s="163"/>
      <c r="P674" s="163"/>
      <c r="Q674" s="571"/>
      <c r="R674" s="571"/>
      <c r="S674" s="571"/>
      <c r="T674" s="571"/>
      <c r="U674" s="571"/>
      <c r="V674" s="571"/>
      <c r="W674" s="571"/>
      <c r="X674" s="571"/>
      <c r="Y674" s="571"/>
      <c r="Z674" s="571"/>
    </row>
    <row r="675" spans="1:26" ht="19.5">
      <c r="A675" s="601"/>
      <c r="B675" s="611"/>
      <c r="C675" s="611"/>
      <c r="D675" s="611"/>
      <c r="E675" s="619" t="s">
        <v>286</v>
      </c>
      <c r="F675" s="619"/>
      <c r="G675" s="753"/>
      <c r="H675" s="755" t="s">
        <v>46</v>
      </c>
      <c r="I675" s="269"/>
      <c r="J675" s="674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71"/>
      <c r="R675" s="571"/>
      <c r="S675" s="571"/>
      <c r="T675" s="571"/>
      <c r="U675" s="571"/>
      <c r="V675" s="571"/>
      <c r="W675" s="571"/>
      <c r="X675" s="571"/>
      <c r="Y675" s="571"/>
      <c r="Z675" s="571"/>
    </row>
    <row r="676" spans="1:26" ht="18.75">
      <c r="A676" s="601"/>
      <c r="B676" s="611"/>
      <c r="C676" s="611"/>
      <c r="D676" s="611"/>
      <c r="E676" s="619"/>
      <c r="F676" s="619" t="s">
        <v>287</v>
      </c>
      <c r="G676" s="753"/>
      <c r="H676" s="755" t="s">
        <v>46</v>
      </c>
      <c r="I676" s="269"/>
      <c r="J676" s="214">
        <v>0</v>
      </c>
      <c r="K676" s="496"/>
      <c r="L676" s="163"/>
      <c r="M676" s="163"/>
      <c r="N676" s="163"/>
      <c r="O676" s="163"/>
      <c r="P676" s="163"/>
      <c r="Q676" s="571"/>
      <c r="R676" s="571"/>
      <c r="S676" s="571"/>
      <c r="T676" s="571"/>
      <c r="U676" s="571"/>
      <c r="V676" s="571"/>
      <c r="W676" s="571"/>
      <c r="X676" s="571"/>
      <c r="Y676" s="571"/>
      <c r="Z676" s="571"/>
    </row>
    <row r="677" spans="1:26" ht="18.75">
      <c r="A677" s="601"/>
      <c r="B677" s="611"/>
      <c r="C677" s="611"/>
      <c r="D677" s="611"/>
      <c r="E677" s="619"/>
      <c r="F677" s="619" t="s">
        <v>288</v>
      </c>
      <c r="G677" s="753"/>
      <c r="H677" s="755" t="s">
        <v>46</v>
      </c>
      <c r="I677" s="269"/>
      <c r="J677" s="214">
        <v>0</v>
      </c>
      <c r="K677" s="496"/>
      <c r="L677" s="163"/>
      <c r="M677" s="163"/>
      <c r="N677" s="163"/>
      <c r="O677" s="163"/>
      <c r="P677" s="163"/>
      <c r="Q677" s="571"/>
      <c r="R677" s="571"/>
      <c r="S677" s="571"/>
      <c r="T677" s="571"/>
      <c r="U677" s="571"/>
      <c r="V677" s="571"/>
      <c r="W677" s="571"/>
      <c r="X677" s="571"/>
      <c r="Y677" s="571"/>
      <c r="Z677" s="571"/>
    </row>
    <row r="678" spans="1:26" ht="19.5">
      <c r="A678" s="601"/>
      <c r="B678" s="611"/>
      <c r="C678" s="611"/>
      <c r="D678" s="611" t="s">
        <v>289</v>
      </c>
      <c r="E678" s="619"/>
      <c r="F678" s="619"/>
      <c r="G678" s="753"/>
      <c r="H678" s="755" t="s">
        <v>46</v>
      </c>
      <c r="I678" s="674">
        <f ca="1">IFERROR(__xludf.DUMMYFUNCTION("IMPORTRANGE(""https://docs.google.com/spreadsheets/d/1QqKyyYR6Q21VydFLVH3TRQUabQu_ym0Zz7PgGX0-kHA/edit?usp=sharing"",""แผน!IB69"")"),0)</f>
        <v>0</v>
      </c>
      <c r="J678" s="674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1"/>
      <c r="R678" s="571"/>
      <c r="S678" s="571"/>
      <c r="T678" s="571"/>
      <c r="U678" s="571"/>
      <c r="V678" s="571"/>
      <c r="W678" s="571"/>
      <c r="X678" s="571"/>
      <c r="Y678" s="571"/>
      <c r="Z678" s="571"/>
    </row>
    <row r="679" spans="1:26" ht="18.75">
      <c r="A679" s="601"/>
      <c r="B679" s="611"/>
      <c r="C679" s="611"/>
      <c r="D679" s="611"/>
      <c r="E679" s="619" t="s">
        <v>290</v>
      </c>
      <c r="F679" s="619"/>
      <c r="G679" s="753"/>
      <c r="H679" s="755" t="s">
        <v>46</v>
      </c>
      <c r="I679" s="269"/>
      <c r="J679" s="269">
        <f>J680+J681</f>
        <v>0</v>
      </c>
      <c r="K679" s="496"/>
      <c r="L679" s="163"/>
      <c r="M679" s="163"/>
      <c r="N679" s="163"/>
      <c r="O679" s="163"/>
      <c r="P679" s="163"/>
      <c r="Q679" s="571"/>
      <c r="R679" s="571"/>
      <c r="S679" s="571"/>
      <c r="T679" s="571"/>
      <c r="U679" s="571"/>
      <c r="V679" s="571"/>
      <c r="W679" s="571"/>
      <c r="X679" s="571"/>
      <c r="Y679" s="571"/>
      <c r="Z679" s="571"/>
    </row>
    <row r="680" spans="1:26" ht="18.75">
      <c r="A680" s="601"/>
      <c r="B680" s="611"/>
      <c r="C680" s="611"/>
      <c r="D680" s="611"/>
      <c r="E680" s="619"/>
      <c r="F680" s="619" t="s">
        <v>287</v>
      </c>
      <c r="G680" s="753"/>
      <c r="H680" s="755" t="s">
        <v>46</v>
      </c>
      <c r="I680" s="269"/>
      <c r="J680" s="214">
        <v>0</v>
      </c>
      <c r="K680" s="496"/>
      <c r="L680" s="163"/>
      <c r="M680" s="163"/>
      <c r="N680" s="163"/>
      <c r="O680" s="163"/>
      <c r="P680" s="163"/>
      <c r="Q680" s="571"/>
      <c r="R680" s="571"/>
      <c r="S680" s="571"/>
      <c r="T680" s="571"/>
      <c r="U680" s="571"/>
      <c r="V680" s="571"/>
      <c r="W680" s="571"/>
      <c r="X680" s="571"/>
      <c r="Y680" s="571"/>
      <c r="Z680" s="571"/>
    </row>
    <row r="681" spans="1:26" ht="18.75">
      <c r="A681" s="601"/>
      <c r="B681" s="611"/>
      <c r="C681" s="611"/>
      <c r="D681" s="611"/>
      <c r="E681" s="619"/>
      <c r="F681" s="619" t="s">
        <v>288</v>
      </c>
      <c r="G681" s="753"/>
      <c r="H681" s="755" t="s">
        <v>46</v>
      </c>
      <c r="I681" s="269"/>
      <c r="J681" s="214">
        <v>0</v>
      </c>
      <c r="K681" s="496"/>
      <c r="L681" s="163"/>
      <c r="M681" s="163"/>
      <c r="N681" s="163"/>
      <c r="O681" s="163"/>
      <c r="P681" s="163"/>
      <c r="Q681" s="571"/>
      <c r="R681" s="571"/>
      <c r="S681" s="571"/>
      <c r="T681" s="571"/>
      <c r="U681" s="571"/>
      <c r="V681" s="571"/>
      <c r="W681" s="571"/>
      <c r="X681" s="571"/>
      <c r="Y681" s="571"/>
      <c r="Z681" s="571"/>
    </row>
    <row r="682" spans="1:26" ht="18.75">
      <c r="A682" s="601"/>
      <c r="B682" s="611"/>
      <c r="C682" s="611"/>
      <c r="D682" s="611"/>
      <c r="E682" s="619" t="s">
        <v>291</v>
      </c>
      <c r="F682" s="619"/>
      <c r="G682" s="753"/>
      <c r="H682" s="755" t="s">
        <v>46</v>
      </c>
      <c r="I682" s="269"/>
      <c r="J682" s="214">
        <v>0</v>
      </c>
      <c r="K682" s="496"/>
      <c r="L682" s="163"/>
      <c r="M682" s="163"/>
      <c r="N682" s="163"/>
      <c r="O682" s="163"/>
      <c r="P682" s="163"/>
      <c r="Q682" s="571"/>
      <c r="R682" s="571"/>
      <c r="S682" s="571"/>
      <c r="T682" s="571"/>
      <c r="U682" s="571"/>
      <c r="V682" s="571"/>
      <c r="W682" s="571"/>
      <c r="X682" s="571"/>
      <c r="Y682" s="571"/>
      <c r="Z682" s="571"/>
    </row>
    <row r="683" spans="1:26" ht="18.75">
      <c r="A683" s="601"/>
      <c r="B683" s="611"/>
      <c r="C683" s="611"/>
      <c r="D683" s="611"/>
      <c r="E683" s="619"/>
      <c r="F683" s="619" t="s">
        <v>292</v>
      </c>
      <c r="G683" s="753"/>
      <c r="H683" s="755" t="s">
        <v>46</v>
      </c>
      <c r="I683" s="269"/>
      <c r="J683" s="214">
        <v>0</v>
      </c>
      <c r="K683" s="496"/>
      <c r="L683" s="163"/>
      <c r="M683" s="163"/>
      <c r="N683" s="163"/>
      <c r="O683" s="163"/>
      <c r="P683" s="163"/>
      <c r="Q683" s="571"/>
      <c r="R683" s="571"/>
      <c r="S683" s="571"/>
      <c r="T683" s="571"/>
      <c r="U683" s="571"/>
      <c r="V683" s="571"/>
      <c r="W683" s="571"/>
      <c r="X683" s="571"/>
      <c r="Y683" s="571"/>
      <c r="Z683" s="571"/>
    </row>
    <row r="684" spans="1:26" ht="19.5" hidden="1">
      <c r="A684" s="744"/>
      <c r="B684" s="745" t="s">
        <v>293</v>
      </c>
      <c r="C684" s="744"/>
      <c r="D684" s="744"/>
      <c r="E684" s="744"/>
      <c r="F684" s="744"/>
      <c r="G684" s="746"/>
      <c r="H684" s="746"/>
      <c r="I684" s="747"/>
      <c r="J684" s="747"/>
      <c r="K684" s="748"/>
      <c r="L684" s="748"/>
      <c r="M684" s="748"/>
      <c r="N684" s="748"/>
      <c r="O684" s="748"/>
      <c r="P684" s="748"/>
      <c r="Q684" s="571"/>
      <c r="R684" s="571"/>
      <c r="S684" s="571"/>
      <c r="T684" s="571"/>
      <c r="U684" s="571"/>
      <c r="V684" s="571"/>
      <c r="W684" s="571"/>
      <c r="X684" s="571"/>
      <c r="Y684" s="571"/>
      <c r="Z684" s="571"/>
    </row>
    <row r="685" spans="1:26" ht="19.5" hidden="1">
      <c r="A685" s="590"/>
      <c r="B685" s="754"/>
      <c r="C685" s="754" t="s">
        <v>16</v>
      </c>
      <c r="D685" s="863" t="s">
        <v>17</v>
      </c>
      <c r="E685" s="857"/>
      <c r="F685" s="857"/>
      <c r="G685" s="189"/>
      <c r="H685" s="591" t="s">
        <v>12</v>
      </c>
      <c r="I685" s="269"/>
      <c r="J685" s="269"/>
      <c r="K685" s="496"/>
      <c r="L685" s="195">
        <f t="shared" ref="L685:N685" ca="1" si="282">L686+L687</f>
        <v>0</v>
      </c>
      <c r="M685" s="195">
        <f t="shared" si="282"/>
        <v>0</v>
      </c>
      <c r="N685" s="195">
        <f t="shared" si="282"/>
        <v>0</v>
      </c>
      <c r="O685" s="195">
        <f t="shared" ref="O685:O688" ca="1" si="283">IF(L685&gt;0,N685*100/L685,0)</f>
        <v>0</v>
      </c>
      <c r="P685" s="195">
        <f t="shared" ref="P685:P688" si="284">IF(M685&gt;0,N685*100/M685,0)</f>
        <v>0</v>
      </c>
      <c r="Q685" s="571"/>
      <c r="R685" s="571"/>
      <c r="S685" s="571"/>
      <c r="T685" s="571"/>
      <c r="U685" s="571"/>
      <c r="V685" s="571"/>
      <c r="W685" s="571"/>
      <c r="X685" s="571"/>
      <c r="Y685" s="571"/>
      <c r="Z685" s="571"/>
    </row>
    <row r="686" spans="1:26" ht="18.75" hidden="1">
      <c r="A686" s="592"/>
      <c r="B686" s="750"/>
      <c r="C686" s="750"/>
      <c r="D686" s="711"/>
      <c r="E686" s="750" t="s">
        <v>184</v>
      </c>
      <c r="F686" s="750"/>
      <c r="G686" s="596"/>
      <c r="H686" s="165" t="s">
        <v>12</v>
      </c>
      <c r="I686" s="610"/>
      <c r="J686" s="610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597"/>
      <c r="R686" s="597"/>
      <c r="S686" s="597"/>
      <c r="T686" s="597"/>
      <c r="U686" s="597"/>
      <c r="V686" s="597"/>
      <c r="W686" s="597"/>
      <c r="X686" s="597"/>
      <c r="Y686" s="597"/>
      <c r="Z686" s="597"/>
    </row>
    <row r="687" spans="1:26" ht="18.75" hidden="1">
      <c r="A687" s="592"/>
      <c r="B687" s="600"/>
      <c r="C687" s="750"/>
      <c r="D687" s="711"/>
      <c r="E687" s="750" t="s">
        <v>185</v>
      </c>
      <c r="F687" s="750"/>
      <c r="G687" s="596"/>
      <c r="H687" s="165" t="s">
        <v>12</v>
      </c>
      <c r="I687" s="610"/>
      <c r="J687" s="610"/>
      <c r="K687" s="93"/>
      <c r="L687" s="93">
        <f t="shared" ca="1" si="285"/>
        <v>0</v>
      </c>
      <c r="M687" s="93">
        <f t="shared" si="285"/>
        <v>0</v>
      </c>
      <c r="N687" s="93">
        <f t="shared" si="285"/>
        <v>0</v>
      </c>
      <c r="O687" s="93">
        <f t="shared" ca="1" si="283"/>
        <v>0</v>
      </c>
      <c r="P687" s="93">
        <f t="shared" si="284"/>
        <v>0</v>
      </c>
      <c r="Q687" s="597"/>
      <c r="R687" s="597"/>
      <c r="S687" s="597"/>
      <c r="T687" s="597"/>
      <c r="U687" s="597"/>
      <c r="V687" s="597"/>
      <c r="W687" s="597"/>
      <c r="X687" s="597"/>
      <c r="Y687" s="597"/>
      <c r="Z687" s="597"/>
    </row>
    <row r="688" spans="1:26" ht="18.75" hidden="1">
      <c r="A688" s="590"/>
      <c r="B688" s="568"/>
      <c r="C688" s="754"/>
      <c r="D688" s="599" t="s">
        <v>20</v>
      </c>
      <c r="E688" s="754"/>
      <c r="F688" s="754"/>
      <c r="G688" s="189"/>
      <c r="H688" s="161" t="s">
        <v>12</v>
      </c>
      <c r="I688" s="184"/>
      <c r="J688" s="184"/>
      <c r="K688" s="163"/>
      <c r="L688" s="496">
        <f t="shared" ref="L688:N688" ca="1" si="286">L689+L690</f>
        <v>0</v>
      </c>
      <c r="M688" s="496">
        <f t="shared" si="286"/>
        <v>0</v>
      </c>
      <c r="N688" s="496">
        <f t="shared" si="286"/>
        <v>0</v>
      </c>
      <c r="O688" s="496">
        <f t="shared" ca="1" si="283"/>
        <v>0</v>
      </c>
      <c r="P688" s="496">
        <f t="shared" si="284"/>
        <v>0</v>
      </c>
      <c r="Q688" s="571"/>
      <c r="R688" s="571"/>
      <c r="S688" s="571"/>
      <c r="T688" s="571"/>
      <c r="U688" s="571"/>
      <c r="V688" s="571"/>
      <c r="W688" s="571"/>
      <c r="X688" s="571"/>
      <c r="Y688" s="571"/>
      <c r="Z688" s="571"/>
    </row>
    <row r="689" spans="1:26" ht="18.75" hidden="1">
      <c r="A689" s="592"/>
      <c r="B689" s="600"/>
      <c r="C689" s="750"/>
      <c r="D689" s="711"/>
      <c r="E689" s="750" t="s">
        <v>184</v>
      </c>
      <c r="F689" s="750"/>
      <c r="G689" s="596"/>
      <c r="H689" s="165" t="s">
        <v>12</v>
      </c>
      <c r="I689" s="610"/>
      <c r="J689" s="610"/>
      <c r="K689" s="93"/>
      <c r="L689" s="93">
        <v>0</v>
      </c>
      <c r="M689" s="93">
        <v>0</v>
      </c>
      <c r="N689" s="93">
        <v>0</v>
      </c>
      <c r="O689" s="93"/>
      <c r="P689" s="93"/>
      <c r="Q689" s="597"/>
      <c r="R689" s="597"/>
      <c r="S689" s="597"/>
      <c r="T689" s="597"/>
      <c r="U689" s="597"/>
      <c r="V689" s="597"/>
      <c r="W689" s="597"/>
      <c r="X689" s="597"/>
      <c r="Y689" s="597"/>
      <c r="Z689" s="597"/>
    </row>
    <row r="690" spans="1:26" ht="18.75" hidden="1">
      <c r="A690" s="592"/>
      <c r="B690" s="600"/>
      <c r="C690" s="750"/>
      <c r="D690" s="711"/>
      <c r="E690" s="750" t="s">
        <v>185</v>
      </c>
      <c r="F690" s="750"/>
      <c r="G690" s="596"/>
      <c r="H690" s="165" t="s">
        <v>12</v>
      </c>
      <c r="I690" s="610"/>
      <c r="J690" s="610"/>
      <c r="K690" s="93"/>
      <c r="L690" s="93">
        <f ca="1">IFERROR(__xludf.DUMMYFUNCTION("IMPORTRANGE(""https://docs.google.com/spreadsheets/d/1QqKyyYR6Q21VydFLVH3TRQUabQu_ym0Zz7PgGX0-kHA/edit?usp=sharing"",""แผน!HW69"")"),0)</f>
        <v>0</v>
      </c>
      <c r="M690" s="93">
        <v>0</v>
      </c>
      <c r="N690" s="93">
        <f>N691+N692+N693+N694</f>
        <v>0</v>
      </c>
      <c r="O690" s="93">
        <f ca="1">IF(L690&gt;0,N690*100/L690,0)</f>
        <v>0</v>
      </c>
      <c r="P690" s="93">
        <f>IF(M690&gt;0,N690*100/M690,0)</f>
        <v>0</v>
      </c>
      <c r="Q690" s="597"/>
      <c r="R690" s="597"/>
      <c r="S690" s="597"/>
      <c r="T690" s="597"/>
      <c r="U690" s="597"/>
      <c r="V690" s="597"/>
      <c r="W690" s="597"/>
      <c r="X690" s="597"/>
      <c r="Y690" s="597"/>
      <c r="Z690" s="597"/>
    </row>
    <row r="691" spans="1:26" ht="18.75" hidden="1">
      <c r="A691" s="567"/>
      <c r="B691" s="568"/>
      <c r="C691" s="754"/>
      <c r="D691" s="754"/>
      <c r="E691" s="754"/>
      <c r="F691" s="754" t="s">
        <v>186</v>
      </c>
      <c r="G691" s="189"/>
      <c r="H691" s="161" t="s">
        <v>12</v>
      </c>
      <c r="I691" s="269"/>
      <c r="J691" s="269"/>
      <c r="K691" s="496"/>
      <c r="L691" s="496"/>
      <c r="M691" s="496"/>
      <c r="N691" s="817">
        <v>0</v>
      </c>
      <c r="O691" s="496"/>
      <c r="P691" s="496"/>
      <c r="Q691" s="571"/>
      <c r="R691" s="571"/>
      <c r="S691" s="571"/>
      <c r="T691" s="571"/>
      <c r="U691" s="571"/>
      <c r="V691" s="571"/>
      <c r="W691" s="571"/>
      <c r="X691" s="571"/>
      <c r="Y691" s="571"/>
      <c r="Z691" s="571"/>
    </row>
    <row r="692" spans="1:26" ht="18.75" hidden="1">
      <c r="A692" s="567"/>
      <c r="B692" s="568"/>
      <c r="C692" s="754"/>
      <c r="D692" s="754"/>
      <c r="E692" s="754"/>
      <c r="F692" s="754" t="s">
        <v>187</v>
      </c>
      <c r="G692" s="189"/>
      <c r="H692" s="161" t="s">
        <v>12</v>
      </c>
      <c r="I692" s="269"/>
      <c r="J692" s="269"/>
      <c r="K692" s="496"/>
      <c r="L692" s="496"/>
      <c r="M692" s="496"/>
      <c r="N692" s="817">
        <v>0</v>
      </c>
      <c r="O692" s="496"/>
      <c r="P692" s="496"/>
      <c r="Q692" s="571"/>
      <c r="R692" s="571"/>
      <c r="S692" s="571"/>
      <c r="T692" s="571"/>
      <c r="U692" s="571"/>
      <c r="V692" s="571"/>
      <c r="W692" s="571"/>
      <c r="X692" s="571"/>
      <c r="Y692" s="571"/>
      <c r="Z692" s="571"/>
    </row>
    <row r="693" spans="1:26" ht="18.75" hidden="1">
      <c r="A693" s="567"/>
      <c r="B693" s="568"/>
      <c r="C693" s="754"/>
      <c r="D693" s="754"/>
      <c r="E693" s="754"/>
      <c r="F693" s="754" t="s">
        <v>188</v>
      </c>
      <c r="G693" s="189"/>
      <c r="H693" s="161" t="s">
        <v>12</v>
      </c>
      <c r="I693" s="269"/>
      <c r="J693" s="269"/>
      <c r="K693" s="496"/>
      <c r="L693" s="496"/>
      <c r="M693" s="496"/>
      <c r="N693" s="817">
        <v>0</v>
      </c>
      <c r="O693" s="496"/>
      <c r="P693" s="496"/>
      <c r="Q693" s="571"/>
      <c r="R693" s="571"/>
      <c r="S693" s="571"/>
      <c r="T693" s="571"/>
      <c r="U693" s="571"/>
      <c r="V693" s="571"/>
      <c r="W693" s="571"/>
      <c r="X693" s="571"/>
      <c r="Y693" s="571"/>
      <c r="Z693" s="571"/>
    </row>
    <row r="694" spans="1:26" ht="18.75" hidden="1">
      <c r="A694" s="567"/>
      <c r="B694" s="568"/>
      <c r="C694" s="754"/>
      <c r="D694" s="754"/>
      <c r="E694" s="754"/>
      <c r="F694" s="754" t="s">
        <v>189</v>
      </c>
      <c r="G694" s="189"/>
      <c r="H694" s="161" t="s">
        <v>12</v>
      </c>
      <c r="I694" s="269"/>
      <c r="J694" s="269"/>
      <c r="K694" s="496"/>
      <c r="L694" s="496"/>
      <c r="M694" s="496"/>
      <c r="N694" s="817">
        <v>0</v>
      </c>
      <c r="O694" s="496"/>
      <c r="P694" s="496"/>
      <c r="Q694" s="571"/>
      <c r="R694" s="571"/>
      <c r="S694" s="571"/>
      <c r="T694" s="571"/>
      <c r="U694" s="571"/>
      <c r="V694" s="571"/>
      <c r="W694" s="571"/>
      <c r="X694" s="571"/>
      <c r="Y694" s="571"/>
      <c r="Z694" s="571"/>
    </row>
    <row r="695" spans="1:26" ht="18.75" hidden="1">
      <c r="A695" s="590"/>
      <c r="B695" s="568"/>
      <c r="C695" s="754"/>
      <c r="D695" s="599" t="s">
        <v>21</v>
      </c>
      <c r="E695" s="754"/>
      <c r="F695" s="754"/>
      <c r="G695" s="189"/>
      <c r="H695" s="168" t="s">
        <v>12</v>
      </c>
      <c r="I695" s="184"/>
      <c r="J695" s="184"/>
      <c r="K695" s="163"/>
      <c r="L695" s="496">
        <f t="shared" ref="L695:N695" si="287">L696+L697</f>
        <v>0</v>
      </c>
      <c r="M695" s="496">
        <f t="shared" si="287"/>
        <v>0</v>
      </c>
      <c r="N695" s="496">
        <f t="shared" si="287"/>
        <v>0</v>
      </c>
      <c r="O695" s="496">
        <f t="shared" ref="O695:O697" si="288">IF(L695&gt;0,N695*100/L695,0)</f>
        <v>0</v>
      </c>
      <c r="P695" s="496">
        <f t="shared" ref="P695:P697" si="289">IF(M695&gt;0,N695*100/M695,0)</f>
        <v>0</v>
      </c>
      <c r="Q695" s="571"/>
      <c r="R695" s="571"/>
      <c r="S695" s="571"/>
      <c r="T695" s="571"/>
      <c r="U695" s="571"/>
      <c r="V695" s="571"/>
      <c r="W695" s="571"/>
      <c r="X695" s="571"/>
      <c r="Y695" s="571"/>
      <c r="Z695" s="571"/>
    </row>
    <row r="696" spans="1:26" ht="18.75" hidden="1">
      <c r="A696" s="592"/>
      <c r="B696" s="600"/>
      <c r="C696" s="750"/>
      <c r="D696" s="750"/>
      <c r="E696" s="750" t="s">
        <v>18</v>
      </c>
      <c r="F696" s="750"/>
      <c r="G696" s="596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597"/>
      <c r="R696" s="597"/>
      <c r="S696" s="597"/>
      <c r="T696" s="597"/>
      <c r="U696" s="597"/>
      <c r="V696" s="597"/>
      <c r="W696" s="597"/>
      <c r="X696" s="597"/>
      <c r="Y696" s="597"/>
      <c r="Z696" s="597"/>
    </row>
    <row r="697" spans="1:26" ht="18.75" hidden="1">
      <c r="A697" s="592"/>
      <c r="B697" s="600"/>
      <c r="C697" s="750"/>
      <c r="D697" s="750"/>
      <c r="E697" s="750" t="s">
        <v>19</v>
      </c>
      <c r="F697" s="750"/>
      <c r="G697" s="596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597"/>
      <c r="R697" s="597"/>
      <c r="S697" s="597"/>
      <c r="T697" s="597"/>
      <c r="U697" s="597"/>
      <c r="V697" s="597"/>
      <c r="W697" s="597"/>
      <c r="X697" s="597"/>
      <c r="Y697" s="597"/>
      <c r="Z697" s="597"/>
    </row>
    <row r="698" spans="1:26" ht="19.5" hidden="1">
      <c r="A698" s="601"/>
      <c r="B698" s="611"/>
      <c r="C698" s="754" t="s">
        <v>16</v>
      </c>
      <c r="D698" s="840" t="s">
        <v>38</v>
      </c>
      <c r="E698" s="752"/>
      <c r="F698" s="752"/>
      <c r="G698" s="606"/>
      <c r="H698" s="753"/>
      <c r="I698" s="184"/>
      <c r="J698" s="184"/>
      <c r="K698" s="163"/>
      <c r="L698" s="163"/>
      <c r="M698" s="163"/>
      <c r="N698" s="163"/>
      <c r="O698" s="163"/>
      <c r="P698" s="163"/>
      <c r="Q698" s="571"/>
      <c r="R698" s="571"/>
      <c r="S698" s="571"/>
      <c r="T698" s="571"/>
      <c r="U698" s="571"/>
      <c r="V698" s="571"/>
      <c r="W698" s="571"/>
      <c r="X698" s="571"/>
      <c r="Y698" s="571"/>
      <c r="Z698" s="571"/>
    </row>
    <row r="699" spans="1:26" ht="18.75" hidden="1">
      <c r="A699" s="735"/>
      <c r="B699" s="754"/>
      <c r="C699" s="754"/>
      <c r="D699" s="754" t="s">
        <v>294</v>
      </c>
      <c r="E699" s="754"/>
      <c r="F699" s="754"/>
      <c r="G699" s="189"/>
      <c r="H699" s="755" t="s">
        <v>46</v>
      </c>
      <c r="I699" s="756">
        <f ca="1">IFERROR(__xludf.DUMMYFUNCTION("IMPORTRANGE(""https://docs.google.com/spreadsheets/d/1QqKyyYR6Q21VydFLVH3TRQUabQu_ym0Zz7PgGX0-kHA/edit?usp=sharing"",""แผน!IC69"")"),0)</f>
        <v>0</v>
      </c>
      <c r="J699" s="269">
        <f ca="1">IFERROR(__xludf.DUMMYFUNCTION("IMPORTRANGE(""https://docs.google.com/spreadsheets/d/1XWAQStnk-4SwqDmLtmXYiTMKHgktTP8We1SCoS47DrQ/edit?usp=sharing"",""จัดที่ดิน!BB69"")"),0)</f>
        <v>0</v>
      </c>
      <c r="K699" s="496">
        <f t="shared" ref="K699:K701" ca="1" si="290">IF(I699&gt;0,J699*100/I699,0)</f>
        <v>0</v>
      </c>
      <c r="L699" s="496"/>
      <c r="M699" s="189"/>
      <c r="N699" s="757"/>
      <c r="O699" s="496"/>
      <c r="P699" s="496"/>
      <c r="Q699" s="571"/>
      <c r="R699" s="571"/>
      <c r="S699" s="571"/>
      <c r="T699" s="571"/>
      <c r="U699" s="571"/>
      <c r="V699" s="571"/>
      <c r="W699" s="571"/>
      <c r="X699" s="571"/>
      <c r="Y699" s="571"/>
      <c r="Z699" s="571"/>
    </row>
    <row r="700" spans="1:26" ht="18.75" hidden="1">
      <c r="A700" s="735"/>
      <c r="B700" s="754"/>
      <c r="C700" s="754"/>
      <c r="D700" s="754" t="s">
        <v>295</v>
      </c>
      <c r="E700" s="754"/>
      <c r="F700" s="754"/>
      <c r="G700" s="189"/>
      <c r="H700" s="755" t="s">
        <v>35</v>
      </c>
      <c r="I700" s="756">
        <f ca="1">IFERROR(__xludf.DUMMYFUNCTION("IMPORTRANGE(""https://docs.google.com/spreadsheets/d/1QqKyyYR6Q21VydFLVH3TRQUabQu_ym0Zz7PgGX0-kHA/edit?usp=sharing"",""แผน!ID69"")"),0)</f>
        <v>0</v>
      </c>
      <c r="J700" s="269">
        <f ca="1">IFERROR(__xludf.DUMMYFUNCTION("IMPORTRANGE(""https://docs.google.com/spreadsheets/d/1XWAQStnk-4SwqDmLtmXYiTMKHgktTP8We1SCoS47DrQ/edit?usp=sharing"",""จัดที่ดิน!BD69"")"),0)</f>
        <v>0</v>
      </c>
      <c r="K700" s="496">
        <f t="shared" ca="1" si="290"/>
        <v>0</v>
      </c>
      <c r="L700" s="496"/>
      <c r="M700" s="189"/>
      <c r="N700" s="757"/>
      <c r="O700" s="496"/>
      <c r="P700" s="496"/>
      <c r="Q700" s="571"/>
      <c r="R700" s="571"/>
      <c r="S700" s="571"/>
      <c r="T700" s="571"/>
      <c r="U700" s="571"/>
      <c r="V700" s="571"/>
      <c r="W700" s="571"/>
      <c r="X700" s="571"/>
      <c r="Y700" s="571"/>
      <c r="Z700" s="571"/>
    </row>
    <row r="701" spans="1:26" ht="19.5" hidden="1">
      <c r="A701" s="735"/>
      <c r="B701" s="754"/>
      <c r="C701" s="754"/>
      <c r="D701" s="754" t="s">
        <v>296</v>
      </c>
      <c r="E701" s="754"/>
      <c r="F701" s="754"/>
      <c r="G701" s="189"/>
      <c r="H701" s="758" t="s">
        <v>46</v>
      </c>
      <c r="I701" s="759">
        <f ca="1">IFERROR(__xludf.DUMMYFUNCTION("IMPORTRANGE(""https://docs.google.com/spreadsheets/d/1QqKyyYR6Q21VydFLVH3TRQUabQu_ym0Zz7PgGX0-kHA/edit?usp=sharing"",""แผน!IE69"")"),0)</f>
        <v>0</v>
      </c>
      <c r="J701" s="674">
        <f>J704+J707</f>
        <v>0</v>
      </c>
      <c r="K701" s="195">
        <f t="shared" ca="1" si="290"/>
        <v>0</v>
      </c>
      <c r="L701" s="496"/>
      <c r="M701" s="189"/>
      <c r="N701" s="757"/>
      <c r="O701" s="496"/>
      <c r="P701" s="496"/>
      <c r="Q701" s="571"/>
      <c r="R701" s="571"/>
      <c r="S701" s="571"/>
      <c r="T701" s="571"/>
      <c r="U701" s="571"/>
      <c r="V701" s="571"/>
      <c r="W701" s="571"/>
      <c r="X701" s="571"/>
      <c r="Y701" s="571"/>
      <c r="Z701" s="571"/>
    </row>
    <row r="702" spans="1:26" ht="18.75" hidden="1">
      <c r="A702" s="735"/>
      <c r="B702" s="754"/>
      <c r="C702" s="754"/>
      <c r="D702" s="754"/>
      <c r="E702" s="754" t="s">
        <v>297</v>
      </c>
      <c r="F702" s="754"/>
      <c r="G702" s="189"/>
      <c r="H702" s="755" t="s">
        <v>35</v>
      </c>
      <c r="I702" s="756"/>
      <c r="J702" s="214">
        <v>0</v>
      </c>
      <c r="K702" s="496"/>
      <c r="L702" s="496"/>
      <c r="M702" s="189"/>
      <c r="N702" s="757"/>
      <c r="O702" s="496"/>
      <c r="P702" s="496"/>
      <c r="Q702" s="571"/>
      <c r="R702" s="571"/>
      <c r="S702" s="571"/>
      <c r="T702" s="571"/>
      <c r="U702" s="571"/>
      <c r="V702" s="571"/>
      <c r="W702" s="571"/>
      <c r="X702" s="571"/>
      <c r="Y702" s="571"/>
      <c r="Z702" s="571"/>
    </row>
    <row r="703" spans="1:26" ht="18.75" hidden="1">
      <c r="A703" s="735"/>
      <c r="B703" s="754"/>
      <c r="C703" s="754"/>
      <c r="D703" s="754"/>
      <c r="E703" s="754"/>
      <c r="F703" s="754"/>
      <c r="G703" s="189"/>
      <c r="H703" s="755" t="s">
        <v>34</v>
      </c>
      <c r="I703" s="756"/>
      <c r="J703" s="214">
        <v>0</v>
      </c>
      <c r="K703" s="496"/>
      <c r="L703" s="496"/>
      <c r="M703" s="189"/>
      <c r="N703" s="757"/>
      <c r="O703" s="496"/>
      <c r="P703" s="496"/>
      <c r="Q703" s="571"/>
      <c r="R703" s="571"/>
      <c r="S703" s="571"/>
      <c r="T703" s="571"/>
      <c r="U703" s="571"/>
      <c r="V703" s="571"/>
      <c r="W703" s="571"/>
      <c r="X703" s="571"/>
      <c r="Y703" s="571"/>
      <c r="Z703" s="571"/>
    </row>
    <row r="704" spans="1:26" ht="18.75" hidden="1">
      <c r="A704" s="735"/>
      <c r="B704" s="754"/>
      <c r="C704" s="754"/>
      <c r="D704" s="754"/>
      <c r="E704" s="754"/>
      <c r="F704" s="754"/>
      <c r="G704" s="189"/>
      <c r="H704" s="755" t="s">
        <v>46</v>
      </c>
      <c r="I704" s="756">
        <f ca="1">IFERROR(__xludf.DUMMYFUNCTION("IMPORTRANGE(""https://docs.google.com/spreadsheets/d/1QqKyyYR6Q21VydFLVH3TRQUabQu_ym0Zz7PgGX0-kHA/edit?usp=sharing"",""แผน!IF69"")"),0)</f>
        <v>0</v>
      </c>
      <c r="J704" s="214">
        <v>0</v>
      </c>
      <c r="K704" s="496"/>
      <c r="L704" s="496"/>
      <c r="M704" s="189"/>
      <c r="N704" s="757"/>
      <c r="O704" s="496"/>
      <c r="P704" s="496"/>
      <c r="Q704" s="571"/>
      <c r="R704" s="571"/>
      <c r="S704" s="571"/>
      <c r="T704" s="571"/>
      <c r="U704" s="571"/>
      <c r="V704" s="571"/>
      <c r="W704" s="571"/>
      <c r="X704" s="571"/>
      <c r="Y704" s="571"/>
      <c r="Z704" s="571"/>
    </row>
    <row r="705" spans="1:26" ht="18.75" hidden="1">
      <c r="A705" s="735"/>
      <c r="B705" s="754"/>
      <c r="C705" s="754"/>
      <c r="D705" s="754"/>
      <c r="E705" s="754" t="s">
        <v>298</v>
      </c>
      <c r="F705" s="754"/>
      <c r="G705" s="189"/>
      <c r="H705" s="755" t="s">
        <v>35</v>
      </c>
      <c r="I705" s="756"/>
      <c r="J705" s="214">
        <v>0</v>
      </c>
      <c r="K705" s="496"/>
      <c r="L705" s="496"/>
      <c r="M705" s="189"/>
      <c r="N705" s="757"/>
      <c r="O705" s="496"/>
      <c r="P705" s="496"/>
      <c r="Q705" s="571"/>
      <c r="R705" s="571"/>
      <c r="S705" s="571"/>
      <c r="T705" s="571"/>
      <c r="U705" s="571"/>
      <c r="V705" s="571"/>
      <c r="W705" s="571"/>
      <c r="X705" s="571"/>
      <c r="Y705" s="571"/>
      <c r="Z705" s="571"/>
    </row>
    <row r="706" spans="1:26" ht="18.75" hidden="1">
      <c r="A706" s="735"/>
      <c r="B706" s="754"/>
      <c r="C706" s="754"/>
      <c r="D706" s="754"/>
      <c r="E706" s="754"/>
      <c r="F706" s="754"/>
      <c r="G706" s="189"/>
      <c r="H706" s="755" t="s">
        <v>34</v>
      </c>
      <c r="I706" s="756"/>
      <c r="J706" s="214">
        <v>0</v>
      </c>
      <c r="K706" s="496"/>
      <c r="L706" s="496"/>
      <c r="M706" s="189"/>
      <c r="N706" s="757"/>
      <c r="O706" s="496"/>
      <c r="P706" s="496"/>
      <c r="Q706" s="571"/>
      <c r="R706" s="571"/>
      <c r="S706" s="571"/>
      <c r="T706" s="571"/>
      <c r="U706" s="571"/>
      <c r="V706" s="571"/>
      <c r="W706" s="571"/>
      <c r="X706" s="571"/>
      <c r="Y706" s="571"/>
      <c r="Z706" s="571"/>
    </row>
    <row r="707" spans="1:26" ht="18.75" hidden="1">
      <c r="A707" s="735"/>
      <c r="B707" s="754"/>
      <c r="C707" s="754"/>
      <c r="D707" s="754"/>
      <c r="E707" s="754"/>
      <c r="F707" s="754"/>
      <c r="G707" s="189"/>
      <c r="H707" s="755" t="s">
        <v>46</v>
      </c>
      <c r="I707" s="756">
        <f ca="1">IFERROR(__xludf.DUMMYFUNCTION("IMPORTRANGE(""https://docs.google.com/spreadsheets/d/1QqKyyYR6Q21VydFLVH3TRQUabQu_ym0Zz7PgGX0-kHA/edit?usp=sharing"",""แผน!IG69"")"),0)</f>
        <v>0</v>
      </c>
      <c r="J707" s="214">
        <v>0</v>
      </c>
      <c r="K707" s="496"/>
      <c r="L707" s="496"/>
      <c r="M707" s="189"/>
      <c r="N707" s="757"/>
      <c r="O707" s="496"/>
      <c r="P707" s="496"/>
      <c r="Q707" s="571"/>
      <c r="R707" s="571"/>
      <c r="S707" s="571"/>
      <c r="T707" s="571"/>
      <c r="U707" s="571"/>
      <c r="V707" s="571"/>
      <c r="W707" s="571"/>
      <c r="X707" s="571"/>
      <c r="Y707" s="571"/>
      <c r="Z707" s="571"/>
    </row>
    <row r="708" spans="1:26" ht="19.5" hidden="1">
      <c r="A708" s="735"/>
      <c r="B708" s="754"/>
      <c r="C708" s="754"/>
      <c r="D708" s="760" t="s">
        <v>299</v>
      </c>
      <c r="E708" s="754"/>
      <c r="F708" s="754"/>
      <c r="G708" s="189"/>
      <c r="H708" s="758" t="s">
        <v>46</v>
      </c>
      <c r="I708" s="759">
        <f ca="1">IFERROR(__xludf.DUMMYFUNCTION("IMPORTRANGE(""https://docs.google.com/spreadsheets/d/1QqKyyYR6Q21VydFLVH3TRQUabQu_ym0Zz7PgGX0-kHA/edit?usp=sharing"",""แผน!IH69"")"),0)</f>
        <v>0</v>
      </c>
      <c r="J708" s="674">
        <f>J714+J717</f>
        <v>0</v>
      </c>
      <c r="K708" s="195">
        <f ca="1">IF(I708&gt;0,J708*100/I708,0)</f>
        <v>0</v>
      </c>
      <c r="L708" s="496"/>
      <c r="M708" s="189"/>
      <c r="N708" s="757"/>
      <c r="O708" s="496"/>
      <c r="P708" s="496"/>
      <c r="Q708" s="571"/>
      <c r="R708" s="571"/>
      <c r="S708" s="571"/>
      <c r="T708" s="571"/>
      <c r="U708" s="571"/>
      <c r="V708" s="571"/>
      <c r="W708" s="571"/>
      <c r="X708" s="571"/>
      <c r="Y708" s="571"/>
      <c r="Z708" s="571"/>
    </row>
    <row r="709" spans="1:26" ht="18.75" hidden="1">
      <c r="A709" s="735"/>
      <c r="B709" s="754"/>
      <c r="C709" s="754"/>
      <c r="D709" s="754"/>
      <c r="E709" s="754" t="s">
        <v>300</v>
      </c>
      <c r="F709" s="754"/>
      <c r="G709" s="189"/>
      <c r="H709" s="755" t="s">
        <v>34</v>
      </c>
      <c r="I709" s="756"/>
      <c r="J709" s="214">
        <v>0</v>
      </c>
      <c r="K709" s="496"/>
      <c r="L709" s="757"/>
      <c r="M709" s="189"/>
      <c r="N709" s="757"/>
      <c r="O709" s="496"/>
      <c r="P709" s="496"/>
      <c r="Q709" s="571"/>
      <c r="R709" s="571"/>
      <c r="S709" s="571"/>
      <c r="T709" s="571"/>
      <c r="U709" s="571"/>
      <c r="V709" s="571"/>
      <c r="W709" s="571"/>
      <c r="X709" s="571"/>
      <c r="Y709" s="571"/>
      <c r="Z709" s="571"/>
    </row>
    <row r="710" spans="1:26" ht="18.75" hidden="1">
      <c r="A710" s="735"/>
      <c r="B710" s="754"/>
      <c r="C710" s="754"/>
      <c r="D710" s="754"/>
      <c r="E710" s="754"/>
      <c r="F710" s="754"/>
      <c r="G710" s="189"/>
      <c r="H710" s="755" t="s">
        <v>46</v>
      </c>
      <c r="I710" s="756"/>
      <c r="J710" s="214">
        <v>0</v>
      </c>
      <c r="K710" s="496"/>
      <c r="L710" s="757"/>
      <c r="M710" s="189"/>
      <c r="N710" s="757"/>
      <c r="O710" s="496"/>
      <c r="P710" s="496"/>
      <c r="Q710" s="571"/>
      <c r="R710" s="571"/>
      <c r="S710" s="571"/>
      <c r="T710" s="571"/>
      <c r="U710" s="571"/>
      <c r="V710" s="571"/>
      <c r="W710" s="571"/>
      <c r="X710" s="571"/>
      <c r="Y710" s="571"/>
      <c r="Z710" s="571"/>
    </row>
    <row r="711" spans="1:26" ht="18.75" hidden="1">
      <c r="A711" s="735"/>
      <c r="B711" s="754"/>
      <c r="C711" s="754"/>
      <c r="D711" s="754"/>
      <c r="E711" s="754" t="s">
        <v>301</v>
      </c>
      <c r="F711" s="754"/>
      <c r="G711" s="189"/>
      <c r="H711" s="753"/>
      <c r="I711" s="756"/>
      <c r="J711" s="269"/>
      <c r="K711" s="496"/>
      <c r="L711" s="757"/>
      <c r="M711" s="189"/>
      <c r="N711" s="757"/>
      <c r="O711" s="496"/>
      <c r="P711" s="496"/>
      <c r="Q711" s="571"/>
      <c r="R711" s="571"/>
      <c r="S711" s="571"/>
      <c r="T711" s="571"/>
      <c r="U711" s="571"/>
      <c r="V711" s="571"/>
      <c r="W711" s="571"/>
      <c r="X711" s="571"/>
      <c r="Y711" s="571"/>
      <c r="Z711" s="571"/>
    </row>
    <row r="712" spans="1:26" ht="18.75" hidden="1">
      <c r="A712" s="735"/>
      <c r="B712" s="754"/>
      <c r="C712" s="754"/>
      <c r="D712" s="754"/>
      <c r="E712" s="754"/>
      <c r="F712" s="754" t="s">
        <v>302</v>
      </c>
      <c r="G712" s="189"/>
      <c r="H712" s="755" t="s">
        <v>35</v>
      </c>
      <c r="I712" s="756"/>
      <c r="J712" s="214">
        <v>0</v>
      </c>
      <c r="K712" s="496"/>
      <c r="L712" s="757"/>
      <c r="M712" s="189"/>
      <c r="N712" s="757"/>
      <c r="O712" s="496"/>
      <c r="P712" s="496"/>
      <c r="Q712" s="571"/>
      <c r="R712" s="571"/>
      <c r="S712" s="571"/>
      <c r="T712" s="571"/>
      <c r="U712" s="571"/>
      <c r="V712" s="571"/>
      <c r="W712" s="571"/>
      <c r="X712" s="571"/>
      <c r="Y712" s="571"/>
      <c r="Z712" s="571"/>
    </row>
    <row r="713" spans="1:26" ht="18.75" hidden="1">
      <c r="A713" s="735"/>
      <c r="B713" s="754"/>
      <c r="C713" s="754"/>
      <c r="D713" s="754"/>
      <c r="E713" s="754"/>
      <c r="F713" s="754"/>
      <c r="G713" s="189"/>
      <c r="H713" s="755" t="s">
        <v>34</v>
      </c>
      <c r="I713" s="756"/>
      <c r="J713" s="214">
        <v>0</v>
      </c>
      <c r="K713" s="496"/>
      <c r="L713" s="757"/>
      <c r="M713" s="189"/>
      <c r="N713" s="757"/>
      <c r="O713" s="496"/>
      <c r="P713" s="496"/>
      <c r="Q713" s="571"/>
      <c r="R713" s="571"/>
      <c r="S713" s="571"/>
      <c r="T713" s="571"/>
      <c r="U713" s="571"/>
      <c r="V713" s="571"/>
      <c r="W713" s="571"/>
      <c r="X713" s="571"/>
      <c r="Y713" s="571"/>
      <c r="Z713" s="571"/>
    </row>
    <row r="714" spans="1:26" ht="18.75" hidden="1">
      <c r="A714" s="735"/>
      <c r="B714" s="754"/>
      <c r="C714" s="754"/>
      <c r="D714" s="754"/>
      <c r="E714" s="754"/>
      <c r="F714" s="754"/>
      <c r="G714" s="189"/>
      <c r="H714" s="755" t="s">
        <v>46</v>
      </c>
      <c r="I714" s="756"/>
      <c r="J714" s="214">
        <v>0</v>
      </c>
      <c r="K714" s="496"/>
      <c r="L714" s="757"/>
      <c r="M714" s="189"/>
      <c r="N714" s="757"/>
      <c r="O714" s="496"/>
      <c r="P714" s="496"/>
      <c r="Q714" s="571"/>
      <c r="R714" s="571"/>
      <c r="S714" s="571"/>
      <c r="T714" s="571"/>
      <c r="U714" s="571"/>
      <c r="V714" s="571"/>
      <c r="W714" s="571"/>
      <c r="X714" s="571"/>
      <c r="Y714" s="571"/>
      <c r="Z714" s="571"/>
    </row>
    <row r="715" spans="1:26" ht="18.75" hidden="1">
      <c r="A715" s="735"/>
      <c r="B715" s="754"/>
      <c r="C715" s="754"/>
      <c r="D715" s="754"/>
      <c r="E715" s="754"/>
      <c r="F715" s="754" t="s">
        <v>303</v>
      </c>
      <c r="G715" s="189"/>
      <c r="H715" s="755" t="s">
        <v>35</v>
      </c>
      <c r="I715" s="756"/>
      <c r="J715" s="214">
        <v>0</v>
      </c>
      <c r="K715" s="496"/>
      <c r="L715" s="757"/>
      <c r="M715" s="189"/>
      <c r="N715" s="757"/>
      <c r="O715" s="496"/>
      <c r="P715" s="496"/>
      <c r="Q715" s="571"/>
      <c r="R715" s="571"/>
      <c r="S715" s="571"/>
      <c r="T715" s="571"/>
      <c r="U715" s="571"/>
      <c r="V715" s="571"/>
      <c r="W715" s="571"/>
      <c r="X715" s="571"/>
      <c r="Y715" s="571"/>
      <c r="Z715" s="571"/>
    </row>
    <row r="716" spans="1:26" ht="18.75" hidden="1">
      <c r="A716" s="735"/>
      <c r="B716" s="754"/>
      <c r="C716" s="754"/>
      <c r="D716" s="754"/>
      <c r="E716" s="754"/>
      <c r="F716" s="754"/>
      <c r="G716" s="189"/>
      <c r="H716" s="755" t="s">
        <v>34</v>
      </c>
      <c r="I716" s="756"/>
      <c r="J716" s="214">
        <v>0</v>
      </c>
      <c r="K716" s="496"/>
      <c r="L716" s="757"/>
      <c r="M716" s="189"/>
      <c r="N716" s="757"/>
      <c r="O716" s="496"/>
      <c r="P716" s="496"/>
      <c r="Q716" s="571"/>
      <c r="R716" s="571"/>
      <c r="S716" s="571"/>
      <c r="T716" s="571"/>
      <c r="U716" s="571"/>
      <c r="V716" s="571"/>
      <c r="W716" s="571"/>
      <c r="X716" s="571"/>
      <c r="Y716" s="571"/>
      <c r="Z716" s="571"/>
    </row>
    <row r="717" spans="1:26" ht="18.75" hidden="1">
      <c r="A717" s="735"/>
      <c r="B717" s="754"/>
      <c r="C717" s="754"/>
      <c r="D717" s="754"/>
      <c r="E717" s="754"/>
      <c r="F717" s="754"/>
      <c r="G717" s="189"/>
      <c r="H717" s="755" t="s">
        <v>46</v>
      </c>
      <c r="I717" s="756"/>
      <c r="J717" s="214">
        <v>0</v>
      </c>
      <c r="K717" s="496"/>
      <c r="L717" s="757"/>
      <c r="M717" s="189"/>
      <c r="N717" s="757"/>
      <c r="O717" s="496"/>
      <c r="P717" s="496"/>
      <c r="Q717" s="571"/>
      <c r="R717" s="571"/>
      <c r="S717" s="571"/>
      <c r="T717" s="571"/>
      <c r="U717" s="571"/>
      <c r="V717" s="571"/>
      <c r="W717" s="571"/>
      <c r="X717" s="571"/>
      <c r="Y717" s="571"/>
      <c r="Z717" s="571"/>
    </row>
    <row r="718" spans="1:26" ht="18.75" hidden="1">
      <c r="A718" s="735"/>
      <c r="B718" s="754"/>
      <c r="C718" s="754"/>
      <c r="D718" s="754" t="s">
        <v>304</v>
      </c>
      <c r="E718" s="754"/>
      <c r="F718" s="754"/>
      <c r="G718" s="189"/>
      <c r="H718" s="755" t="s">
        <v>35</v>
      </c>
      <c r="I718" s="756"/>
      <c r="J718" s="269">
        <f ca="1">IFERROR(__xludf.DUMMYFUNCTION("IMPORTRANGE(""https://docs.google.com/spreadsheets/d/1XWAQStnk-4SwqDmLtmXYiTMKHgktTP8We1SCoS47DrQ/edit?usp=sharing"",""จัดที่ดิน!BF69"")"),0)</f>
        <v>0</v>
      </c>
      <c r="K718" s="496"/>
      <c r="L718" s="496"/>
      <c r="M718" s="189"/>
      <c r="N718" s="757"/>
      <c r="O718" s="496"/>
      <c r="P718" s="496"/>
      <c r="Q718" s="571"/>
      <c r="R718" s="571"/>
      <c r="S718" s="571"/>
      <c r="T718" s="571"/>
      <c r="U718" s="571"/>
      <c r="V718" s="571"/>
      <c r="W718" s="571"/>
      <c r="X718" s="571"/>
      <c r="Y718" s="571"/>
      <c r="Z718" s="571"/>
    </row>
    <row r="719" spans="1:26" ht="18.75" hidden="1">
      <c r="A719" s="735"/>
      <c r="B719" s="754"/>
      <c r="C719" s="754"/>
      <c r="D719" s="754"/>
      <c r="E719" s="754"/>
      <c r="F719" s="754"/>
      <c r="G719" s="189"/>
      <c r="H719" s="755" t="s">
        <v>34</v>
      </c>
      <c r="I719" s="756"/>
      <c r="J719" s="269">
        <f ca="1">IFERROR(__xludf.DUMMYFUNCTION("IMPORTRANGE(""https://docs.google.com/spreadsheets/d/1XWAQStnk-4SwqDmLtmXYiTMKHgktTP8We1SCoS47DrQ/edit?usp=sharing"",""จัดที่ดิน!BG69"")"),0)</f>
        <v>0</v>
      </c>
      <c r="K719" s="496"/>
      <c r="L719" s="757"/>
      <c r="M719" s="189"/>
      <c r="N719" s="757"/>
      <c r="O719" s="496"/>
      <c r="P719" s="496"/>
      <c r="Q719" s="571"/>
      <c r="R719" s="571"/>
      <c r="S719" s="571"/>
      <c r="T719" s="571"/>
      <c r="U719" s="571"/>
      <c r="V719" s="571"/>
      <c r="W719" s="571"/>
      <c r="X719" s="571"/>
      <c r="Y719" s="571"/>
      <c r="Z719" s="571"/>
    </row>
    <row r="720" spans="1:26" ht="18.75" hidden="1">
      <c r="A720" s="735"/>
      <c r="B720" s="754"/>
      <c r="C720" s="754"/>
      <c r="D720" s="754"/>
      <c r="E720" s="754"/>
      <c r="F720" s="754"/>
      <c r="G720" s="189"/>
      <c r="H720" s="755" t="s">
        <v>46</v>
      </c>
      <c r="I720" s="756">
        <f ca="1">IFERROR(__xludf.DUMMYFUNCTION("IMPORTRANGE(""https://docs.google.com/spreadsheets/d/1QqKyyYR6Q21VydFLVH3TRQUabQu_ym0Zz7PgGX0-kHA/edit?usp=sharing"",""แผน!II69"")"),0)</f>
        <v>0</v>
      </c>
      <c r="J720" s="269">
        <f ca="1">IFERROR(__xludf.DUMMYFUNCTION("IMPORTRANGE(""https://docs.google.com/spreadsheets/d/1XWAQStnk-4SwqDmLtmXYiTMKHgktTP8We1SCoS47DrQ/edit?usp=sharing"",""จัดที่ดิน!BH69"")"),0)</f>
        <v>0</v>
      </c>
      <c r="K720" s="496">
        <f t="shared" ref="K720:K723" ca="1" si="291">IF(I720&gt;0,J720*100/I720,0)</f>
        <v>0</v>
      </c>
      <c r="L720" s="757"/>
      <c r="M720" s="189"/>
      <c r="N720" s="757"/>
      <c r="O720" s="496"/>
      <c r="P720" s="496"/>
      <c r="Q720" s="571"/>
      <c r="R720" s="571"/>
      <c r="S720" s="571"/>
      <c r="T720" s="571"/>
      <c r="U720" s="571"/>
      <c r="V720" s="571"/>
      <c r="W720" s="571"/>
      <c r="X720" s="571"/>
      <c r="Y720" s="571"/>
      <c r="Z720" s="571"/>
    </row>
    <row r="721" spans="1:26" ht="19.5" hidden="1">
      <c r="A721" s="735"/>
      <c r="B721" s="754"/>
      <c r="C721" s="754"/>
      <c r="D721" s="754" t="s">
        <v>305</v>
      </c>
      <c r="E721" s="754"/>
      <c r="F721" s="754"/>
      <c r="G721" s="189"/>
      <c r="H721" s="758" t="s">
        <v>35</v>
      </c>
      <c r="I721" s="759">
        <f ca="1">IFERROR(__xludf.DUMMYFUNCTION("IMPORTRANGE(""https://docs.google.com/spreadsheets/d/1QqKyyYR6Q21VydFLVH3TRQUabQu_ym0Zz7PgGX0-kHA/edit?usp=sharing"",""แผน!IJ69"")"),0)</f>
        <v>0</v>
      </c>
      <c r="J721" s="674">
        <f ca="1">J723+J726</f>
        <v>0</v>
      </c>
      <c r="K721" s="195">
        <f t="shared" ca="1" si="291"/>
        <v>0</v>
      </c>
      <c r="L721" s="757"/>
      <c r="M721" s="189"/>
      <c r="N721" s="757"/>
      <c r="O721" s="496"/>
      <c r="P721" s="496"/>
      <c r="Q721" s="571"/>
      <c r="R721" s="571"/>
      <c r="S721" s="571"/>
      <c r="T721" s="571"/>
      <c r="U721" s="571"/>
      <c r="V721" s="571"/>
      <c r="W721" s="571"/>
      <c r="X721" s="571"/>
      <c r="Y721" s="571"/>
      <c r="Z721" s="571"/>
    </row>
    <row r="722" spans="1:26" ht="19.5" hidden="1">
      <c r="A722" s="735"/>
      <c r="B722" s="754"/>
      <c r="C722" s="754"/>
      <c r="D722" s="754"/>
      <c r="E722" s="754"/>
      <c r="F722" s="754"/>
      <c r="G722" s="189"/>
      <c r="H722" s="758" t="s">
        <v>46</v>
      </c>
      <c r="I722" s="759">
        <f ca="1">IFERROR(__xludf.DUMMYFUNCTION("IMPORTRANGE(""https://docs.google.com/spreadsheets/d/1QqKyyYR6Q21VydFLVH3TRQUabQu_ym0Zz7PgGX0-kHA/edit?usp=sharing"",""แผน!IK69"")"),0)</f>
        <v>0</v>
      </c>
      <c r="J722" s="674">
        <f ca="1">J725+J728</f>
        <v>0</v>
      </c>
      <c r="K722" s="195">
        <f t="shared" ca="1" si="291"/>
        <v>0</v>
      </c>
      <c r="L722" s="496"/>
      <c r="M722" s="189"/>
      <c r="N722" s="757"/>
      <c r="O722" s="496"/>
      <c r="P722" s="496"/>
      <c r="Q722" s="571"/>
      <c r="R722" s="571"/>
      <c r="S722" s="571"/>
      <c r="T722" s="571"/>
      <c r="U722" s="571"/>
      <c r="V722" s="571"/>
      <c r="W722" s="571"/>
      <c r="X722" s="571"/>
      <c r="Y722" s="571"/>
      <c r="Z722" s="571"/>
    </row>
    <row r="723" spans="1:26" ht="18.75" hidden="1">
      <c r="A723" s="735"/>
      <c r="B723" s="754"/>
      <c r="C723" s="754"/>
      <c r="D723" s="754"/>
      <c r="E723" s="754" t="s">
        <v>306</v>
      </c>
      <c r="F723" s="754"/>
      <c r="G723" s="189"/>
      <c r="H723" s="755" t="s">
        <v>35</v>
      </c>
      <c r="I723" s="756">
        <f ca="1">IFERROR(__xludf.DUMMYFUNCTION("IMPORTRANGE(""https://docs.google.com/spreadsheets/d/1QqKyyYR6Q21VydFLVH3TRQUabQu_ym0Zz7PgGX0-kHA/edit?usp=sharing"",""แผน!IL69"")"),0)</f>
        <v>0</v>
      </c>
      <c r="J723" s="269">
        <f ca="1">IFERROR(__xludf.DUMMYFUNCTION("IMPORTRANGE(""https://docs.google.com/spreadsheets/d/1XWAQStnk-4SwqDmLtmXYiTMKHgktTP8We1SCoS47DrQ/edit?usp=sharing"",""จัดที่ดิน!BM69"")"),0)</f>
        <v>0</v>
      </c>
      <c r="K723" s="496">
        <f t="shared" ca="1" si="291"/>
        <v>0</v>
      </c>
      <c r="L723" s="496"/>
      <c r="M723" s="189"/>
      <c r="N723" s="757"/>
      <c r="O723" s="496"/>
      <c r="P723" s="496"/>
      <c r="Q723" s="571"/>
      <c r="R723" s="571"/>
      <c r="S723" s="571"/>
      <c r="T723" s="571"/>
      <c r="U723" s="571"/>
      <c r="V723" s="571"/>
      <c r="W723" s="571"/>
      <c r="X723" s="571"/>
      <c r="Y723" s="571"/>
      <c r="Z723" s="571"/>
    </row>
    <row r="724" spans="1:26" ht="18.75" hidden="1">
      <c r="A724" s="735"/>
      <c r="B724" s="754"/>
      <c r="C724" s="754"/>
      <c r="D724" s="754"/>
      <c r="E724" s="754"/>
      <c r="F724" s="754"/>
      <c r="G724" s="189"/>
      <c r="H724" s="755" t="s">
        <v>34</v>
      </c>
      <c r="I724" s="756"/>
      <c r="J724" s="269">
        <f ca="1">IFERROR(__xludf.DUMMYFUNCTION("IMPORTRANGE(""https://docs.google.com/spreadsheets/d/1XWAQStnk-4SwqDmLtmXYiTMKHgktTP8We1SCoS47DrQ/edit?usp=sharing"",""จัดที่ดิน!BN69"")"),0)</f>
        <v>0</v>
      </c>
      <c r="K724" s="496"/>
      <c r="L724" s="757"/>
      <c r="M724" s="189"/>
      <c r="N724" s="757"/>
      <c r="O724" s="496"/>
      <c r="P724" s="496"/>
      <c r="Q724" s="571"/>
      <c r="R724" s="571"/>
      <c r="S724" s="571"/>
      <c r="T724" s="571"/>
      <c r="U724" s="571"/>
      <c r="V724" s="571"/>
      <c r="W724" s="571"/>
      <c r="X724" s="571"/>
      <c r="Y724" s="571"/>
      <c r="Z724" s="571"/>
    </row>
    <row r="725" spans="1:26" ht="18.75" hidden="1">
      <c r="A725" s="735"/>
      <c r="B725" s="754"/>
      <c r="C725" s="754"/>
      <c r="D725" s="754"/>
      <c r="E725" s="754"/>
      <c r="F725" s="754"/>
      <c r="G725" s="189"/>
      <c r="H725" s="755" t="s">
        <v>46</v>
      </c>
      <c r="I725" s="756">
        <f ca="1">IFERROR(__xludf.DUMMYFUNCTION("IMPORTRANGE(""https://docs.google.com/spreadsheets/d/1QqKyyYR6Q21VydFLVH3TRQUabQu_ym0Zz7PgGX0-kHA/edit?usp=sharing"",""แผน!IM69"")"),0)</f>
        <v>0</v>
      </c>
      <c r="J725" s="269">
        <f ca="1">IFERROR(__xludf.DUMMYFUNCTION("IMPORTRANGE(""https://docs.google.com/spreadsheets/d/1XWAQStnk-4SwqDmLtmXYiTMKHgktTP8We1SCoS47DrQ/edit?usp=sharing"",""จัดที่ดิน!BO69"")"),0)</f>
        <v>0</v>
      </c>
      <c r="K725" s="496">
        <f t="shared" ref="K725:K726" ca="1" si="292">IF(I725&gt;0,J725*100/I725,0)</f>
        <v>0</v>
      </c>
      <c r="L725" s="757"/>
      <c r="M725" s="189"/>
      <c r="N725" s="757"/>
      <c r="O725" s="496"/>
      <c r="P725" s="496"/>
      <c r="Q725" s="571"/>
      <c r="R725" s="571"/>
      <c r="S725" s="571"/>
      <c r="T725" s="571"/>
      <c r="U725" s="571"/>
      <c r="V725" s="571"/>
      <c r="W725" s="571"/>
      <c r="X725" s="571"/>
      <c r="Y725" s="571"/>
      <c r="Z725" s="571"/>
    </row>
    <row r="726" spans="1:26" ht="18.75" hidden="1">
      <c r="A726" s="735"/>
      <c r="B726" s="754"/>
      <c r="C726" s="754"/>
      <c r="D726" s="754"/>
      <c r="E726" s="754" t="s">
        <v>307</v>
      </c>
      <c r="F726" s="754"/>
      <c r="G726" s="189"/>
      <c r="H726" s="755" t="s">
        <v>35</v>
      </c>
      <c r="I726" s="756">
        <f ca="1">IFERROR(__xludf.DUMMYFUNCTION("IMPORTRANGE(""https://docs.google.com/spreadsheets/d/1QqKyyYR6Q21VydFLVH3TRQUabQu_ym0Zz7PgGX0-kHA/edit?usp=sharing"",""แผน!IN69"")"),0)</f>
        <v>0</v>
      </c>
      <c r="J726" s="269">
        <f ca="1">IFERROR(__xludf.DUMMYFUNCTION("IMPORTRANGE(""https://docs.google.com/spreadsheets/d/1XWAQStnk-4SwqDmLtmXYiTMKHgktTP8We1SCoS47DrQ/edit?usp=sharing"",""จัดที่ดิน!BR69"")"),0)</f>
        <v>0</v>
      </c>
      <c r="K726" s="496">
        <f t="shared" ca="1" si="292"/>
        <v>0</v>
      </c>
      <c r="L726" s="496"/>
      <c r="M726" s="189"/>
      <c r="N726" s="757"/>
      <c r="O726" s="496"/>
      <c r="P726" s="496"/>
      <c r="Q726" s="571"/>
      <c r="R726" s="571"/>
      <c r="S726" s="571"/>
      <c r="T726" s="571"/>
      <c r="U726" s="571"/>
      <c r="V726" s="571"/>
      <c r="W726" s="571"/>
      <c r="X726" s="571"/>
      <c r="Y726" s="571"/>
      <c r="Z726" s="571"/>
    </row>
    <row r="727" spans="1:26" ht="18.75" hidden="1">
      <c r="A727" s="735"/>
      <c r="B727" s="754"/>
      <c r="C727" s="754"/>
      <c r="D727" s="754"/>
      <c r="E727" s="754"/>
      <c r="F727" s="754"/>
      <c r="G727" s="189"/>
      <c r="H727" s="755" t="s">
        <v>34</v>
      </c>
      <c r="I727" s="756"/>
      <c r="J727" s="269">
        <f ca="1">IFERROR(__xludf.DUMMYFUNCTION("IMPORTRANGE(""https://docs.google.com/spreadsheets/d/1XWAQStnk-4SwqDmLtmXYiTMKHgktTP8We1SCoS47DrQ/edit?usp=sharing"",""จัดที่ดิน!BS69"")"),0)</f>
        <v>0</v>
      </c>
      <c r="K727" s="496"/>
      <c r="L727" s="757"/>
      <c r="M727" s="189"/>
      <c r="N727" s="757"/>
      <c r="O727" s="496"/>
      <c r="P727" s="496"/>
      <c r="Q727" s="571"/>
      <c r="R727" s="571"/>
      <c r="S727" s="571"/>
      <c r="T727" s="571"/>
      <c r="U727" s="571"/>
      <c r="V727" s="571"/>
      <c r="W727" s="571"/>
      <c r="X727" s="571"/>
      <c r="Y727" s="571"/>
      <c r="Z727" s="571"/>
    </row>
    <row r="728" spans="1:26" ht="18.75" hidden="1">
      <c r="A728" s="735"/>
      <c r="B728" s="754"/>
      <c r="C728" s="754"/>
      <c r="D728" s="754"/>
      <c r="E728" s="754"/>
      <c r="F728" s="754"/>
      <c r="G728" s="189"/>
      <c r="H728" s="755" t="s">
        <v>46</v>
      </c>
      <c r="I728" s="756">
        <f ca="1">IFERROR(__xludf.DUMMYFUNCTION("IMPORTRANGE(""https://docs.google.com/spreadsheets/d/1QqKyyYR6Q21VydFLVH3TRQUabQu_ym0Zz7PgGX0-kHA/edit?usp=sharing"",""แผน!IO69"")"),0)</f>
        <v>0</v>
      </c>
      <c r="J728" s="269">
        <f ca="1">IFERROR(__xludf.DUMMYFUNCTION("IMPORTRANGE(""https://docs.google.com/spreadsheets/d/1XWAQStnk-4SwqDmLtmXYiTMKHgktTP8We1SCoS47DrQ/edit?usp=sharing"",""จัดที่ดิน!BT69"")"),0)</f>
        <v>0</v>
      </c>
      <c r="K728" s="496">
        <f t="shared" ref="K728:K729" ca="1" si="293">IF(I728&gt;0,J728*100/I728,0)</f>
        <v>0</v>
      </c>
      <c r="L728" s="757"/>
      <c r="M728" s="189"/>
      <c r="N728" s="757"/>
      <c r="O728" s="496"/>
      <c r="P728" s="496"/>
      <c r="Q728" s="571"/>
      <c r="R728" s="571"/>
      <c r="S728" s="571"/>
      <c r="T728" s="571"/>
      <c r="U728" s="571"/>
      <c r="V728" s="571"/>
      <c r="W728" s="571"/>
      <c r="X728" s="571"/>
      <c r="Y728" s="571"/>
      <c r="Z728" s="571"/>
    </row>
    <row r="729" spans="1:26" ht="19.5" hidden="1">
      <c r="A729" s="735"/>
      <c r="B729" s="754"/>
      <c r="C729" s="754"/>
      <c r="D729" s="754" t="s">
        <v>308</v>
      </c>
      <c r="E729" s="754"/>
      <c r="F729" s="754"/>
      <c r="G729" s="189"/>
      <c r="H729" s="758" t="s">
        <v>46</v>
      </c>
      <c r="I729" s="759">
        <f ca="1">IFERROR(__xludf.DUMMYFUNCTION("IMPORTRANGE(""https://docs.google.com/spreadsheets/d/1QqKyyYR6Q21VydFLVH3TRQUabQu_ym0Zz7PgGX0-kHA/edit?usp=sharing"",""แผน!IP69"")"),0)</f>
        <v>0</v>
      </c>
      <c r="J729" s="674">
        <f>J732+J735</f>
        <v>0</v>
      </c>
      <c r="K729" s="195">
        <f t="shared" ca="1" si="293"/>
        <v>0</v>
      </c>
      <c r="L729" s="496"/>
      <c r="M729" s="189"/>
      <c r="N729" s="757"/>
      <c r="O729" s="496"/>
      <c r="P729" s="496"/>
      <c r="Q729" s="571"/>
      <c r="R729" s="571"/>
      <c r="S729" s="571"/>
      <c r="T729" s="571"/>
      <c r="U729" s="571"/>
      <c r="V729" s="571"/>
      <c r="W729" s="571"/>
      <c r="X729" s="571"/>
      <c r="Y729" s="571"/>
      <c r="Z729" s="571"/>
    </row>
    <row r="730" spans="1:26" ht="18.75" hidden="1">
      <c r="A730" s="735"/>
      <c r="B730" s="754"/>
      <c r="C730" s="754"/>
      <c r="D730" s="754"/>
      <c r="E730" s="754" t="s">
        <v>309</v>
      </c>
      <c r="F730" s="754"/>
      <c r="G730" s="189"/>
      <c r="H730" s="755" t="s">
        <v>35</v>
      </c>
      <c r="I730" s="756"/>
      <c r="J730" s="214">
        <v>0</v>
      </c>
      <c r="K730" s="496"/>
      <c r="L730" s="757"/>
      <c r="M730" s="496"/>
      <c r="N730" s="757"/>
      <c r="O730" s="496"/>
      <c r="P730" s="496"/>
      <c r="Q730" s="571"/>
      <c r="R730" s="571"/>
      <c r="S730" s="571"/>
      <c r="T730" s="571"/>
      <c r="U730" s="571"/>
      <c r="V730" s="571"/>
      <c r="W730" s="571"/>
      <c r="X730" s="571"/>
      <c r="Y730" s="571"/>
      <c r="Z730" s="571"/>
    </row>
    <row r="731" spans="1:26" ht="18.75" hidden="1">
      <c r="A731" s="735"/>
      <c r="B731" s="754"/>
      <c r="C731" s="754"/>
      <c r="D731" s="754"/>
      <c r="E731" s="754"/>
      <c r="F731" s="754"/>
      <c r="G731" s="189"/>
      <c r="H731" s="755" t="s">
        <v>34</v>
      </c>
      <c r="I731" s="756"/>
      <c r="J731" s="214">
        <v>0</v>
      </c>
      <c r="K731" s="496"/>
      <c r="L731" s="757"/>
      <c r="M731" s="496"/>
      <c r="N731" s="757"/>
      <c r="O731" s="496"/>
      <c r="P731" s="496"/>
      <c r="Q731" s="571"/>
      <c r="R731" s="571"/>
      <c r="S731" s="571"/>
      <c r="T731" s="571"/>
      <c r="U731" s="571"/>
      <c r="V731" s="571"/>
      <c r="W731" s="571"/>
      <c r="X731" s="571"/>
      <c r="Y731" s="571"/>
      <c r="Z731" s="571"/>
    </row>
    <row r="732" spans="1:26" ht="18.75" hidden="1">
      <c r="A732" s="735"/>
      <c r="B732" s="754"/>
      <c r="C732" s="754"/>
      <c r="D732" s="754"/>
      <c r="E732" s="754"/>
      <c r="F732" s="754"/>
      <c r="G732" s="189"/>
      <c r="H732" s="755" t="s">
        <v>46</v>
      </c>
      <c r="I732" s="756"/>
      <c r="J732" s="214">
        <v>0</v>
      </c>
      <c r="K732" s="496"/>
      <c r="L732" s="757"/>
      <c r="M732" s="496"/>
      <c r="N732" s="757"/>
      <c r="O732" s="496"/>
      <c r="P732" s="496"/>
      <c r="Q732" s="571"/>
      <c r="R732" s="571"/>
      <c r="S732" s="571"/>
      <c r="T732" s="571"/>
      <c r="U732" s="571"/>
      <c r="V732" s="571"/>
      <c r="W732" s="571"/>
      <c r="X732" s="571"/>
      <c r="Y732" s="571"/>
      <c r="Z732" s="571"/>
    </row>
    <row r="733" spans="1:26" ht="18.75" hidden="1">
      <c r="A733" s="735"/>
      <c r="B733" s="754"/>
      <c r="C733" s="754"/>
      <c r="D733" s="754"/>
      <c r="E733" s="754" t="s">
        <v>310</v>
      </c>
      <c r="F733" s="754"/>
      <c r="G733" s="189"/>
      <c r="H733" s="755" t="s">
        <v>35</v>
      </c>
      <c r="I733" s="756"/>
      <c r="J733" s="214">
        <v>0</v>
      </c>
      <c r="K733" s="496"/>
      <c r="L733" s="757"/>
      <c r="M733" s="496"/>
      <c r="N733" s="757"/>
      <c r="O733" s="496"/>
      <c r="P733" s="496"/>
      <c r="Q733" s="571"/>
      <c r="R733" s="571"/>
      <c r="S733" s="571"/>
      <c r="T733" s="571"/>
      <c r="U733" s="571"/>
      <c r="V733" s="571"/>
      <c r="W733" s="571"/>
      <c r="X733" s="571"/>
      <c r="Y733" s="571"/>
      <c r="Z733" s="571"/>
    </row>
    <row r="734" spans="1:26" ht="18.75" hidden="1">
      <c r="A734" s="735"/>
      <c r="B734" s="754"/>
      <c r="C734" s="754"/>
      <c r="D734" s="754"/>
      <c r="E734" s="754"/>
      <c r="F734" s="754"/>
      <c r="G734" s="189"/>
      <c r="H734" s="755" t="s">
        <v>34</v>
      </c>
      <c r="I734" s="756"/>
      <c r="J734" s="214">
        <v>0</v>
      </c>
      <c r="K734" s="496"/>
      <c r="L734" s="757"/>
      <c r="M734" s="496"/>
      <c r="N734" s="757"/>
      <c r="O734" s="496"/>
      <c r="P734" s="496"/>
      <c r="Q734" s="571"/>
      <c r="R734" s="571"/>
      <c r="S734" s="571"/>
      <c r="T734" s="571"/>
      <c r="U734" s="571"/>
      <c r="V734" s="571"/>
      <c r="W734" s="571"/>
      <c r="X734" s="571"/>
      <c r="Y734" s="571"/>
      <c r="Z734" s="571"/>
    </row>
    <row r="735" spans="1:26" ht="19.5" hidden="1">
      <c r="A735" s="761"/>
      <c r="B735" s="762" t="s">
        <v>311</v>
      </c>
      <c r="C735" s="725"/>
      <c r="D735" s="725"/>
      <c r="E735" s="725"/>
      <c r="F735" s="725"/>
      <c r="G735" s="726"/>
      <c r="H735" s="421" t="s">
        <v>46</v>
      </c>
      <c r="I735" s="763"/>
      <c r="J735" s="423">
        <v>0</v>
      </c>
      <c r="K735" s="500"/>
      <c r="L735" s="764"/>
      <c r="M735" s="500"/>
      <c r="N735" s="764"/>
      <c r="O735" s="500"/>
      <c r="P735" s="500"/>
      <c r="Q735" s="571"/>
      <c r="R735" s="571"/>
      <c r="S735" s="571"/>
      <c r="T735" s="571"/>
      <c r="U735" s="571"/>
      <c r="V735" s="571"/>
      <c r="W735" s="571"/>
      <c r="X735" s="571"/>
      <c r="Y735" s="571"/>
      <c r="Z735" s="571"/>
    </row>
    <row r="736" spans="1:26" ht="19.5" hidden="1">
      <c r="A736" s="765">
        <v>9</v>
      </c>
      <c r="B736" s="766" t="s">
        <v>312</v>
      </c>
      <c r="C736" s="767"/>
      <c r="D736" s="767"/>
      <c r="E736" s="767"/>
      <c r="F736" s="767"/>
      <c r="G736" s="768"/>
      <c r="H736" s="769" t="s">
        <v>46</v>
      </c>
      <c r="I736" s="770"/>
      <c r="J736" s="770">
        <f>J751</f>
        <v>0</v>
      </c>
      <c r="K736" s="771">
        <f>IF(I736&gt;0,J736*100/I736,0)</f>
        <v>0</v>
      </c>
      <c r="L736" s="772"/>
      <c r="M736" s="772"/>
      <c r="N736" s="772"/>
      <c r="O736" s="772"/>
      <c r="P736" s="772"/>
      <c r="Q736" s="597"/>
      <c r="R736" s="597"/>
      <c r="S736" s="597"/>
      <c r="T736" s="597"/>
      <c r="U736" s="597"/>
      <c r="V736" s="597"/>
      <c r="W736" s="597"/>
      <c r="X736" s="597"/>
      <c r="Y736" s="597"/>
      <c r="Z736" s="597"/>
    </row>
    <row r="737" spans="1:26" ht="19.5" hidden="1">
      <c r="A737" s="592"/>
      <c r="B737" s="750"/>
      <c r="C737" s="750" t="s">
        <v>16</v>
      </c>
      <c r="D737" s="864" t="s">
        <v>17</v>
      </c>
      <c r="E737" s="857"/>
      <c r="F737" s="857"/>
      <c r="G737" s="596"/>
      <c r="H737" s="639" t="s">
        <v>12</v>
      </c>
      <c r="I737" s="610"/>
      <c r="J737" s="610"/>
      <c r="K737" s="93"/>
      <c r="L737" s="640">
        <f t="shared" ref="L737:N737" si="294">L738+L739</f>
        <v>0</v>
      </c>
      <c r="M737" s="640">
        <f t="shared" si="294"/>
        <v>0</v>
      </c>
      <c r="N737" s="640">
        <f t="shared" si="294"/>
        <v>0</v>
      </c>
      <c r="O737" s="640">
        <f t="shared" ref="O737:O742" si="295">IF(L737&gt;0,N737*100/L737,0)</f>
        <v>0</v>
      </c>
      <c r="P737" s="640">
        <f t="shared" ref="P737:P742" si="296">IF(M737&gt;0,N737*100/M737,0)</f>
        <v>0</v>
      </c>
      <c r="Q737" s="597"/>
      <c r="R737" s="597"/>
      <c r="S737" s="597"/>
      <c r="T737" s="597"/>
      <c r="U737" s="597"/>
      <c r="V737" s="597"/>
      <c r="W737" s="597"/>
      <c r="X737" s="597"/>
      <c r="Y737" s="597"/>
      <c r="Z737" s="597"/>
    </row>
    <row r="738" spans="1:26" ht="18.75" hidden="1">
      <c r="A738" s="592"/>
      <c r="B738" s="750"/>
      <c r="C738" s="750"/>
      <c r="D738" s="711"/>
      <c r="E738" s="750" t="s">
        <v>184</v>
      </c>
      <c r="F738" s="750"/>
      <c r="G738" s="596"/>
      <c r="H738" s="165" t="s">
        <v>12</v>
      </c>
      <c r="I738" s="610"/>
      <c r="J738" s="610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597"/>
      <c r="R738" s="597"/>
      <c r="S738" s="597"/>
      <c r="T738" s="597"/>
      <c r="U738" s="597"/>
      <c r="V738" s="597"/>
      <c r="W738" s="597"/>
      <c r="X738" s="597"/>
      <c r="Y738" s="597"/>
      <c r="Z738" s="597"/>
    </row>
    <row r="739" spans="1:26" ht="18.75" hidden="1">
      <c r="A739" s="592"/>
      <c r="B739" s="600"/>
      <c r="C739" s="750"/>
      <c r="D739" s="711"/>
      <c r="E739" s="750" t="s">
        <v>185</v>
      </c>
      <c r="F739" s="750"/>
      <c r="G739" s="596"/>
      <c r="H739" s="165" t="s">
        <v>12</v>
      </c>
      <c r="I739" s="610"/>
      <c r="J739" s="610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597"/>
      <c r="R739" s="597"/>
      <c r="S739" s="597"/>
      <c r="T739" s="597"/>
      <c r="U739" s="597"/>
      <c r="V739" s="597"/>
      <c r="W739" s="597"/>
      <c r="X739" s="597"/>
      <c r="Y739" s="597"/>
      <c r="Z739" s="597"/>
    </row>
    <row r="740" spans="1:26" ht="19.5" hidden="1">
      <c r="A740" s="592"/>
      <c r="B740" s="600"/>
      <c r="C740" s="750"/>
      <c r="D740" s="638" t="s">
        <v>20</v>
      </c>
      <c r="E740" s="750"/>
      <c r="F740" s="750"/>
      <c r="G740" s="596"/>
      <c r="H740" s="639" t="s">
        <v>12</v>
      </c>
      <c r="I740" s="166"/>
      <c r="J740" s="166"/>
      <c r="K740" s="167"/>
      <c r="L740" s="640">
        <f t="shared" ref="L740:N740" si="298">L741+L742</f>
        <v>0</v>
      </c>
      <c r="M740" s="640">
        <f t="shared" si="298"/>
        <v>0</v>
      </c>
      <c r="N740" s="640">
        <f t="shared" si="298"/>
        <v>0</v>
      </c>
      <c r="O740" s="640">
        <f t="shared" si="295"/>
        <v>0</v>
      </c>
      <c r="P740" s="640">
        <f t="shared" si="296"/>
        <v>0</v>
      </c>
      <c r="Q740" s="597"/>
      <c r="R740" s="597"/>
      <c r="S740" s="597"/>
      <c r="T740" s="597"/>
      <c r="U740" s="597"/>
      <c r="V740" s="597"/>
      <c r="W740" s="597"/>
      <c r="X740" s="597"/>
      <c r="Y740" s="597"/>
      <c r="Z740" s="597"/>
    </row>
    <row r="741" spans="1:26" ht="18.75" hidden="1">
      <c r="A741" s="592"/>
      <c r="B741" s="600"/>
      <c r="C741" s="750"/>
      <c r="D741" s="711"/>
      <c r="E741" s="750" t="s">
        <v>184</v>
      </c>
      <c r="F741" s="750"/>
      <c r="G741" s="596"/>
      <c r="H741" s="165" t="s">
        <v>12</v>
      </c>
      <c r="I741" s="610"/>
      <c r="J741" s="610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597"/>
      <c r="R741" s="597"/>
      <c r="S741" s="597"/>
      <c r="T741" s="597"/>
      <c r="U741" s="597"/>
      <c r="V741" s="597"/>
      <c r="W741" s="597"/>
      <c r="X741" s="597"/>
      <c r="Y741" s="597"/>
      <c r="Z741" s="597"/>
    </row>
    <row r="742" spans="1:26" ht="18.75" hidden="1">
      <c r="A742" s="592"/>
      <c r="B742" s="600"/>
      <c r="C742" s="750"/>
      <c r="D742" s="711"/>
      <c r="E742" s="750" t="s">
        <v>185</v>
      </c>
      <c r="F742" s="750"/>
      <c r="G742" s="596"/>
      <c r="H742" s="165" t="s">
        <v>12</v>
      </c>
      <c r="I742" s="610"/>
      <c r="J742" s="610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597"/>
      <c r="R742" s="597"/>
      <c r="S742" s="597"/>
      <c r="T742" s="597"/>
      <c r="U742" s="597"/>
      <c r="V742" s="597"/>
      <c r="W742" s="597"/>
      <c r="X742" s="597"/>
      <c r="Y742" s="597"/>
      <c r="Z742" s="597"/>
    </row>
    <row r="743" spans="1:26" ht="18.75" hidden="1">
      <c r="A743" s="642"/>
      <c r="B743" s="600"/>
      <c r="C743" s="750"/>
      <c r="D743" s="750"/>
      <c r="E743" s="750"/>
      <c r="F743" s="750" t="s">
        <v>186</v>
      </c>
      <c r="G743" s="596"/>
      <c r="H743" s="165" t="s">
        <v>12</v>
      </c>
      <c r="I743" s="610"/>
      <c r="J743" s="610"/>
      <c r="K743" s="93"/>
      <c r="L743" s="93"/>
      <c r="M743" s="93"/>
      <c r="N743" s="93"/>
      <c r="O743" s="93"/>
      <c r="P743" s="93"/>
      <c r="Q743" s="597"/>
      <c r="R743" s="597"/>
      <c r="S743" s="597"/>
      <c r="T743" s="597"/>
      <c r="U743" s="597"/>
      <c r="V743" s="597"/>
      <c r="W743" s="597"/>
      <c r="X743" s="597"/>
      <c r="Y743" s="597"/>
      <c r="Z743" s="597"/>
    </row>
    <row r="744" spans="1:26" ht="18.75" hidden="1">
      <c r="A744" s="642"/>
      <c r="B744" s="600"/>
      <c r="C744" s="750"/>
      <c r="D744" s="750"/>
      <c r="E744" s="750"/>
      <c r="F744" s="750" t="s">
        <v>187</v>
      </c>
      <c r="G744" s="596"/>
      <c r="H744" s="165" t="s">
        <v>12</v>
      </c>
      <c r="I744" s="610"/>
      <c r="J744" s="610"/>
      <c r="K744" s="93"/>
      <c r="L744" s="93"/>
      <c r="M744" s="93"/>
      <c r="N744" s="93"/>
      <c r="O744" s="93"/>
      <c r="P744" s="93"/>
      <c r="Q744" s="597"/>
      <c r="R744" s="597"/>
      <c r="S744" s="597"/>
      <c r="T744" s="597"/>
      <c r="U744" s="597"/>
      <c r="V744" s="597"/>
      <c r="W744" s="597"/>
      <c r="X744" s="597"/>
      <c r="Y744" s="597"/>
      <c r="Z744" s="597"/>
    </row>
    <row r="745" spans="1:26" ht="18.75" hidden="1">
      <c r="A745" s="642"/>
      <c r="B745" s="600"/>
      <c r="C745" s="750"/>
      <c r="D745" s="750"/>
      <c r="E745" s="750"/>
      <c r="F745" s="750" t="s">
        <v>188</v>
      </c>
      <c r="G745" s="596"/>
      <c r="H745" s="165" t="s">
        <v>12</v>
      </c>
      <c r="I745" s="610"/>
      <c r="J745" s="610"/>
      <c r="K745" s="93"/>
      <c r="L745" s="93"/>
      <c r="M745" s="93"/>
      <c r="N745" s="93"/>
      <c r="O745" s="93"/>
      <c r="P745" s="93"/>
      <c r="Q745" s="597"/>
      <c r="R745" s="597"/>
      <c r="S745" s="597"/>
      <c r="T745" s="597"/>
      <c r="U745" s="597"/>
      <c r="V745" s="597"/>
      <c r="W745" s="597"/>
      <c r="X745" s="597"/>
      <c r="Y745" s="597"/>
      <c r="Z745" s="597"/>
    </row>
    <row r="746" spans="1:26" ht="18.75" hidden="1">
      <c r="A746" s="642"/>
      <c r="B746" s="600"/>
      <c r="C746" s="750"/>
      <c r="D746" s="750"/>
      <c r="E746" s="750"/>
      <c r="F746" s="750" t="s">
        <v>189</v>
      </c>
      <c r="G746" s="596"/>
      <c r="H746" s="165" t="s">
        <v>12</v>
      </c>
      <c r="I746" s="610"/>
      <c r="J746" s="610"/>
      <c r="K746" s="93"/>
      <c r="L746" s="93"/>
      <c r="M746" s="93"/>
      <c r="N746" s="93"/>
      <c r="O746" s="93"/>
      <c r="P746" s="93"/>
      <c r="Q746" s="597"/>
      <c r="R746" s="597"/>
      <c r="S746" s="597"/>
      <c r="T746" s="597"/>
      <c r="U746" s="597"/>
      <c r="V746" s="597"/>
      <c r="W746" s="597"/>
      <c r="X746" s="597"/>
      <c r="Y746" s="597"/>
      <c r="Z746" s="597"/>
    </row>
    <row r="747" spans="1:26" ht="19.5" hidden="1">
      <c r="A747" s="592"/>
      <c r="B747" s="600"/>
      <c r="C747" s="750"/>
      <c r="D747" s="638" t="s">
        <v>21</v>
      </c>
      <c r="E747" s="750"/>
      <c r="F747" s="750"/>
      <c r="G747" s="596"/>
      <c r="H747" s="774" t="s">
        <v>12</v>
      </c>
      <c r="I747" s="166"/>
      <c r="J747" s="166"/>
      <c r="K747" s="167"/>
      <c r="L747" s="640">
        <f t="shared" ref="L747:N747" si="299">L748+L749</f>
        <v>0</v>
      </c>
      <c r="M747" s="640">
        <f t="shared" si="299"/>
        <v>0</v>
      </c>
      <c r="N747" s="640">
        <f t="shared" si="299"/>
        <v>0</v>
      </c>
      <c r="O747" s="640">
        <f t="shared" ref="O747:O749" si="300">IF(L747&gt;0,N747*100/L747,0)</f>
        <v>0</v>
      </c>
      <c r="P747" s="640">
        <f t="shared" ref="P747:P749" si="301">IF(M747&gt;0,N747*100/M747,0)</f>
        <v>0</v>
      </c>
      <c r="Q747" s="597"/>
      <c r="R747" s="597"/>
      <c r="S747" s="597"/>
      <c r="T747" s="597"/>
      <c r="U747" s="597"/>
      <c r="V747" s="597"/>
      <c r="W747" s="597"/>
      <c r="X747" s="597"/>
      <c r="Y747" s="597"/>
      <c r="Z747" s="597"/>
    </row>
    <row r="748" spans="1:26" ht="18.75" hidden="1">
      <c r="A748" s="592"/>
      <c r="B748" s="600"/>
      <c r="C748" s="750"/>
      <c r="D748" s="750"/>
      <c r="E748" s="750" t="s">
        <v>18</v>
      </c>
      <c r="F748" s="750"/>
      <c r="G748" s="596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597"/>
      <c r="R748" s="597"/>
      <c r="S748" s="597"/>
      <c r="T748" s="597"/>
      <c r="U748" s="597"/>
      <c r="V748" s="597"/>
      <c r="W748" s="597"/>
      <c r="X748" s="597"/>
      <c r="Y748" s="597"/>
      <c r="Z748" s="597"/>
    </row>
    <row r="749" spans="1:26" ht="18.75" hidden="1">
      <c r="A749" s="592"/>
      <c r="B749" s="600"/>
      <c r="C749" s="750"/>
      <c r="D749" s="750"/>
      <c r="E749" s="750" t="s">
        <v>19</v>
      </c>
      <c r="F749" s="750"/>
      <c r="G749" s="596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597"/>
      <c r="R749" s="597"/>
      <c r="S749" s="597"/>
      <c r="T749" s="597"/>
      <c r="U749" s="597"/>
      <c r="V749" s="597"/>
      <c r="W749" s="597"/>
      <c r="X749" s="597"/>
      <c r="Y749" s="597"/>
      <c r="Z749" s="597"/>
    </row>
    <row r="750" spans="1:26" ht="19.5" hidden="1">
      <c r="A750" s="607"/>
      <c r="B750" s="609"/>
      <c r="C750" s="750" t="s">
        <v>16</v>
      </c>
      <c r="D750" s="841" t="s">
        <v>38</v>
      </c>
      <c r="E750" s="644"/>
      <c r="F750" s="644"/>
      <c r="G750" s="645"/>
      <c r="H750" s="365"/>
      <c r="I750" s="166"/>
      <c r="J750" s="166"/>
      <c r="K750" s="167"/>
      <c r="L750" s="167"/>
      <c r="M750" s="167"/>
      <c r="N750" s="167"/>
      <c r="O750" s="167"/>
      <c r="P750" s="167"/>
      <c r="Q750" s="597"/>
      <c r="R750" s="597"/>
      <c r="S750" s="597"/>
      <c r="T750" s="597"/>
      <c r="U750" s="597"/>
      <c r="V750" s="597"/>
      <c r="W750" s="597"/>
      <c r="X750" s="597"/>
      <c r="Y750" s="597"/>
      <c r="Z750" s="597"/>
    </row>
    <row r="751" spans="1:26" ht="18.75" hidden="1">
      <c r="A751" s="642"/>
      <c r="B751" s="600"/>
      <c r="C751" s="750"/>
      <c r="D751" s="750"/>
      <c r="E751" s="750" t="s">
        <v>313</v>
      </c>
      <c r="F751" s="750"/>
      <c r="G751" s="596"/>
      <c r="H751" s="165" t="s">
        <v>46</v>
      </c>
      <c r="I751" s="610"/>
      <c r="J751" s="610"/>
      <c r="K751" s="93"/>
      <c r="L751" s="93"/>
      <c r="M751" s="93"/>
      <c r="N751" s="93"/>
      <c r="O751" s="93"/>
      <c r="P751" s="93"/>
      <c r="Q751" s="597"/>
      <c r="R751" s="597"/>
      <c r="S751" s="597"/>
      <c r="T751" s="597"/>
      <c r="U751" s="597"/>
      <c r="V751" s="597"/>
      <c r="W751" s="597"/>
      <c r="X751" s="597"/>
      <c r="Y751" s="597"/>
      <c r="Z751" s="597"/>
    </row>
    <row r="752" spans="1:26" ht="18.75" hidden="1">
      <c r="A752" s="642"/>
      <c r="B752" s="600"/>
      <c r="C752" s="750"/>
      <c r="D752" s="750"/>
      <c r="E752" s="750"/>
      <c r="F752" s="750"/>
      <c r="G752" s="596"/>
      <c r="H752" s="165" t="s">
        <v>314</v>
      </c>
      <c r="I752" s="610"/>
      <c r="J752" s="610"/>
      <c r="K752" s="93"/>
      <c r="L752" s="93"/>
      <c r="M752" s="93"/>
      <c r="N752" s="93"/>
      <c r="O752" s="93"/>
      <c r="P752" s="93"/>
      <c r="Q752" s="597"/>
      <c r="R752" s="597"/>
      <c r="S752" s="597"/>
      <c r="T752" s="597"/>
      <c r="U752" s="597"/>
      <c r="V752" s="597"/>
      <c r="W752" s="597"/>
      <c r="X752" s="597"/>
      <c r="Y752" s="597"/>
      <c r="Z752" s="597"/>
    </row>
    <row r="753" spans="1:26" ht="19.5" hidden="1">
      <c r="A753" s="776">
        <v>10</v>
      </c>
      <c r="B753" s="777" t="s">
        <v>315</v>
      </c>
      <c r="C753" s="778"/>
      <c r="D753" s="778"/>
      <c r="E753" s="778"/>
      <c r="F753" s="778"/>
      <c r="G753" s="779"/>
      <c r="H753" s="780" t="s">
        <v>46</v>
      </c>
      <c r="I753" s="781"/>
      <c r="J753" s="781">
        <f>J768</f>
        <v>0</v>
      </c>
      <c r="K753" s="782">
        <f>IF(I753&gt;0,J753*100/I753,0)</f>
        <v>0</v>
      </c>
      <c r="L753" s="783"/>
      <c r="M753" s="783"/>
      <c r="N753" s="783"/>
      <c r="O753" s="783"/>
      <c r="P753" s="783"/>
      <c r="Q753" s="597"/>
      <c r="R753" s="597"/>
      <c r="S753" s="597"/>
      <c r="T753" s="597"/>
      <c r="U753" s="597"/>
      <c r="V753" s="597"/>
      <c r="W753" s="597"/>
      <c r="X753" s="597"/>
      <c r="Y753" s="597"/>
      <c r="Z753" s="597"/>
    </row>
    <row r="754" spans="1:26" ht="19.5" hidden="1">
      <c r="A754" s="592"/>
      <c r="B754" s="750"/>
      <c r="C754" s="750" t="s">
        <v>16</v>
      </c>
      <c r="D754" s="864" t="s">
        <v>17</v>
      </c>
      <c r="E754" s="857"/>
      <c r="F754" s="857"/>
      <c r="G754" s="596"/>
      <c r="H754" s="639" t="s">
        <v>12</v>
      </c>
      <c r="I754" s="610"/>
      <c r="J754" s="610"/>
      <c r="K754" s="93"/>
      <c r="L754" s="640">
        <f t="shared" ref="L754:N754" si="302">L755+L756</f>
        <v>0</v>
      </c>
      <c r="M754" s="640">
        <f t="shared" si="302"/>
        <v>0</v>
      </c>
      <c r="N754" s="640">
        <f t="shared" si="302"/>
        <v>0</v>
      </c>
      <c r="O754" s="640">
        <f t="shared" ref="O754:O759" si="303">IF(L754&gt;0,N754*100/L754,0)</f>
        <v>0</v>
      </c>
      <c r="P754" s="640">
        <f t="shared" ref="P754:P759" si="304">IF(M754&gt;0,N754*100/M754,0)</f>
        <v>0</v>
      </c>
      <c r="Q754" s="597"/>
      <c r="R754" s="597"/>
      <c r="S754" s="597"/>
      <c r="T754" s="597"/>
      <c r="U754" s="597"/>
      <c r="V754" s="597"/>
      <c r="W754" s="597"/>
      <c r="X754" s="597"/>
      <c r="Y754" s="597"/>
      <c r="Z754" s="597"/>
    </row>
    <row r="755" spans="1:26" ht="18.75" hidden="1">
      <c r="A755" s="592"/>
      <c r="B755" s="750"/>
      <c r="C755" s="750"/>
      <c r="D755" s="711"/>
      <c r="E755" s="750" t="s">
        <v>184</v>
      </c>
      <c r="F755" s="750"/>
      <c r="G755" s="596"/>
      <c r="H755" s="165" t="s">
        <v>12</v>
      </c>
      <c r="I755" s="610"/>
      <c r="J755" s="610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597"/>
      <c r="R755" s="597"/>
      <c r="S755" s="597"/>
      <c r="T755" s="597"/>
      <c r="U755" s="597"/>
      <c r="V755" s="597"/>
      <c r="W755" s="597"/>
      <c r="X755" s="597"/>
      <c r="Y755" s="597"/>
      <c r="Z755" s="597"/>
    </row>
    <row r="756" spans="1:26" ht="18.75" hidden="1">
      <c r="A756" s="592"/>
      <c r="B756" s="600"/>
      <c r="C756" s="750"/>
      <c r="D756" s="711"/>
      <c r="E756" s="750" t="s">
        <v>185</v>
      </c>
      <c r="F756" s="750"/>
      <c r="G756" s="596"/>
      <c r="H756" s="165" t="s">
        <v>12</v>
      </c>
      <c r="I756" s="610"/>
      <c r="J756" s="610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597"/>
      <c r="R756" s="597"/>
      <c r="S756" s="597"/>
      <c r="T756" s="597"/>
      <c r="U756" s="597"/>
      <c r="V756" s="597"/>
      <c r="W756" s="597"/>
      <c r="X756" s="597"/>
      <c r="Y756" s="597"/>
      <c r="Z756" s="597"/>
    </row>
    <row r="757" spans="1:26" ht="19.5" hidden="1">
      <c r="A757" s="592"/>
      <c r="B757" s="600"/>
      <c r="C757" s="750"/>
      <c r="D757" s="638" t="s">
        <v>20</v>
      </c>
      <c r="E757" s="750"/>
      <c r="F757" s="750"/>
      <c r="G757" s="596"/>
      <c r="H757" s="639" t="s">
        <v>12</v>
      </c>
      <c r="I757" s="166"/>
      <c r="J757" s="166"/>
      <c r="K757" s="167"/>
      <c r="L757" s="640">
        <f t="shared" ref="L757:N757" si="306">L758+L759</f>
        <v>0</v>
      </c>
      <c r="M757" s="640">
        <f t="shared" si="306"/>
        <v>0</v>
      </c>
      <c r="N757" s="640">
        <f t="shared" si="306"/>
        <v>0</v>
      </c>
      <c r="O757" s="640">
        <f t="shared" si="303"/>
        <v>0</v>
      </c>
      <c r="P757" s="640">
        <f t="shared" si="304"/>
        <v>0</v>
      </c>
      <c r="Q757" s="597"/>
      <c r="R757" s="597"/>
      <c r="S757" s="597"/>
      <c r="T757" s="597"/>
      <c r="U757" s="597"/>
      <c r="V757" s="597"/>
      <c r="W757" s="597"/>
      <c r="X757" s="597"/>
      <c r="Y757" s="597"/>
      <c r="Z757" s="597"/>
    </row>
    <row r="758" spans="1:26" ht="18.75" hidden="1">
      <c r="A758" s="592"/>
      <c r="B758" s="600"/>
      <c r="C758" s="750"/>
      <c r="D758" s="711"/>
      <c r="E758" s="750" t="s">
        <v>184</v>
      </c>
      <c r="F758" s="750"/>
      <c r="G758" s="596"/>
      <c r="H758" s="165" t="s">
        <v>12</v>
      </c>
      <c r="I758" s="610"/>
      <c r="J758" s="610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597"/>
      <c r="R758" s="597"/>
      <c r="S758" s="597"/>
      <c r="T758" s="597"/>
      <c r="U758" s="597"/>
      <c r="V758" s="597"/>
      <c r="W758" s="597"/>
      <c r="X758" s="597"/>
      <c r="Y758" s="597"/>
      <c r="Z758" s="597"/>
    </row>
    <row r="759" spans="1:26" ht="18.75" hidden="1">
      <c r="A759" s="592"/>
      <c r="B759" s="600"/>
      <c r="C759" s="750"/>
      <c r="D759" s="711"/>
      <c r="E759" s="750" t="s">
        <v>185</v>
      </c>
      <c r="F759" s="750"/>
      <c r="G759" s="596"/>
      <c r="H759" s="165" t="s">
        <v>12</v>
      </c>
      <c r="I759" s="610"/>
      <c r="J759" s="610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597"/>
      <c r="R759" s="597"/>
      <c r="S759" s="597"/>
      <c r="T759" s="597"/>
      <c r="U759" s="597"/>
      <c r="V759" s="597"/>
      <c r="W759" s="597"/>
      <c r="X759" s="597"/>
      <c r="Y759" s="597"/>
      <c r="Z759" s="597"/>
    </row>
    <row r="760" spans="1:26" ht="18.75" hidden="1">
      <c r="A760" s="642"/>
      <c r="B760" s="600"/>
      <c r="C760" s="750"/>
      <c r="D760" s="750"/>
      <c r="E760" s="750"/>
      <c r="F760" s="750" t="s">
        <v>186</v>
      </c>
      <c r="G760" s="596"/>
      <c r="H760" s="165" t="s">
        <v>12</v>
      </c>
      <c r="I760" s="610"/>
      <c r="J760" s="610"/>
      <c r="K760" s="93"/>
      <c r="L760" s="93"/>
      <c r="M760" s="93"/>
      <c r="N760" s="93"/>
      <c r="O760" s="93"/>
      <c r="P760" s="93"/>
      <c r="Q760" s="597"/>
      <c r="R760" s="597"/>
      <c r="S760" s="597"/>
      <c r="T760" s="597"/>
      <c r="U760" s="597"/>
      <c r="V760" s="597"/>
      <c r="W760" s="597"/>
      <c r="X760" s="597"/>
      <c r="Y760" s="597"/>
      <c r="Z760" s="597"/>
    </row>
    <row r="761" spans="1:26" ht="18.75" hidden="1">
      <c r="A761" s="642"/>
      <c r="B761" s="600"/>
      <c r="C761" s="750"/>
      <c r="D761" s="750"/>
      <c r="E761" s="750"/>
      <c r="F761" s="750" t="s">
        <v>187</v>
      </c>
      <c r="G761" s="596"/>
      <c r="H761" s="165" t="s">
        <v>12</v>
      </c>
      <c r="I761" s="610"/>
      <c r="J761" s="610"/>
      <c r="K761" s="93"/>
      <c r="L761" s="93"/>
      <c r="M761" s="93"/>
      <c r="N761" s="93"/>
      <c r="O761" s="93"/>
      <c r="P761" s="93"/>
      <c r="Q761" s="597"/>
      <c r="R761" s="597"/>
      <c r="S761" s="597"/>
      <c r="T761" s="597"/>
      <c r="U761" s="597"/>
      <c r="V761" s="597"/>
      <c r="W761" s="597"/>
      <c r="X761" s="597"/>
      <c r="Y761" s="597"/>
      <c r="Z761" s="597"/>
    </row>
    <row r="762" spans="1:26" ht="18.75" hidden="1">
      <c r="A762" s="642"/>
      <c r="B762" s="600"/>
      <c r="C762" s="750"/>
      <c r="D762" s="750"/>
      <c r="E762" s="750"/>
      <c r="F762" s="750" t="s">
        <v>188</v>
      </c>
      <c r="G762" s="596"/>
      <c r="H762" s="165" t="s">
        <v>12</v>
      </c>
      <c r="I762" s="610"/>
      <c r="J762" s="610"/>
      <c r="K762" s="93"/>
      <c r="L762" s="93"/>
      <c r="M762" s="93"/>
      <c r="N762" s="93"/>
      <c r="O762" s="93"/>
      <c r="P762" s="93"/>
      <c r="Q762" s="597"/>
      <c r="R762" s="597"/>
      <c r="S762" s="597"/>
      <c r="T762" s="597"/>
      <c r="U762" s="597"/>
      <c r="V762" s="597"/>
      <c r="W762" s="597"/>
      <c r="X762" s="597"/>
      <c r="Y762" s="597"/>
      <c r="Z762" s="597"/>
    </row>
    <row r="763" spans="1:26" ht="18.75" hidden="1">
      <c r="A763" s="642"/>
      <c r="B763" s="600"/>
      <c r="C763" s="750"/>
      <c r="D763" s="750"/>
      <c r="E763" s="750"/>
      <c r="F763" s="750" t="s">
        <v>189</v>
      </c>
      <c r="G763" s="596"/>
      <c r="H763" s="165" t="s">
        <v>12</v>
      </c>
      <c r="I763" s="610"/>
      <c r="J763" s="610"/>
      <c r="K763" s="93"/>
      <c r="L763" s="93"/>
      <c r="M763" s="93"/>
      <c r="N763" s="93"/>
      <c r="O763" s="93"/>
      <c r="P763" s="93"/>
      <c r="Q763" s="597"/>
      <c r="R763" s="597"/>
      <c r="S763" s="597"/>
      <c r="T763" s="597"/>
      <c r="U763" s="597"/>
      <c r="V763" s="597"/>
      <c r="W763" s="597"/>
      <c r="X763" s="597"/>
      <c r="Y763" s="597"/>
      <c r="Z763" s="597"/>
    </row>
    <row r="764" spans="1:26" ht="19.5" hidden="1">
      <c r="A764" s="592"/>
      <c r="B764" s="600"/>
      <c r="C764" s="750"/>
      <c r="D764" s="638" t="s">
        <v>21</v>
      </c>
      <c r="E764" s="750"/>
      <c r="F764" s="750"/>
      <c r="G764" s="596"/>
      <c r="H764" s="774" t="s">
        <v>12</v>
      </c>
      <c r="I764" s="166"/>
      <c r="J764" s="166"/>
      <c r="K764" s="167"/>
      <c r="L764" s="640">
        <f t="shared" ref="L764:N764" si="307">L765+L766</f>
        <v>0</v>
      </c>
      <c r="M764" s="640">
        <f t="shared" si="307"/>
        <v>0</v>
      </c>
      <c r="N764" s="640">
        <f t="shared" si="307"/>
        <v>0</v>
      </c>
      <c r="O764" s="640">
        <f t="shared" ref="O764:O766" si="308">IF(L764&gt;0,N764*100/L764,0)</f>
        <v>0</v>
      </c>
      <c r="P764" s="640">
        <f t="shared" ref="P764:P766" si="309">IF(M764&gt;0,N764*100/M764,0)</f>
        <v>0</v>
      </c>
      <c r="Q764" s="597"/>
      <c r="R764" s="597"/>
      <c r="S764" s="597"/>
      <c r="T764" s="597"/>
      <c r="U764" s="597"/>
      <c r="V764" s="597"/>
      <c r="W764" s="597"/>
      <c r="X764" s="597"/>
      <c r="Y764" s="597"/>
      <c r="Z764" s="597"/>
    </row>
    <row r="765" spans="1:26" ht="18.75" hidden="1">
      <c r="A765" s="592"/>
      <c r="B765" s="600"/>
      <c r="C765" s="750"/>
      <c r="D765" s="750"/>
      <c r="E765" s="750" t="s">
        <v>18</v>
      </c>
      <c r="F765" s="750"/>
      <c r="G765" s="596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597"/>
      <c r="R765" s="597"/>
      <c r="S765" s="597"/>
      <c r="T765" s="597"/>
      <c r="U765" s="597"/>
      <c r="V765" s="597"/>
      <c r="W765" s="597"/>
      <c r="X765" s="597"/>
      <c r="Y765" s="597"/>
      <c r="Z765" s="597"/>
    </row>
    <row r="766" spans="1:26" ht="18.75" hidden="1">
      <c r="A766" s="592"/>
      <c r="B766" s="600"/>
      <c r="C766" s="750"/>
      <c r="D766" s="750"/>
      <c r="E766" s="750" t="s">
        <v>19</v>
      </c>
      <c r="F766" s="750"/>
      <c r="G766" s="596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597"/>
      <c r="R766" s="597"/>
      <c r="S766" s="597"/>
      <c r="T766" s="597"/>
      <c r="U766" s="597"/>
      <c r="V766" s="597"/>
      <c r="W766" s="597"/>
      <c r="X766" s="597"/>
      <c r="Y766" s="597"/>
      <c r="Z766" s="597"/>
    </row>
    <row r="767" spans="1:26" ht="19.5" hidden="1">
      <c r="A767" s="607"/>
      <c r="B767" s="609"/>
      <c r="C767" s="750" t="s">
        <v>16</v>
      </c>
      <c r="D767" s="841" t="s">
        <v>38</v>
      </c>
      <c r="E767" s="644"/>
      <c r="F767" s="644"/>
      <c r="G767" s="645"/>
      <c r="H767" s="365"/>
      <c r="I767" s="166"/>
      <c r="J767" s="166"/>
      <c r="K767" s="167"/>
      <c r="L767" s="167"/>
      <c r="M767" s="167"/>
      <c r="N767" s="167"/>
      <c r="O767" s="167"/>
      <c r="P767" s="167"/>
      <c r="Q767" s="597"/>
      <c r="R767" s="597"/>
      <c r="S767" s="597"/>
      <c r="T767" s="597"/>
      <c r="U767" s="597"/>
      <c r="V767" s="597"/>
      <c r="W767" s="597"/>
      <c r="X767" s="597"/>
      <c r="Y767" s="597"/>
      <c r="Z767" s="597"/>
    </row>
    <row r="768" spans="1:26" ht="18.75" hidden="1">
      <c r="A768" s="642"/>
      <c r="B768" s="600"/>
      <c r="C768" s="750"/>
      <c r="D768" s="750"/>
      <c r="E768" s="750" t="s">
        <v>316</v>
      </c>
      <c r="F768" s="750"/>
      <c r="G768" s="596"/>
      <c r="H768" s="165" t="s">
        <v>46</v>
      </c>
      <c r="I768" s="610"/>
      <c r="J768" s="610"/>
      <c r="K768" s="93"/>
      <c r="L768" s="93"/>
      <c r="M768" s="93"/>
      <c r="N768" s="93"/>
      <c r="O768" s="93"/>
      <c r="P768" s="93"/>
      <c r="Q768" s="597"/>
      <c r="R768" s="597"/>
      <c r="S768" s="597"/>
      <c r="T768" s="597"/>
      <c r="U768" s="597"/>
      <c r="V768" s="597"/>
      <c r="W768" s="597"/>
      <c r="X768" s="597"/>
      <c r="Y768" s="597"/>
      <c r="Z768" s="597"/>
    </row>
    <row r="769" spans="1:26" ht="19.5" hidden="1">
      <c r="A769" s="784">
        <v>11</v>
      </c>
      <c r="B769" s="785" t="s">
        <v>317</v>
      </c>
      <c r="C769" s="786"/>
      <c r="D769" s="786"/>
      <c r="E769" s="786"/>
      <c r="F769" s="786"/>
      <c r="G769" s="787"/>
      <c r="H769" s="788" t="s">
        <v>46</v>
      </c>
      <c r="I769" s="789"/>
      <c r="J769" s="789">
        <f>J784</f>
        <v>0</v>
      </c>
      <c r="K769" s="790">
        <f>IF(I769&gt;0,J769*100/I769,0)</f>
        <v>0</v>
      </c>
      <c r="L769" s="791"/>
      <c r="M769" s="791"/>
      <c r="N769" s="791"/>
      <c r="O769" s="791"/>
      <c r="P769" s="791"/>
      <c r="Q769" s="597"/>
      <c r="R769" s="597"/>
      <c r="S769" s="597"/>
      <c r="T769" s="597"/>
      <c r="U769" s="597"/>
      <c r="V769" s="597"/>
      <c r="W769" s="597"/>
      <c r="X769" s="597"/>
      <c r="Y769" s="597"/>
      <c r="Z769" s="597"/>
    </row>
    <row r="770" spans="1:26" ht="19.5" hidden="1">
      <c r="A770" s="592"/>
      <c r="B770" s="750"/>
      <c r="C770" s="750" t="s">
        <v>16</v>
      </c>
      <c r="D770" s="864" t="s">
        <v>17</v>
      </c>
      <c r="E770" s="857"/>
      <c r="F770" s="857"/>
      <c r="G770" s="596"/>
      <c r="H770" s="639" t="s">
        <v>12</v>
      </c>
      <c r="I770" s="610"/>
      <c r="J770" s="610"/>
      <c r="K770" s="93"/>
      <c r="L770" s="640">
        <f t="shared" ref="L770:N770" si="310">L771+L772</f>
        <v>0</v>
      </c>
      <c r="M770" s="640">
        <f t="shared" si="310"/>
        <v>0</v>
      </c>
      <c r="N770" s="640">
        <f t="shared" si="310"/>
        <v>0</v>
      </c>
      <c r="O770" s="640">
        <f t="shared" ref="O770:O775" si="311">IF(L770&gt;0,N770*100/L770,0)</f>
        <v>0</v>
      </c>
      <c r="P770" s="640">
        <f t="shared" ref="P770:P775" si="312">IF(M770&gt;0,N770*100/M770,0)</f>
        <v>0</v>
      </c>
      <c r="Q770" s="597"/>
      <c r="R770" s="597"/>
      <c r="S770" s="597"/>
      <c r="T770" s="597"/>
      <c r="U770" s="597"/>
      <c r="V770" s="597"/>
      <c r="W770" s="597"/>
      <c r="X770" s="597"/>
      <c r="Y770" s="597"/>
      <c r="Z770" s="597"/>
    </row>
    <row r="771" spans="1:26" ht="18.75" hidden="1">
      <c r="A771" s="592"/>
      <c r="B771" s="750"/>
      <c r="C771" s="750"/>
      <c r="D771" s="711"/>
      <c r="E771" s="750" t="s">
        <v>184</v>
      </c>
      <c r="F771" s="750"/>
      <c r="G771" s="596"/>
      <c r="H771" s="165" t="s">
        <v>12</v>
      </c>
      <c r="I771" s="610"/>
      <c r="J771" s="610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597"/>
      <c r="R771" s="597"/>
      <c r="S771" s="597"/>
      <c r="T771" s="597"/>
      <c r="U771" s="597"/>
      <c r="V771" s="597"/>
      <c r="W771" s="597"/>
      <c r="X771" s="597"/>
      <c r="Y771" s="597"/>
      <c r="Z771" s="597"/>
    </row>
    <row r="772" spans="1:26" ht="18.75" hidden="1">
      <c r="A772" s="592"/>
      <c r="B772" s="600"/>
      <c r="C772" s="750"/>
      <c r="D772" s="711"/>
      <c r="E772" s="750" t="s">
        <v>185</v>
      </c>
      <c r="F772" s="750"/>
      <c r="G772" s="596"/>
      <c r="H772" s="165" t="s">
        <v>12</v>
      </c>
      <c r="I772" s="610"/>
      <c r="J772" s="610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597"/>
      <c r="R772" s="597"/>
      <c r="S772" s="597"/>
      <c r="T772" s="597"/>
      <c r="U772" s="597"/>
      <c r="V772" s="597"/>
      <c r="W772" s="597"/>
      <c r="X772" s="597"/>
      <c r="Y772" s="597"/>
      <c r="Z772" s="597"/>
    </row>
    <row r="773" spans="1:26" ht="19.5" hidden="1">
      <c r="A773" s="592"/>
      <c r="B773" s="600"/>
      <c r="C773" s="750"/>
      <c r="D773" s="638" t="s">
        <v>20</v>
      </c>
      <c r="E773" s="750"/>
      <c r="F773" s="750"/>
      <c r="G773" s="596"/>
      <c r="H773" s="639" t="s">
        <v>12</v>
      </c>
      <c r="I773" s="166"/>
      <c r="J773" s="166"/>
      <c r="K773" s="167"/>
      <c r="L773" s="640">
        <f t="shared" ref="L773:N773" si="314">L774+L775</f>
        <v>0</v>
      </c>
      <c r="M773" s="640">
        <f t="shared" si="314"/>
        <v>0</v>
      </c>
      <c r="N773" s="640">
        <f t="shared" si="314"/>
        <v>0</v>
      </c>
      <c r="O773" s="640">
        <f t="shared" si="311"/>
        <v>0</v>
      </c>
      <c r="P773" s="640">
        <f t="shared" si="312"/>
        <v>0</v>
      </c>
      <c r="Q773" s="597"/>
      <c r="R773" s="597"/>
      <c r="S773" s="597"/>
      <c r="T773" s="597"/>
      <c r="U773" s="597"/>
      <c r="V773" s="597"/>
      <c r="W773" s="597"/>
      <c r="X773" s="597"/>
      <c r="Y773" s="597"/>
      <c r="Z773" s="597"/>
    </row>
    <row r="774" spans="1:26" ht="18.75" hidden="1">
      <c r="A774" s="592"/>
      <c r="B774" s="600"/>
      <c r="C774" s="750"/>
      <c r="D774" s="711"/>
      <c r="E774" s="750" t="s">
        <v>184</v>
      </c>
      <c r="F774" s="750"/>
      <c r="G774" s="596"/>
      <c r="H774" s="165" t="s">
        <v>12</v>
      </c>
      <c r="I774" s="610"/>
      <c r="J774" s="610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597"/>
      <c r="R774" s="597"/>
      <c r="S774" s="597"/>
      <c r="T774" s="597"/>
      <c r="U774" s="597"/>
      <c r="V774" s="597"/>
      <c r="W774" s="597"/>
      <c r="X774" s="597"/>
      <c r="Y774" s="597"/>
      <c r="Z774" s="597"/>
    </row>
    <row r="775" spans="1:26" ht="18.75" hidden="1">
      <c r="A775" s="592"/>
      <c r="B775" s="600"/>
      <c r="C775" s="750"/>
      <c r="D775" s="711"/>
      <c r="E775" s="750" t="s">
        <v>185</v>
      </c>
      <c r="F775" s="750"/>
      <c r="G775" s="596"/>
      <c r="H775" s="165" t="s">
        <v>12</v>
      </c>
      <c r="I775" s="610"/>
      <c r="J775" s="610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597"/>
      <c r="R775" s="597"/>
      <c r="S775" s="597"/>
      <c r="T775" s="597"/>
      <c r="U775" s="597"/>
      <c r="V775" s="597"/>
      <c r="W775" s="597"/>
      <c r="X775" s="597"/>
      <c r="Y775" s="597"/>
      <c r="Z775" s="597"/>
    </row>
    <row r="776" spans="1:26" ht="18.75" hidden="1">
      <c r="A776" s="642"/>
      <c r="B776" s="600"/>
      <c r="C776" s="750"/>
      <c r="D776" s="750"/>
      <c r="E776" s="750"/>
      <c r="F776" s="750" t="s">
        <v>186</v>
      </c>
      <c r="G776" s="596"/>
      <c r="H776" s="165" t="s">
        <v>12</v>
      </c>
      <c r="I776" s="610"/>
      <c r="J776" s="610"/>
      <c r="K776" s="93"/>
      <c r="L776" s="93"/>
      <c r="M776" s="93"/>
      <c r="N776" s="93"/>
      <c r="O776" s="93"/>
      <c r="P776" s="93"/>
      <c r="Q776" s="597"/>
      <c r="R776" s="597"/>
      <c r="S776" s="597"/>
      <c r="T776" s="597"/>
      <c r="U776" s="597"/>
      <c r="V776" s="597"/>
      <c r="W776" s="597"/>
      <c r="X776" s="597"/>
      <c r="Y776" s="597"/>
      <c r="Z776" s="597"/>
    </row>
    <row r="777" spans="1:26" ht="18.75" hidden="1">
      <c r="A777" s="642"/>
      <c r="B777" s="600"/>
      <c r="C777" s="750"/>
      <c r="D777" s="750"/>
      <c r="E777" s="750"/>
      <c r="F777" s="750" t="s">
        <v>187</v>
      </c>
      <c r="G777" s="596"/>
      <c r="H777" s="165" t="s">
        <v>12</v>
      </c>
      <c r="I777" s="610"/>
      <c r="J777" s="610"/>
      <c r="K777" s="93"/>
      <c r="L777" s="93"/>
      <c r="M777" s="93"/>
      <c r="N777" s="93"/>
      <c r="O777" s="93"/>
      <c r="P777" s="93"/>
      <c r="Q777" s="597"/>
      <c r="R777" s="597"/>
      <c r="S777" s="597"/>
      <c r="T777" s="597"/>
      <c r="U777" s="597"/>
      <c r="V777" s="597"/>
      <c r="W777" s="597"/>
      <c r="X777" s="597"/>
      <c r="Y777" s="597"/>
      <c r="Z777" s="597"/>
    </row>
    <row r="778" spans="1:26" ht="18.75" hidden="1">
      <c r="A778" s="642"/>
      <c r="B778" s="600"/>
      <c r="C778" s="750"/>
      <c r="D778" s="750"/>
      <c r="E778" s="750"/>
      <c r="F778" s="750" t="s">
        <v>188</v>
      </c>
      <c r="G778" s="596"/>
      <c r="H778" s="165" t="s">
        <v>12</v>
      </c>
      <c r="I778" s="610"/>
      <c r="J778" s="610"/>
      <c r="K778" s="93"/>
      <c r="L778" s="93"/>
      <c r="M778" s="93"/>
      <c r="N778" s="93"/>
      <c r="O778" s="93"/>
      <c r="P778" s="93"/>
      <c r="Q778" s="597"/>
      <c r="R778" s="597"/>
      <c r="S778" s="597"/>
      <c r="T778" s="597"/>
      <c r="U778" s="597"/>
      <c r="V778" s="597"/>
      <c r="W778" s="597"/>
      <c r="X778" s="597"/>
      <c r="Y778" s="597"/>
      <c r="Z778" s="597"/>
    </row>
    <row r="779" spans="1:26" ht="18.75" hidden="1">
      <c r="A779" s="642"/>
      <c r="B779" s="600"/>
      <c r="C779" s="750"/>
      <c r="D779" s="750"/>
      <c r="E779" s="750"/>
      <c r="F779" s="750" t="s">
        <v>189</v>
      </c>
      <c r="G779" s="596"/>
      <c r="H779" s="165" t="s">
        <v>12</v>
      </c>
      <c r="I779" s="610"/>
      <c r="J779" s="610"/>
      <c r="K779" s="93"/>
      <c r="L779" s="93"/>
      <c r="M779" s="93"/>
      <c r="N779" s="93"/>
      <c r="O779" s="93"/>
      <c r="P779" s="93"/>
      <c r="Q779" s="597"/>
      <c r="R779" s="597"/>
      <c r="S779" s="597"/>
      <c r="T779" s="597"/>
      <c r="U779" s="597"/>
      <c r="V779" s="597"/>
      <c r="W779" s="597"/>
      <c r="X779" s="597"/>
      <c r="Y779" s="597"/>
      <c r="Z779" s="597"/>
    </row>
    <row r="780" spans="1:26" ht="19.5" hidden="1">
      <c r="A780" s="592"/>
      <c r="B780" s="600"/>
      <c r="C780" s="750"/>
      <c r="D780" s="638" t="s">
        <v>21</v>
      </c>
      <c r="E780" s="750"/>
      <c r="F780" s="750"/>
      <c r="G780" s="596"/>
      <c r="H780" s="774" t="s">
        <v>12</v>
      </c>
      <c r="I780" s="166"/>
      <c r="J780" s="166"/>
      <c r="K780" s="167"/>
      <c r="L780" s="640">
        <f t="shared" ref="L780:N780" si="315">L781+L782</f>
        <v>0</v>
      </c>
      <c r="M780" s="640">
        <f t="shared" si="315"/>
        <v>0</v>
      </c>
      <c r="N780" s="640">
        <f t="shared" si="315"/>
        <v>0</v>
      </c>
      <c r="O780" s="640">
        <f t="shared" ref="O780:O782" si="316">IF(L780&gt;0,N780*100/L780,0)</f>
        <v>0</v>
      </c>
      <c r="P780" s="640">
        <f t="shared" ref="P780:P782" si="317">IF(M780&gt;0,N780*100/M780,0)</f>
        <v>0</v>
      </c>
      <c r="Q780" s="597"/>
      <c r="R780" s="597"/>
      <c r="S780" s="597"/>
      <c r="T780" s="597"/>
      <c r="U780" s="597"/>
      <c r="V780" s="597"/>
      <c r="W780" s="597"/>
      <c r="X780" s="597"/>
      <c r="Y780" s="597"/>
      <c r="Z780" s="597"/>
    </row>
    <row r="781" spans="1:26" ht="18.75" hidden="1">
      <c r="A781" s="592"/>
      <c r="B781" s="600"/>
      <c r="C781" s="750"/>
      <c r="D781" s="750"/>
      <c r="E781" s="750" t="s">
        <v>18</v>
      </c>
      <c r="F781" s="750"/>
      <c r="G781" s="596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597"/>
      <c r="R781" s="597"/>
      <c r="S781" s="597"/>
      <c r="T781" s="597"/>
      <c r="U781" s="597"/>
      <c r="V781" s="597"/>
      <c r="W781" s="597"/>
      <c r="X781" s="597"/>
      <c r="Y781" s="597"/>
      <c r="Z781" s="597"/>
    </row>
    <row r="782" spans="1:26" ht="18.75" hidden="1">
      <c r="A782" s="592"/>
      <c r="B782" s="600"/>
      <c r="C782" s="750"/>
      <c r="D782" s="750"/>
      <c r="E782" s="750" t="s">
        <v>19</v>
      </c>
      <c r="F782" s="750"/>
      <c r="G782" s="596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597"/>
      <c r="R782" s="597"/>
      <c r="S782" s="597"/>
      <c r="T782" s="597"/>
      <c r="U782" s="597"/>
      <c r="V782" s="597"/>
      <c r="W782" s="597"/>
      <c r="X782" s="597"/>
      <c r="Y782" s="597"/>
      <c r="Z782" s="597"/>
    </row>
    <row r="783" spans="1:26" ht="19.5" hidden="1">
      <c r="A783" s="607"/>
      <c r="B783" s="609"/>
      <c r="C783" s="750" t="s">
        <v>16</v>
      </c>
      <c r="D783" s="841" t="s">
        <v>38</v>
      </c>
      <c r="E783" s="644"/>
      <c r="F783" s="644"/>
      <c r="G783" s="645"/>
      <c r="H783" s="792"/>
      <c r="I783" s="166"/>
      <c r="J783" s="166"/>
      <c r="K783" s="167"/>
      <c r="L783" s="167"/>
      <c r="M783" s="167"/>
      <c r="N783" s="167"/>
      <c r="O783" s="167"/>
      <c r="P783" s="167"/>
      <c r="Q783" s="597"/>
      <c r="R783" s="597"/>
      <c r="S783" s="597"/>
      <c r="T783" s="597"/>
      <c r="U783" s="597"/>
      <c r="V783" s="597"/>
      <c r="W783" s="597"/>
      <c r="X783" s="597"/>
      <c r="Y783" s="597"/>
      <c r="Z783" s="597"/>
    </row>
    <row r="784" spans="1:26" ht="18.75" hidden="1">
      <c r="A784" s="642"/>
      <c r="B784" s="600"/>
      <c r="C784" s="750"/>
      <c r="D784" s="750"/>
      <c r="E784" s="750" t="s">
        <v>318</v>
      </c>
      <c r="F784" s="750"/>
      <c r="G784" s="596"/>
      <c r="H784" s="165" t="s">
        <v>46</v>
      </c>
      <c r="I784" s="610"/>
      <c r="J784" s="610"/>
      <c r="K784" s="93"/>
      <c r="L784" s="93"/>
      <c r="M784" s="93"/>
      <c r="N784" s="93"/>
      <c r="O784" s="93"/>
      <c r="P784" s="93"/>
      <c r="Q784" s="597"/>
      <c r="R784" s="597"/>
      <c r="S784" s="597"/>
      <c r="T784" s="597"/>
      <c r="U784" s="597"/>
      <c r="V784" s="597"/>
      <c r="W784" s="597"/>
      <c r="X784" s="597"/>
      <c r="Y784" s="597"/>
      <c r="Z784" s="597"/>
    </row>
    <row r="785" spans="1:26" ht="19.5">
      <c r="A785" s="793">
        <v>12</v>
      </c>
      <c r="B785" s="794" t="s">
        <v>319</v>
      </c>
      <c r="C785" s="795"/>
      <c r="D785" s="795"/>
      <c r="E785" s="795"/>
      <c r="F785" s="795"/>
      <c r="G785" s="796"/>
      <c r="H785" s="797" t="s">
        <v>46</v>
      </c>
      <c r="I785" s="799">
        <f t="shared" ref="I785:J785" ca="1" si="318">I800</f>
        <v>5000</v>
      </c>
      <c r="J785" s="799">
        <f t="shared" ca="1" si="318"/>
        <v>0</v>
      </c>
      <c r="K785" s="800">
        <f ca="1">IF(I785&gt;0,J785*100/I785,0)</f>
        <v>0</v>
      </c>
      <c r="L785" s="801"/>
      <c r="M785" s="801"/>
      <c r="N785" s="801"/>
      <c r="O785" s="801"/>
      <c r="P785" s="801"/>
      <c r="Q785" s="571"/>
      <c r="R785" s="571"/>
      <c r="S785" s="571"/>
      <c r="T785" s="571"/>
      <c r="U785" s="571"/>
      <c r="V785" s="571"/>
      <c r="W785" s="571"/>
      <c r="X785" s="571"/>
      <c r="Y785" s="571"/>
      <c r="Z785" s="571"/>
    </row>
    <row r="786" spans="1:26" ht="19.5">
      <c r="A786" s="590"/>
      <c r="B786" s="568"/>
      <c r="C786" s="754" t="s">
        <v>16</v>
      </c>
      <c r="D786" s="863" t="s">
        <v>17</v>
      </c>
      <c r="E786" s="857"/>
      <c r="F786" s="857"/>
      <c r="G786" s="189"/>
      <c r="H786" s="591" t="s">
        <v>12</v>
      </c>
      <c r="I786" s="269"/>
      <c r="J786" s="269"/>
      <c r="K786" s="496"/>
      <c r="L786" s="195">
        <f t="shared" ref="L786:N786" ca="1" si="319">L787+L788</f>
        <v>335200</v>
      </c>
      <c r="M786" s="195">
        <f t="shared" si="319"/>
        <v>0</v>
      </c>
      <c r="N786" s="195">
        <f t="shared" si="319"/>
        <v>26000</v>
      </c>
      <c r="O786" s="195">
        <f t="shared" ref="O786:O791" ca="1" si="320">IF(L786&gt;0,N786*100/L786,0)</f>
        <v>7.7565632458233891</v>
      </c>
      <c r="P786" s="195">
        <f t="shared" ref="P786:P791" si="321">IF(M786&gt;0,N786*100/M786,0)</f>
        <v>0</v>
      </c>
      <c r="Q786" s="571"/>
      <c r="R786" s="571"/>
      <c r="S786" s="571"/>
      <c r="T786" s="571"/>
      <c r="U786" s="571"/>
      <c r="V786" s="571"/>
      <c r="W786" s="571"/>
      <c r="X786" s="571"/>
      <c r="Y786" s="571"/>
      <c r="Z786" s="571"/>
    </row>
    <row r="787" spans="1:26" ht="18.75" hidden="1">
      <c r="A787" s="592"/>
      <c r="B787" s="600"/>
      <c r="C787" s="750"/>
      <c r="D787" s="711"/>
      <c r="E787" s="750" t="s">
        <v>184</v>
      </c>
      <c r="F787" s="750"/>
      <c r="G787" s="596"/>
      <c r="H787" s="165" t="s">
        <v>12</v>
      </c>
      <c r="I787" s="610"/>
      <c r="J787" s="610"/>
      <c r="K787" s="93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597"/>
      <c r="R787" s="597"/>
      <c r="S787" s="597"/>
      <c r="T787" s="597"/>
      <c r="U787" s="597"/>
      <c r="V787" s="597"/>
      <c r="W787" s="597"/>
      <c r="X787" s="597"/>
      <c r="Y787" s="597"/>
      <c r="Z787" s="597"/>
    </row>
    <row r="788" spans="1:26" ht="18.75" hidden="1">
      <c r="A788" s="592"/>
      <c r="B788" s="600"/>
      <c r="C788" s="600"/>
      <c r="D788" s="609"/>
      <c r="E788" s="750" t="s">
        <v>185</v>
      </c>
      <c r="F788" s="750"/>
      <c r="G788" s="596"/>
      <c r="H788" s="165" t="s">
        <v>12</v>
      </c>
      <c r="I788" s="610"/>
      <c r="J788" s="610"/>
      <c r="K788" s="93"/>
      <c r="L788" s="93">
        <f t="shared" ca="1" si="322"/>
        <v>335200</v>
      </c>
      <c r="M788" s="93">
        <f t="shared" si="322"/>
        <v>0</v>
      </c>
      <c r="N788" s="93">
        <f t="shared" si="322"/>
        <v>26000</v>
      </c>
      <c r="O788" s="93">
        <f t="shared" ca="1" si="320"/>
        <v>7.7565632458233891</v>
      </c>
      <c r="P788" s="93">
        <f t="shared" si="321"/>
        <v>0</v>
      </c>
      <c r="Q788" s="597"/>
      <c r="R788" s="597"/>
      <c r="S788" s="597"/>
      <c r="T788" s="597"/>
      <c r="U788" s="597"/>
      <c r="V788" s="597"/>
      <c r="W788" s="597"/>
      <c r="X788" s="597"/>
      <c r="Y788" s="597"/>
      <c r="Z788" s="597"/>
    </row>
    <row r="789" spans="1:26" ht="18.75">
      <c r="A789" s="590"/>
      <c r="B789" s="568"/>
      <c r="C789" s="568"/>
      <c r="D789" s="599" t="s">
        <v>20</v>
      </c>
      <c r="E789" s="754"/>
      <c r="F789" s="754"/>
      <c r="G789" s="189"/>
      <c r="H789" s="161" t="s">
        <v>12</v>
      </c>
      <c r="I789" s="184"/>
      <c r="J789" s="184"/>
      <c r="K789" s="163"/>
      <c r="L789" s="496">
        <f t="shared" ref="L789:N789" ca="1" si="323">L790+L791</f>
        <v>335200</v>
      </c>
      <c r="M789" s="496">
        <f t="shared" si="323"/>
        <v>0</v>
      </c>
      <c r="N789" s="496">
        <f t="shared" si="323"/>
        <v>26000</v>
      </c>
      <c r="O789" s="496">
        <f t="shared" ca="1" si="320"/>
        <v>7.7565632458233891</v>
      </c>
      <c r="P789" s="496">
        <f t="shared" si="321"/>
        <v>0</v>
      </c>
      <c r="Q789" s="571"/>
      <c r="R789" s="571"/>
      <c r="S789" s="571"/>
      <c r="T789" s="571"/>
      <c r="U789" s="571"/>
      <c r="V789" s="571"/>
      <c r="W789" s="571"/>
      <c r="X789" s="571"/>
      <c r="Y789" s="571"/>
      <c r="Z789" s="571"/>
    </row>
    <row r="790" spans="1:26" ht="18.75" hidden="1">
      <c r="A790" s="592"/>
      <c r="B790" s="600"/>
      <c r="C790" s="600"/>
      <c r="D790" s="609"/>
      <c r="E790" s="750" t="s">
        <v>184</v>
      </c>
      <c r="F790" s="750"/>
      <c r="G790" s="596"/>
      <c r="H790" s="165" t="s">
        <v>12</v>
      </c>
      <c r="I790" s="610"/>
      <c r="J790" s="610"/>
      <c r="K790" s="93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597"/>
      <c r="R790" s="597"/>
      <c r="S790" s="597"/>
      <c r="T790" s="597"/>
      <c r="U790" s="597"/>
      <c r="V790" s="597"/>
      <c r="W790" s="597"/>
      <c r="X790" s="597"/>
      <c r="Y790" s="597"/>
      <c r="Z790" s="597"/>
    </row>
    <row r="791" spans="1:26" ht="18.75" hidden="1">
      <c r="A791" s="592"/>
      <c r="B791" s="600"/>
      <c r="C791" s="600"/>
      <c r="D791" s="609"/>
      <c r="E791" s="750" t="s">
        <v>185</v>
      </c>
      <c r="F791" s="750"/>
      <c r="G791" s="596"/>
      <c r="H791" s="165" t="s">
        <v>12</v>
      </c>
      <c r="I791" s="610"/>
      <c r="J791" s="610"/>
      <c r="K791" s="93"/>
      <c r="L791" s="93">
        <f ca="1">IFERROR(__xludf.DUMMYFUNCTION("IMPORTRANGE(""https://docs.google.com/spreadsheets/d/1QqKyyYR6Q21VydFLVH3TRQUabQu_ym0Zz7PgGX0-kHA/edit?usp=sharing"",""แผน!JJ69"")"),335200)</f>
        <v>335200</v>
      </c>
      <c r="M791" s="93">
        <v>0</v>
      </c>
      <c r="N791" s="93">
        <f>N792+N793+N794+N795</f>
        <v>26000</v>
      </c>
      <c r="O791" s="93">
        <f t="shared" ca="1" si="320"/>
        <v>7.7565632458233891</v>
      </c>
      <c r="P791" s="93">
        <f t="shared" si="321"/>
        <v>0</v>
      </c>
      <c r="Q791" s="597"/>
      <c r="R791" s="597"/>
      <c r="S791" s="597"/>
      <c r="T791" s="597"/>
      <c r="U791" s="597"/>
      <c r="V791" s="597"/>
      <c r="W791" s="597"/>
      <c r="X791" s="597"/>
      <c r="Y791" s="597"/>
      <c r="Z791" s="597"/>
    </row>
    <row r="792" spans="1:26" ht="18.75">
      <c r="A792" s="567"/>
      <c r="B792" s="568"/>
      <c r="C792" s="754"/>
      <c r="D792" s="754"/>
      <c r="E792" s="754"/>
      <c r="F792" s="754" t="s">
        <v>186</v>
      </c>
      <c r="G792" s="189"/>
      <c r="H792" s="161" t="s">
        <v>12</v>
      </c>
      <c r="I792" s="269"/>
      <c r="J792" s="269"/>
      <c r="K792" s="496"/>
      <c r="L792" s="496"/>
      <c r="M792" s="496"/>
      <c r="N792" s="817">
        <v>0</v>
      </c>
      <c r="O792" s="496"/>
      <c r="P792" s="496"/>
      <c r="Q792" s="571"/>
      <c r="R792" s="571"/>
      <c r="S792" s="571"/>
      <c r="T792" s="571"/>
      <c r="U792" s="571"/>
      <c r="V792" s="571"/>
      <c r="W792" s="571"/>
      <c r="X792" s="571"/>
      <c r="Y792" s="571"/>
      <c r="Z792" s="571"/>
    </row>
    <row r="793" spans="1:26" ht="18.75">
      <c r="A793" s="567"/>
      <c r="B793" s="568"/>
      <c r="C793" s="754"/>
      <c r="D793" s="754"/>
      <c r="E793" s="754"/>
      <c r="F793" s="754" t="s">
        <v>187</v>
      </c>
      <c r="G793" s="189"/>
      <c r="H793" s="161" t="s">
        <v>12</v>
      </c>
      <c r="I793" s="269"/>
      <c r="J793" s="269"/>
      <c r="K793" s="496"/>
      <c r="L793" s="496"/>
      <c r="M793" s="496"/>
      <c r="N793" s="817">
        <v>0</v>
      </c>
      <c r="O793" s="496"/>
      <c r="P793" s="496"/>
      <c r="Q793" s="571"/>
      <c r="R793" s="571"/>
      <c r="S793" s="571"/>
      <c r="T793" s="571"/>
      <c r="U793" s="571"/>
      <c r="V793" s="571"/>
      <c r="W793" s="571"/>
      <c r="X793" s="571"/>
      <c r="Y793" s="571"/>
      <c r="Z793" s="571"/>
    </row>
    <row r="794" spans="1:26" ht="18.75">
      <c r="A794" s="567"/>
      <c r="B794" s="568"/>
      <c r="C794" s="754"/>
      <c r="D794" s="754"/>
      <c r="E794" s="754"/>
      <c r="F794" s="754" t="s">
        <v>188</v>
      </c>
      <c r="G794" s="189"/>
      <c r="H794" s="161" t="s">
        <v>12</v>
      </c>
      <c r="I794" s="269"/>
      <c r="J794" s="269"/>
      <c r="K794" s="496"/>
      <c r="L794" s="496"/>
      <c r="M794" s="496"/>
      <c r="N794" s="817">
        <v>26000</v>
      </c>
      <c r="O794" s="496"/>
      <c r="P794" s="496"/>
      <c r="Q794" s="571"/>
      <c r="R794" s="571"/>
      <c r="S794" s="571"/>
      <c r="T794" s="571"/>
      <c r="U794" s="571"/>
      <c r="V794" s="571"/>
      <c r="W794" s="571"/>
      <c r="X794" s="571"/>
      <c r="Y794" s="571"/>
      <c r="Z794" s="571"/>
    </row>
    <row r="795" spans="1:26" ht="18.75">
      <c r="A795" s="567"/>
      <c r="B795" s="568"/>
      <c r="C795" s="754"/>
      <c r="D795" s="754"/>
      <c r="E795" s="754"/>
      <c r="F795" s="754" t="s">
        <v>189</v>
      </c>
      <c r="G795" s="189"/>
      <c r="H795" s="161" t="s">
        <v>12</v>
      </c>
      <c r="I795" s="269"/>
      <c r="J795" s="269"/>
      <c r="K795" s="496"/>
      <c r="L795" s="496"/>
      <c r="M795" s="496"/>
      <c r="N795" s="817">
        <v>0</v>
      </c>
      <c r="O795" s="496"/>
      <c r="P795" s="496"/>
      <c r="Q795" s="571"/>
      <c r="R795" s="571"/>
      <c r="S795" s="571"/>
      <c r="T795" s="571"/>
      <c r="U795" s="571"/>
      <c r="V795" s="571"/>
      <c r="W795" s="571"/>
      <c r="X795" s="571"/>
      <c r="Y795" s="571"/>
      <c r="Z795" s="571"/>
    </row>
    <row r="796" spans="1:26" ht="18.75">
      <c r="A796" s="590"/>
      <c r="B796" s="568"/>
      <c r="C796" s="754"/>
      <c r="D796" s="599" t="s">
        <v>21</v>
      </c>
      <c r="E796" s="754"/>
      <c r="F796" s="754"/>
      <c r="G796" s="189"/>
      <c r="H796" s="168" t="s">
        <v>12</v>
      </c>
      <c r="I796" s="184"/>
      <c r="J796" s="184"/>
      <c r="K796" s="163"/>
      <c r="L796" s="496">
        <f t="shared" ref="L796:N796" si="324">L797+L798</f>
        <v>0</v>
      </c>
      <c r="M796" s="496">
        <f t="shared" si="324"/>
        <v>0</v>
      </c>
      <c r="N796" s="496">
        <f t="shared" si="324"/>
        <v>0</v>
      </c>
      <c r="O796" s="496">
        <f t="shared" ref="O796:O798" si="325">IF(L796&gt;0,N796*100/L796,0)</f>
        <v>0</v>
      </c>
      <c r="P796" s="496">
        <f t="shared" ref="P796:P798" si="326">IF(M796&gt;0,N796*100/M796,0)</f>
        <v>0</v>
      </c>
      <c r="Q796" s="571"/>
      <c r="R796" s="571"/>
      <c r="S796" s="571"/>
      <c r="T796" s="571"/>
      <c r="U796" s="571"/>
      <c r="V796" s="571"/>
      <c r="W796" s="571"/>
      <c r="X796" s="571"/>
      <c r="Y796" s="571"/>
      <c r="Z796" s="571"/>
    </row>
    <row r="797" spans="1:26" ht="18.75" hidden="1">
      <c r="A797" s="592"/>
      <c r="B797" s="600"/>
      <c r="C797" s="750"/>
      <c r="D797" s="750"/>
      <c r="E797" s="750" t="s">
        <v>18</v>
      </c>
      <c r="F797" s="750"/>
      <c r="G797" s="596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597"/>
      <c r="R797" s="597"/>
      <c r="S797" s="597"/>
      <c r="T797" s="597"/>
      <c r="U797" s="597"/>
      <c r="V797" s="597"/>
      <c r="W797" s="597"/>
      <c r="X797" s="597"/>
      <c r="Y797" s="597"/>
      <c r="Z797" s="597"/>
    </row>
    <row r="798" spans="1:26" ht="18.75" hidden="1">
      <c r="A798" s="592"/>
      <c r="B798" s="600"/>
      <c r="C798" s="750"/>
      <c r="D798" s="750"/>
      <c r="E798" s="750" t="s">
        <v>19</v>
      </c>
      <c r="F798" s="750"/>
      <c r="G798" s="596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597"/>
      <c r="R798" s="597"/>
      <c r="S798" s="597"/>
      <c r="T798" s="597"/>
      <c r="U798" s="597"/>
      <c r="V798" s="597"/>
      <c r="W798" s="597"/>
      <c r="X798" s="597"/>
      <c r="Y798" s="597"/>
      <c r="Z798" s="597"/>
    </row>
    <row r="799" spans="1:26" ht="19.5">
      <c r="A799" s="601"/>
      <c r="B799" s="611"/>
      <c r="C799" s="754" t="s">
        <v>16</v>
      </c>
      <c r="D799" s="840" t="s">
        <v>38</v>
      </c>
      <c r="E799" s="752"/>
      <c r="F799" s="752"/>
      <c r="G799" s="606"/>
      <c r="H799" s="802"/>
      <c r="I799" s="184"/>
      <c r="J799" s="184"/>
      <c r="K799" s="163"/>
      <c r="L799" s="163"/>
      <c r="M799" s="163"/>
      <c r="N799" s="163"/>
      <c r="O799" s="163"/>
      <c r="P799" s="163"/>
      <c r="Q799" s="571"/>
      <c r="R799" s="571"/>
      <c r="S799" s="571"/>
      <c r="T799" s="571"/>
      <c r="U799" s="571"/>
      <c r="V799" s="571"/>
      <c r="W799" s="571"/>
      <c r="X799" s="571"/>
      <c r="Y799" s="571"/>
      <c r="Z799" s="571"/>
    </row>
    <row r="800" spans="1:26" ht="18.75">
      <c r="A800" s="601"/>
      <c r="B800" s="611"/>
      <c r="C800" s="611"/>
      <c r="D800" s="611"/>
      <c r="E800" s="619"/>
      <c r="F800" s="619" t="s">
        <v>320</v>
      </c>
      <c r="G800" s="753"/>
      <c r="H800" s="185" t="s">
        <v>46</v>
      </c>
      <c r="I800" s="184">
        <f ca="1">IFERROR(__xludf.DUMMYFUNCTION("IMPORTRANGE(""https://docs.google.com/spreadsheets/d/1QqKyyYR6Q21VydFLVH3TRQUabQu_ym0Zz7PgGX0-kHA/edit?usp=sharing"",""แผน!JN69"")"),5000)</f>
        <v>5000</v>
      </c>
      <c r="J800" s="184">
        <f ca="1">IFERROR(__xludf.DUMMYFUNCTION("IMPORTRANGE(""https://docs.google.com/spreadsheets/d/1MaWodYyGHDf7siQLGxnXhG4mBNTNIuy296niS2xXulU/edit?usp=sharing"",""RTK!H69"")"),0)</f>
        <v>0</v>
      </c>
      <c r="K800" s="496">
        <f ca="1">IF(I800&gt;0,J800*100/I800,0)</f>
        <v>0</v>
      </c>
      <c r="L800" s="496"/>
      <c r="M800" s="496"/>
      <c r="N800" s="496"/>
      <c r="O800" s="163"/>
      <c r="P800" s="163"/>
      <c r="Q800" s="571"/>
      <c r="R800" s="571"/>
      <c r="S800" s="571"/>
      <c r="T800" s="571"/>
      <c r="U800" s="571"/>
      <c r="V800" s="571"/>
      <c r="W800" s="571"/>
      <c r="X800" s="571"/>
      <c r="Y800" s="571"/>
      <c r="Z800" s="571"/>
    </row>
    <row r="801" spans="1:26" ht="18.75">
      <c r="A801" s="601"/>
      <c r="B801" s="611"/>
      <c r="C801" s="611"/>
      <c r="D801" s="611"/>
      <c r="E801" s="619"/>
      <c r="F801" s="619"/>
      <c r="G801" s="753"/>
      <c r="H801" s="161" t="s">
        <v>34</v>
      </c>
      <c r="I801" s="184"/>
      <c r="J801" s="269">
        <f ca="1">IFERROR(__xludf.DUMMYFUNCTION("IMPORTRANGE(""https://docs.google.com/spreadsheets/d/1MaWodYyGHDf7siQLGxnXhG4mBNTNIuy296niS2xXulU/edit?usp=sharing"",""RTK!I69"")"),0)</f>
        <v>0</v>
      </c>
      <c r="K801" s="496"/>
      <c r="L801" s="496"/>
      <c r="M801" s="496"/>
      <c r="N801" s="496"/>
      <c r="O801" s="163"/>
      <c r="P801" s="163"/>
      <c r="Q801" s="571"/>
      <c r="R801" s="571"/>
      <c r="S801" s="571"/>
      <c r="T801" s="571"/>
      <c r="U801" s="571"/>
      <c r="V801" s="571"/>
      <c r="W801" s="571"/>
      <c r="X801" s="571"/>
      <c r="Y801" s="571"/>
      <c r="Z801" s="571"/>
    </row>
    <row r="802" spans="1:26" ht="18.75" hidden="1">
      <c r="A802" s="607"/>
      <c r="B802" s="609"/>
      <c r="C802" s="609"/>
      <c r="D802" s="609"/>
      <c r="E802" s="711"/>
      <c r="F802" s="711" t="s">
        <v>321</v>
      </c>
      <c r="G802" s="365"/>
      <c r="H802" s="646" t="s">
        <v>46</v>
      </c>
      <c r="I802" s="166"/>
      <c r="J802" s="610"/>
      <c r="K802" s="167">
        <f>IF(I802&gt;0,J802*100/I802,0)</f>
        <v>0</v>
      </c>
      <c r="L802" s="167"/>
      <c r="M802" s="167"/>
      <c r="N802" s="167"/>
      <c r="O802" s="167"/>
      <c r="P802" s="167"/>
      <c r="Q802" s="597"/>
      <c r="R802" s="597"/>
      <c r="S802" s="597"/>
      <c r="T802" s="597"/>
      <c r="U802" s="597"/>
      <c r="V802" s="597"/>
      <c r="W802" s="597"/>
      <c r="X802" s="597"/>
      <c r="Y802" s="597"/>
      <c r="Z802" s="597"/>
    </row>
    <row r="803" spans="1:26" ht="18.75" hidden="1">
      <c r="A803" s="607"/>
      <c r="B803" s="609"/>
      <c r="C803" s="609"/>
      <c r="D803" s="609"/>
      <c r="E803" s="711"/>
      <c r="F803" s="711"/>
      <c r="G803" s="365"/>
      <c r="H803" s="646" t="s">
        <v>34</v>
      </c>
      <c r="I803" s="166"/>
      <c r="J803" s="610"/>
      <c r="K803" s="167"/>
      <c r="L803" s="167"/>
      <c r="M803" s="167"/>
      <c r="N803" s="167"/>
      <c r="O803" s="167"/>
      <c r="P803" s="167"/>
      <c r="Q803" s="597"/>
      <c r="R803" s="597"/>
      <c r="S803" s="597"/>
      <c r="T803" s="597"/>
      <c r="U803" s="597"/>
      <c r="V803" s="597"/>
      <c r="W803" s="597"/>
      <c r="X803" s="597"/>
      <c r="Y803" s="597"/>
      <c r="Z803" s="597"/>
    </row>
    <row r="804" spans="1:26" ht="19.5" hidden="1">
      <c r="A804" s="784">
        <v>13</v>
      </c>
      <c r="B804" s="785" t="s">
        <v>322</v>
      </c>
      <c r="C804" s="786"/>
      <c r="D804" s="803"/>
      <c r="E804" s="786"/>
      <c r="F804" s="786"/>
      <c r="G804" s="787"/>
      <c r="H804" s="788" t="s">
        <v>46</v>
      </c>
      <c r="I804" s="789"/>
      <c r="J804" s="789">
        <f>J819</f>
        <v>0</v>
      </c>
      <c r="K804" s="790">
        <f>IF(I804&gt;0,J804*100/I804,0)</f>
        <v>0</v>
      </c>
      <c r="L804" s="791"/>
      <c r="M804" s="791"/>
      <c r="N804" s="791"/>
      <c r="O804" s="791"/>
      <c r="P804" s="791"/>
      <c r="Q804" s="597"/>
      <c r="R804" s="597"/>
      <c r="S804" s="597"/>
      <c r="T804" s="597"/>
      <c r="U804" s="597"/>
      <c r="V804" s="597"/>
      <c r="W804" s="597"/>
      <c r="X804" s="597"/>
      <c r="Y804" s="597"/>
      <c r="Z804" s="597"/>
    </row>
    <row r="805" spans="1:26" ht="19.5" hidden="1">
      <c r="A805" s="592"/>
      <c r="B805" s="750"/>
      <c r="C805" s="750" t="s">
        <v>16</v>
      </c>
      <c r="D805" s="864" t="s">
        <v>17</v>
      </c>
      <c r="E805" s="857"/>
      <c r="F805" s="857"/>
      <c r="G805" s="596"/>
      <c r="H805" s="639" t="s">
        <v>12</v>
      </c>
      <c r="I805" s="610"/>
      <c r="J805" s="610"/>
      <c r="K805" s="93"/>
      <c r="L805" s="640">
        <f t="shared" ref="L805:N805" si="327">L806+L807</f>
        <v>0</v>
      </c>
      <c r="M805" s="640">
        <f t="shared" si="327"/>
        <v>0</v>
      </c>
      <c r="N805" s="640">
        <f t="shared" si="327"/>
        <v>0</v>
      </c>
      <c r="O805" s="640">
        <f t="shared" ref="O805:O810" si="328">IF(L805&gt;0,N805*100/L805,0)</f>
        <v>0</v>
      </c>
      <c r="P805" s="640">
        <f t="shared" ref="P805:P810" si="329">IF(M805&gt;0,N805*100/M805,0)</f>
        <v>0</v>
      </c>
      <c r="Q805" s="597"/>
      <c r="R805" s="597"/>
      <c r="S805" s="597"/>
      <c r="T805" s="597"/>
      <c r="U805" s="597"/>
      <c r="V805" s="597"/>
      <c r="W805" s="597"/>
      <c r="X805" s="597"/>
      <c r="Y805" s="597"/>
      <c r="Z805" s="597"/>
    </row>
    <row r="806" spans="1:26" ht="18.75" hidden="1">
      <c r="A806" s="592"/>
      <c r="B806" s="750"/>
      <c r="C806" s="750"/>
      <c r="D806" s="609"/>
      <c r="E806" s="750" t="s">
        <v>184</v>
      </c>
      <c r="F806" s="750"/>
      <c r="G806" s="596"/>
      <c r="H806" s="165" t="s">
        <v>12</v>
      </c>
      <c r="I806" s="610"/>
      <c r="J806" s="610"/>
      <c r="K806" s="93"/>
      <c r="L806" s="93">
        <f t="shared" ref="L806:N807" si="330">L809+L816</f>
        <v>0</v>
      </c>
      <c r="M806" s="93">
        <f t="shared" si="330"/>
        <v>0</v>
      </c>
      <c r="N806" s="93">
        <f t="shared" si="330"/>
        <v>0</v>
      </c>
      <c r="O806" s="93">
        <f t="shared" si="328"/>
        <v>0</v>
      </c>
      <c r="P806" s="93">
        <f t="shared" si="329"/>
        <v>0</v>
      </c>
      <c r="Q806" s="597"/>
      <c r="R806" s="597"/>
      <c r="S806" s="597"/>
      <c r="T806" s="597"/>
      <c r="U806" s="597"/>
      <c r="V806" s="597"/>
      <c r="W806" s="597"/>
      <c r="X806" s="597"/>
      <c r="Y806" s="597"/>
      <c r="Z806" s="597"/>
    </row>
    <row r="807" spans="1:26" ht="18.75" hidden="1">
      <c r="A807" s="592"/>
      <c r="B807" s="750"/>
      <c r="C807" s="750"/>
      <c r="D807" s="609"/>
      <c r="E807" s="750" t="s">
        <v>185</v>
      </c>
      <c r="F807" s="750"/>
      <c r="G807" s="596"/>
      <c r="H807" s="165" t="s">
        <v>12</v>
      </c>
      <c r="I807" s="610"/>
      <c r="J807" s="610"/>
      <c r="K807" s="93"/>
      <c r="L807" s="93">
        <f t="shared" si="330"/>
        <v>0</v>
      </c>
      <c r="M807" s="93">
        <f t="shared" si="330"/>
        <v>0</v>
      </c>
      <c r="N807" s="93">
        <f t="shared" si="330"/>
        <v>0</v>
      </c>
      <c r="O807" s="93">
        <f t="shared" si="328"/>
        <v>0</v>
      </c>
      <c r="P807" s="93">
        <f t="shared" si="329"/>
        <v>0</v>
      </c>
      <c r="Q807" s="597"/>
      <c r="R807" s="597"/>
      <c r="S807" s="597"/>
      <c r="T807" s="597"/>
      <c r="U807" s="597"/>
      <c r="V807" s="597"/>
      <c r="W807" s="597"/>
      <c r="X807" s="597"/>
      <c r="Y807" s="597"/>
      <c r="Z807" s="597"/>
    </row>
    <row r="808" spans="1:26" ht="19.5" hidden="1">
      <c r="A808" s="592"/>
      <c r="B808" s="600"/>
      <c r="C808" s="750"/>
      <c r="D808" s="869" t="s">
        <v>20</v>
      </c>
      <c r="E808" s="857"/>
      <c r="F808" s="857"/>
      <c r="G808" s="596"/>
      <c r="H808" s="639" t="s">
        <v>12</v>
      </c>
      <c r="I808" s="166"/>
      <c r="J808" s="166"/>
      <c r="K808" s="167"/>
      <c r="L808" s="640">
        <f t="shared" ref="L808:N808" si="331">L809+L810</f>
        <v>0</v>
      </c>
      <c r="M808" s="640">
        <f t="shared" si="331"/>
        <v>0</v>
      </c>
      <c r="N808" s="640">
        <f t="shared" si="331"/>
        <v>0</v>
      </c>
      <c r="O808" s="640">
        <f t="shared" si="328"/>
        <v>0</v>
      </c>
      <c r="P808" s="640">
        <f t="shared" si="329"/>
        <v>0</v>
      </c>
      <c r="Q808" s="597"/>
      <c r="R808" s="597"/>
      <c r="S808" s="597"/>
      <c r="T808" s="597"/>
      <c r="U808" s="597"/>
      <c r="V808" s="597"/>
      <c r="W808" s="597"/>
      <c r="X808" s="597"/>
      <c r="Y808" s="597"/>
      <c r="Z808" s="597"/>
    </row>
    <row r="809" spans="1:26" ht="18.75" hidden="1">
      <c r="A809" s="592"/>
      <c r="B809" s="750"/>
      <c r="C809" s="750"/>
      <c r="D809" s="609"/>
      <c r="E809" s="750" t="s">
        <v>184</v>
      </c>
      <c r="F809" s="750"/>
      <c r="G809" s="596"/>
      <c r="H809" s="165" t="s">
        <v>12</v>
      </c>
      <c r="I809" s="610"/>
      <c r="J809" s="610"/>
      <c r="K809" s="93"/>
      <c r="L809" s="93">
        <v>0</v>
      </c>
      <c r="M809" s="93">
        <v>0</v>
      </c>
      <c r="N809" s="93">
        <v>0</v>
      </c>
      <c r="O809" s="93">
        <f t="shared" si="328"/>
        <v>0</v>
      </c>
      <c r="P809" s="93">
        <f t="shared" si="329"/>
        <v>0</v>
      </c>
      <c r="Q809" s="597"/>
      <c r="R809" s="597"/>
      <c r="S809" s="597"/>
      <c r="T809" s="597"/>
      <c r="U809" s="597"/>
      <c r="V809" s="597"/>
      <c r="W809" s="597"/>
      <c r="X809" s="597"/>
      <c r="Y809" s="597"/>
      <c r="Z809" s="597"/>
    </row>
    <row r="810" spans="1:26" ht="18.75" hidden="1">
      <c r="A810" s="592"/>
      <c r="B810" s="750"/>
      <c r="C810" s="750"/>
      <c r="D810" s="609"/>
      <c r="E810" s="750" t="s">
        <v>185</v>
      </c>
      <c r="F810" s="750"/>
      <c r="G810" s="596"/>
      <c r="H810" s="165" t="s">
        <v>12</v>
      </c>
      <c r="I810" s="610"/>
      <c r="J810" s="610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8"/>
        <v>0</v>
      </c>
      <c r="P810" s="93">
        <f t="shared" si="329"/>
        <v>0</v>
      </c>
      <c r="Q810" s="597"/>
      <c r="R810" s="597"/>
      <c r="S810" s="597"/>
      <c r="T810" s="597"/>
      <c r="U810" s="597"/>
      <c r="V810" s="597"/>
      <c r="W810" s="597"/>
      <c r="X810" s="597"/>
      <c r="Y810" s="597"/>
      <c r="Z810" s="597"/>
    </row>
    <row r="811" spans="1:26" ht="18.75" hidden="1">
      <c r="A811" s="642"/>
      <c r="B811" s="600"/>
      <c r="C811" s="750"/>
      <c r="D811" s="600"/>
      <c r="E811" s="750"/>
      <c r="F811" s="750" t="s">
        <v>186</v>
      </c>
      <c r="G811" s="596"/>
      <c r="H811" s="165" t="s">
        <v>12</v>
      </c>
      <c r="I811" s="610"/>
      <c r="J811" s="610"/>
      <c r="K811" s="93"/>
      <c r="L811" s="93"/>
      <c r="M811" s="93"/>
      <c r="N811" s="93"/>
      <c r="O811" s="93"/>
      <c r="P811" s="93"/>
      <c r="Q811" s="597"/>
      <c r="R811" s="597"/>
      <c r="S811" s="597"/>
      <c r="T811" s="597"/>
      <c r="U811" s="597"/>
      <c r="V811" s="597"/>
      <c r="W811" s="597"/>
      <c r="X811" s="597"/>
      <c r="Y811" s="597"/>
      <c r="Z811" s="597"/>
    </row>
    <row r="812" spans="1:26" ht="18.75" hidden="1">
      <c r="A812" s="642"/>
      <c r="B812" s="600"/>
      <c r="C812" s="750"/>
      <c r="D812" s="600"/>
      <c r="E812" s="750"/>
      <c r="F812" s="750" t="s">
        <v>187</v>
      </c>
      <c r="G812" s="596"/>
      <c r="H812" s="165" t="s">
        <v>12</v>
      </c>
      <c r="I812" s="610"/>
      <c r="J812" s="610"/>
      <c r="K812" s="93"/>
      <c r="L812" s="93"/>
      <c r="M812" s="93"/>
      <c r="N812" s="93"/>
      <c r="O812" s="93"/>
      <c r="P812" s="93"/>
      <c r="Q812" s="597"/>
      <c r="R812" s="597"/>
      <c r="S812" s="597"/>
      <c r="T812" s="597"/>
      <c r="U812" s="597"/>
      <c r="V812" s="597"/>
      <c r="W812" s="597"/>
      <c r="X812" s="597"/>
      <c r="Y812" s="597"/>
      <c r="Z812" s="597"/>
    </row>
    <row r="813" spans="1:26" ht="18.75" hidden="1">
      <c r="A813" s="642"/>
      <c r="B813" s="600"/>
      <c r="C813" s="750"/>
      <c r="D813" s="600"/>
      <c r="E813" s="750"/>
      <c r="F813" s="750" t="s">
        <v>188</v>
      </c>
      <c r="G813" s="596"/>
      <c r="H813" s="165" t="s">
        <v>12</v>
      </c>
      <c r="I813" s="610"/>
      <c r="J813" s="610"/>
      <c r="K813" s="93"/>
      <c r="L813" s="93"/>
      <c r="M813" s="93"/>
      <c r="N813" s="93"/>
      <c r="O813" s="93"/>
      <c r="P813" s="93"/>
      <c r="Q813" s="597"/>
      <c r="R813" s="597"/>
      <c r="S813" s="597"/>
      <c r="T813" s="597"/>
      <c r="U813" s="597"/>
      <c r="V813" s="597"/>
      <c r="W813" s="597"/>
      <c r="X813" s="597"/>
      <c r="Y813" s="597"/>
      <c r="Z813" s="597"/>
    </row>
    <row r="814" spans="1:26" ht="18.75" hidden="1">
      <c r="A814" s="642"/>
      <c r="B814" s="600"/>
      <c r="C814" s="750"/>
      <c r="D814" s="600"/>
      <c r="E814" s="750"/>
      <c r="F814" s="750" t="s">
        <v>189</v>
      </c>
      <c r="G814" s="596"/>
      <c r="H814" s="165" t="s">
        <v>12</v>
      </c>
      <c r="I814" s="610"/>
      <c r="J814" s="610"/>
      <c r="K814" s="93"/>
      <c r="L814" s="93"/>
      <c r="M814" s="93"/>
      <c r="N814" s="93"/>
      <c r="O814" s="93"/>
      <c r="P814" s="93"/>
      <c r="Q814" s="597"/>
      <c r="R814" s="597"/>
      <c r="S814" s="597"/>
      <c r="T814" s="597"/>
      <c r="U814" s="597"/>
      <c r="V814" s="597"/>
      <c r="W814" s="597"/>
      <c r="X814" s="597"/>
      <c r="Y814" s="597"/>
      <c r="Z814" s="597"/>
    </row>
    <row r="815" spans="1:26" ht="19.5" hidden="1">
      <c r="A815" s="592"/>
      <c r="B815" s="600"/>
      <c r="C815" s="750"/>
      <c r="D815" s="869" t="s">
        <v>21</v>
      </c>
      <c r="E815" s="857"/>
      <c r="F815" s="857"/>
      <c r="G815" s="596"/>
      <c r="H815" s="774" t="s">
        <v>12</v>
      </c>
      <c r="I815" s="166"/>
      <c r="J815" s="166"/>
      <c r="K815" s="167"/>
      <c r="L815" s="640">
        <f t="shared" ref="L815:N815" si="332">L816+L817</f>
        <v>0</v>
      </c>
      <c r="M815" s="640">
        <f t="shared" si="332"/>
        <v>0</v>
      </c>
      <c r="N815" s="640">
        <f t="shared" si="332"/>
        <v>0</v>
      </c>
      <c r="O815" s="640">
        <f t="shared" ref="O815:O817" si="333">IF(L815&gt;0,N815*100/L815,0)</f>
        <v>0</v>
      </c>
      <c r="P815" s="640">
        <f t="shared" ref="P815:P817" si="334">IF(M815&gt;0,N815*100/M815,0)</f>
        <v>0</v>
      </c>
      <c r="Q815" s="597"/>
      <c r="R815" s="597"/>
      <c r="S815" s="597"/>
      <c r="T815" s="597"/>
      <c r="U815" s="597"/>
      <c r="V815" s="597"/>
      <c r="W815" s="597"/>
      <c r="X815" s="597"/>
      <c r="Y815" s="597"/>
      <c r="Z815" s="597"/>
    </row>
    <row r="816" spans="1:26" ht="18.75" hidden="1">
      <c r="A816" s="592"/>
      <c r="B816" s="600"/>
      <c r="C816" s="750"/>
      <c r="D816" s="600"/>
      <c r="E816" s="750" t="s">
        <v>18</v>
      </c>
      <c r="F816" s="750"/>
      <c r="G816" s="596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3"/>
        <v>0</v>
      </c>
      <c r="P816" s="93">
        <f t="shared" si="334"/>
        <v>0</v>
      </c>
      <c r="Q816" s="597"/>
      <c r="R816" s="597"/>
      <c r="S816" s="597"/>
      <c r="T816" s="597"/>
      <c r="U816" s="597"/>
      <c r="V816" s="597"/>
      <c r="W816" s="597"/>
      <c r="X816" s="597"/>
      <c r="Y816" s="597"/>
      <c r="Z816" s="597"/>
    </row>
    <row r="817" spans="1:26" ht="18.75" hidden="1">
      <c r="A817" s="592"/>
      <c r="B817" s="600"/>
      <c r="C817" s="750"/>
      <c r="D817" s="600"/>
      <c r="E817" s="750" t="s">
        <v>19</v>
      </c>
      <c r="F817" s="750"/>
      <c r="G817" s="596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3"/>
        <v>0</v>
      </c>
      <c r="P817" s="93">
        <f t="shared" si="334"/>
        <v>0</v>
      </c>
      <c r="Q817" s="597"/>
      <c r="R817" s="597"/>
      <c r="S817" s="597"/>
      <c r="T817" s="597"/>
      <c r="U817" s="597"/>
      <c r="V817" s="597"/>
      <c r="W817" s="597"/>
      <c r="X817" s="597"/>
      <c r="Y817" s="597"/>
      <c r="Z817" s="597"/>
    </row>
    <row r="818" spans="1:26" ht="19.5" hidden="1">
      <c r="A818" s="607"/>
      <c r="B818" s="609"/>
      <c r="C818" s="750" t="s">
        <v>16</v>
      </c>
      <c r="D818" s="842" t="s">
        <v>38</v>
      </c>
      <c r="E818" s="644"/>
      <c r="F818" s="644"/>
      <c r="G818" s="645"/>
      <c r="H818" s="365"/>
      <c r="I818" s="166"/>
      <c r="J818" s="166"/>
      <c r="K818" s="167"/>
      <c r="L818" s="167"/>
      <c r="M818" s="167"/>
      <c r="N818" s="167"/>
      <c r="O818" s="167"/>
      <c r="P818" s="167"/>
      <c r="Q818" s="597"/>
      <c r="R818" s="597"/>
      <c r="S818" s="597"/>
      <c r="T818" s="597"/>
      <c r="U818" s="597"/>
      <c r="V818" s="597"/>
      <c r="W818" s="597"/>
      <c r="X818" s="597"/>
      <c r="Y818" s="597"/>
      <c r="Z818" s="597"/>
    </row>
    <row r="819" spans="1:26" ht="19.5" hidden="1" thickBot="1">
      <c r="A819" s="805"/>
      <c r="B819" s="806"/>
      <c r="C819" s="808"/>
      <c r="D819" s="806"/>
      <c r="E819" s="808" t="s">
        <v>323</v>
      </c>
      <c r="F819" s="808"/>
      <c r="G819" s="809"/>
      <c r="H819" s="810" t="s">
        <v>46</v>
      </c>
      <c r="I819" s="811"/>
      <c r="J819" s="811"/>
      <c r="K819" s="812"/>
      <c r="L819" s="812"/>
      <c r="M819" s="812"/>
      <c r="N819" s="812"/>
      <c r="O819" s="812"/>
      <c r="P819" s="812"/>
      <c r="Q819" s="597"/>
      <c r="R819" s="597"/>
      <c r="S819" s="597"/>
      <c r="T819" s="597"/>
      <c r="U819" s="597"/>
      <c r="V819" s="597"/>
      <c r="W819" s="597"/>
      <c r="X819" s="597"/>
      <c r="Y819" s="597"/>
      <c r="Z819" s="597"/>
    </row>
    <row r="820" spans="1:26" ht="19.5">
      <c r="A820" s="813" t="s">
        <v>331</v>
      </c>
      <c r="B820" s="814"/>
      <c r="C820" s="814"/>
      <c r="D820" s="815"/>
      <c r="E820" s="814"/>
      <c r="F820" s="814"/>
      <c r="G820" s="816"/>
      <c r="H820" s="816"/>
      <c r="I820" s="214"/>
      <c r="J820" s="214"/>
      <c r="K820" s="817"/>
      <c r="L820" s="817"/>
      <c r="M820" s="817"/>
      <c r="N820" s="817"/>
      <c r="O820" s="817"/>
      <c r="P820" s="817"/>
      <c r="Q820" s="571"/>
      <c r="R820" s="571"/>
      <c r="S820" s="571"/>
      <c r="T820" s="571"/>
      <c r="U820" s="571"/>
      <c r="V820" s="571"/>
      <c r="W820" s="571"/>
      <c r="X820" s="571"/>
      <c r="Y820" s="571"/>
      <c r="Z820" s="571"/>
    </row>
    <row r="821" spans="1:26" ht="18.75">
      <c r="A821" s="735"/>
      <c r="B821" s="754" t="s">
        <v>325</v>
      </c>
      <c r="C821" s="754"/>
      <c r="D821" s="568"/>
      <c r="E821" s="754"/>
      <c r="F821" s="754"/>
      <c r="G821" s="189"/>
      <c r="H821" s="616" t="s">
        <v>12</v>
      </c>
      <c r="I821" s="269">
        <f ca="1">IFERROR(__xludf.DUMMYFUNCTION("IMPORTRANGE(""https://docs.google.com/spreadsheets/d/19vJNZY_5yjcGF2XGBMNZRCAIB0Kwfpjp8YEOfu-bneM/edit?usp=sharing"",""งานกองทุน!D69"")"),9558187.43)</f>
        <v>9558187.4299999997</v>
      </c>
      <c r="J821" s="269">
        <f ca="1">IFERROR(__xludf.DUMMYFUNCTION("IMPORTRANGE(""https://docs.google.com/spreadsheets/d/19vJNZY_5yjcGF2XGBMNZRCAIB0Kwfpjp8YEOfu-bneM/edit?usp=sharing"",""งานกองทุน!F69"")"),1030501.23)</f>
        <v>1030501.23</v>
      </c>
      <c r="K821" s="496">
        <f t="shared" ref="K821:K828" ca="1" si="335">IF(I821&gt;0,J821*100/I821,0)</f>
        <v>10.78134570541687</v>
      </c>
      <c r="L821" s="496"/>
      <c r="M821" s="496"/>
      <c r="N821" s="496"/>
      <c r="O821" s="496"/>
      <c r="P821" s="496"/>
      <c r="Q821" s="571"/>
      <c r="R821" s="571"/>
      <c r="S821" s="571"/>
      <c r="T821" s="571"/>
      <c r="U821" s="571"/>
      <c r="V821" s="571"/>
      <c r="W821" s="571"/>
      <c r="X821" s="571"/>
      <c r="Y821" s="571"/>
      <c r="Z821" s="571"/>
    </row>
    <row r="822" spans="1:26" ht="18.75">
      <c r="A822" s="735"/>
      <c r="B822" s="754"/>
      <c r="C822" s="754"/>
      <c r="D822" s="568"/>
      <c r="E822" s="754"/>
      <c r="F822" s="754"/>
      <c r="G822" s="189"/>
      <c r="H822" s="616" t="s">
        <v>35</v>
      </c>
      <c r="I822" s="269">
        <f ca="1">IFERROR(__xludf.DUMMYFUNCTION("IMPORTRANGE(""https://docs.google.com/spreadsheets/d/19vJNZY_5yjcGF2XGBMNZRCAIB0Kwfpjp8YEOfu-bneM/edit?usp=sharing"",""งานกองทุน!C69"")"),600)</f>
        <v>600</v>
      </c>
      <c r="J822" s="269">
        <f ca="1">IFERROR(__xludf.DUMMYFUNCTION("IMPORTRANGE(""https://docs.google.com/spreadsheets/d/19vJNZY_5yjcGF2XGBMNZRCAIB0Kwfpjp8YEOfu-bneM/edit?usp=sharing"",""งานกองทุน!E69"")"),59)</f>
        <v>59</v>
      </c>
      <c r="K822" s="496">
        <f t="shared" ca="1" si="335"/>
        <v>9.8333333333333339</v>
      </c>
      <c r="L822" s="496"/>
      <c r="M822" s="496"/>
      <c r="N822" s="496"/>
      <c r="O822" s="496"/>
      <c r="P822" s="496"/>
      <c r="Q822" s="571"/>
      <c r="R822" s="571"/>
      <c r="S822" s="571"/>
      <c r="T822" s="571"/>
      <c r="U822" s="571"/>
      <c r="V822" s="571"/>
      <c r="W822" s="571"/>
      <c r="X822" s="571"/>
      <c r="Y822" s="571"/>
      <c r="Z822" s="571"/>
    </row>
    <row r="823" spans="1:26" ht="18.75">
      <c r="A823" s="735"/>
      <c r="B823" s="754" t="s">
        <v>326</v>
      </c>
      <c r="C823" s="754"/>
      <c r="D823" s="568"/>
      <c r="E823" s="754"/>
      <c r="F823" s="754"/>
      <c r="G823" s="189"/>
      <c r="H823" s="616" t="s">
        <v>12</v>
      </c>
      <c r="I823" s="269">
        <f ca="1">IFERROR(__xludf.DUMMYFUNCTION("IMPORTRANGE(""https://docs.google.com/spreadsheets/d/19vJNZY_5yjcGF2XGBMNZRCAIB0Kwfpjp8YEOfu-bneM/edit?usp=sharing"",""งานกองทุน!I69"")"),4115054.77)</f>
        <v>4115054.77</v>
      </c>
      <c r="J823" s="269">
        <f ca="1">IFERROR(__xludf.DUMMYFUNCTION("IMPORTRANGE(""https://docs.google.com/spreadsheets/d/19vJNZY_5yjcGF2XGBMNZRCAIB0Kwfpjp8YEOfu-bneM/edit?usp=sharing"",""งานกองทุน!K69"")"),381922.03)</f>
        <v>381922.03</v>
      </c>
      <c r="K823" s="496">
        <f t="shared" ca="1" si="335"/>
        <v>9.2810922659967421</v>
      </c>
      <c r="L823" s="496"/>
      <c r="M823" s="496"/>
      <c r="N823" s="496"/>
      <c r="O823" s="496"/>
      <c r="P823" s="496"/>
      <c r="Q823" s="571"/>
      <c r="R823" s="571"/>
      <c r="S823" s="571"/>
      <c r="T823" s="571"/>
      <c r="U823" s="571"/>
      <c r="V823" s="571"/>
      <c r="W823" s="571"/>
      <c r="X823" s="571"/>
      <c r="Y823" s="571"/>
      <c r="Z823" s="571"/>
    </row>
    <row r="824" spans="1:26" ht="18.75">
      <c r="A824" s="735"/>
      <c r="B824" s="754"/>
      <c r="C824" s="754"/>
      <c r="D824" s="568"/>
      <c r="E824" s="754"/>
      <c r="F824" s="754"/>
      <c r="G824" s="189"/>
      <c r="H824" s="616" t="s">
        <v>35</v>
      </c>
      <c r="I824" s="269">
        <f ca="1">IFERROR(__xludf.DUMMYFUNCTION("IMPORTRANGE(""https://docs.google.com/spreadsheets/d/19vJNZY_5yjcGF2XGBMNZRCAIB0Kwfpjp8YEOfu-bneM/edit?usp=sharing"",""งานกองทุน!H69"")"),163)</f>
        <v>163</v>
      </c>
      <c r="J824" s="269">
        <f ca="1">IFERROR(__xludf.DUMMYFUNCTION("IMPORTRANGE(""https://docs.google.com/spreadsheets/d/19vJNZY_5yjcGF2XGBMNZRCAIB0Kwfpjp8YEOfu-bneM/edit?usp=sharing"",""งานกองทุน!J69"")"),72)</f>
        <v>72</v>
      </c>
      <c r="K824" s="496">
        <f t="shared" ca="1" si="335"/>
        <v>44.171779141104295</v>
      </c>
      <c r="L824" s="496"/>
      <c r="M824" s="496"/>
      <c r="N824" s="496"/>
      <c r="O824" s="496"/>
      <c r="P824" s="496"/>
      <c r="Q824" s="571"/>
      <c r="R824" s="571"/>
      <c r="S824" s="571"/>
      <c r="T824" s="571"/>
      <c r="U824" s="571"/>
      <c r="V824" s="571"/>
      <c r="W824" s="571"/>
      <c r="X824" s="571"/>
      <c r="Y824" s="571"/>
      <c r="Z824" s="571"/>
    </row>
    <row r="825" spans="1:26" ht="18.75">
      <c r="A825" s="735"/>
      <c r="B825" s="754" t="s">
        <v>327</v>
      </c>
      <c r="C825" s="754"/>
      <c r="D825" s="568"/>
      <c r="E825" s="754"/>
      <c r="F825" s="754"/>
      <c r="G825" s="189"/>
      <c r="H825" s="616" t="s">
        <v>12</v>
      </c>
      <c r="I825" s="269">
        <f ca="1">IFERROR(__xludf.DUMMYFUNCTION("IMPORTRANGE(""https://docs.google.com/spreadsheets/d/19vJNZY_5yjcGF2XGBMNZRCAIB0Kwfpjp8YEOfu-bneM/edit?usp=sharing"",""งานกองทุน!N69"")"),0)</f>
        <v>0</v>
      </c>
      <c r="J825" s="269">
        <f ca="1">IFERROR(__xludf.DUMMYFUNCTION("IMPORTRANGE(""https://docs.google.com/spreadsheets/d/19vJNZY_5yjcGF2XGBMNZRCAIB0Kwfpjp8YEOfu-bneM/edit?usp=sharing"",""งานกองทุน!P69"")"),0)</f>
        <v>0</v>
      </c>
      <c r="K825" s="496">
        <f t="shared" ca="1" si="335"/>
        <v>0</v>
      </c>
      <c r="L825" s="496"/>
      <c r="M825" s="496"/>
      <c r="N825" s="496"/>
      <c r="O825" s="496"/>
      <c r="P825" s="496"/>
      <c r="Q825" s="571"/>
      <c r="R825" s="571"/>
      <c r="S825" s="571"/>
      <c r="T825" s="571"/>
      <c r="U825" s="571"/>
      <c r="V825" s="571"/>
      <c r="W825" s="571"/>
      <c r="X825" s="571"/>
      <c r="Y825" s="571"/>
      <c r="Z825" s="571"/>
    </row>
    <row r="826" spans="1:26" ht="18.75">
      <c r="A826" s="735"/>
      <c r="B826" s="754"/>
      <c r="C826" s="754"/>
      <c r="D826" s="568"/>
      <c r="E826" s="754"/>
      <c r="F826" s="754"/>
      <c r="G826" s="189"/>
      <c r="H826" s="616" t="s">
        <v>35</v>
      </c>
      <c r="I826" s="269">
        <f ca="1">IFERROR(__xludf.DUMMYFUNCTION("IMPORTRANGE(""https://docs.google.com/spreadsheets/d/19vJNZY_5yjcGF2XGBMNZRCAIB0Kwfpjp8YEOfu-bneM/edit?usp=sharing"",""งานกองทุน!M69"")"),0)</f>
        <v>0</v>
      </c>
      <c r="J826" s="269">
        <f ca="1">IFERROR(__xludf.DUMMYFUNCTION("IMPORTRANGE(""https://docs.google.com/spreadsheets/d/19vJNZY_5yjcGF2XGBMNZRCAIB0Kwfpjp8YEOfu-bneM/edit?usp=sharing"",""งานกองทุน!O69"")"),0)</f>
        <v>0</v>
      </c>
      <c r="K826" s="496">
        <f t="shared" ca="1" si="335"/>
        <v>0</v>
      </c>
      <c r="L826" s="496"/>
      <c r="M826" s="496"/>
      <c r="N826" s="496"/>
      <c r="O826" s="496"/>
      <c r="P826" s="496"/>
      <c r="Q826" s="571"/>
      <c r="R826" s="571"/>
      <c r="S826" s="571"/>
      <c r="T826" s="571"/>
      <c r="U826" s="571"/>
      <c r="V826" s="571"/>
      <c r="W826" s="571"/>
      <c r="X826" s="571"/>
      <c r="Y826" s="571"/>
      <c r="Z826" s="571"/>
    </row>
    <row r="827" spans="1:26" ht="18.75">
      <c r="A827" s="735"/>
      <c r="B827" s="754" t="s">
        <v>328</v>
      </c>
      <c r="C827" s="754"/>
      <c r="D827" s="568"/>
      <c r="E827" s="754"/>
      <c r="F827" s="754"/>
      <c r="G827" s="189"/>
      <c r="H827" s="616" t="s">
        <v>12</v>
      </c>
      <c r="I827" s="269">
        <f ca="1">IFERROR(__xludf.DUMMYFUNCTION("IMPORTRANGE(""https://docs.google.com/spreadsheets/d/19vJNZY_5yjcGF2XGBMNZRCAIB0Kwfpjp8YEOfu-bneM/edit?usp=sharing"",""งานกองทุน!S69"")"),10000000)</f>
        <v>10000000</v>
      </c>
      <c r="J827" s="269">
        <f ca="1">IFERROR(__xludf.DUMMYFUNCTION("IMPORTRANGE(""https://docs.google.com/spreadsheets/d/19vJNZY_5yjcGF2XGBMNZRCAIB0Kwfpjp8YEOfu-bneM/edit?usp=sharing"",""งานกองทุน!U69"")"),0)</f>
        <v>0</v>
      </c>
      <c r="K827" s="496">
        <f t="shared" ca="1" si="335"/>
        <v>0</v>
      </c>
      <c r="L827" s="496"/>
      <c r="M827" s="496"/>
      <c r="N827" s="496"/>
      <c r="O827" s="496"/>
      <c r="P827" s="496"/>
      <c r="Q827" s="571"/>
      <c r="R827" s="571"/>
      <c r="S827" s="571"/>
      <c r="T827" s="571"/>
      <c r="U827" s="571"/>
      <c r="V827" s="571"/>
      <c r="W827" s="571"/>
      <c r="X827" s="571"/>
      <c r="Y827" s="571"/>
      <c r="Z827" s="571"/>
    </row>
    <row r="828" spans="1:26" ht="18.75">
      <c r="A828" s="738"/>
      <c r="B828" s="740"/>
      <c r="C828" s="740"/>
      <c r="D828" s="739"/>
      <c r="E828" s="740"/>
      <c r="F828" s="740"/>
      <c r="G828" s="818"/>
      <c r="H828" s="819" t="s">
        <v>35</v>
      </c>
      <c r="I828" s="499">
        <f ca="1">IFERROR(__xludf.DUMMYFUNCTION("IMPORTRANGE(""https://docs.google.com/spreadsheets/d/19vJNZY_5yjcGF2XGBMNZRCAIB0Kwfpjp8YEOfu-bneM/edit?usp=sharing"",""งานกองทุน!R69"")"),302)</f>
        <v>302</v>
      </c>
      <c r="J828" s="499">
        <f ca="1">IFERROR(__xludf.DUMMYFUNCTION("IMPORTRANGE(""https://docs.google.com/spreadsheets/d/19vJNZY_5yjcGF2XGBMNZRCAIB0Kwfpjp8YEOfu-bneM/edit?usp=sharing"",""งานกองทุน!T69"")"),0)</f>
        <v>0</v>
      </c>
      <c r="K828" s="500">
        <f t="shared" ca="1" si="335"/>
        <v>0</v>
      </c>
      <c r="L828" s="500"/>
      <c r="M828" s="500"/>
      <c r="N828" s="500"/>
      <c r="O828" s="500"/>
      <c r="P828" s="500"/>
      <c r="Q828" s="571"/>
      <c r="R828" s="571"/>
      <c r="S828" s="571"/>
      <c r="T828" s="571"/>
      <c r="U828" s="571"/>
      <c r="V828" s="571"/>
      <c r="W828" s="571"/>
      <c r="X828" s="571"/>
      <c r="Y828" s="571"/>
      <c r="Z828" s="571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544:F544"/>
    <mergeCell ref="A7:G7"/>
    <mergeCell ref="A17:G17"/>
    <mergeCell ref="A27:G27"/>
    <mergeCell ref="B40:G40"/>
    <mergeCell ref="A50:G50"/>
    <mergeCell ref="B51:G51"/>
    <mergeCell ref="D419:F419"/>
    <mergeCell ref="D444:F444"/>
    <mergeCell ref="D467:F467"/>
    <mergeCell ref="D502:F502"/>
    <mergeCell ref="D523:F523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 gridLines="1"/>
  <pageMargins left="0.23622047244094491" right="0.23622047244094491" top="0.74803149606299213" bottom="0.74803149606299213" header="0" footer="0"/>
  <pageSetup paperSize="9" scale="42" fitToHeight="0" pageOrder="overThenDown" orientation="portrait" cellComments="atEnd" r:id="rId1"/>
  <headerFooter>
    <oddFooter>&amp;Cหน้า &amp;P/&amp;N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D4754A-A35B-4711-B615-7B1814C8B307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activeCell="A2" sqref="A2:P2"/>
      <selection pane="bottomLeft" activeCell="A2" sqref="A2:P2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9" width="18.7109375" bestFit="1" customWidth="1"/>
    <col min="10" max="10" width="12.5703125" bestFit="1" customWidth="1"/>
    <col min="11" max="11" width="12.5703125" customWidth="1"/>
    <col min="12" max="13" width="21.28515625" bestFit="1" customWidth="1"/>
    <col min="14" max="14" width="18.7109375" bestFit="1" customWidth="1"/>
    <col min="15" max="16" width="17.5703125" customWidth="1"/>
  </cols>
  <sheetData>
    <row r="1" spans="1:26" ht="19.5">
      <c r="A1" s="844" t="s">
        <v>0</v>
      </c>
      <c r="B1" s="845"/>
      <c r="C1" s="845"/>
      <c r="D1" s="845"/>
      <c r="E1" s="845"/>
      <c r="F1" s="845"/>
      <c r="G1" s="845"/>
      <c r="H1" s="845"/>
      <c r="I1" s="845"/>
      <c r="J1" s="845"/>
      <c r="K1" s="845"/>
      <c r="L1" s="845"/>
      <c r="M1" s="845"/>
      <c r="N1" s="845"/>
      <c r="O1" s="845"/>
      <c r="P1" s="845"/>
    </row>
    <row r="2" spans="1:26" ht="19.5">
      <c r="A2" s="844" t="s">
        <v>356</v>
      </c>
      <c r="B2" s="845"/>
      <c r="C2" s="845"/>
      <c r="D2" s="845"/>
      <c r="E2" s="845"/>
      <c r="F2" s="845"/>
      <c r="G2" s="845"/>
      <c r="H2" s="845"/>
      <c r="I2" s="845"/>
      <c r="J2" s="845"/>
      <c r="K2" s="845"/>
      <c r="L2" s="845"/>
      <c r="M2" s="845"/>
      <c r="N2" s="845"/>
      <c r="O2" s="845"/>
      <c r="P2" s="845"/>
    </row>
    <row r="3" spans="1:26" ht="19.5">
      <c r="A3" s="844" t="s">
        <v>347</v>
      </c>
      <c r="B3" s="845"/>
      <c r="C3" s="845"/>
      <c r="D3" s="845"/>
      <c r="E3" s="845"/>
      <c r="F3" s="845"/>
      <c r="G3" s="845"/>
      <c r="H3" s="845"/>
      <c r="I3" s="845"/>
      <c r="J3" s="845"/>
      <c r="K3" s="845"/>
      <c r="L3" s="845"/>
      <c r="M3" s="845"/>
      <c r="N3" s="845"/>
      <c r="O3" s="845"/>
      <c r="P3" s="845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52" t="s">
        <v>2</v>
      </c>
      <c r="B5" s="845"/>
      <c r="C5" s="845"/>
      <c r="D5" s="845"/>
      <c r="E5" s="845"/>
      <c r="F5" s="845"/>
      <c r="G5" s="853"/>
      <c r="H5" s="846" t="s">
        <v>3</v>
      </c>
      <c r="I5" s="848" t="s">
        <v>4</v>
      </c>
      <c r="J5" s="849"/>
      <c r="K5" s="847"/>
      <c r="L5" s="850" t="s">
        <v>5</v>
      </c>
      <c r="M5" s="847"/>
      <c r="N5" s="851" t="s">
        <v>6</v>
      </c>
      <c r="O5" s="849"/>
      <c r="P5" s="847"/>
    </row>
    <row r="6" spans="1:26" ht="19.5">
      <c r="A6" s="854"/>
      <c r="B6" s="849"/>
      <c r="C6" s="849"/>
      <c r="D6" s="849"/>
      <c r="E6" s="849"/>
      <c r="F6" s="849"/>
      <c r="G6" s="847"/>
      <c r="H6" s="847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55" t="s">
        <v>15</v>
      </c>
      <c r="B7" s="849"/>
      <c r="C7" s="849"/>
      <c r="D7" s="849"/>
      <c r="E7" s="849"/>
      <c r="F7" s="849"/>
      <c r="G7" s="847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4070279</v>
      </c>
      <c r="M8" s="22">
        <f t="shared" ca="1" si="0"/>
        <v>1534008</v>
      </c>
      <c r="N8" s="22">
        <f t="shared" ca="1" si="0"/>
        <v>865547.85</v>
      </c>
      <c r="O8" s="22">
        <f t="shared" ref="O8:O16" ca="1" si="1">IF(L8&gt;0,N8*100/L8,0)</f>
        <v>21.265074212357433</v>
      </c>
      <c r="P8" s="22">
        <f t="shared" ref="P8:P16" ca="1" si="2">IF(M8&gt;0,N8*100/M8,0)</f>
        <v>56.423946289719481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4070279</v>
      </c>
      <c r="M10" s="30">
        <f t="shared" ca="1" si="3"/>
        <v>1534008</v>
      </c>
      <c r="N10" s="30">
        <f t="shared" ca="1" si="3"/>
        <v>865547.85</v>
      </c>
      <c r="O10" s="30">
        <f t="shared" ca="1" si="1"/>
        <v>21.265074212357433</v>
      </c>
      <c r="P10" s="30">
        <f t="shared" ca="1" si="2"/>
        <v>56.423946289719481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16" t="s">
        <v>12</v>
      </c>
      <c r="I11" s="269"/>
      <c r="J11" s="269"/>
      <c r="K11" s="496"/>
      <c r="L11" s="496">
        <f t="shared" ref="L11:N11" ca="1" si="4">L12+L13</f>
        <v>3956479</v>
      </c>
      <c r="M11" s="496">
        <f t="shared" ca="1" si="4"/>
        <v>1420208</v>
      </c>
      <c r="N11" s="496">
        <f t="shared" ca="1" si="4"/>
        <v>751747.85</v>
      </c>
      <c r="O11" s="496">
        <f t="shared" ca="1" si="1"/>
        <v>19.000425630971375</v>
      </c>
      <c r="P11" s="496">
        <f t="shared" ca="1" si="2"/>
        <v>52.93223598233498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2" t="s">
        <v>18</v>
      </c>
      <c r="F12" s="40"/>
      <c r="G12" s="42"/>
      <c r="H12" s="43" t="s">
        <v>12</v>
      </c>
      <c r="I12" s="610"/>
      <c r="J12" s="610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2" t="s">
        <v>19</v>
      </c>
      <c r="F13" s="40"/>
      <c r="G13" s="42"/>
      <c r="H13" s="43" t="s">
        <v>12</v>
      </c>
      <c r="I13" s="610"/>
      <c r="J13" s="610"/>
      <c r="K13" s="93"/>
      <c r="L13" s="93">
        <f t="shared" ca="1" si="5"/>
        <v>3956479</v>
      </c>
      <c r="M13" s="93">
        <f t="shared" ca="1" si="5"/>
        <v>1420208</v>
      </c>
      <c r="N13" s="93">
        <f t="shared" ca="1" si="5"/>
        <v>751747.85</v>
      </c>
      <c r="O13" s="93">
        <f t="shared" ca="1" si="1"/>
        <v>19.000425630971375</v>
      </c>
      <c r="P13" s="93">
        <f t="shared" ca="1" si="2"/>
        <v>52.93223598233498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16" t="s">
        <v>12</v>
      </c>
      <c r="I14" s="269"/>
      <c r="J14" s="269"/>
      <c r="K14" s="496"/>
      <c r="L14" s="496">
        <f t="shared" ref="L14:N14" ca="1" si="6">L15+L16</f>
        <v>113800</v>
      </c>
      <c r="M14" s="496">
        <f t="shared" ca="1" si="6"/>
        <v>113800</v>
      </c>
      <c r="N14" s="496">
        <f t="shared" ca="1" si="6"/>
        <v>113800</v>
      </c>
      <c r="O14" s="496">
        <f t="shared" ca="1" si="1"/>
        <v>100</v>
      </c>
      <c r="P14" s="496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2" t="s">
        <v>18</v>
      </c>
      <c r="F15" s="40"/>
      <c r="G15" s="42"/>
      <c r="H15" s="43" t="s">
        <v>12</v>
      </c>
      <c r="I15" s="610"/>
      <c r="J15" s="610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113800</v>
      </c>
      <c r="M16" s="52">
        <f t="shared" ca="1" si="7"/>
        <v>113800</v>
      </c>
      <c r="N16" s="52">
        <f t="shared" ca="1" si="7"/>
        <v>113800</v>
      </c>
      <c r="O16" s="52">
        <f t="shared" ca="1" si="1"/>
        <v>100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55" t="s">
        <v>22</v>
      </c>
      <c r="B17" s="849"/>
      <c r="C17" s="849"/>
      <c r="D17" s="849"/>
      <c r="E17" s="849"/>
      <c r="F17" s="849"/>
      <c r="G17" s="847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2913016</v>
      </c>
      <c r="M18" s="22">
        <f t="shared" ca="1" si="8"/>
        <v>1534008</v>
      </c>
      <c r="N18" s="22">
        <f t="shared" ca="1" si="8"/>
        <v>865547.85</v>
      </c>
      <c r="O18" s="22">
        <f t="shared" ref="O18:O26" ca="1" si="9">IF(L18&gt;0,N18*100/L18,0)</f>
        <v>29.713116920744685</v>
      </c>
      <c r="P18" s="22">
        <f t="shared" ref="P18:P26" ca="1" si="10">IF(M18&gt;0,N18*100/M18,0)</f>
        <v>56.423946289719481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2913016</v>
      </c>
      <c r="M20" s="30">
        <f t="shared" ca="1" si="11"/>
        <v>1534008</v>
      </c>
      <c r="N20" s="30">
        <f t="shared" ca="1" si="11"/>
        <v>865547.85</v>
      </c>
      <c r="O20" s="30">
        <f t="shared" ca="1" si="9"/>
        <v>29.713116920744685</v>
      </c>
      <c r="P20" s="30">
        <f t="shared" ca="1" si="10"/>
        <v>56.423946289719481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16" t="s">
        <v>12</v>
      </c>
      <c r="I21" s="269"/>
      <c r="J21" s="269"/>
      <c r="K21" s="496"/>
      <c r="L21" s="496">
        <f t="shared" ref="L21:N21" ca="1" si="12">L22+L23</f>
        <v>2799216</v>
      </c>
      <c r="M21" s="496">
        <f t="shared" ca="1" si="12"/>
        <v>1420208</v>
      </c>
      <c r="N21" s="496">
        <f t="shared" ca="1" si="12"/>
        <v>751747.85</v>
      </c>
      <c r="O21" s="496">
        <f t="shared" ca="1" si="9"/>
        <v>26.855657083983516</v>
      </c>
      <c r="P21" s="496">
        <f t="shared" ca="1" si="10"/>
        <v>52.93223598233498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2" t="s">
        <v>18</v>
      </c>
      <c r="F22" s="40"/>
      <c r="G22" s="42"/>
      <c r="H22" s="43" t="s">
        <v>12</v>
      </c>
      <c r="I22" s="610"/>
      <c r="J22" s="610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2" t="s">
        <v>19</v>
      </c>
      <c r="F23" s="40"/>
      <c r="G23" s="42"/>
      <c r="H23" s="43" t="s">
        <v>12</v>
      </c>
      <c r="I23" s="610"/>
      <c r="J23" s="610"/>
      <c r="K23" s="93"/>
      <c r="L23" s="93">
        <f t="shared" ca="1" si="13"/>
        <v>2799216</v>
      </c>
      <c r="M23" s="93">
        <f t="shared" ca="1" si="13"/>
        <v>1420208</v>
      </c>
      <c r="N23" s="93">
        <f t="shared" ca="1" si="13"/>
        <v>751747.85</v>
      </c>
      <c r="O23" s="93">
        <f t="shared" ca="1" si="9"/>
        <v>26.855657083983516</v>
      </c>
      <c r="P23" s="93">
        <f t="shared" ca="1" si="10"/>
        <v>52.93223598233498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16" t="s">
        <v>12</v>
      </c>
      <c r="I24" s="269"/>
      <c r="J24" s="269"/>
      <c r="K24" s="496"/>
      <c r="L24" s="496">
        <f t="shared" ref="L24:N24" ca="1" si="14">L25+L26</f>
        <v>113800</v>
      </c>
      <c r="M24" s="496">
        <f t="shared" ca="1" si="14"/>
        <v>113800</v>
      </c>
      <c r="N24" s="496">
        <f t="shared" ca="1" si="14"/>
        <v>113800</v>
      </c>
      <c r="O24" s="496">
        <f t="shared" ca="1" si="9"/>
        <v>100</v>
      </c>
      <c r="P24" s="496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2" t="s">
        <v>18</v>
      </c>
      <c r="F25" s="40"/>
      <c r="G25" s="42"/>
      <c r="H25" s="43" t="s">
        <v>12</v>
      </c>
      <c r="I25" s="610"/>
      <c r="J25" s="610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113800</v>
      </c>
      <c r="M26" s="52">
        <f t="shared" ca="1" si="15"/>
        <v>113800</v>
      </c>
      <c r="N26" s="52">
        <f t="shared" ca="1" si="15"/>
        <v>113800</v>
      </c>
      <c r="O26" s="52">
        <f t="shared" ca="1" si="9"/>
        <v>100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55" t="s">
        <v>23</v>
      </c>
      <c r="B27" s="849"/>
      <c r="C27" s="849"/>
      <c r="D27" s="849"/>
      <c r="E27" s="849"/>
      <c r="F27" s="849"/>
      <c r="G27" s="847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1157263</v>
      </c>
      <c r="M28" s="22">
        <f t="shared" si="16"/>
        <v>0</v>
      </c>
      <c r="N28" s="22">
        <f t="shared" si="16"/>
        <v>0</v>
      </c>
      <c r="O28" s="22">
        <f t="shared" ref="O28:O37" ca="1" si="17">IF(L28&gt;0,N28*100/L28,0)</f>
        <v>0</v>
      </c>
      <c r="P28" s="22">
        <f t="shared" ref="P28:P37" si="18">IF(M28&gt;0,N28*100/M28,0)</f>
        <v>0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1157263</v>
      </c>
      <c r="M30" s="30">
        <f t="shared" si="19"/>
        <v>0</v>
      </c>
      <c r="N30" s="30">
        <f t="shared" si="19"/>
        <v>0</v>
      </c>
      <c r="O30" s="30">
        <f t="shared" ca="1" si="17"/>
        <v>0</v>
      </c>
      <c r="P30" s="30">
        <f t="shared" si="18"/>
        <v>0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16" t="s">
        <v>12</v>
      </c>
      <c r="I31" s="269"/>
      <c r="J31" s="269"/>
      <c r="K31" s="496"/>
      <c r="L31" s="496">
        <f t="shared" ref="L31:N31" ca="1" si="20">L32+L33</f>
        <v>1157263</v>
      </c>
      <c r="M31" s="496">
        <f t="shared" si="20"/>
        <v>0</v>
      </c>
      <c r="N31" s="496">
        <f t="shared" si="20"/>
        <v>0</v>
      </c>
      <c r="O31" s="496">
        <f t="shared" ca="1" si="17"/>
        <v>0</v>
      </c>
      <c r="P31" s="496">
        <f t="shared" si="18"/>
        <v>0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2" t="s">
        <v>18</v>
      </c>
      <c r="F32" s="40"/>
      <c r="G32" s="42"/>
      <c r="H32" s="43" t="s">
        <v>12</v>
      </c>
      <c r="I32" s="610"/>
      <c r="J32" s="610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2" t="s">
        <v>19</v>
      </c>
      <c r="F33" s="40"/>
      <c r="G33" s="42"/>
      <c r="H33" s="43" t="s">
        <v>12</v>
      </c>
      <c r="I33" s="610"/>
      <c r="J33" s="610"/>
      <c r="K33" s="93"/>
      <c r="L33" s="93">
        <f t="shared" ca="1" si="21"/>
        <v>1157263</v>
      </c>
      <c r="M33" s="93">
        <f t="shared" si="21"/>
        <v>0</v>
      </c>
      <c r="N33" s="93">
        <f t="shared" si="21"/>
        <v>0</v>
      </c>
      <c r="O33" s="93">
        <f t="shared" ca="1" si="17"/>
        <v>0</v>
      </c>
      <c r="P33" s="93">
        <f t="shared" si="18"/>
        <v>0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16" t="s">
        <v>12</v>
      </c>
      <c r="I34" s="269"/>
      <c r="J34" s="269"/>
      <c r="K34" s="496"/>
      <c r="L34" s="496">
        <f t="shared" ref="L34:N34" ca="1" si="22">L35+L36</f>
        <v>0</v>
      </c>
      <c r="M34" s="496">
        <f t="shared" si="22"/>
        <v>0</v>
      </c>
      <c r="N34" s="496">
        <f t="shared" si="22"/>
        <v>0</v>
      </c>
      <c r="O34" s="496">
        <f t="shared" ca="1" si="17"/>
        <v>0</v>
      </c>
      <c r="P34" s="496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2" t="s">
        <v>18</v>
      </c>
      <c r="F35" s="40"/>
      <c r="G35" s="42"/>
      <c r="H35" s="43" t="s">
        <v>12</v>
      </c>
      <c r="I35" s="610"/>
      <c r="J35" s="610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53" t="s">
        <v>24</v>
      </c>
      <c r="B37" s="54"/>
      <c r="C37" s="54"/>
      <c r="D37" s="54"/>
      <c r="E37" s="54"/>
      <c r="F37" s="54"/>
      <c r="G37" s="55"/>
      <c r="H37" s="56"/>
      <c r="I37" s="423"/>
      <c r="J37" s="423"/>
      <c r="K37" s="58"/>
      <c r="L37" s="59">
        <f t="shared" ref="L37:N37" ca="1" si="24">L41+L53+L66+L88+L119+L132+L149+L165+L181+L261+L277+L298+L315+L328+L345+L389+L402</f>
        <v>2913016</v>
      </c>
      <c r="M37" s="59">
        <f t="shared" ca="1" si="24"/>
        <v>1534008</v>
      </c>
      <c r="N37" s="59">
        <f t="shared" ca="1" si="24"/>
        <v>865547.85</v>
      </c>
      <c r="O37" s="59">
        <f t="shared" ca="1" si="17"/>
        <v>29.713116920744685</v>
      </c>
      <c r="P37" s="59">
        <f t="shared" ca="1" si="18"/>
        <v>56.423946289719481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56" t="s">
        <v>27</v>
      </c>
      <c r="C40" s="857"/>
      <c r="D40" s="857"/>
      <c r="E40" s="857"/>
      <c r="F40" s="857"/>
      <c r="G40" s="858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20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474896</v>
      </c>
      <c r="M41" s="85">
        <f t="shared" ca="1" si="25"/>
        <v>245888</v>
      </c>
      <c r="N41" s="85">
        <f t="shared" ca="1" si="25"/>
        <v>148794</v>
      </c>
      <c r="O41" s="85">
        <f t="shared" ref="O41:O49" ca="1" si="26">IF(L41&gt;0,N41*100/L41,0)</f>
        <v>31.331912671405949</v>
      </c>
      <c r="P41" s="85">
        <f t="shared" ref="P41:P49" ca="1" si="27">IF(M41&gt;0,N41*100/M41,0)</f>
        <v>60.512916449765747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474896</v>
      </c>
      <c r="M43" s="92">
        <f t="shared" ca="1" si="28"/>
        <v>245888</v>
      </c>
      <c r="N43" s="92">
        <f t="shared" ca="1" si="28"/>
        <v>148794</v>
      </c>
      <c r="O43" s="92">
        <f t="shared" ca="1" si="26"/>
        <v>31.331912671405949</v>
      </c>
      <c r="P43" s="92">
        <f t="shared" ca="1" si="27"/>
        <v>60.512916449765747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16" t="s">
        <v>12</v>
      </c>
      <c r="I44" s="269"/>
      <c r="J44" s="269"/>
      <c r="K44" s="496"/>
      <c r="L44" s="496">
        <f t="shared" ref="L44:N44" ca="1" si="29">L45+L46</f>
        <v>474896</v>
      </c>
      <c r="M44" s="496">
        <f t="shared" ca="1" si="29"/>
        <v>245888</v>
      </c>
      <c r="N44" s="496">
        <f t="shared" ca="1" si="29"/>
        <v>148794</v>
      </c>
      <c r="O44" s="496">
        <f t="shared" ca="1" si="26"/>
        <v>31.331912671405949</v>
      </c>
      <c r="P44" s="496">
        <f t="shared" ca="1" si="27"/>
        <v>60.512916449765747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2" t="s">
        <v>18</v>
      </c>
      <c r="F45" s="40"/>
      <c r="G45" s="42"/>
      <c r="H45" s="43" t="s">
        <v>12</v>
      </c>
      <c r="I45" s="610"/>
      <c r="J45" s="610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2" t="s">
        <v>19</v>
      </c>
      <c r="F46" s="40"/>
      <c r="G46" s="42"/>
      <c r="H46" s="43" t="s">
        <v>12</v>
      </c>
      <c r="I46" s="610"/>
      <c r="J46" s="610"/>
      <c r="K46" s="93"/>
      <c r="L46" s="93">
        <f ca="1">IFERROR(__xludf.DUMMYFUNCTION("IMPORTRANGE(""https://docs.google.com/spreadsheets/d/1MeEWN-I1oV_STSDYn1IFDPWt_1FKiwhDph83XaGc0o0/edit?usp=sharing"",""งบพรบ!M70"")"),474896)</f>
        <v>474896</v>
      </c>
      <c r="M46" s="93">
        <f ca="1">IFERROR(__xludf.DUMMYFUNCTION("IMPORTRANGE(""https://docs.google.com/spreadsheets/d/1MeEWN-I1oV_STSDYn1IFDPWt_1FKiwhDph83XaGc0o0/edit?usp=sharing"",""งบพรบ!R70"")"),245888)</f>
        <v>245888</v>
      </c>
      <c r="N46" s="93">
        <f ca="1">IFERROR(__xludf.DUMMYFUNCTION("IMPORTRANGE(""https://docs.google.com/spreadsheets/d/1MeEWN-I1oV_STSDYn1IFDPWt_1FKiwhDph83XaGc0o0/edit?usp=sharing"",""งบพรบ!T70"")"),148794)</f>
        <v>148794</v>
      </c>
      <c r="O46" s="93">
        <f t="shared" ca="1" si="26"/>
        <v>31.331912671405949</v>
      </c>
      <c r="P46" s="93">
        <f t="shared" ca="1" si="27"/>
        <v>60.512916449765747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16" t="s">
        <v>12</v>
      </c>
      <c r="I47" s="269"/>
      <c r="J47" s="269"/>
      <c r="K47" s="496"/>
      <c r="L47" s="496">
        <f t="shared" ref="L47:N47" ca="1" si="30">L48+L49</f>
        <v>0</v>
      </c>
      <c r="M47" s="496">
        <f t="shared" ca="1" si="30"/>
        <v>0</v>
      </c>
      <c r="N47" s="496">
        <f t="shared" ca="1" si="30"/>
        <v>0</v>
      </c>
      <c r="O47" s="496">
        <f t="shared" ca="1" si="26"/>
        <v>0</v>
      </c>
      <c r="P47" s="496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2" t="s">
        <v>18</v>
      </c>
      <c r="F48" s="40"/>
      <c r="G48" s="42"/>
      <c r="H48" s="43" t="s">
        <v>12</v>
      </c>
      <c r="I48" s="610"/>
      <c r="J48" s="610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IFERROR(__xludf.DUMMYFUNCTION("IMPORTRANGE(""https://docs.google.com/spreadsheets/d/1MeEWN-I1oV_STSDYn1IFDPWt_1FKiwhDph83XaGc0o0/edit?usp=sharing"",""งบพรบ!P70"")"),0)</f>
        <v>0</v>
      </c>
      <c r="M49" s="52">
        <f ca="1">IFERROR(__xludf.DUMMYFUNCTION("IMPORTRANGE(""https://docs.google.com/spreadsheets/d/1MeEWN-I1oV_STSDYn1IFDPWt_1FKiwhDph83XaGc0o0/edit?usp=sharing"",""งบพรบ!S70"")"),0)</f>
        <v>0</v>
      </c>
      <c r="N49" s="52">
        <f ca="1">IFERROR(__xludf.DUMMYFUNCTION("IMPORTRANGE(""https://docs.google.com/spreadsheets/d/1MeEWN-I1oV_STSDYn1IFDPWt_1FKiwhDph83XaGc0o0/edit?usp=sharing"",""งบพรบ!U70"")"),0)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59" t="s">
        <v>28</v>
      </c>
      <c r="B50" s="849"/>
      <c r="C50" s="849"/>
      <c r="D50" s="849"/>
      <c r="E50" s="849"/>
      <c r="F50" s="849"/>
      <c r="G50" s="847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60" t="s">
        <v>29</v>
      </c>
      <c r="C51" s="857"/>
      <c r="D51" s="857"/>
      <c r="E51" s="857"/>
      <c r="F51" s="857"/>
      <c r="G51" s="858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21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643000</v>
      </c>
      <c r="M53" s="116">
        <f t="shared" ca="1" si="31"/>
        <v>321500</v>
      </c>
      <c r="N53" s="116">
        <f t="shared" ca="1" si="31"/>
        <v>259169.85</v>
      </c>
      <c r="O53" s="116">
        <f t="shared" ref="O53:O61" ca="1" si="32">IF(L53&gt;0,N53*100/L53,0)</f>
        <v>40.306353032659409</v>
      </c>
      <c r="P53" s="116">
        <f t="shared" ref="P53:P61" ca="1" si="33">IF(M53&gt;0,N53*100/M53,0)</f>
        <v>80.612706065318818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643000</v>
      </c>
      <c r="M55" s="123">
        <f t="shared" ca="1" si="34"/>
        <v>321500</v>
      </c>
      <c r="N55" s="123">
        <f t="shared" ca="1" si="34"/>
        <v>259169.85</v>
      </c>
      <c r="O55" s="123">
        <f t="shared" ca="1" si="32"/>
        <v>40.306353032659409</v>
      </c>
      <c r="P55" s="123">
        <f t="shared" ca="1" si="33"/>
        <v>80.612706065318818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16" t="s">
        <v>12</v>
      </c>
      <c r="I56" s="269"/>
      <c r="J56" s="269"/>
      <c r="K56" s="496"/>
      <c r="L56" s="496">
        <f t="shared" ref="L56:N56" ca="1" si="35">L57+L58</f>
        <v>643000</v>
      </c>
      <c r="M56" s="496">
        <f t="shared" ca="1" si="35"/>
        <v>321500</v>
      </c>
      <c r="N56" s="496">
        <f t="shared" ca="1" si="35"/>
        <v>259169.85</v>
      </c>
      <c r="O56" s="496">
        <f t="shared" ca="1" si="32"/>
        <v>40.306353032659409</v>
      </c>
      <c r="P56" s="496">
        <f t="shared" ca="1" si="33"/>
        <v>80.612706065318818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2" t="s">
        <v>18</v>
      </c>
      <c r="F57" s="40"/>
      <c r="G57" s="42"/>
      <c r="H57" s="43" t="s">
        <v>12</v>
      </c>
      <c r="I57" s="610"/>
      <c r="J57" s="610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2" t="s">
        <v>19</v>
      </c>
      <c r="F58" s="40"/>
      <c r="G58" s="42"/>
      <c r="H58" s="43" t="s">
        <v>12</v>
      </c>
      <c r="I58" s="610"/>
      <c r="J58" s="610"/>
      <c r="K58" s="93"/>
      <c r="L58" s="93">
        <f ca="1">IFERROR(__xludf.DUMMYFUNCTION("IMPORTRANGE(""https://docs.google.com/spreadsheets/d/1MeEWN-I1oV_STSDYn1IFDPWt_1FKiwhDph83XaGc0o0/edit?usp=sharing"",""งบพรบ!W70"")"),643000)</f>
        <v>643000</v>
      </c>
      <c r="M58" s="93">
        <f ca="1">IFERROR(__xludf.DUMMYFUNCTION("IMPORTRANGE(""https://docs.google.com/spreadsheets/d/1MeEWN-I1oV_STSDYn1IFDPWt_1FKiwhDph83XaGc0o0/edit?usp=sharing"",""งบพรบ!AB70"")"),321500)</f>
        <v>321500</v>
      </c>
      <c r="N58" s="93">
        <f ca="1">IFERROR(__xludf.DUMMYFUNCTION("IMPORTRANGE(""https://docs.google.com/spreadsheets/d/1MeEWN-I1oV_STSDYn1IFDPWt_1FKiwhDph83XaGc0o0/edit?usp=sharing"",""งบพรบ!AD70"")"),259169.85)</f>
        <v>259169.85</v>
      </c>
      <c r="O58" s="93">
        <f t="shared" ca="1" si="32"/>
        <v>40.306353032659409</v>
      </c>
      <c r="P58" s="93">
        <f t="shared" ca="1" si="33"/>
        <v>80.612706065318818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16" t="s">
        <v>12</v>
      </c>
      <c r="I59" s="269"/>
      <c r="J59" s="269"/>
      <c r="K59" s="496"/>
      <c r="L59" s="496">
        <f t="shared" ref="L59:N59" ca="1" si="36">L60+L61</f>
        <v>0</v>
      </c>
      <c r="M59" s="496">
        <f t="shared" ca="1" si="36"/>
        <v>0</v>
      </c>
      <c r="N59" s="496">
        <f t="shared" ca="1" si="36"/>
        <v>0</v>
      </c>
      <c r="O59" s="496">
        <f t="shared" ca="1" si="32"/>
        <v>0</v>
      </c>
      <c r="P59" s="496">
        <f t="shared" ca="1" si="33"/>
        <v>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2" t="s">
        <v>18</v>
      </c>
      <c r="F60" s="40"/>
      <c r="G60" s="42"/>
      <c r="H60" s="43" t="s">
        <v>12</v>
      </c>
      <c r="I60" s="610"/>
      <c r="J60" s="610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IFERROR(__xludf.DUMMYFUNCTION("IMPORTRANGE(""https://docs.google.com/spreadsheets/d/1MeEWN-I1oV_STSDYn1IFDPWt_1FKiwhDph83XaGc0o0/edit?usp=sharing"",""งบพรบ!Z70"")"),0)</f>
        <v>0</v>
      </c>
      <c r="M61" s="52">
        <f ca="1">IFERROR(__xludf.DUMMYFUNCTION("IMPORTRANGE(""https://docs.google.com/spreadsheets/d/1MeEWN-I1oV_STSDYn1IFDPWt_1FKiwhDph83XaGc0o0/edit?usp=sharing"",""งบพรบ!AC70"")"),0)</f>
        <v>0</v>
      </c>
      <c r="N61" s="52">
        <f ca="1">IFERROR(__xludf.DUMMYFUNCTION("IMPORTRANGE(""https://docs.google.com/spreadsheets/d/1MeEWN-I1oV_STSDYn1IFDPWt_1FKiwhDph83XaGc0o0/edit?usp=sharing"",""งบพรบ!AE70"")"),0)</f>
        <v>0</v>
      </c>
      <c r="O61" s="52">
        <f t="shared" ca="1" si="32"/>
        <v>0</v>
      </c>
      <c r="P61" s="52">
        <f t="shared" ca="1" si="33"/>
        <v>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 hidden="1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 hidden="1">
      <c r="A64" s="138"/>
      <c r="B64" s="208" t="s">
        <v>33</v>
      </c>
      <c r="C64" s="140"/>
      <c r="D64" s="141"/>
      <c r="E64" s="140"/>
      <c r="F64" s="140"/>
      <c r="G64" s="142"/>
      <c r="H64" s="143" t="s">
        <v>34</v>
      </c>
      <c r="I64" s="144">
        <f t="shared" ref="I64:J65" ca="1" si="37">I76</f>
        <v>0</v>
      </c>
      <c r="J64" s="144">
        <f t="shared" si="37"/>
        <v>0</v>
      </c>
      <c r="K64" s="145">
        <f t="shared" ref="K64:K65" ca="1" si="38">IF(I64&gt;0,J64*100/I64,0)</f>
        <v>0</v>
      </c>
      <c r="L64" s="146"/>
      <c r="M64" s="146"/>
      <c r="N64" s="146"/>
      <c r="O64" s="146"/>
      <c r="P64" s="146"/>
    </row>
    <row r="65" spans="1:26" ht="19.5" hidden="1">
      <c r="A65" s="138"/>
      <c r="B65" s="140"/>
      <c r="C65" s="140"/>
      <c r="D65" s="141"/>
      <c r="E65" s="140"/>
      <c r="F65" s="140"/>
      <c r="G65" s="142"/>
      <c r="H65" s="143" t="s">
        <v>35</v>
      </c>
      <c r="I65" s="144">
        <f t="shared" ca="1" si="37"/>
        <v>0</v>
      </c>
      <c r="J65" s="144">
        <f t="shared" si="37"/>
        <v>0</v>
      </c>
      <c r="K65" s="145">
        <f t="shared" ca="1" si="38"/>
        <v>0</v>
      </c>
      <c r="L65" s="146"/>
      <c r="M65" s="146"/>
      <c r="N65" s="146"/>
      <c r="O65" s="146"/>
      <c r="P65" s="146"/>
    </row>
    <row r="66" spans="1:26" ht="19.5" hidden="1">
      <c r="A66" s="147"/>
      <c r="B66" s="148"/>
      <c r="C66" s="149" t="s">
        <v>16</v>
      </c>
      <c r="D66" s="822" t="s">
        <v>17</v>
      </c>
      <c r="E66" s="148"/>
      <c r="F66" s="148"/>
      <c r="G66" s="151"/>
      <c r="H66" s="152" t="s">
        <v>12</v>
      </c>
      <c r="I66" s="419"/>
      <c r="J66" s="419"/>
      <c r="K66" s="154"/>
      <c r="L66" s="155">
        <f t="shared" ref="L66:N66" ca="1" si="39">L67+L68</f>
        <v>0</v>
      </c>
      <c r="M66" s="155">
        <f t="shared" ca="1" si="39"/>
        <v>0</v>
      </c>
      <c r="N66" s="155">
        <f t="shared" ca="1" si="39"/>
        <v>0</v>
      </c>
      <c r="O66" s="155">
        <f t="shared" ref="O66:O74" ca="1" si="40">IF(L66&gt;0,N66*100/L66,0)</f>
        <v>0</v>
      </c>
      <c r="P66" s="155">
        <f t="shared" ref="P66:P74" ca="1" si="41">IF(M66&gt;0,N66*100/M66,0)</f>
        <v>0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2" t="s">
        <v>18</v>
      </c>
      <c r="F67" s="40"/>
      <c r="G67" s="157"/>
      <c r="H67" s="158" t="s">
        <v>12</v>
      </c>
      <c r="I67" s="610"/>
      <c r="J67" s="610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2" t="s">
        <v>19</v>
      </c>
      <c r="F68" s="40"/>
      <c r="G68" s="157"/>
      <c r="H68" s="158" t="s">
        <v>12</v>
      </c>
      <c r="I68" s="610"/>
      <c r="J68" s="610"/>
      <c r="K68" s="93"/>
      <c r="L68" s="93">
        <f t="shared" ca="1" si="42"/>
        <v>0</v>
      </c>
      <c r="M68" s="93">
        <f t="shared" ca="1" si="42"/>
        <v>0</v>
      </c>
      <c r="N68" s="93">
        <f t="shared" ca="1" si="42"/>
        <v>0</v>
      </c>
      <c r="O68" s="93">
        <f t="shared" ca="1" si="40"/>
        <v>0</v>
      </c>
      <c r="P68" s="93">
        <f t="shared" ca="1" si="41"/>
        <v>0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 hidden="1">
      <c r="A69" s="159"/>
      <c r="B69" s="33"/>
      <c r="C69" s="281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6">
        <f t="shared" ref="L69:N69" ca="1" si="43">L70+L71</f>
        <v>0</v>
      </c>
      <c r="M69" s="496">
        <f t="shared" ca="1" si="43"/>
        <v>0</v>
      </c>
      <c r="N69" s="496">
        <f t="shared" ca="1" si="43"/>
        <v>0</v>
      </c>
      <c r="O69" s="496">
        <f t="shared" ca="1" si="40"/>
        <v>0</v>
      </c>
      <c r="P69" s="496">
        <f t="shared" ca="1" si="41"/>
        <v>0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2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2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IFERROR(__xludf.DUMMYFUNCTION("IMPORTRANGE(""https://docs.google.com/spreadsheets/d/1MeEWN-I1oV_STSDYn1IFDPWt_1FKiwhDph83XaGc0o0/edit?usp=sharing"",""งบพรบ!AG70"")"),0)</f>
        <v>0</v>
      </c>
      <c r="M71" s="93">
        <f ca="1">IFERROR(__xludf.DUMMYFUNCTION("IMPORTRANGE(""https://docs.google.com/spreadsheets/d/1MeEWN-I1oV_STSDYn1IFDPWt_1FKiwhDph83XaGc0o0/edit?usp=sharing"",""งบพรบ!AL70"")"),0)</f>
        <v>0</v>
      </c>
      <c r="N71" s="93">
        <f ca="1">IFERROR(__xludf.DUMMYFUNCTION("IMPORTRANGE(""https://docs.google.com/spreadsheets/d/1MeEWN-I1oV_STSDYn1IFDPWt_1FKiwhDph83XaGc0o0/edit?usp=sharing"",""งบพรบ!AN70"")"),0)</f>
        <v>0</v>
      </c>
      <c r="O71" s="93">
        <f t="shared" ca="1" si="40"/>
        <v>0</v>
      </c>
      <c r="P71" s="93">
        <f t="shared" ca="1" si="41"/>
        <v>0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 hidden="1">
      <c r="A72" s="159"/>
      <c r="B72" s="33"/>
      <c r="C72" s="281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6">
        <f t="shared" ref="L72:N72" ca="1" si="44">L73+L74</f>
        <v>0</v>
      </c>
      <c r="M72" s="496">
        <f t="shared" ca="1" si="44"/>
        <v>0</v>
      </c>
      <c r="N72" s="496">
        <f t="shared" ca="1" si="44"/>
        <v>0</v>
      </c>
      <c r="O72" s="496">
        <f t="shared" ca="1" si="40"/>
        <v>0</v>
      </c>
      <c r="P72" s="496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2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2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IFERROR(__xludf.DUMMYFUNCTION("IMPORTRANGE(""https://docs.google.com/spreadsheets/d/1MeEWN-I1oV_STSDYn1IFDPWt_1FKiwhDph83XaGc0o0/edit?usp=sharing"",""งบพรบ!AJ70"")"),0)</f>
        <v>0</v>
      </c>
      <c r="M74" s="93">
        <f ca="1">IFERROR(__xludf.DUMMYFUNCTION("IMPORTRANGE(""https://docs.google.com/spreadsheets/d/1MeEWN-I1oV_STSDYn1IFDPWt_1FKiwhDph83XaGc0o0/edit?usp=sharing"",""งบพรบ!AM70"")"),0)</f>
        <v>0</v>
      </c>
      <c r="N74" s="93">
        <f ca="1">IFERROR(__xludf.DUMMYFUNCTION("IMPORTRANGE(""https://docs.google.com/spreadsheets/d/1MeEWN-I1oV_STSDYn1IFDPWt_1FKiwhDph83XaGc0o0/edit?usp=sharing"",""งบพรบ!AO70"")"),0)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 hidden="1">
      <c r="A75" s="170"/>
      <c r="B75" s="171"/>
      <c r="C75" s="164" t="s">
        <v>16</v>
      </c>
      <c r="D75" s="823" t="s">
        <v>38</v>
      </c>
      <c r="E75" s="173"/>
      <c r="F75" s="173"/>
      <c r="G75" s="174"/>
      <c r="H75" s="753"/>
      <c r="I75" s="184"/>
      <c r="J75" s="184"/>
      <c r="K75" s="163"/>
      <c r="L75" s="163"/>
      <c r="M75" s="163"/>
      <c r="N75" s="163"/>
      <c r="O75" s="163"/>
      <c r="P75" s="163"/>
    </row>
    <row r="76" spans="1:26" ht="19.5" hidden="1">
      <c r="A76" s="170"/>
      <c r="B76" s="171"/>
      <c r="C76" s="171"/>
      <c r="D76" s="176" t="s">
        <v>39</v>
      </c>
      <c r="E76" s="446"/>
      <c r="F76" s="178"/>
      <c r="G76" s="179"/>
      <c r="H76" s="180" t="s">
        <v>34</v>
      </c>
      <c r="I76" s="269">
        <f t="shared" ref="I76:J77" ca="1" si="45">I78+I80+I82</f>
        <v>0</v>
      </c>
      <c r="J76" s="269">
        <f t="shared" si="45"/>
        <v>0</v>
      </c>
      <c r="K76" s="163">
        <f t="shared" ref="K76:K84" ca="1" si="46">IF(I76&gt;0,J76*100/I76,0)</f>
        <v>0</v>
      </c>
      <c r="L76" s="163"/>
      <c r="M76" s="163"/>
      <c r="N76" s="163"/>
      <c r="O76" s="163"/>
      <c r="P76" s="163"/>
    </row>
    <row r="77" spans="1:26" ht="19.5" hidden="1">
      <c r="A77" s="170"/>
      <c r="B77" s="171"/>
      <c r="C77" s="171"/>
      <c r="D77" s="171"/>
      <c r="E77" s="178"/>
      <c r="F77" s="178"/>
      <c r="G77" s="179"/>
      <c r="H77" s="180" t="s">
        <v>35</v>
      </c>
      <c r="I77" s="269">
        <f t="shared" ca="1" si="45"/>
        <v>0</v>
      </c>
      <c r="J77" s="269">
        <f t="shared" si="45"/>
        <v>0</v>
      </c>
      <c r="K77" s="163">
        <f t="shared" ca="1" si="46"/>
        <v>0</v>
      </c>
      <c r="L77" s="163"/>
      <c r="M77" s="163"/>
      <c r="N77" s="163"/>
      <c r="O77" s="163"/>
      <c r="P77" s="163"/>
    </row>
    <row r="78" spans="1:26" ht="18.75" hidden="1">
      <c r="A78" s="170"/>
      <c r="B78" s="171"/>
      <c r="C78" s="171"/>
      <c r="D78" s="171"/>
      <c r="E78" s="446" t="s">
        <v>40</v>
      </c>
      <c r="F78" s="446"/>
      <c r="G78" s="179"/>
      <c r="H78" s="755" t="s">
        <v>34</v>
      </c>
      <c r="I78" s="184">
        <f ca="1">IFERROR(__xludf.DUMMYFUNCTION("IMPORTRANGE(""https://docs.google.com/spreadsheets/d/1QqKyyYR6Q21VydFLVH3TRQUabQu_ym0Zz7PgGX0-kHA/edit?usp=sharing"",""แผน!H70"")"),0)</f>
        <v>0</v>
      </c>
      <c r="J78" s="214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 hidden="1">
      <c r="A79" s="170"/>
      <c r="B79" s="171"/>
      <c r="C79" s="171"/>
      <c r="D79" s="171"/>
      <c r="E79" s="178"/>
      <c r="F79" s="178"/>
      <c r="G79" s="179"/>
      <c r="H79" s="755" t="s">
        <v>35</v>
      </c>
      <c r="I79" s="184">
        <f ca="1">IFERROR(__xludf.DUMMYFUNCTION("IMPORTRANGE(""https://docs.google.com/spreadsheets/d/1QqKyyYR6Q21VydFLVH3TRQUabQu_ym0Zz7PgGX0-kHA/edit?usp=sharing"",""แผน!I70"")"),0)</f>
        <v>0</v>
      </c>
      <c r="J79" s="214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 hidden="1">
      <c r="A80" s="170"/>
      <c r="B80" s="171"/>
      <c r="C80" s="171"/>
      <c r="D80" s="171"/>
      <c r="E80" s="446" t="s">
        <v>41</v>
      </c>
      <c r="F80" s="446"/>
      <c r="G80" s="179"/>
      <c r="H80" s="755" t="s">
        <v>34</v>
      </c>
      <c r="I80" s="184">
        <f ca="1">IFERROR(__xludf.DUMMYFUNCTION("IMPORTRANGE(""https://docs.google.com/spreadsheets/d/1QqKyyYR6Q21VydFLVH3TRQUabQu_ym0Zz7PgGX0-kHA/edit?usp=sharing"",""แผน!F70"")"),0)</f>
        <v>0</v>
      </c>
      <c r="J80" s="214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 hidden="1">
      <c r="A81" s="170"/>
      <c r="B81" s="171"/>
      <c r="C81" s="171"/>
      <c r="D81" s="171"/>
      <c r="E81" s="178"/>
      <c r="F81" s="178"/>
      <c r="G81" s="179"/>
      <c r="H81" s="755" t="s">
        <v>35</v>
      </c>
      <c r="I81" s="184">
        <f ca="1">IFERROR(__xludf.DUMMYFUNCTION("IMPORTRANGE(""https://docs.google.com/spreadsheets/d/1QqKyyYR6Q21VydFLVH3TRQUabQu_ym0Zz7PgGX0-kHA/edit?usp=sharing"",""แผน!G70"")"),0)</f>
        <v>0</v>
      </c>
      <c r="J81" s="214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 hidden="1">
      <c r="A82" s="170"/>
      <c r="B82" s="171"/>
      <c r="C82" s="171"/>
      <c r="D82" s="171"/>
      <c r="E82" s="446" t="s">
        <v>42</v>
      </c>
      <c r="F82" s="446"/>
      <c r="G82" s="179"/>
      <c r="H82" s="755" t="s">
        <v>34</v>
      </c>
      <c r="I82" s="184">
        <f ca="1">IFERROR(__xludf.DUMMYFUNCTION("IMPORTRANGE(""https://docs.google.com/spreadsheets/d/1QqKyyYR6Q21VydFLVH3TRQUabQu_ym0Zz7PgGX0-kHA/edit?usp=sharing"",""แผน!D70"")"),0)</f>
        <v>0</v>
      </c>
      <c r="J82" s="214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 hidden="1">
      <c r="A83" s="170"/>
      <c r="B83" s="171"/>
      <c r="C83" s="171"/>
      <c r="D83" s="171"/>
      <c r="E83" s="178"/>
      <c r="F83" s="178"/>
      <c r="G83" s="179"/>
      <c r="H83" s="755" t="s">
        <v>35</v>
      </c>
      <c r="I83" s="184">
        <f ca="1">IFERROR(__xludf.DUMMYFUNCTION("IMPORTRANGE(""https://docs.google.com/spreadsheets/d/1QqKyyYR6Q21VydFLVH3TRQUabQu_ym0Zz7PgGX0-kHA/edit?usp=sharing"",""แผน!E70"")"),0)</f>
        <v>0</v>
      </c>
      <c r="J83" s="214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 hidden="1">
      <c r="A84" s="170"/>
      <c r="B84" s="171"/>
      <c r="C84" s="171"/>
      <c r="D84" s="176" t="s">
        <v>43</v>
      </c>
      <c r="E84" s="446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IFERROR(__xludf.DUMMYFUNCTION("IMPORTRANGE(""https://docs.google.com/spreadsheets/d/1QqKyyYR6Q21VydFLVH3TRQUabQu_ym0Zz7PgGX0-kHA/edit?usp=sharing"",""แผน!J70"")"),0)</f>
        <v>0</v>
      </c>
      <c r="J84" s="214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8" t="s">
        <v>45</v>
      </c>
      <c r="C86" s="140"/>
      <c r="D86" s="141"/>
      <c r="E86" s="140"/>
      <c r="F86" s="140"/>
      <c r="G86" s="142"/>
      <c r="H86" s="143" t="s">
        <v>46</v>
      </c>
      <c r="I86" s="144">
        <f t="shared" ref="I86:J87" ca="1" si="47">I98</f>
        <v>45</v>
      </c>
      <c r="J86" s="144">
        <f t="shared" si="47"/>
        <v>0</v>
      </c>
      <c r="K86" s="145">
        <f t="shared" ref="K86:K87" ca="1" si="48">IF(I86&gt;0,J86*100/I86,0)</f>
        <v>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143" t="s">
        <v>35</v>
      </c>
      <c r="I87" s="144">
        <f t="shared" ca="1" si="47"/>
        <v>15</v>
      </c>
      <c r="J87" s="144">
        <f t="shared" si="47"/>
        <v>0</v>
      </c>
      <c r="K87" s="145">
        <f t="shared" ca="1" si="48"/>
        <v>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22" t="s">
        <v>17</v>
      </c>
      <c r="E88" s="148"/>
      <c r="F88" s="148"/>
      <c r="G88" s="151"/>
      <c r="H88" s="152" t="s">
        <v>12</v>
      </c>
      <c r="I88" s="419"/>
      <c r="J88" s="419"/>
      <c r="K88" s="154"/>
      <c r="L88" s="155">
        <f t="shared" ref="L88:N88" ca="1" si="49">L89+L90</f>
        <v>68660</v>
      </c>
      <c r="M88" s="155">
        <f t="shared" ca="1" si="49"/>
        <v>32760</v>
      </c>
      <c r="N88" s="155">
        <f t="shared" ca="1" si="49"/>
        <v>3150</v>
      </c>
      <c r="O88" s="155">
        <f t="shared" ref="O88:O96" ca="1" si="50">IF(L88&gt;0,N88*100/L88,0)</f>
        <v>4.5878240605884066</v>
      </c>
      <c r="P88" s="155">
        <f t="shared" ref="P88:P96" ca="1" si="51">IF(M88&gt;0,N88*100/M88,0)</f>
        <v>9.615384615384615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2" t="s">
        <v>18</v>
      </c>
      <c r="F89" s="40"/>
      <c r="G89" s="157"/>
      <c r="H89" s="158" t="s">
        <v>12</v>
      </c>
      <c r="I89" s="610"/>
      <c r="J89" s="610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2" t="s">
        <v>19</v>
      </c>
      <c r="F90" s="40"/>
      <c r="G90" s="157"/>
      <c r="H90" s="158" t="s">
        <v>12</v>
      </c>
      <c r="I90" s="610"/>
      <c r="J90" s="610"/>
      <c r="K90" s="93"/>
      <c r="L90" s="93">
        <f t="shared" ca="1" si="52"/>
        <v>68660</v>
      </c>
      <c r="M90" s="93">
        <f t="shared" ca="1" si="52"/>
        <v>32760</v>
      </c>
      <c r="N90" s="93">
        <f t="shared" ca="1" si="52"/>
        <v>3150</v>
      </c>
      <c r="O90" s="93">
        <f t="shared" ca="1" si="50"/>
        <v>4.5878240605884066</v>
      </c>
      <c r="P90" s="93">
        <f t="shared" ca="1" si="51"/>
        <v>9.615384615384615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1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6">
        <f t="shared" ref="L91:N91" ca="1" si="53">L92+L93</f>
        <v>68660</v>
      </c>
      <c r="M91" s="496">
        <f t="shared" ca="1" si="53"/>
        <v>32760</v>
      </c>
      <c r="N91" s="496">
        <f t="shared" ca="1" si="53"/>
        <v>3150</v>
      </c>
      <c r="O91" s="496">
        <f t="shared" ca="1" si="50"/>
        <v>4.5878240605884066</v>
      </c>
      <c r="P91" s="496">
        <f t="shared" ca="1" si="51"/>
        <v>9.615384615384615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2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2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IFERROR(__xludf.DUMMYFUNCTION("IMPORTRANGE(""https://docs.google.com/spreadsheets/d/1MeEWN-I1oV_STSDYn1IFDPWt_1FKiwhDph83XaGc0o0/edit?usp=sharing"",""งบพรบ!AQ70"")"),68660)</f>
        <v>68660</v>
      </c>
      <c r="M93" s="93">
        <f ca="1">IFERROR(__xludf.DUMMYFUNCTION("IMPORTRANGE(""https://docs.google.com/spreadsheets/d/1MeEWN-I1oV_STSDYn1IFDPWt_1FKiwhDph83XaGc0o0/edit?usp=sharing"",""งบพรบ!AV70"")"),32760)</f>
        <v>32760</v>
      </c>
      <c r="N93" s="93">
        <f ca="1">IFERROR(__xludf.DUMMYFUNCTION("IMPORTRANGE(""https://docs.google.com/spreadsheets/d/1MeEWN-I1oV_STSDYn1IFDPWt_1FKiwhDph83XaGc0o0/edit?usp=sharing"",""งบพรบ!AX70"")"),3150)</f>
        <v>3150</v>
      </c>
      <c r="O93" s="93">
        <f t="shared" ca="1" si="50"/>
        <v>4.5878240605884066</v>
      </c>
      <c r="P93" s="93">
        <f t="shared" ca="1" si="51"/>
        <v>9.615384615384615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1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6">
        <f t="shared" ref="L94:N94" ca="1" si="54">L95+L96</f>
        <v>0</v>
      </c>
      <c r="M94" s="496">
        <f t="shared" ca="1" si="54"/>
        <v>0</v>
      </c>
      <c r="N94" s="496">
        <f t="shared" ca="1" si="54"/>
        <v>0</v>
      </c>
      <c r="O94" s="496">
        <f t="shared" ca="1" si="50"/>
        <v>0</v>
      </c>
      <c r="P94" s="496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2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2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IFERROR(__xludf.DUMMYFUNCTION("IMPORTRANGE(""https://docs.google.com/spreadsheets/d/1MeEWN-I1oV_STSDYn1IFDPWt_1FKiwhDph83XaGc0o0/edit?usp=sharing"",""งบพรบ!AT70"")"),0)</f>
        <v>0</v>
      </c>
      <c r="M96" s="93">
        <f ca="1">IFERROR(__xludf.DUMMYFUNCTION("IMPORTRANGE(""https://docs.google.com/spreadsheets/d/1MeEWN-I1oV_STSDYn1IFDPWt_1FKiwhDph83XaGc0o0/edit?usp=sharing"",""งบพรบ!AW70"")"),0)</f>
        <v>0</v>
      </c>
      <c r="N96" s="93">
        <f ca="1">IFERROR(__xludf.DUMMYFUNCTION("IMPORTRANGE(""https://docs.google.com/spreadsheets/d/1MeEWN-I1oV_STSDYn1IFDPWt_1FKiwhDph83XaGc0o0/edit?usp=sharing"",""งบพรบ!AY70"")"),0)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23" t="s">
        <v>38</v>
      </c>
      <c r="E97" s="173"/>
      <c r="F97" s="173"/>
      <c r="G97" s="174"/>
      <c r="H97" s="753"/>
      <c r="I97" s="184"/>
      <c r="J97" s="269"/>
      <c r="K97" s="496"/>
      <c r="L97" s="496"/>
      <c r="M97" s="496"/>
      <c r="N97" s="496"/>
      <c r="O97" s="163"/>
      <c r="P97" s="163"/>
    </row>
    <row r="98" spans="1:16" ht="18.75">
      <c r="A98" s="170"/>
      <c r="B98" s="171"/>
      <c r="C98" s="171"/>
      <c r="D98" s="446" t="s">
        <v>47</v>
      </c>
      <c r="E98" s="446"/>
      <c r="F98" s="178"/>
      <c r="G98" s="179"/>
      <c r="H98" s="616" t="s">
        <v>46</v>
      </c>
      <c r="I98" s="269">
        <f ca="1">IFERROR(__xludf.DUMMYFUNCTION("IMPORTRANGE(""https://docs.google.com/spreadsheets/d/1QqKyyYR6Q21VydFLVH3TRQUabQu_ym0Zz7PgGX0-kHA/edit?usp=sharing"",""แผน!K70"")"),45)</f>
        <v>45</v>
      </c>
      <c r="J98" s="269">
        <f>J102</f>
        <v>0</v>
      </c>
      <c r="K98" s="496">
        <f t="shared" ref="K98:K100" ca="1" si="55">IF(I98&gt;0,J98*100/I98,0)</f>
        <v>0</v>
      </c>
      <c r="L98" s="496"/>
      <c r="M98" s="496"/>
      <c r="N98" s="496"/>
      <c r="O98" s="163"/>
      <c r="P98" s="163"/>
    </row>
    <row r="99" spans="1:16" ht="18.75">
      <c r="A99" s="170"/>
      <c r="B99" s="171"/>
      <c r="C99" s="171"/>
      <c r="D99" s="446" t="s">
        <v>48</v>
      </c>
      <c r="E99" s="446"/>
      <c r="F99" s="178"/>
      <c r="G99" s="179"/>
      <c r="H99" s="616" t="s">
        <v>35</v>
      </c>
      <c r="I99" s="269">
        <f ca="1">IFERROR(__xludf.DUMMYFUNCTION("IMPORTRANGE(""https://docs.google.com/spreadsheets/d/1QqKyyYR6Q21VydFLVH3TRQUabQu_ym0Zz7PgGX0-kHA/edit?usp=sharing"",""แผน!L70"")"),15)</f>
        <v>15</v>
      </c>
      <c r="J99" s="269">
        <f>J104</f>
        <v>0</v>
      </c>
      <c r="K99" s="496">
        <f t="shared" ca="1" si="55"/>
        <v>0</v>
      </c>
      <c r="L99" s="496"/>
      <c r="M99" s="496"/>
      <c r="N99" s="496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16" t="s">
        <v>49</v>
      </c>
      <c r="I100" s="269">
        <f ca="1">IFERROR(__xludf.DUMMYFUNCTION("IMPORTRANGE(""https://docs.google.com/spreadsheets/d/1QqKyyYR6Q21VydFLVH3TRQUabQu_ym0Zz7PgGX0-kHA/edit?usp=sharing"",""แผน!M70"")"),1)</f>
        <v>1</v>
      </c>
      <c r="J100" s="269">
        <f>J107+J110</f>
        <v>0</v>
      </c>
      <c r="K100" s="496">
        <f t="shared" ca="1" si="55"/>
        <v>0</v>
      </c>
      <c r="L100" s="496"/>
      <c r="M100" s="496"/>
      <c r="N100" s="496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16"/>
      <c r="I101" s="269"/>
      <c r="J101" s="269"/>
      <c r="K101" s="496"/>
      <c r="L101" s="496"/>
      <c r="M101" s="496"/>
      <c r="N101" s="496"/>
      <c r="O101" s="163"/>
      <c r="P101" s="163"/>
    </row>
    <row r="102" spans="1:16" ht="18.75">
      <c r="A102" s="170"/>
      <c r="B102" s="171"/>
      <c r="C102" s="171"/>
      <c r="D102" s="178"/>
      <c r="E102" s="619" t="s">
        <v>47</v>
      </c>
      <c r="F102" s="178"/>
      <c r="G102" s="179"/>
      <c r="H102" s="616" t="s">
        <v>46</v>
      </c>
      <c r="I102" s="269">
        <f ca="1">IFERROR(__xludf.DUMMYFUNCTION("IMPORTRANGE(""https://docs.google.com/spreadsheets/d/1QqKyyYR6Q21VydFLVH3TRQUabQu_ym0Zz7PgGX0-kHA/edit?usp=sharing"",""แผน!N70"")"),45)</f>
        <v>45</v>
      </c>
      <c r="J102" s="214">
        <v>0</v>
      </c>
      <c r="K102" s="496">
        <f t="shared" ref="K102:K104" ca="1" si="56">IF(I102&gt;0,J102*100/I102,0)</f>
        <v>0</v>
      </c>
      <c r="L102" s="496"/>
      <c r="M102" s="496"/>
      <c r="N102" s="496"/>
      <c r="O102" s="163"/>
      <c r="P102" s="163"/>
    </row>
    <row r="103" spans="1:16" ht="19.5">
      <c r="A103" s="170"/>
      <c r="B103" s="171"/>
      <c r="C103" s="171"/>
      <c r="D103" s="178"/>
      <c r="E103" s="446" t="s">
        <v>51</v>
      </c>
      <c r="F103" s="178"/>
      <c r="G103" s="179"/>
      <c r="H103" s="616" t="s">
        <v>35</v>
      </c>
      <c r="I103" s="269">
        <f ca="1">IFERROR(__xludf.DUMMYFUNCTION("IMPORTRANGE(""https://docs.google.com/spreadsheets/d/1QqKyyYR6Q21VydFLVH3TRQUabQu_ym0Zz7PgGX0-kHA/edit?usp=sharing"",""แผน!O70"")"),15)</f>
        <v>15</v>
      </c>
      <c r="J103" s="214">
        <v>0</v>
      </c>
      <c r="K103" s="496">
        <f t="shared" ca="1" si="56"/>
        <v>0</v>
      </c>
      <c r="L103" s="496"/>
      <c r="M103" s="496"/>
      <c r="N103" s="496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16" t="s">
        <v>35</v>
      </c>
      <c r="I104" s="269">
        <f ca="1">IFERROR(__xludf.DUMMYFUNCTION("IMPORTRANGE(""https://docs.google.com/spreadsheets/d/1QqKyyYR6Q21VydFLVH3TRQUabQu_ym0Zz7PgGX0-kHA/edit?usp=sharing"",""แผน!O70"")"),15)</f>
        <v>15</v>
      </c>
      <c r="J104" s="214">
        <v>0</v>
      </c>
      <c r="K104" s="496">
        <f t="shared" ca="1" si="56"/>
        <v>0</v>
      </c>
      <c r="L104" s="496"/>
      <c r="M104" s="496"/>
      <c r="N104" s="496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69"/>
      <c r="J105" s="269"/>
      <c r="K105" s="496"/>
      <c r="L105" s="496"/>
      <c r="M105" s="496"/>
      <c r="N105" s="496"/>
      <c r="O105" s="163"/>
      <c r="P105" s="163"/>
    </row>
    <row r="106" spans="1:16" ht="19.5">
      <c r="A106" s="170"/>
      <c r="B106" s="171"/>
      <c r="C106" s="171"/>
      <c r="D106" s="178"/>
      <c r="E106" s="446" t="s">
        <v>54</v>
      </c>
      <c r="F106" s="178"/>
      <c r="G106" s="179"/>
      <c r="H106" s="616" t="s">
        <v>49</v>
      </c>
      <c r="I106" s="269">
        <f ca="1">IFERROR(__xludf.DUMMYFUNCTION("IMPORTRANGE(""https://docs.google.com/spreadsheets/d/1QqKyyYR6Q21VydFLVH3TRQUabQu_ym0Zz7PgGX0-kHA/edit?usp=sharing"",""แผน!P70"")"),0)</f>
        <v>0</v>
      </c>
      <c r="J106" s="214">
        <v>0</v>
      </c>
      <c r="K106" s="496">
        <f t="shared" ref="K106:K107" ca="1" si="57">IF(I106&gt;0,J106*100/I106,0)</f>
        <v>0</v>
      </c>
      <c r="L106" s="496"/>
      <c r="M106" s="496"/>
      <c r="N106" s="496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16" t="s">
        <v>49</v>
      </c>
      <c r="I107" s="269">
        <f ca="1">IFERROR(__xludf.DUMMYFUNCTION("IMPORTRANGE(""https://docs.google.com/spreadsheets/d/1QqKyyYR6Q21VydFLVH3TRQUabQu_ym0Zz7PgGX0-kHA/edit?usp=sharing"",""แผน!P70"")"),0)</f>
        <v>0</v>
      </c>
      <c r="J107" s="214">
        <v>0</v>
      </c>
      <c r="K107" s="496">
        <f t="shared" ca="1" si="57"/>
        <v>0</v>
      </c>
      <c r="L107" s="496"/>
      <c r="M107" s="496"/>
      <c r="N107" s="496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69"/>
      <c r="J108" s="269"/>
      <c r="K108" s="496"/>
      <c r="L108" s="496"/>
      <c r="M108" s="496"/>
      <c r="N108" s="496"/>
      <c r="O108" s="163"/>
      <c r="P108" s="163"/>
    </row>
    <row r="109" spans="1:16" ht="19.5">
      <c r="A109" s="170"/>
      <c r="B109" s="171"/>
      <c r="C109" s="171"/>
      <c r="D109" s="178"/>
      <c r="E109" s="446" t="s">
        <v>57</v>
      </c>
      <c r="F109" s="178"/>
      <c r="G109" s="179"/>
      <c r="H109" s="616" t="s">
        <v>49</v>
      </c>
      <c r="I109" s="269">
        <f ca="1">IFERROR(__xludf.DUMMYFUNCTION("IMPORTRANGE(""https://docs.google.com/spreadsheets/d/1QqKyyYR6Q21VydFLVH3TRQUabQu_ym0Zz7PgGX0-kHA/edit?usp=sharing"",""แผน!Q70"")"),1)</f>
        <v>1</v>
      </c>
      <c r="J109" s="214">
        <v>0</v>
      </c>
      <c r="K109" s="496">
        <f t="shared" ref="K109:K116" ca="1" si="58">IF(I109&gt;0,J109*100/I109,0)</f>
        <v>0</v>
      </c>
      <c r="L109" s="496"/>
      <c r="M109" s="496"/>
      <c r="N109" s="496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16" t="s">
        <v>49</v>
      </c>
      <c r="I110" s="269">
        <f ca="1">IFERROR(__xludf.DUMMYFUNCTION("IMPORTRANGE(""https://docs.google.com/spreadsheets/d/1QqKyyYR6Q21VydFLVH3TRQUabQu_ym0Zz7PgGX0-kHA/edit?usp=sharing"",""แผน!Q70"")"),1)</f>
        <v>1</v>
      </c>
      <c r="J110" s="214">
        <v>0</v>
      </c>
      <c r="K110" s="496">
        <f t="shared" ca="1" si="58"/>
        <v>0</v>
      </c>
      <c r="L110" s="496"/>
      <c r="M110" s="496"/>
      <c r="N110" s="496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58" t="s">
        <v>35</v>
      </c>
      <c r="I111" s="193">
        <f ca="1">IFERROR(__xludf.DUMMYFUNCTION("IMPORTRANGE(""https://docs.google.com/spreadsheets/d/1QqKyyYR6Q21VydFLVH3TRQUabQu_ym0Zz7PgGX0-kHA/edit?usp=sharing"",""แผน!R70"")"),15)</f>
        <v>15</v>
      </c>
      <c r="J111" s="674">
        <f>J114</f>
        <v>0</v>
      </c>
      <c r="K111" s="195">
        <f t="shared" ca="1" si="58"/>
        <v>0</v>
      </c>
      <c r="L111" s="496"/>
      <c r="M111" s="496"/>
      <c r="N111" s="496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1</v>
      </c>
      <c r="J112" s="674">
        <f t="shared" si="59"/>
        <v>0</v>
      </c>
      <c r="K112" s="195">
        <f t="shared" ca="1" si="58"/>
        <v>0</v>
      </c>
      <c r="L112" s="496"/>
      <c r="M112" s="496"/>
      <c r="N112" s="496"/>
      <c r="O112" s="163"/>
      <c r="P112" s="163"/>
    </row>
    <row r="113" spans="1:26" ht="19.5">
      <c r="A113" s="170"/>
      <c r="B113" s="171"/>
      <c r="C113" s="171"/>
      <c r="D113" s="171"/>
      <c r="E113" s="525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IFERROR(__xludf.DUMMYFUNCTION("IMPORTRANGE(""https://docs.google.com/spreadsheets/d/1QqKyyYR6Q21VydFLVH3TRQUabQu_ym0Zz7PgGX0-kHA/edit?usp=sharing"",""แผน!R70"")"),15)</f>
        <v>15</v>
      </c>
      <c r="J113" s="214">
        <v>0</v>
      </c>
      <c r="K113" s="496">
        <f t="shared" ca="1" si="58"/>
        <v>0</v>
      </c>
      <c r="L113" s="496"/>
      <c r="M113" s="496"/>
      <c r="N113" s="496"/>
      <c r="O113" s="163"/>
      <c r="P113" s="163"/>
    </row>
    <row r="114" spans="1:26" ht="19.5">
      <c r="A114" s="170"/>
      <c r="B114" s="171"/>
      <c r="C114" s="171"/>
      <c r="D114" s="171"/>
      <c r="E114" s="446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IFERROR(__xludf.DUMMYFUNCTION("IMPORTRANGE(""https://docs.google.com/spreadsheets/d/1QqKyyYR6Q21VydFLVH3TRQUabQu_ym0Zz7PgGX0-kHA/edit?usp=sharing"",""แผน!R70"")"),15)</f>
        <v>15</v>
      </c>
      <c r="J114" s="214">
        <v>0</v>
      </c>
      <c r="K114" s="496">
        <f t="shared" ca="1" si="58"/>
        <v>0</v>
      </c>
      <c r="L114" s="496"/>
      <c r="M114" s="496"/>
      <c r="N114" s="496"/>
      <c r="O114" s="163"/>
      <c r="P114" s="163"/>
    </row>
    <row r="115" spans="1:26" ht="18.75">
      <c r="A115" s="170"/>
      <c r="B115" s="171"/>
      <c r="C115" s="171"/>
      <c r="D115" s="171"/>
      <c r="E115" s="446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IFERROR(__xludf.DUMMYFUNCTION("IMPORTRANGE(""https://docs.google.com/spreadsheets/d/1QqKyyYR6Q21VydFLVH3TRQUabQu_ym0Zz7PgGX0-kHA/edit?usp=sharing"",""แผน!S70"")"),0)</f>
        <v>0</v>
      </c>
      <c r="J115" s="214">
        <v>0</v>
      </c>
      <c r="K115" s="496">
        <f t="shared" ca="1" si="58"/>
        <v>0</v>
      </c>
      <c r="L115" s="496"/>
      <c r="M115" s="496"/>
      <c r="N115" s="496"/>
      <c r="O115" s="163"/>
      <c r="P115" s="163"/>
    </row>
    <row r="116" spans="1:26" ht="18.75">
      <c r="A116" s="170"/>
      <c r="B116" s="171"/>
      <c r="C116" s="171"/>
      <c r="D116" s="171"/>
      <c r="E116" s="446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IFERROR(__xludf.DUMMYFUNCTION("IMPORTRANGE(""https://docs.google.com/spreadsheets/d/1QqKyyYR6Q21VydFLVH3TRQUabQu_ym0Zz7PgGX0-kHA/edit?usp=sharing"",""แผน!T70"")"),1)</f>
        <v>1</v>
      </c>
      <c r="J116" s="214">
        <v>0</v>
      </c>
      <c r="K116" s="496">
        <f t="shared" ca="1" si="58"/>
        <v>0</v>
      </c>
      <c r="L116" s="496"/>
      <c r="M116" s="496"/>
      <c r="N116" s="496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8" t="s">
        <v>65</v>
      </c>
      <c r="C118" s="204"/>
      <c r="D118" s="141"/>
      <c r="E118" s="140"/>
      <c r="F118" s="140"/>
      <c r="G118" s="142"/>
      <c r="H118" s="143"/>
      <c r="I118" s="205"/>
      <c r="J118" s="205"/>
      <c r="K118" s="146"/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22" t="s">
        <v>17</v>
      </c>
      <c r="E119" s="148"/>
      <c r="F119" s="148"/>
      <c r="G119" s="151"/>
      <c r="H119" s="152" t="s">
        <v>12</v>
      </c>
      <c r="I119" s="419"/>
      <c r="J119" s="419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2" t="s">
        <v>18</v>
      </c>
      <c r="F120" s="40"/>
      <c r="G120" s="157"/>
      <c r="H120" s="158" t="s">
        <v>12</v>
      </c>
      <c r="I120" s="610"/>
      <c r="J120" s="610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2" t="s">
        <v>19</v>
      </c>
      <c r="F121" s="40"/>
      <c r="G121" s="157"/>
      <c r="H121" s="158" t="s">
        <v>12</v>
      </c>
      <c r="I121" s="610"/>
      <c r="J121" s="610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1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6">
        <f t="shared" ref="L122:N122" ca="1" si="64">L123+L124</f>
        <v>0</v>
      </c>
      <c r="M122" s="496">
        <f t="shared" ca="1" si="64"/>
        <v>0</v>
      </c>
      <c r="N122" s="496">
        <f t="shared" ca="1" si="64"/>
        <v>0</v>
      </c>
      <c r="O122" s="496">
        <f t="shared" ca="1" si="61"/>
        <v>0</v>
      </c>
      <c r="P122" s="496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2"/>
      <c r="D123" s="40"/>
      <c r="E123" s="222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2"/>
      <c r="D124" s="40"/>
      <c r="E124" s="222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IFERROR(__xludf.DUMMYFUNCTION("IMPORTRANGE(""https://docs.google.com/spreadsheets/d/1MeEWN-I1oV_STSDYn1IFDPWt_1FKiwhDph83XaGc0o0/edit?usp=sharing"",""งบพรบ!BA70"")"),0)</f>
        <v>0</v>
      </c>
      <c r="M124" s="93">
        <f ca="1">IFERROR(__xludf.DUMMYFUNCTION("IMPORTRANGE(""https://docs.google.com/spreadsheets/d/1MeEWN-I1oV_STSDYn1IFDPWt_1FKiwhDph83XaGc0o0/edit?usp=sharing"",""งบพรบ!BF70"")"),0)</f>
        <v>0</v>
      </c>
      <c r="N124" s="93">
        <f ca="1">IFERROR(__xludf.DUMMYFUNCTION("IMPORTRANGE(""https://docs.google.com/spreadsheets/d/1MeEWN-I1oV_STSDYn1IFDPWt_1FKiwhDph83XaGc0o0/edit?usp=sharing"",""งบพรบ!BH70"")"),0)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1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6">
        <f t="shared" ref="L125:N125" ca="1" si="65">L126+L127</f>
        <v>0</v>
      </c>
      <c r="M125" s="496">
        <f t="shared" ca="1" si="65"/>
        <v>0</v>
      </c>
      <c r="N125" s="496">
        <f t="shared" ca="1" si="65"/>
        <v>0</v>
      </c>
      <c r="O125" s="496">
        <f t="shared" ca="1" si="61"/>
        <v>0</v>
      </c>
      <c r="P125" s="496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2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2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IFERROR(__xludf.DUMMYFUNCTION("IMPORTRANGE(""https://docs.google.com/spreadsheets/d/1MeEWN-I1oV_STSDYn1IFDPWt_1FKiwhDph83XaGc0o0/edit?usp=sharing"",""งบพรบ!BD70"")"),0)</f>
        <v>0</v>
      </c>
      <c r="M127" s="93">
        <f ca="1">IFERROR(__xludf.DUMMYFUNCTION("IMPORTRANGE(""https://docs.google.com/spreadsheets/d/1MeEWN-I1oV_STSDYn1IFDPWt_1FKiwhDph83XaGc0o0/edit?usp=sharing"",""งบพรบ!BG70"")"),0)</f>
        <v>0</v>
      </c>
      <c r="N127" s="93">
        <f ca="1">IFERROR(__xludf.DUMMYFUNCTION("IMPORTRANGE(""https://docs.google.com/spreadsheets/d/1MeEWN-I1oV_STSDYn1IFDPWt_1FKiwhDph83XaGc0o0/edit?usp=sharing"",""งบพรบ!BI70"")"),0)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66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8" t="s">
        <v>67</v>
      </c>
      <c r="C129" s="204"/>
      <c r="D129" s="141"/>
      <c r="E129" s="140"/>
      <c r="F129" s="140"/>
      <c r="G129" s="140"/>
      <c r="H129" s="207"/>
      <c r="I129" s="205"/>
      <c r="J129" s="205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8"/>
      <c r="C130" s="209" t="s">
        <v>68</v>
      </c>
      <c r="D130" s="141"/>
      <c r="E130" s="140"/>
      <c r="F130" s="140"/>
      <c r="G130" s="142"/>
      <c r="H130" s="143" t="s">
        <v>69</v>
      </c>
      <c r="I130" s="144">
        <f t="shared" ref="I130:J130" ca="1" si="66">I146</f>
        <v>0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8"/>
      <c r="C131" s="209" t="s">
        <v>70</v>
      </c>
      <c r="D131" s="141"/>
      <c r="E131" s="140"/>
      <c r="F131" s="140"/>
      <c r="G131" s="142"/>
      <c r="H131" s="143" t="s">
        <v>35</v>
      </c>
      <c r="I131" s="144">
        <f t="shared" ref="I131:J131" ca="1" si="68">I143</f>
        <v>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822" t="s">
        <v>17</v>
      </c>
      <c r="E132" s="148"/>
      <c r="F132" s="148"/>
      <c r="G132" s="151"/>
      <c r="H132" s="152" t="s">
        <v>12</v>
      </c>
      <c r="I132" s="419"/>
      <c r="J132" s="419"/>
      <c r="K132" s="154"/>
      <c r="L132" s="155">
        <f t="shared" ref="L132:N132" ca="1" si="69">L133+L134</f>
        <v>0</v>
      </c>
      <c r="M132" s="155">
        <f t="shared" ca="1" si="69"/>
        <v>0</v>
      </c>
      <c r="N132" s="155">
        <f t="shared" ca="1" si="69"/>
        <v>0</v>
      </c>
      <c r="O132" s="155">
        <f t="shared" ref="O132:O140" ca="1" si="70">IF(L132&gt;0,N132*100/L132,0)</f>
        <v>0</v>
      </c>
      <c r="P132" s="155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2" t="s">
        <v>18</v>
      </c>
      <c r="F133" s="40"/>
      <c r="G133" s="157"/>
      <c r="H133" s="158" t="s">
        <v>12</v>
      </c>
      <c r="I133" s="610"/>
      <c r="J133" s="610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2" t="s">
        <v>19</v>
      </c>
      <c r="F134" s="40"/>
      <c r="G134" s="157"/>
      <c r="H134" s="158" t="s">
        <v>12</v>
      </c>
      <c r="I134" s="610"/>
      <c r="J134" s="610"/>
      <c r="K134" s="93"/>
      <c r="L134" s="93">
        <f t="shared" ca="1" si="72"/>
        <v>0</v>
      </c>
      <c r="M134" s="93">
        <f t="shared" ca="1" si="72"/>
        <v>0</v>
      </c>
      <c r="N134" s="93">
        <f t="shared" ca="1" si="72"/>
        <v>0</v>
      </c>
      <c r="O134" s="93">
        <f t="shared" ca="1" si="70"/>
        <v>0</v>
      </c>
      <c r="P134" s="93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1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6">
        <f t="shared" ref="L135:N135" ca="1" si="73">L136+L137</f>
        <v>0</v>
      </c>
      <c r="M135" s="496">
        <f t="shared" ca="1" si="73"/>
        <v>0</v>
      </c>
      <c r="N135" s="496">
        <f t="shared" ca="1" si="73"/>
        <v>0</v>
      </c>
      <c r="O135" s="496">
        <f t="shared" ca="1" si="70"/>
        <v>0</v>
      </c>
      <c r="P135" s="496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2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2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IFERROR(__xludf.DUMMYFUNCTION("IMPORTRANGE(""https://docs.google.com/spreadsheets/d/1MeEWN-I1oV_STSDYn1IFDPWt_1FKiwhDph83XaGc0o0/edit?usp=sharing"",""งบพรบ!BK70"")"),0)</f>
        <v>0</v>
      </c>
      <c r="M137" s="93">
        <f ca="1">IFERROR(__xludf.DUMMYFUNCTION("IMPORTRANGE(""https://docs.google.com/spreadsheets/d/1MeEWN-I1oV_STSDYn1IFDPWt_1FKiwhDph83XaGc0o0/edit?usp=sharing"",""งบพรบ!BP70"")"),0)</f>
        <v>0</v>
      </c>
      <c r="N137" s="93">
        <f ca="1">IFERROR(__xludf.DUMMYFUNCTION("IMPORTRANGE(""https://docs.google.com/spreadsheets/d/1MeEWN-I1oV_STSDYn1IFDPWt_1FKiwhDph83XaGc0o0/edit?usp=sharing"",""งบพรบ!BR70"")"),0)</f>
        <v>0</v>
      </c>
      <c r="O137" s="93">
        <f t="shared" ca="1" si="70"/>
        <v>0</v>
      </c>
      <c r="P137" s="93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1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6">
        <f t="shared" ref="L138:N138" ca="1" si="74">L139+L140</f>
        <v>0</v>
      </c>
      <c r="M138" s="496">
        <f t="shared" ca="1" si="74"/>
        <v>0</v>
      </c>
      <c r="N138" s="496">
        <f t="shared" ca="1" si="74"/>
        <v>0</v>
      </c>
      <c r="O138" s="496">
        <f t="shared" ca="1" si="70"/>
        <v>0</v>
      </c>
      <c r="P138" s="496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2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2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IFERROR(__xludf.DUMMYFUNCTION("IMPORTRANGE(""https://docs.google.com/spreadsheets/d/1MeEWN-I1oV_STSDYn1IFDPWt_1FKiwhDph83XaGc0o0/edit?usp=sharing"",""งบพรบ!BN70"")"),0)</f>
        <v>0</v>
      </c>
      <c r="M140" s="93">
        <f ca="1">IFERROR(__xludf.DUMMYFUNCTION("IMPORTRANGE(""https://docs.google.com/spreadsheets/d/1MeEWN-I1oV_STSDYn1IFDPWt_1FKiwhDph83XaGc0o0/edit?usp=sharing"",""งบพรบ!BQ70"")"),0)</f>
        <v>0</v>
      </c>
      <c r="N140" s="93">
        <f ca="1">IFERROR(__xludf.DUMMYFUNCTION("IMPORTRANGE(""https://docs.google.com/spreadsheets/d/1MeEWN-I1oV_STSDYn1IFDPWt_1FKiwhDph83XaGc0o0/edit?usp=sharing"",""งบพรบ!BS70"")"),0)</f>
        <v>0</v>
      </c>
      <c r="O140" s="93">
        <f t="shared" ca="1" si="70"/>
        <v>0</v>
      </c>
      <c r="P140" s="93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823" t="s">
        <v>38</v>
      </c>
      <c r="E141" s="173"/>
      <c r="F141" s="173"/>
      <c r="G141" s="174"/>
      <c r="H141" s="168"/>
      <c r="I141" s="269"/>
      <c r="J141" s="269"/>
      <c r="K141" s="496"/>
      <c r="L141" s="496"/>
      <c r="M141" s="496"/>
      <c r="N141" s="496"/>
      <c r="O141" s="496"/>
      <c r="P141" s="496"/>
    </row>
    <row r="142" spans="1:26" ht="19.5" hidden="1">
      <c r="A142" s="159"/>
      <c r="B142" s="33"/>
      <c r="C142" s="210"/>
      <c r="D142" s="281" t="s">
        <v>71</v>
      </c>
      <c r="E142" s="34"/>
      <c r="F142" s="33"/>
      <c r="G142" s="213"/>
      <c r="H142" s="168"/>
      <c r="I142" s="269"/>
      <c r="J142" s="214">
        <v>0</v>
      </c>
      <c r="K142" s="496"/>
      <c r="L142" s="496"/>
      <c r="M142" s="496"/>
      <c r="N142" s="496"/>
      <c r="O142" s="496"/>
      <c r="P142" s="496"/>
    </row>
    <row r="143" spans="1:26" ht="19.5" hidden="1">
      <c r="A143" s="159"/>
      <c r="B143" s="33"/>
      <c r="C143" s="210"/>
      <c r="D143" s="281" t="s">
        <v>72</v>
      </c>
      <c r="E143" s="34"/>
      <c r="F143" s="33"/>
      <c r="G143" s="213"/>
      <c r="H143" s="168" t="s">
        <v>35</v>
      </c>
      <c r="I143" s="269">
        <f ca="1">I145</f>
        <v>0</v>
      </c>
      <c r="J143" s="269">
        <f ca="1">IF(AND(J144&gt;=I144,J145&gt;=I145),J145,0)</f>
        <v>0</v>
      </c>
      <c r="K143" s="496">
        <f t="shared" ref="K143:K146" ca="1" si="75">IF(I143&gt;0,J143*100/I143,0)</f>
        <v>0</v>
      </c>
      <c r="L143" s="496"/>
      <c r="M143" s="496"/>
      <c r="N143" s="496"/>
      <c r="O143" s="496"/>
      <c r="P143" s="496"/>
    </row>
    <row r="144" spans="1:26" ht="19.5" hidden="1">
      <c r="A144" s="159"/>
      <c r="B144" s="33"/>
      <c r="C144" s="210"/>
      <c r="D144" s="178"/>
      <c r="E144" s="281" t="s">
        <v>73</v>
      </c>
      <c r="F144" s="33"/>
      <c r="G144" s="213"/>
      <c r="H144" s="168" t="s">
        <v>35</v>
      </c>
      <c r="I144" s="269">
        <f ca="1">IFERROR(__xludf.DUMMYFUNCTION("IMPORTRANGE(""https://docs.google.com/spreadsheets/d/1QqKyyYR6Q21VydFLVH3TRQUabQu_ym0Zz7PgGX0-kHA/edit?usp=sharing"",""แผน!U70"")"),0)</f>
        <v>0</v>
      </c>
      <c r="J144" s="214">
        <v>0</v>
      </c>
      <c r="K144" s="496">
        <f t="shared" ca="1" si="75"/>
        <v>0</v>
      </c>
      <c r="L144" s="496"/>
      <c r="M144" s="496"/>
      <c r="N144" s="496"/>
      <c r="O144" s="496"/>
      <c r="P144" s="496"/>
    </row>
    <row r="145" spans="1:26" ht="19.5" hidden="1">
      <c r="A145" s="159"/>
      <c r="B145" s="33"/>
      <c r="C145" s="210"/>
      <c r="D145" s="178"/>
      <c r="E145" s="281" t="s">
        <v>74</v>
      </c>
      <c r="F145" s="33"/>
      <c r="G145" s="213"/>
      <c r="H145" s="168" t="s">
        <v>35</v>
      </c>
      <c r="I145" s="269">
        <f ca="1">IFERROR(__xludf.DUMMYFUNCTION("IMPORTRANGE(""https://docs.google.com/spreadsheets/d/1QqKyyYR6Q21VydFLVH3TRQUabQu_ym0Zz7PgGX0-kHA/edit?usp=sharing"",""แผน!V70"")"),0)</f>
        <v>0</v>
      </c>
      <c r="J145" s="214">
        <v>0</v>
      </c>
      <c r="K145" s="496">
        <f t="shared" ca="1" si="75"/>
        <v>0</v>
      </c>
      <c r="L145" s="496"/>
      <c r="M145" s="496"/>
      <c r="N145" s="496"/>
      <c r="O145" s="496"/>
      <c r="P145" s="496"/>
    </row>
    <row r="146" spans="1:26" ht="19.5" hidden="1">
      <c r="A146" s="159"/>
      <c r="B146" s="33"/>
      <c r="C146" s="210"/>
      <c r="D146" s="281" t="s">
        <v>75</v>
      </c>
      <c r="E146" s="34"/>
      <c r="F146" s="33"/>
      <c r="G146" s="213"/>
      <c r="H146" s="168" t="s">
        <v>69</v>
      </c>
      <c r="I146" s="269">
        <f ca="1">IFERROR(__xludf.DUMMYFUNCTION("IMPORTRANGE(""https://docs.google.com/spreadsheets/d/1QqKyyYR6Q21VydFLVH3TRQUabQu_ym0Zz7PgGX0-kHA/edit?usp=sharing"",""แผน!W70"")"),0)</f>
        <v>0</v>
      </c>
      <c r="J146" s="214">
        <v>0</v>
      </c>
      <c r="K146" s="496">
        <f t="shared" ca="1" si="75"/>
        <v>0</v>
      </c>
      <c r="L146" s="496"/>
      <c r="M146" s="496"/>
      <c r="N146" s="496"/>
      <c r="O146" s="496"/>
      <c r="P146" s="496"/>
    </row>
    <row r="147" spans="1:26" ht="19.5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>
      <c r="A148" s="216"/>
      <c r="B148" s="208" t="s">
        <v>77</v>
      </c>
      <c r="C148" s="208"/>
      <c r="D148" s="208"/>
      <c r="E148" s="824"/>
      <c r="F148" s="218"/>
      <c r="G148" s="219"/>
      <c r="H148" s="220" t="s">
        <v>35</v>
      </c>
      <c r="I148" s="144">
        <f t="shared" ref="I148:J148" ca="1" si="76">I159</f>
        <v>15</v>
      </c>
      <c r="J148" s="144">
        <f t="shared" si="76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1"/>
      <c r="R148" s="221"/>
      <c r="S148" s="221"/>
      <c r="T148" s="221"/>
      <c r="U148" s="221"/>
      <c r="V148" s="221"/>
      <c r="W148" s="221"/>
      <c r="X148" s="221"/>
      <c r="Y148" s="221"/>
      <c r="Z148" s="221"/>
    </row>
    <row r="149" spans="1:26" ht="19.5">
      <c r="A149" s="147"/>
      <c r="B149" s="148"/>
      <c r="C149" s="149" t="s">
        <v>16</v>
      </c>
      <c r="D149" s="822" t="s">
        <v>17</v>
      </c>
      <c r="E149" s="148"/>
      <c r="F149" s="148"/>
      <c r="G149" s="151"/>
      <c r="H149" s="152" t="s">
        <v>12</v>
      </c>
      <c r="I149" s="419"/>
      <c r="J149" s="419"/>
      <c r="K149" s="154"/>
      <c r="L149" s="155">
        <f t="shared" ref="L149:N149" ca="1" si="77">L150+L151</f>
        <v>7500</v>
      </c>
      <c r="M149" s="155">
        <f t="shared" ca="1" si="77"/>
        <v>7500</v>
      </c>
      <c r="N149" s="155">
        <f t="shared" ca="1" si="77"/>
        <v>0</v>
      </c>
      <c r="O149" s="155">
        <f t="shared" ref="O149:O157" ca="1" si="78">IF(L149&gt;0,N149*100/L149,0)</f>
        <v>0</v>
      </c>
      <c r="P149" s="155">
        <f t="shared" ref="P149:P157" ca="1" si="79">IF(M149&gt;0,N149*100/M149,0)</f>
        <v>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2" t="s">
        <v>18</v>
      </c>
      <c r="F150" s="40"/>
      <c r="G150" s="157"/>
      <c r="H150" s="158" t="s">
        <v>12</v>
      </c>
      <c r="I150" s="610"/>
      <c r="J150" s="610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2" t="s">
        <v>19</v>
      </c>
      <c r="F151" s="40"/>
      <c r="G151" s="157"/>
      <c r="H151" s="158" t="s">
        <v>12</v>
      </c>
      <c r="I151" s="610"/>
      <c r="J151" s="610"/>
      <c r="K151" s="93"/>
      <c r="L151" s="93">
        <f t="shared" ca="1" si="80"/>
        <v>7500</v>
      </c>
      <c r="M151" s="93">
        <f t="shared" ca="1" si="80"/>
        <v>7500</v>
      </c>
      <c r="N151" s="93">
        <f t="shared" ca="1" si="80"/>
        <v>0</v>
      </c>
      <c r="O151" s="93">
        <f t="shared" ca="1" si="78"/>
        <v>0</v>
      </c>
      <c r="P151" s="93">
        <f t="shared" ca="1" si="79"/>
        <v>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>
      <c r="A152" s="159"/>
      <c r="B152" s="33"/>
      <c r="C152" s="281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6">
        <f t="shared" ref="L152:N152" ca="1" si="81">L153+L154</f>
        <v>7500</v>
      </c>
      <c r="M152" s="496">
        <f t="shared" ca="1" si="81"/>
        <v>7500</v>
      </c>
      <c r="N152" s="496">
        <f t="shared" ca="1" si="81"/>
        <v>0</v>
      </c>
      <c r="O152" s="496">
        <f t="shared" ca="1" si="78"/>
        <v>0</v>
      </c>
      <c r="P152" s="496">
        <f t="shared" ca="1" si="79"/>
        <v>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2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2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IFERROR(__xludf.DUMMYFUNCTION("IMPORTRANGE(""https://docs.google.com/spreadsheets/d/1MeEWN-I1oV_STSDYn1IFDPWt_1FKiwhDph83XaGc0o0/edit?usp=sharing"",""งบพรบ!BU70"")"),7500)</f>
        <v>7500</v>
      </c>
      <c r="M154" s="93">
        <f ca="1">IFERROR(__xludf.DUMMYFUNCTION("IMPORTRANGE(""https://docs.google.com/spreadsheets/d/1MeEWN-I1oV_STSDYn1IFDPWt_1FKiwhDph83XaGc0o0/edit?usp=sharing"",""งบพรบ!BZ70"")"),7500)</f>
        <v>7500</v>
      </c>
      <c r="N154" s="93">
        <f ca="1">IFERROR(__xludf.DUMMYFUNCTION("IMPORTRANGE(""https://docs.google.com/spreadsheets/d/1MeEWN-I1oV_STSDYn1IFDPWt_1FKiwhDph83XaGc0o0/edit?usp=sharing"",""งบพรบ!CB70"")"),0)</f>
        <v>0</v>
      </c>
      <c r="O154" s="93">
        <f t="shared" ca="1" si="78"/>
        <v>0</v>
      </c>
      <c r="P154" s="93">
        <f t="shared" ca="1" si="79"/>
        <v>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>
      <c r="A155" s="159"/>
      <c r="B155" s="33"/>
      <c r="C155" s="281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6">
        <f t="shared" ref="L155:N155" ca="1" si="82">L156+L157</f>
        <v>0</v>
      </c>
      <c r="M155" s="496">
        <f t="shared" ca="1" si="82"/>
        <v>0</v>
      </c>
      <c r="N155" s="496">
        <f t="shared" ca="1" si="82"/>
        <v>0</v>
      </c>
      <c r="O155" s="496">
        <f t="shared" ca="1" si="78"/>
        <v>0</v>
      </c>
      <c r="P155" s="496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2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2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IFERROR(__xludf.DUMMYFUNCTION("IMPORTRANGE(""https://docs.google.com/spreadsheets/d/1MeEWN-I1oV_STSDYn1IFDPWt_1FKiwhDph83XaGc0o0/edit?usp=sharing"",""งบพรบ!BX70"")"),0)</f>
        <v>0</v>
      </c>
      <c r="M157" s="93">
        <f ca="1">IFERROR(__xludf.DUMMYFUNCTION("IMPORTRANGE(""https://docs.google.com/spreadsheets/d/1MeEWN-I1oV_STSDYn1IFDPWt_1FKiwhDph83XaGc0o0/edit?usp=sharing"",""งบพรบ!CA70"")"),0)</f>
        <v>0</v>
      </c>
      <c r="N157" s="93">
        <f ca="1">IFERROR(__xludf.DUMMYFUNCTION("IMPORTRANGE(""https://docs.google.com/spreadsheets/d/1MeEWN-I1oV_STSDYn1IFDPWt_1FKiwhDph83XaGc0o0/edit?usp=sharing"",""งบพรบ!CC70"")"),0)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>
      <c r="A158" s="170"/>
      <c r="B158" s="171"/>
      <c r="C158" s="164" t="s">
        <v>16</v>
      </c>
      <c r="D158" s="823" t="s">
        <v>38</v>
      </c>
      <c r="E158" s="173"/>
      <c r="F158" s="173"/>
      <c r="G158" s="174"/>
      <c r="H158" s="168"/>
      <c r="I158" s="269"/>
      <c r="J158" s="269"/>
      <c r="K158" s="496"/>
      <c r="L158" s="496"/>
      <c r="M158" s="496"/>
      <c r="N158" s="496"/>
      <c r="O158" s="496"/>
      <c r="P158" s="496"/>
    </row>
    <row r="159" spans="1:26" ht="19.5">
      <c r="A159" s="159"/>
      <c r="B159" s="33"/>
      <c r="C159" s="210"/>
      <c r="D159" s="281" t="s">
        <v>78</v>
      </c>
      <c r="E159" s="34"/>
      <c r="F159" s="33"/>
      <c r="G159" s="213"/>
      <c r="H159" s="168" t="s">
        <v>35</v>
      </c>
      <c r="I159" s="269">
        <f ca="1">IFERROR(__xludf.DUMMYFUNCTION("IMPORTRANGE(""https://docs.google.com/spreadsheets/d/1QqKyyYR6Q21VydFLVH3TRQUabQu_ym0Zz7PgGX0-kHA/edit?usp=sharing"",""แผน!X70"")"),15)</f>
        <v>15</v>
      </c>
      <c r="J159" s="214">
        <v>0</v>
      </c>
      <c r="K159" s="496">
        <f ca="1">IF(I159&gt;0,J159*100/I159,0)</f>
        <v>0</v>
      </c>
      <c r="L159" s="496"/>
      <c r="M159" s="496"/>
      <c r="N159" s="496"/>
      <c r="O159" s="496"/>
      <c r="P159" s="496"/>
    </row>
    <row r="160" spans="1:26" ht="19.5" hidden="1">
      <c r="A160" s="156"/>
      <c r="B160" s="40"/>
      <c r="C160" s="164"/>
      <c r="D160" s="222" t="s">
        <v>79</v>
      </c>
      <c r="E160" s="223"/>
      <c r="F160" s="40"/>
      <c r="G160" s="157"/>
      <c r="H160" s="169" t="s">
        <v>35</v>
      </c>
      <c r="I160" s="610"/>
      <c r="J160" s="610"/>
      <c r="K160" s="93"/>
      <c r="L160" s="93"/>
      <c r="M160" s="93"/>
      <c r="N160" s="93"/>
      <c r="O160" s="93"/>
      <c r="P160" s="93"/>
      <c r="Q160" s="224"/>
      <c r="R160" s="224"/>
      <c r="S160" s="224"/>
      <c r="T160" s="224"/>
      <c r="U160" s="224"/>
      <c r="V160" s="224"/>
      <c r="W160" s="224"/>
      <c r="X160" s="224"/>
      <c r="Y160" s="224"/>
      <c r="Z160" s="224"/>
    </row>
    <row r="161" spans="1:26" ht="19.5" hidden="1">
      <c r="A161" s="225"/>
      <c r="B161" s="226"/>
      <c r="C161" s="227"/>
      <c r="D161" s="228" t="s">
        <v>80</v>
      </c>
      <c r="E161" s="825"/>
      <c r="F161" s="226"/>
      <c r="G161" s="230"/>
      <c r="H161" s="231" t="s">
        <v>35</v>
      </c>
      <c r="I161" s="232"/>
      <c r="J161" s="232"/>
      <c r="K161" s="233"/>
      <c r="L161" s="233"/>
      <c r="M161" s="233"/>
      <c r="N161" s="233"/>
      <c r="O161" s="233"/>
      <c r="P161" s="233"/>
      <c r="Q161" s="224"/>
      <c r="R161" s="224"/>
      <c r="S161" s="224"/>
      <c r="T161" s="224"/>
      <c r="U161" s="224"/>
      <c r="V161" s="224"/>
      <c r="W161" s="224"/>
      <c r="X161" s="224"/>
      <c r="Y161" s="224"/>
      <c r="Z161" s="224"/>
    </row>
    <row r="162" spans="1:26" ht="19.5">
      <c r="A162" s="234" t="s">
        <v>81</v>
      </c>
      <c r="B162" s="235"/>
      <c r="C162" s="235"/>
      <c r="D162" s="235"/>
      <c r="E162" s="236"/>
      <c r="F162" s="236"/>
      <c r="G162" s="237"/>
      <c r="H162" s="238"/>
      <c r="I162" s="239"/>
      <c r="J162" s="239"/>
      <c r="K162" s="240"/>
      <c r="L162" s="240"/>
      <c r="M162" s="240"/>
      <c r="N162" s="240"/>
      <c r="O162" s="240"/>
      <c r="P162" s="240"/>
    </row>
    <row r="163" spans="1:26" ht="19.5">
      <c r="A163" s="241" t="s">
        <v>82</v>
      </c>
      <c r="B163" s="242"/>
      <c r="C163" s="242"/>
      <c r="D163" s="243"/>
      <c r="E163" s="243"/>
      <c r="F163" s="243"/>
      <c r="G163" s="244"/>
      <c r="H163" s="245"/>
      <c r="I163" s="246"/>
      <c r="J163" s="246"/>
      <c r="K163" s="247"/>
      <c r="L163" s="247"/>
      <c r="M163" s="247"/>
      <c r="N163" s="247"/>
      <c r="O163" s="247"/>
      <c r="P163" s="247"/>
    </row>
    <row r="164" spans="1:26" ht="19.5">
      <c r="A164" s="248"/>
      <c r="B164" s="249" t="s">
        <v>83</v>
      </c>
      <c r="C164" s="250"/>
      <c r="D164" s="173"/>
      <c r="E164" s="173"/>
      <c r="F164" s="173"/>
      <c r="G164" s="174"/>
      <c r="H164" s="251" t="s">
        <v>35</v>
      </c>
      <c r="I164" s="252">
        <f t="shared" ref="I164:J164" ca="1" si="83">I174+I177</f>
        <v>12</v>
      </c>
      <c r="J164" s="252">
        <f t="shared" si="83"/>
        <v>0</v>
      </c>
      <c r="K164" s="253">
        <f ca="1">IF(I164&gt;0,J164*100/I164,0)</f>
        <v>0</v>
      </c>
      <c r="L164" s="254"/>
      <c r="M164" s="254"/>
      <c r="N164" s="254"/>
      <c r="O164" s="254"/>
      <c r="P164" s="254"/>
    </row>
    <row r="165" spans="1:26" ht="19.5">
      <c r="A165" s="147"/>
      <c r="B165" s="148"/>
      <c r="C165" s="149" t="s">
        <v>16</v>
      </c>
      <c r="D165" s="822" t="s">
        <v>17</v>
      </c>
      <c r="E165" s="148"/>
      <c r="F165" s="148"/>
      <c r="G165" s="151"/>
      <c r="H165" s="152" t="s">
        <v>12</v>
      </c>
      <c r="I165" s="419"/>
      <c r="J165" s="419"/>
      <c r="K165" s="154"/>
      <c r="L165" s="155">
        <f t="shared" ref="L165:N165" ca="1" si="84">L166+L167</f>
        <v>23060</v>
      </c>
      <c r="M165" s="155">
        <f t="shared" ca="1" si="84"/>
        <v>23060</v>
      </c>
      <c r="N165" s="155">
        <f t="shared" ca="1" si="84"/>
        <v>20729</v>
      </c>
      <c r="O165" s="155">
        <f t="shared" ref="O165:O173" ca="1" si="85">IF(L165&gt;0,N165*100/L165,0)</f>
        <v>89.891587163920207</v>
      </c>
      <c r="P165" s="155">
        <f t="shared" ref="P165:P173" ca="1" si="86">IF(M165&gt;0,N165*100/M165,0)</f>
        <v>89.891587163920207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2" t="s">
        <v>18</v>
      </c>
      <c r="F166" s="40"/>
      <c r="G166" s="157"/>
      <c r="H166" s="158" t="s">
        <v>12</v>
      </c>
      <c r="I166" s="610"/>
      <c r="J166" s="610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2" t="s">
        <v>19</v>
      </c>
      <c r="F167" s="40"/>
      <c r="G167" s="157"/>
      <c r="H167" s="158" t="s">
        <v>12</v>
      </c>
      <c r="I167" s="610"/>
      <c r="J167" s="610"/>
      <c r="K167" s="93"/>
      <c r="L167" s="93">
        <f t="shared" ca="1" si="87"/>
        <v>23060</v>
      </c>
      <c r="M167" s="93">
        <f t="shared" ca="1" si="87"/>
        <v>23060</v>
      </c>
      <c r="N167" s="93">
        <f t="shared" ca="1" si="87"/>
        <v>20729</v>
      </c>
      <c r="O167" s="93">
        <f t="shared" ca="1" si="85"/>
        <v>89.891587163920207</v>
      </c>
      <c r="P167" s="93">
        <f t="shared" ca="1" si="86"/>
        <v>89.891587163920207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1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6">
        <f t="shared" ref="L168:N168" ca="1" si="88">L169+L170</f>
        <v>23060</v>
      </c>
      <c r="M168" s="496">
        <f t="shared" ca="1" si="88"/>
        <v>23060</v>
      </c>
      <c r="N168" s="496">
        <f t="shared" ca="1" si="88"/>
        <v>20729</v>
      </c>
      <c r="O168" s="496">
        <f t="shared" ca="1" si="85"/>
        <v>89.891587163920207</v>
      </c>
      <c r="P168" s="496">
        <f t="shared" ca="1" si="86"/>
        <v>89.891587163920207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2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2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IFERROR(__xludf.DUMMYFUNCTION("IMPORTRANGE(""https://docs.google.com/spreadsheets/d/1MeEWN-I1oV_STSDYn1IFDPWt_1FKiwhDph83XaGc0o0/edit?usp=sharing"",""งบพรบ!CE70"")"),23060)</f>
        <v>23060</v>
      </c>
      <c r="M170" s="93">
        <f ca="1">IFERROR(__xludf.DUMMYFUNCTION("IMPORTRANGE(""https://docs.google.com/spreadsheets/d/1MeEWN-I1oV_STSDYn1IFDPWt_1FKiwhDph83XaGc0o0/edit?usp=sharing"",""งบพรบ!CJ70"")"),23060)</f>
        <v>23060</v>
      </c>
      <c r="N170" s="93">
        <f ca="1">IFERROR(__xludf.DUMMYFUNCTION("IMPORTRANGE(""https://docs.google.com/spreadsheets/d/1MeEWN-I1oV_STSDYn1IFDPWt_1FKiwhDph83XaGc0o0/edit?usp=sharing"",""งบพรบ!CL70"")"),20729)</f>
        <v>20729</v>
      </c>
      <c r="O170" s="93">
        <f t="shared" ca="1" si="85"/>
        <v>89.891587163920207</v>
      </c>
      <c r="P170" s="93">
        <f t="shared" ca="1" si="86"/>
        <v>89.891587163920207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1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6">
        <f t="shared" ref="L171:N171" ca="1" si="89">L172+L173</f>
        <v>0</v>
      </c>
      <c r="M171" s="496">
        <f t="shared" ca="1" si="89"/>
        <v>0</v>
      </c>
      <c r="N171" s="496">
        <f t="shared" ca="1" si="89"/>
        <v>0</v>
      </c>
      <c r="O171" s="496">
        <f t="shared" ca="1" si="85"/>
        <v>0</v>
      </c>
      <c r="P171" s="496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2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2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IFERROR(__xludf.DUMMYFUNCTION("IMPORTRANGE(""https://docs.google.com/spreadsheets/d/1MeEWN-I1oV_STSDYn1IFDPWt_1FKiwhDph83XaGc0o0/edit?usp=sharing"",""งบพรบ!CH70"")"),0)</f>
        <v>0</v>
      </c>
      <c r="M173" s="93">
        <f ca="1">IFERROR(__xludf.DUMMYFUNCTION("IMPORTRANGE(""https://docs.google.com/spreadsheets/d/1MeEWN-I1oV_STSDYn1IFDPWt_1FKiwhDph83XaGc0o0/edit?usp=sharing"",""งบพรบ!CK70"")"),0)</f>
        <v>0</v>
      </c>
      <c r="N173" s="93">
        <f ca="1">IFERROR(__xludf.DUMMYFUNCTION("IMPORTRANGE(""https://docs.google.com/spreadsheets/d/1MeEWN-I1oV_STSDYn1IFDPWt_1FKiwhDph83XaGc0o0/edit?usp=sharing"",""งบพรบ!CM70"")"),0)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5"/>
      <c r="B174" s="256"/>
      <c r="C174" s="257" t="s">
        <v>84</v>
      </c>
      <c r="D174" s="256"/>
      <c r="E174" s="256"/>
      <c r="F174" s="256"/>
      <c r="G174" s="258"/>
      <c r="H174" s="259" t="s">
        <v>35</v>
      </c>
      <c r="I174" s="260">
        <f t="shared" ref="I174:J174" ca="1" si="90">I176</f>
        <v>12</v>
      </c>
      <c r="J174" s="260">
        <f t="shared" si="90"/>
        <v>0</v>
      </c>
      <c r="K174" s="261">
        <f ca="1">IF(I174&gt;0,J174*100/I174,0)</f>
        <v>0</v>
      </c>
      <c r="L174" s="261"/>
      <c r="M174" s="261"/>
      <c r="N174" s="261"/>
      <c r="O174" s="261"/>
      <c r="P174" s="261"/>
    </row>
    <row r="175" spans="1:26" ht="19.5">
      <c r="A175" s="170"/>
      <c r="B175" s="171"/>
      <c r="C175" s="164" t="s">
        <v>16</v>
      </c>
      <c r="D175" s="823" t="s">
        <v>38</v>
      </c>
      <c r="E175" s="173"/>
      <c r="F175" s="173"/>
      <c r="G175" s="174"/>
      <c r="H175" s="753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37" t="s">
        <v>85</v>
      </c>
      <c r="E176" s="178"/>
      <c r="F176" s="178"/>
      <c r="G176" s="179"/>
      <c r="H176" s="616" t="s">
        <v>35</v>
      </c>
      <c r="I176" s="269">
        <f ca="1">IFERROR(__xludf.DUMMYFUNCTION("IMPORTRANGE(""https://docs.google.com/spreadsheets/d/1QqKyyYR6Q21VydFLVH3TRQUabQu_ym0Zz7PgGX0-kHA/edit?usp=sharing"",""แผน!Y70"")"),12)</f>
        <v>12</v>
      </c>
      <c r="J176" s="214">
        <v>0</v>
      </c>
      <c r="K176" s="163">
        <f ca="1">IF(I176&gt;0,J176*100/I176,0)</f>
        <v>0</v>
      </c>
      <c r="L176" s="163"/>
      <c r="M176" s="163"/>
      <c r="N176" s="163"/>
      <c r="O176" s="163"/>
      <c r="P176" s="163"/>
    </row>
    <row r="177" spans="1:26" ht="19.5" hidden="1">
      <c r="A177" s="255"/>
      <c r="B177" s="263"/>
      <c r="C177" s="264" t="s">
        <v>86</v>
      </c>
      <c r="D177" s="263"/>
      <c r="E177" s="256"/>
      <c r="F177" s="256"/>
      <c r="G177" s="258"/>
      <c r="H177" s="265" t="s">
        <v>35</v>
      </c>
      <c r="I177" s="260"/>
      <c r="J177" s="260">
        <f>J179</f>
        <v>0</v>
      </c>
      <c r="K177" s="261"/>
      <c r="L177" s="261"/>
      <c r="M177" s="261"/>
      <c r="N177" s="261"/>
      <c r="O177" s="261"/>
      <c r="P177" s="261"/>
    </row>
    <row r="178" spans="1:26" ht="19.5" hidden="1">
      <c r="A178" s="170"/>
      <c r="B178" s="171"/>
      <c r="C178" s="164" t="s">
        <v>16</v>
      </c>
      <c r="D178" s="266" t="s">
        <v>38</v>
      </c>
      <c r="E178" s="173"/>
      <c r="F178" s="173"/>
      <c r="G178" s="174"/>
      <c r="H178" s="753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3" t="s">
        <v>87</v>
      </c>
      <c r="E179" s="178"/>
      <c r="F179" s="366"/>
      <c r="G179" s="179"/>
      <c r="H179" s="43" t="s">
        <v>35</v>
      </c>
      <c r="I179" s="269"/>
      <c r="J179" s="269"/>
      <c r="K179" s="163"/>
      <c r="L179" s="163"/>
      <c r="M179" s="163"/>
      <c r="N179" s="163"/>
      <c r="O179" s="163"/>
      <c r="P179" s="163"/>
    </row>
    <row r="180" spans="1:26" ht="19.5">
      <c r="A180" s="248"/>
      <c r="B180" s="249" t="s">
        <v>88</v>
      </c>
      <c r="C180" s="250"/>
      <c r="D180" s="173"/>
      <c r="E180" s="173"/>
      <c r="F180" s="173"/>
      <c r="G180" s="174"/>
      <c r="H180" s="251" t="s">
        <v>35</v>
      </c>
      <c r="I180" s="252">
        <f t="shared" ref="I180:J180" ca="1" si="91">I225+I226</f>
        <v>10</v>
      </c>
      <c r="J180" s="252">
        <f t="shared" si="91"/>
        <v>0</v>
      </c>
      <c r="K180" s="253">
        <f ca="1">IF(I180&gt;0,J180*100/I180,0)</f>
        <v>0</v>
      </c>
      <c r="L180" s="254"/>
      <c r="M180" s="254"/>
      <c r="N180" s="254"/>
      <c r="O180" s="254"/>
      <c r="P180" s="254"/>
    </row>
    <row r="181" spans="1:26" ht="19.5">
      <c r="A181" s="147"/>
      <c r="B181" s="148"/>
      <c r="C181" s="149" t="s">
        <v>16</v>
      </c>
      <c r="D181" s="822" t="s">
        <v>17</v>
      </c>
      <c r="E181" s="148"/>
      <c r="F181" s="148"/>
      <c r="G181" s="151"/>
      <c r="H181" s="152" t="s">
        <v>12</v>
      </c>
      <c r="I181" s="419"/>
      <c r="J181" s="419"/>
      <c r="K181" s="154"/>
      <c r="L181" s="155">
        <f t="shared" ref="L181:N181" ca="1" si="92">L182+L183</f>
        <v>208200</v>
      </c>
      <c r="M181" s="155">
        <f t="shared" ca="1" si="92"/>
        <v>112600</v>
      </c>
      <c r="N181" s="155">
        <f t="shared" ca="1" si="92"/>
        <v>55339</v>
      </c>
      <c r="O181" s="155">
        <f t="shared" ref="O181:O189" ca="1" si="93">IF(L181&gt;0,N181*100/L181,0)</f>
        <v>26.579731027857829</v>
      </c>
      <c r="P181" s="155">
        <f t="shared" ref="P181:P189" ca="1" si="94">IF(M181&gt;0,N181*100/M181,0)</f>
        <v>49.146536412078156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2" t="s">
        <v>18</v>
      </c>
      <c r="F182" s="40"/>
      <c r="G182" s="157"/>
      <c r="H182" s="158" t="s">
        <v>12</v>
      </c>
      <c r="I182" s="610"/>
      <c r="J182" s="610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2" t="s">
        <v>19</v>
      </c>
      <c r="F183" s="40"/>
      <c r="G183" s="157"/>
      <c r="H183" s="158" t="s">
        <v>12</v>
      </c>
      <c r="I183" s="610"/>
      <c r="J183" s="610"/>
      <c r="K183" s="93"/>
      <c r="L183" s="93">
        <f t="shared" ca="1" si="95"/>
        <v>208200</v>
      </c>
      <c r="M183" s="93">
        <f t="shared" ca="1" si="95"/>
        <v>112600</v>
      </c>
      <c r="N183" s="93">
        <f t="shared" ca="1" si="95"/>
        <v>55339</v>
      </c>
      <c r="O183" s="93">
        <f t="shared" ca="1" si="93"/>
        <v>26.579731027857829</v>
      </c>
      <c r="P183" s="93">
        <f t="shared" ca="1" si="94"/>
        <v>49.146536412078156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1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6">
        <f t="shared" ref="L184:N184" ca="1" si="96">L185+L186</f>
        <v>208200</v>
      </c>
      <c r="M184" s="496">
        <f t="shared" ca="1" si="96"/>
        <v>112600</v>
      </c>
      <c r="N184" s="496">
        <f t="shared" ca="1" si="96"/>
        <v>55339</v>
      </c>
      <c r="O184" s="496">
        <f t="shared" ca="1" si="93"/>
        <v>26.579731027857829</v>
      </c>
      <c r="P184" s="496">
        <f t="shared" ca="1" si="94"/>
        <v>49.146536412078156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2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2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IFERROR(__xludf.DUMMYFUNCTION("IMPORTRANGE(""https://docs.google.com/spreadsheets/d/1MeEWN-I1oV_STSDYn1IFDPWt_1FKiwhDph83XaGc0o0/edit?usp=sharing"",""งบพรบ!CO70"")"),208200)</f>
        <v>208200</v>
      </c>
      <c r="M186" s="93">
        <f ca="1">IFERROR(__xludf.DUMMYFUNCTION("IMPORTRANGE(""https://docs.google.com/spreadsheets/d/1MeEWN-I1oV_STSDYn1IFDPWt_1FKiwhDph83XaGc0o0/edit?usp=sharing"",""งบพรบ!CT70"")"),112600)</f>
        <v>112600</v>
      </c>
      <c r="N186" s="93">
        <f ca="1">IFERROR(__xludf.DUMMYFUNCTION("IMPORTRANGE(""https://docs.google.com/spreadsheets/d/1MeEWN-I1oV_STSDYn1IFDPWt_1FKiwhDph83XaGc0o0/edit?usp=sharing"",""งบพรบ!CV70"")"),55339)</f>
        <v>55339</v>
      </c>
      <c r="O186" s="93">
        <f t="shared" ca="1" si="93"/>
        <v>26.579731027857829</v>
      </c>
      <c r="P186" s="93">
        <f t="shared" ca="1" si="94"/>
        <v>49.146536412078156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1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6">
        <f t="shared" ref="L187:N187" ca="1" si="97">L188+L189</f>
        <v>0</v>
      </c>
      <c r="M187" s="496">
        <f t="shared" ca="1" si="97"/>
        <v>0</v>
      </c>
      <c r="N187" s="496">
        <f t="shared" ca="1" si="97"/>
        <v>0</v>
      </c>
      <c r="O187" s="496">
        <f t="shared" ca="1" si="93"/>
        <v>0</v>
      </c>
      <c r="P187" s="496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2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2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IFERROR(__xludf.DUMMYFUNCTION("IMPORTRANGE(""https://docs.google.com/spreadsheets/d/1MeEWN-I1oV_STSDYn1IFDPWt_1FKiwhDph83XaGc0o0/edit?usp=sharing"",""งบพรบ!CR70"")"),0)</f>
        <v>0</v>
      </c>
      <c r="M189" s="93">
        <f ca="1">IFERROR(__xludf.DUMMYFUNCTION("IMPORTRANGE(""https://docs.google.com/spreadsheets/d/1MeEWN-I1oV_STSDYn1IFDPWt_1FKiwhDph83XaGc0o0/edit?usp=sharing"",""งบพรบ!CU70"")"),0)</f>
        <v>0</v>
      </c>
      <c r="N189" s="93">
        <f ca="1">IFERROR(__xludf.DUMMYFUNCTION("IMPORTRANGE(""https://docs.google.com/spreadsheets/d/1MeEWN-I1oV_STSDYn1IFDPWt_1FKiwhDph83XaGc0o0/edit?usp=sharing"",""งบพรบ!CW70"")"),0)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5"/>
      <c r="B190" s="263"/>
      <c r="C190" s="270" t="s">
        <v>89</v>
      </c>
      <c r="D190" s="256"/>
      <c r="E190" s="256"/>
      <c r="F190" s="256"/>
      <c r="G190" s="258"/>
      <c r="H190" s="259" t="s">
        <v>90</v>
      </c>
      <c r="I190" s="271">
        <f t="shared" ref="I190:J190" ca="1" si="98">I193</f>
        <v>4</v>
      </c>
      <c r="J190" s="271">
        <f t="shared" si="98"/>
        <v>0</v>
      </c>
      <c r="K190" s="272">
        <f ca="1">IF(I190&gt;0,J190*100/I190,0)</f>
        <v>0</v>
      </c>
      <c r="L190" s="261"/>
      <c r="M190" s="261"/>
      <c r="N190" s="261"/>
      <c r="O190" s="261"/>
      <c r="P190" s="261"/>
    </row>
    <row r="191" spans="1:26" ht="19.5">
      <c r="A191" s="147"/>
      <c r="B191" s="148"/>
      <c r="C191" s="149" t="s">
        <v>16</v>
      </c>
      <c r="D191" s="826" t="s">
        <v>17</v>
      </c>
      <c r="E191" s="148"/>
      <c r="F191" s="148"/>
      <c r="G191" s="151"/>
      <c r="H191" s="274" t="s">
        <v>12</v>
      </c>
      <c r="I191" s="419"/>
      <c r="J191" s="419"/>
      <c r="K191" s="154"/>
      <c r="L191" s="155">
        <f ca="1">IFERROR(__xludf.DUMMYFUNCTION("IMPORTRANGE(""https://docs.google.com/spreadsheets/d/1QqKyyYR6Q21VydFLVH3TRQUabQu_ym0Zz7PgGX0-kHA/edit?usp=sharing"",""แผน!Z70"")"),6000)</f>
        <v>6000</v>
      </c>
      <c r="M191" s="155"/>
      <c r="N191" s="275">
        <v>0</v>
      </c>
      <c r="O191" s="155">
        <f ca="1">IF(L191&gt;0,N191*100/L191,0)</f>
        <v>0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0" t="s">
        <v>16</v>
      </c>
      <c r="D192" s="823" t="s">
        <v>38</v>
      </c>
      <c r="E192" s="173"/>
      <c r="F192" s="173"/>
      <c r="G192" s="174"/>
      <c r="H192" s="753"/>
      <c r="I192" s="269"/>
      <c r="J192" s="269"/>
      <c r="K192" s="496"/>
      <c r="L192" s="496"/>
      <c r="M192" s="496"/>
      <c r="N192" s="496"/>
      <c r="O192" s="496"/>
      <c r="P192" s="496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6" t="s">
        <v>91</v>
      </c>
      <c r="E193" s="178"/>
      <c r="F193" s="178"/>
      <c r="G193" s="179"/>
      <c r="H193" s="755" t="s">
        <v>90</v>
      </c>
      <c r="I193" s="269">
        <f ca="1">IFERROR(__xludf.DUMMYFUNCTION("IMPORTRANGE(""https://docs.google.com/spreadsheets/d/1QqKyyYR6Q21VydFLVH3TRQUabQu_ym0Zz7PgGX0-kHA/edit?usp=sharing"",""แผน!AC70"")"),4)</f>
        <v>4</v>
      </c>
      <c r="J193" s="214">
        <v>0</v>
      </c>
      <c r="K193" s="496">
        <f ca="1">IF(I193&gt;0,J193*100/I193,0)</f>
        <v>0</v>
      </c>
      <c r="L193" s="496"/>
      <c r="M193" s="496"/>
      <c r="N193" s="496"/>
      <c r="O193" s="496"/>
      <c r="P193" s="496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6" t="s">
        <v>92</v>
      </c>
      <c r="E194" s="178"/>
      <c r="F194" s="178"/>
      <c r="G194" s="179"/>
      <c r="H194" s="276" t="s">
        <v>35</v>
      </c>
      <c r="I194" s="269"/>
      <c r="J194" s="269">
        <f>J195+J196</f>
        <v>0</v>
      </c>
      <c r="K194" s="496"/>
      <c r="L194" s="496"/>
      <c r="M194" s="496"/>
      <c r="N194" s="496"/>
      <c r="O194" s="496"/>
      <c r="P194" s="496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6" t="s">
        <v>93</v>
      </c>
      <c r="F195" s="178"/>
      <c r="G195" s="179"/>
      <c r="H195" s="276" t="s">
        <v>35</v>
      </c>
      <c r="I195" s="269"/>
      <c r="J195" s="214">
        <v>0</v>
      </c>
      <c r="K195" s="496"/>
      <c r="L195" s="496"/>
      <c r="M195" s="496"/>
      <c r="N195" s="496"/>
      <c r="O195" s="496"/>
      <c r="P195" s="496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6" t="s">
        <v>94</v>
      </c>
      <c r="F196" s="178"/>
      <c r="G196" s="179"/>
      <c r="H196" s="276" t="s">
        <v>35</v>
      </c>
      <c r="I196" s="269"/>
      <c r="J196" s="214">
        <v>0</v>
      </c>
      <c r="K196" s="496"/>
      <c r="L196" s="496"/>
      <c r="M196" s="496"/>
      <c r="N196" s="496"/>
      <c r="O196" s="496"/>
      <c r="P196" s="496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5"/>
      <c r="B197" s="263"/>
      <c r="C197" s="270" t="s">
        <v>95</v>
      </c>
      <c r="D197" s="256"/>
      <c r="E197" s="256"/>
      <c r="F197" s="256"/>
      <c r="G197" s="258"/>
      <c r="H197" s="277" t="s">
        <v>96</v>
      </c>
      <c r="I197" s="271">
        <f t="shared" ref="I197:J197" ca="1" si="99">I204</f>
        <v>3</v>
      </c>
      <c r="J197" s="271">
        <f t="shared" si="99"/>
        <v>0</v>
      </c>
      <c r="K197" s="272">
        <f ca="1">IF(I197&gt;0,J197*100/I197,0)</f>
        <v>0</v>
      </c>
      <c r="L197" s="261"/>
      <c r="M197" s="261"/>
      <c r="N197" s="261"/>
      <c r="O197" s="261"/>
      <c r="P197" s="261"/>
    </row>
    <row r="198" spans="1:26" ht="19.5">
      <c r="A198" s="147"/>
      <c r="B198" s="148"/>
      <c r="C198" s="149" t="s">
        <v>16</v>
      </c>
      <c r="D198" s="826" t="s">
        <v>17</v>
      </c>
      <c r="E198" s="148"/>
      <c r="F198" s="148"/>
      <c r="G198" s="151"/>
      <c r="H198" s="274" t="s">
        <v>12</v>
      </c>
      <c r="I198" s="418"/>
      <c r="J198" s="418"/>
      <c r="K198" s="279"/>
      <c r="L198" s="155">
        <f ca="1">L199+L200+L201+L202</f>
        <v>39000</v>
      </c>
      <c r="M198" s="155"/>
      <c r="N198" s="155">
        <f>N199+N200+N201+N202</f>
        <v>0</v>
      </c>
      <c r="O198" s="155">
        <f ca="1">IF(L198&gt;0,N198*100/L198,0)</f>
        <v>0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0"/>
      <c r="C199" s="33"/>
      <c r="D199" s="281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6">
        <f ca="1">IFERROR(__xludf.DUMMYFUNCTION("IMPORTRANGE(""https://docs.google.com/spreadsheets/d/1QqKyyYR6Q21VydFLVH3TRQUabQu_ym0Zz7PgGX0-kHA/edit?usp=sharing"",""แผน!AE70"")"),3000)</f>
        <v>3000</v>
      </c>
      <c r="M199" s="496"/>
      <c r="N199" s="817">
        <v>0</v>
      </c>
      <c r="O199" s="496"/>
      <c r="P199" s="496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4"/>
      <c r="B200" s="280"/>
      <c r="C200" s="210"/>
      <c r="D200" s="281" t="s">
        <v>98</v>
      </c>
      <c r="E200" s="33"/>
      <c r="F200" s="33"/>
      <c r="G200" s="35"/>
      <c r="H200" s="616" t="s">
        <v>12</v>
      </c>
      <c r="I200" s="269"/>
      <c r="J200" s="269"/>
      <c r="K200" s="496"/>
      <c r="L200" s="496">
        <f ca="1">IFERROR(__xludf.DUMMYFUNCTION("IMPORTRANGE(""https://docs.google.com/spreadsheets/d/1QqKyyYR6Q21VydFLVH3TRQUabQu_ym0Zz7PgGX0-kHA/edit?usp=sharing"",""แผน!AF70"")"),24000)</f>
        <v>24000</v>
      </c>
      <c r="M200" s="496"/>
      <c r="N200" s="817">
        <v>0</v>
      </c>
      <c r="O200" s="496"/>
      <c r="P200" s="496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>
      <c r="A201" s="284"/>
      <c r="B201" s="280"/>
      <c r="C201" s="210"/>
      <c r="D201" s="281" t="s">
        <v>99</v>
      </c>
      <c r="E201" s="33"/>
      <c r="F201" s="33"/>
      <c r="G201" s="35"/>
      <c r="H201" s="616" t="s">
        <v>12</v>
      </c>
      <c r="I201" s="269"/>
      <c r="J201" s="269"/>
      <c r="K201" s="496"/>
      <c r="L201" s="496">
        <f ca="1">IFERROR(__xludf.DUMMYFUNCTION("IMPORTRANGE(""https://docs.google.com/spreadsheets/d/1QqKyyYR6Q21VydFLVH3TRQUabQu_ym0Zz7PgGX0-kHA/edit?usp=sharing"",""แผน!AG70"")"),12000)</f>
        <v>12000</v>
      </c>
      <c r="M201" s="496"/>
      <c r="N201" s="817">
        <v>0</v>
      </c>
      <c r="O201" s="496"/>
      <c r="P201" s="496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>
      <c r="A202" s="284"/>
      <c r="B202" s="280"/>
      <c r="C202" s="210"/>
      <c r="D202" s="281" t="s">
        <v>100</v>
      </c>
      <c r="E202" s="33"/>
      <c r="F202" s="33"/>
      <c r="G202" s="35"/>
      <c r="H202" s="616" t="s">
        <v>12</v>
      </c>
      <c r="I202" s="269"/>
      <c r="J202" s="269"/>
      <c r="K202" s="496"/>
      <c r="L202" s="496">
        <f ca="1">IFERROR(__xludf.DUMMYFUNCTION("IMPORTRANGE(""https://docs.google.com/spreadsheets/d/1QqKyyYR6Q21VydFLVH3TRQUabQu_ym0Zz7PgGX0-kHA/edit?usp=sharing"",""แผน!AH70"")"),0)</f>
        <v>0</v>
      </c>
      <c r="M202" s="496"/>
      <c r="N202" s="817">
        <v>0</v>
      </c>
      <c r="O202" s="496"/>
      <c r="P202" s="496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>
      <c r="A203" s="170"/>
      <c r="B203" s="171"/>
      <c r="C203" s="210" t="s">
        <v>16</v>
      </c>
      <c r="D203" s="823" t="s">
        <v>38</v>
      </c>
      <c r="E203" s="173"/>
      <c r="F203" s="173"/>
      <c r="G203" s="174"/>
      <c r="H203" s="753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53" t="s">
        <v>96</v>
      </c>
      <c r="I204" s="269">
        <f ca="1">IFERROR(__xludf.DUMMYFUNCTION("IMPORTRANGE(""https://docs.google.com/spreadsheets/d/1QqKyyYR6Q21VydFLVH3TRQUabQu_ym0Zz7PgGX0-kHA/edit?usp=sharing"",""แผน!AI70"")"),3)</f>
        <v>3</v>
      </c>
      <c r="J204" s="214">
        <v>0</v>
      </c>
      <c r="K204" s="163">
        <f ca="1">IF(I204&gt;0,J204*100/I204,0)</f>
        <v>0</v>
      </c>
      <c r="L204" s="496"/>
      <c r="M204" s="496"/>
      <c r="N204" s="496"/>
      <c r="O204" s="496"/>
      <c r="P204" s="496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6" t="s">
        <v>59</v>
      </c>
      <c r="E205" s="178"/>
      <c r="F205" s="178"/>
      <c r="G205" s="179"/>
      <c r="H205" s="753"/>
      <c r="I205" s="269"/>
      <c r="J205" s="269"/>
      <c r="K205" s="163"/>
      <c r="L205" s="496"/>
      <c r="M205" s="496"/>
      <c r="N205" s="496"/>
      <c r="O205" s="496"/>
      <c r="P205" s="496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25" t="s">
        <v>102</v>
      </c>
      <c r="F206" s="287"/>
      <c r="G206" s="288"/>
      <c r="H206" s="289" t="s">
        <v>96</v>
      </c>
      <c r="I206" s="269">
        <v>3</v>
      </c>
      <c r="J206" s="214">
        <v>0</v>
      </c>
      <c r="K206" s="163"/>
      <c r="L206" s="496"/>
      <c r="M206" s="496"/>
      <c r="N206" s="496"/>
      <c r="O206" s="496"/>
      <c r="P206" s="496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6"/>
      <c r="E207" s="446" t="s">
        <v>103</v>
      </c>
      <c r="F207" s="178"/>
      <c r="G207" s="178"/>
      <c r="H207" s="290" t="s">
        <v>104</v>
      </c>
      <c r="I207" s="269">
        <v>0</v>
      </c>
      <c r="J207" s="214">
        <v>0</v>
      </c>
      <c r="K207" s="163"/>
      <c r="L207" s="496"/>
      <c r="M207" s="496"/>
      <c r="N207" s="496"/>
      <c r="O207" s="496"/>
      <c r="P207" s="496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 hidden="1">
      <c r="A208" s="255"/>
      <c r="B208" s="263"/>
      <c r="C208" s="270" t="s">
        <v>105</v>
      </c>
      <c r="D208" s="256"/>
      <c r="E208" s="256"/>
      <c r="F208" s="291"/>
      <c r="G208" s="258"/>
      <c r="H208" s="277" t="s">
        <v>96</v>
      </c>
      <c r="I208" s="271">
        <f t="shared" ref="I208:J208" ca="1" si="100">I215</f>
        <v>0</v>
      </c>
      <c r="J208" s="271">
        <f t="shared" si="100"/>
        <v>0</v>
      </c>
      <c r="K208" s="272">
        <f ca="1">IF(I208&gt;0,J208*100/I208,0)</f>
        <v>0</v>
      </c>
      <c r="L208" s="261"/>
      <c r="M208" s="261"/>
      <c r="N208" s="261"/>
      <c r="O208" s="261"/>
      <c r="P208" s="261"/>
    </row>
    <row r="209" spans="1:26" ht="19.5" hidden="1">
      <c r="A209" s="147"/>
      <c r="B209" s="148"/>
      <c r="C209" s="149" t="s">
        <v>16</v>
      </c>
      <c r="D209" s="826" t="s">
        <v>17</v>
      </c>
      <c r="E209" s="148"/>
      <c r="F209" s="148"/>
      <c r="G209" s="151"/>
      <c r="H209" s="274" t="s">
        <v>12</v>
      </c>
      <c r="I209" s="418"/>
      <c r="J209" s="418"/>
      <c r="K209" s="279"/>
      <c r="L209" s="155">
        <f ca="1">L210+L211+L212</f>
        <v>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 hidden="1">
      <c r="A210" s="159"/>
      <c r="B210" s="280"/>
      <c r="C210" s="33"/>
      <c r="D210" s="281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6">
        <f ca="1">IFERROR(__xludf.DUMMYFUNCTION("IMPORTRANGE(""https://docs.google.com/spreadsheets/d/1QqKyyYR6Q21VydFLVH3TRQUabQu_ym0Zz7PgGX0-kHA/edit?usp=sharing"",""แผน!AK70"")"),0)</f>
        <v>0</v>
      </c>
      <c r="M210" s="496"/>
      <c r="N210" s="817">
        <v>0</v>
      </c>
      <c r="O210" s="496"/>
      <c r="P210" s="496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 hidden="1">
      <c r="A211" s="284"/>
      <c r="B211" s="280"/>
      <c r="C211" s="292"/>
      <c r="D211" s="281" t="s">
        <v>99</v>
      </c>
      <c r="E211" s="33"/>
      <c r="F211" s="33"/>
      <c r="G211" s="35"/>
      <c r="H211" s="161" t="s">
        <v>12</v>
      </c>
      <c r="I211" s="269"/>
      <c r="J211" s="269"/>
      <c r="K211" s="496"/>
      <c r="L211" s="496">
        <f ca="1">IFERROR(__xludf.DUMMYFUNCTION("IMPORTRANGE(""https://docs.google.com/spreadsheets/d/1QqKyyYR6Q21VydFLVH3TRQUabQu_ym0Zz7PgGX0-kHA/edit?usp=sharing"",""แผน!AL70"")"),0)</f>
        <v>0</v>
      </c>
      <c r="M211" s="496"/>
      <c r="N211" s="817">
        <v>0</v>
      </c>
      <c r="O211" s="496"/>
      <c r="P211" s="496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 hidden="1">
      <c r="A212" s="284"/>
      <c r="B212" s="280"/>
      <c r="C212" s="292"/>
      <c r="D212" s="281" t="s">
        <v>98</v>
      </c>
      <c r="E212" s="33"/>
      <c r="F212" s="33"/>
      <c r="G212" s="35"/>
      <c r="H212" s="161" t="s">
        <v>12</v>
      </c>
      <c r="I212" s="269"/>
      <c r="J212" s="269"/>
      <c r="K212" s="496"/>
      <c r="L212" s="496">
        <f ca="1">IFERROR(__xludf.DUMMYFUNCTION("IMPORTRANGE(""https://docs.google.com/spreadsheets/d/1QqKyyYR6Q21VydFLVH3TRQUabQu_ym0Zz7PgGX0-kHA/edit?usp=sharing"",""แผน!AM70"")"),0)</f>
        <v>0</v>
      </c>
      <c r="M212" s="496"/>
      <c r="N212" s="817">
        <v>0</v>
      </c>
      <c r="O212" s="496"/>
      <c r="P212" s="496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 hidden="1">
      <c r="A213" s="170"/>
      <c r="B213" s="171"/>
      <c r="C213" s="292" t="s">
        <v>16</v>
      </c>
      <c r="D213" s="823" t="s">
        <v>38</v>
      </c>
      <c r="E213" s="173"/>
      <c r="F213" s="173"/>
      <c r="G213" s="174"/>
      <c r="H213" s="753"/>
      <c r="I213" s="184"/>
      <c r="J213" s="269"/>
      <c r="K213" s="496"/>
      <c r="L213" s="496"/>
      <c r="M213" s="496"/>
      <c r="N213" s="496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 hidden="1">
      <c r="A214" s="170"/>
      <c r="B214" s="171"/>
      <c r="C214" s="171"/>
      <c r="D214" s="176" t="s">
        <v>106</v>
      </c>
      <c r="E214" s="178"/>
      <c r="F214" s="178"/>
      <c r="G214" s="179"/>
      <c r="H214" s="753" t="s">
        <v>96</v>
      </c>
      <c r="I214" s="269">
        <f ca="1">IFERROR(__xludf.DUMMYFUNCTION("IMPORTRANGE(""https://docs.google.com/spreadsheets/d/1QqKyyYR6Q21VydFLVH3TRQUabQu_ym0Zz7PgGX0-kHA/edit?usp=sharing"",""แผน!AN70"")"),0)</f>
        <v>0</v>
      </c>
      <c r="J214" s="214">
        <v>0</v>
      </c>
      <c r="K214" s="496">
        <f t="shared" ref="K214:K216" ca="1" si="101">IF(I214&gt;0,J214*100/I214,0)</f>
        <v>0</v>
      </c>
      <c r="L214" s="496"/>
      <c r="M214" s="496"/>
      <c r="N214" s="496"/>
      <c r="O214" s="496"/>
      <c r="P214" s="496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 hidden="1">
      <c r="A215" s="170"/>
      <c r="B215" s="171"/>
      <c r="C215" s="171"/>
      <c r="D215" s="176" t="s">
        <v>107</v>
      </c>
      <c r="E215" s="178"/>
      <c r="F215" s="178"/>
      <c r="G215" s="179"/>
      <c r="H215" s="753" t="s">
        <v>96</v>
      </c>
      <c r="I215" s="269">
        <f ca="1">IFERROR(__xludf.DUMMYFUNCTION("IMPORTRANGE(""https://docs.google.com/spreadsheets/d/1QqKyyYR6Q21VydFLVH3TRQUabQu_ym0Zz7PgGX0-kHA/edit?usp=sharing"",""แผน!AN70"")"),0)</f>
        <v>0</v>
      </c>
      <c r="J215" s="214">
        <v>0</v>
      </c>
      <c r="K215" s="496">
        <f t="shared" ca="1" si="101"/>
        <v>0</v>
      </c>
      <c r="L215" s="496"/>
      <c r="M215" s="496"/>
      <c r="N215" s="496"/>
      <c r="O215" s="496"/>
      <c r="P215" s="496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5"/>
      <c r="B216" s="263"/>
      <c r="C216" s="270" t="s">
        <v>108</v>
      </c>
      <c r="D216" s="256"/>
      <c r="E216" s="256"/>
      <c r="F216" s="291"/>
      <c r="G216" s="258"/>
      <c r="H216" s="259" t="s">
        <v>109</v>
      </c>
      <c r="I216" s="271">
        <f t="shared" ref="I216:J216" ca="1" si="102">I224</f>
        <v>20000</v>
      </c>
      <c r="J216" s="271">
        <f t="shared" si="102"/>
        <v>0</v>
      </c>
      <c r="K216" s="272">
        <f t="shared" ca="1" si="101"/>
        <v>0</v>
      </c>
      <c r="L216" s="261"/>
      <c r="M216" s="261"/>
      <c r="N216" s="261"/>
      <c r="O216" s="261"/>
      <c r="P216" s="261"/>
    </row>
    <row r="217" spans="1:26" ht="19.5">
      <c r="A217" s="147"/>
      <c r="B217" s="148"/>
      <c r="C217" s="149" t="s">
        <v>16</v>
      </c>
      <c r="D217" s="826" t="s">
        <v>17</v>
      </c>
      <c r="E217" s="148"/>
      <c r="F217" s="148"/>
      <c r="G217" s="151"/>
      <c r="H217" s="274" t="s">
        <v>12</v>
      </c>
      <c r="I217" s="418"/>
      <c r="J217" s="418"/>
      <c r="K217" s="279"/>
      <c r="L217" s="155">
        <f ca="1">L218+L219+L220</f>
        <v>18000</v>
      </c>
      <c r="M217" s="155"/>
      <c r="N217" s="155">
        <f>N218+N219+N220</f>
        <v>0</v>
      </c>
      <c r="O217" s="155">
        <f ca="1">IF(L217&gt;0,N217*100/L217,0)</f>
        <v>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0"/>
      <c r="C218" s="33"/>
      <c r="D218" s="281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6">
        <f ca="1">IFERROR(__xludf.DUMMYFUNCTION("IMPORTRANGE(""https://docs.google.com/spreadsheets/d/1QqKyyYR6Q21VydFLVH3TRQUabQu_ym0Zz7PgGX0-kHA/edit?usp=sharing"",""แผน!AP70"")"),3000)</f>
        <v>3000</v>
      </c>
      <c r="M218" s="496"/>
      <c r="N218" s="817">
        <v>0</v>
      </c>
      <c r="O218" s="496"/>
      <c r="P218" s="496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4"/>
      <c r="B219" s="280"/>
      <c r="C219" s="292"/>
      <c r="D219" s="281" t="s">
        <v>110</v>
      </c>
      <c r="E219" s="33"/>
      <c r="F219" s="33"/>
      <c r="G219" s="35"/>
      <c r="H219" s="161" t="s">
        <v>12</v>
      </c>
      <c r="I219" s="269"/>
      <c r="J219" s="269"/>
      <c r="K219" s="496"/>
      <c r="L219" s="496">
        <f ca="1">IFERROR(__xludf.DUMMYFUNCTION("IMPORTRANGE(""https://docs.google.com/spreadsheets/d/1QqKyyYR6Q21VydFLVH3TRQUabQu_ym0Zz7PgGX0-kHA/edit?usp=sharing"",""แผน!AQ70"")"),5000)</f>
        <v>5000</v>
      </c>
      <c r="M219" s="496"/>
      <c r="N219" s="817">
        <v>0</v>
      </c>
      <c r="O219" s="496"/>
      <c r="P219" s="496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0"/>
      <c r="C220" s="292"/>
      <c r="D220" s="281" t="s">
        <v>98</v>
      </c>
      <c r="E220" s="33"/>
      <c r="F220" s="33"/>
      <c r="G220" s="35"/>
      <c r="H220" s="161" t="s">
        <v>12</v>
      </c>
      <c r="I220" s="269"/>
      <c r="J220" s="269"/>
      <c r="K220" s="496"/>
      <c r="L220" s="496">
        <f ca="1">IFERROR(__xludf.DUMMYFUNCTION("IMPORTRANGE(""https://docs.google.com/spreadsheets/d/1QqKyyYR6Q21VydFLVH3TRQUabQu_ym0Zz7PgGX0-kHA/edit?usp=sharing"",""แผน!AR70"")"),10000)</f>
        <v>10000</v>
      </c>
      <c r="M220" s="496"/>
      <c r="N220" s="817">
        <v>0</v>
      </c>
      <c r="O220" s="496"/>
      <c r="P220" s="496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70"/>
      <c r="B221" s="171"/>
      <c r="C221" s="292" t="s">
        <v>16</v>
      </c>
      <c r="D221" s="823" t="s">
        <v>38</v>
      </c>
      <c r="E221" s="173"/>
      <c r="F221" s="173"/>
      <c r="G221" s="174"/>
      <c r="H221" s="753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1" t="s">
        <v>111</v>
      </c>
      <c r="E222" s="178"/>
      <c r="F222" s="178"/>
      <c r="G222" s="179"/>
      <c r="H222" s="753"/>
      <c r="I222" s="269"/>
      <c r="J222" s="269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55" t="s">
        <v>109</v>
      </c>
      <c r="I223" s="269">
        <f ca="1">IFERROR(__xludf.DUMMYFUNCTION("IMPORTRANGE(""https://docs.google.com/spreadsheets/d/1QqKyyYR6Q21VydFLVH3TRQUabQu_ym0Zz7PgGX0-kHA/edit?usp=sharing"",""แผน!AT70"")"),20000)</f>
        <v>20000</v>
      </c>
      <c r="J223" s="214">
        <v>0</v>
      </c>
      <c r="K223" s="163">
        <f t="shared" ref="K223:K226" ca="1" si="103">IF(I223&gt;0,J223*100/I223,0)</f>
        <v>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55" t="s">
        <v>109</v>
      </c>
      <c r="I224" s="269">
        <f ca="1">IFERROR(__xludf.DUMMYFUNCTION("IMPORTRANGE(""https://docs.google.com/spreadsheets/d/1QqKyyYR6Q21VydFLVH3TRQUabQu_ym0Zz7PgGX0-kHA/edit?usp=sharing"",""แผน!AT70"")"),20000)</f>
        <v>20000</v>
      </c>
      <c r="J224" s="214">
        <v>0</v>
      </c>
      <c r="K224" s="163">
        <f t="shared" ca="1" si="103"/>
        <v>0</v>
      </c>
      <c r="L224" s="496"/>
      <c r="M224" s="496"/>
      <c r="N224" s="496"/>
      <c r="O224" s="496"/>
      <c r="P224" s="496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1" t="s">
        <v>114</v>
      </c>
      <c r="E225" s="178"/>
      <c r="F225" s="178"/>
      <c r="G225" s="179"/>
      <c r="H225" s="755" t="s">
        <v>35</v>
      </c>
      <c r="I225" s="269">
        <f ca="1">IFERROR(__xludf.DUMMYFUNCTION("IMPORTRANGE(""https://docs.google.com/spreadsheets/d/1QqKyyYR6Q21VydFLVH3TRQUabQu_ym0Zz7PgGX0-kHA/edit?usp=sharing"",""แผน!AS70"")"),10)</f>
        <v>10</v>
      </c>
      <c r="J225" s="214">
        <v>0</v>
      </c>
      <c r="K225" s="163">
        <f t="shared" ca="1" si="103"/>
        <v>0</v>
      </c>
      <c r="L225" s="496"/>
      <c r="M225" s="496"/>
      <c r="N225" s="496"/>
      <c r="O225" s="496"/>
      <c r="P225" s="496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5"/>
      <c r="B226" s="263"/>
      <c r="C226" s="341" t="s">
        <v>115</v>
      </c>
      <c r="D226" s="256"/>
      <c r="E226" s="256"/>
      <c r="F226" s="256"/>
      <c r="G226" s="258"/>
      <c r="H226" s="265" t="s">
        <v>35</v>
      </c>
      <c r="I226" s="344">
        <f t="shared" ref="I226:J226" ca="1" si="104">I237+I248</f>
        <v>0</v>
      </c>
      <c r="J226" s="344">
        <f t="shared" si="104"/>
        <v>0</v>
      </c>
      <c r="K226" s="345">
        <f t="shared" ca="1" si="103"/>
        <v>0</v>
      </c>
      <c r="L226" s="261"/>
      <c r="M226" s="261"/>
      <c r="N226" s="261"/>
      <c r="O226" s="261"/>
      <c r="P226" s="261"/>
    </row>
    <row r="227" spans="1:26" ht="19.5" hidden="1">
      <c r="A227" s="347"/>
      <c r="B227" s="348"/>
      <c r="C227" s="349" t="s">
        <v>16</v>
      </c>
      <c r="D227" s="827" t="s">
        <v>17</v>
      </c>
      <c r="E227" s="348"/>
      <c r="F227" s="348"/>
      <c r="G227" s="351"/>
      <c r="H227" s="352" t="s">
        <v>12</v>
      </c>
      <c r="I227" s="353"/>
      <c r="J227" s="353"/>
      <c r="K227" s="354"/>
      <c r="L227" s="355">
        <f t="shared" ref="L227:L231" ca="1" si="105">L238+L249</f>
        <v>0</v>
      </c>
      <c r="M227" s="355"/>
      <c r="N227" s="355">
        <f t="shared" ref="N227:N231" si="106">N238+N249</f>
        <v>0</v>
      </c>
      <c r="O227" s="828"/>
      <c r="P227" s="828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6"/>
      <c r="C228" s="40"/>
      <c r="D228" s="222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5"/>
        <v>0</v>
      </c>
      <c r="M228" s="93"/>
      <c r="N228" s="93">
        <f t="shared" si="106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8"/>
      <c r="B229" s="356"/>
      <c r="C229" s="359"/>
      <c r="D229" s="222" t="s">
        <v>98</v>
      </c>
      <c r="E229" s="40"/>
      <c r="F229" s="40"/>
      <c r="G229" s="42"/>
      <c r="H229" s="165" t="s">
        <v>12</v>
      </c>
      <c r="I229" s="610"/>
      <c r="J229" s="610"/>
      <c r="K229" s="93"/>
      <c r="L229" s="93">
        <f t="shared" ca="1" si="105"/>
        <v>0</v>
      </c>
      <c r="M229" s="93"/>
      <c r="N229" s="93">
        <f t="shared" si="106"/>
        <v>0</v>
      </c>
      <c r="O229" s="93"/>
      <c r="P229" s="93"/>
      <c r="Q229" s="360"/>
      <c r="R229" s="360"/>
      <c r="S229" s="360"/>
      <c r="T229" s="360"/>
      <c r="U229" s="360"/>
      <c r="V229" s="360"/>
      <c r="W229" s="360"/>
      <c r="X229" s="360"/>
      <c r="Y229" s="360"/>
      <c r="Z229" s="360"/>
    </row>
    <row r="230" spans="1:26" ht="19.5" hidden="1">
      <c r="A230" s="358"/>
      <c r="B230" s="356"/>
      <c r="C230" s="359"/>
      <c r="D230" s="222" t="s">
        <v>116</v>
      </c>
      <c r="E230" s="40"/>
      <c r="F230" s="40"/>
      <c r="G230" s="42"/>
      <c r="H230" s="165" t="s">
        <v>12</v>
      </c>
      <c r="I230" s="610"/>
      <c r="J230" s="610"/>
      <c r="K230" s="93"/>
      <c r="L230" s="93">
        <f t="shared" ca="1" si="105"/>
        <v>0</v>
      </c>
      <c r="M230" s="93"/>
      <c r="N230" s="93">
        <f t="shared" si="106"/>
        <v>0</v>
      </c>
      <c r="O230" s="93"/>
      <c r="P230" s="93"/>
      <c r="Q230" s="360"/>
      <c r="R230" s="360"/>
      <c r="S230" s="360"/>
      <c r="T230" s="360"/>
      <c r="U230" s="360"/>
      <c r="V230" s="360"/>
      <c r="W230" s="360"/>
      <c r="X230" s="360"/>
      <c r="Y230" s="360"/>
      <c r="Z230" s="360"/>
    </row>
    <row r="231" spans="1:26" ht="19.5" hidden="1">
      <c r="A231" s="358"/>
      <c r="B231" s="356"/>
      <c r="C231" s="359"/>
      <c r="D231" s="222" t="s">
        <v>100</v>
      </c>
      <c r="E231" s="40"/>
      <c r="F231" s="40"/>
      <c r="G231" s="42"/>
      <c r="H231" s="165" t="s">
        <v>12</v>
      </c>
      <c r="I231" s="610"/>
      <c r="J231" s="610"/>
      <c r="K231" s="93"/>
      <c r="L231" s="93">
        <f t="shared" ca="1" si="105"/>
        <v>0</v>
      </c>
      <c r="M231" s="93"/>
      <c r="N231" s="93">
        <f t="shared" si="106"/>
        <v>0</v>
      </c>
      <c r="O231" s="93"/>
      <c r="P231" s="93"/>
      <c r="Q231" s="360"/>
      <c r="R231" s="360"/>
      <c r="S231" s="360"/>
      <c r="T231" s="360"/>
      <c r="U231" s="360"/>
      <c r="V231" s="360"/>
      <c r="W231" s="360"/>
      <c r="X231" s="360"/>
      <c r="Y231" s="360"/>
      <c r="Z231" s="360"/>
    </row>
    <row r="232" spans="1:26" ht="19.5" hidden="1">
      <c r="A232" s="361"/>
      <c r="B232" s="362"/>
      <c r="C232" s="359" t="s">
        <v>16</v>
      </c>
      <c r="D232" s="266" t="s">
        <v>38</v>
      </c>
      <c r="E232" s="363"/>
      <c r="F232" s="363"/>
      <c r="G232" s="364"/>
      <c r="H232" s="365"/>
      <c r="I232" s="166"/>
      <c r="J232" s="610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1"/>
      <c r="B233" s="362"/>
      <c r="C233" s="362"/>
      <c r="D233" s="366" t="s">
        <v>117</v>
      </c>
      <c r="E233" s="372"/>
      <c r="F233" s="372"/>
      <c r="G233" s="368"/>
      <c r="H233" s="369" t="s">
        <v>35</v>
      </c>
      <c r="I233" s="610">
        <f t="shared" ref="I233:J233" ca="1" si="107">I244+I255</f>
        <v>0</v>
      </c>
      <c r="J233" s="610">
        <f t="shared" si="107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1"/>
      <c r="B234" s="362"/>
      <c r="C234" s="362"/>
      <c r="D234" s="371" t="s">
        <v>43</v>
      </c>
      <c r="E234" s="372"/>
      <c r="F234" s="372"/>
      <c r="G234" s="368"/>
      <c r="H234" s="369"/>
      <c r="I234" s="610"/>
      <c r="J234" s="610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1"/>
      <c r="B235" s="362"/>
      <c r="C235" s="362"/>
      <c r="D235" s="362"/>
      <c r="E235" s="373" t="s">
        <v>118</v>
      </c>
      <c r="F235" s="372"/>
      <c r="G235" s="368"/>
      <c r="H235" s="369" t="s">
        <v>35</v>
      </c>
      <c r="I235" s="610">
        <f t="shared" ref="I235:J236" si="108">I246+I257</f>
        <v>0</v>
      </c>
      <c r="J235" s="610">
        <f t="shared" si="108"/>
        <v>0</v>
      </c>
      <c r="K235" s="93">
        <f t="shared" ref="K235:K237" si="109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1"/>
      <c r="B236" s="362"/>
      <c r="C236" s="362"/>
      <c r="D236" s="362"/>
      <c r="E236" s="373" t="s">
        <v>119</v>
      </c>
      <c r="F236" s="372"/>
      <c r="G236" s="368"/>
      <c r="H236" s="369" t="s">
        <v>69</v>
      </c>
      <c r="I236" s="610">
        <f t="shared" si="108"/>
        <v>0</v>
      </c>
      <c r="J236" s="610">
        <f t="shared" si="108"/>
        <v>0</v>
      </c>
      <c r="K236" s="93">
        <f t="shared" si="109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5"/>
      <c r="B237" s="263"/>
      <c r="C237" s="270" t="s">
        <v>120</v>
      </c>
      <c r="D237" s="256"/>
      <c r="E237" s="256"/>
      <c r="F237" s="256"/>
      <c r="G237" s="258"/>
      <c r="H237" s="259" t="s">
        <v>35</v>
      </c>
      <c r="I237" s="271">
        <f t="shared" ref="I237:J237" ca="1" si="110">I244</f>
        <v>0</v>
      </c>
      <c r="J237" s="271">
        <f t="shared" si="110"/>
        <v>0</v>
      </c>
      <c r="K237" s="272">
        <f t="shared" ca="1" si="109"/>
        <v>0</v>
      </c>
      <c r="L237" s="261"/>
      <c r="M237" s="261"/>
      <c r="N237" s="261"/>
      <c r="O237" s="261"/>
      <c r="P237" s="261"/>
    </row>
    <row r="238" spans="1:26" ht="19.5" hidden="1">
      <c r="A238" s="147"/>
      <c r="B238" s="148"/>
      <c r="C238" s="149" t="s">
        <v>16</v>
      </c>
      <c r="D238" s="822" t="s">
        <v>17</v>
      </c>
      <c r="E238" s="148"/>
      <c r="F238" s="148"/>
      <c r="G238" s="151"/>
      <c r="H238" s="274" t="s">
        <v>12</v>
      </c>
      <c r="I238" s="418"/>
      <c r="J238" s="418"/>
      <c r="K238" s="279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4"/>
      <c r="B239" s="315"/>
      <c r="C239" s="316"/>
      <c r="D239" s="324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282">
        <f ca="1">IFERROR(__xludf.DUMMYFUNCTION("IMPORTRANGE(""https://docs.google.com/spreadsheets/d/1QqKyyYR6Q21VydFLVH3TRQUabQu_ym0Zz7PgGX0-kHA/edit?usp=sharing"",""แผน!AV70"")"),0)</f>
        <v>0</v>
      </c>
      <c r="M239" s="282"/>
      <c r="N239" s="829">
        <v>0</v>
      </c>
      <c r="O239" s="282"/>
      <c r="P239" s="28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 hidden="1">
      <c r="A240" s="322"/>
      <c r="B240" s="315"/>
      <c r="C240" s="323"/>
      <c r="D240" s="324" t="s">
        <v>98</v>
      </c>
      <c r="E240" s="316"/>
      <c r="F240" s="316"/>
      <c r="G240" s="318"/>
      <c r="H240" s="319" t="s">
        <v>12</v>
      </c>
      <c r="I240" s="325"/>
      <c r="J240" s="325"/>
      <c r="K240" s="282"/>
      <c r="L240" s="282">
        <f ca="1">IFERROR(__xludf.DUMMYFUNCTION("IMPORTRANGE(""https://docs.google.com/spreadsheets/d/1QqKyyYR6Q21VydFLVH3TRQUabQu_ym0Zz7PgGX0-kHA/edit?usp=sharing"",""แผน!AW70"")"),0)</f>
        <v>0</v>
      </c>
      <c r="M240" s="282"/>
      <c r="N240" s="829">
        <v>0</v>
      </c>
      <c r="O240" s="282"/>
      <c r="P240" s="282"/>
      <c r="Q240" s="326"/>
      <c r="R240" s="326"/>
      <c r="S240" s="326"/>
      <c r="T240" s="326"/>
      <c r="U240" s="326"/>
      <c r="V240" s="326"/>
      <c r="W240" s="326"/>
      <c r="X240" s="326"/>
      <c r="Y240" s="326"/>
      <c r="Z240" s="326"/>
    </row>
    <row r="241" spans="1:26" ht="19.5" hidden="1">
      <c r="A241" s="322"/>
      <c r="B241" s="315"/>
      <c r="C241" s="323"/>
      <c r="D241" s="324" t="s">
        <v>116</v>
      </c>
      <c r="E241" s="316"/>
      <c r="F241" s="316"/>
      <c r="G241" s="318"/>
      <c r="H241" s="319" t="s">
        <v>12</v>
      </c>
      <c r="I241" s="325"/>
      <c r="J241" s="325"/>
      <c r="K241" s="282"/>
      <c r="L241" s="282">
        <f ca="1">IFERROR(__xludf.DUMMYFUNCTION("IMPORTRANGE(""https://docs.google.com/spreadsheets/d/1QqKyyYR6Q21VydFLVH3TRQUabQu_ym0Zz7PgGX0-kHA/edit?usp=sharing"",""แผน!AX70"")"),0)</f>
        <v>0</v>
      </c>
      <c r="M241" s="282"/>
      <c r="N241" s="829">
        <v>0</v>
      </c>
      <c r="O241" s="282"/>
      <c r="P241" s="282"/>
      <c r="Q241" s="326"/>
      <c r="R241" s="326"/>
      <c r="S241" s="326"/>
      <c r="T241" s="326"/>
      <c r="U241" s="326"/>
      <c r="V241" s="326"/>
      <c r="W241" s="326"/>
      <c r="X241" s="326"/>
      <c r="Y241" s="326"/>
      <c r="Z241" s="326"/>
    </row>
    <row r="242" spans="1:26" ht="19.5" hidden="1">
      <c r="A242" s="322"/>
      <c r="B242" s="315"/>
      <c r="C242" s="323"/>
      <c r="D242" s="324" t="s">
        <v>100</v>
      </c>
      <c r="E242" s="316"/>
      <c r="F242" s="316"/>
      <c r="G242" s="318"/>
      <c r="H242" s="319" t="s">
        <v>12</v>
      </c>
      <c r="I242" s="325"/>
      <c r="J242" s="325"/>
      <c r="K242" s="282"/>
      <c r="L242" s="282">
        <f ca="1">IFERROR(__xludf.DUMMYFUNCTION("IMPORTRANGE(""https://docs.google.com/spreadsheets/d/1QqKyyYR6Q21VydFLVH3TRQUabQu_ym0Zz7PgGX0-kHA/edit?usp=sharing"",""แผน!AY70"")"),0)</f>
        <v>0</v>
      </c>
      <c r="M242" s="282"/>
      <c r="N242" s="829">
        <v>0</v>
      </c>
      <c r="O242" s="282"/>
      <c r="P242" s="282"/>
      <c r="Q242" s="326"/>
      <c r="R242" s="326"/>
      <c r="S242" s="326"/>
      <c r="T242" s="326"/>
      <c r="U242" s="326"/>
      <c r="V242" s="326"/>
      <c r="W242" s="326"/>
      <c r="X242" s="326"/>
      <c r="Y242" s="326"/>
      <c r="Z242" s="326"/>
    </row>
    <row r="243" spans="1:26" ht="19.5" hidden="1">
      <c r="A243" s="170"/>
      <c r="B243" s="171"/>
      <c r="C243" s="292" t="s">
        <v>16</v>
      </c>
      <c r="D243" s="823" t="s">
        <v>38</v>
      </c>
      <c r="E243" s="173"/>
      <c r="F243" s="173"/>
      <c r="G243" s="174"/>
      <c r="H243" s="753"/>
      <c r="I243" s="184"/>
      <c r="J243" s="269"/>
      <c r="K243" s="496"/>
      <c r="L243" s="496"/>
      <c r="M243" s="496"/>
      <c r="N243" s="496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46" t="s">
        <v>117</v>
      </c>
      <c r="E244" s="178"/>
      <c r="F244" s="178"/>
      <c r="G244" s="179"/>
      <c r="H244" s="755" t="s">
        <v>35</v>
      </c>
      <c r="I244" s="269">
        <f ca="1">IFERROR(__xludf.DUMMYFUNCTION("IMPORTRANGE(""https://docs.google.com/spreadsheets/d/1QqKyyYR6Q21VydFLVH3TRQUabQu_ym0Zz7PgGX0-kHA/edit?usp=sharing"",""แผน!BE70"")"),0)</f>
        <v>0</v>
      </c>
      <c r="J244" s="214">
        <v>0</v>
      </c>
      <c r="K244" s="496">
        <f ca="1">IF(I244&gt;0,J244*100/I244,0)</f>
        <v>0</v>
      </c>
      <c r="L244" s="496"/>
      <c r="M244" s="496"/>
      <c r="N244" s="496"/>
      <c r="O244" s="496"/>
      <c r="P244" s="496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830" t="s">
        <v>43</v>
      </c>
      <c r="E245" s="178"/>
      <c r="F245" s="178"/>
      <c r="G245" s="179"/>
      <c r="H245" s="755"/>
      <c r="I245" s="269"/>
      <c r="J245" s="269"/>
      <c r="K245" s="496"/>
      <c r="L245" s="496"/>
      <c r="M245" s="496"/>
      <c r="N245" s="496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176" t="s">
        <v>118</v>
      </c>
      <c r="F246" s="178"/>
      <c r="G246" s="179"/>
      <c r="H246" s="755" t="s">
        <v>35</v>
      </c>
      <c r="I246" s="269"/>
      <c r="J246" s="214">
        <v>0</v>
      </c>
      <c r="K246" s="496">
        <f t="shared" ref="K246:K248" si="111">IF(I246&gt;0,J246*100/I246,0)</f>
        <v>0</v>
      </c>
      <c r="L246" s="496"/>
      <c r="M246" s="496"/>
      <c r="N246" s="496"/>
      <c r="O246" s="496"/>
      <c r="P246" s="496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176" t="s">
        <v>119</v>
      </c>
      <c r="F247" s="178"/>
      <c r="G247" s="179"/>
      <c r="H247" s="755" t="s">
        <v>69</v>
      </c>
      <c r="I247" s="269"/>
      <c r="J247" s="214">
        <v>0</v>
      </c>
      <c r="K247" s="496">
        <f t="shared" si="111"/>
        <v>0</v>
      </c>
      <c r="L247" s="496"/>
      <c r="M247" s="496"/>
      <c r="N247" s="496"/>
      <c r="O247" s="496"/>
      <c r="P247" s="496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5"/>
      <c r="B248" s="263"/>
      <c r="C248" s="270" t="s">
        <v>121</v>
      </c>
      <c r="D248" s="256"/>
      <c r="E248" s="256"/>
      <c r="F248" s="256"/>
      <c r="G248" s="258"/>
      <c r="H248" s="259" t="s">
        <v>35</v>
      </c>
      <c r="I248" s="271">
        <f t="shared" ref="I248:J248" ca="1" si="112">I255</f>
        <v>0</v>
      </c>
      <c r="J248" s="271">
        <f t="shared" si="112"/>
        <v>0</v>
      </c>
      <c r="K248" s="272">
        <f t="shared" ca="1" si="111"/>
        <v>0</v>
      </c>
      <c r="L248" s="261"/>
      <c r="M248" s="261"/>
      <c r="N248" s="261"/>
      <c r="O248" s="261"/>
      <c r="P248" s="261"/>
    </row>
    <row r="249" spans="1:26" ht="19.5" hidden="1">
      <c r="A249" s="147"/>
      <c r="B249" s="148"/>
      <c r="C249" s="149" t="s">
        <v>16</v>
      </c>
      <c r="D249" s="826" t="s">
        <v>17</v>
      </c>
      <c r="E249" s="148"/>
      <c r="F249" s="148"/>
      <c r="G249" s="151"/>
      <c r="H249" s="274" t="s">
        <v>12</v>
      </c>
      <c r="I249" s="418"/>
      <c r="J249" s="418"/>
      <c r="K249" s="279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4"/>
      <c r="B250" s="315"/>
      <c r="C250" s="316"/>
      <c r="D250" s="324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282">
        <f ca="1">IFERROR(__xludf.DUMMYFUNCTION("IMPORTRANGE(""https://docs.google.com/spreadsheets/d/1QqKyyYR6Q21VydFLVH3TRQUabQu_ym0Zz7PgGX0-kHA/edit?usp=sharing"",""แผน!AZ70"")"),0)</f>
        <v>0</v>
      </c>
      <c r="M250" s="282"/>
      <c r="N250" s="829">
        <v>0</v>
      </c>
      <c r="O250" s="282"/>
      <c r="P250" s="282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9.5" hidden="1">
      <c r="A251" s="322"/>
      <c r="B251" s="315"/>
      <c r="C251" s="323"/>
      <c r="D251" s="324" t="s">
        <v>98</v>
      </c>
      <c r="E251" s="316"/>
      <c r="F251" s="316"/>
      <c r="G251" s="318"/>
      <c r="H251" s="319" t="s">
        <v>12</v>
      </c>
      <c r="I251" s="325"/>
      <c r="J251" s="325"/>
      <c r="K251" s="282"/>
      <c r="L251" s="282">
        <f ca="1">IFERROR(__xludf.DUMMYFUNCTION("IMPORTRANGE(""https://docs.google.com/spreadsheets/d/1QqKyyYR6Q21VydFLVH3TRQUabQu_ym0Zz7PgGX0-kHA/edit?usp=sharing"",""แผน!BA70"")"),0)</f>
        <v>0</v>
      </c>
      <c r="M251" s="282"/>
      <c r="N251" s="829">
        <v>0</v>
      </c>
      <c r="O251" s="282"/>
      <c r="P251" s="282"/>
      <c r="Q251" s="326"/>
      <c r="R251" s="326"/>
      <c r="S251" s="326"/>
      <c r="T251" s="326"/>
      <c r="U251" s="326"/>
      <c r="V251" s="326"/>
      <c r="W251" s="326"/>
      <c r="X251" s="326"/>
      <c r="Y251" s="326"/>
      <c r="Z251" s="326"/>
    </row>
    <row r="252" spans="1:26" ht="19.5" hidden="1">
      <c r="A252" s="322"/>
      <c r="B252" s="315"/>
      <c r="C252" s="323"/>
      <c r="D252" s="324" t="s">
        <v>116</v>
      </c>
      <c r="E252" s="316"/>
      <c r="F252" s="316"/>
      <c r="G252" s="318"/>
      <c r="H252" s="319" t="s">
        <v>12</v>
      </c>
      <c r="I252" s="325"/>
      <c r="J252" s="325"/>
      <c r="K252" s="282"/>
      <c r="L252" s="282">
        <f ca="1">IFERROR(__xludf.DUMMYFUNCTION("IMPORTRANGE(""https://docs.google.com/spreadsheets/d/1QqKyyYR6Q21VydFLVH3TRQUabQu_ym0Zz7PgGX0-kHA/edit?usp=sharing"",""แผน!BB70"")"),0)</f>
        <v>0</v>
      </c>
      <c r="M252" s="282"/>
      <c r="N252" s="829">
        <v>0</v>
      </c>
      <c r="O252" s="282"/>
      <c r="P252" s="282"/>
      <c r="Q252" s="326"/>
      <c r="R252" s="326"/>
      <c r="S252" s="326"/>
      <c r="T252" s="326"/>
      <c r="U252" s="326"/>
      <c r="V252" s="326"/>
      <c r="W252" s="326"/>
      <c r="X252" s="326"/>
      <c r="Y252" s="326"/>
      <c r="Z252" s="326"/>
    </row>
    <row r="253" spans="1:26" ht="19.5" hidden="1">
      <c r="A253" s="322"/>
      <c r="B253" s="315"/>
      <c r="C253" s="323"/>
      <c r="D253" s="324" t="s">
        <v>100</v>
      </c>
      <c r="E253" s="316"/>
      <c r="F253" s="316"/>
      <c r="G253" s="318"/>
      <c r="H253" s="319" t="s">
        <v>12</v>
      </c>
      <c r="I253" s="325"/>
      <c r="J253" s="325"/>
      <c r="K253" s="282"/>
      <c r="L253" s="282">
        <f ca="1">IFERROR(__xludf.DUMMYFUNCTION("IMPORTRANGE(""https://docs.google.com/spreadsheets/d/1QqKyyYR6Q21VydFLVH3TRQUabQu_ym0Zz7PgGX0-kHA/edit?usp=sharing"",""แผน!BC70"")"),0)</f>
        <v>0</v>
      </c>
      <c r="M253" s="282"/>
      <c r="N253" s="829">
        <v>0</v>
      </c>
      <c r="O253" s="282"/>
      <c r="P253" s="282"/>
      <c r="Q253" s="326"/>
      <c r="R253" s="326"/>
      <c r="S253" s="326"/>
      <c r="T253" s="326"/>
      <c r="U253" s="326"/>
      <c r="V253" s="326"/>
      <c r="W253" s="326"/>
      <c r="X253" s="326"/>
      <c r="Y253" s="326"/>
      <c r="Z253" s="326"/>
    </row>
    <row r="254" spans="1:26" ht="19.5" hidden="1">
      <c r="A254" s="170"/>
      <c r="B254" s="171"/>
      <c r="C254" s="292" t="s">
        <v>16</v>
      </c>
      <c r="D254" s="823" t="s">
        <v>38</v>
      </c>
      <c r="E254" s="173"/>
      <c r="F254" s="173"/>
      <c r="G254" s="174"/>
      <c r="H254" s="753"/>
      <c r="I254" s="184"/>
      <c r="J254" s="269"/>
      <c r="K254" s="496"/>
      <c r="L254" s="496"/>
      <c r="M254" s="496"/>
      <c r="N254" s="496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6" t="s">
        <v>117</v>
      </c>
      <c r="E255" s="178"/>
      <c r="F255" s="178"/>
      <c r="G255" s="179"/>
      <c r="H255" s="755" t="s">
        <v>35</v>
      </c>
      <c r="I255" s="269">
        <f ca="1">IFERROR(__xludf.DUMMYFUNCTION("IMPORTRANGE(""https://docs.google.com/spreadsheets/d/1QqKyyYR6Q21VydFLVH3TRQUabQu_ym0Zz7PgGX0-kHA/edit?usp=sharing"",""แผน!BF70"")"),0)</f>
        <v>0</v>
      </c>
      <c r="J255" s="214">
        <v>0</v>
      </c>
      <c r="K255" s="496">
        <f ca="1">IF(I255&gt;0,J255*100/I255,0)</f>
        <v>0</v>
      </c>
      <c r="L255" s="496"/>
      <c r="M255" s="496"/>
      <c r="N255" s="496"/>
      <c r="O255" s="496"/>
      <c r="P255" s="496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30" t="s">
        <v>43</v>
      </c>
      <c r="E256" s="178"/>
      <c r="F256" s="178"/>
      <c r="G256" s="179"/>
      <c r="H256" s="755"/>
      <c r="I256" s="269"/>
      <c r="J256" s="269"/>
      <c r="K256" s="496"/>
      <c r="L256" s="496"/>
      <c r="M256" s="496"/>
      <c r="N256" s="496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55" t="s">
        <v>35</v>
      </c>
      <c r="I257" s="269"/>
      <c r="J257" s="214">
        <v>0</v>
      </c>
      <c r="K257" s="496">
        <f t="shared" ref="K257:K258" si="113">IF(I257&gt;0,J257*100/I257,0)</f>
        <v>0</v>
      </c>
      <c r="L257" s="496"/>
      <c r="M257" s="496"/>
      <c r="N257" s="496"/>
      <c r="O257" s="496"/>
      <c r="P257" s="496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55" t="s">
        <v>69</v>
      </c>
      <c r="I258" s="269"/>
      <c r="J258" s="214">
        <v>0</v>
      </c>
      <c r="K258" s="496">
        <f t="shared" si="113"/>
        <v>0</v>
      </c>
      <c r="L258" s="496"/>
      <c r="M258" s="496"/>
      <c r="N258" s="496"/>
      <c r="O258" s="496"/>
      <c r="P258" s="496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1" t="s">
        <v>122</v>
      </c>
      <c r="B259" s="242"/>
      <c r="C259" s="242"/>
      <c r="D259" s="243"/>
      <c r="E259" s="243"/>
      <c r="F259" s="243"/>
      <c r="G259" s="244"/>
      <c r="H259" s="245"/>
      <c r="I259" s="246"/>
      <c r="J259" s="246"/>
      <c r="K259" s="247"/>
      <c r="L259" s="247"/>
      <c r="M259" s="247"/>
      <c r="N259" s="247"/>
      <c r="O259" s="247"/>
      <c r="P259" s="247"/>
    </row>
    <row r="260" spans="1:26" ht="19.5">
      <c r="A260" s="248"/>
      <c r="B260" s="249" t="s">
        <v>123</v>
      </c>
      <c r="C260" s="250"/>
      <c r="D260" s="173"/>
      <c r="E260" s="173"/>
      <c r="F260" s="173"/>
      <c r="G260" s="174"/>
      <c r="H260" s="251" t="s">
        <v>35</v>
      </c>
      <c r="I260" s="252">
        <f t="shared" ref="I260:J260" ca="1" si="114">I271</f>
        <v>22</v>
      </c>
      <c r="J260" s="252">
        <f t="shared" si="114"/>
        <v>0</v>
      </c>
      <c r="K260" s="253">
        <f ca="1">IF(I260&gt;0,J260*100/I260,0)</f>
        <v>0</v>
      </c>
      <c r="L260" s="254"/>
      <c r="M260" s="254"/>
      <c r="N260" s="254"/>
      <c r="O260" s="254"/>
      <c r="P260" s="254"/>
    </row>
    <row r="261" spans="1:26" ht="19.5">
      <c r="A261" s="147"/>
      <c r="B261" s="148"/>
      <c r="C261" s="149" t="s">
        <v>16</v>
      </c>
      <c r="D261" s="822" t="s">
        <v>17</v>
      </c>
      <c r="E261" s="148"/>
      <c r="F261" s="148"/>
      <c r="G261" s="151"/>
      <c r="H261" s="152" t="s">
        <v>12</v>
      </c>
      <c r="I261" s="419"/>
      <c r="J261" s="419"/>
      <c r="K261" s="154"/>
      <c r="L261" s="155">
        <f t="shared" ref="L261:N261" ca="1" si="115">L262+L263</f>
        <v>26900</v>
      </c>
      <c r="M261" s="155">
        <f t="shared" ca="1" si="115"/>
        <v>0</v>
      </c>
      <c r="N261" s="155">
        <f t="shared" ca="1" si="115"/>
        <v>0</v>
      </c>
      <c r="O261" s="155">
        <f t="shared" ref="O261:O269" ca="1" si="116">IF(L261&gt;0,N261*100/L261,0)</f>
        <v>0</v>
      </c>
      <c r="P261" s="155">
        <f t="shared" ref="P261:P269" ca="1" si="117">IF(M261&gt;0,N261*100/M261,0)</f>
        <v>0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2" t="s">
        <v>18</v>
      </c>
      <c r="F262" s="40"/>
      <c r="G262" s="157"/>
      <c r="H262" s="158" t="s">
        <v>12</v>
      </c>
      <c r="I262" s="610"/>
      <c r="J262" s="610"/>
      <c r="K262" s="93"/>
      <c r="L262" s="93">
        <f t="shared" ref="L262:N263" si="118">L265+L268</f>
        <v>0</v>
      </c>
      <c r="M262" s="93">
        <f t="shared" si="118"/>
        <v>0</v>
      </c>
      <c r="N262" s="93">
        <f t="shared" si="118"/>
        <v>0</v>
      </c>
      <c r="O262" s="93">
        <f t="shared" si="116"/>
        <v>0</v>
      </c>
      <c r="P262" s="93">
        <f t="shared" si="117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2" t="s">
        <v>19</v>
      </c>
      <c r="F263" s="40"/>
      <c r="G263" s="157"/>
      <c r="H263" s="158" t="s">
        <v>12</v>
      </c>
      <c r="I263" s="610"/>
      <c r="J263" s="610"/>
      <c r="K263" s="93"/>
      <c r="L263" s="93">
        <f t="shared" ca="1" si="118"/>
        <v>26900</v>
      </c>
      <c r="M263" s="93">
        <f t="shared" ca="1" si="118"/>
        <v>0</v>
      </c>
      <c r="N263" s="93">
        <f t="shared" ca="1" si="118"/>
        <v>0</v>
      </c>
      <c r="O263" s="93">
        <f t="shared" ca="1" si="116"/>
        <v>0</v>
      </c>
      <c r="P263" s="93">
        <f t="shared" ca="1" si="117"/>
        <v>0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1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6">
        <f t="shared" ref="L264:N264" ca="1" si="119">L265+L266</f>
        <v>26900</v>
      </c>
      <c r="M264" s="496">
        <f t="shared" ca="1" si="119"/>
        <v>0</v>
      </c>
      <c r="N264" s="496">
        <f t="shared" ca="1" si="119"/>
        <v>0</v>
      </c>
      <c r="O264" s="496">
        <f t="shared" ca="1" si="116"/>
        <v>0</v>
      </c>
      <c r="P264" s="496">
        <f t="shared" ca="1" si="117"/>
        <v>0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2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6"/>
        <v>0</v>
      </c>
      <c r="P265" s="93">
        <f t="shared" si="117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2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IFERROR(__xludf.DUMMYFUNCTION("IMPORTRANGE(""https://docs.google.com/spreadsheets/d/1MeEWN-I1oV_STSDYn1IFDPWt_1FKiwhDph83XaGc0o0/edit?usp=sharing"",""งบพรบ!CY70"")"),26900)</f>
        <v>26900</v>
      </c>
      <c r="M266" s="93">
        <f ca="1">IFERROR(__xludf.DUMMYFUNCTION("IMPORTRANGE(""https://docs.google.com/spreadsheets/d/1MeEWN-I1oV_STSDYn1IFDPWt_1FKiwhDph83XaGc0o0/edit?usp=sharing"",""งบพรบ!DD70"")"),0)</f>
        <v>0</v>
      </c>
      <c r="N266" s="93">
        <f ca="1">IFERROR(__xludf.DUMMYFUNCTION("IMPORTRANGE(""https://docs.google.com/spreadsheets/d/1MeEWN-I1oV_STSDYn1IFDPWt_1FKiwhDph83XaGc0o0/edit?usp=sharing"",""งบพรบ!DF70"")"),0)</f>
        <v>0</v>
      </c>
      <c r="O266" s="93">
        <f t="shared" ca="1" si="116"/>
        <v>0</v>
      </c>
      <c r="P266" s="93">
        <f t="shared" ca="1" si="117"/>
        <v>0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1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6">
        <f t="shared" ref="L267:N267" ca="1" si="120">L268+L269</f>
        <v>0</v>
      </c>
      <c r="M267" s="496">
        <f t="shared" ca="1" si="120"/>
        <v>0</v>
      </c>
      <c r="N267" s="496">
        <f t="shared" ca="1" si="120"/>
        <v>0</v>
      </c>
      <c r="O267" s="496">
        <f t="shared" ca="1" si="116"/>
        <v>0</v>
      </c>
      <c r="P267" s="496">
        <f t="shared" ca="1" si="117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2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6"/>
        <v>0</v>
      </c>
      <c r="P268" s="93">
        <f t="shared" si="117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2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IFERROR(__xludf.DUMMYFUNCTION("IMPORTRANGE(""https://docs.google.com/spreadsheets/d/1MeEWN-I1oV_STSDYn1IFDPWt_1FKiwhDph83XaGc0o0/edit?usp=sharing"",""งบพรบ!DB70"")"),0)</f>
        <v>0</v>
      </c>
      <c r="M269" s="93">
        <f ca="1">IFERROR(__xludf.DUMMYFUNCTION("IMPORTRANGE(""https://docs.google.com/spreadsheets/d/1MeEWN-I1oV_STSDYn1IFDPWt_1FKiwhDph83XaGc0o0/edit?usp=sharing"",""งบพรบ!DE70"")"),0)</f>
        <v>0</v>
      </c>
      <c r="N269" s="93">
        <f ca="1">IFERROR(__xludf.DUMMYFUNCTION("IMPORTRANGE(""https://docs.google.com/spreadsheets/d/1MeEWN-I1oV_STSDYn1IFDPWt_1FKiwhDph83XaGc0o0/edit?usp=sharing"",""งบพรบ!DG70"")"),0)</f>
        <v>0</v>
      </c>
      <c r="O269" s="93">
        <f t="shared" ca="1" si="116"/>
        <v>0</v>
      </c>
      <c r="P269" s="93">
        <f t="shared" ca="1" si="117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1" t="s">
        <v>16</v>
      </c>
      <c r="D270" s="823" t="s">
        <v>38</v>
      </c>
      <c r="E270" s="173"/>
      <c r="F270" s="173"/>
      <c r="G270" s="174"/>
      <c r="H270" s="753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5" t="s">
        <v>124</v>
      </c>
      <c r="E271" s="178"/>
      <c r="F271" s="366"/>
      <c r="G271" s="179"/>
      <c r="H271" s="376" t="s">
        <v>35</v>
      </c>
      <c r="I271" s="269">
        <f ca="1">IFERROR(__xludf.DUMMYFUNCTION("IMPORTRANGE(""https://docs.google.com/spreadsheets/d/1QqKyyYR6Q21VydFLVH3TRQUabQu_ym0Zz7PgGX0-kHA/edit?usp=sharing"",""แผน!EA70"")"),22)</f>
        <v>22</v>
      </c>
      <c r="J271" s="214">
        <v>0</v>
      </c>
      <c r="K271" s="163">
        <f ca="1">IF(I271&gt;0,J271*100/I271,0)</f>
        <v>0</v>
      </c>
      <c r="L271" s="163"/>
      <c r="M271" s="163"/>
      <c r="N271" s="163"/>
      <c r="O271" s="163"/>
      <c r="P271" s="163"/>
    </row>
    <row r="272" spans="1:26" ht="18.75" hidden="1">
      <c r="A272" s="377"/>
      <c r="B272" s="378"/>
      <c r="C272" s="378"/>
      <c r="D272" s="379" t="s">
        <v>125</v>
      </c>
      <c r="E272" s="380"/>
      <c r="F272" s="380"/>
      <c r="G272" s="381"/>
      <c r="H272" s="50" t="s">
        <v>35</v>
      </c>
      <c r="I272" s="499">
        <v>0</v>
      </c>
      <c r="J272" s="499">
        <v>0</v>
      </c>
      <c r="K272" s="384">
        <v>0</v>
      </c>
      <c r="L272" s="384"/>
      <c r="M272" s="384"/>
      <c r="N272" s="384"/>
      <c r="O272" s="384"/>
      <c r="P272" s="384"/>
    </row>
    <row r="273" spans="1:26" ht="19.5">
      <c r="A273" s="385" t="s">
        <v>126</v>
      </c>
      <c r="B273" s="386"/>
      <c r="C273" s="386"/>
      <c r="D273" s="386"/>
      <c r="E273" s="387"/>
      <c r="F273" s="387"/>
      <c r="G273" s="388"/>
      <c r="H273" s="389"/>
      <c r="I273" s="390"/>
      <c r="J273" s="390"/>
      <c r="K273" s="391"/>
      <c r="L273" s="391"/>
      <c r="M273" s="391"/>
      <c r="N273" s="391"/>
      <c r="O273" s="391"/>
      <c r="P273" s="391"/>
    </row>
    <row r="274" spans="1:26" ht="19.5" hidden="1">
      <c r="A274" s="392" t="s">
        <v>127</v>
      </c>
      <c r="B274" s="393"/>
      <c r="C274" s="394"/>
      <c r="D274" s="393"/>
      <c r="E274" s="393"/>
      <c r="F274" s="393"/>
      <c r="G274" s="393"/>
      <c r="H274" s="395"/>
      <c r="I274" s="396"/>
      <c r="J274" s="397"/>
      <c r="K274" s="398"/>
      <c r="L274" s="398"/>
      <c r="M274" s="398"/>
      <c r="N274" s="398"/>
      <c r="O274" s="398"/>
      <c r="P274" s="398"/>
    </row>
    <row r="275" spans="1:26" ht="19.5" hidden="1">
      <c r="A275" s="399"/>
      <c r="B275" s="408" t="s">
        <v>128</v>
      </c>
      <c r="C275" s="401"/>
      <c r="D275" s="402"/>
      <c r="E275" s="401"/>
      <c r="F275" s="401"/>
      <c r="G275" s="403"/>
      <c r="H275" s="404" t="s">
        <v>35</v>
      </c>
      <c r="I275" s="405">
        <f t="shared" ref="I275:J275" ca="1" si="121">I288</f>
        <v>0</v>
      </c>
      <c r="J275" s="405">
        <f t="shared" ca="1" si="121"/>
        <v>0</v>
      </c>
      <c r="K275" s="406">
        <f t="shared" ref="K275:K276" ca="1" si="122">IF(I275&gt;0,J275*100/I275,0)</f>
        <v>0</v>
      </c>
      <c r="L275" s="407"/>
      <c r="M275" s="407"/>
      <c r="N275" s="407"/>
      <c r="O275" s="407"/>
      <c r="P275" s="407"/>
    </row>
    <row r="276" spans="1:26" ht="19.5" hidden="1">
      <c r="A276" s="399"/>
      <c r="B276" s="408"/>
      <c r="C276" s="401"/>
      <c r="D276" s="402"/>
      <c r="E276" s="401"/>
      <c r="F276" s="401"/>
      <c r="G276" s="403"/>
      <c r="H276" s="404" t="s">
        <v>46</v>
      </c>
      <c r="I276" s="831">
        <f t="shared" ref="I276:J276" ca="1" si="123">I287</f>
        <v>0</v>
      </c>
      <c r="J276" s="831">
        <f t="shared" si="123"/>
        <v>0</v>
      </c>
      <c r="K276" s="407">
        <f t="shared" ca="1" si="122"/>
        <v>0</v>
      </c>
      <c r="L276" s="407"/>
      <c r="M276" s="407"/>
      <c r="N276" s="407"/>
      <c r="O276" s="407"/>
      <c r="P276" s="407"/>
    </row>
    <row r="277" spans="1:26" ht="19.5" hidden="1">
      <c r="A277" s="147"/>
      <c r="B277" s="148"/>
      <c r="C277" s="149" t="s">
        <v>16</v>
      </c>
      <c r="D277" s="822" t="s">
        <v>17</v>
      </c>
      <c r="E277" s="148"/>
      <c r="F277" s="148"/>
      <c r="G277" s="151"/>
      <c r="H277" s="152" t="s">
        <v>12</v>
      </c>
      <c r="I277" s="419"/>
      <c r="J277" s="419"/>
      <c r="K277" s="154"/>
      <c r="L277" s="155">
        <f t="shared" ref="L277:N277" ca="1" si="124">L278+L279</f>
        <v>0</v>
      </c>
      <c r="M277" s="155">
        <f t="shared" ca="1" si="124"/>
        <v>0</v>
      </c>
      <c r="N277" s="155">
        <f t="shared" ca="1" si="124"/>
        <v>0</v>
      </c>
      <c r="O277" s="155">
        <f t="shared" ref="O277:O285" ca="1" si="125">IF(L277&gt;0,N277*100/L277,0)</f>
        <v>0</v>
      </c>
      <c r="P277" s="155">
        <f t="shared" ref="P277:P285" ca="1" si="126">IF(M277&gt;0,N277*100/M277,0)</f>
        <v>0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2" t="s">
        <v>18</v>
      </c>
      <c r="F278" s="40"/>
      <c r="G278" s="157"/>
      <c r="H278" s="158" t="s">
        <v>12</v>
      </c>
      <c r="I278" s="610"/>
      <c r="J278" s="610"/>
      <c r="K278" s="93"/>
      <c r="L278" s="93">
        <f t="shared" ref="L278:N279" si="127">L281+L284</f>
        <v>0</v>
      </c>
      <c r="M278" s="93">
        <f t="shared" si="127"/>
        <v>0</v>
      </c>
      <c r="N278" s="93">
        <f t="shared" si="127"/>
        <v>0</v>
      </c>
      <c r="O278" s="93">
        <f t="shared" si="125"/>
        <v>0</v>
      </c>
      <c r="P278" s="93">
        <f t="shared" si="126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2" t="s">
        <v>19</v>
      </c>
      <c r="F279" s="40"/>
      <c r="G279" s="157"/>
      <c r="H279" s="158" t="s">
        <v>12</v>
      </c>
      <c r="I279" s="610"/>
      <c r="J279" s="610"/>
      <c r="K279" s="93"/>
      <c r="L279" s="93">
        <f t="shared" ca="1" si="127"/>
        <v>0</v>
      </c>
      <c r="M279" s="93">
        <f t="shared" ca="1" si="127"/>
        <v>0</v>
      </c>
      <c r="N279" s="93">
        <f t="shared" ca="1" si="127"/>
        <v>0</v>
      </c>
      <c r="O279" s="93">
        <f t="shared" ca="1" si="125"/>
        <v>0</v>
      </c>
      <c r="P279" s="93">
        <f t="shared" ca="1" si="126"/>
        <v>0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 hidden="1">
      <c r="A280" s="159"/>
      <c r="B280" s="33"/>
      <c r="C280" s="281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6">
        <f t="shared" ref="L280:N280" ca="1" si="128">L281+L282</f>
        <v>0</v>
      </c>
      <c r="M280" s="496">
        <f t="shared" ca="1" si="128"/>
        <v>0</v>
      </c>
      <c r="N280" s="496">
        <f t="shared" ca="1" si="128"/>
        <v>0</v>
      </c>
      <c r="O280" s="496">
        <f t="shared" ca="1" si="125"/>
        <v>0</v>
      </c>
      <c r="P280" s="496">
        <f t="shared" ca="1" si="126"/>
        <v>0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2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5"/>
        <v>0</v>
      </c>
      <c r="P281" s="93">
        <f t="shared" si="126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2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IFERROR(__xludf.DUMMYFUNCTION("IMPORTRANGE(""https://docs.google.com/spreadsheets/d/1MeEWN-I1oV_STSDYn1IFDPWt_1FKiwhDph83XaGc0o0/edit?usp=sharing"",""งบพรบ!DI70"")"),0)</f>
        <v>0</v>
      </c>
      <c r="M282" s="93">
        <f ca="1">IFERROR(__xludf.DUMMYFUNCTION("IMPORTRANGE(""https://docs.google.com/spreadsheets/d/1MeEWN-I1oV_STSDYn1IFDPWt_1FKiwhDph83XaGc0o0/edit?usp=sharing"",""งบพรบ!DN70"")"),0)</f>
        <v>0</v>
      </c>
      <c r="N282" s="93">
        <f ca="1">IFERROR(__xludf.DUMMYFUNCTION("IMPORTRANGE(""https://docs.google.com/spreadsheets/d/1MeEWN-I1oV_STSDYn1IFDPWt_1FKiwhDph83XaGc0o0/edit?usp=sharing"",""งบพรบ!DP70"")"),0)</f>
        <v>0</v>
      </c>
      <c r="O282" s="93">
        <f t="shared" ca="1" si="125"/>
        <v>0</v>
      </c>
      <c r="P282" s="93">
        <f t="shared" ca="1" si="126"/>
        <v>0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 hidden="1">
      <c r="A283" s="159"/>
      <c r="B283" s="33"/>
      <c r="C283" s="281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6">
        <f t="shared" ref="L283:N283" ca="1" si="129">L284+L285</f>
        <v>0</v>
      </c>
      <c r="M283" s="496">
        <f t="shared" ca="1" si="129"/>
        <v>0</v>
      </c>
      <c r="N283" s="496">
        <f t="shared" ca="1" si="129"/>
        <v>0</v>
      </c>
      <c r="O283" s="496">
        <f t="shared" ca="1" si="125"/>
        <v>0</v>
      </c>
      <c r="P283" s="496">
        <f t="shared" ca="1" si="126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2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5"/>
        <v>0</v>
      </c>
      <c r="P284" s="93">
        <f t="shared" si="126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2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IFERROR(__xludf.DUMMYFUNCTION("IMPORTRANGE(""https://docs.google.com/spreadsheets/d/1MeEWN-I1oV_STSDYn1IFDPWt_1FKiwhDph83XaGc0o0/edit?usp=sharing"",""งบพรบ!DL70"")"),0)</f>
        <v>0</v>
      </c>
      <c r="M285" s="93">
        <f ca="1">IFERROR(__xludf.DUMMYFUNCTION("IMPORTRANGE(""https://docs.google.com/spreadsheets/d/1MeEWN-I1oV_STSDYn1IFDPWt_1FKiwhDph83XaGc0o0/edit?usp=sharing"",""งบพรบ!DO70"")"),0)</f>
        <v>0</v>
      </c>
      <c r="N285" s="93">
        <f ca="1">IFERROR(__xludf.DUMMYFUNCTION("IMPORTRANGE(""https://docs.google.com/spreadsheets/d/1MeEWN-I1oV_STSDYn1IFDPWt_1FKiwhDph83XaGc0o0/edit?usp=sharing"",""งบพรบ!DQ70"")"),0)</f>
        <v>0</v>
      </c>
      <c r="O285" s="93">
        <f t="shared" ca="1" si="125"/>
        <v>0</v>
      </c>
      <c r="P285" s="93">
        <f t="shared" ca="1" si="126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 hidden="1">
      <c r="A286" s="170"/>
      <c r="B286" s="171"/>
      <c r="C286" s="164" t="s">
        <v>16</v>
      </c>
      <c r="D286" s="823" t="s">
        <v>38</v>
      </c>
      <c r="E286" s="173"/>
      <c r="F286" s="173"/>
      <c r="G286" s="174"/>
      <c r="H286" s="753"/>
      <c r="I286" s="184"/>
      <c r="J286" s="184"/>
      <c r="K286" s="163"/>
      <c r="L286" s="163"/>
      <c r="M286" s="163"/>
      <c r="N286" s="163"/>
      <c r="O286" s="163"/>
      <c r="P286" s="163"/>
    </row>
    <row r="287" spans="1:26" ht="18.75" hidden="1">
      <c r="A287" s="170"/>
      <c r="B287" s="171"/>
      <c r="C287" s="171"/>
      <c r="D287" s="619" t="s">
        <v>129</v>
      </c>
      <c r="E287" s="171"/>
      <c r="F287" s="178"/>
      <c r="G287" s="179"/>
      <c r="H287" s="185" t="s">
        <v>46</v>
      </c>
      <c r="I287" s="269">
        <f ca="1">IFERROR(__xludf.DUMMYFUNCTION("IMPORTRANGE(""https://docs.google.com/spreadsheets/d/1QqKyyYR6Q21VydFLVH3TRQUabQu_ym0Zz7PgGX0-kHA/edit?usp=sharing"",""แผน!EC70"")"),0)</f>
        <v>0</v>
      </c>
      <c r="J287" s="269">
        <v>0</v>
      </c>
      <c r="K287" s="163">
        <f t="shared" ref="K287:K288" ca="1" si="130">IF(I287&gt;0,J287*100/I287,0)</f>
        <v>0</v>
      </c>
      <c r="L287" s="163"/>
      <c r="M287" s="163"/>
      <c r="N287" s="163"/>
      <c r="O287" s="163"/>
      <c r="P287" s="163"/>
    </row>
    <row r="288" spans="1:26" ht="19.5" hidden="1">
      <c r="A288" s="170"/>
      <c r="B288" s="171"/>
      <c r="C288" s="171"/>
      <c r="D288" s="619" t="s">
        <v>130</v>
      </c>
      <c r="E288" s="171"/>
      <c r="F288" s="178"/>
      <c r="G288" s="179"/>
      <c r="H288" s="180" t="s">
        <v>35</v>
      </c>
      <c r="I288" s="674">
        <f ca="1">IFERROR(__xludf.DUMMYFUNCTION("IMPORTRANGE(""https://docs.google.com/spreadsheets/d/1QqKyyYR6Q21VydFLVH3TRQUabQu_ym0Zz7PgGX0-kHA/edit?usp=sharing"",""แผน!EB70"")"),0)</f>
        <v>0</v>
      </c>
      <c r="J288" s="674">
        <f ca="1">IF(AND(J291&gt;=I288,J294&gt;=I288),J294,0)</f>
        <v>0</v>
      </c>
      <c r="K288" s="410">
        <f t="shared" ca="1" si="130"/>
        <v>0</v>
      </c>
      <c r="L288" s="163"/>
      <c r="M288" s="163"/>
      <c r="N288" s="163"/>
      <c r="O288" s="163"/>
      <c r="P288" s="163"/>
    </row>
    <row r="289" spans="1:26" ht="19.5" hidden="1">
      <c r="A289" s="170"/>
      <c r="B289" s="171"/>
      <c r="C289" s="171"/>
      <c r="D289" s="411"/>
      <c r="E289" s="412" t="s">
        <v>131</v>
      </c>
      <c r="F289" s="178"/>
      <c r="G289" s="179"/>
      <c r="H289" s="755"/>
      <c r="I289" s="184"/>
      <c r="J289" s="269"/>
      <c r="K289" s="163"/>
      <c r="L289" s="163"/>
      <c r="M289" s="163"/>
      <c r="N289" s="163"/>
      <c r="O289" s="163"/>
      <c r="P289" s="163"/>
    </row>
    <row r="290" spans="1:26" ht="19.5" hidden="1">
      <c r="A290" s="170"/>
      <c r="B290" s="171"/>
      <c r="C290" s="171"/>
      <c r="D290" s="411"/>
      <c r="E290" s="619" t="s">
        <v>132</v>
      </c>
      <c r="F290" s="178"/>
      <c r="G290" s="179"/>
      <c r="H290" s="755" t="s">
        <v>35</v>
      </c>
      <c r="I290" s="184">
        <f ca="1">IFERROR(__xludf.DUMMYFUNCTION("IMPORTRANGE(""https://docs.google.com/spreadsheets/d/1QqKyyYR6Q21VydFLVH3TRQUabQu_ym0Zz7PgGX0-kHA/edit?usp=sharing"",""แผน!EB70"")"),0)</f>
        <v>0</v>
      </c>
      <c r="J290" s="214">
        <v>0</v>
      </c>
      <c r="K290" s="163">
        <f t="shared" ref="K290:K291" ca="1" si="131">IF(I290&gt;0,J290*100/I290,0)</f>
        <v>0</v>
      </c>
      <c r="L290" s="163"/>
      <c r="M290" s="163"/>
      <c r="N290" s="163"/>
      <c r="O290" s="163"/>
      <c r="P290" s="163"/>
    </row>
    <row r="291" spans="1:26" ht="19.5" hidden="1">
      <c r="A291" s="170"/>
      <c r="B291" s="171"/>
      <c r="C291" s="171"/>
      <c r="D291" s="178"/>
      <c r="E291" s="619" t="s">
        <v>333</v>
      </c>
      <c r="F291" s="178"/>
      <c r="G291" s="179"/>
      <c r="H291" s="755" t="s">
        <v>35</v>
      </c>
      <c r="I291" s="184">
        <f ca="1">IFERROR(__xludf.DUMMYFUNCTION("IMPORTRANGE(""https://docs.google.com/spreadsheets/d/1QqKyyYR6Q21VydFLVH3TRQUabQu_ym0Zz7PgGX0-kHA/edit?usp=sharing"",""แผน!EB70"")"),0)</f>
        <v>0</v>
      </c>
      <c r="J291" s="214">
        <v>0</v>
      </c>
      <c r="K291" s="163">
        <f t="shared" ca="1" si="131"/>
        <v>0</v>
      </c>
      <c r="L291" s="163"/>
      <c r="M291" s="163"/>
      <c r="N291" s="163"/>
      <c r="O291" s="163"/>
      <c r="P291" s="163"/>
    </row>
    <row r="292" spans="1:26" ht="19.5" hidden="1">
      <c r="A292" s="413"/>
      <c r="B292" s="414"/>
      <c r="C292" s="414"/>
      <c r="D292" s="415"/>
      <c r="E292" s="416" t="s">
        <v>134</v>
      </c>
      <c r="F292" s="287"/>
      <c r="G292" s="288"/>
      <c r="H292" s="417"/>
      <c r="I292" s="418"/>
      <c r="J292" s="419"/>
      <c r="K292" s="279"/>
      <c r="L292" s="279"/>
      <c r="M292" s="279"/>
      <c r="N292" s="279"/>
      <c r="O292" s="279"/>
      <c r="P292" s="279"/>
    </row>
    <row r="293" spans="1:26" ht="19.5" hidden="1">
      <c r="A293" s="170"/>
      <c r="B293" s="171"/>
      <c r="C293" s="171"/>
      <c r="D293" s="411"/>
      <c r="E293" s="619" t="s">
        <v>132</v>
      </c>
      <c r="F293" s="178"/>
      <c r="G293" s="179"/>
      <c r="H293" s="755" t="s">
        <v>35</v>
      </c>
      <c r="I293" s="184">
        <f ca="1">IFERROR(__xludf.DUMMYFUNCTION("IMPORTRANGE(""https://docs.google.com/spreadsheets/d/1QqKyyYR6Q21VydFLVH3TRQUabQu_ym0Zz7PgGX0-kHA/edit?usp=sharing"",""แผน!EB70"")"),0)</f>
        <v>0</v>
      </c>
      <c r="J293" s="214">
        <v>0</v>
      </c>
      <c r="K293" s="163">
        <f t="shared" ref="K293:K294" ca="1" si="132">IF(I293&gt;0,J293*100/I293,0)</f>
        <v>0</v>
      </c>
      <c r="L293" s="163"/>
      <c r="M293" s="163"/>
      <c r="N293" s="163"/>
      <c r="O293" s="163"/>
      <c r="P293" s="163"/>
    </row>
    <row r="294" spans="1:26" ht="19.5" hidden="1">
      <c r="A294" s="377"/>
      <c r="B294" s="378"/>
      <c r="C294" s="378"/>
      <c r="D294" s="380"/>
      <c r="E294" s="725" t="s">
        <v>333</v>
      </c>
      <c r="F294" s="380"/>
      <c r="G294" s="381"/>
      <c r="H294" s="421" t="s">
        <v>35</v>
      </c>
      <c r="I294" s="422">
        <f ca="1">IFERROR(__xludf.DUMMYFUNCTION("IMPORTRANGE(""https://docs.google.com/spreadsheets/d/1QqKyyYR6Q21VydFLVH3TRQUabQu_ym0Zz7PgGX0-kHA/edit?usp=sharing"",""แผน!EB70"")"),0)</f>
        <v>0</v>
      </c>
      <c r="J294" s="423">
        <v>0</v>
      </c>
      <c r="K294" s="384">
        <f t="shared" ca="1" si="132"/>
        <v>0</v>
      </c>
      <c r="L294" s="384"/>
      <c r="M294" s="384"/>
      <c r="N294" s="384"/>
      <c r="O294" s="384"/>
      <c r="P294" s="384"/>
    </row>
    <row r="295" spans="1:26" ht="19.5">
      <c r="A295" s="424" t="s">
        <v>137</v>
      </c>
      <c r="B295" s="425"/>
      <c r="C295" s="425"/>
      <c r="D295" s="425"/>
      <c r="E295" s="426"/>
      <c r="F295" s="426"/>
      <c r="G295" s="427"/>
      <c r="H295" s="428"/>
      <c r="I295" s="429"/>
      <c r="J295" s="429"/>
      <c r="K295" s="430"/>
      <c r="L295" s="430"/>
      <c r="M295" s="430"/>
      <c r="N295" s="430"/>
      <c r="O295" s="430"/>
      <c r="P295" s="430"/>
    </row>
    <row r="296" spans="1:26" ht="19.5">
      <c r="A296" s="431" t="s">
        <v>138</v>
      </c>
      <c r="B296" s="432"/>
      <c r="C296" s="432"/>
      <c r="D296" s="433"/>
      <c r="E296" s="433"/>
      <c r="F296" s="433"/>
      <c r="G296" s="434"/>
      <c r="H296" s="435"/>
      <c r="I296" s="436"/>
      <c r="J296" s="436"/>
      <c r="K296" s="437"/>
      <c r="L296" s="437"/>
      <c r="M296" s="437"/>
      <c r="N296" s="437"/>
      <c r="O296" s="437"/>
      <c r="P296" s="437"/>
    </row>
    <row r="297" spans="1:26" ht="19.5">
      <c r="A297" s="438"/>
      <c r="B297" s="439" t="s">
        <v>139</v>
      </c>
      <c r="C297" s="440"/>
      <c r="D297" s="440"/>
      <c r="E297" s="440"/>
      <c r="F297" s="440"/>
      <c r="G297" s="441"/>
      <c r="H297" s="442" t="s">
        <v>35</v>
      </c>
      <c r="I297" s="443">
        <f t="shared" ref="I297:J297" ca="1" si="133">I309</f>
        <v>25</v>
      </c>
      <c r="J297" s="443">
        <f t="shared" si="133"/>
        <v>0</v>
      </c>
      <c r="K297" s="444">
        <f ca="1">IF(I297&gt;0,J297*100/I297,0)</f>
        <v>0</v>
      </c>
      <c r="L297" s="445"/>
      <c r="M297" s="445"/>
      <c r="N297" s="445"/>
      <c r="O297" s="445"/>
      <c r="P297" s="445"/>
    </row>
    <row r="298" spans="1:26" ht="19.5">
      <c r="A298" s="147"/>
      <c r="B298" s="148"/>
      <c r="C298" s="149" t="s">
        <v>16</v>
      </c>
      <c r="D298" s="822" t="s">
        <v>17</v>
      </c>
      <c r="E298" s="148"/>
      <c r="F298" s="148"/>
      <c r="G298" s="151"/>
      <c r="H298" s="152" t="s">
        <v>12</v>
      </c>
      <c r="I298" s="419"/>
      <c r="J298" s="419"/>
      <c r="K298" s="154"/>
      <c r="L298" s="155">
        <f t="shared" ref="L298:N298" ca="1" si="134">L299+L300</f>
        <v>244000</v>
      </c>
      <c r="M298" s="155">
        <f t="shared" ca="1" si="134"/>
        <v>125400</v>
      </c>
      <c r="N298" s="155">
        <f t="shared" ca="1" si="134"/>
        <v>26000</v>
      </c>
      <c r="O298" s="155">
        <f t="shared" ref="O298:O306" ca="1" si="135">IF(L298&gt;0,N298*100/L298,0)</f>
        <v>10.655737704918034</v>
      </c>
      <c r="P298" s="155">
        <f t="shared" ref="P298:P306" ca="1" si="136">IF(M298&gt;0,N298*100/M298,0)</f>
        <v>20.733652312599681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2" t="s">
        <v>18</v>
      </c>
      <c r="F299" s="40"/>
      <c r="G299" s="157"/>
      <c r="H299" s="158" t="s">
        <v>12</v>
      </c>
      <c r="I299" s="610"/>
      <c r="J299" s="610"/>
      <c r="K299" s="93"/>
      <c r="L299" s="93">
        <f t="shared" ref="L299:N300" si="137">L302+L305</f>
        <v>0</v>
      </c>
      <c r="M299" s="93">
        <f t="shared" si="137"/>
        <v>0</v>
      </c>
      <c r="N299" s="93">
        <f t="shared" si="137"/>
        <v>0</v>
      </c>
      <c r="O299" s="93">
        <f t="shared" si="135"/>
        <v>0</v>
      </c>
      <c r="P299" s="93">
        <f t="shared" si="136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2" t="s">
        <v>19</v>
      </c>
      <c r="F300" s="40"/>
      <c r="G300" s="157"/>
      <c r="H300" s="158" t="s">
        <v>12</v>
      </c>
      <c r="I300" s="610"/>
      <c r="J300" s="610"/>
      <c r="K300" s="93"/>
      <c r="L300" s="93">
        <f t="shared" ca="1" si="137"/>
        <v>244000</v>
      </c>
      <c r="M300" s="93">
        <f t="shared" ca="1" si="137"/>
        <v>125400</v>
      </c>
      <c r="N300" s="93">
        <f t="shared" ca="1" si="137"/>
        <v>26000</v>
      </c>
      <c r="O300" s="93">
        <f t="shared" ca="1" si="135"/>
        <v>10.655737704918034</v>
      </c>
      <c r="P300" s="93">
        <f t="shared" ca="1" si="136"/>
        <v>20.733652312599681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>
      <c r="A301" s="159"/>
      <c r="B301" s="33"/>
      <c r="C301" s="281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6">
        <f t="shared" ref="L301:N301" ca="1" si="138">L302+L303</f>
        <v>244000</v>
      </c>
      <c r="M301" s="496">
        <f t="shared" ca="1" si="138"/>
        <v>125400</v>
      </c>
      <c r="N301" s="496">
        <f t="shared" ca="1" si="138"/>
        <v>26000</v>
      </c>
      <c r="O301" s="496">
        <f t="shared" ca="1" si="135"/>
        <v>10.655737704918034</v>
      </c>
      <c r="P301" s="496">
        <f t="shared" ca="1" si="136"/>
        <v>20.733652312599681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2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5"/>
        <v>0</v>
      </c>
      <c r="P302" s="93">
        <f t="shared" si="136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2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IFERROR(__xludf.DUMMYFUNCTION("IMPORTRANGE(""https://docs.google.com/spreadsheets/d/1MeEWN-I1oV_STSDYn1IFDPWt_1FKiwhDph83XaGc0o0/edit?usp=sharing"",""งบพรบ!DS70"")"),244000)</f>
        <v>244000</v>
      </c>
      <c r="M303" s="93">
        <f ca="1">IFERROR(__xludf.DUMMYFUNCTION("IMPORTRANGE(""https://docs.google.com/spreadsheets/d/1MeEWN-I1oV_STSDYn1IFDPWt_1FKiwhDph83XaGc0o0/edit?usp=sharing"",""งบพรบ!DX70"")"),125400)</f>
        <v>125400</v>
      </c>
      <c r="N303" s="93">
        <f ca="1">IFERROR(__xludf.DUMMYFUNCTION("IMPORTRANGE(""https://docs.google.com/spreadsheets/d/1MeEWN-I1oV_STSDYn1IFDPWt_1FKiwhDph83XaGc0o0/edit?usp=sharing"",""งบพรบ!DZ70"")"),26000)</f>
        <v>26000</v>
      </c>
      <c r="O303" s="93">
        <f t="shared" ca="1" si="135"/>
        <v>10.655737704918034</v>
      </c>
      <c r="P303" s="93">
        <f t="shared" ca="1" si="136"/>
        <v>20.733652312599681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>
      <c r="A304" s="159"/>
      <c r="B304" s="33"/>
      <c r="C304" s="281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6">
        <f t="shared" ref="L304:N304" ca="1" si="139">L305+L306</f>
        <v>0</v>
      </c>
      <c r="M304" s="496">
        <f t="shared" ca="1" si="139"/>
        <v>0</v>
      </c>
      <c r="N304" s="496">
        <f t="shared" ca="1" si="139"/>
        <v>0</v>
      </c>
      <c r="O304" s="496">
        <f t="shared" ca="1" si="135"/>
        <v>0</v>
      </c>
      <c r="P304" s="496">
        <f t="shared" ca="1" si="136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2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5"/>
        <v>0</v>
      </c>
      <c r="P305" s="93">
        <f t="shared" si="136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2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IFERROR(__xludf.DUMMYFUNCTION("IMPORTRANGE(""https://docs.google.com/spreadsheets/d/1MeEWN-I1oV_STSDYn1IFDPWt_1FKiwhDph83XaGc0o0/edit?usp=sharing"",""งบพรบ!DV70"")"),0)</f>
        <v>0</v>
      </c>
      <c r="M306" s="93">
        <f ca="1">IFERROR(__xludf.DUMMYFUNCTION("IMPORTRANGE(""https://docs.google.com/spreadsheets/d/1MeEWN-I1oV_STSDYn1IFDPWt_1FKiwhDph83XaGc0o0/edit?usp=sharing"",""งบพรบ!DY70"")"),0)</f>
        <v>0</v>
      </c>
      <c r="N306" s="93">
        <f ca="1">IFERROR(__xludf.DUMMYFUNCTION("IMPORTRANGE(""https://docs.google.com/spreadsheets/d/1MeEWN-I1oV_STSDYn1IFDPWt_1FKiwhDph83XaGc0o0/edit?usp=sharing"",""งบพรบ!EA70"")"),0)</f>
        <v>0</v>
      </c>
      <c r="O306" s="93">
        <f t="shared" ca="1" si="135"/>
        <v>0</v>
      </c>
      <c r="P306" s="93">
        <f t="shared" ca="1" si="136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>
      <c r="A307" s="170"/>
      <c r="B307" s="171"/>
      <c r="C307" s="164" t="s">
        <v>16</v>
      </c>
      <c r="D307" s="823" t="s">
        <v>38</v>
      </c>
      <c r="E307" s="173"/>
      <c r="F307" s="173"/>
      <c r="G307" s="174"/>
      <c r="H307" s="753"/>
      <c r="I307" s="269"/>
      <c r="J307" s="269"/>
      <c r="K307" s="496"/>
      <c r="L307" s="496"/>
      <c r="M307" s="496"/>
      <c r="N307" s="496"/>
      <c r="O307" s="496"/>
      <c r="P307" s="496"/>
    </row>
    <row r="308" spans="1:26" ht="18.75">
      <c r="A308" s="170"/>
      <c r="B308" s="171"/>
      <c r="C308" s="171"/>
      <c r="D308" s="446" t="s">
        <v>140</v>
      </c>
      <c r="E308" s="446"/>
      <c r="F308" s="446"/>
      <c r="G308" s="179"/>
      <c r="H308" s="755"/>
      <c r="I308" s="269"/>
      <c r="J308" s="214">
        <v>0</v>
      </c>
      <c r="K308" s="496"/>
      <c r="L308" s="496"/>
      <c r="M308" s="496"/>
      <c r="N308" s="496"/>
      <c r="O308" s="496"/>
      <c r="P308" s="496"/>
    </row>
    <row r="309" spans="1:26" ht="18.75">
      <c r="A309" s="170"/>
      <c r="B309" s="171"/>
      <c r="C309" s="171"/>
      <c r="D309" s="446" t="s">
        <v>141</v>
      </c>
      <c r="E309" s="446"/>
      <c r="F309" s="446"/>
      <c r="G309" s="179"/>
      <c r="H309" s="755" t="s">
        <v>35</v>
      </c>
      <c r="I309" s="269">
        <f ca="1">IFERROR(__xludf.DUMMYFUNCTION("IMPORTRANGE(""https://docs.google.com/spreadsheets/d/1QqKyyYR6Q21VydFLVH3TRQUabQu_ym0Zz7PgGX0-kHA/edit?usp=sharing"",""แผน!ED70"")"),25)</f>
        <v>25</v>
      </c>
      <c r="J309" s="214">
        <v>0</v>
      </c>
      <c r="K309" s="496">
        <f t="shared" ref="K309:K312" ca="1" si="140">IF(I309&gt;0,J309*100/I309,0)</f>
        <v>0</v>
      </c>
      <c r="L309" s="496"/>
      <c r="M309" s="496"/>
      <c r="N309" s="496"/>
      <c r="O309" s="496"/>
      <c r="P309" s="496"/>
    </row>
    <row r="310" spans="1:26" ht="18.75">
      <c r="A310" s="170"/>
      <c r="B310" s="171"/>
      <c r="C310" s="171"/>
      <c r="D310" s="446" t="s">
        <v>142</v>
      </c>
      <c r="E310" s="446"/>
      <c r="F310" s="446"/>
      <c r="G310" s="179"/>
      <c r="H310" s="755" t="s">
        <v>35</v>
      </c>
      <c r="I310" s="269">
        <f ca="1">IFERROR(__xludf.DUMMYFUNCTION("IMPORTRANGE(""https://docs.google.com/spreadsheets/d/1QqKyyYR6Q21VydFLVH3TRQUabQu_ym0Zz7PgGX0-kHA/edit?usp=sharing"",""แผน!ED70"")"),25)</f>
        <v>25</v>
      </c>
      <c r="J310" s="214">
        <v>0</v>
      </c>
      <c r="K310" s="496">
        <f t="shared" ca="1" si="140"/>
        <v>0</v>
      </c>
      <c r="L310" s="496"/>
      <c r="M310" s="496"/>
      <c r="N310" s="496"/>
      <c r="O310" s="496"/>
      <c r="P310" s="496"/>
    </row>
    <row r="311" spans="1:26" ht="18.75">
      <c r="A311" s="170"/>
      <c r="B311" s="171"/>
      <c r="C311" s="171"/>
      <c r="D311" s="446" t="s">
        <v>59</v>
      </c>
      <c r="E311" s="446"/>
      <c r="F311" s="446"/>
      <c r="G311" s="179"/>
      <c r="H311" s="755" t="s">
        <v>35</v>
      </c>
      <c r="I311" s="269">
        <f ca="1">IFERROR(__xludf.DUMMYFUNCTION("IMPORTRANGE(""https://docs.google.com/spreadsheets/d/1QqKyyYR6Q21VydFLVH3TRQUabQu_ym0Zz7PgGX0-kHA/edit?usp=sharing"",""แผน!ED70"")"),25)</f>
        <v>25</v>
      </c>
      <c r="J311" s="214">
        <v>0</v>
      </c>
      <c r="K311" s="496">
        <f t="shared" ca="1" si="140"/>
        <v>0</v>
      </c>
      <c r="L311" s="496"/>
      <c r="M311" s="496"/>
      <c r="N311" s="496"/>
      <c r="O311" s="496"/>
      <c r="P311" s="496"/>
    </row>
    <row r="312" spans="1:26" ht="18.75">
      <c r="A312" s="170"/>
      <c r="B312" s="171"/>
      <c r="C312" s="171"/>
      <c r="D312" s="446" t="s">
        <v>143</v>
      </c>
      <c r="E312" s="446"/>
      <c r="F312" s="446"/>
      <c r="G312" s="179"/>
      <c r="H312" s="755" t="s">
        <v>35</v>
      </c>
      <c r="I312" s="269">
        <f ca="1">IFERROR(__xludf.DUMMYFUNCTION("IMPORTRANGE(""https://docs.google.com/spreadsheets/d/1QqKyyYR6Q21VydFLVH3TRQUabQu_ym0Zz7PgGX0-kHA/edit?usp=sharing"",""แผน!EE70"")"),5)</f>
        <v>5</v>
      </c>
      <c r="J312" s="214">
        <v>0</v>
      </c>
      <c r="K312" s="496">
        <f t="shared" ca="1" si="140"/>
        <v>0</v>
      </c>
      <c r="L312" s="496"/>
      <c r="M312" s="496"/>
      <c r="N312" s="496"/>
      <c r="O312" s="496"/>
      <c r="P312" s="496"/>
    </row>
    <row r="313" spans="1:26" ht="19.5" hidden="1">
      <c r="A313" s="431" t="s">
        <v>144</v>
      </c>
      <c r="B313" s="432"/>
      <c r="C313" s="432"/>
      <c r="D313" s="433"/>
      <c r="E313" s="432"/>
      <c r="F313" s="432"/>
      <c r="G313" s="432"/>
      <c r="H313" s="448"/>
      <c r="I313" s="436"/>
      <c r="J313" s="436"/>
      <c r="K313" s="437"/>
      <c r="L313" s="437"/>
      <c r="M313" s="437"/>
      <c r="N313" s="437"/>
      <c r="O313" s="437"/>
      <c r="P313" s="437"/>
    </row>
    <row r="314" spans="1:26" ht="19.5" hidden="1">
      <c r="A314" s="449"/>
      <c r="B314" s="439" t="s">
        <v>145</v>
      </c>
      <c r="C314" s="450"/>
      <c r="D314" s="451"/>
      <c r="E314" s="440"/>
      <c r="F314" s="440"/>
      <c r="G314" s="441"/>
      <c r="H314" s="442" t="s">
        <v>146</v>
      </c>
      <c r="I314" s="443">
        <f t="shared" ref="I314:J314" ca="1" si="141">I325</f>
        <v>0</v>
      </c>
      <c r="J314" s="443">
        <f t="shared" si="141"/>
        <v>0</v>
      </c>
      <c r="K314" s="444">
        <f ca="1">IF(I314&gt;0,J314*100/I314,0)</f>
        <v>0</v>
      </c>
      <c r="L314" s="445"/>
      <c r="M314" s="445"/>
      <c r="N314" s="445"/>
      <c r="O314" s="445"/>
      <c r="P314" s="445"/>
    </row>
    <row r="315" spans="1:26" ht="19.5" hidden="1">
      <c r="A315" s="147"/>
      <c r="B315" s="148"/>
      <c r="C315" s="149" t="s">
        <v>16</v>
      </c>
      <c r="D315" s="822" t="s">
        <v>17</v>
      </c>
      <c r="E315" s="148"/>
      <c r="F315" s="148"/>
      <c r="G315" s="151"/>
      <c r="H315" s="152" t="s">
        <v>12</v>
      </c>
      <c r="I315" s="419"/>
      <c r="J315" s="419"/>
      <c r="K315" s="154"/>
      <c r="L315" s="155">
        <f t="shared" ref="L315:N315" ca="1" si="142">L316+L317</f>
        <v>0</v>
      </c>
      <c r="M315" s="155">
        <f t="shared" ca="1" si="142"/>
        <v>0</v>
      </c>
      <c r="N315" s="155">
        <f t="shared" ca="1" si="142"/>
        <v>0</v>
      </c>
      <c r="O315" s="155">
        <f t="shared" ref="O315:O323" ca="1" si="143">IF(L315&gt;0,N315*100/L315,0)</f>
        <v>0</v>
      </c>
      <c r="P315" s="155">
        <f t="shared" ref="P315:P323" ca="1" si="144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2" t="s">
        <v>18</v>
      </c>
      <c r="F316" s="40"/>
      <c r="G316" s="157"/>
      <c r="H316" s="158" t="s">
        <v>12</v>
      </c>
      <c r="I316" s="610"/>
      <c r="J316" s="610"/>
      <c r="K316" s="93"/>
      <c r="L316" s="93">
        <f t="shared" ref="L316:N317" si="145">L319+L322</f>
        <v>0</v>
      </c>
      <c r="M316" s="93">
        <f t="shared" si="145"/>
        <v>0</v>
      </c>
      <c r="N316" s="93">
        <f t="shared" si="145"/>
        <v>0</v>
      </c>
      <c r="O316" s="93">
        <f t="shared" si="143"/>
        <v>0</v>
      </c>
      <c r="P316" s="93">
        <f t="shared" si="144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2" t="s">
        <v>19</v>
      </c>
      <c r="F317" s="40"/>
      <c r="G317" s="157"/>
      <c r="H317" s="158" t="s">
        <v>12</v>
      </c>
      <c r="I317" s="610"/>
      <c r="J317" s="610"/>
      <c r="K317" s="93"/>
      <c r="L317" s="93">
        <f t="shared" ca="1" si="145"/>
        <v>0</v>
      </c>
      <c r="M317" s="93">
        <f t="shared" ca="1" si="145"/>
        <v>0</v>
      </c>
      <c r="N317" s="93">
        <f t="shared" ca="1" si="145"/>
        <v>0</v>
      </c>
      <c r="O317" s="93">
        <f t="shared" ca="1" si="143"/>
        <v>0</v>
      </c>
      <c r="P317" s="93">
        <f t="shared" ca="1" si="144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1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6">
        <f t="shared" ref="L318:N318" ca="1" si="146">L319+L320</f>
        <v>0</v>
      </c>
      <c r="M318" s="496">
        <f t="shared" ca="1" si="146"/>
        <v>0</v>
      </c>
      <c r="N318" s="496">
        <f t="shared" ca="1" si="146"/>
        <v>0</v>
      </c>
      <c r="O318" s="496">
        <f t="shared" ca="1" si="143"/>
        <v>0</v>
      </c>
      <c r="P318" s="496">
        <f t="shared" ca="1" si="144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2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3"/>
        <v>0</v>
      </c>
      <c r="P319" s="93">
        <f t="shared" si="144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2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IFERROR(__xludf.DUMMYFUNCTION("IMPORTRANGE(""https://docs.google.com/spreadsheets/d/1MeEWN-I1oV_STSDYn1IFDPWt_1FKiwhDph83XaGc0o0/edit?usp=sharing"",""งบพรบ!EC70"")"),0)</f>
        <v>0</v>
      </c>
      <c r="M320" s="93">
        <f ca="1">IFERROR(__xludf.DUMMYFUNCTION("IMPORTRANGE(""https://docs.google.com/spreadsheets/d/1MeEWN-I1oV_STSDYn1IFDPWt_1FKiwhDph83XaGc0o0/edit?usp=sharing"",""งบพรบ!EH70"")"),0)</f>
        <v>0</v>
      </c>
      <c r="N320" s="93">
        <f ca="1">IFERROR(__xludf.DUMMYFUNCTION("IMPORTRANGE(""https://docs.google.com/spreadsheets/d/1MeEWN-I1oV_STSDYn1IFDPWt_1FKiwhDph83XaGc0o0/edit?usp=sharing"",""งบพรบ!EJ70"")"),0)</f>
        <v>0</v>
      </c>
      <c r="O320" s="93">
        <f t="shared" ca="1" si="143"/>
        <v>0</v>
      </c>
      <c r="P320" s="93">
        <f t="shared" ca="1" si="144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1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6">
        <f t="shared" ref="L321:N321" ca="1" si="147">L322+L323</f>
        <v>0</v>
      </c>
      <c r="M321" s="496">
        <f t="shared" ca="1" si="147"/>
        <v>0</v>
      </c>
      <c r="N321" s="496">
        <f t="shared" ca="1" si="147"/>
        <v>0</v>
      </c>
      <c r="O321" s="496">
        <f t="shared" ca="1" si="143"/>
        <v>0</v>
      </c>
      <c r="P321" s="496">
        <f t="shared" ca="1" si="144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2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3"/>
        <v>0</v>
      </c>
      <c r="P322" s="93">
        <f t="shared" si="144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2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IFERROR(__xludf.DUMMYFUNCTION("IMPORTRANGE(""https://docs.google.com/spreadsheets/d/1MeEWN-I1oV_STSDYn1IFDPWt_1FKiwhDph83XaGc0o0/edit?usp=sharing"",""งบพรบ!EF70"")"),0)</f>
        <v>0</v>
      </c>
      <c r="M323" s="93">
        <f ca="1">IFERROR(__xludf.DUMMYFUNCTION("IMPORTRANGE(""https://docs.google.com/spreadsheets/d/1MeEWN-I1oV_STSDYn1IFDPWt_1FKiwhDph83XaGc0o0/edit?usp=sharing"",""งบพรบ!EI70"")"),0)</f>
        <v>0</v>
      </c>
      <c r="N323" s="93">
        <f ca="1">IFERROR(__xludf.DUMMYFUNCTION("IMPORTRANGE(""https://docs.google.com/spreadsheets/d/1MeEWN-I1oV_STSDYn1IFDPWt_1FKiwhDph83XaGc0o0/edit?usp=sharing"",""งบพรบ!EK70"")"),0)</f>
        <v>0</v>
      </c>
      <c r="O323" s="93">
        <f t="shared" ca="1" si="143"/>
        <v>0</v>
      </c>
      <c r="P323" s="93">
        <f t="shared" ca="1" si="144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23" t="s">
        <v>38</v>
      </c>
      <c r="E324" s="173"/>
      <c r="F324" s="173"/>
      <c r="G324" s="174"/>
      <c r="H324" s="753"/>
      <c r="I324" s="184"/>
      <c r="J324" s="269"/>
      <c r="K324" s="496"/>
      <c r="L324" s="496"/>
      <c r="M324" s="496"/>
      <c r="N324" s="496"/>
      <c r="O324" s="163"/>
      <c r="P324" s="163"/>
    </row>
    <row r="325" spans="1:26" ht="18.75" hidden="1">
      <c r="A325" s="170"/>
      <c r="B325" s="171"/>
      <c r="C325" s="171"/>
      <c r="D325" s="176" t="s">
        <v>147</v>
      </c>
      <c r="E325" s="178"/>
      <c r="F325" s="446"/>
      <c r="G325" s="179"/>
      <c r="H325" s="616" t="s">
        <v>146</v>
      </c>
      <c r="I325" s="269">
        <f ca="1">IFERROR(__xludf.DUMMYFUNCTION("IMPORTRANGE(""https://docs.google.com/spreadsheets/d/1QqKyyYR6Q21VydFLVH3TRQUabQu_ym0Zz7PgGX0-kHA/edit?usp=sharing"",""แผน!EF70"")"),0)</f>
        <v>0</v>
      </c>
      <c r="J325" s="214">
        <v>0</v>
      </c>
      <c r="K325" s="496">
        <f ca="1">IF(I325&gt;0,J325*100/I325,0)</f>
        <v>0</v>
      </c>
      <c r="L325" s="496"/>
      <c r="M325" s="496"/>
      <c r="N325" s="496"/>
      <c r="O325" s="163"/>
      <c r="P325" s="163"/>
    </row>
    <row r="326" spans="1:26" ht="19.5">
      <c r="A326" s="431" t="s">
        <v>148</v>
      </c>
      <c r="B326" s="432"/>
      <c r="C326" s="432"/>
      <c r="D326" s="433"/>
      <c r="E326" s="432"/>
      <c r="F326" s="432"/>
      <c r="G326" s="432"/>
      <c r="H326" s="448"/>
      <c r="I326" s="436"/>
      <c r="J326" s="436"/>
      <c r="K326" s="437"/>
      <c r="L326" s="437"/>
      <c r="M326" s="437"/>
      <c r="N326" s="437"/>
      <c r="O326" s="437"/>
      <c r="P326" s="437"/>
    </row>
    <row r="327" spans="1:26" ht="19.5">
      <c r="A327" s="438"/>
      <c r="B327" s="439" t="s">
        <v>149</v>
      </c>
      <c r="C327" s="451"/>
      <c r="D327" s="440"/>
      <c r="E327" s="440"/>
      <c r="F327" s="440"/>
      <c r="G327" s="441"/>
      <c r="H327" s="442" t="s">
        <v>35</v>
      </c>
      <c r="I327" s="443">
        <f ca="1">IFERROR(__xludf.DUMMYFUNCTION("IMPORTRANGE(""https://docs.google.com/spreadsheets/d/1QqKyyYR6Q21VydFLVH3TRQUabQu_ym0Zz7PgGX0-kHA/edit?usp=sharing"",""แผน!EG70"")"),1500)</f>
        <v>1500</v>
      </c>
      <c r="J327" s="443">
        <f ca="1">J338+J341+J342+J343</f>
        <v>607</v>
      </c>
      <c r="K327" s="444">
        <f ca="1">IF(I327&gt;0,J327*100/I327,0)</f>
        <v>40.466666666666669</v>
      </c>
      <c r="L327" s="445"/>
      <c r="M327" s="445"/>
      <c r="N327" s="445"/>
      <c r="O327" s="445"/>
      <c r="P327" s="445"/>
    </row>
    <row r="328" spans="1:26" ht="19.5">
      <c r="A328" s="147"/>
      <c r="B328" s="148"/>
      <c r="C328" s="149" t="s">
        <v>16</v>
      </c>
      <c r="D328" s="822" t="s">
        <v>17</v>
      </c>
      <c r="E328" s="148"/>
      <c r="F328" s="148"/>
      <c r="G328" s="151"/>
      <c r="H328" s="152" t="s">
        <v>12</v>
      </c>
      <c r="I328" s="419"/>
      <c r="J328" s="419"/>
      <c r="K328" s="154"/>
      <c r="L328" s="155">
        <f t="shared" ref="L328:N328" ca="1" si="148">L329+L330</f>
        <v>426800</v>
      </c>
      <c r="M328" s="155">
        <f t="shared" ca="1" si="148"/>
        <v>213400</v>
      </c>
      <c r="N328" s="155">
        <f t="shared" ca="1" si="148"/>
        <v>86108</v>
      </c>
      <c r="O328" s="155">
        <f t="shared" ref="O328:O336" ca="1" si="149">IF(L328&gt;0,N328*100/L328,0)</f>
        <v>20.175257731958762</v>
      </c>
      <c r="P328" s="155">
        <f t="shared" ref="P328:P336" ca="1" si="150">IF(M328&gt;0,N328*100/M328,0)</f>
        <v>40.350515463917525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2" t="s">
        <v>18</v>
      </c>
      <c r="F329" s="40"/>
      <c r="G329" s="157"/>
      <c r="H329" s="158" t="s">
        <v>12</v>
      </c>
      <c r="I329" s="610"/>
      <c r="J329" s="610"/>
      <c r="K329" s="93"/>
      <c r="L329" s="93">
        <f t="shared" ref="L329:N330" si="151">L332+L335</f>
        <v>0</v>
      </c>
      <c r="M329" s="93">
        <f t="shared" si="151"/>
        <v>0</v>
      </c>
      <c r="N329" s="93">
        <f t="shared" si="151"/>
        <v>0</v>
      </c>
      <c r="O329" s="93">
        <f t="shared" si="149"/>
        <v>0</v>
      </c>
      <c r="P329" s="93">
        <f t="shared" si="150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2" t="s">
        <v>19</v>
      </c>
      <c r="F330" s="40"/>
      <c r="G330" s="157"/>
      <c r="H330" s="158" t="s">
        <v>12</v>
      </c>
      <c r="I330" s="610"/>
      <c r="J330" s="610"/>
      <c r="K330" s="93"/>
      <c r="L330" s="93">
        <f t="shared" ca="1" si="151"/>
        <v>426800</v>
      </c>
      <c r="M330" s="93">
        <f t="shared" ca="1" si="151"/>
        <v>213400</v>
      </c>
      <c r="N330" s="93">
        <f t="shared" ca="1" si="151"/>
        <v>86108</v>
      </c>
      <c r="O330" s="93">
        <f t="shared" ca="1" si="149"/>
        <v>20.175257731958762</v>
      </c>
      <c r="P330" s="93">
        <f t="shared" ca="1" si="150"/>
        <v>40.350515463917525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1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6">
        <f t="shared" ref="L331:N331" ca="1" si="152">L332+L333</f>
        <v>426800</v>
      </c>
      <c r="M331" s="496">
        <f t="shared" ca="1" si="152"/>
        <v>213400</v>
      </c>
      <c r="N331" s="496">
        <f t="shared" ca="1" si="152"/>
        <v>86108</v>
      </c>
      <c r="O331" s="496">
        <f t="shared" ca="1" si="149"/>
        <v>20.175257731958762</v>
      </c>
      <c r="P331" s="496">
        <f t="shared" ca="1" si="150"/>
        <v>40.350515463917525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2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49"/>
        <v>0</v>
      </c>
      <c r="P332" s="93">
        <f t="shared" si="150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2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IFERROR(__xludf.DUMMYFUNCTION("IMPORTRANGE(""https://docs.google.com/spreadsheets/d/1MeEWN-I1oV_STSDYn1IFDPWt_1FKiwhDph83XaGc0o0/edit?usp=sharing"",""งบพรบ!EM70"")"),426800)</f>
        <v>426800</v>
      </c>
      <c r="M333" s="93">
        <f ca="1">IFERROR(__xludf.DUMMYFUNCTION("IMPORTRANGE(""https://docs.google.com/spreadsheets/d/1MeEWN-I1oV_STSDYn1IFDPWt_1FKiwhDph83XaGc0o0/edit?usp=sharing"",""งบพรบ!ER70"")"),213400)</f>
        <v>213400</v>
      </c>
      <c r="N333" s="93">
        <f ca="1">IFERROR(__xludf.DUMMYFUNCTION("IMPORTRANGE(""https://docs.google.com/spreadsheets/d/1MeEWN-I1oV_STSDYn1IFDPWt_1FKiwhDph83XaGc0o0/edit?usp=sharing"",""งบพรบ!ET70"")"),86108)</f>
        <v>86108</v>
      </c>
      <c r="O333" s="93">
        <f t="shared" ca="1" si="149"/>
        <v>20.175257731958762</v>
      </c>
      <c r="P333" s="93">
        <f t="shared" ca="1" si="150"/>
        <v>40.350515463917525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1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6">
        <f t="shared" ref="L334:N334" ca="1" si="153">L335+L336</f>
        <v>0</v>
      </c>
      <c r="M334" s="496">
        <f t="shared" ca="1" si="153"/>
        <v>0</v>
      </c>
      <c r="N334" s="496">
        <f t="shared" ca="1" si="153"/>
        <v>0</v>
      </c>
      <c r="O334" s="496">
        <f t="shared" ca="1" si="149"/>
        <v>0</v>
      </c>
      <c r="P334" s="496">
        <f t="shared" ca="1" si="150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2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49"/>
        <v>0</v>
      </c>
      <c r="P335" s="93">
        <f t="shared" si="150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2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IFERROR(__xludf.DUMMYFUNCTION("IMPORTRANGE(""https://docs.google.com/spreadsheets/d/1MeEWN-I1oV_STSDYn1IFDPWt_1FKiwhDph83XaGc0o0/edit?usp=sharing"",""งบพรบ!EP70"")"),0)</f>
        <v>0</v>
      </c>
      <c r="M336" s="93">
        <f ca="1">IFERROR(__xludf.DUMMYFUNCTION("IMPORTRANGE(""https://docs.google.com/spreadsheets/d/1MeEWN-I1oV_STSDYn1IFDPWt_1FKiwhDph83XaGc0o0/edit?usp=sharing"",""งบพรบ!ES70"")"),0)</f>
        <v>0</v>
      </c>
      <c r="N336" s="93">
        <f ca="1">IFERROR(__xludf.DUMMYFUNCTION("IMPORTRANGE(""https://docs.google.com/spreadsheets/d/1MeEWN-I1oV_STSDYn1IFDPWt_1FKiwhDph83XaGc0o0/edit?usp=sharing"",""งบพรบ!EU70"")"),0)</f>
        <v>0</v>
      </c>
      <c r="O336" s="93">
        <f t="shared" ca="1" si="149"/>
        <v>0</v>
      </c>
      <c r="P336" s="93">
        <f t="shared" ca="1" si="150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23" t="s">
        <v>38</v>
      </c>
      <c r="E337" s="173"/>
      <c r="F337" s="173"/>
      <c r="G337" s="174"/>
      <c r="H337" s="753"/>
      <c r="I337" s="184"/>
      <c r="J337" s="269"/>
      <c r="K337" s="496"/>
      <c r="L337" s="496"/>
      <c r="M337" s="496"/>
      <c r="N337" s="496"/>
      <c r="O337" s="163"/>
      <c r="P337" s="163"/>
    </row>
    <row r="338" spans="1:26" ht="18.75">
      <c r="A338" s="284"/>
      <c r="B338" s="33"/>
      <c r="C338" s="280"/>
      <c r="D338" s="446" t="s">
        <v>150</v>
      </c>
      <c r="E338" s="171"/>
      <c r="F338" s="33"/>
      <c r="G338" s="35"/>
      <c r="H338" s="276" t="s">
        <v>35</v>
      </c>
      <c r="I338" s="269">
        <f ca="1">IFERROR(__xludf.DUMMYFUNCTION("IMPORTRANGE(""https://docs.google.com/spreadsheets/d/1QqKyyYR6Q21VydFLVH3TRQUabQu_ym0Zz7PgGX0-kHA/edit?usp=sharing"",""แผน!EG70"")"),1500)</f>
        <v>1500</v>
      </c>
      <c r="J338" s="269">
        <f ca="1">IFERROR(__xludf.DUMMYFUNCTION("IMPORTRANGE(""https://docs.google.com/spreadsheets/d/1kVcqe37tkHyjCSG3S0O1AXqVkqjo8mSIZil3BcpIysc/edit?usp=sharing"",""ศูนย์!D70"")"),607)</f>
        <v>607</v>
      </c>
      <c r="K338" s="496">
        <f ca="1">IF(I338&gt;0,J338*100/I338,0)</f>
        <v>40.466666666666669</v>
      </c>
      <c r="L338" s="496"/>
      <c r="M338" s="496"/>
      <c r="N338" s="496"/>
      <c r="O338" s="496"/>
      <c r="P338" s="496"/>
    </row>
    <row r="339" spans="1:26" ht="18.75">
      <c r="A339" s="284"/>
      <c r="B339" s="33"/>
      <c r="C339" s="280"/>
      <c r="D339" s="446" t="s">
        <v>151</v>
      </c>
      <c r="E339" s="171"/>
      <c r="F339" s="33"/>
      <c r="G339" s="35"/>
      <c r="H339" s="276"/>
      <c r="I339" s="269"/>
      <c r="J339" s="269"/>
      <c r="K339" s="496"/>
      <c r="L339" s="496"/>
      <c r="M339" s="496"/>
      <c r="N339" s="496"/>
      <c r="O339" s="496"/>
      <c r="P339" s="496"/>
    </row>
    <row r="340" spans="1:26" ht="18.75">
      <c r="A340" s="284"/>
      <c r="B340" s="33"/>
      <c r="C340" s="280"/>
      <c r="D340" s="178"/>
      <c r="E340" s="446" t="s">
        <v>152</v>
      </c>
      <c r="F340" s="33"/>
      <c r="G340" s="35"/>
      <c r="H340" s="276" t="s">
        <v>153</v>
      </c>
      <c r="I340" s="269">
        <f ca="1">IFERROR(__xludf.DUMMYFUNCTION("IMPORTRANGE(""https://docs.google.com/spreadsheets/d/1QqKyyYR6Q21VydFLVH3TRQUabQu_ym0Zz7PgGX0-kHA/edit?usp=sharing"",""แผน!EH70"")"),3)</f>
        <v>3</v>
      </c>
      <c r="J340" s="269">
        <f ca="1">IFERROR(__xludf.DUMMYFUNCTION("IMPORTRANGE(""https://docs.google.com/spreadsheets/d/1kVcqe37tkHyjCSG3S0O1AXqVkqjo8mSIZil3BcpIysc/edit?usp=sharing"",""ศูนย์!E70"")"),0)</f>
        <v>0</v>
      </c>
      <c r="K340" s="496">
        <f ca="1">IF(I340&gt;0,J340*100/I340,0)</f>
        <v>0</v>
      </c>
      <c r="L340" s="496"/>
      <c r="M340" s="496"/>
      <c r="N340" s="496"/>
      <c r="O340" s="496"/>
      <c r="P340" s="496"/>
    </row>
    <row r="341" spans="1:26" ht="18.75">
      <c r="A341" s="284"/>
      <c r="B341" s="33"/>
      <c r="C341" s="280"/>
      <c r="D341" s="178"/>
      <c r="E341" s="446" t="s">
        <v>154</v>
      </c>
      <c r="F341" s="33"/>
      <c r="G341" s="35"/>
      <c r="H341" s="276" t="s">
        <v>35</v>
      </c>
      <c r="I341" s="269"/>
      <c r="J341" s="269">
        <f ca="1">IFERROR(__xludf.DUMMYFUNCTION("IMPORTRANGE(""https://docs.google.com/spreadsheets/d/1kVcqe37tkHyjCSG3S0O1AXqVkqjo8mSIZil3BcpIysc/edit?usp=sharing"",""ศูนย์!F70"")"),0)</f>
        <v>0</v>
      </c>
      <c r="K341" s="496"/>
      <c r="L341" s="496"/>
      <c r="M341" s="496"/>
      <c r="N341" s="496"/>
      <c r="O341" s="496"/>
      <c r="P341" s="496"/>
    </row>
    <row r="342" spans="1:26" ht="18.75">
      <c r="A342" s="284"/>
      <c r="B342" s="33"/>
      <c r="C342" s="280"/>
      <c r="D342" s="446" t="s">
        <v>155</v>
      </c>
      <c r="E342" s="178"/>
      <c r="F342" s="178"/>
      <c r="G342" s="35"/>
      <c r="H342" s="276" t="s">
        <v>35</v>
      </c>
      <c r="I342" s="269"/>
      <c r="J342" s="269">
        <f ca="1">IFERROR(__xludf.DUMMYFUNCTION("IMPORTRANGE(""https://docs.google.com/spreadsheets/d/1kVcqe37tkHyjCSG3S0O1AXqVkqjo8mSIZil3BcpIysc/edit?usp=sharing"",""ศูนย์!G70"")"),0)</f>
        <v>0</v>
      </c>
      <c r="K342" s="496"/>
      <c r="L342" s="496"/>
      <c r="M342" s="496"/>
      <c r="N342" s="496"/>
      <c r="O342" s="496"/>
      <c r="P342" s="496"/>
    </row>
    <row r="343" spans="1:26" ht="18.75">
      <c r="A343" s="284"/>
      <c r="B343" s="33"/>
      <c r="C343" s="280"/>
      <c r="D343" s="446" t="s">
        <v>156</v>
      </c>
      <c r="E343" s="178"/>
      <c r="F343" s="178"/>
      <c r="G343" s="35"/>
      <c r="H343" s="276" t="s">
        <v>35</v>
      </c>
      <c r="I343" s="269"/>
      <c r="J343" s="269">
        <f ca="1">IFERROR(__xludf.DUMMYFUNCTION("IMPORTRANGE(""https://docs.google.com/spreadsheets/d/1kVcqe37tkHyjCSG3S0O1AXqVkqjo8mSIZil3BcpIysc/edit?usp=sharing"",""ศูนย์!H70"")"),0)</f>
        <v>0</v>
      </c>
      <c r="K343" s="496"/>
      <c r="L343" s="496"/>
      <c r="M343" s="496"/>
      <c r="N343" s="496"/>
      <c r="O343" s="496"/>
      <c r="P343" s="496"/>
    </row>
    <row r="344" spans="1:26" ht="19.5">
      <c r="A344" s="438"/>
      <c r="B344" s="439" t="s">
        <v>157</v>
      </c>
      <c r="C344" s="451"/>
      <c r="D344" s="440"/>
      <c r="E344" s="440"/>
      <c r="F344" s="440"/>
      <c r="G344" s="441"/>
      <c r="H344" s="442"/>
      <c r="I344" s="452"/>
      <c r="J344" s="452"/>
      <c r="K344" s="445"/>
      <c r="L344" s="445"/>
      <c r="M344" s="445"/>
      <c r="N344" s="445"/>
      <c r="O344" s="445"/>
      <c r="P344" s="445"/>
    </row>
    <row r="345" spans="1:26" ht="19.5">
      <c r="A345" s="147"/>
      <c r="B345" s="148"/>
      <c r="C345" s="149" t="s">
        <v>16</v>
      </c>
      <c r="D345" s="822" t="s">
        <v>17</v>
      </c>
      <c r="E345" s="148"/>
      <c r="F345" s="148"/>
      <c r="G345" s="151"/>
      <c r="H345" s="152" t="s">
        <v>12</v>
      </c>
      <c r="I345" s="419"/>
      <c r="J345" s="419"/>
      <c r="K345" s="154"/>
      <c r="L345" s="155">
        <f t="shared" ref="L345:N345" ca="1" si="154">L346+L347</f>
        <v>790000</v>
      </c>
      <c r="M345" s="155">
        <f t="shared" ca="1" si="154"/>
        <v>451900</v>
      </c>
      <c r="N345" s="155">
        <f t="shared" ca="1" si="154"/>
        <v>266258</v>
      </c>
      <c r="O345" s="155">
        <f t="shared" ref="O345:O353" ca="1" si="155">IF(L345&gt;0,N345*100/L345,0)</f>
        <v>33.703544303797472</v>
      </c>
      <c r="P345" s="155">
        <f t="shared" ref="P345:P353" ca="1" si="156">IF(M345&gt;0,N345*100/M345,0)</f>
        <v>58.919672493914582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2" t="s">
        <v>18</v>
      </c>
      <c r="F346" s="40"/>
      <c r="G346" s="157"/>
      <c r="H346" s="158" t="s">
        <v>12</v>
      </c>
      <c r="I346" s="610"/>
      <c r="J346" s="610"/>
      <c r="K346" s="93"/>
      <c r="L346" s="93">
        <f t="shared" ref="L346:N347" si="157">L349+L352</f>
        <v>0</v>
      </c>
      <c r="M346" s="93">
        <f t="shared" si="157"/>
        <v>0</v>
      </c>
      <c r="N346" s="93">
        <f t="shared" si="157"/>
        <v>0</v>
      </c>
      <c r="O346" s="93">
        <f t="shared" si="155"/>
        <v>0</v>
      </c>
      <c r="P346" s="93">
        <f t="shared" si="156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2" t="s">
        <v>19</v>
      </c>
      <c r="F347" s="40"/>
      <c r="G347" s="157"/>
      <c r="H347" s="158" t="s">
        <v>12</v>
      </c>
      <c r="I347" s="610"/>
      <c r="J347" s="610"/>
      <c r="K347" s="93"/>
      <c r="L347" s="93">
        <f t="shared" ca="1" si="157"/>
        <v>790000</v>
      </c>
      <c r="M347" s="93">
        <f t="shared" ca="1" si="157"/>
        <v>451900</v>
      </c>
      <c r="N347" s="93">
        <f t="shared" ca="1" si="157"/>
        <v>266258</v>
      </c>
      <c r="O347" s="93">
        <f t="shared" ca="1" si="155"/>
        <v>33.703544303797472</v>
      </c>
      <c r="P347" s="93">
        <f t="shared" ca="1" si="156"/>
        <v>58.919672493914582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1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6">
        <f t="shared" ref="L348:N348" ca="1" si="158">L349+L350</f>
        <v>676200</v>
      </c>
      <c r="M348" s="496">
        <f t="shared" ca="1" si="158"/>
        <v>338100</v>
      </c>
      <c r="N348" s="496">
        <f t="shared" ca="1" si="158"/>
        <v>152458</v>
      </c>
      <c r="O348" s="496">
        <f t="shared" ca="1" si="155"/>
        <v>22.546288080449571</v>
      </c>
      <c r="P348" s="496">
        <f t="shared" ca="1" si="156"/>
        <v>45.092576160899142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2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5"/>
        <v>0</v>
      </c>
      <c r="P349" s="93">
        <f t="shared" si="156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2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IFERROR(__xludf.DUMMYFUNCTION("IMPORTRANGE(""https://docs.google.com/spreadsheets/d/1MeEWN-I1oV_STSDYn1IFDPWt_1FKiwhDph83XaGc0o0/edit?usp=sharing"",""งบพรบ!EW70"")"),676200)</f>
        <v>676200</v>
      </c>
      <c r="M350" s="93">
        <f ca="1">IFERROR(__xludf.DUMMYFUNCTION("IMPORTRANGE(""https://docs.google.com/spreadsheets/d/1MeEWN-I1oV_STSDYn1IFDPWt_1FKiwhDph83XaGc0o0/edit?usp=sharing"",""งบพรบ!FB70"")"),338100)</f>
        <v>338100</v>
      </c>
      <c r="N350" s="93">
        <f ca="1">IFERROR(__xludf.DUMMYFUNCTION("IMPORTRANGE(""https://docs.google.com/spreadsheets/d/1MeEWN-I1oV_STSDYn1IFDPWt_1FKiwhDph83XaGc0o0/edit?usp=sharing"",""งบพรบ!FD70"")"),152458)</f>
        <v>152458</v>
      </c>
      <c r="O350" s="93">
        <f t="shared" ca="1" si="155"/>
        <v>22.546288080449571</v>
      </c>
      <c r="P350" s="93">
        <f t="shared" ca="1" si="156"/>
        <v>45.092576160899142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1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6">
        <f t="shared" ref="L351:N351" ca="1" si="159">L352+L353</f>
        <v>113800</v>
      </c>
      <c r="M351" s="496">
        <f t="shared" ca="1" si="159"/>
        <v>113800</v>
      </c>
      <c r="N351" s="496">
        <f t="shared" ca="1" si="159"/>
        <v>113800</v>
      </c>
      <c r="O351" s="496">
        <f t="shared" ca="1" si="155"/>
        <v>100</v>
      </c>
      <c r="P351" s="496">
        <f t="shared" ca="1" si="156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2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5"/>
        <v>0</v>
      </c>
      <c r="P352" s="93">
        <f t="shared" si="156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2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IFERROR(__xludf.DUMMYFUNCTION("IMPORTRANGE(""https://docs.google.com/spreadsheets/d/1MeEWN-I1oV_STSDYn1IFDPWt_1FKiwhDph83XaGc0o0/edit?usp=sharing"",""งบพรบ!EZ70"")"),113800)</f>
        <v>113800</v>
      </c>
      <c r="M353" s="93">
        <f ca="1">IFERROR(__xludf.DUMMYFUNCTION("IMPORTRANGE(""https://docs.google.com/spreadsheets/d/1MeEWN-I1oV_STSDYn1IFDPWt_1FKiwhDph83XaGc0o0/edit?usp=sharing"",""งบพรบ!FC70"")"),113800)</f>
        <v>113800</v>
      </c>
      <c r="N353" s="93">
        <f ca="1">IFERROR(__xludf.DUMMYFUNCTION("IMPORTRANGE(""https://docs.google.com/spreadsheets/d/1MeEWN-I1oV_STSDYn1IFDPWt_1FKiwhDph83XaGc0o0/edit?usp=sharing"",""งบพรบ!FE70"")"),113800)</f>
        <v>113800</v>
      </c>
      <c r="O353" s="93">
        <f t="shared" ca="1" si="155"/>
        <v>100</v>
      </c>
      <c r="P353" s="93">
        <f t="shared" ca="1" si="156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5"/>
      <c r="B354" s="263"/>
      <c r="C354" s="256"/>
      <c r="D354" s="832" t="s">
        <v>158</v>
      </c>
      <c r="E354" s="256"/>
      <c r="F354" s="256"/>
      <c r="G354" s="258"/>
      <c r="H354" s="454"/>
      <c r="I354" s="260"/>
      <c r="J354" s="260"/>
      <c r="K354" s="261"/>
      <c r="L354" s="261"/>
      <c r="M354" s="261"/>
      <c r="N354" s="261"/>
      <c r="O354" s="261"/>
      <c r="P354" s="261"/>
    </row>
    <row r="355" spans="1:26" ht="19.5">
      <c r="A355" s="455"/>
      <c r="B355" s="456"/>
      <c r="C355" s="457"/>
      <c r="D355" s="833" t="s">
        <v>159</v>
      </c>
      <c r="E355" s="459"/>
      <c r="F355" s="459"/>
      <c r="G355" s="460"/>
      <c r="H355" s="461" t="s">
        <v>35</v>
      </c>
      <c r="I355" s="463">
        <f ca="1">IFERROR(__xludf.DUMMYFUNCTION("IMPORTRANGE(""https://docs.google.com/spreadsheets/d/1QqKyyYR6Q21VydFLVH3TRQUabQu_ym0Zz7PgGX0-kHA/edit?usp=sharing"",""แผน!EP70"")"),268)</f>
        <v>268</v>
      </c>
      <c r="J355" s="463">
        <f ca="1">J362</f>
        <v>0</v>
      </c>
      <c r="K355" s="464">
        <f ca="1">IF(I355&gt;0,J355*100/I355,0)</f>
        <v>0</v>
      </c>
      <c r="L355" s="465"/>
      <c r="M355" s="465"/>
      <c r="N355" s="465"/>
      <c r="O355" s="465"/>
      <c r="P355" s="465"/>
    </row>
    <row r="356" spans="1:26" ht="19.5">
      <c r="A356" s="455"/>
      <c r="B356" s="456"/>
      <c r="C356" s="457"/>
      <c r="D356" s="466" t="s">
        <v>160</v>
      </c>
      <c r="E356" s="459"/>
      <c r="F356" s="459"/>
      <c r="G356" s="460"/>
      <c r="H356" s="467"/>
      <c r="I356" s="468"/>
      <c r="J356" s="468"/>
      <c r="K356" s="465"/>
      <c r="L356" s="465"/>
      <c r="M356" s="465"/>
      <c r="N356" s="465"/>
      <c r="O356" s="465"/>
      <c r="P356" s="465"/>
    </row>
    <row r="357" spans="1:26" ht="19.5">
      <c r="A357" s="170"/>
      <c r="B357" s="171"/>
      <c r="C357" s="164" t="s">
        <v>16</v>
      </c>
      <c r="D357" s="823" t="s">
        <v>38</v>
      </c>
      <c r="E357" s="173"/>
      <c r="F357" s="173"/>
      <c r="G357" s="174"/>
      <c r="H357" s="753"/>
      <c r="I357" s="269"/>
      <c r="J357" s="269"/>
      <c r="K357" s="496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69">
        <v>0</v>
      </c>
      <c r="J358" s="269">
        <f ca="1">IFERROR(__xludf.DUMMYFUNCTION("IMPORTRANGE(""https://docs.google.com/spreadsheets/d/1XWAQStnk-4SwqDmLtmXYiTMKHgktTP8We1SCoS47DrQ/edit?usp=sharing"",""จัดที่ดิน!W70"")"),14)</f>
        <v>14</v>
      </c>
      <c r="K358" s="496">
        <f t="shared" ref="K358:K365" si="160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69">
        <f ca="1">IFERROR(__xludf.DUMMYFUNCTION("IMPORTRANGE(""https://docs.google.com/spreadsheets/d/1QqKyyYR6Q21VydFLVH3TRQUabQu_ym0Zz7PgGX0-kHA/edit?usp=sharing"",""แผน!EO70"")"),2838)</f>
        <v>2838</v>
      </c>
      <c r="J359" s="269">
        <f ca="1">IFERROR(__xludf.DUMMYFUNCTION("IMPORTRANGE(""https://docs.google.com/spreadsheets/d/1XWAQStnk-4SwqDmLtmXYiTMKHgktTP8We1SCoS47DrQ/edit?usp=sharing"",""จัดที่ดิน!X70"")"),53.73)</f>
        <v>53.73</v>
      </c>
      <c r="K359" s="496">
        <f t="shared" ca="1" si="160"/>
        <v>1.8932346723044398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755" t="s">
        <v>35</v>
      </c>
      <c r="I360" s="269">
        <f ca="1">IFERROR(__xludf.DUMMYFUNCTION("IMPORTRANGE(""https://docs.google.com/spreadsheets/d/1QqKyyYR6Q21VydFLVH3TRQUabQu_ym0Zz7PgGX0-kHA/edit?usp=sharing"",""แผน!EP70"")"),268)</f>
        <v>268</v>
      </c>
      <c r="J360" s="269">
        <f ca="1">IFERROR(__xludf.DUMMYFUNCTION("IMPORTRANGE(""https://docs.google.com/spreadsheets/d/1XWAQStnk-4SwqDmLtmXYiTMKHgktTP8We1SCoS47DrQ/edit?usp=sharing"",""จัดที่ดิน!Y70"")"),0)</f>
        <v>0</v>
      </c>
      <c r="K360" s="496">
        <f t="shared" ca="1" si="160"/>
        <v>0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755" t="s">
        <v>46</v>
      </c>
      <c r="I361" s="269">
        <v>0</v>
      </c>
      <c r="J361" s="269">
        <f ca="1">IFERROR(__xludf.DUMMYFUNCTION("IMPORTRANGE(""https://docs.google.com/spreadsheets/d/1XWAQStnk-4SwqDmLtmXYiTMKHgktTP8We1SCoS47DrQ/edit?usp=sharing"",""จัดที่ดิน!Z70"")"),0)</f>
        <v>0</v>
      </c>
      <c r="K361" s="496">
        <f t="shared" si="160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755" t="s">
        <v>35</v>
      </c>
      <c r="I362" s="269">
        <f ca="1">IFERROR(__xludf.DUMMYFUNCTION("IMPORTRANGE(""https://docs.google.com/spreadsheets/d/1QqKyyYR6Q21VydFLVH3TRQUabQu_ym0Zz7PgGX0-kHA/edit?usp=sharing"",""แผน!EP70"")"),268)</f>
        <v>268</v>
      </c>
      <c r="J362" s="269">
        <f ca="1">IFERROR(__xludf.DUMMYFUNCTION("IMPORTRANGE(""https://docs.google.com/spreadsheets/d/1XWAQStnk-4SwqDmLtmXYiTMKHgktTP8We1SCoS47DrQ/edit?usp=sharing"",""จัดที่ดิน!AA70"")"),0)</f>
        <v>0</v>
      </c>
      <c r="K362" s="496">
        <f t="shared" ca="1" si="160"/>
        <v>0</v>
      </c>
      <c r="L362" s="163"/>
      <c r="M362" s="163"/>
      <c r="N362" s="163"/>
      <c r="O362" s="163"/>
      <c r="P362" s="163"/>
    </row>
    <row r="363" spans="1:26" ht="18.75">
      <c r="A363" s="469" t="s">
        <v>164</v>
      </c>
      <c r="B363" s="178"/>
      <c r="C363" s="171"/>
      <c r="D363" s="178"/>
      <c r="E363" s="446"/>
      <c r="F363" s="178"/>
      <c r="G363" s="179"/>
      <c r="H363" s="755" t="s">
        <v>46</v>
      </c>
      <c r="I363" s="269">
        <v>0</v>
      </c>
      <c r="J363" s="269">
        <f ca="1">IFERROR(__xludf.DUMMYFUNCTION("IMPORTRANGE(""https://docs.google.com/spreadsheets/d/1XWAQStnk-4SwqDmLtmXYiTMKHgktTP8We1SCoS47DrQ/edit?usp=sharing"",""จัดที่ดิน!AB70"")"),0)</f>
        <v>0</v>
      </c>
      <c r="K363" s="496">
        <f t="shared" si="160"/>
        <v>0</v>
      </c>
      <c r="L363" s="163"/>
      <c r="M363" s="163"/>
      <c r="N363" s="163"/>
      <c r="O363" s="163"/>
      <c r="P363" s="163"/>
    </row>
    <row r="364" spans="1:26" ht="19.5">
      <c r="A364" s="470"/>
      <c r="B364" s="471"/>
      <c r="C364" s="472"/>
      <c r="D364" s="473" t="s">
        <v>165</v>
      </c>
      <c r="E364" s="474"/>
      <c r="F364" s="474"/>
      <c r="G364" s="475"/>
      <c r="H364" s="476" t="s">
        <v>35</v>
      </c>
      <c r="I364" s="477">
        <f t="shared" ref="I364:J364" ca="1" si="161">I365+I374</f>
        <v>398</v>
      </c>
      <c r="J364" s="477">
        <f t="shared" ca="1" si="161"/>
        <v>29</v>
      </c>
      <c r="K364" s="478">
        <f t="shared" ca="1" si="160"/>
        <v>7.2864321608040203</v>
      </c>
      <c r="L364" s="479"/>
      <c r="M364" s="479"/>
      <c r="N364" s="479"/>
      <c r="O364" s="479"/>
      <c r="P364" s="479"/>
      <c r="Q364" s="480"/>
      <c r="R364" s="480"/>
      <c r="S364" s="480"/>
      <c r="T364" s="480"/>
      <c r="U364" s="480"/>
      <c r="V364" s="480"/>
      <c r="W364" s="480"/>
      <c r="X364" s="480"/>
      <c r="Y364" s="480"/>
      <c r="Z364" s="480"/>
    </row>
    <row r="365" spans="1:26" ht="19.5">
      <c r="A365" s="481"/>
      <c r="B365" s="482"/>
      <c r="C365" s="484"/>
      <c r="D365" s="484" t="s">
        <v>166</v>
      </c>
      <c r="E365" s="485"/>
      <c r="F365" s="485"/>
      <c r="G365" s="486"/>
      <c r="H365" s="487" t="s">
        <v>35</v>
      </c>
      <c r="I365" s="489">
        <f ca="1">IFERROR(__xludf.DUMMYFUNCTION("IMPORTRANGE(""https://docs.google.com/spreadsheets/d/1QqKyyYR6Q21VydFLVH3TRQUabQu_ym0Zz7PgGX0-kHA/edit?usp=sharing"",""แผน!EJ70"")"),30)</f>
        <v>30</v>
      </c>
      <c r="J365" s="489">
        <f ca="1">J372</f>
        <v>0</v>
      </c>
      <c r="K365" s="490">
        <f t="shared" ca="1" si="160"/>
        <v>0</v>
      </c>
      <c r="L365" s="491"/>
      <c r="M365" s="491"/>
      <c r="N365" s="491"/>
      <c r="O365" s="491"/>
      <c r="P365" s="491"/>
      <c r="Q365" s="480"/>
      <c r="R365" s="480"/>
      <c r="S365" s="480"/>
      <c r="T365" s="480"/>
      <c r="U365" s="480"/>
      <c r="V365" s="480"/>
      <c r="W365" s="480"/>
      <c r="X365" s="480"/>
      <c r="Y365" s="480"/>
      <c r="Z365" s="480"/>
    </row>
    <row r="366" spans="1:26" ht="19.5">
      <c r="A366" s="481"/>
      <c r="B366" s="482"/>
      <c r="C366" s="484"/>
      <c r="D366" s="492" t="s">
        <v>167</v>
      </c>
      <c r="E366" s="485"/>
      <c r="F366" s="485"/>
      <c r="G366" s="486"/>
      <c r="H366" s="493"/>
      <c r="I366" s="494"/>
      <c r="J366" s="494"/>
      <c r="K366" s="491"/>
      <c r="L366" s="491"/>
      <c r="M366" s="491"/>
      <c r="N366" s="491"/>
      <c r="O366" s="491"/>
      <c r="P366" s="491"/>
      <c r="Q366" s="480"/>
      <c r="R366" s="480"/>
      <c r="S366" s="480"/>
      <c r="T366" s="480"/>
      <c r="U366" s="480"/>
      <c r="V366" s="480"/>
      <c r="W366" s="480"/>
      <c r="X366" s="480"/>
      <c r="Y366" s="480"/>
      <c r="Z366" s="480"/>
    </row>
    <row r="367" spans="1:26" ht="19.5">
      <c r="A367" s="170"/>
      <c r="B367" s="171"/>
      <c r="C367" s="164" t="s">
        <v>16</v>
      </c>
      <c r="D367" s="823" t="s">
        <v>38</v>
      </c>
      <c r="E367" s="173"/>
      <c r="F367" s="173"/>
      <c r="G367" s="174"/>
      <c r="H367" s="753"/>
      <c r="I367" s="269"/>
      <c r="J367" s="269"/>
      <c r="K367" s="496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69">
        <v>0</v>
      </c>
      <c r="J368" s="269">
        <f ca="1">IFERROR(__xludf.DUMMYFUNCTION("IMPORTRANGE(""https://docs.google.com/spreadsheets/d/1XWAQStnk-4SwqDmLtmXYiTMKHgktTP8We1SCoS47DrQ/edit?usp=sharing"",""จัดที่ดิน!E70"")"),14)</f>
        <v>14</v>
      </c>
      <c r="K368" s="496">
        <f t="shared" ref="K368:K374" si="162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69">
        <f ca="1">IFERROR(__xludf.DUMMYFUNCTION("IMPORTRANGE(""https://docs.google.com/spreadsheets/d/1QqKyyYR6Q21VydFLVH3TRQUabQu_ym0Zz7PgGX0-kHA/edit?usp=sharing"",""แผน!EI70"")"),500)</f>
        <v>500</v>
      </c>
      <c r="J369" s="269">
        <f ca="1">IFERROR(__xludf.DUMMYFUNCTION("IMPORTRANGE(""https://docs.google.com/spreadsheets/d/1XWAQStnk-4SwqDmLtmXYiTMKHgktTP8We1SCoS47DrQ/edit?usp=sharing"",""จัดที่ดิน!F70"")"),53.73)</f>
        <v>53.73</v>
      </c>
      <c r="K369" s="496">
        <f t="shared" ca="1" si="162"/>
        <v>10.746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55" t="s">
        <v>35</v>
      </c>
      <c r="I370" s="269">
        <f ca="1">IFERROR(__xludf.DUMMYFUNCTION("IMPORTRANGE(""https://docs.google.com/spreadsheets/d/1QqKyyYR6Q21VydFLVH3TRQUabQu_ym0Zz7PgGX0-kHA/edit?usp=sharing"",""แผน!EJ70"")"),30)</f>
        <v>30</v>
      </c>
      <c r="J370" s="269">
        <f ca="1">IFERROR(__xludf.DUMMYFUNCTION("IMPORTRANGE(""https://docs.google.com/spreadsheets/d/1XWAQStnk-4SwqDmLtmXYiTMKHgktTP8We1SCoS47DrQ/edit?usp=sharing"",""จัดที่ดิน!G70"")"),0)</f>
        <v>0</v>
      </c>
      <c r="K370" s="496">
        <f t="shared" ca="1" si="162"/>
        <v>0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55" t="s">
        <v>46</v>
      </c>
      <c r="I371" s="269">
        <v>0</v>
      </c>
      <c r="J371" s="269">
        <f ca="1">IFERROR(__xludf.DUMMYFUNCTION("IMPORTRANGE(""https://docs.google.com/spreadsheets/d/1XWAQStnk-4SwqDmLtmXYiTMKHgktTP8We1SCoS47DrQ/edit?usp=sharing"",""จัดที่ดิน!H70"")"),0)</f>
        <v>0</v>
      </c>
      <c r="K371" s="496">
        <f t="shared" si="162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55" t="s">
        <v>35</v>
      </c>
      <c r="I372" s="269">
        <f ca="1">IFERROR(__xludf.DUMMYFUNCTION("IMPORTRANGE(""https://docs.google.com/spreadsheets/d/1QqKyyYR6Q21VydFLVH3TRQUabQu_ym0Zz7PgGX0-kHA/edit?usp=sharing"",""แผน!EJ70"")"),30)</f>
        <v>30</v>
      </c>
      <c r="J372" s="269">
        <f ca="1">IFERROR(__xludf.DUMMYFUNCTION("IMPORTRANGE(""https://docs.google.com/spreadsheets/d/1XWAQStnk-4SwqDmLtmXYiTMKHgktTP8We1SCoS47DrQ/edit?usp=sharing"",""จัดที่ดิน!I70"")"),0)</f>
        <v>0</v>
      </c>
      <c r="K372" s="496">
        <f t="shared" ca="1" si="162"/>
        <v>0</v>
      </c>
      <c r="L372" s="163"/>
      <c r="M372" s="163"/>
      <c r="N372" s="163"/>
      <c r="O372" s="163"/>
      <c r="P372" s="163"/>
    </row>
    <row r="373" spans="1:26" ht="18.75">
      <c r="A373" s="469" t="s">
        <v>164</v>
      </c>
      <c r="B373" s="178"/>
      <c r="C373" s="171"/>
      <c r="D373" s="178"/>
      <c r="E373" s="446"/>
      <c r="F373" s="178"/>
      <c r="G373" s="179"/>
      <c r="H373" s="755" t="s">
        <v>46</v>
      </c>
      <c r="I373" s="269">
        <v>0</v>
      </c>
      <c r="J373" s="269">
        <f ca="1">IFERROR(__xludf.DUMMYFUNCTION("IMPORTRANGE(""https://docs.google.com/spreadsheets/d/1XWAQStnk-4SwqDmLtmXYiTMKHgktTP8We1SCoS47DrQ/edit?usp=sharing"",""จัดที่ดิน!J70"")"),0)</f>
        <v>0</v>
      </c>
      <c r="K373" s="496">
        <f t="shared" si="162"/>
        <v>0</v>
      </c>
      <c r="L373" s="163"/>
      <c r="M373" s="163"/>
      <c r="N373" s="163"/>
      <c r="O373" s="163"/>
      <c r="P373" s="163"/>
    </row>
    <row r="374" spans="1:26" ht="19.5">
      <c r="A374" s="481"/>
      <c r="B374" s="482"/>
      <c r="C374" s="484"/>
      <c r="D374" s="484" t="s">
        <v>168</v>
      </c>
      <c r="E374" s="485"/>
      <c r="F374" s="485"/>
      <c r="G374" s="486"/>
      <c r="H374" s="487" t="s">
        <v>35</v>
      </c>
      <c r="I374" s="495">
        <f ca="1">IFERROR(__xludf.DUMMYFUNCTION("IMPORTRANGE(""https://docs.google.com/spreadsheets/d/1QqKyyYR6Q21VydFLVH3TRQUabQu_ym0Zz7PgGX0-kHA/edit?usp=sharing"",""แผน!EU70"")"),368)</f>
        <v>368</v>
      </c>
      <c r="J374" s="489">
        <f ca="1">J381</f>
        <v>29</v>
      </c>
      <c r="K374" s="490">
        <f t="shared" ca="1" si="162"/>
        <v>7.8804347826086953</v>
      </c>
      <c r="L374" s="491"/>
      <c r="M374" s="491"/>
      <c r="N374" s="491"/>
      <c r="O374" s="491"/>
      <c r="P374" s="491"/>
      <c r="Q374" s="480"/>
      <c r="R374" s="480"/>
      <c r="S374" s="480"/>
      <c r="T374" s="480"/>
      <c r="U374" s="480"/>
      <c r="V374" s="480"/>
      <c r="W374" s="480"/>
      <c r="X374" s="480"/>
      <c r="Y374" s="480"/>
      <c r="Z374" s="480"/>
    </row>
    <row r="375" spans="1:26" ht="19.5">
      <c r="A375" s="481"/>
      <c r="B375" s="482"/>
      <c r="C375" s="484"/>
      <c r="D375" s="492" t="s">
        <v>169</v>
      </c>
      <c r="E375" s="485"/>
      <c r="F375" s="485"/>
      <c r="G375" s="486"/>
      <c r="H375" s="493"/>
      <c r="I375" s="494"/>
      <c r="J375" s="494"/>
      <c r="K375" s="491"/>
      <c r="L375" s="491"/>
      <c r="M375" s="491"/>
      <c r="N375" s="491"/>
      <c r="O375" s="491"/>
      <c r="P375" s="491"/>
      <c r="Q375" s="480"/>
      <c r="R375" s="480"/>
      <c r="S375" s="480"/>
      <c r="T375" s="480"/>
      <c r="U375" s="480"/>
      <c r="V375" s="480"/>
      <c r="W375" s="480"/>
      <c r="X375" s="480"/>
      <c r="Y375" s="480"/>
      <c r="Z375" s="480"/>
    </row>
    <row r="376" spans="1:26" ht="19.5">
      <c r="A376" s="170"/>
      <c r="B376" s="171"/>
      <c r="C376" s="164" t="s">
        <v>16</v>
      </c>
      <c r="D376" s="823" t="s">
        <v>38</v>
      </c>
      <c r="E376" s="173"/>
      <c r="F376" s="173"/>
      <c r="G376" s="174"/>
      <c r="H376" s="753"/>
      <c r="I376" s="269"/>
      <c r="J376" s="269"/>
      <c r="K376" s="496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69">
        <v>0</v>
      </c>
      <c r="J377" s="269">
        <f ca="1">IFERROR(__xludf.DUMMYFUNCTION("IMPORTRANGE(""https://docs.google.com/spreadsheets/d/1XWAQStnk-4SwqDmLtmXYiTMKHgktTP8We1SCoS47DrQ/edit?usp=sharing"",""จัดที่ดิน!AH70"")"),0)</f>
        <v>0</v>
      </c>
      <c r="K377" s="496">
        <f t="shared" ref="K377:K382" si="163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69">
        <f ca="1">IFERROR(__xludf.DUMMYFUNCTION("IMPORTRANGE(""https://docs.google.com/spreadsheets/d/1QqKyyYR6Q21VydFLVH3TRQUabQu_ym0Zz7PgGX0-kHA/edit?usp=sharing"",""แผน!ET70"")"),2338)</f>
        <v>2338</v>
      </c>
      <c r="J378" s="269">
        <f ca="1">IFERROR(__xludf.DUMMYFUNCTION("IMPORTRANGE(""https://docs.google.com/spreadsheets/d/1XWAQStnk-4SwqDmLtmXYiTMKHgktTP8We1SCoS47DrQ/edit?usp=sharing"",""จัดที่ดิน!AI70"")"),0)</f>
        <v>0</v>
      </c>
      <c r="K378" s="496">
        <f t="shared" ca="1" si="163"/>
        <v>0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55" t="s">
        <v>35</v>
      </c>
      <c r="I379" s="269">
        <f ca="1">IFERROR(__xludf.DUMMYFUNCTION("IMPORTRANGE(""https://docs.google.com/spreadsheets/d/1QqKyyYR6Q21VydFLVH3TRQUabQu_ym0Zz7PgGX0-kHA/edit?usp=sharing"",""แผน!EU70"")"),368)</f>
        <v>368</v>
      </c>
      <c r="J379" s="269">
        <f ca="1">IFERROR(__xludf.DUMMYFUNCTION("IMPORTRANGE(""https://docs.google.com/spreadsheets/d/1XWAQStnk-4SwqDmLtmXYiTMKHgktTP8We1SCoS47DrQ/edit?usp=sharing"",""จัดที่ดิน!AJ70"")"),29)</f>
        <v>29</v>
      </c>
      <c r="K379" s="496">
        <f t="shared" ca="1" si="163"/>
        <v>7.8804347826086953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55" t="s">
        <v>46</v>
      </c>
      <c r="I380" s="269">
        <v>0</v>
      </c>
      <c r="J380" s="269">
        <f ca="1">IFERROR(__xludf.DUMMYFUNCTION("IMPORTRANGE(""https://docs.google.com/spreadsheets/d/1XWAQStnk-4SwqDmLtmXYiTMKHgktTP8We1SCoS47DrQ/edit?usp=sharing"",""จัดที่ดิน!AK70"")"),476.37)</f>
        <v>476.37</v>
      </c>
      <c r="K380" s="496">
        <f t="shared" si="163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55" t="s">
        <v>35</v>
      </c>
      <c r="I381" s="269">
        <f ca="1">IFERROR(__xludf.DUMMYFUNCTION("IMPORTRANGE(""https://docs.google.com/spreadsheets/d/1QqKyyYR6Q21VydFLVH3TRQUabQu_ym0Zz7PgGX0-kHA/edit?usp=sharing"",""แผน!EU70"")"),368)</f>
        <v>368</v>
      </c>
      <c r="J381" s="269">
        <f ca="1">IFERROR(__xludf.DUMMYFUNCTION("IMPORTRANGE(""https://docs.google.com/spreadsheets/d/1XWAQStnk-4SwqDmLtmXYiTMKHgktTP8We1SCoS47DrQ/edit?usp=sharing"",""จัดที่ดิน!AL70"")"),29)</f>
        <v>29</v>
      </c>
      <c r="K381" s="496">
        <f t="shared" ca="1" si="163"/>
        <v>7.8804347826086953</v>
      </c>
      <c r="L381" s="163"/>
      <c r="M381" s="163"/>
      <c r="N381" s="163"/>
      <c r="O381" s="163"/>
      <c r="P381" s="163"/>
    </row>
    <row r="382" spans="1:26" ht="18.75">
      <c r="A382" s="469" t="s">
        <v>164</v>
      </c>
      <c r="B382" s="178"/>
      <c r="C382" s="171"/>
      <c r="D382" s="178"/>
      <c r="E382" s="446"/>
      <c r="F382" s="178"/>
      <c r="G382" s="179"/>
      <c r="H382" s="755" t="s">
        <v>46</v>
      </c>
      <c r="I382" s="269">
        <v>0</v>
      </c>
      <c r="J382" s="269">
        <f ca="1">IFERROR(__xludf.DUMMYFUNCTION("IMPORTRANGE(""https://docs.google.com/spreadsheets/d/1XWAQStnk-4SwqDmLtmXYiTMKHgktTP8We1SCoS47DrQ/edit?usp=sharing"",""จัดที่ดิน!AM70"")"),476.37)</f>
        <v>476.37</v>
      </c>
      <c r="K382" s="496">
        <f t="shared" si="163"/>
        <v>0</v>
      </c>
      <c r="L382" s="163"/>
      <c r="M382" s="163"/>
      <c r="N382" s="163"/>
      <c r="O382" s="163"/>
      <c r="P382" s="163"/>
    </row>
    <row r="383" spans="1:26" ht="19.5">
      <c r="A383" s="255"/>
      <c r="B383" s="263"/>
      <c r="C383" s="256"/>
      <c r="D383" s="832" t="s">
        <v>170</v>
      </c>
      <c r="E383" s="256"/>
      <c r="F383" s="256"/>
      <c r="G383" s="258"/>
      <c r="H383" s="454"/>
      <c r="I383" s="260"/>
      <c r="J383" s="260"/>
      <c r="K383" s="261"/>
      <c r="L383" s="261"/>
      <c r="M383" s="261"/>
      <c r="N383" s="261"/>
      <c r="O383" s="261"/>
      <c r="P383" s="261"/>
    </row>
    <row r="384" spans="1:26" ht="19.5">
      <c r="A384" s="170"/>
      <c r="B384" s="171"/>
      <c r="C384" s="33" t="s">
        <v>16</v>
      </c>
      <c r="D384" s="823" t="s">
        <v>38</v>
      </c>
      <c r="E384" s="173"/>
      <c r="F384" s="173"/>
      <c r="G384" s="174"/>
      <c r="H384" s="753"/>
      <c r="I384" s="269"/>
      <c r="J384" s="269"/>
      <c r="K384" s="496"/>
      <c r="L384" s="163"/>
      <c r="M384" s="163"/>
      <c r="N384" s="163"/>
      <c r="O384" s="163"/>
      <c r="P384" s="163"/>
    </row>
    <row r="385" spans="1:26" ht="18.75">
      <c r="A385" s="377"/>
      <c r="B385" s="380"/>
      <c r="C385" s="378"/>
      <c r="D385" s="380"/>
      <c r="E385" s="497" t="s">
        <v>163</v>
      </c>
      <c r="F385" s="380"/>
      <c r="G385" s="381"/>
      <c r="H385" s="498" t="s">
        <v>35</v>
      </c>
      <c r="I385" s="499">
        <f ca="1">IFERROR(__xludf.DUMMYFUNCTION("IMPORTRANGE(""https://docs.google.com/spreadsheets/d/1QqKyyYR6Q21VydFLVH3TRQUabQu_ym0Zz7PgGX0-kHA/edit?usp=sharing"",""แผน!EW70"")"),0)</f>
        <v>0</v>
      </c>
      <c r="J385" s="499">
        <f ca="1">IFERROR(__xludf.DUMMYFUNCTION("IMPORTRANGE(""https://docs.google.com/spreadsheets/d/1XWAQStnk-4SwqDmLtmXYiTMKHgktTP8We1SCoS47DrQ/edit?usp=sharing"",""จัดที่ดิน!AP70"")"),0)</f>
        <v>0</v>
      </c>
      <c r="K385" s="500">
        <f ca="1">IF(I385&gt;0,J385*100/I385,0)</f>
        <v>0</v>
      </c>
      <c r="L385" s="384"/>
      <c r="M385" s="384"/>
      <c r="N385" s="384"/>
      <c r="O385" s="384"/>
      <c r="P385" s="384"/>
    </row>
    <row r="386" spans="1:26" ht="19.5" hidden="1">
      <c r="A386" s="501" t="s">
        <v>171</v>
      </c>
      <c r="B386" s="502"/>
      <c r="C386" s="502"/>
      <c r="D386" s="502"/>
      <c r="E386" s="503"/>
      <c r="F386" s="503"/>
      <c r="G386" s="504"/>
      <c r="H386" s="505"/>
      <c r="I386" s="506"/>
      <c r="J386" s="506"/>
      <c r="K386" s="507"/>
      <c r="L386" s="507"/>
      <c r="M386" s="507"/>
      <c r="N386" s="507"/>
      <c r="O386" s="507"/>
      <c r="P386" s="507"/>
    </row>
    <row r="387" spans="1:26" ht="19.5" hidden="1">
      <c r="A387" s="508" t="s">
        <v>172</v>
      </c>
      <c r="B387" s="509"/>
      <c r="C387" s="509"/>
      <c r="D387" s="510"/>
      <c r="E387" s="509"/>
      <c r="F387" s="509"/>
      <c r="G387" s="509"/>
      <c r="H387" s="511"/>
      <c r="I387" s="512"/>
      <c r="J387" s="512"/>
      <c r="K387" s="513"/>
      <c r="L387" s="513"/>
      <c r="M387" s="513"/>
      <c r="N387" s="513"/>
      <c r="O387" s="513"/>
      <c r="P387" s="513"/>
    </row>
    <row r="388" spans="1:26" ht="19.5" hidden="1">
      <c r="A388" s="514"/>
      <c r="B388" s="515" t="s">
        <v>173</v>
      </c>
      <c r="C388" s="516"/>
      <c r="D388" s="517"/>
      <c r="E388" s="517"/>
      <c r="F388" s="517"/>
      <c r="G388" s="518"/>
      <c r="H388" s="519" t="s">
        <v>69</v>
      </c>
      <c r="I388" s="520">
        <f t="shared" ref="I388:J388" si="164">I400</f>
        <v>0</v>
      </c>
      <c r="J388" s="520">
        <f t="shared" si="164"/>
        <v>0</v>
      </c>
      <c r="K388" s="521">
        <f>IF(I388&gt;0,J388*100/I388,0)</f>
        <v>0</v>
      </c>
      <c r="L388" s="522"/>
      <c r="M388" s="522"/>
      <c r="N388" s="522"/>
      <c r="O388" s="522"/>
      <c r="P388" s="522"/>
    </row>
    <row r="389" spans="1:26" ht="19.5" hidden="1">
      <c r="A389" s="147"/>
      <c r="B389" s="148"/>
      <c r="C389" s="149" t="s">
        <v>16</v>
      </c>
      <c r="D389" s="822" t="s">
        <v>17</v>
      </c>
      <c r="E389" s="148"/>
      <c r="F389" s="148"/>
      <c r="G389" s="151"/>
      <c r="H389" s="152" t="s">
        <v>12</v>
      </c>
      <c r="I389" s="419"/>
      <c r="J389" s="419"/>
      <c r="K389" s="154"/>
      <c r="L389" s="155">
        <f t="shared" ref="L389:N389" ca="1" si="165">L390+L391</f>
        <v>0</v>
      </c>
      <c r="M389" s="155">
        <f t="shared" ca="1" si="165"/>
        <v>0</v>
      </c>
      <c r="N389" s="155">
        <f t="shared" ca="1" si="165"/>
        <v>0</v>
      </c>
      <c r="O389" s="155">
        <f t="shared" ref="O389:O397" ca="1" si="166">IF(L389&gt;0,N389*100/L389,0)</f>
        <v>0</v>
      </c>
      <c r="P389" s="155">
        <f t="shared" ref="P389:P397" ca="1" si="167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2" t="s">
        <v>18</v>
      </c>
      <c r="F390" s="40"/>
      <c r="G390" s="157"/>
      <c r="H390" s="158" t="s">
        <v>12</v>
      </c>
      <c r="I390" s="610"/>
      <c r="J390" s="610"/>
      <c r="K390" s="93"/>
      <c r="L390" s="93">
        <f t="shared" ref="L390:N391" si="168">L393+L396</f>
        <v>0</v>
      </c>
      <c r="M390" s="93">
        <f t="shared" si="168"/>
        <v>0</v>
      </c>
      <c r="N390" s="93">
        <f t="shared" si="168"/>
        <v>0</v>
      </c>
      <c r="O390" s="93">
        <f t="shared" si="166"/>
        <v>0</v>
      </c>
      <c r="P390" s="93">
        <f t="shared" si="167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2" t="s">
        <v>19</v>
      </c>
      <c r="F391" s="40"/>
      <c r="G391" s="157"/>
      <c r="H391" s="158" t="s">
        <v>12</v>
      </c>
      <c r="I391" s="610"/>
      <c r="J391" s="610"/>
      <c r="K391" s="93"/>
      <c r="L391" s="93">
        <f t="shared" ca="1" si="168"/>
        <v>0</v>
      </c>
      <c r="M391" s="93">
        <f t="shared" ca="1" si="168"/>
        <v>0</v>
      </c>
      <c r="N391" s="93">
        <f t="shared" ca="1" si="168"/>
        <v>0</v>
      </c>
      <c r="O391" s="93">
        <f t="shared" ca="1" si="166"/>
        <v>0</v>
      </c>
      <c r="P391" s="93">
        <f t="shared" ca="1" si="167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1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6">
        <f t="shared" ref="L392:N392" ca="1" si="169">L393+L394</f>
        <v>0</v>
      </c>
      <c r="M392" s="496">
        <f t="shared" ca="1" si="169"/>
        <v>0</v>
      </c>
      <c r="N392" s="496">
        <f t="shared" ca="1" si="169"/>
        <v>0</v>
      </c>
      <c r="O392" s="496">
        <f t="shared" ca="1" si="166"/>
        <v>0</v>
      </c>
      <c r="P392" s="496">
        <f t="shared" ca="1" si="167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2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6"/>
        <v>0</v>
      </c>
      <c r="P393" s="93">
        <f t="shared" si="167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2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IFERROR(__xludf.DUMMYFUNCTION("IMPORTRANGE(""https://docs.google.com/spreadsheets/d/1MeEWN-I1oV_STSDYn1IFDPWt_1FKiwhDph83XaGc0o0/edit?usp=sharing"",""งบพรบ!FG70"")"),0)</f>
        <v>0</v>
      </c>
      <c r="M394" s="93">
        <f ca="1">IFERROR(__xludf.DUMMYFUNCTION("IMPORTRANGE(""https://docs.google.com/spreadsheets/d/1MeEWN-I1oV_STSDYn1IFDPWt_1FKiwhDph83XaGc0o0/edit?usp=sharing"",""งบพรบ!FL70"")"),0)</f>
        <v>0</v>
      </c>
      <c r="N394" s="93">
        <f ca="1">IFERROR(__xludf.DUMMYFUNCTION("IMPORTRANGE(""https://docs.google.com/spreadsheets/d/1MeEWN-I1oV_STSDYn1IFDPWt_1FKiwhDph83XaGc0o0/edit?usp=sharing"",""งบพรบ!FN70"")"),0)</f>
        <v>0</v>
      </c>
      <c r="O394" s="93">
        <f t="shared" ca="1" si="166"/>
        <v>0</v>
      </c>
      <c r="P394" s="93">
        <f t="shared" ca="1" si="167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1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6">
        <f t="shared" ref="L395:N395" ca="1" si="170">L396+L397</f>
        <v>0</v>
      </c>
      <c r="M395" s="496">
        <f t="shared" ca="1" si="170"/>
        <v>0</v>
      </c>
      <c r="N395" s="496">
        <f t="shared" ca="1" si="170"/>
        <v>0</v>
      </c>
      <c r="O395" s="496">
        <f t="shared" ca="1" si="166"/>
        <v>0</v>
      </c>
      <c r="P395" s="496">
        <f t="shared" ca="1" si="167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2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6"/>
        <v>0</v>
      </c>
      <c r="P396" s="93">
        <f t="shared" si="167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2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IFERROR(__xludf.DUMMYFUNCTION("IMPORTRANGE(""https://docs.google.com/spreadsheets/d/1MeEWN-I1oV_STSDYn1IFDPWt_1FKiwhDph83XaGc0o0/edit?usp=sharing"",""งบพรบ!FJ70"")"),0)</f>
        <v>0</v>
      </c>
      <c r="M397" s="93">
        <f ca="1">IFERROR(__xludf.DUMMYFUNCTION("IMPORTRANGE(""https://docs.google.com/spreadsheets/d/1MeEWN-I1oV_STSDYn1IFDPWt_1FKiwhDph83XaGc0o0/edit?usp=sharing"",""งบพรบ!FM70"")"),0)</f>
        <v>0</v>
      </c>
      <c r="N397" s="93">
        <f ca="1">IFERROR(__xludf.DUMMYFUNCTION("IMPORTRANGE(""https://docs.google.com/spreadsheets/d/1MeEWN-I1oV_STSDYn1IFDPWt_1FKiwhDph83XaGc0o0/edit?usp=sharing"",""งบพรบ!FO70"")"),0)</f>
        <v>0</v>
      </c>
      <c r="O397" s="93">
        <f t="shared" ca="1" si="166"/>
        <v>0</v>
      </c>
      <c r="P397" s="93">
        <f t="shared" ca="1" si="167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23" t="s">
        <v>38</v>
      </c>
      <c r="E398" s="173"/>
      <c r="F398" s="173"/>
      <c r="G398" s="174"/>
      <c r="H398" s="753"/>
      <c r="I398" s="184"/>
      <c r="J398" s="269"/>
      <c r="K398" s="496"/>
      <c r="L398" s="496"/>
      <c r="M398" s="496"/>
      <c r="N398" s="496"/>
      <c r="O398" s="163"/>
      <c r="P398" s="163"/>
    </row>
    <row r="399" spans="1:26" ht="18.75" hidden="1">
      <c r="A399" s="523"/>
      <c r="B399" s="148"/>
      <c r="C399" s="524"/>
      <c r="D399" s="525" t="s">
        <v>174</v>
      </c>
      <c r="E399" s="414"/>
      <c r="F399" s="148"/>
      <c r="G399" s="151"/>
      <c r="H399" s="526" t="s">
        <v>9</v>
      </c>
      <c r="I399" s="269">
        <v>0</v>
      </c>
      <c r="J399" s="214">
        <v>0</v>
      </c>
      <c r="K399" s="496">
        <f t="shared" ref="K399:K401" si="171">IF(I399&gt;0,J399*100/I399,0)</f>
        <v>0</v>
      </c>
      <c r="L399" s="527"/>
      <c r="M399" s="527"/>
      <c r="N399" s="527"/>
      <c r="O399" s="527"/>
      <c r="P399" s="527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4"/>
      <c r="B400" s="33"/>
      <c r="C400" s="280"/>
      <c r="D400" s="446" t="s">
        <v>175</v>
      </c>
      <c r="E400" s="171"/>
      <c r="F400" s="33"/>
      <c r="G400" s="35"/>
      <c r="H400" s="276" t="s">
        <v>69</v>
      </c>
      <c r="I400" s="269">
        <v>0</v>
      </c>
      <c r="J400" s="214">
        <v>0</v>
      </c>
      <c r="K400" s="496">
        <f t="shared" si="171"/>
        <v>0</v>
      </c>
      <c r="L400" s="496"/>
      <c r="M400" s="496"/>
      <c r="N400" s="496"/>
      <c r="O400" s="496"/>
      <c r="P400" s="496"/>
    </row>
    <row r="401" spans="1:26" ht="19.5" hidden="1">
      <c r="A401" s="514"/>
      <c r="B401" s="515" t="s">
        <v>176</v>
      </c>
      <c r="C401" s="516"/>
      <c r="D401" s="517"/>
      <c r="E401" s="517"/>
      <c r="F401" s="517"/>
      <c r="G401" s="518"/>
      <c r="H401" s="519" t="s">
        <v>69</v>
      </c>
      <c r="I401" s="520">
        <f t="shared" ref="I401:J401" si="172">I412</f>
        <v>0</v>
      </c>
      <c r="J401" s="520">
        <f t="shared" si="172"/>
        <v>0</v>
      </c>
      <c r="K401" s="521">
        <f t="shared" si="171"/>
        <v>0</v>
      </c>
      <c r="L401" s="522"/>
      <c r="M401" s="522"/>
      <c r="N401" s="522"/>
      <c r="O401" s="522"/>
      <c r="P401" s="522"/>
    </row>
    <row r="402" spans="1:26" ht="19.5" hidden="1">
      <c r="A402" s="147"/>
      <c r="B402" s="148"/>
      <c r="C402" s="149" t="s">
        <v>16</v>
      </c>
      <c r="D402" s="822" t="s">
        <v>17</v>
      </c>
      <c r="E402" s="148"/>
      <c r="F402" s="148"/>
      <c r="G402" s="151"/>
      <c r="H402" s="152" t="s">
        <v>12</v>
      </c>
      <c r="I402" s="419"/>
      <c r="J402" s="419"/>
      <c r="K402" s="154"/>
      <c r="L402" s="155">
        <f t="shared" ref="L402:N402" ca="1" si="173">L403+L404</f>
        <v>0</v>
      </c>
      <c r="M402" s="155">
        <f t="shared" ca="1" si="173"/>
        <v>0</v>
      </c>
      <c r="N402" s="155">
        <f t="shared" ca="1" si="173"/>
        <v>0</v>
      </c>
      <c r="O402" s="155">
        <f t="shared" ref="O402:O410" ca="1" si="174">IF(L402&gt;0,N402*100/L402,0)</f>
        <v>0</v>
      </c>
      <c r="P402" s="155">
        <f t="shared" ref="P402:P410" ca="1" si="175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2" t="s">
        <v>18</v>
      </c>
      <c r="F403" s="40"/>
      <c r="G403" s="157"/>
      <c r="H403" s="158" t="s">
        <v>12</v>
      </c>
      <c r="I403" s="610"/>
      <c r="J403" s="610"/>
      <c r="K403" s="93"/>
      <c r="L403" s="93">
        <f t="shared" ref="L403:N404" si="176">L406+L409</f>
        <v>0</v>
      </c>
      <c r="M403" s="93">
        <f t="shared" si="176"/>
        <v>0</v>
      </c>
      <c r="N403" s="93">
        <f t="shared" si="176"/>
        <v>0</v>
      </c>
      <c r="O403" s="93">
        <f t="shared" si="174"/>
        <v>0</v>
      </c>
      <c r="P403" s="93">
        <f t="shared" si="175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2" t="s">
        <v>19</v>
      </c>
      <c r="F404" s="40"/>
      <c r="G404" s="157"/>
      <c r="H404" s="158" t="s">
        <v>12</v>
      </c>
      <c r="I404" s="610"/>
      <c r="J404" s="610"/>
      <c r="K404" s="93"/>
      <c r="L404" s="93">
        <f t="shared" ca="1" si="176"/>
        <v>0</v>
      </c>
      <c r="M404" s="93">
        <f t="shared" ca="1" si="176"/>
        <v>0</v>
      </c>
      <c r="N404" s="93">
        <f t="shared" ca="1" si="176"/>
        <v>0</v>
      </c>
      <c r="O404" s="93">
        <f t="shared" ca="1" si="174"/>
        <v>0</v>
      </c>
      <c r="P404" s="93">
        <f t="shared" ca="1" si="175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1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6">
        <f t="shared" ref="L405:N405" ca="1" si="177">L406+L407</f>
        <v>0</v>
      </c>
      <c r="M405" s="496">
        <f t="shared" ca="1" si="177"/>
        <v>0</v>
      </c>
      <c r="N405" s="496">
        <f t="shared" ca="1" si="177"/>
        <v>0</v>
      </c>
      <c r="O405" s="496">
        <f t="shared" ca="1" si="174"/>
        <v>0</v>
      </c>
      <c r="P405" s="496">
        <f t="shared" ca="1" si="175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2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4"/>
        <v>0</v>
      </c>
      <c r="P406" s="93">
        <f t="shared" si="175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2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IFERROR(__xludf.DUMMYFUNCTION("IMPORTRANGE(""https://docs.google.com/spreadsheets/d/1MeEWN-I1oV_STSDYn1IFDPWt_1FKiwhDph83XaGc0o0/edit?usp=sharing"",""งบพรบ!FQ70"")"),0)</f>
        <v>0</v>
      </c>
      <c r="M407" s="93">
        <f ca="1">IFERROR(__xludf.DUMMYFUNCTION("IMPORTRANGE(""https://docs.google.com/spreadsheets/d/1MeEWN-I1oV_STSDYn1IFDPWt_1FKiwhDph83XaGc0o0/edit?usp=sharing"",""งบพรบ!FV70"")"),0)</f>
        <v>0</v>
      </c>
      <c r="N407" s="93">
        <f ca="1">IFERROR(__xludf.DUMMYFUNCTION("IMPORTRANGE(""https://docs.google.com/spreadsheets/d/1MeEWN-I1oV_STSDYn1IFDPWt_1FKiwhDph83XaGc0o0/edit?usp=sharing"",""งบพรบ!FX70"")"),0)</f>
        <v>0</v>
      </c>
      <c r="O407" s="93">
        <f t="shared" ca="1" si="174"/>
        <v>0</v>
      </c>
      <c r="P407" s="93">
        <f t="shared" ca="1" si="175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1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6">
        <f t="shared" ref="L408:N408" ca="1" si="178">L409+L410</f>
        <v>0</v>
      </c>
      <c r="M408" s="496">
        <f t="shared" ca="1" si="178"/>
        <v>0</v>
      </c>
      <c r="N408" s="496">
        <f t="shared" ca="1" si="178"/>
        <v>0</v>
      </c>
      <c r="O408" s="496">
        <f t="shared" ca="1" si="174"/>
        <v>0</v>
      </c>
      <c r="P408" s="496">
        <f t="shared" ca="1" si="175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2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4"/>
        <v>0</v>
      </c>
      <c r="P409" s="93">
        <f t="shared" si="175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2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IFERROR(__xludf.DUMMYFUNCTION("IMPORTRANGE(""https://docs.google.com/spreadsheets/d/1MeEWN-I1oV_STSDYn1IFDPWt_1FKiwhDph83XaGc0o0/edit?usp=sharing"",""งบพรบ!FT70"")"),0)</f>
        <v>0</v>
      </c>
      <c r="M410" s="93">
        <f ca="1">IFERROR(__xludf.DUMMYFUNCTION("IMPORTRANGE(""https://docs.google.com/spreadsheets/d/1MeEWN-I1oV_STSDYn1IFDPWt_1FKiwhDph83XaGc0o0/edit?usp=sharing"",""งบพรบ!FW70"")"),0)</f>
        <v>0</v>
      </c>
      <c r="N410" s="93">
        <f ca="1">IFERROR(__xludf.DUMMYFUNCTION("IMPORTRANGE(""https://docs.google.com/spreadsheets/d/1MeEWN-I1oV_STSDYn1IFDPWt_1FKiwhDph83XaGc0o0/edit?usp=sharing"",""งบพรบ!FY70"")"),0)</f>
        <v>0</v>
      </c>
      <c r="O410" s="93">
        <f t="shared" ca="1" si="174"/>
        <v>0</v>
      </c>
      <c r="P410" s="93">
        <f t="shared" ca="1" si="175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34" t="s">
        <v>38</v>
      </c>
      <c r="E411" s="529"/>
      <c r="F411" s="529"/>
      <c r="G411" s="530"/>
      <c r="H411" s="753"/>
      <c r="I411" s="269"/>
      <c r="J411" s="269"/>
      <c r="K411" s="496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6" t="s">
        <v>177</v>
      </c>
      <c r="E412" s="178"/>
      <c r="F412" s="178"/>
      <c r="G412" s="179"/>
      <c r="H412" s="531" t="s">
        <v>69</v>
      </c>
      <c r="I412" s="269">
        <v>0</v>
      </c>
      <c r="J412" s="214">
        <v>0</v>
      </c>
      <c r="K412" s="496">
        <f t="shared" ref="K412:K413" si="179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2"/>
      <c r="B413" s="533"/>
      <c r="C413" s="533"/>
      <c r="D413" s="534" t="s">
        <v>178</v>
      </c>
      <c r="E413" s="533"/>
      <c r="F413" s="533"/>
      <c r="G413" s="535"/>
      <c r="H413" s="536" t="s">
        <v>179</v>
      </c>
      <c r="I413" s="537">
        <v>0</v>
      </c>
      <c r="J413" s="538">
        <v>0</v>
      </c>
      <c r="K413" s="539">
        <f t="shared" si="179"/>
        <v>0</v>
      </c>
      <c r="L413" s="540"/>
      <c r="M413" s="540"/>
      <c r="N413" s="540"/>
      <c r="O413" s="540"/>
      <c r="P413" s="540"/>
    </row>
    <row r="414" spans="1:26" ht="19.5">
      <c r="A414" s="541" t="s">
        <v>180</v>
      </c>
      <c r="B414" s="542"/>
      <c r="C414" s="542"/>
      <c r="D414" s="542"/>
      <c r="E414" s="542"/>
      <c r="F414" s="542"/>
      <c r="G414" s="543"/>
      <c r="H414" s="544"/>
      <c r="I414" s="545"/>
      <c r="J414" s="545"/>
      <c r="K414" s="546"/>
      <c r="L414" s="547">
        <f t="shared" ref="L414:N414" ca="1" si="180">L419+L444+L467+L502+L523+L544+L629+L655+L685+L737+L754+L770+L786+L805</f>
        <v>1157263</v>
      </c>
      <c r="M414" s="547">
        <f t="shared" si="180"/>
        <v>0</v>
      </c>
      <c r="N414" s="547">
        <f t="shared" si="180"/>
        <v>0</v>
      </c>
      <c r="O414" s="547">
        <f ca="1">IF(L414&gt;0,N414*100/L414,0)</f>
        <v>0</v>
      </c>
      <c r="P414" s="547">
        <f>IF(M414&gt;0,N414*100/M414,0)</f>
        <v>0</v>
      </c>
    </row>
    <row r="415" spans="1:26" ht="19.5">
      <c r="A415" s="548" t="s">
        <v>181</v>
      </c>
      <c r="B415" s="549"/>
      <c r="C415" s="549"/>
      <c r="D415" s="549"/>
      <c r="E415" s="549"/>
      <c r="F415" s="549"/>
      <c r="G415" s="549"/>
      <c r="H415" s="550"/>
      <c r="I415" s="551"/>
      <c r="J415" s="551"/>
      <c r="K415" s="552"/>
      <c r="L415" s="553"/>
      <c r="M415" s="553"/>
      <c r="N415" s="553"/>
      <c r="O415" s="553"/>
      <c r="P415" s="553"/>
    </row>
    <row r="416" spans="1:26" ht="19.5">
      <c r="A416" s="548" t="s">
        <v>182</v>
      </c>
      <c r="B416" s="549"/>
      <c r="C416" s="549"/>
      <c r="D416" s="549"/>
      <c r="E416" s="549"/>
      <c r="F416" s="549"/>
      <c r="G416" s="554"/>
      <c r="H416" s="555"/>
      <c r="I416" s="556"/>
      <c r="J416" s="556"/>
      <c r="K416" s="553"/>
      <c r="L416" s="553"/>
      <c r="M416" s="553"/>
      <c r="N416" s="553"/>
      <c r="O416" s="553"/>
      <c r="P416" s="553"/>
    </row>
    <row r="417" spans="1:26" ht="39">
      <c r="A417" s="557">
        <v>1</v>
      </c>
      <c r="B417" s="559" t="s">
        <v>183</v>
      </c>
      <c r="C417" s="559"/>
      <c r="D417" s="560"/>
      <c r="E417" s="560"/>
      <c r="F417" s="560"/>
      <c r="G417" s="561"/>
      <c r="H417" s="562" t="s">
        <v>35</v>
      </c>
      <c r="I417" s="563">
        <f t="shared" ref="I417:J418" ca="1" si="181">I433</f>
        <v>20</v>
      </c>
      <c r="J417" s="563">
        <f t="shared" ca="1" si="181"/>
        <v>0</v>
      </c>
      <c r="K417" s="564">
        <f t="shared" ref="K417:K418" ca="1" si="182">IF(I417&gt;0,J417*100/I417,0)</f>
        <v>0</v>
      </c>
      <c r="L417" s="565"/>
      <c r="M417" s="565"/>
      <c r="N417" s="565"/>
      <c r="O417" s="565"/>
      <c r="P417" s="565"/>
    </row>
    <row r="418" spans="1:26" ht="19.5">
      <c r="A418" s="566"/>
      <c r="B418" s="557"/>
      <c r="C418" s="559"/>
      <c r="D418" s="560"/>
      <c r="E418" s="560"/>
      <c r="F418" s="560"/>
      <c r="G418" s="561"/>
      <c r="H418" s="562" t="s">
        <v>49</v>
      </c>
      <c r="I418" s="563">
        <f t="shared" ca="1" si="181"/>
        <v>1</v>
      </c>
      <c r="J418" s="563">
        <f t="shared" si="181"/>
        <v>0</v>
      </c>
      <c r="K418" s="564">
        <f t="shared" ca="1" si="182"/>
        <v>0</v>
      </c>
      <c r="L418" s="565"/>
      <c r="M418" s="565"/>
      <c r="N418" s="565"/>
      <c r="O418" s="565"/>
      <c r="P418" s="565"/>
    </row>
    <row r="419" spans="1:26" ht="19.5">
      <c r="A419" s="147"/>
      <c r="B419" s="148"/>
      <c r="C419" s="148" t="s">
        <v>16</v>
      </c>
      <c r="D419" s="868" t="s">
        <v>17</v>
      </c>
      <c r="E419" s="862"/>
      <c r="F419" s="862"/>
      <c r="G419" s="151"/>
      <c r="H419" s="274" t="s">
        <v>12</v>
      </c>
      <c r="I419" s="419"/>
      <c r="J419" s="419"/>
      <c r="K419" s="154"/>
      <c r="L419" s="155">
        <f t="shared" ref="L419:N419" ca="1" si="183">L420+L421</f>
        <v>78660</v>
      </c>
      <c r="M419" s="155">
        <f t="shared" si="183"/>
        <v>0</v>
      </c>
      <c r="N419" s="155">
        <f t="shared" si="183"/>
        <v>0</v>
      </c>
      <c r="O419" s="155">
        <f t="shared" ref="O419:O424" ca="1" si="184">IF(L419&gt;0,N419*100/L419,0)</f>
        <v>0</v>
      </c>
      <c r="P419" s="155">
        <f t="shared" ref="P419:P424" si="185">IF(M419&gt;0,N419*100/M419,0)</f>
        <v>0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2"/>
      <c r="E420" s="222" t="s">
        <v>184</v>
      </c>
      <c r="F420" s="40"/>
      <c r="G420" s="157"/>
      <c r="H420" s="165" t="s">
        <v>12</v>
      </c>
      <c r="I420" s="610"/>
      <c r="J420" s="610"/>
      <c r="K420" s="93"/>
      <c r="L420" s="93">
        <f t="shared" ref="L420:N421" si="186">L423+L430</f>
        <v>0</v>
      </c>
      <c r="M420" s="93">
        <f t="shared" si="186"/>
        <v>0</v>
      </c>
      <c r="N420" s="93">
        <f t="shared" si="186"/>
        <v>0</v>
      </c>
      <c r="O420" s="93">
        <f t="shared" si="184"/>
        <v>0</v>
      </c>
      <c r="P420" s="93">
        <f t="shared" si="185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2"/>
      <c r="E421" s="222" t="s">
        <v>185</v>
      </c>
      <c r="F421" s="40"/>
      <c r="G421" s="157"/>
      <c r="H421" s="165" t="s">
        <v>12</v>
      </c>
      <c r="I421" s="610"/>
      <c r="J421" s="610"/>
      <c r="K421" s="93"/>
      <c r="L421" s="93">
        <f t="shared" ca="1" si="186"/>
        <v>78660</v>
      </c>
      <c r="M421" s="93">
        <f t="shared" si="186"/>
        <v>0</v>
      </c>
      <c r="N421" s="93">
        <f t="shared" si="186"/>
        <v>0</v>
      </c>
      <c r="O421" s="93">
        <f t="shared" ca="1" si="184"/>
        <v>0</v>
      </c>
      <c r="P421" s="93">
        <f t="shared" si="185"/>
        <v>0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0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6">
        <f t="shared" ref="L422:N422" ca="1" si="187">L423+L424</f>
        <v>78660</v>
      </c>
      <c r="M422" s="496">
        <f t="shared" si="187"/>
        <v>0</v>
      </c>
      <c r="N422" s="496">
        <f t="shared" si="187"/>
        <v>0</v>
      </c>
      <c r="O422" s="496">
        <f t="shared" ca="1" si="184"/>
        <v>0</v>
      </c>
      <c r="P422" s="496">
        <f t="shared" si="185"/>
        <v>0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2"/>
      <c r="E423" s="222" t="s">
        <v>184</v>
      </c>
      <c r="F423" s="40"/>
      <c r="G423" s="157"/>
      <c r="H423" s="165" t="s">
        <v>12</v>
      </c>
      <c r="I423" s="610"/>
      <c r="J423" s="610"/>
      <c r="K423" s="93"/>
      <c r="L423" s="93">
        <v>0</v>
      </c>
      <c r="M423" s="93">
        <v>0</v>
      </c>
      <c r="N423" s="93">
        <v>0</v>
      </c>
      <c r="O423" s="93">
        <f t="shared" si="184"/>
        <v>0</v>
      </c>
      <c r="P423" s="93">
        <f t="shared" si="185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2"/>
      <c r="E424" s="222" t="s">
        <v>185</v>
      </c>
      <c r="F424" s="40"/>
      <c r="G424" s="157"/>
      <c r="H424" s="165" t="s">
        <v>12</v>
      </c>
      <c r="I424" s="610"/>
      <c r="J424" s="610"/>
      <c r="K424" s="93"/>
      <c r="L424" s="93">
        <f ca="1">IFERROR(__xludf.DUMMYFUNCTION("IMPORTRANGE(""https://docs.google.com/spreadsheets/d/1QqKyyYR6Q21VydFLVH3TRQUabQu_ym0Zz7PgGX0-kHA/edit?usp=sharing"",""แผน!EY70"")"),78660)</f>
        <v>78660</v>
      </c>
      <c r="M424" s="93">
        <v>0</v>
      </c>
      <c r="N424" s="93">
        <f>N425+N426+N427+N428</f>
        <v>0</v>
      </c>
      <c r="O424" s="93">
        <f t="shared" ca="1" si="184"/>
        <v>0</v>
      </c>
      <c r="P424" s="93">
        <f t="shared" si="185"/>
        <v>0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67"/>
      <c r="B425" s="568"/>
      <c r="C425" s="754"/>
      <c r="D425" s="754"/>
      <c r="E425" s="754"/>
      <c r="F425" s="754" t="s">
        <v>186</v>
      </c>
      <c r="G425" s="189"/>
      <c r="H425" s="161" t="s">
        <v>12</v>
      </c>
      <c r="I425" s="269"/>
      <c r="J425" s="269"/>
      <c r="K425" s="496"/>
      <c r="L425" s="496"/>
      <c r="M425" s="496"/>
      <c r="N425" s="817">
        <v>0</v>
      </c>
      <c r="O425" s="496"/>
      <c r="P425" s="496"/>
      <c r="Q425" s="571"/>
      <c r="R425" s="571"/>
      <c r="S425" s="571"/>
      <c r="T425" s="571"/>
      <c r="U425" s="571"/>
      <c r="V425" s="571"/>
      <c r="W425" s="571"/>
      <c r="X425" s="571"/>
      <c r="Y425" s="571"/>
      <c r="Z425" s="571"/>
    </row>
    <row r="426" spans="1:26" ht="18.75">
      <c r="A426" s="567"/>
      <c r="B426" s="568"/>
      <c r="C426" s="754"/>
      <c r="D426" s="754"/>
      <c r="E426" s="754"/>
      <c r="F426" s="754" t="s">
        <v>187</v>
      </c>
      <c r="G426" s="189"/>
      <c r="H426" s="161" t="s">
        <v>12</v>
      </c>
      <c r="I426" s="269"/>
      <c r="J426" s="269"/>
      <c r="K426" s="496"/>
      <c r="L426" s="496"/>
      <c r="M426" s="496"/>
      <c r="N426" s="817">
        <v>0</v>
      </c>
      <c r="O426" s="496"/>
      <c r="P426" s="496"/>
      <c r="Q426" s="571"/>
      <c r="R426" s="571"/>
      <c r="S426" s="571"/>
      <c r="T426" s="571"/>
      <c r="U426" s="571"/>
      <c r="V426" s="571"/>
      <c r="W426" s="571"/>
      <c r="X426" s="571"/>
      <c r="Y426" s="571"/>
      <c r="Z426" s="571"/>
    </row>
    <row r="427" spans="1:26" ht="18.75">
      <c r="A427" s="567"/>
      <c r="B427" s="568"/>
      <c r="C427" s="754"/>
      <c r="D427" s="754"/>
      <c r="E427" s="754"/>
      <c r="F427" s="754" t="s">
        <v>188</v>
      </c>
      <c r="G427" s="189"/>
      <c r="H427" s="161" t="s">
        <v>12</v>
      </c>
      <c r="I427" s="269"/>
      <c r="J427" s="269"/>
      <c r="K427" s="496"/>
      <c r="L427" s="496"/>
      <c r="M427" s="496"/>
      <c r="N427" s="817">
        <v>0</v>
      </c>
      <c r="O427" s="496"/>
      <c r="P427" s="496"/>
      <c r="Q427" s="571"/>
      <c r="R427" s="571"/>
      <c r="S427" s="571"/>
      <c r="T427" s="571"/>
      <c r="U427" s="571"/>
      <c r="V427" s="571"/>
      <c r="W427" s="571"/>
      <c r="X427" s="571"/>
      <c r="Y427" s="571"/>
      <c r="Z427" s="571"/>
    </row>
    <row r="428" spans="1:26" ht="18.75">
      <c r="A428" s="284"/>
      <c r="B428" s="280"/>
      <c r="C428" s="33"/>
      <c r="D428" s="33"/>
      <c r="E428" s="33"/>
      <c r="F428" s="281" t="s">
        <v>189</v>
      </c>
      <c r="G428" s="213"/>
      <c r="H428" s="161" t="s">
        <v>12</v>
      </c>
      <c r="I428" s="269"/>
      <c r="J428" s="269"/>
      <c r="K428" s="496"/>
      <c r="L428" s="496"/>
      <c r="M428" s="496"/>
      <c r="N428" s="817">
        <v>0</v>
      </c>
      <c r="O428" s="496"/>
      <c r="P428" s="496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0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6">
        <f t="shared" ref="L429:N429" ca="1" si="188">L430+L431</f>
        <v>0</v>
      </c>
      <c r="M429" s="496">
        <f t="shared" si="188"/>
        <v>0</v>
      </c>
      <c r="N429" s="496">
        <f t="shared" si="188"/>
        <v>0</v>
      </c>
      <c r="O429" s="496">
        <f t="shared" ref="O429:O431" ca="1" si="189">IF(L429&gt;0,N429*100/L429,0)</f>
        <v>0</v>
      </c>
      <c r="P429" s="496">
        <f t="shared" ref="P429:P431" si="190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6"/>
      <c r="C430" s="40"/>
      <c r="D430" s="40"/>
      <c r="E430" s="222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89"/>
        <v>0</v>
      </c>
      <c r="P430" s="93">
        <f t="shared" si="190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6"/>
      <c r="C431" s="40"/>
      <c r="D431" s="40"/>
      <c r="E431" s="222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IFERROR(__xludf.DUMMYFUNCTION("IMPORTRANGE(""https://docs.google.com/spreadsheets/d/1QqKyyYR6Q21VydFLVH3TRQUabQu_ym0Zz7PgGX0-kHA/edit?usp=sharing"",""แผน!FB70"")"),0)</f>
        <v>0</v>
      </c>
      <c r="M431" s="93">
        <v>0</v>
      </c>
      <c r="N431" s="93">
        <v>0</v>
      </c>
      <c r="O431" s="93">
        <f t="shared" ca="1" si="189"/>
        <v>0</v>
      </c>
      <c r="P431" s="93">
        <f t="shared" si="190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3"/>
      <c r="B432" s="414"/>
      <c r="C432" s="148" t="s">
        <v>16</v>
      </c>
      <c r="D432" s="835" t="s">
        <v>38</v>
      </c>
      <c r="E432" s="573"/>
      <c r="F432" s="573"/>
      <c r="G432" s="574"/>
      <c r="H432" s="575"/>
      <c r="I432" s="419"/>
      <c r="J432" s="419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190</v>
      </c>
      <c r="E433" s="178"/>
      <c r="F433" s="178"/>
      <c r="G433" s="179"/>
      <c r="H433" s="196" t="s">
        <v>35</v>
      </c>
      <c r="I433" s="674">
        <f ca="1">I435</f>
        <v>20</v>
      </c>
      <c r="J433" s="674">
        <f ca="1">IF(AND(J435=I435,J437=I437,J439=I439),I437+I439,IF(AND(J435=I437,J437=I437),I437,IF(AND(J435=I439,J439=I439),I439,0)))</f>
        <v>0</v>
      </c>
      <c r="K433" s="195">
        <f t="shared" ref="K433:K435" ca="1" si="191">IF(I433&gt;0,J433*100/I433,0)</f>
        <v>0</v>
      </c>
      <c r="L433" s="496"/>
      <c r="M433" s="496"/>
      <c r="N433" s="496"/>
      <c r="O433" s="496"/>
      <c r="P433" s="496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191</v>
      </c>
      <c r="E434" s="178"/>
      <c r="F434" s="178"/>
      <c r="G434" s="179"/>
      <c r="H434" s="196" t="s">
        <v>49</v>
      </c>
      <c r="I434" s="674">
        <f t="shared" ref="I434:J434" ca="1" si="192">I438+I440</f>
        <v>1</v>
      </c>
      <c r="J434" s="674">
        <f t="shared" si="192"/>
        <v>0</v>
      </c>
      <c r="K434" s="195">
        <f t="shared" ca="1" si="191"/>
        <v>0</v>
      </c>
      <c r="L434" s="496"/>
      <c r="M434" s="496"/>
      <c r="N434" s="496"/>
      <c r="O434" s="496"/>
      <c r="P434" s="496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6" t="s">
        <v>192</v>
      </c>
      <c r="E435" s="178"/>
      <c r="F435" s="178"/>
      <c r="G435" s="179"/>
      <c r="H435" s="616" t="s">
        <v>35</v>
      </c>
      <c r="I435" s="576">
        <f ca="1">IFERROR(__xludf.DUMMYFUNCTION("IMPORTRANGE(""https://docs.google.com/spreadsheets/d/1QqKyyYR6Q21VydFLVH3TRQUabQu_ym0Zz7PgGX0-kHA/edit?usp=sharing"",""แผน!FC70"")"),20)</f>
        <v>20</v>
      </c>
      <c r="J435" s="577">
        <v>0</v>
      </c>
      <c r="K435" s="496">
        <f t="shared" ca="1" si="191"/>
        <v>0</v>
      </c>
      <c r="L435" s="496"/>
      <c r="M435" s="496"/>
      <c r="N435" s="496"/>
      <c r="O435" s="496"/>
      <c r="P435" s="496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6" t="s">
        <v>193</v>
      </c>
      <c r="E436" s="178"/>
      <c r="F436" s="178"/>
      <c r="G436" s="179"/>
      <c r="H436" s="616"/>
      <c r="I436" s="269"/>
      <c r="J436" s="269"/>
      <c r="K436" s="496"/>
      <c r="L436" s="496"/>
      <c r="M436" s="496"/>
      <c r="N436" s="496"/>
      <c r="O436" s="496"/>
      <c r="P436" s="496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6" t="s">
        <v>194</v>
      </c>
      <c r="E437" s="178"/>
      <c r="F437" s="178"/>
      <c r="G437" s="179"/>
      <c r="H437" s="616" t="s">
        <v>35</v>
      </c>
      <c r="I437" s="576">
        <f ca="1">IFERROR(__xludf.DUMMYFUNCTION("IMPORTRANGE(""https://docs.google.com/spreadsheets/d/1QqKyyYR6Q21VydFLVH3TRQUabQu_ym0Zz7PgGX0-kHA/edit?usp=sharing"",""แผน!FD70"")"),0)</f>
        <v>0</v>
      </c>
      <c r="J437" s="577">
        <v>0</v>
      </c>
      <c r="K437" s="496">
        <f t="shared" ref="K437:K443" ca="1" si="193">IF(I437&gt;0,J437*100/I437,0)</f>
        <v>0</v>
      </c>
      <c r="L437" s="496"/>
      <c r="M437" s="496"/>
      <c r="N437" s="496"/>
      <c r="O437" s="496"/>
      <c r="P437" s="496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6" t="s">
        <v>195</v>
      </c>
      <c r="E438" s="178"/>
      <c r="F438" s="178"/>
      <c r="G438" s="179"/>
      <c r="H438" s="616" t="s">
        <v>49</v>
      </c>
      <c r="I438" s="269">
        <f ca="1">IFERROR(__xludf.DUMMYFUNCTION("IMPORTRANGE(""https://docs.google.com/spreadsheets/d/1QqKyyYR6Q21VydFLVH3TRQUabQu_ym0Zz7PgGX0-kHA/edit?usp=sharing"",""แผน!FE70"")"),0)</f>
        <v>0</v>
      </c>
      <c r="J438" s="214">
        <v>0</v>
      </c>
      <c r="K438" s="496">
        <f t="shared" ca="1" si="193"/>
        <v>0</v>
      </c>
      <c r="L438" s="496"/>
      <c r="M438" s="496"/>
      <c r="N438" s="496"/>
      <c r="O438" s="496"/>
      <c r="P438" s="496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6" t="s">
        <v>196</v>
      </c>
      <c r="E439" s="178"/>
      <c r="F439" s="178"/>
      <c r="G439" s="179"/>
      <c r="H439" s="616" t="s">
        <v>35</v>
      </c>
      <c r="I439" s="576">
        <f ca="1">IFERROR(__xludf.DUMMYFUNCTION("IMPORTRANGE(""https://docs.google.com/spreadsheets/d/1QqKyyYR6Q21VydFLVH3TRQUabQu_ym0Zz7PgGX0-kHA/edit?usp=sharing"",""แผน!FF70"")"),20)</f>
        <v>20</v>
      </c>
      <c r="J439" s="577">
        <v>0</v>
      </c>
      <c r="K439" s="496">
        <f t="shared" ca="1" si="193"/>
        <v>0</v>
      </c>
      <c r="L439" s="496"/>
      <c r="M439" s="496"/>
      <c r="N439" s="496"/>
      <c r="O439" s="496"/>
      <c r="P439" s="496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6" t="s">
        <v>197</v>
      </c>
      <c r="E440" s="178"/>
      <c r="F440" s="178"/>
      <c r="G440" s="179"/>
      <c r="H440" s="616" t="s">
        <v>49</v>
      </c>
      <c r="I440" s="269">
        <f ca="1">IFERROR(__xludf.DUMMYFUNCTION("IMPORTRANGE(""https://docs.google.com/spreadsheets/d/1QqKyyYR6Q21VydFLVH3TRQUabQu_ym0Zz7PgGX0-kHA/edit?usp=sharing"",""แผน!FG70"")"),1)</f>
        <v>1</v>
      </c>
      <c r="J440" s="214">
        <v>0</v>
      </c>
      <c r="K440" s="496">
        <f t="shared" ca="1" si="193"/>
        <v>0</v>
      </c>
      <c r="L440" s="496"/>
      <c r="M440" s="496"/>
      <c r="N440" s="496"/>
      <c r="O440" s="496"/>
      <c r="P440" s="496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 hidden="1">
      <c r="A441" s="170"/>
      <c r="B441" s="171"/>
      <c r="C441" s="171"/>
      <c r="D441" s="446" t="s">
        <v>198</v>
      </c>
      <c r="E441" s="178"/>
      <c r="F441" s="178"/>
      <c r="G441" s="179"/>
      <c r="H441" s="616" t="s">
        <v>35</v>
      </c>
      <c r="I441" s="269">
        <f ca="1">IFERROR(__xludf.DUMMYFUNCTION("IMPORTRANGE(""https://docs.google.com/spreadsheets/d/1QqKyyYR6Q21VydFLVH3TRQUabQu_ym0Zz7PgGX0-kHA/edit?usp=sharing"",""แผน!FH70"")"),0)</f>
        <v>0</v>
      </c>
      <c r="J441" s="269">
        <v>0</v>
      </c>
      <c r="K441" s="496">
        <f t="shared" ca="1" si="193"/>
        <v>0</v>
      </c>
      <c r="L441" s="496"/>
      <c r="M441" s="496"/>
      <c r="N441" s="496"/>
      <c r="O441" s="496"/>
      <c r="P441" s="496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78">
        <v>2</v>
      </c>
      <c r="B442" s="579" t="s">
        <v>199</v>
      </c>
      <c r="C442" s="580"/>
      <c r="D442" s="580"/>
      <c r="E442" s="580"/>
      <c r="F442" s="580"/>
      <c r="G442" s="581"/>
      <c r="H442" s="582" t="s">
        <v>35</v>
      </c>
      <c r="I442" s="583">
        <f t="shared" ref="I442:J442" ca="1" si="194">I460</f>
        <v>10</v>
      </c>
      <c r="J442" s="583">
        <f t="shared" si="194"/>
        <v>0</v>
      </c>
      <c r="K442" s="584">
        <f t="shared" ca="1" si="193"/>
        <v>0</v>
      </c>
      <c r="L442" s="585"/>
      <c r="M442" s="585"/>
      <c r="N442" s="585"/>
      <c r="O442" s="585"/>
      <c r="P442" s="585"/>
      <c r="Q442" s="571"/>
      <c r="R442" s="571"/>
      <c r="S442" s="571"/>
      <c r="T442" s="571"/>
      <c r="U442" s="571"/>
      <c r="V442" s="571"/>
      <c r="W442" s="571"/>
      <c r="X442" s="571"/>
      <c r="Y442" s="571"/>
      <c r="Z442" s="571"/>
    </row>
    <row r="443" spans="1:26" ht="19.5">
      <c r="A443" s="586"/>
      <c r="B443" s="587"/>
      <c r="C443" s="588"/>
      <c r="D443" s="588"/>
      <c r="E443" s="588"/>
      <c r="F443" s="588"/>
      <c r="G443" s="589"/>
      <c r="H443" s="562" t="s">
        <v>46</v>
      </c>
      <c r="I443" s="563">
        <f t="shared" ref="I443:J443" ca="1" si="195">I462</f>
        <v>20</v>
      </c>
      <c r="J443" s="563">
        <f t="shared" si="195"/>
        <v>0</v>
      </c>
      <c r="K443" s="564">
        <f t="shared" ca="1" si="193"/>
        <v>0</v>
      </c>
      <c r="L443" s="565"/>
      <c r="M443" s="565"/>
      <c r="N443" s="565"/>
      <c r="O443" s="565"/>
      <c r="P443" s="565"/>
      <c r="Q443" s="571"/>
      <c r="R443" s="571"/>
      <c r="S443" s="571"/>
      <c r="T443" s="571"/>
      <c r="U443" s="571"/>
      <c r="V443" s="571"/>
      <c r="W443" s="571"/>
      <c r="X443" s="571"/>
      <c r="Y443" s="571"/>
      <c r="Z443" s="571"/>
    </row>
    <row r="444" spans="1:26" ht="19.5">
      <c r="A444" s="590"/>
      <c r="B444" s="754"/>
      <c r="C444" s="754" t="s">
        <v>16</v>
      </c>
      <c r="D444" s="863" t="s">
        <v>17</v>
      </c>
      <c r="E444" s="857"/>
      <c r="F444" s="857"/>
      <c r="G444" s="189"/>
      <c r="H444" s="591" t="s">
        <v>12</v>
      </c>
      <c r="I444" s="269"/>
      <c r="J444" s="269"/>
      <c r="K444" s="496"/>
      <c r="L444" s="195">
        <f t="shared" ref="L444:N444" ca="1" si="196">L445+L446</f>
        <v>70160</v>
      </c>
      <c r="M444" s="195">
        <f t="shared" si="196"/>
        <v>0</v>
      </c>
      <c r="N444" s="195">
        <f t="shared" si="196"/>
        <v>0</v>
      </c>
      <c r="O444" s="195">
        <f t="shared" ref="O444:O449" ca="1" si="197">IF(L444&gt;0,N444*100/L444,0)</f>
        <v>0</v>
      </c>
      <c r="P444" s="195">
        <f t="shared" ref="P444:P449" si="198">IF(M444&gt;0,N444*100/M444,0)</f>
        <v>0</v>
      </c>
      <c r="Q444" s="571"/>
      <c r="R444" s="571"/>
      <c r="S444" s="571"/>
      <c r="T444" s="571"/>
      <c r="U444" s="571"/>
      <c r="V444" s="571"/>
      <c r="W444" s="571"/>
      <c r="X444" s="571"/>
      <c r="Y444" s="571"/>
      <c r="Z444" s="571"/>
    </row>
    <row r="445" spans="1:26" ht="18.75" hidden="1">
      <c r="A445" s="592"/>
      <c r="B445" s="750"/>
      <c r="C445" s="750"/>
      <c r="D445" s="711"/>
      <c r="E445" s="750" t="s">
        <v>184</v>
      </c>
      <c r="F445" s="750"/>
      <c r="G445" s="596"/>
      <c r="H445" s="165" t="s">
        <v>12</v>
      </c>
      <c r="I445" s="610"/>
      <c r="J445" s="610"/>
      <c r="K445" s="93"/>
      <c r="L445" s="93">
        <f t="shared" ref="L445:N446" si="199">L448+L455</f>
        <v>0</v>
      </c>
      <c r="M445" s="93">
        <f t="shared" si="199"/>
        <v>0</v>
      </c>
      <c r="N445" s="93">
        <f t="shared" si="199"/>
        <v>0</v>
      </c>
      <c r="O445" s="93">
        <f t="shared" si="197"/>
        <v>0</v>
      </c>
      <c r="P445" s="93">
        <f t="shared" si="198"/>
        <v>0</v>
      </c>
      <c r="Q445" s="597"/>
      <c r="R445" s="597"/>
      <c r="S445" s="597"/>
      <c r="T445" s="597"/>
      <c r="U445" s="597"/>
      <c r="V445" s="597"/>
      <c r="W445" s="597"/>
      <c r="X445" s="597"/>
      <c r="Y445" s="597"/>
      <c r="Z445" s="597"/>
    </row>
    <row r="446" spans="1:26" ht="18.75" hidden="1">
      <c r="A446" s="592"/>
      <c r="B446" s="600"/>
      <c r="C446" s="750"/>
      <c r="D446" s="711"/>
      <c r="E446" s="750" t="s">
        <v>185</v>
      </c>
      <c r="F446" s="750"/>
      <c r="G446" s="596"/>
      <c r="H446" s="165" t="s">
        <v>12</v>
      </c>
      <c r="I446" s="610"/>
      <c r="J446" s="610"/>
      <c r="K446" s="93"/>
      <c r="L446" s="93">
        <f t="shared" ca="1" si="199"/>
        <v>70160</v>
      </c>
      <c r="M446" s="93">
        <f t="shared" si="199"/>
        <v>0</v>
      </c>
      <c r="N446" s="93">
        <f t="shared" si="199"/>
        <v>0</v>
      </c>
      <c r="O446" s="93">
        <f t="shared" ca="1" si="197"/>
        <v>0</v>
      </c>
      <c r="P446" s="93">
        <f t="shared" si="198"/>
        <v>0</v>
      </c>
      <c r="Q446" s="597"/>
      <c r="R446" s="597"/>
      <c r="S446" s="597"/>
      <c r="T446" s="597"/>
      <c r="U446" s="597"/>
      <c r="V446" s="597"/>
      <c r="W446" s="597"/>
      <c r="X446" s="597"/>
      <c r="Y446" s="597"/>
      <c r="Z446" s="597"/>
    </row>
    <row r="447" spans="1:26" ht="18.75">
      <c r="A447" s="590"/>
      <c r="B447" s="568"/>
      <c r="C447" s="754"/>
      <c r="D447" s="599" t="s">
        <v>20</v>
      </c>
      <c r="E447" s="754"/>
      <c r="F447" s="754"/>
      <c r="G447" s="189"/>
      <c r="H447" s="161" t="s">
        <v>12</v>
      </c>
      <c r="I447" s="184"/>
      <c r="J447" s="184"/>
      <c r="K447" s="163"/>
      <c r="L447" s="496">
        <f t="shared" ref="L447:N447" ca="1" si="200">L448+L449</f>
        <v>70160</v>
      </c>
      <c r="M447" s="496">
        <f t="shared" si="200"/>
        <v>0</v>
      </c>
      <c r="N447" s="496">
        <f t="shared" si="200"/>
        <v>0</v>
      </c>
      <c r="O447" s="496">
        <f t="shared" ca="1" si="197"/>
        <v>0</v>
      </c>
      <c r="P447" s="496">
        <f t="shared" si="198"/>
        <v>0</v>
      </c>
      <c r="Q447" s="571"/>
      <c r="R447" s="571"/>
      <c r="S447" s="571"/>
      <c r="T447" s="571"/>
      <c r="U447" s="571"/>
      <c r="V447" s="571"/>
      <c r="W447" s="571"/>
      <c r="X447" s="571"/>
      <c r="Y447" s="571"/>
      <c r="Z447" s="571"/>
    </row>
    <row r="448" spans="1:26" ht="18.75" hidden="1">
      <c r="A448" s="592"/>
      <c r="B448" s="600"/>
      <c r="C448" s="750"/>
      <c r="D448" s="711"/>
      <c r="E448" s="750" t="s">
        <v>184</v>
      </c>
      <c r="F448" s="750"/>
      <c r="G448" s="596"/>
      <c r="H448" s="165" t="s">
        <v>12</v>
      </c>
      <c r="I448" s="610"/>
      <c r="J448" s="610"/>
      <c r="K448" s="93"/>
      <c r="L448" s="93">
        <v>0</v>
      </c>
      <c r="M448" s="93">
        <v>0</v>
      </c>
      <c r="N448" s="93">
        <v>0</v>
      </c>
      <c r="O448" s="93">
        <f t="shared" si="197"/>
        <v>0</v>
      </c>
      <c r="P448" s="93">
        <f t="shared" si="198"/>
        <v>0</v>
      </c>
      <c r="Q448" s="597"/>
      <c r="R448" s="597"/>
      <c r="S448" s="597"/>
      <c r="T448" s="597"/>
      <c r="U448" s="597"/>
      <c r="V448" s="597"/>
      <c r="W448" s="597"/>
      <c r="X448" s="597"/>
      <c r="Y448" s="597"/>
      <c r="Z448" s="597"/>
    </row>
    <row r="449" spans="1:26" ht="18.75" hidden="1">
      <c r="A449" s="592"/>
      <c r="B449" s="600"/>
      <c r="C449" s="750"/>
      <c r="D449" s="711"/>
      <c r="E449" s="750" t="s">
        <v>185</v>
      </c>
      <c r="F449" s="750"/>
      <c r="G449" s="596"/>
      <c r="H449" s="165" t="s">
        <v>12</v>
      </c>
      <c r="I449" s="610"/>
      <c r="J449" s="610"/>
      <c r="K449" s="93"/>
      <c r="L449" s="93">
        <f ca="1">IFERROR(__xludf.DUMMYFUNCTION("IMPORTRANGE(""https://docs.google.com/spreadsheets/d/1QqKyyYR6Q21VydFLVH3TRQUabQu_ym0Zz7PgGX0-kHA/edit?usp=sharing"",""แผน!FJ70"")"),70160)</f>
        <v>70160</v>
      </c>
      <c r="M449" s="93">
        <v>0</v>
      </c>
      <c r="N449" s="93">
        <f>N450+N451+N452+N453</f>
        <v>0</v>
      </c>
      <c r="O449" s="93">
        <f t="shared" ca="1" si="197"/>
        <v>0</v>
      </c>
      <c r="P449" s="93">
        <f t="shared" si="198"/>
        <v>0</v>
      </c>
      <c r="Q449" s="597"/>
      <c r="R449" s="597"/>
      <c r="S449" s="597"/>
      <c r="T449" s="597"/>
      <c r="U449" s="597"/>
      <c r="V449" s="597"/>
      <c r="W449" s="597"/>
      <c r="X449" s="597"/>
      <c r="Y449" s="597"/>
      <c r="Z449" s="597"/>
    </row>
    <row r="450" spans="1:26" ht="18.75">
      <c r="A450" s="567"/>
      <c r="B450" s="568"/>
      <c r="C450" s="754"/>
      <c r="D450" s="754"/>
      <c r="E450" s="754"/>
      <c r="F450" s="754" t="s">
        <v>186</v>
      </c>
      <c r="G450" s="189"/>
      <c r="H450" s="161" t="s">
        <v>12</v>
      </c>
      <c r="I450" s="269"/>
      <c r="J450" s="269"/>
      <c r="K450" s="496"/>
      <c r="L450" s="496"/>
      <c r="M450" s="496"/>
      <c r="N450" s="817">
        <v>0</v>
      </c>
      <c r="O450" s="496"/>
      <c r="P450" s="496"/>
      <c r="Q450" s="571"/>
      <c r="R450" s="571"/>
      <c r="S450" s="571"/>
      <c r="T450" s="571"/>
      <c r="U450" s="571"/>
      <c r="V450" s="571"/>
      <c r="W450" s="571"/>
      <c r="X450" s="571"/>
      <c r="Y450" s="571"/>
      <c r="Z450" s="571"/>
    </row>
    <row r="451" spans="1:26" ht="18.75">
      <c r="A451" s="567"/>
      <c r="B451" s="568"/>
      <c r="C451" s="754"/>
      <c r="D451" s="754"/>
      <c r="E451" s="754"/>
      <c r="F451" s="754" t="s">
        <v>187</v>
      </c>
      <c r="G451" s="189"/>
      <c r="H451" s="161" t="s">
        <v>12</v>
      </c>
      <c r="I451" s="269"/>
      <c r="J451" s="269"/>
      <c r="K451" s="496"/>
      <c r="L451" s="496"/>
      <c r="M451" s="496"/>
      <c r="N451" s="817">
        <v>0</v>
      </c>
      <c r="O451" s="496"/>
      <c r="P451" s="496"/>
      <c r="Q451" s="571"/>
      <c r="R451" s="571"/>
      <c r="S451" s="571"/>
      <c r="T451" s="571"/>
      <c r="U451" s="571"/>
      <c r="V451" s="571"/>
      <c r="W451" s="571"/>
      <c r="X451" s="571"/>
      <c r="Y451" s="571"/>
      <c r="Z451" s="571"/>
    </row>
    <row r="452" spans="1:26" ht="18.75">
      <c r="A452" s="567"/>
      <c r="B452" s="568"/>
      <c r="C452" s="568"/>
      <c r="D452" s="568"/>
      <c r="E452" s="568"/>
      <c r="F452" s="754" t="s">
        <v>188</v>
      </c>
      <c r="G452" s="189"/>
      <c r="H452" s="161" t="s">
        <v>12</v>
      </c>
      <c r="I452" s="269"/>
      <c r="J452" s="269"/>
      <c r="K452" s="496"/>
      <c r="L452" s="496"/>
      <c r="M452" s="496"/>
      <c r="N452" s="817">
        <v>0</v>
      </c>
      <c r="O452" s="496"/>
      <c r="P452" s="496"/>
      <c r="Q452" s="571"/>
      <c r="R452" s="571"/>
      <c r="S452" s="571"/>
      <c r="T452" s="571"/>
      <c r="U452" s="571"/>
      <c r="V452" s="571"/>
      <c r="W452" s="571"/>
      <c r="X452" s="571"/>
      <c r="Y452" s="571"/>
      <c r="Z452" s="571"/>
    </row>
    <row r="453" spans="1:26" ht="18.75">
      <c r="A453" s="567"/>
      <c r="B453" s="568"/>
      <c r="C453" s="568"/>
      <c r="D453" s="568"/>
      <c r="E453" s="568"/>
      <c r="F453" s="754" t="s">
        <v>189</v>
      </c>
      <c r="G453" s="189"/>
      <c r="H453" s="161" t="s">
        <v>12</v>
      </c>
      <c r="I453" s="269"/>
      <c r="J453" s="269"/>
      <c r="K453" s="496"/>
      <c r="L453" s="496"/>
      <c r="M453" s="496"/>
      <c r="N453" s="817">
        <v>0</v>
      </c>
      <c r="O453" s="496"/>
      <c r="P453" s="496"/>
      <c r="Q453" s="571"/>
      <c r="R453" s="571"/>
      <c r="S453" s="571"/>
      <c r="T453" s="571"/>
      <c r="U453" s="571"/>
      <c r="V453" s="571"/>
      <c r="W453" s="571"/>
      <c r="X453" s="571"/>
      <c r="Y453" s="571"/>
      <c r="Z453" s="571"/>
    </row>
    <row r="454" spans="1:26" ht="18.75">
      <c r="A454" s="590"/>
      <c r="B454" s="568"/>
      <c r="C454" s="568"/>
      <c r="D454" s="599" t="s">
        <v>21</v>
      </c>
      <c r="E454" s="568"/>
      <c r="F454" s="754"/>
      <c r="G454" s="189"/>
      <c r="H454" s="168" t="s">
        <v>12</v>
      </c>
      <c r="I454" s="184"/>
      <c r="J454" s="184"/>
      <c r="K454" s="163"/>
      <c r="L454" s="496">
        <f t="shared" ref="L454:N454" ca="1" si="201">L455+L456</f>
        <v>0</v>
      </c>
      <c r="M454" s="496">
        <f t="shared" si="201"/>
        <v>0</v>
      </c>
      <c r="N454" s="496">
        <f t="shared" si="201"/>
        <v>0</v>
      </c>
      <c r="O454" s="496">
        <f t="shared" ref="O454:O456" ca="1" si="202">IF(L454&gt;0,N454*100/L454,0)</f>
        <v>0</v>
      </c>
      <c r="P454" s="496">
        <f t="shared" ref="P454:P456" si="203">IF(M454&gt;0,N454*100/M454,0)</f>
        <v>0</v>
      </c>
      <c r="Q454" s="571"/>
      <c r="R454" s="571"/>
      <c r="S454" s="571"/>
      <c r="T454" s="571"/>
      <c r="U454" s="571"/>
      <c r="V454" s="571"/>
      <c r="W454" s="571"/>
      <c r="X454" s="571"/>
      <c r="Y454" s="571"/>
      <c r="Z454" s="571"/>
    </row>
    <row r="455" spans="1:26" ht="18.75" hidden="1">
      <c r="A455" s="592"/>
      <c r="B455" s="600"/>
      <c r="C455" s="600"/>
      <c r="D455" s="600"/>
      <c r="E455" s="600" t="s">
        <v>18</v>
      </c>
      <c r="F455" s="750"/>
      <c r="G455" s="596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2"/>
        <v>0</v>
      </c>
      <c r="P455" s="93">
        <f t="shared" si="203"/>
        <v>0</v>
      </c>
      <c r="Q455" s="597"/>
      <c r="R455" s="597"/>
      <c r="S455" s="597"/>
      <c r="T455" s="597"/>
      <c r="U455" s="597"/>
      <c r="V455" s="597"/>
      <c r="W455" s="597"/>
      <c r="X455" s="597"/>
      <c r="Y455" s="597"/>
      <c r="Z455" s="597"/>
    </row>
    <row r="456" spans="1:26" ht="18.75" hidden="1">
      <c r="A456" s="592"/>
      <c r="B456" s="600"/>
      <c r="C456" s="600"/>
      <c r="D456" s="600"/>
      <c r="E456" s="600" t="s">
        <v>19</v>
      </c>
      <c r="F456" s="750"/>
      <c r="G456" s="596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IFERROR(__xludf.DUMMYFUNCTION("IMPORTRANGE(""https://docs.google.com/spreadsheets/d/1QqKyyYR6Q21VydFLVH3TRQUabQu_ym0Zz7PgGX0-kHA/edit?usp=sharing"",""แผน!FM70"")"),0)</f>
        <v>0</v>
      </c>
      <c r="M456" s="93">
        <v>0</v>
      </c>
      <c r="N456" s="93">
        <v>0</v>
      </c>
      <c r="O456" s="93">
        <f t="shared" ca="1" si="202"/>
        <v>0</v>
      </c>
      <c r="P456" s="93">
        <f t="shared" si="203"/>
        <v>0</v>
      </c>
      <c r="Q456" s="597"/>
      <c r="R456" s="597"/>
      <c r="S456" s="597"/>
      <c r="T456" s="597"/>
      <c r="U456" s="597"/>
      <c r="V456" s="597"/>
      <c r="W456" s="597"/>
      <c r="X456" s="597"/>
      <c r="Y456" s="597"/>
      <c r="Z456" s="597"/>
    </row>
    <row r="457" spans="1:26" ht="19.5">
      <c r="A457" s="601"/>
      <c r="B457" s="611"/>
      <c r="C457" s="568" t="s">
        <v>16</v>
      </c>
      <c r="D457" s="836" t="s">
        <v>38</v>
      </c>
      <c r="E457" s="604"/>
      <c r="F457" s="752"/>
      <c r="G457" s="606"/>
      <c r="H457" s="753"/>
      <c r="I457" s="269"/>
      <c r="J457" s="269"/>
      <c r="K457" s="496"/>
      <c r="L457" s="496"/>
      <c r="M457" s="496"/>
      <c r="N457" s="496"/>
      <c r="O457" s="496"/>
      <c r="P457" s="496"/>
      <c r="Q457" s="571"/>
      <c r="R457" s="571"/>
      <c r="S457" s="571"/>
      <c r="T457" s="571"/>
      <c r="U457" s="571"/>
      <c r="V457" s="571"/>
      <c r="W457" s="571"/>
      <c r="X457" s="571"/>
      <c r="Y457" s="571"/>
      <c r="Z457" s="571"/>
    </row>
    <row r="458" spans="1:26" ht="18.75" hidden="1">
      <c r="A458" s="607"/>
      <c r="B458" s="609"/>
      <c r="C458" s="609"/>
      <c r="D458" s="609" t="s">
        <v>200</v>
      </c>
      <c r="E458" s="609"/>
      <c r="F458" s="711"/>
      <c r="G458" s="365"/>
      <c r="H458" s="369" t="s">
        <v>35</v>
      </c>
      <c r="I458" s="610">
        <v>0</v>
      </c>
      <c r="J458" s="610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597"/>
      <c r="R458" s="597"/>
      <c r="S458" s="597"/>
      <c r="T458" s="597"/>
      <c r="U458" s="597"/>
      <c r="V458" s="597"/>
      <c r="W458" s="597"/>
      <c r="X458" s="597"/>
      <c r="Y458" s="597"/>
      <c r="Z458" s="597"/>
    </row>
    <row r="459" spans="1:26" ht="18.75" hidden="1">
      <c r="A459" s="607"/>
      <c r="B459" s="609"/>
      <c r="C459" s="609"/>
      <c r="D459" s="609" t="s">
        <v>201</v>
      </c>
      <c r="E459" s="609"/>
      <c r="F459" s="711"/>
      <c r="G459" s="365"/>
      <c r="H459" s="369"/>
      <c r="I459" s="610"/>
      <c r="J459" s="610"/>
      <c r="K459" s="93"/>
      <c r="L459" s="93"/>
      <c r="M459" s="93"/>
      <c r="N459" s="93"/>
      <c r="O459" s="93"/>
      <c r="P459" s="93"/>
      <c r="Q459" s="597"/>
      <c r="R459" s="597"/>
      <c r="S459" s="597"/>
      <c r="T459" s="597"/>
      <c r="U459" s="597"/>
      <c r="V459" s="597"/>
      <c r="W459" s="597"/>
      <c r="X459" s="597"/>
      <c r="Y459" s="597"/>
      <c r="Z459" s="597"/>
    </row>
    <row r="460" spans="1:26" ht="18.75">
      <c r="A460" s="601"/>
      <c r="B460" s="611"/>
      <c r="C460" s="611"/>
      <c r="D460" s="611" t="s">
        <v>202</v>
      </c>
      <c r="E460" s="611"/>
      <c r="F460" s="619"/>
      <c r="G460" s="753"/>
      <c r="H460" s="755" t="s">
        <v>35</v>
      </c>
      <c r="I460" s="269">
        <f ca="1">IFERROR(__xludf.DUMMYFUNCTION("IMPORTRANGE(""https://docs.google.com/spreadsheets/d/1QqKyyYR6Q21VydFLVH3TRQUabQu_ym0Zz7PgGX0-kHA/edit?usp=sharing"",""แผน!FN70"")"),10)</f>
        <v>10</v>
      </c>
      <c r="J460" s="214">
        <v>0</v>
      </c>
      <c r="K460" s="496">
        <f ca="1">IF(I460&gt;0,J460*100/I460,0)</f>
        <v>0</v>
      </c>
      <c r="L460" s="496"/>
      <c r="M460" s="496"/>
      <c r="N460" s="496"/>
      <c r="O460" s="496"/>
      <c r="P460" s="496"/>
      <c r="Q460" s="571"/>
      <c r="R460" s="571"/>
      <c r="S460" s="571"/>
      <c r="T460" s="571"/>
      <c r="U460" s="571"/>
      <c r="V460" s="571"/>
      <c r="W460" s="571"/>
      <c r="X460" s="571"/>
      <c r="Y460" s="571"/>
      <c r="Z460" s="571"/>
    </row>
    <row r="461" spans="1:26" ht="18.75">
      <c r="A461" s="601"/>
      <c r="B461" s="611"/>
      <c r="C461" s="611"/>
      <c r="D461" s="611" t="s">
        <v>203</v>
      </c>
      <c r="E461" s="619"/>
      <c r="F461" s="619"/>
      <c r="G461" s="753"/>
      <c r="H461" s="755"/>
      <c r="I461" s="269"/>
      <c r="J461" s="269"/>
      <c r="K461" s="496"/>
      <c r="L461" s="496"/>
      <c r="M461" s="496"/>
      <c r="N461" s="496"/>
      <c r="O461" s="496"/>
      <c r="P461" s="496"/>
      <c r="Q461" s="571"/>
      <c r="R461" s="571"/>
      <c r="S461" s="571"/>
      <c r="T461" s="571"/>
      <c r="U461" s="571"/>
      <c r="V461" s="571"/>
      <c r="W461" s="571"/>
      <c r="X461" s="571"/>
      <c r="Y461" s="571"/>
      <c r="Z461" s="571"/>
    </row>
    <row r="462" spans="1:26" ht="18.75">
      <c r="A462" s="601"/>
      <c r="B462" s="611"/>
      <c r="C462" s="611"/>
      <c r="D462" s="611" t="s">
        <v>204</v>
      </c>
      <c r="E462" s="619"/>
      <c r="F462" s="619"/>
      <c r="G462" s="753"/>
      <c r="H462" s="755" t="s">
        <v>46</v>
      </c>
      <c r="I462" s="269">
        <f ca="1">IFERROR(__xludf.DUMMYFUNCTION("IMPORTRANGE(""https://docs.google.com/spreadsheets/d/1QqKyyYR6Q21VydFLVH3TRQUabQu_ym0Zz7PgGX0-kHA/edit?usp=sharing"",""แผน!FO70"")"),20)</f>
        <v>20</v>
      </c>
      <c r="J462" s="214">
        <v>0</v>
      </c>
      <c r="K462" s="496">
        <f ca="1">IF(I462&gt;0,J462*100/I462,0)</f>
        <v>0</v>
      </c>
      <c r="L462" s="496"/>
      <c r="M462" s="496"/>
      <c r="N462" s="496"/>
      <c r="O462" s="496"/>
      <c r="P462" s="496"/>
      <c r="Q462" s="571"/>
      <c r="R462" s="571"/>
      <c r="S462" s="571"/>
      <c r="T462" s="571"/>
      <c r="U462" s="571"/>
      <c r="V462" s="571"/>
      <c r="W462" s="571"/>
      <c r="X462" s="571"/>
      <c r="Y462" s="571"/>
      <c r="Z462" s="571"/>
    </row>
    <row r="463" spans="1:26" ht="18.75">
      <c r="A463" s="601"/>
      <c r="B463" s="611"/>
      <c r="C463" s="611"/>
      <c r="D463" s="611" t="s">
        <v>59</v>
      </c>
      <c r="E463" s="619"/>
      <c r="F463" s="754"/>
      <c r="G463" s="189"/>
      <c r="H463" s="755" t="s">
        <v>46</v>
      </c>
      <c r="I463" s="269">
        <f ca="1">IFERROR(__xludf.DUMMYFUNCTION("IMPORTRANGE(""https://docs.google.com/spreadsheets/d/1QqKyyYR6Q21VydFLVH3TRQUabQu_ym0Zz7PgGX0-kHA/edit?usp=sharing"",""แผน!FO70"")"),20)</f>
        <v>20</v>
      </c>
      <c r="J463" s="214">
        <v>0</v>
      </c>
      <c r="K463" s="496"/>
      <c r="L463" s="496"/>
      <c r="M463" s="496"/>
      <c r="N463" s="496"/>
      <c r="O463" s="496"/>
      <c r="P463" s="496"/>
      <c r="Q463" s="571"/>
      <c r="R463" s="571"/>
      <c r="S463" s="571"/>
      <c r="T463" s="571"/>
      <c r="U463" s="571"/>
      <c r="V463" s="571"/>
      <c r="W463" s="571"/>
      <c r="X463" s="571"/>
      <c r="Y463" s="571"/>
      <c r="Z463" s="571"/>
    </row>
    <row r="464" spans="1:26" ht="19.5">
      <c r="A464" s="601"/>
      <c r="B464" s="611"/>
      <c r="C464" s="611"/>
      <c r="D464" s="611"/>
      <c r="E464" s="619"/>
      <c r="F464" s="619"/>
      <c r="G464" s="613"/>
      <c r="H464" s="755" t="s">
        <v>35</v>
      </c>
      <c r="I464" s="269">
        <f ca="1">IFERROR(__xludf.DUMMYFUNCTION("IMPORTRANGE(""https://docs.google.com/spreadsheets/d/1QqKyyYR6Q21VydFLVH3TRQUabQu_ym0Zz7PgGX0-kHA/edit?usp=sharing"",""แผน!FN70"")"),10)</f>
        <v>10</v>
      </c>
      <c r="J464" s="214">
        <v>0</v>
      </c>
      <c r="K464" s="496"/>
      <c r="L464" s="496"/>
      <c r="M464" s="496"/>
      <c r="N464" s="496"/>
      <c r="O464" s="496"/>
      <c r="P464" s="496"/>
      <c r="Q464" s="571"/>
      <c r="R464" s="571"/>
      <c r="S464" s="571"/>
      <c r="T464" s="571"/>
      <c r="U464" s="571"/>
      <c r="V464" s="571"/>
      <c r="W464" s="571"/>
      <c r="X464" s="571"/>
      <c r="Y464" s="571"/>
      <c r="Z464" s="571"/>
    </row>
    <row r="465" spans="1:26" ht="19.5">
      <c r="A465" s="578">
        <v>3</v>
      </c>
      <c r="B465" s="579" t="s">
        <v>205</v>
      </c>
      <c r="C465" s="580"/>
      <c r="D465" s="580"/>
      <c r="E465" s="580"/>
      <c r="F465" s="580"/>
      <c r="G465" s="581"/>
      <c r="H465" s="582" t="s">
        <v>35</v>
      </c>
      <c r="I465" s="583">
        <f ca="1">IFERROR(__xludf.DUMMYFUNCTION("IMPORTRANGE(""https://docs.google.com/spreadsheets/d/1QqKyyYR6Q21VydFLVH3TRQUabQu_ym0Zz7PgGX0-kHA/edit?usp=sharing"",""แผน!FX70"")"),21)</f>
        <v>21</v>
      </c>
      <c r="J465" s="583">
        <f>J485+J489+J492</f>
        <v>0</v>
      </c>
      <c r="K465" s="584">
        <f t="shared" ref="K465:K466" ca="1" si="204">IF(I465&gt;0,J465*100/I465,0)</f>
        <v>0</v>
      </c>
      <c r="L465" s="585"/>
      <c r="M465" s="585"/>
      <c r="N465" s="585"/>
      <c r="O465" s="585"/>
      <c r="P465" s="585"/>
      <c r="Q465" s="571"/>
      <c r="R465" s="571"/>
      <c r="S465" s="571"/>
      <c r="T465" s="571"/>
      <c r="U465" s="571"/>
      <c r="V465" s="571"/>
      <c r="W465" s="571"/>
      <c r="X465" s="571"/>
      <c r="Y465" s="571"/>
      <c r="Z465" s="571"/>
    </row>
    <row r="466" spans="1:26" ht="19.5">
      <c r="A466" s="586"/>
      <c r="B466" s="587"/>
      <c r="C466" s="588"/>
      <c r="D466" s="588"/>
      <c r="E466" s="588"/>
      <c r="F466" s="588"/>
      <c r="G466" s="589"/>
      <c r="H466" s="562" t="s">
        <v>46</v>
      </c>
      <c r="I466" s="563">
        <f ca="1">IFERROR(__xludf.DUMMYFUNCTION("IMPORTRANGE(""https://docs.google.com/spreadsheets/d/1QqKyyYR6Q21VydFLVH3TRQUabQu_ym0Zz7PgGX0-kHA/edit?usp=sharing"",""แผน!FW70"")"),200)</f>
        <v>200</v>
      </c>
      <c r="J466" s="563">
        <f>J483+J487</f>
        <v>0</v>
      </c>
      <c r="K466" s="564">
        <f t="shared" ca="1" si="204"/>
        <v>0</v>
      </c>
      <c r="L466" s="565"/>
      <c r="M466" s="565"/>
      <c r="N466" s="565"/>
      <c r="O466" s="565"/>
      <c r="P466" s="565"/>
      <c r="Q466" s="571"/>
      <c r="R466" s="571"/>
      <c r="S466" s="571"/>
      <c r="T466" s="571"/>
      <c r="U466" s="571"/>
      <c r="V466" s="571"/>
      <c r="W466" s="571"/>
      <c r="X466" s="571"/>
      <c r="Y466" s="571"/>
      <c r="Z466" s="571"/>
    </row>
    <row r="467" spans="1:26" ht="19.5">
      <c r="A467" s="590"/>
      <c r="B467" s="754"/>
      <c r="C467" s="754" t="s">
        <v>16</v>
      </c>
      <c r="D467" s="863" t="s">
        <v>17</v>
      </c>
      <c r="E467" s="857"/>
      <c r="F467" s="857"/>
      <c r="G467" s="189"/>
      <c r="H467" s="591" t="s">
        <v>12</v>
      </c>
      <c r="I467" s="269"/>
      <c r="J467" s="269"/>
      <c r="K467" s="496"/>
      <c r="L467" s="195">
        <f t="shared" ref="L467:N467" ca="1" si="205">L468+L469</f>
        <v>174403</v>
      </c>
      <c r="M467" s="195">
        <f t="shared" si="205"/>
        <v>0</v>
      </c>
      <c r="N467" s="195">
        <f t="shared" si="205"/>
        <v>0</v>
      </c>
      <c r="O467" s="195">
        <f t="shared" ref="O467:O472" ca="1" si="206">IF(L467&gt;0,N467*100/L467,0)</f>
        <v>0</v>
      </c>
      <c r="P467" s="195">
        <f t="shared" ref="P467:P472" si="207">IF(M467&gt;0,N467*100/M467,0)</f>
        <v>0</v>
      </c>
      <c r="Q467" s="571"/>
      <c r="R467" s="571"/>
      <c r="S467" s="571"/>
      <c r="T467" s="571"/>
      <c r="U467" s="571"/>
      <c r="V467" s="571"/>
      <c r="W467" s="571"/>
      <c r="X467" s="571"/>
      <c r="Y467" s="571"/>
      <c r="Z467" s="571"/>
    </row>
    <row r="468" spans="1:26" ht="18.75" hidden="1">
      <c r="A468" s="592"/>
      <c r="B468" s="750"/>
      <c r="C468" s="750"/>
      <c r="D468" s="711"/>
      <c r="E468" s="750" t="s">
        <v>184</v>
      </c>
      <c r="F468" s="750"/>
      <c r="G468" s="596"/>
      <c r="H468" s="165" t="s">
        <v>12</v>
      </c>
      <c r="I468" s="610"/>
      <c r="J468" s="610"/>
      <c r="K468" s="93"/>
      <c r="L468" s="93">
        <f t="shared" ref="L468:N469" si="208">L471+L478</f>
        <v>0</v>
      </c>
      <c r="M468" s="93">
        <f t="shared" si="208"/>
        <v>0</v>
      </c>
      <c r="N468" s="93">
        <f t="shared" si="208"/>
        <v>0</v>
      </c>
      <c r="O468" s="93">
        <f t="shared" si="206"/>
        <v>0</v>
      </c>
      <c r="P468" s="93">
        <f t="shared" si="207"/>
        <v>0</v>
      </c>
      <c r="Q468" s="597"/>
      <c r="R468" s="597"/>
      <c r="S468" s="597"/>
      <c r="T468" s="597"/>
      <c r="U468" s="597"/>
      <c r="V468" s="597"/>
      <c r="W468" s="597"/>
      <c r="X468" s="597"/>
      <c r="Y468" s="597"/>
      <c r="Z468" s="597"/>
    </row>
    <row r="469" spans="1:26" ht="18.75" hidden="1">
      <c r="A469" s="592"/>
      <c r="B469" s="600"/>
      <c r="C469" s="750"/>
      <c r="D469" s="711"/>
      <c r="E469" s="750" t="s">
        <v>185</v>
      </c>
      <c r="F469" s="750"/>
      <c r="G469" s="596"/>
      <c r="H469" s="165" t="s">
        <v>12</v>
      </c>
      <c r="I469" s="610"/>
      <c r="J469" s="610"/>
      <c r="K469" s="93"/>
      <c r="L469" s="93">
        <f t="shared" ca="1" si="208"/>
        <v>174403</v>
      </c>
      <c r="M469" s="93">
        <f t="shared" si="208"/>
        <v>0</v>
      </c>
      <c r="N469" s="93">
        <f t="shared" si="208"/>
        <v>0</v>
      </c>
      <c r="O469" s="93">
        <f t="shared" ca="1" si="206"/>
        <v>0</v>
      </c>
      <c r="P469" s="93">
        <f t="shared" si="207"/>
        <v>0</v>
      </c>
      <c r="Q469" s="597"/>
      <c r="R469" s="597"/>
      <c r="S469" s="597"/>
      <c r="T469" s="597"/>
      <c r="U469" s="597"/>
      <c r="V469" s="597"/>
      <c r="W469" s="597"/>
      <c r="X469" s="597"/>
      <c r="Y469" s="597"/>
      <c r="Z469" s="597"/>
    </row>
    <row r="470" spans="1:26" ht="18.75">
      <c r="A470" s="590"/>
      <c r="B470" s="568"/>
      <c r="C470" s="754"/>
      <c r="D470" s="599" t="s">
        <v>20</v>
      </c>
      <c r="E470" s="754"/>
      <c r="F470" s="754"/>
      <c r="G470" s="189"/>
      <c r="H470" s="161" t="s">
        <v>12</v>
      </c>
      <c r="I470" s="184"/>
      <c r="J470" s="184"/>
      <c r="K470" s="163"/>
      <c r="L470" s="496">
        <f t="shared" ref="L470:N470" ca="1" si="209">L471+L472</f>
        <v>174403</v>
      </c>
      <c r="M470" s="496">
        <f t="shared" si="209"/>
        <v>0</v>
      </c>
      <c r="N470" s="496">
        <f t="shared" si="209"/>
        <v>0</v>
      </c>
      <c r="O470" s="496">
        <f t="shared" ca="1" si="206"/>
        <v>0</v>
      </c>
      <c r="P470" s="496">
        <f t="shared" si="207"/>
        <v>0</v>
      </c>
      <c r="Q470" s="571"/>
      <c r="R470" s="571"/>
      <c r="S470" s="571"/>
      <c r="T470" s="571"/>
      <c r="U470" s="571"/>
      <c r="V470" s="571"/>
      <c r="W470" s="571"/>
      <c r="X470" s="571"/>
      <c r="Y470" s="571"/>
      <c r="Z470" s="571"/>
    </row>
    <row r="471" spans="1:26" ht="18.75" hidden="1">
      <c r="A471" s="592"/>
      <c r="B471" s="600"/>
      <c r="C471" s="750"/>
      <c r="D471" s="711"/>
      <c r="E471" s="750" t="s">
        <v>184</v>
      </c>
      <c r="F471" s="750"/>
      <c r="G471" s="596"/>
      <c r="H471" s="165" t="s">
        <v>12</v>
      </c>
      <c r="I471" s="610"/>
      <c r="J471" s="610"/>
      <c r="K471" s="93"/>
      <c r="L471" s="93">
        <v>0</v>
      </c>
      <c r="M471" s="93">
        <v>0</v>
      </c>
      <c r="N471" s="93">
        <v>0</v>
      </c>
      <c r="O471" s="93">
        <f t="shared" si="206"/>
        <v>0</v>
      </c>
      <c r="P471" s="93">
        <f t="shared" si="207"/>
        <v>0</v>
      </c>
      <c r="Q471" s="597"/>
      <c r="R471" s="597"/>
      <c r="S471" s="597"/>
      <c r="T471" s="597"/>
      <c r="U471" s="597"/>
      <c r="V471" s="597"/>
      <c r="W471" s="597"/>
      <c r="X471" s="597"/>
      <c r="Y471" s="597"/>
      <c r="Z471" s="597"/>
    </row>
    <row r="472" spans="1:26" ht="18.75" hidden="1">
      <c r="A472" s="592"/>
      <c r="B472" s="600"/>
      <c r="C472" s="750"/>
      <c r="D472" s="711"/>
      <c r="E472" s="750" t="s">
        <v>185</v>
      </c>
      <c r="F472" s="750"/>
      <c r="G472" s="596"/>
      <c r="H472" s="165" t="s">
        <v>12</v>
      </c>
      <c r="I472" s="610"/>
      <c r="J472" s="610"/>
      <c r="K472" s="93"/>
      <c r="L472" s="93">
        <f ca="1">IFERROR(__xludf.DUMMYFUNCTION("IMPORTRANGE(""https://docs.google.com/spreadsheets/d/1QqKyyYR6Q21VydFLVH3TRQUabQu_ym0Zz7PgGX0-kHA/edit?usp=sharing"",""แผน!FS70"")"),174403)</f>
        <v>174403</v>
      </c>
      <c r="M472" s="93">
        <v>0</v>
      </c>
      <c r="N472" s="93">
        <f>N473+N474+N475+N476</f>
        <v>0</v>
      </c>
      <c r="O472" s="93">
        <f t="shared" ca="1" si="206"/>
        <v>0</v>
      </c>
      <c r="P472" s="93">
        <f t="shared" si="207"/>
        <v>0</v>
      </c>
      <c r="Q472" s="597"/>
      <c r="R472" s="597"/>
      <c r="S472" s="597"/>
      <c r="T472" s="597"/>
      <c r="U472" s="597"/>
      <c r="V472" s="597"/>
      <c r="W472" s="597"/>
      <c r="X472" s="597"/>
      <c r="Y472" s="597"/>
      <c r="Z472" s="597"/>
    </row>
    <row r="473" spans="1:26" ht="18.75">
      <c r="A473" s="567"/>
      <c r="B473" s="568"/>
      <c r="C473" s="754"/>
      <c r="D473" s="754"/>
      <c r="E473" s="754"/>
      <c r="F473" s="754" t="s">
        <v>186</v>
      </c>
      <c r="G473" s="189"/>
      <c r="H473" s="161" t="s">
        <v>12</v>
      </c>
      <c r="I473" s="269"/>
      <c r="J473" s="269"/>
      <c r="K473" s="496"/>
      <c r="L473" s="496"/>
      <c r="M473" s="496"/>
      <c r="N473" s="817">
        <v>0</v>
      </c>
      <c r="O473" s="496"/>
      <c r="P473" s="496"/>
      <c r="Q473" s="571"/>
      <c r="R473" s="571"/>
      <c r="S473" s="571"/>
      <c r="T473" s="571"/>
      <c r="U473" s="571"/>
      <c r="V473" s="571"/>
      <c r="W473" s="571"/>
      <c r="X473" s="571"/>
      <c r="Y473" s="571"/>
      <c r="Z473" s="571"/>
    </row>
    <row r="474" spans="1:26" ht="18.75">
      <c r="A474" s="567"/>
      <c r="B474" s="568"/>
      <c r="C474" s="754"/>
      <c r="D474" s="754"/>
      <c r="E474" s="754"/>
      <c r="F474" s="754" t="s">
        <v>187</v>
      </c>
      <c r="G474" s="189"/>
      <c r="H474" s="161" t="s">
        <v>12</v>
      </c>
      <c r="I474" s="269"/>
      <c r="J474" s="269"/>
      <c r="K474" s="496"/>
      <c r="L474" s="496"/>
      <c r="M474" s="496"/>
      <c r="N474" s="817">
        <v>0</v>
      </c>
      <c r="O474" s="496"/>
      <c r="P474" s="496"/>
      <c r="Q474" s="571"/>
      <c r="R474" s="571"/>
      <c r="S474" s="571"/>
      <c r="T474" s="571"/>
      <c r="U474" s="571"/>
      <c r="V474" s="571"/>
      <c r="W474" s="571"/>
      <c r="X474" s="571"/>
      <c r="Y474" s="571"/>
      <c r="Z474" s="571"/>
    </row>
    <row r="475" spans="1:26" ht="18.75">
      <c r="A475" s="567"/>
      <c r="B475" s="568"/>
      <c r="C475" s="568"/>
      <c r="D475" s="568"/>
      <c r="E475" s="568"/>
      <c r="F475" s="754" t="s">
        <v>188</v>
      </c>
      <c r="G475" s="189"/>
      <c r="H475" s="161" t="s">
        <v>12</v>
      </c>
      <c r="I475" s="269"/>
      <c r="J475" s="269"/>
      <c r="K475" s="496"/>
      <c r="L475" s="496"/>
      <c r="M475" s="496"/>
      <c r="N475" s="817">
        <v>0</v>
      </c>
      <c r="O475" s="496"/>
      <c r="P475" s="496"/>
      <c r="Q475" s="571"/>
      <c r="R475" s="571"/>
      <c r="S475" s="571"/>
      <c r="T475" s="571"/>
      <c r="U475" s="571"/>
      <c r="V475" s="571"/>
      <c r="W475" s="571"/>
      <c r="X475" s="571"/>
      <c r="Y475" s="571"/>
      <c r="Z475" s="571"/>
    </row>
    <row r="476" spans="1:26" ht="18.75">
      <c r="A476" s="567"/>
      <c r="B476" s="568"/>
      <c r="C476" s="568"/>
      <c r="D476" s="568"/>
      <c r="E476" s="568"/>
      <c r="F476" s="754" t="s">
        <v>189</v>
      </c>
      <c r="G476" s="189"/>
      <c r="H476" s="161" t="s">
        <v>12</v>
      </c>
      <c r="I476" s="269"/>
      <c r="J476" s="269"/>
      <c r="K476" s="496"/>
      <c r="L476" s="496"/>
      <c r="M476" s="496"/>
      <c r="N476" s="817">
        <v>0</v>
      </c>
      <c r="O476" s="496"/>
      <c r="P476" s="496"/>
      <c r="Q476" s="571"/>
      <c r="R476" s="571"/>
      <c r="S476" s="571"/>
      <c r="T476" s="571"/>
      <c r="U476" s="571"/>
      <c r="V476" s="571"/>
      <c r="W476" s="571"/>
      <c r="X476" s="571"/>
      <c r="Y476" s="571"/>
      <c r="Z476" s="571"/>
    </row>
    <row r="477" spans="1:26" ht="18.75">
      <c r="A477" s="590"/>
      <c r="B477" s="568"/>
      <c r="C477" s="568"/>
      <c r="D477" s="599" t="s">
        <v>21</v>
      </c>
      <c r="E477" s="568"/>
      <c r="F477" s="568"/>
      <c r="G477" s="189"/>
      <c r="H477" s="168" t="s">
        <v>12</v>
      </c>
      <c r="I477" s="184"/>
      <c r="J477" s="184"/>
      <c r="K477" s="163"/>
      <c r="L477" s="496">
        <f t="shared" ref="L477:N477" ca="1" si="210">L478+L479</f>
        <v>0</v>
      </c>
      <c r="M477" s="496">
        <f t="shared" si="210"/>
        <v>0</v>
      </c>
      <c r="N477" s="496">
        <f t="shared" si="210"/>
        <v>0</v>
      </c>
      <c r="O477" s="496">
        <f t="shared" ref="O477:O479" ca="1" si="211">IF(L477&gt;0,N477*100/L477,0)</f>
        <v>0</v>
      </c>
      <c r="P477" s="496">
        <f t="shared" ref="P477:P479" si="212">IF(M477&gt;0,N477*100/M477,0)</f>
        <v>0</v>
      </c>
      <c r="Q477" s="571"/>
      <c r="R477" s="571"/>
      <c r="S477" s="571"/>
      <c r="T477" s="571"/>
      <c r="U477" s="571"/>
      <c r="V477" s="571"/>
      <c r="W477" s="571"/>
      <c r="X477" s="571"/>
      <c r="Y477" s="571"/>
      <c r="Z477" s="571"/>
    </row>
    <row r="478" spans="1:26" ht="18.75" hidden="1">
      <c r="A478" s="592"/>
      <c r="B478" s="600"/>
      <c r="C478" s="600"/>
      <c r="D478" s="600"/>
      <c r="E478" s="600" t="s">
        <v>18</v>
      </c>
      <c r="F478" s="600"/>
      <c r="G478" s="596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1"/>
        <v>0</v>
      </c>
      <c r="P478" s="93">
        <f t="shared" si="212"/>
        <v>0</v>
      </c>
      <c r="Q478" s="597"/>
      <c r="R478" s="597"/>
      <c r="S478" s="597"/>
      <c r="T478" s="597"/>
      <c r="U478" s="597"/>
      <c r="V478" s="597"/>
      <c r="W478" s="597"/>
      <c r="X478" s="597"/>
      <c r="Y478" s="597"/>
      <c r="Z478" s="597"/>
    </row>
    <row r="479" spans="1:26" ht="18.75" hidden="1">
      <c r="A479" s="592"/>
      <c r="B479" s="600"/>
      <c r="C479" s="600"/>
      <c r="D479" s="600"/>
      <c r="E479" s="600" t="s">
        <v>19</v>
      </c>
      <c r="F479" s="600"/>
      <c r="G479" s="596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IFERROR(__xludf.DUMMYFUNCTION("IMPORTRANGE(""https://docs.google.com/spreadsheets/d/1QqKyyYR6Q21VydFLVH3TRQUabQu_ym0Zz7PgGX0-kHA/edit?usp=sharing"",""แผน!FV70"")"),0)</f>
        <v>0</v>
      </c>
      <c r="M479" s="93">
        <v>0</v>
      </c>
      <c r="N479" s="93">
        <v>0</v>
      </c>
      <c r="O479" s="93">
        <f t="shared" ca="1" si="211"/>
        <v>0</v>
      </c>
      <c r="P479" s="93">
        <f t="shared" si="212"/>
        <v>0</v>
      </c>
      <c r="Q479" s="597"/>
      <c r="R479" s="597"/>
      <c r="S479" s="597"/>
      <c r="T479" s="597"/>
      <c r="U479" s="597"/>
      <c r="V479" s="597"/>
      <c r="W479" s="597"/>
      <c r="X479" s="597"/>
      <c r="Y479" s="597"/>
      <c r="Z479" s="597"/>
    </row>
    <row r="480" spans="1:26" ht="19.5">
      <c r="A480" s="601"/>
      <c r="B480" s="611"/>
      <c r="C480" s="568" t="s">
        <v>16</v>
      </c>
      <c r="D480" s="837" t="s">
        <v>38</v>
      </c>
      <c r="E480" s="604"/>
      <c r="F480" s="752"/>
      <c r="G480" s="606"/>
      <c r="H480" s="753"/>
      <c r="I480" s="269"/>
      <c r="J480" s="269"/>
      <c r="K480" s="496"/>
      <c r="L480" s="496"/>
      <c r="M480" s="496"/>
      <c r="N480" s="496"/>
      <c r="O480" s="496"/>
      <c r="P480" s="496"/>
      <c r="Q480" s="571"/>
      <c r="R480" s="571"/>
      <c r="S480" s="571"/>
      <c r="T480" s="571"/>
      <c r="U480" s="571"/>
      <c r="V480" s="571"/>
      <c r="W480" s="571"/>
      <c r="X480" s="571"/>
      <c r="Y480" s="571"/>
      <c r="Z480" s="571"/>
    </row>
    <row r="481" spans="1:26" ht="19.5">
      <c r="A481" s="601"/>
      <c r="B481" s="611"/>
      <c r="C481" s="611"/>
      <c r="D481" s="618" t="s">
        <v>206</v>
      </c>
      <c r="E481" s="611"/>
      <c r="F481" s="611"/>
      <c r="G481" s="753"/>
      <c r="H481" s="189"/>
      <c r="I481" s="269"/>
      <c r="J481" s="269"/>
      <c r="K481" s="496"/>
      <c r="L481" s="496"/>
      <c r="M481" s="496"/>
      <c r="N481" s="496"/>
      <c r="O481" s="496"/>
      <c r="P481" s="496"/>
      <c r="Q481" s="571"/>
      <c r="R481" s="571"/>
      <c r="S481" s="571"/>
      <c r="T481" s="571"/>
      <c r="U481" s="571"/>
      <c r="V481" s="571"/>
      <c r="W481" s="571"/>
      <c r="X481" s="571"/>
      <c r="Y481" s="571"/>
      <c r="Z481" s="571"/>
    </row>
    <row r="482" spans="1:26" ht="18.75">
      <c r="A482" s="601"/>
      <c r="B482" s="611"/>
      <c r="C482" s="611"/>
      <c r="D482" s="611"/>
      <c r="E482" s="611" t="s">
        <v>207</v>
      </c>
      <c r="F482" s="611"/>
      <c r="G482" s="753"/>
      <c r="H482" s="189"/>
      <c r="I482" s="269"/>
      <c r="J482" s="269"/>
      <c r="K482" s="496"/>
      <c r="L482" s="496"/>
      <c r="M482" s="496"/>
      <c r="N482" s="496"/>
      <c r="O482" s="496"/>
      <c r="P482" s="496"/>
      <c r="Q482" s="571"/>
      <c r="R482" s="571"/>
      <c r="S482" s="571"/>
      <c r="T482" s="571"/>
      <c r="U482" s="571"/>
      <c r="V482" s="571"/>
      <c r="W482" s="571"/>
      <c r="X482" s="571"/>
      <c r="Y482" s="571"/>
      <c r="Z482" s="571"/>
    </row>
    <row r="483" spans="1:26" ht="18.75">
      <c r="A483" s="601"/>
      <c r="B483" s="611"/>
      <c r="C483" s="611"/>
      <c r="D483" s="611"/>
      <c r="E483" s="611"/>
      <c r="F483" s="611" t="s">
        <v>208</v>
      </c>
      <c r="G483" s="753"/>
      <c r="H483" s="616" t="s">
        <v>46</v>
      </c>
      <c r="I483" s="269">
        <f ca="1">IFERROR(__xludf.DUMMYFUNCTION("IMPORTRANGE(""https://docs.google.com/spreadsheets/d/1QqKyyYR6Q21VydFLVH3TRQUabQu_ym0Zz7PgGX0-kHA/edit?usp=sharing"",""แผน!FY70"")"),180)</f>
        <v>180</v>
      </c>
      <c r="J483" s="214">
        <v>0</v>
      </c>
      <c r="K483" s="496">
        <f ca="1">IF(I483&gt;0,J483*100/I483,0)</f>
        <v>0</v>
      </c>
      <c r="L483" s="496"/>
      <c r="M483" s="496"/>
      <c r="N483" s="496"/>
      <c r="O483" s="496"/>
      <c r="P483" s="496"/>
      <c r="Q483" s="571"/>
      <c r="R483" s="571"/>
      <c r="S483" s="571"/>
      <c r="T483" s="571"/>
      <c r="U483" s="571"/>
      <c r="V483" s="571"/>
      <c r="W483" s="571"/>
      <c r="X483" s="571"/>
      <c r="Y483" s="571"/>
      <c r="Z483" s="571"/>
    </row>
    <row r="484" spans="1:26" ht="18.75">
      <c r="A484" s="601"/>
      <c r="B484" s="611"/>
      <c r="C484" s="611"/>
      <c r="D484" s="611"/>
      <c r="E484" s="611"/>
      <c r="F484" s="611" t="s">
        <v>209</v>
      </c>
      <c r="G484" s="753"/>
      <c r="H484" s="616" t="s">
        <v>35</v>
      </c>
      <c r="I484" s="269"/>
      <c r="J484" s="214">
        <v>0</v>
      </c>
      <c r="K484" s="496"/>
      <c r="L484" s="496"/>
      <c r="M484" s="496"/>
      <c r="N484" s="496"/>
      <c r="O484" s="496"/>
      <c r="P484" s="496"/>
      <c r="Q484" s="571"/>
      <c r="R484" s="571"/>
      <c r="S484" s="571"/>
      <c r="T484" s="571"/>
      <c r="U484" s="571"/>
      <c r="V484" s="571"/>
      <c r="W484" s="571"/>
      <c r="X484" s="571"/>
      <c r="Y484" s="571"/>
      <c r="Z484" s="571"/>
    </row>
    <row r="485" spans="1:26" ht="18.75">
      <c r="A485" s="601"/>
      <c r="B485" s="611"/>
      <c r="C485" s="611"/>
      <c r="D485" s="611"/>
      <c r="E485" s="611"/>
      <c r="F485" s="611" t="s">
        <v>210</v>
      </c>
      <c r="G485" s="753"/>
      <c r="H485" s="616" t="s">
        <v>35</v>
      </c>
      <c r="I485" s="269">
        <f ca="1">IFERROR(__xludf.DUMMYFUNCTION("IMPORTRANGE(""https://docs.google.com/spreadsheets/d/1QqKyyYR6Q21VydFLVH3TRQUabQu_ym0Zz7PgGX0-kHA/edit?usp=sharing"",""แผน!FZ70"")"),18)</f>
        <v>18</v>
      </c>
      <c r="J485" s="214">
        <v>0</v>
      </c>
      <c r="K485" s="496">
        <f ca="1">IF(I485&gt;0,J485*100/I485,0)</f>
        <v>0</v>
      </c>
      <c r="L485" s="496"/>
      <c r="M485" s="496"/>
      <c r="N485" s="496"/>
      <c r="O485" s="496"/>
      <c r="P485" s="496"/>
      <c r="Q485" s="571"/>
      <c r="R485" s="571"/>
      <c r="S485" s="571"/>
      <c r="T485" s="571"/>
      <c r="U485" s="571"/>
      <c r="V485" s="571"/>
      <c r="W485" s="571"/>
      <c r="X485" s="571"/>
      <c r="Y485" s="571"/>
      <c r="Z485" s="571"/>
    </row>
    <row r="486" spans="1:26" ht="18.75">
      <c r="A486" s="601"/>
      <c r="B486" s="611"/>
      <c r="C486" s="611"/>
      <c r="D486" s="611"/>
      <c r="E486" s="611" t="s">
        <v>62</v>
      </c>
      <c r="F486" s="611"/>
      <c r="G486" s="753"/>
      <c r="H486" s="616"/>
      <c r="I486" s="269"/>
      <c r="J486" s="269"/>
      <c r="K486" s="496"/>
      <c r="L486" s="496"/>
      <c r="M486" s="496"/>
      <c r="N486" s="496"/>
      <c r="O486" s="496"/>
      <c r="P486" s="496"/>
      <c r="Q486" s="571"/>
      <c r="R486" s="571"/>
      <c r="S486" s="571"/>
      <c r="T486" s="571"/>
      <c r="U486" s="571"/>
      <c r="V486" s="571"/>
      <c r="W486" s="571"/>
      <c r="X486" s="571"/>
      <c r="Y486" s="571"/>
      <c r="Z486" s="571"/>
    </row>
    <row r="487" spans="1:26" ht="18.75">
      <c r="A487" s="601"/>
      <c r="B487" s="611"/>
      <c r="C487" s="611"/>
      <c r="D487" s="611"/>
      <c r="E487" s="611"/>
      <c r="F487" s="611" t="s">
        <v>208</v>
      </c>
      <c r="G487" s="753"/>
      <c r="H487" s="616" t="s">
        <v>46</v>
      </c>
      <c r="I487" s="269">
        <f ca="1">IFERROR(__xludf.DUMMYFUNCTION("IMPORTRANGE(""https://docs.google.com/spreadsheets/d/1QqKyyYR6Q21VydFLVH3TRQUabQu_ym0Zz7PgGX0-kHA/edit?usp=sharing"",""แผน!GA70"")"),20)</f>
        <v>20</v>
      </c>
      <c r="J487" s="214">
        <v>0</v>
      </c>
      <c r="K487" s="496">
        <f ca="1">IF(I487&gt;0,J487*100/I487,0)</f>
        <v>0</v>
      </c>
      <c r="L487" s="496"/>
      <c r="M487" s="496"/>
      <c r="N487" s="496"/>
      <c r="O487" s="496"/>
      <c r="P487" s="496"/>
      <c r="Q487" s="571"/>
      <c r="R487" s="571"/>
      <c r="S487" s="571"/>
      <c r="T487" s="571"/>
      <c r="U487" s="571"/>
      <c r="V487" s="571"/>
      <c r="W487" s="571"/>
      <c r="X487" s="571"/>
      <c r="Y487" s="571"/>
      <c r="Z487" s="571"/>
    </row>
    <row r="488" spans="1:26" ht="18.75">
      <c r="A488" s="601"/>
      <c r="B488" s="611"/>
      <c r="C488" s="611"/>
      <c r="D488" s="611"/>
      <c r="E488" s="611"/>
      <c r="F488" s="611" t="s">
        <v>211</v>
      </c>
      <c r="G488" s="753"/>
      <c r="H488" s="616" t="s">
        <v>35</v>
      </c>
      <c r="I488" s="269"/>
      <c r="J488" s="214">
        <v>0</v>
      </c>
      <c r="K488" s="496"/>
      <c r="L488" s="496"/>
      <c r="M488" s="496"/>
      <c r="N488" s="496"/>
      <c r="O488" s="496"/>
      <c r="P488" s="496"/>
      <c r="Q488" s="571"/>
      <c r="R488" s="571"/>
      <c r="S488" s="571"/>
      <c r="T488" s="571"/>
      <c r="U488" s="571"/>
      <c r="V488" s="571"/>
      <c r="W488" s="571"/>
      <c r="X488" s="571"/>
      <c r="Y488" s="571"/>
      <c r="Z488" s="571"/>
    </row>
    <row r="489" spans="1:26" ht="18.75">
      <c r="A489" s="601"/>
      <c r="B489" s="611"/>
      <c r="C489" s="611"/>
      <c r="D489" s="611"/>
      <c r="E489" s="611"/>
      <c r="F489" s="611" t="s">
        <v>212</v>
      </c>
      <c r="G489" s="753"/>
      <c r="H489" s="616" t="s">
        <v>35</v>
      </c>
      <c r="I489" s="269">
        <f ca="1">IFERROR(__xludf.DUMMYFUNCTION("IMPORTRANGE(""https://docs.google.com/spreadsheets/d/1QqKyyYR6Q21VydFLVH3TRQUabQu_ym0Zz7PgGX0-kHA/edit?usp=sharing"",""แผน!GB70"")"),2)</f>
        <v>2</v>
      </c>
      <c r="J489" s="214">
        <v>0</v>
      </c>
      <c r="K489" s="496">
        <f ca="1">IF(I489&gt;0,J489*100/I489,0)</f>
        <v>0</v>
      </c>
      <c r="L489" s="496"/>
      <c r="M489" s="496"/>
      <c r="N489" s="496"/>
      <c r="O489" s="496"/>
      <c r="P489" s="496"/>
      <c r="Q489" s="571"/>
      <c r="R489" s="571"/>
      <c r="S489" s="571"/>
      <c r="T489" s="571"/>
      <c r="U489" s="571"/>
      <c r="V489" s="571"/>
      <c r="W489" s="571"/>
      <c r="X489" s="571"/>
      <c r="Y489" s="571"/>
      <c r="Z489" s="571"/>
    </row>
    <row r="490" spans="1:26" ht="18.75">
      <c r="A490" s="601"/>
      <c r="B490" s="611"/>
      <c r="C490" s="611"/>
      <c r="D490" s="611"/>
      <c r="E490" s="611" t="s">
        <v>63</v>
      </c>
      <c r="F490" s="619"/>
      <c r="G490" s="753"/>
      <c r="H490" s="616"/>
      <c r="I490" s="269"/>
      <c r="J490" s="269"/>
      <c r="K490" s="496"/>
      <c r="L490" s="496"/>
      <c r="M490" s="496"/>
      <c r="N490" s="496"/>
      <c r="O490" s="496"/>
      <c r="P490" s="496"/>
      <c r="Q490" s="571"/>
      <c r="R490" s="571"/>
      <c r="S490" s="571"/>
      <c r="T490" s="571"/>
      <c r="U490" s="571"/>
      <c r="V490" s="571"/>
      <c r="W490" s="571"/>
      <c r="X490" s="571"/>
      <c r="Y490" s="571"/>
      <c r="Z490" s="571"/>
    </row>
    <row r="491" spans="1:26" ht="18.75">
      <c r="A491" s="601"/>
      <c r="B491" s="611"/>
      <c r="C491" s="611"/>
      <c r="D491" s="611"/>
      <c r="E491" s="611"/>
      <c r="F491" s="611" t="s">
        <v>213</v>
      </c>
      <c r="G491" s="753"/>
      <c r="H491" s="616" t="s">
        <v>35</v>
      </c>
      <c r="I491" s="269"/>
      <c r="J491" s="214">
        <v>0</v>
      </c>
      <c r="K491" s="496"/>
      <c r="L491" s="496"/>
      <c r="M491" s="496"/>
      <c r="N491" s="496"/>
      <c r="O491" s="496"/>
      <c r="P491" s="496"/>
      <c r="Q491" s="571"/>
      <c r="R491" s="571"/>
      <c r="S491" s="571"/>
      <c r="T491" s="571"/>
      <c r="U491" s="571"/>
      <c r="V491" s="571"/>
      <c r="W491" s="571"/>
      <c r="X491" s="571"/>
      <c r="Y491" s="571"/>
      <c r="Z491" s="571"/>
    </row>
    <row r="492" spans="1:26" ht="18.75">
      <c r="A492" s="601"/>
      <c r="B492" s="611"/>
      <c r="C492" s="611"/>
      <c r="D492" s="611"/>
      <c r="E492" s="611"/>
      <c r="F492" s="611" t="s">
        <v>214</v>
      </c>
      <c r="G492" s="753"/>
      <c r="H492" s="616" t="s">
        <v>35</v>
      </c>
      <c r="I492" s="269">
        <f ca="1">IFERROR(__xludf.DUMMYFUNCTION("IMPORTRANGE(""https://docs.google.com/spreadsheets/d/1QqKyyYR6Q21VydFLVH3TRQUabQu_ym0Zz7PgGX0-kHA/edit?usp=sharing"",""แผน!GC70"")"),1)</f>
        <v>1</v>
      </c>
      <c r="J492" s="214">
        <v>0</v>
      </c>
      <c r="K492" s="496">
        <f ca="1">IF(I492&gt;0,J492*100/I492,0)</f>
        <v>0</v>
      </c>
      <c r="L492" s="496"/>
      <c r="M492" s="496"/>
      <c r="N492" s="496"/>
      <c r="O492" s="496"/>
      <c r="P492" s="496"/>
      <c r="Q492" s="571"/>
      <c r="R492" s="571"/>
      <c r="S492" s="571"/>
      <c r="T492" s="571"/>
      <c r="U492" s="571"/>
      <c r="V492" s="571"/>
      <c r="W492" s="571"/>
      <c r="X492" s="571"/>
      <c r="Y492" s="571"/>
      <c r="Z492" s="571"/>
    </row>
    <row r="493" spans="1:26" ht="19.5">
      <c r="A493" s="601"/>
      <c r="B493" s="611"/>
      <c r="C493" s="611"/>
      <c r="D493" s="618" t="s">
        <v>59</v>
      </c>
      <c r="E493" s="611"/>
      <c r="F493" s="619"/>
      <c r="G493" s="753"/>
      <c r="H493" s="189"/>
      <c r="I493" s="269"/>
      <c r="J493" s="269"/>
      <c r="K493" s="496"/>
      <c r="L493" s="496"/>
      <c r="M493" s="496"/>
      <c r="N493" s="496"/>
      <c r="O493" s="496"/>
      <c r="P493" s="496"/>
      <c r="Q493" s="571"/>
      <c r="R493" s="571"/>
      <c r="S493" s="571"/>
      <c r="T493" s="571"/>
      <c r="U493" s="571"/>
      <c r="V493" s="571"/>
      <c r="W493" s="571"/>
      <c r="X493" s="571"/>
      <c r="Y493" s="571"/>
      <c r="Z493" s="571"/>
    </row>
    <row r="494" spans="1:26" ht="18.75">
      <c r="A494" s="601"/>
      <c r="B494" s="611"/>
      <c r="C494" s="611"/>
      <c r="D494" s="611"/>
      <c r="E494" s="611" t="s">
        <v>207</v>
      </c>
      <c r="F494" s="619"/>
      <c r="G494" s="753"/>
      <c r="H494" s="189"/>
      <c r="I494" s="269"/>
      <c r="J494" s="269"/>
      <c r="K494" s="496"/>
      <c r="L494" s="496"/>
      <c r="M494" s="496"/>
      <c r="N494" s="496"/>
      <c r="O494" s="496"/>
      <c r="P494" s="496"/>
      <c r="Q494" s="571"/>
      <c r="R494" s="571"/>
      <c r="S494" s="571"/>
      <c r="T494" s="571"/>
      <c r="U494" s="571"/>
      <c r="V494" s="571"/>
      <c r="W494" s="571"/>
      <c r="X494" s="571"/>
      <c r="Y494" s="571"/>
      <c r="Z494" s="571"/>
    </row>
    <row r="495" spans="1:26" ht="18.75">
      <c r="A495" s="601"/>
      <c r="B495" s="611"/>
      <c r="C495" s="611"/>
      <c r="D495" s="611"/>
      <c r="E495" s="611"/>
      <c r="F495" s="619" t="s">
        <v>215</v>
      </c>
      <c r="G495" s="753"/>
      <c r="H495" s="616" t="s">
        <v>46</v>
      </c>
      <c r="I495" s="269">
        <f ca="1">IFERROR(__xludf.DUMMYFUNCTION("IMPORTRANGE(""https://docs.google.com/spreadsheets/d/1QqKyyYR6Q21VydFLVH3TRQUabQu_ym0Zz7PgGX0-kHA/edit?usp=sharing"",""แผน!FY70"")"),180)</f>
        <v>180</v>
      </c>
      <c r="J495" s="214">
        <v>0</v>
      </c>
      <c r="K495" s="496">
        <f ca="1">IF(I495&gt;0,J495*100/I495,0)</f>
        <v>0</v>
      </c>
      <c r="L495" s="496"/>
      <c r="M495" s="496"/>
      <c r="N495" s="496"/>
      <c r="O495" s="496"/>
      <c r="P495" s="496"/>
      <c r="Q495" s="571"/>
      <c r="R495" s="571"/>
      <c r="S495" s="571"/>
      <c r="T495" s="571"/>
      <c r="U495" s="571"/>
      <c r="V495" s="571"/>
      <c r="W495" s="571"/>
      <c r="X495" s="571"/>
      <c r="Y495" s="571"/>
      <c r="Z495" s="571"/>
    </row>
    <row r="496" spans="1:26" ht="18.75">
      <c r="A496" s="601"/>
      <c r="B496" s="611"/>
      <c r="C496" s="611"/>
      <c r="D496" s="611"/>
      <c r="E496" s="611"/>
      <c r="F496" s="619" t="s">
        <v>216</v>
      </c>
      <c r="G496" s="753"/>
      <c r="H496" s="616" t="s">
        <v>46</v>
      </c>
      <c r="I496" s="269"/>
      <c r="J496" s="214">
        <v>0</v>
      </c>
      <c r="K496" s="496"/>
      <c r="L496" s="496"/>
      <c r="M496" s="496"/>
      <c r="N496" s="496"/>
      <c r="O496" s="496"/>
      <c r="P496" s="496"/>
      <c r="Q496" s="571"/>
      <c r="R496" s="571"/>
      <c r="S496" s="571"/>
      <c r="T496" s="571"/>
      <c r="U496" s="571"/>
      <c r="V496" s="571"/>
      <c r="W496" s="571"/>
      <c r="X496" s="571"/>
      <c r="Y496" s="571"/>
      <c r="Z496" s="571"/>
    </row>
    <row r="497" spans="1:26" ht="18.75">
      <c r="A497" s="601"/>
      <c r="B497" s="611"/>
      <c r="C497" s="611"/>
      <c r="D497" s="611"/>
      <c r="E497" s="611" t="s">
        <v>62</v>
      </c>
      <c r="F497" s="619"/>
      <c r="G497" s="753"/>
      <c r="H497" s="189"/>
      <c r="I497" s="269"/>
      <c r="J497" s="269"/>
      <c r="K497" s="496"/>
      <c r="L497" s="496"/>
      <c r="M497" s="496"/>
      <c r="N497" s="496"/>
      <c r="O497" s="496"/>
      <c r="P497" s="496"/>
      <c r="Q497" s="571"/>
      <c r="R497" s="571"/>
      <c r="S497" s="571"/>
      <c r="T497" s="571"/>
      <c r="U497" s="571"/>
      <c r="V497" s="571"/>
      <c r="W497" s="571"/>
      <c r="X497" s="571"/>
      <c r="Y497" s="571"/>
      <c r="Z497" s="571"/>
    </row>
    <row r="498" spans="1:26" ht="18.75">
      <c r="A498" s="601"/>
      <c r="B498" s="611"/>
      <c r="C498" s="611"/>
      <c r="D498" s="611"/>
      <c r="E498" s="619"/>
      <c r="F498" s="619" t="s">
        <v>217</v>
      </c>
      <c r="G498" s="753"/>
      <c r="H498" s="616" t="s">
        <v>46</v>
      </c>
      <c r="I498" s="269">
        <f ca="1">IFERROR(__xludf.DUMMYFUNCTION("IMPORTRANGE(""https://docs.google.com/spreadsheets/d/1QqKyyYR6Q21VydFLVH3TRQUabQu_ym0Zz7PgGX0-kHA/edit?usp=sharing"",""แผน!GA70"")"),20)</f>
        <v>20</v>
      </c>
      <c r="J498" s="214">
        <v>0</v>
      </c>
      <c r="K498" s="496">
        <f ca="1">IF(I498&gt;0,J498*100/I498,0)</f>
        <v>0</v>
      </c>
      <c r="L498" s="496"/>
      <c r="M498" s="496"/>
      <c r="N498" s="496"/>
      <c r="O498" s="496"/>
      <c r="P498" s="496"/>
      <c r="Q498" s="571"/>
      <c r="R498" s="571"/>
      <c r="S498" s="571"/>
      <c r="T498" s="571"/>
      <c r="U498" s="571"/>
      <c r="V498" s="571"/>
      <c r="W498" s="571"/>
      <c r="X498" s="571"/>
      <c r="Y498" s="571"/>
      <c r="Z498" s="571"/>
    </row>
    <row r="499" spans="1:26" ht="18.75">
      <c r="A499" s="601"/>
      <c r="B499" s="611"/>
      <c r="C499" s="611"/>
      <c r="D499" s="611"/>
      <c r="E499" s="619"/>
      <c r="F499" s="619" t="s">
        <v>218</v>
      </c>
      <c r="G499" s="753"/>
      <c r="H499" s="616" t="s">
        <v>46</v>
      </c>
      <c r="I499" s="269"/>
      <c r="J499" s="214">
        <v>0</v>
      </c>
      <c r="K499" s="496"/>
      <c r="L499" s="496"/>
      <c r="M499" s="496"/>
      <c r="N499" s="496"/>
      <c r="O499" s="496"/>
      <c r="P499" s="496"/>
      <c r="Q499" s="571"/>
      <c r="R499" s="571"/>
      <c r="S499" s="571"/>
      <c r="T499" s="571"/>
      <c r="U499" s="571"/>
      <c r="V499" s="571"/>
      <c r="W499" s="571"/>
      <c r="X499" s="571"/>
      <c r="Y499" s="571"/>
      <c r="Z499" s="571"/>
    </row>
    <row r="500" spans="1:26" ht="19.5" hidden="1">
      <c r="A500" s="620">
        <v>4</v>
      </c>
      <c r="B500" s="621" t="s">
        <v>219</v>
      </c>
      <c r="C500" s="622"/>
      <c r="D500" s="623"/>
      <c r="E500" s="623"/>
      <c r="F500" s="623"/>
      <c r="G500" s="624"/>
      <c r="H500" s="625" t="s">
        <v>109</v>
      </c>
      <c r="I500" s="626"/>
      <c r="J500" s="626">
        <f t="shared" ref="J500:J501" si="213">J516</f>
        <v>0</v>
      </c>
      <c r="K500" s="627">
        <f t="shared" ref="K500:K501" si="214">IF(I500&gt;0,J500*100/I500,0)</f>
        <v>0</v>
      </c>
      <c r="L500" s="628"/>
      <c r="M500" s="628"/>
      <c r="N500" s="628"/>
      <c r="O500" s="628"/>
      <c r="P500" s="628"/>
      <c r="Q500" s="597"/>
      <c r="R500" s="597"/>
      <c r="S500" s="597"/>
      <c r="T500" s="597"/>
      <c r="U500" s="597"/>
      <c r="V500" s="597"/>
      <c r="W500" s="597"/>
      <c r="X500" s="597"/>
      <c r="Y500" s="597"/>
      <c r="Z500" s="597"/>
    </row>
    <row r="501" spans="1:26" ht="19.5" hidden="1">
      <c r="A501" s="629"/>
      <c r="B501" s="631" t="s">
        <v>220</v>
      </c>
      <c r="C501" s="631"/>
      <c r="D501" s="632"/>
      <c r="E501" s="632"/>
      <c r="F501" s="632"/>
      <c r="G501" s="633"/>
      <c r="H501" s="634" t="s">
        <v>35</v>
      </c>
      <c r="I501" s="635"/>
      <c r="J501" s="635">
        <f t="shared" si="213"/>
        <v>0</v>
      </c>
      <c r="K501" s="636">
        <f t="shared" si="214"/>
        <v>0</v>
      </c>
      <c r="L501" s="637"/>
      <c r="M501" s="637"/>
      <c r="N501" s="637"/>
      <c r="O501" s="637"/>
      <c r="P501" s="637"/>
      <c r="Q501" s="597"/>
      <c r="R501" s="597"/>
      <c r="S501" s="597"/>
      <c r="T501" s="597"/>
      <c r="U501" s="597"/>
      <c r="V501" s="597"/>
      <c r="W501" s="597"/>
      <c r="X501" s="597"/>
      <c r="Y501" s="597"/>
      <c r="Z501" s="597"/>
    </row>
    <row r="502" spans="1:26" ht="19.5" hidden="1">
      <c r="A502" s="592"/>
      <c r="B502" s="750"/>
      <c r="C502" s="750" t="s">
        <v>16</v>
      </c>
      <c r="D502" s="864" t="s">
        <v>17</v>
      </c>
      <c r="E502" s="857"/>
      <c r="F502" s="857"/>
      <c r="G502" s="596"/>
      <c r="H502" s="639" t="s">
        <v>12</v>
      </c>
      <c r="I502" s="610"/>
      <c r="J502" s="610"/>
      <c r="K502" s="93"/>
      <c r="L502" s="640">
        <f t="shared" ref="L502:N502" si="215">L503+L504</f>
        <v>0</v>
      </c>
      <c r="M502" s="640">
        <f t="shared" si="215"/>
        <v>0</v>
      </c>
      <c r="N502" s="640">
        <f t="shared" si="215"/>
        <v>0</v>
      </c>
      <c r="O502" s="640">
        <f t="shared" ref="O502:O507" si="216">IF(L502&gt;0,N502*100/L502,0)</f>
        <v>0</v>
      </c>
      <c r="P502" s="640">
        <f t="shared" ref="P502:P507" si="217">IF(M502&gt;0,N502*100/M502,0)</f>
        <v>0</v>
      </c>
      <c r="Q502" s="597"/>
      <c r="R502" s="597"/>
      <c r="S502" s="597"/>
      <c r="T502" s="597"/>
      <c r="U502" s="597"/>
      <c r="V502" s="597"/>
      <c r="W502" s="597"/>
      <c r="X502" s="597"/>
      <c r="Y502" s="597"/>
      <c r="Z502" s="597"/>
    </row>
    <row r="503" spans="1:26" ht="18.75" hidden="1">
      <c r="A503" s="592"/>
      <c r="B503" s="750"/>
      <c r="C503" s="750"/>
      <c r="D503" s="711"/>
      <c r="E503" s="750" t="s">
        <v>184</v>
      </c>
      <c r="F503" s="750"/>
      <c r="G503" s="596"/>
      <c r="H503" s="165" t="s">
        <v>12</v>
      </c>
      <c r="I503" s="610"/>
      <c r="J503" s="610"/>
      <c r="K503" s="93"/>
      <c r="L503" s="93">
        <f t="shared" ref="L503:N504" si="218">L506+L513</f>
        <v>0</v>
      </c>
      <c r="M503" s="93">
        <f t="shared" si="218"/>
        <v>0</v>
      </c>
      <c r="N503" s="93">
        <f t="shared" si="218"/>
        <v>0</v>
      </c>
      <c r="O503" s="93">
        <f t="shared" si="216"/>
        <v>0</v>
      </c>
      <c r="P503" s="93">
        <f t="shared" si="217"/>
        <v>0</v>
      </c>
      <c r="Q503" s="597"/>
      <c r="R503" s="597"/>
      <c r="S503" s="597"/>
      <c r="T503" s="597"/>
      <c r="U503" s="597"/>
      <c r="V503" s="597"/>
      <c r="W503" s="597"/>
      <c r="X503" s="597"/>
      <c r="Y503" s="597"/>
      <c r="Z503" s="597"/>
    </row>
    <row r="504" spans="1:26" ht="18.75" hidden="1">
      <c r="A504" s="592"/>
      <c r="B504" s="600"/>
      <c r="C504" s="750"/>
      <c r="D504" s="711"/>
      <c r="E504" s="750" t="s">
        <v>185</v>
      </c>
      <c r="F504" s="750"/>
      <c r="G504" s="596"/>
      <c r="H504" s="165" t="s">
        <v>12</v>
      </c>
      <c r="I504" s="610"/>
      <c r="J504" s="610"/>
      <c r="K504" s="93"/>
      <c r="L504" s="93">
        <f t="shared" si="218"/>
        <v>0</v>
      </c>
      <c r="M504" s="93">
        <f t="shared" si="218"/>
        <v>0</v>
      </c>
      <c r="N504" s="93">
        <f t="shared" si="218"/>
        <v>0</v>
      </c>
      <c r="O504" s="93">
        <f t="shared" si="216"/>
        <v>0</v>
      </c>
      <c r="P504" s="93">
        <f t="shared" si="217"/>
        <v>0</v>
      </c>
      <c r="Q504" s="597"/>
      <c r="R504" s="597"/>
      <c r="S504" s="597"/>
      <c r="T504" s="597"/>
      <c r="U504" s="597"/>
      <c r="V504" s="597"/>
      <c r="W504" s="597"/>
      <c r="X504" s="597"/>
      <c r="Y504" s="597"/>
      <c r="Z504" s="597"/>
    </row>
    <row r="505" spans="1:26" ht="18.75" hidden="1">
      <c r="A505" s="592"/>
      <c r="B505" s="600"/>
      <c r="C505" s="750"/>
      <c r="D505" s="641" t="s">
        <v>20</v>
      </c>
      <c r="E505" s="750"/>
      <c r="F505" s="750"/>
      <c r="G505" s="596"/>
      <c r="H505" s="165" t="s">
        <v>12</v>
      </c>
      <c r="I505" s="166"/>
      <c r="J505" s="166"/>
      <c r="K505" s="167"/>
      <c r="L505" s="93">
        <f t="shared" ref="L505:N505" si="219">L506+L507</f>
        <v>0</v>
      </c>
      <c r="M505" s="93">
        <f t="shared" si="219"/>
        <v>0</v>
      </c>
      <c r="N505" s="93">
        <f t="shared" si="219"/>
        <v>0</v>
      </c>
      <c r="O505" s="93">
        <f t="shared" si="216"/>
        <v>0</v>
      </c>
      <c r="P505" s="93">
        <f t="shared" si="217"/>
        <v>0</v>
      </c>
      <c r="Q505" s="597"/>
      <c r="R505" s="597"/>
      <c r="S505" s="597"/>
      <c r="T505" s="597"/>
      <c r="U505" s="597"/>
      <c r="V505" s="597"/>
      <c r="W505" s="597"/>
      <c r="X505" s="597"/>
      <c r="Y505" s="597"/>
      <c r="Z505" s="597"/>
    </row>
    <row r="506" spans="1:26" ht="18.75" hidden="1">
      <c r="A506" s="592"/>
      <c r="B506" s="600"/>
      <c r="C506" s="750"/>
      <c r="D506" s="711"/>
      <c r="E506" s="750" t="s">
        <v>184</v>
      </c>
      <c r="F506" s="750"/>
      <c r="G506" s="596"/>
      <c r="H506" s="165" t="s">
        <v>12</v>
      </c>
      <c r="I506" s="610"/>
      <c r="J506" s="610"/>
      <c r="K506" s="93"/>
      <c r="L506" s="93">
        <v>0</v>
      </c>
      <c r="M506" s="93">
        <v>0</v>
      </c>
      <c r="N506" s="93">
        <v>0</v>
      </c>
      <c r="O506" s="93">
        <f t="shared" si="216"/>
        <v>0</v>
      </c>
      <c r="P506" s="93">
        <f t="shared" si="217"/>
        <v>0</v>
      </c>
      <c r="Q506" s="597"/>
      <c r="R506" s="597"/>
      <c r="S506" s="597"/>
      <c r="T506" s="597"/>
      <c r="U506" s="597"/>
      <c r="V506" s="597"/>
      <c r="W506" s="597"/>
      <c r="X506" s="597"/>
      <c r="Y506" s="597"/>
      <c r="Z506" s="597"/>
    </row>
    <row r="507" spans="1:26" ht="18.75" hidden="1">
      <c r="A507" s="592"/>
      <c r="B507" s="600"/>
      <c r="C507" s="750"/>
      <c r="D507" s="711"/>
      <c r="E507" s="750" t="s">
        <v>185</v>
      </c>
      <c r="F507" s="750"/>
      <c r="G507" s="596"/>
      <c r="H507" s="165" t="s">
        <v>12</v>
      </c>
      <c r="I507" s="610"/>
      <c r="J507" s="610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6"/>
        <v>0</v>
      </c>
      <c r="P507" s="93">
        <f t="shared" si="217"/>
        <v>0</v>
      </c>
      <c r="Q507" s="597"/>
      <c r="R507" s="597"/>
      <c r="S507" s="597"/>
      <c r="T507" s="597"/>
      <c r="U507" s="597"/>
      <c r="V507" s="597"/>
      <c r="W507" s="597"/>
      <c r="X507" s="597"/>
      <c r="Y507" s="597"/>
      <c r="Z507" s="597"/>
    </row>
    <row r="508" spans="1:26" ht="18.75" hidden="1">
      <c r="A508" s="642"/>
      <c r="B508" s="600"/>
      <c r="C508" s="750"/>
      <c r="D508" s="750"/>
      <c r="E508" s="750"/>
      <c r="F508" s="750" t="s">
        <v>186</v>
      </c>
      <c r="G508" s="596"/>
      <c r="H508" s="165" t="s">
        <v>12</v>
      </c>
      <c r="I508" s="610"/>
      <c r="J508" s="610"/>
      <c r="K508" s="93"/>
      <c r="L508" s="93"/>
      <c r="M508" s="93"/>
      <c r="N508" s="93">
        <v>0</v>
      </c>
      <c r="O508" s="93"/>
      <c r="P508" s="93"/>
      <c r="Q508" s="597"/>
      <c r="R508" s="597"/>
      <c r="S508" s="597"/>
      <c r="T508" s="597"/>
      <c r="U508" s="597"/>
      <c r="V508" s="597"/>
      <c r="W508" s="597"/>
      <c r="X508" s="597"/>
      <c r="Y508" s="597"/>
      <c r="Z508" s="597"/>
    </row>
    <row r="509" spans="1:26" ht="18.75" hidden="1">
      <c r="A509" s="642"/>
      <c r="B509" s="600"/>
      <c r="C509" s="750"/>
      <c r="D509" s="750"/>
      <c r="E509" s="750"/>
      <c r="F509" s="750" t="s">
        <v>187</v>
      </c>
      <c r="G509" s="596"/>
      <c r="H509" s="165" t="s">
        <v>12</v>
      </c>
      <c r="I509" s="610"/>
      <c r="J509" s="610"/>
      <c r="K509" s="93"/>
      <c r="L509" s="93"/>
      <c r="M509" s="93"/>
      <c r="N509" s="93">
        <v>0</v>
      </c>
      <c r="O509" s="93"/>
      <c r="P509" s="93"/>
      <c r="Q509" s="597"/>
      <c r="R509" s="597"/>
      <c r="S509" s="597"/>
      <c r="T509" s="597"/>
      <c r="U509" s="597"/>
      <c r="V509" s="597"/>
      <c r="W509" s="597"/>
      <c r="X509" s="597"/>
      <c r="Y509" s="597"/>
      <c r="Z509" s="597"/>
    </row>
    <row r="510" spans="1:26" ht="18.75" hidden="1">
      <c r="A510" s="642"/>
      <c r="B510" s="600"/>
      <c r="C510" s="600"/>
      <c r="D510" s="600"/>
      <c r="E510" s="750"/>
      <c r="F510" s="750" t="s">
        <v>188</v>
      </c>
      <c r="G510" s="596"/>
      <c r="H510" s="165" t="s">
        <v>12</v>
      </c>
      <c r="I510" s="610"/>
      <c r="J510" s="610"/>
      <c r="K510" s="93"/>
      <c r="L510" s="93"/>
      <c r="M510" s="93"/>
      <c r="N510" s="93">
        <v>0</v>
      </c>
      <c r="O510" s="93"/>
      <c r="P510" s="93"/>
      <c r="Q510" s="597"/>
      <c r="R510" s="597"/>
      <c r="S510" s="597"/>
      <c r="T510" s="597"/>
      <c r="U510" s="597"/>
      <c r="V510" s="597"/>
      <c r="W510" s="597"/>
      <c r="X510" s="597"/>
      <c r="Y510" s="597"/>
      <c r="Z510" s="597"/>
    </row>
    <row r="511" spans="1:26" ht="18.75" hidden="1">
      <c r="A511" s="642"/>
      <c r="B511" s="600"/>
      <c r="C511" s="600"/>
      <c r="D511" s="600"/>
      <c r="E511" s="750"/>
      <c r="F511" s="750" t="s">
        <v>189</v>
      </c>
      <c r="G511" s="596"/>
      <c r="H511" s="165" t="s">
        <v>12</v>
      </c>
      <c r="I511" s="610"/>
      <c r="J511" s="610"/>
      <c r="K511" s="93"/>
      <c r="L511" s="93"/>
      <c r="M511" s="93"/>
      <c r="N511" s="93">
        <v>0</v>
      </c>
      <c r="O511" s="93"/>
      <c r="P511" s="93"/>
      <c r="Q511" s="597"/>
      <c r="R511" s="597"/>
      <c r="S511" s="597"/>
      <c r="T511" s="597"/>
      <c r="U511" s="597"/>
      <c r="V511" s="597"/>
      <c r="W511" s="597"/>
      <c r="X511" s="597"/>
      <c r="Y511" s="597"/>
      <c r="Z511" s="597"/>
    </row>
    <row r="512" spans="1:26" ht="18.75" hidden="1">
      <c r="A512" s="592"/>
      <c r="B512" s="600"/>
      <c r="C512" s="600"/>
      <c r="D512" s="641" t="s">
        <v>21</v>
      </c>
      <c r="E512" s="600"/>
      <c r="F512" s="750"/>
      <c r="G512" s="596"/>
      <c r="H512" s="169" t="s">
        <v>12</v>
      </c>
      <c r="I512" s="166"/>
      <c r="J512" s="166"/>
      <c r="K512" s="167"/>
      <c r="L512" s="93">
        <f t="shared" ref="L512:N512" si="220">L513+L514</f>
        <v>0</v>
      </c>
      <c r="M512" s="93">
        <f t="shared" si="220"/>
        <v>0</v>
      </c>
      <c r="N512" s="93">
        <f t="shared" si="220"/>
        <v>0</v>
      </c>
      <c r="O512" s="93">
        <f t="shared" ref="O512:O514" si="221">IF(L512&gt;0,N512*100/L512,0)</f>
        <v>0</v>
      </c>
      <c r="P512" s="93">
        <f t="shared" ref="P512:P514" si="222">IF(M512&gt;0,N512*100/M512,0)</f>
        <v>0</v>
      </c>
      <c r="Q512" s="597"/>
      <c r="R512" s="597"/>
      <c r="S512" s="597"/>
      <c r="T512" s="597"/>
      <c r="U512" s="597"/>
      <c r="V512" s="597"/>
      <c r="W512" s="597"/>
      <c r="X512" s="597"/>
      <c r="Y512" s="597"/>
      <c r="Z512" s="597"/>
    </row>
    <row r="513" spans="1:26" ht="18.75" hidden="1">
      <c r="A513" s="592"/>
      <c r="B513" s="600"/>
      <c r="C513" s="600"/>
      <c r="D513" s="600"/>
      <c r="E513" s="600" t="s">
        <v>18</v>
      </c>
      <c r="F513" s="750"/>
      <c r="G513" s="596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1"/>
        <v>0</v>
      </c>
      <c r="P513" s="93">
        <f t="shared" si="222"/>
        <v>0</v>
      </c>
      <c r="Q513" s="597"/>
      <c r="R513" s="597"/>
      <c r="S513" s="597"/>
      <c r="T513" s="597"/>
      <c r="U513" s="597"/>
      <c r="V513" s="597"/>
      <c r="W513" s="597"/>
      <c r="X513" s="597"/>
      <c r="Y513" s="597"/>
      <c r="Z513" s="597"/>
    </row>
    <row r="514" spans="1:26" ht="18.75" hidden="1">
      <c r="A514" s="592"/>
      <c r="B514" s="600"/>
      <c r="C514" s="600"/>
      <c r="D514" s="750"/>
      <c r="E514" s="600" t="s">
        <v>19</v>
      </c>
      <c r="F514" s="750"/>
      <c r="G514" s="596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1"/>
        <v>0</v>
      </c>
      <c r="P514" s="93">
        <f t="shared" si="222"/>
        <v>0</v>
      </c>
      <c r="Q514" s="597"/>
      <c r="R514" s="597"/>
      <c r="S514" s="597"/>
      <c r="T514" s="597"/>
      <c r="U514" s="597"/>
      <c r="V514" s="597"/>
      <c r="W514" s="597"/>
      <c r="X514" s="597"/>
      <c r="Y514" s="597"/>
      <c r="Z514" s="597"/>
    </row>
    <row r="515" spans="1:26" ht="19.5" hidden="1">
      <c r="A515" s="607"/>
      <c r="B515" s="609"/>
      <c r="C515" s="600" t="s">
        <v>16</v>
      </c>
      <c r="D515" s="838" t="s">
        <v>38</v>
      </c>
      <c r="E515" s="644"/>
      <c r="F515" s="644"/>
      <c r="G515" s="645"/>
      <c r="H515" s="365"/>
      <c r="I515" s="166"/>
      <c r="J515" s="166"/>
      <c r="K515" s="167"/>
      <c r="L515" s="167"/>
      <c r="M515" s="167"/>
      <c r="N515" s="167"/>
      <c r="O515" s="167"/>
      <c r="P515" s="167"/>
      <c r="Q515" s="597"/>
      <c r="R515" s="597"/>
      <c r="S515" s="597"/>
      <c r="T515" s="597"/>
      <c r="U515" s="597"/>
      <c r="V515" s="597"/>
      <c r="W515" s="597"/>
      <c r="X515" s="597"/>
      <c r="Y515" s="597"/>
      <c r="Z515" s="597"/>
    </row>
    <row r="516" spans="1:26" ht="18.75" hidden="1">
      <c r="A516" s="607"/>
      <c r="B516" s="609"/>
      <c r="C516" s="609"/>
      <c r="D516" s="609" t="s">
        <v>221</v>
      </c>
      <c r="E516" s="711"/>
      <c r="F516" s="711"/>
      <c r="G516" s="365"/>
      <c r="H516" s="646" t="s">
        <v>109</v>
      </c>
      <c r="I516" s="610"/>
      <c r="J516" s="610">
        <v>0</v>
      </c>
      <c r="K516" s="167">
        <f t="shared" ref="K516:K517" si="223">IF(I516&gt;0,J516*100/I516,0)</f>
        <v>0</v>
      </c>
      <c r="L516" s="167"/>
      <c r="M516" s="167"/>
      <c r="N516" s="167"/>
      <c r="O516" s="167"/>
      <c r="P516" s="167"/>
      <c r="Q516" s="597"/>
      <c r="R516" s="597"/>
      <c r="S516" s="597"/>
      <c r="T516" s="597"/>
      <c r="U516" s="597"/>
      <c r="V516" s="597"/>
      <c r="W516" s="597"/>
      <c r="X516" s="597"/>
      <c r="Y516" s="597"/>
      <c r="Z516" s="597"/>
    </row>
    <row r="517" spans="1:26" ht="19.5" hidden="1">
      <c r="A517" s="607"/>
      <c r="B517" s="609"/>
      <c r="C517" s="609"/>
      <c r="D517" s="609" t="s">
        <v>222</v>
      </c>
      <c r="E517" s="711"/>
      <c r="F517" s="711"/>
      <c r="G517" s="365"/>
      <c r="H517" s="647" t="s">
        <v>35</v>
      </c>
      <c r="I517" s="648"/>
      <c r="J517" s="648">
        <f>J518+J519</f>
        <v>0</v>
      </c>
      <c r="K517" s="649">
        <f t="shared" si="223"/>
        <v>0</v>
      </c>
      <c r="L517" s="167"/>
      <c r="M517" s="167"/>
      <c r="N517" s="167"/>
      <c r="O517" s="167"/>
      <c r="P517" s="167"/>
      <c r="Q517" s="597"/>
      <c r="R517" s="597"/>
      <c r="S517" s="597"/>
      <c r="T517" s="597"/>
      <c r="U517" s="597"/>
      <c r="V517" s="597"/>
      <c r="W517" s="597"/>
      <c r="X517" s="597"/>
      <c r="Y517" s="597"/>
      <c r="Z517" s="597"/>
    </row>
    <row r="518" spans="1:26" ht="18.75" hidden="1">
      <c r="A518" s="607"/>
      <c r="B518" s="609"/>
      <c r="C518" s="609"/>
      <c r="D518" s="609"/>
      <c r="E518" s="609" t="s">
        <v>223</v>
      </c>
      <c r="F518" s="711"/>
      <c r="G518" s="365"/>
      <c r="H518" s="369" t="s">
        <v>35</v>
      </c>
      <c r="I518" s="610"/>
      <c r="J518" s="610"/>
      <c r="K518" s="167"/>
      <c r="L518" s="167"/>
      <c r="M518" s="167"/>
      <c r="N518" s="167"/>
      <c r="O518" s="167"/>
      <c r="P518" s="167"/>
      <c r="Q518" s="597"/>
      <c r="R518" s="597"/>
      <c r="S518" s="597"/>
      <c r="T518" s="597"/>
      <c r="U518" s="597"/>
      <c r="V518" s="597"/>
      <c r="W518" s="597"/>
      <c r="X518" s="597"/>
      <c r="Y518" s="597"/>
      <c r="Z518" s="597"/>
    </row>
    <row r="519" spans="1:26" ht="18.75" hidden="1">
      <c r="A519" s="607"/>
      <c r="B519" s="609"/>
      <c r="C519" s="609"/>
      <c r="D519" s="609"/>
      <c r="E519" s="609" t="s">
        <v>224</v>
      </c>
      <c r="F519" s="711"/>
      <c r="G519" s="365"/>
      <c r="H519" s="646" t="s">
        <v>35</v>
      </c>
      <c r="I519" s="610"/>
      <c r="J519" s="610"/>
      <c r="K519" s="167"/>
      <c r="L519" s="167"/>
      <c r="M519" s="167"/>
      <c r="N519" s="167"/>
      <c r="O519" s="167"/>
      <c r="P519" s="167"/>
      <c r="Q519" s="597"/>
      <c r="R519" s="597"/>
      <c r="S519" s="597"/>
      <c r="T519" s="597"/>
      <c r="U519" s="597"/>
      <c r="V519" s="597"/>
      <c r="W519" s="597"/>
      <c r="X519" s="597"/>
      <c r="Y519" s="597"/>
      <c r="Z519" s="597"/>
    </row>
    <row r="520" spans="1:26" ht="19.5" hidden="1">
      <c r="A520" s="650" t="s">
        <v>137</v>
      </c>
      <c r="B520" s="651"/>
      <c r="C520" s="651"/>
      <c r="D520" s="652"/>
      <c r="E520" s="652"/>
      <c r="F520" s="652"/>
      <c r="G520" s="653"/>
      <c r="H520" s="654"/>
      <c r="I520" s="655"/>
      <c r="J520" s="655"/>
      <c r="K520" s="656"/>
      <c r="L520" s="656"/>
      <c r="M520" s="656"/>
      <c r="N520" s="656"/>
      <c r="O520" s="656"/>
      <c r="P520" s="656"/>
    </row>
    <row r="521" spans="1:26" ht="19.5" hidden="1">
      <c r="A521" s="657">
        <v>5</v>
      </c>
      <c r="B521" s="658" t="s">
        <v>225</v>
      </c>
      <c r="C521" s="659"/>
      <c r="D521" s="660"/>
      <c r="E521" s="660"/>
      <c r="F521" s="660"/>
      <c r="G521" s="660"/>
      <c r="H521" s="661"/>
      <c r="I521" s="662"/>
      <c r="J521" s="662"/>
      <c r="K521" s="663"/>
      <c r="L521" s="663"/>
      <c r="M521" s="663"/>
      <c r="N521" s="663"/>
      <c r="O521" s="663"/>
      <c r="P521" s="663"/>
      <c r="Q521" s="571"/>
      <c r="R521" s="571"/>
      <c r="S521" s="571"/>
      <c r="T521" s="571"/>
      <c r="U521" s="571"/>
      <c r="V521" s="571"/>
      <c r="W521" s="571"/>
      <c r="X521" s="571"/>
      <c r="Y521" s="571"/>
      <c r="Z521" s="571"/>
    </row>
    <row r="522" spans="1:26" ht="19.5" hidden="1">
      <c r="A522" s="664"/>
      <c r="B522" s="665" t="s">
        <v>226</v>
      </c>
      <c r="C522" s="666"/>
      <c r="D522" s="666"/>
      <c r="E522" s="666"/>
      <c r="F522" s="666"/>
      <c r="G522" s="667"/>
      <c r="H522" s="668" t="s">
        <v>35</v>
      </c>
      <c r="I522" s="699">
        <f t="shared" ref="I522:J522" ca="1" si="224">I537</f>
        <v>0</v>
      </c>
      <c r="J522" s="699">
        <f t="shared" ca="1" si="224"/>
        <v>0</v>
      </c>
      <c r="K522" s="670">
        <f ca="1">IF(I522&gt;0,J522*100/I522,0)</f>
        <v>0</v>
      </c>
      <c r="L522" s="671"/>
      <c r="M522" s="671"/>
      <c r="N522" s="671"/>
      <c r="O522" s="671"/>
      <c r="P522" s="671"/>
      <c r="Q522" s="571"/>
      <c r="R522" s="571"/>
      <c r="S522" s="571"/>
      <c r="T522" s="571"/>
      <c r="U522" s="571"/>
      <c r="V522" s="571"/>
      <c r="W522" s="571"/>
      <c r="X522" s="571"/>
      <c r="Y522" s="571"/>
      <c r="Z522" s="571"/>
    </row>
    <row r="523" spans="1:26" ht="19.5" hidden="1">
      <c r="A523" s="590"/>
      <c r="B523" s="754"/>
      <c r="C523" s="754" t="s">
        <v>16</v>
      </c>
      <c r="D523" s="863" t="s">
        <v>17</v>
      </c>
      <c r="E523" s="857"/>
      <c r="F523" s="857"/>
      <c r="G523" s="189"/>
      <c r="H523" s="591" t="s">
        <v>12</v>
      </c>
      <c r="I523" s="269"/>
      <c r="J523" s="269"/>
      <c r="K523" s="496"/>
      <c r="L523" s="195">
        <f t="shared" ref="L523:N523" ca="1" si="225">L524+L525</f>
        <v>0</v>
      </c>
      <c r="M523" s="195">
        <f t="shared" si="225"/>
        <v>0</v>
      </c>
      <c r="N523" s="195">
        <f t="shared" si="225"/>
        <v>0</v>
      </c>
      <c r="O523" s="195">
        <f t="shared" ref="O523:O528" ca="1" si="226">IF(L523&gt;0,N523*100/L523,0)</f>
        <v>0</v>
      </c>
      <c r="P523" s="195">
        <f t="shared" ref="P523:P528" si="227">IF(M523&gt;0,N523*100/M523,0)</f>
        <v>0</v>
      </c>
      <c r="Q523" s="571"/>
      <c r="R523" s="571"/>
      <c r="S523" s="571"/>
      <c r="T523" s="571"/>
      <c r="U523" s="571"/>
      <c r="V523" s="571"/>
      <c r="W523" s="571"/>
      <c r="X523" s="571"/>
      <c r="Y523" s="571"/>
      <c r="Z523" s="571"/>
    </row>
    <row r="524" spans="1:26" ht="18.75" hidden="1">
      <c r="A524" s="592"/>
      <c r="B524" s="750"/>
      <c r="C524" s="750"/>
      <c r="D524" s="711"/>
      <c r="E524" s="750" t="s">
        <v>184</v>
      </c>
      <c r="F524" s="750"/>
      <c r="G524" s="596"/>
      <c r="H524" s="165" t="s">
        <v>12</v>
      </c>
      <c r="I524" s="610"/>
      <c r="J524" s="610"/>
      <c r="K524" s="93"/>
      <c r="L524" s="93">
        <f t="shared" ref="L524:N525" si="228">L527+L534</f>
        <v>0</v>
      </c>
      <c r="M524" s="93">
        <f t="shared" si="228"/>
        <v>0</v>
      </c>
      <c r="N524" s="93">
        <f t="shared" si="228"/>
        <v>0</v>
      </c>
      <c r="O524" s="93">
        <f t="shared" si="226"/>
        <v>0</v>
      </c>
      <c r="P524" s="93">
        <f t="shared" si="227"/>
        <v>0</v>
      </c>
      <c r="Q524" s="597"/>
      <c r="R524" s="597"/>
      <c r="S524" s="597"/>
      <c r="T524" s="597"/>
      <c r="U524" s="597"/>
      <c r="V524" s="597"/>
      <c r="W524" s="597"/>
      <c r="X524" s="597"/>
      <c r="Y524" s="597"/>
      <c r="Z524" s="597"/>
    </row>
    <row r="525" spans="1:26" ht="18.75" hidden="1">
      <c r="A525" s="592"/>
      <c r="B525" s="600"/>
      <c r="C525" s="750"/>
      <c r="D525" s="711"/>
      <c r="E525" s="750" t="s">
        <v>185</v>
      </c>
      <c r="F525" s="750"/>
      <c r="G525" s="596"/>
      <c r="H525" s="165" t="s">
        <v>12</v>
      </c>
      <c r="I525" s="610"/>
      <c r="J525" s="610"/>
      <c r="K525" s="93"/>
      <c r="L525" s="93">
        <f t="shared" ca="1" si="228"/>
        <v>0</v>
      </c>
      <c r="M525" s="93">
        <f t="shared" si="228"/>
        <v>0</v>
      </c>
      <c r="N525" s="93">
        <f t="shared" si="228"/>
        <v>0</v>
      </c>
      <c r="O525" s="93">
        <f t="shared" ca="1" si="226"/>
        <v>0</v>
      </c>
      <c r="P525" s="93">
        <f t="shared" si="227"/>
        <v>0</v>
      </c>
      <c r="Q525" s="597"/>
      <c r="R525" s="597"/>
      <c r="S525" s="597"/>
      <c r="T525" s="597"/>
      <c r="U525" s="597"/>
      <c r="V525" s="597"/>
      <c r="W525" s="597"/>
      <c r="X525" s="597"/>
      <c r="Y525" s="597"/>
      <c r="Z525" s="597"/>
    </row>
    <row r="526" spans="1:26" ht="18.75" hidden="1">
      <c r="A526" s="590"/>
      <c r="B526" s="568"/>
      <c r="C526" s="754"/>
      <c r="D526" s="599" t="s">
        <v>20</v>
      </c>
      <c r="E526" s="754"/>
      <c r="F526" s="754"/>
      <c r="G526" s="189"/>
      <c r="H526" s="161" t="s">
        <v>12</v>
      </c>
      <c r="I526" s="184"/>
      <c r="J526" s="184"/>
      <c r="K526" s="163"/>
      <c r="L526" s="496">
        <f t="shared" ref="L526:N526" ca="1" si="229">L527+L528</f>
        <v>0</v>
      </c>
      <c r="M526" s="496">
        <f t="shared" si="229"/>
        <v>0</v>
      </c>
      <c r="N526" s="496">
        <f t="shared" si="229"/>
        <v>0</v>
      </c>
      <c r="O526" s="496">
        <f t="shared" ca="1" si="226"/>
        <v>0</v>
      </c>
      <c r="P526" s="496">
        <f t="shared" si="227"/>
        <v>0</v>
      </c>
      <c r="Q526" s="571"/>
      <c r="R526" s="571"/>
      <c r="S526" s="571"/>
      <c r="T526" s="571"/>
      <c r="U526" s="571"/>
      <c r="V526" s="571"/>
      <c r="W526" s="571"/>
      <c r="X526" s="571"/>
      <c r="Y526" s="571"/>
      <c r="Z526" s="571"/>
    </row>
    <row r="527" spans="1:26" ht="18.75" hidden="1">
      <c r="A527" s="592"/>
      <c r="B527" s="600"/>
      <c r="C527" s="750"/>
      <c r="D527" s="711"/>
      <c r="E527" s="750" t="s">
        <v>184</v>
      </c>
      <c r="F527" s="750"/>
      <c r="G527" s="596"/>
      <c r="H527" s="165" t="s">
        <v>12</v>
      </c>
      <c r="I527" s="610"/>
      <c r="J527" s="610"/>
      <c r="K527" s="93"/>
      <c r="L527" s="93">
        <v>0</v>
      </c>
      <c r="M527" s="93">
        <v>0</v>
      </c>
      <c r="N527" s="93">
        <v>0</v>
      </c>
      <c r="O527" s="93">
        <f t="shared" si="226"/>
        <v>0</v>
      </c>
      <c r="P527" s="93">
        <f t="shared" si="227"/>
        <v>0</v>
      </c>
      <c r="Q527" s="597"/>
      <c r="R527" s="597"/>
      <c r="S527" s="597"/>
      <c r="T527" s="597"/>
      <c r="U527" s="597"/>
      <c r="V527" s="597"/>
      <c r="W527" s="597"/>
      <c r="X527" s="597"/>
      <c r="Y527" s="597"/>
      <c r="Z527" s="597"/>
    </row>
    <row r="528" spans="1:26" ht="18.75" hidden="1">
      <c r="A528" s="592"/>
      <c r="B528" s="600"/>
      <c r="C528" s="750"/>
      <c r="D528" s="711"/>
      <c r="E528" s="750" t="s">
        <v>185</v>
      </c>
      <c r="F528" s="750"/>
      <c r="G528" s="596"/>
      <c r="H528" s="165" t="s">
        <v>12</v>
      </c>
      <c r="I528" s="610"/>
      <c r="J528" s="610"/>
      <c r="K528" s="93"/>
      <c r="L528" s="93">
        <f ca="1">IFERROR(__xludf.DUMMYFUNCTION("IMPORTRANGE(""https://docs.google.com/spreadsheets/d/1QqKyyYR6Q21VydFLVH3TRQUabQu_ym0Zz7PgGX0-kHA/edit?usp=sharing"",""แผน!GQ70"")"),0)</f>
        <v>0</v>
      </c>
      <c r="M528" s="93">
        <v>0</v>
      </c>
      <c r="N528" s="93">
        <f>N529+N530+N531+N532</f>
        <v>0</v>
      </c>
      <c r="O528" s="93">
        <f t="shared" ca="1" si="226"/>
        <v>0</v>
      </c>
      <c r="P528" s="93">
        <f t="shared" si="227"/>
        <v>0</v>
      </c>
      <c r="Q528" s="597"/>
      <c r="R528" s="597"/>
      <c r="S528" s="597"/>
      <c r="T528" s="597"/>
      <c r="U528" s="597"/>
      <c r="V528" s="597"/>
      <c r="W528" s="597"/>
      <c r="X528" s="597"/>
      <c r="Y528" s="597"/>
      <c r="Z528" s="597"/>
    </row>
    <row r="529" spans="1:26" ht="18.75" hidden="1">
      <c r="A529" s="567"/>
      <c r="B529" s="568"/>
      <c r="C529" s="754"/>
      <c r="D529" s="754"/>
      <c r="E529" s="754"/>
      <c r="F529" s="754" t="s">
        <v>186</v>
      </c>
      <c r="G529" s="189"/>
      <c r="H529" s="161" t="s">
        <v>12</v>
      </c>
      <c r="I529" s="269"/>
      <c r="J529" s="269"/>
      <c r="K529" s="496"/>
      <c r="L529" s="496"/>
      <c r="M529" s="496"/>
      <c r="N529" s="817">
        <v>0</v>
      </c>
      <c r="O529" s="496"/>
      <c r="P529" s="496"/>
      <c r="Q529" s="571"/>
      <c r="R529" s="571"/>
      <c r="S529" s="571"/>
      <c r="T529" s="571"/>
      <c r="U529" s="571"/>
      <c r="V529" s="571"/>
      <c r="W529" s="571"/>
      <c r="X529" s="571"/>
      <c r="Y529" s="571"/>
      <c r="Z529" s="571"/>
    </row>
    <row r="530" spans="1:26" ht="18.75" hidden="1">
      <c r="A530" s="567"/>
      <c r="B530" s="568"/>
      <c r="C530" s="754"/>
      <c r="D530" s="754"/>
      <c r="E530" s="754"/>
      <c r="F530" s="754" t="s">
        <v>187</v>
      </c>
      <c r="G530" s="189"/>
      <c r="H530" s="161" t="s">
        <v>12</v>
      </c>
      <c r="I530" s="269"/>
      <c r="J530" s="269"/>
      <c r="K530" s="496"/>
      <c r="L530" s="496"/>
      <c r="M530" s="496"/>
      <c r="N530" s="817">
        <v>0</v>
      </c>
      <c r="O530" s="496"/>
      <c r="P530" s="496"/>
      <c r="Q530" s="571"/>
      <c r="R530" s="571"/>
      <c r="S530" s="571"/>
      <c r="T530" s="571"/>
      <c r="U530" s="571"/>
      <c r="V530" s="571"/>
      <c r="W530" s="571"/>
      <c r="X530" s="571"/>
      <c r="Y530" s="571"/>
      <c r="Z530" s="571"/>
    </row>
    <row r="531" spans="1:26" ht="18.75" hidden="1">
      <c r="A531" s="567"/>
      <c r="B531" s="568"/>
      <c r="C531" s="754"/>
      <c r="D531" s="754"/>
      <c r="E531" s="754"/>
      <c r="F531" s="754" t="s">
        <v>188</v>
      </c>
      <c r="G531" s="189"/>
      <c r="H531" s="161" t="s">
        <v>12</v>
      </c>
      <c r="I531" s="269"/>
      <c r="J531" s="269"/>
      <c r="K531" s="496"/>
      <c r="L531" s="496"/>
      <c r="M531" s="496"/>
      <c r="N531" s="817">
        <v>0</v>
      </c>
      <c r="O531" s="496"/>
      <c r="P531" s="496"/>
      <c r="Q531" s="571"/>
      <c r="R531" s="571"/>
      <c r="S531" s="571"/>
      <c r="T531" s="571"/>
      <c r="U531" s="571"/>
      <c r="V531" s="571"/>
      <c r="W531" s="571"/>
      <c r="X531" s="571"/>
      <c r="Y531" s="571"/>
      <c r="Z531" s="571"/>
    </row>
    <row r="532" spans="1:26" ht="18.75" hidden="1">
      <c r="A532" s="567"/>
      <c r="B532" s="568"/>
      <c r="C532" s="754"/>
      <c r="D532" s="754"/>
      <c r="E532" s="754"/>
      <c r="F532" s="754" t="s">
        <v>189</v>
      </c>
      <c r="G532" s="189"/>
      <c r="H532" s="161" t="s">
        <v>12</v>
      </c>
      <c r="I532" s="269"/>
      <c r="J532" s="269"/>
      <c r="K532" s="496"/>
      <c r="L532" s="496"/>
      <c r="M532" s="496"/>
      <c r="N532" s="817">
        <v>0</v>
      </c>
      <c r="O532" s="496"/>
      <c r="P532" s="496"/>
      <c r="Q532" s="571"/>
      <c r="R532" s="571"/>
      <c r="S532" s="571"/>
      <c r="T532" s="571"/>
      <c r="U532" s="571"/>
      <c r="V532" s="571"/>
      <c r="W532" s="571"/>
      <c r="X532" s="571"/>
      <c r="Y532" s="571"/>
      <c r="Z532" s="571"/>
    </row>
    <row r="533" spans="1:26" ht="18.75" hidden="1">
      <c r="A533" s="590"/>
      <c r="B533" s="568"/>
      <c r="C533" s="754"/>
      <c r="D533" s="599" t="s">
        <v>21</v>
      </c>
      <c r="E533" s="754"/>
      <c r="F533" s="754"/>
      <c r="G533" s="189"/>
      <c r="H533" s="168" t="s">
        <v>12</v>
      </c>
      <c r="I533" s="184"/>
      <c r="J533" s="184"/>
      <c r="K533" s="163"/>
      <c r="L533" s="496">
        <f t="shared" ref="L533:N533" ca="1" si="230">L534+L535</f>
        <v>0</v>
      </c>
      <c r="M533" s="496">
        <f t="shared" si="230"/>
        <v>0</v>
      </c>
      <c r="N533" s="496">
        <f t="shared" si="230"/>
        <v>0</v>
      </c>
      <c r="O533" s="496">
        <f t="shared" ref="O533:O535" ca="1" si="231">IF(L533&gt;0,N533*100/L533,0)</f>
        <v>0</v>
      </c>
      <c r="P533" s="496">
        <f t="shared" ref="P533:P535" si="232">IF(M533&gt;0,N533*100/M533,0)</f>
        <v>0</v>
      </c>
      <c r="Q533" s="571"/>
      <c r="R533" s="571"/>
      <c r="S533" s="571"/>
      <c r="T533" s="571"/>
      <c r="U533" s="571"/>
      <c r="V533" s="571"/>
      <c r="W533" s="571"/>
      <c r="X533" s="571"/>
      <c r="Y533" s="571"/>
      <c r="Z533" s="571"/>
    </row>
    <row r="534" spans="1:26" ht="18.75" hidden="1">
      <c r="A534" s="592"/>
      <c r="B534" s="600"/>
      <c r="C534" s="750"/>
      <c r="D534" s="750"/>
      <c r="E534" s="750" t="s">
        <v>18</v>
      </c>
      <c r="F534" s="750"/>
      <c r="G534" s="596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1"/>
        <v>0</v>
      </c>
      <c r="P534" s="93">
        <f t="shared" si="232"/>
        <v>0</v>
      </c>
      <c r="Q534" s="597"/>
      <c r="R534" s="597"/>
      <c r="S534" s="597"/>
      <c r="T534" s="597"/>
      <c r="U534" s="597"/>
      <c r="V534" s="597"/>
      <c r="W534" s="597"/>
      <c r="X534" s="597"/>
      <c r="Y534" s="597"/>
      <c r="Z534" s="597"/>
    </row>
    <row r="535" spans="1:26" ht="18.75" hidden="1">
      <c r="A535" s="592"/>
      <c r="B535" s="600"/>
      <c r="C535" s="750"/>
      <c r="D535" s="750"/>
      <c r="E535" s="750" t="s">
        <v>19</v>
      </c>
      <c r="F535" s="750"/>
      <c r="G535" s="596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IFERROR(__xludf.DUMMYFUNCTION("IMPORTRANGE(""https://docs.google.com/spreadsheets/d/1QqKyyYR6Q21VydFLVH3TRQUabQu_ym0Zz7PgGX0-kHA/edit?usp=sharing"",""แผน!GT70"")"),0)</f>
        <v>0</v>
      </c>
      <c r="M535" s="93">
        <v>0</v>
      </c>
      <c r="N535" s="93">
        <v>0</v>
      </c>
      <c r="O535" s="93">
        <f t="shared" ca="1" si="231"/>
        <v>0</v>
      </c>
      <c r="P535" s="93">
        <f t="shared" si="232"/>
        <v>0</v>
      </c>
      <c r="Q535" s="597"/>
      <c r="R535" s="597"/>
      <c r="S535" s="597"/>
      <c r="T535" s="597"/>
      <c r="U535" s="597"/>
      <c r="V535" s="597"/>
      <c r="W535" s="597"/>
      <c r="X535" s="597"/>
      <c r="Y535" s="597"/>
      <c r="Z535" s="597"/>
    </row>
    <row r="536" spans="1:26" ht="19.5" hidden="1">
      <c r="A536" s="601"/>
      <c r="B536" s="611"/>
      <c r="C536" s="754" t="s">
        <v>16</v>
      </c>
      <c r="D536" s="839" t="s">
        <v>38</v>
      </c>
      <c r="E536" s="752"/>
      <c r="F536" s="752"/>
      <c r="G536" s="606"/>
      <c r="H536" s="753"/>
      <c r="I536" s="184"/>
      <c r="J536" s="184"/>
      <c r="K536" s="163"/>
      <c r="L536" s="163"/>
      <c r="M536" s="163"/>
      <c r="N536" s="163"/>
      <c r="O536" s="163"/>
      <c r="P536" s="163"/>
      <c r="Q536" s="571"/>
      <c r="R536" s="571"/>
      <c r="S536" s="571"/>
      <c r="T536" s="571"/>
      <c r="U536" s="571"/>
      <c r="V536" s="571"/>
      <c r="W536" s="571"/>
      <c r="X536" s="571"/>
      <c r="Y536" s="571"/>
      <c r="Z536" s="571"/>
    </row>
    <row r="537" spans="1:26" ht="19.5" hidden="1">
      <c r="A537" s="567"/>
      <c r="B537" s="568"/>
      <c r="C537" s="754"/>
      <c r="D537" s="754" t="s">
        <v>227</v>
      </c>
      <c r="E537" s="754"/>
      <c r="F537" s="754"/>
      <c r="G537" s="189"/>
      <c r="H537" s="616" t="s">
        <v>35</v>
      </c>
      <c r="I537" s="674">
        <f ca="1">IFERROR(__xludf.DUMMYFUNCTION("IMPORTRANGE(""https://docs.google.com/spreadsheets/d/1QqKyyYR6Q21VydFLVH3TRQUabQu_ym0Zz7PgGX0-kHA/edit?usp=sharing"",""แผน!GU70"")"),0)</f>
        <v>0</v>
      </c>
      <c r="J537" s="674">
        <f ca="1">IF(AND(J538=I538,J539=I539,J540=I540,J541=I541),I537,0)</f>
        <v>0</v>
      </c>
      <c r="K537" s="496">
        <f t="shared" ref="K537:K543" ca="1" si="233">IF(I537&gt;0,J537*100/I537,0)</f>
        <v>0</v>
      </c>
      <c r="L537" s="496"/>
      <c r="M537" s="496"/>
      <c r="N537" s="496"/>
      <c r="O537" s="496"/>
      <c r="P537" s="496"/>
      <c r="Q537" s="675"/>
      <c r="R537" s="675"/>
      <c r="S537" s="675"/>
      <c r="T537" s="675"/>
      <c r="U537" s="675"/>
      <c r="V537" s="675"/>
      <c r="W537" s="675"/>
      <c r="X537" s="675"/>
      <c r="Y537" s="675"/>
      <c r="Z537" s="675"/>
    </row>
    <row r="538" spans="1:26" ht="18.75" hidden="1">
      <c r="A538" s="567"/>
      <c r="B538" s="568"/>
      <c r="C538" s="754"/>
      <c r="D538" s="754"/>
      <c r="E538" s="754" t="s">
        <v>228</v>
      </c>
      <c r="F538" s="754"/>
      <c r="G538" s="189"/>
      <c r="H538" s="616" t="s">
        <v>35</v>
      </c>
      <c r="I538" s="269">
        <f ca="1">IFERROR(__xludf.DUMMYFUNCTION("IMPORTRANGE(""https://docs.google.com/spreadsheets/d/1QqKyyYR6Q21VydFLVH3TRQUabQu_ym0Zz7PgGX0-kHA/edit?usp=sharing"",""แผน!GV70"")"),0)</f>
        <v>0</v>
      </c>
      <c r="J538" s="214">
        <v>0</v>
      </c>
      <c r="K538" s="496">
        <f t="shared" ca="1" si="233"/>
        <v>0</v>
      </c>
      <c r="L538" s="496"/>
      <c r="M538" s="496"/>
      <c r="N538" s="496"/>
      <c r="O538" s="496"/>
      <c r="P538" s="496"/>
      <c r="Q538" s="675"/>
      <c r="R538" s="675"/>
      <c r="S538" s="675"/>
      <c r="T538" s="675"/>
      <c r="U538" s="675"/>
      <c r="V538" s="675"/>
      <c r="W538" s="675"/>
      <c r="X538" s="675"/>
      <c r="Y538" s="675"/>
      <c r="Z538" s="675"/>
    </row>
    <row r="539" spans="1:26" ht="18.75" hidden="1">
      <c r="A539" s="567"/>
      <c r="B539" s="568"/>
      <c r="C539" s="754"/>
      <c r="D539" s="754"/>
      <c r="E539" s="754" t="s">
        <v>229</v>
      </c>
      <c r="F539" s="754"/>
      <c r="G539" s="189"/>
      <c r="H539" s="616" t="s">
        <v>35</v>
      </c>
      <c r="I539" s="269">
        <f ca="1">IFERROR(__xludf.DUMMYFUNCTION("IMPORTRANGE(""https://docs.google.com/spreadsheets/d/1QqKyyYR6Q21VydFLVH3TRQUabQu_ym0Zz7PgGX0-kHA/edit?usp=sharing"",""แผน!GW70"")"),0)</f>
        <v>0</v>
      </c>
      <c r="J539" s="214">
        <v>0</v>
      </c>
      <c r="K539" s="496">
        <f t="shared" ca="1" si="233"/>
        <v>0</v>
      </c>
      <c r="L539" s="496"/>
      <c r="M539" s="496"/>
      <c r="N539" s="496"/>
      <c r="O539" s="496"/>
      <c r="P539" s="496"/>
      <c r="Q539" s="675"/>
      <c r="R539" s="675"/>
      <c r="S539" s="675"/>
      <c r="T539" s="675"/>
      <c r="U539" s="675"/>
      <c r="V539" s="675"/>
      <c r="W539" s="675"/>
      <c r="X539" s="675"/>
      <c r="Y539" s="675"/>
      <c r="Z539" s="675"/>
    </row>
    <row r="540" spans="1:26" ht="18.75" hidden="1">
      <c r="A540" s="567"/>
      <c r="B540" s="568"/>
      <c r="C540" s="754"/>
      <c r="D540" s="754"/>
      <c r="E540" s="754" t="s">
        <v>230</v>
      </c>
      <c r="F540" s="754"/>
      <c r="G540" s="189"/>
      <c r="H540" s="616" t="s">
        <v>35</v>
      </c>
      <c r="I540" s="269">
        <f ca="1">IFERROR(__xludf.DUMMYFUNCTION("IMPORTRANGE(""https://docs.google.com/spreadsheets/d/1QqKyyYR6Q21VydFLVH3TRQUabQu_ym0Zz7PgGX0-kHA/edit?usp=sharing"",""แผน!GX70"")"),0)</f>
        <v>0</v>
      </c>
      <c r="J540" s="214">
        <v>0</v>
      </c>
      <c r="K540" s="496">
        <f t="shared" ca="1" si="233"/>
        <v>0</v>
      </c>
      <c r="L540" s="496"/>
      <c r="M540" s="496"/>
      <c r="N540" s="496"/>
      <c r="O540" s="496"/>
      <c r="P540" s="496"/>
      <c r="Q540" s="675"/>
      <c r="R540" s="675"/>
      <c r="S540" s="675"/>
      <c r="T540" s="675"/>
      <c r="U540" s="675"/>
      <c r="V540" s="675"/>
      <c r="W540" s="675"/>
      <c r="X540" s="675"/>
      <c r="Y540" s="675"/>
      <c r="Z540" s="675"/>
    </row>
    <row r="541" spans="1:26" ht="18.75" hidden="1">
      <c r="A541" s="567"/>
      <c r="B541" s="568"/>
      <c r="C541" s="754"/>
      <c r="D541" s="754"/>
      <c r="E541" s="760" t="s">
        <v>231</v>
      </c>
      <c r="F541" s="754"/>
      <c r="G541" s="189"/>
      <c r="H541" s="616" t="s">
        <v>35</v>
      </c>
      <c r="I541" s="269">
        <f ca="1">IFERROR(__xludf.DUMMYFUNCTION("IMPORTRANGE(""https://docs.google.com/spreadsheets/d/1QqKyyYR6Q21VydFLVH3TRQUabQu_ym0Zz7PgGX0-kHA/edit?usp=sharing"",""แผน!GY70"")"),0)</f>
        <v>0</v>
      </c>
      <c r="J541" s="214">
        <v>0</v>
      </c>
      <c r="K541" s="496">
        <f t="shared" ca="1" si="233"/>
        <v>0</v>
      </c>
      <c r="L541" s="496"/>
      <c r="M541" s="496"/>
      <c r="N541" s="496"/>
      <c r="O541" s="496"/>
      <c r="P541" s="496"/>
      <c r="Q541" s="675"/>
      <c r="R541" s="675"/>
      <c r="S541" s="675"/>
      <c r="T541" s="675"/>
      <c r="U541" s="675"/>
      <c r="V541" s="675"/>
      <c r="W541" s="675"/>
      <c r="X541" s="675"/>
      <c r="Y541" s="675"/>
      <c r="Z541" s="675"/>
    </row>
    <row r="542" spans="1:26" ht="18.75" hidden="1">
      <c r="A542" s="567"/>
      <c r="B542" s="568"/>
      <c r="C542" s="754"/>
      <c r="D542" s="754" t="s">
        <v>59</v>
      </c>
      <c r="E542" s="754"/>
      <c r="F542" s="754"/>
      <c r="G542" s="189"/>
      <c r="H542" s="616" t="s">
        <v>35</v>
      </c>
      <c r="I542" s="269">
        <f ca="1">IFERROR(__xludf.DUMMYFUNCTION("IMPORTRANGE(""https://docs.google.com/spreadsheets/d/1QqKyyYR6Q21VydFLVH3TRQUabQu_ym0Zz7PgGX0-kHA/edit?usp=sharing"",""แผน!GZ70"")"),0)</f>
        <v>0</v>
      </c>
      <c r="J542" s="214">
        <v>0</v>
      </c>
      <c r="K542" s="496">
        <f t="shared" ca="1" si="233"/>
        <v>0</v>
      </c>
      <c r="L542" s="496"/>
      <c r="M542" s="496"/>
      <c r="N542" s="496"/>
      <c r="O542" s="496"/>
      <c r="P542" s="496"/>
      <c r="Q542" s="675"/>
      <c r="R542" s="675"/>
      <c r="S542" s="675"/>
      <c r="T542" s="675"/>
      <c r="U542" s="675"/>
      <c r="V542" s="675"/>
      <c r="W542" s="675"/>
      <c r="X542" s="675"/>
      <c r="Y542" s="675"/>
      <c r="Z542" s="675"/>
    </row>
    <row r="543" spans="1:26" ht="19.5">
      <c r="A543" s="657">
        <v>6</v>
      </c>
      <c r="B543" s="678" t="s">
        <v>232</v>
      </c>
      <c r="C543" s="660"/>
      <c r="D543" s="660"/>
      <c r="E543" s="660"/>
      <c r="F543" s="660"/>
      <c r="G543" s="661"/>
      <c r="H543" s="679" t="s">
        <v>46</v>
      </c>
      <c r="I543" s="680">
        <f t="shared" ref="I543:J543" ca="1" si="234">I559</f>
        <v>0</v>
      </c>
      <c r="J543" s="680">
        <f t="shared" si="234"/>
        <v>0</v>
      </c>
      <c r="K543" s="681">
        <f t="shared" ca="1" si="233"/>
        <v>0</v>
      </c>
      <c r="L543" s="663"/>
      <c r="M543" s="663"/>
      <c r="N543" s="663"/>
      <c r="O543" s="663"/>
      <c r="P543" s="663"/>
      <c r="Q543" s="571"/>
      <c r="R543" s="571"/>
      <c r="S543" s="571"/>
      <c r="T543" s="571"/>
      <c r="U543" s="571"/>
      <c r="V543" s="571"/>
      <c r="W543" s="571"/>
      <c r="X543" s="571"/>
      <c r="Y543" s="571"/>
      <c r="Z543" s="571"/>
    </row>
    <row r="544" spans="1:26" ht="19.5">
      <c r="A544" s="682"/>
      <c r="B544" s="683"/>
      <c r="C544" s="683" t="s">
        <v>16</v>
      </c>
      <c r="D544" s="867" t="s">
        <v>17</v>
      </c>
      <c r="E544" s="862"/>
      <c r="F544" s="862"/>
      <c r="G544" s="684"/>
      <c r="H544" s="274" t="s">
        <v>12</v>
      </c>
      <c r="I544" s="419"/>
      <c r="J544" s="419"/>
      <c r="K544" s="154"/>
      <c r="L544" s="155">
        <f t="shared" ref="L544:N544" ca="1" si="235">L545+L546</f>
        <v>248300</v>
      </c>
      <c r="M544" s="155">
        <f t="shared" si="235"/>
        <v>0</v>
      </c>
      <c r="N544" s="155">
        <f t="shared" si="235"/>
        <v>0</v>
      </c>
      <c r="O544" s="155">
        <f t="shared" ref="O544:O549" ca="1" si="236">IF(L544&gt;0,N544*100/L544,0)</f>
        <v>0</v>
      </c>
      <c r="P544" s="155">
        <f t="shared" ref="P544:P549" si="237">IF(M544&gt;0,N544*100/M544,0)</f>
        <v>0</v>
      </c>
      <c r="Q544" s="571"/>
      <c r="R544" s="571"/>
      <c r="S544" s="571"/>
      <c r="T544" s="571"/>
      <c r="U544" s="571"/>
      <c r="V544" s="571"/>
      <c r="W544" s="571"/>
      <c r="X544" s="571"/>
      <c r="Y544" s="571"/>
      <c r="Z544" s="571"/>
    </row>
    <row r="545" spans="1:26" ht="18.75" hidden="1">
      <c r="A545" s="592"/>
      <c r="B545" s="750"/>
      <c r="C545" s="750"/>
      <c r="D545" s="750"/>
      <c r="E545" s="750" t="s">
        <v>184</v>
      </c>
      <c r="F545" s="750"/>
      <c r="G545" s="596"/>
      <c r="H545" s="165" t="s">
        <v>12</v>
      </c>
      <c r="I545" s="610"/>
      <c r="J545" s="610"/>
      <c r="K545" s="93"/>
      <c r="L545" s="93">
        <f t="shared" ref="L545:L546" si="238">L548+L556</f>
        <v>0</v>
      </c>
      <c r="M545" s="93">
        <f t="shared" ref="M545:N546" si="239">M548+M555</f>
        <v>0</v>
      </c>
      <c r="N545" s="93">
        <f t="shared" si="239"/>
        <v>0</v>
      </c>
      <c r="O545" s="93">
        <f t="shared" si="236"/>
        <v>0</v>
      </c>
      <c r="P545" s="93">
        <f t="shared" si="237"/>
        <v>0</v>
      </c>
      <c r="Q545" s="597"/>
      <c r="R545" s="597"/>
      <c r="S545" s="597"/>
      <c r="T545" s="597"/>
      <c r="U545" s="597"/>
      <c r="V545" s="597"/>
      <c r="W545" s="597"/>
      <c r="X545" s="597"/>
      <c r="Y545" s="597"/>
      <c r="Z545" s="597"/>
    </row>
    <row r="546" spans="1:26" ht="18.75" hidden="1">
      <c r="A546" s="592"/>
      <c r="B546" s="600"/>
      <c r="C546" s="750"/>
      <c r="D546" s="750"/>
      <c r="E546" s="750" t="s">
        <v>185</v>
      </c>
      <c r="F546" s="750"/>
      <c r="G546" s="596"/>
      <c r="H546" s="165" t="s">
        <v>12</v>
      </c>
      <c r="I546" s="610"/>
      <c r="J546" s="610"/>
      <c r="K546" s="93"/>
      <c r="L546" s="93">
        <f t="shared" ca="1" si="238"/>
        <v>248300</v>
      </c>
      <c r="M546" s="93">
        <f t="shared" si="239"/>
        <v>0</v>
      </c>
      <c r="N546" s="93">
        <f t="shared" si="239"/>
        <v>0</v>
      </c>
      <c r="O546" s="93">
        <f t="shared" ca="1" si="236"/>
        <v>0</v>
      </c>
      <c r="P546" s="93">
        <f t="shared" si="237"/>
        <v>0</v>
      </c>
      <c r="Q546" s="597"/>
      <c r="R546" s="597"/>
      <c r="S546" s="597"/>
      <c r="T546" s="597"/>
      <c r="U546" s="597"/>
      <c r="V546" s="597"/>
      <c r="W546" s="597"/>
      <c r="X546" s="597"/>
      <c r="Y546" s="597"/>
      <c r="Z546" s="597"/>
    </row>
    <row r="547" spans="1:26" ht="18.75">
      <c r="A547" s="590"/>
      <c r="B547" s="568"/>
      <c r="C547" s="754"/>
      <c r="D547" s="599" t="s">
        <v>20</v>
      </c>
      <c r="E547" s="754"/>
      <c r="F547" s="754"/>
      <c r="G547" s="189"/>
      <c r="H547" s="161" t="s">
        <v>12</v>
      </c>
      <c r="I547" s="184"/>
      <c r="J547" s="184"/>
      <c r="K547" s="163"/>
      <c r="L547" s="496">
        <f t="shared" ref="L547:N547" ca="1" si="240">L548+L549</f>
        <v>248300</v>
      </c>
      <c r="M547" s="496">
        <f t="shared" si="240"/>
        <v>0</v>
      </c>
      <c r="N547" s="496">
        <f t="shared" si="240"/>
        <v>0</v>
      </c>
      <c r="O547" s="496">
        <f t="shared" ca="1" si="236"/>
        <v>0</v>
      </c>
      <c r="P547" s="496">
        <f t="shared" si="237"/>
        <v>0</v>
      </c>
      <c r="Q547" s="571"/>
      <c r="R547" s="571"/>
      <c r="S547" s="571"/>
      <c r="T547" s="571"/>
      <c r="U547" s="571"/>
      <c r="V547" s="571"/>
      <c r="W547" s="571"/>
      <c r="X547" s="571"/>
      <c r="Y547" s="571"/>
      <c r="Z547" s="571"/>
    </row>
    <row r="548" spans="1:26" ht="18.75" hidden="1">
      <c r="A548" s="592"/>
      <c r="B548" s="600"/>
      <c r="C548" s="750"/>
      <c r="D548" s="711"/>
      <c r="E548" s="750" t="s">
        <v>184</v>
      </c>
      <c r="F548" s="750"/>
      <c r="G548" s="596"/>
      <c r="H548" s="165" t="s">
        <v>12</v>
      </c>
      <c r="I548" s="610"/>
      <c r="J548" s="610"/>
      <c r="K548" s="93"/>
      <c r="L548" s="93">
        <v>0</v>
      </c>
      <c r="M548" s="93">
        <v>0</v>
      </c>
      <c r="N548" s="93">
        <v>0</v>
      </c>
      <c r="O548" s="93">
        <f t="shared" si="236"/>
        <v>0</v>
      </c>
      <c r="P548" s="93">
        <f t="shared" si="237"/>
        <v>0</v>
      </c>
      <c r="Q548" s="597"/>
      <c r="R548" s="597"/>
      <c r="S548" s="597"/>
      <c r="T548" s="597"/>
      <c r="U548" s="597"/>
      <c r="V548" s="597"/>
      <c r="W548" s="597"/>
      <c r="X548" s="597"/>
      <c r="Y548" s="597"/>
      <c r="Z548" s="597"/>
    </row>
    <row r="549" spans="1:26" ht="18.75" hidden="1">
      <c r="A549" s="592"/>
      <c r="B549" s="600"/>
      <c r="C549" s="750"/>
      <c r="D549" s="711"/>
      <c r="E549" s="750" t="s">
        <v>185</v>
      </c>
      <c r="F549" s="750"/>
      <c r="G549" s="596"/>
      <c r="H549" s="165" t="s">
        <v>12</v>
      </c>
      <c r="I549" s="610"/>
      <c r="J549" s="610"/>
      <c r="K549" s="93"/>
      <c r="L549" s="93">
        <f ca="1">IFERROR(__xludf.DUMMYFUNCTION("IMPORTRANGE(""https://docs.google.com/spreadsheets/d/1QqKyyYR6Q21VydFLVH3TRQUabQu_ym0Zz7PgGX0-kHA/edit?usp=sharing"",""แผน!HB70"")"),248300)</f>
        <v>248300</v>
      </c>
      <c r="M549" s="93">
        <v>0</v>
      </c>
      <c r="N549" s="93">
        <f>N550+N551+N552+N553+N554</f>
        <v>0</v>
      </c>
      <c r="O549" s="93">
        <f t="shared" ca="1" si="236"/>
        <v>0</v>
      </c>
      <c r="P549" s="93">
        <f t="shared" si="237"/>
        <v>0</v>
      </c>
      <c r="Q549" s="597"/>
      <c r="R549" s="597"/>
      <c r="S549" s="597"/>
      <c r="T549" s="597"/>
      <c r="U549" s="597"/>
      <c r="V549" s="597"/>
      <c r="W549" s="597"/>
      <c r="X549" s="597"/>
      <c r="Y549" s="597"/>
      <c r="Z549" s="597"/>
    </row>
    <row r="550" spans="1:26" ht="18.75">
      <c r="A550" s="567"/>
      <c r="B550" s="568"/>
      <c r="C550" s="754"/>
      <c r="D550" s="754"/>
      <c r="E550" s="754"/>
      <c r="F550" s="754" t="s">
        <v>186</v>
      </c>
      <c r="G550" s="189"/>
      <c r="H550" s="161" t="s">
        <v>12</v>
      </c>
      <c r="I550" s="269"/>
      <c r="J550" s="269"/>
      <c r="K550" s="496"/>
      <c r="L550" s="496"/>
      <c r="M550" s="496"/>
      <c r="N550" s="817">
        <v>0</v>
      </c>
      <c r="O550" s="496"/>
      <c r="P550" s="496"/>
      <c r="Q550" s="571"/>
      <c r="R550" s="571"/>
      <c r="S550" s="571"/>
      <c r="T550" s="571"/>
      <c r="U550" s="571"/>
      <c r="V550" s="571"/>
      <c r="W550" s="571"/>
      <c r="X550" s="571"/>
      <c r="Y550" s="571"/>
      <c r="Z550" s="571"/>
    </row>
    <row r="551" spans="1:26" ht="18.75">
      <c r="A551" s="567"/>
      <c r="B551" s="568"/>
      <c r="C551" s="568"/>
      <c r="D551" s="568"/>
      <c r="E551" s="754"/>
      <c r="F551" s="754" t="s">
        <v>187</v>
      </c>
      <c r="G551" s="189"/>
      <c r="H551" s="161" t="s">
        <v>12</v>
      </c>
      <c r="I551" s="269"/>
      <c r="J551" s="269"/>
      <c r="K551" s="496"/>
      <c r="L551" s="496"/>
      <c r="M551" s="496"/>
      <c r="N551" s="817">
        <v>0</v>
      </c>
      <c r="O551" s="496"/>
      <c r="P551" s="496"/>
      <c r="Q551" s="571"/>
      <c r="R551" s="571"/>
      <c r="S551" s="571"/>
      <c r="T551" s="571"/>
      <c r="U551" s="571"/>
      <c r="V551" s="571"/>
      <c r="W551" s="571"/>
      <c r="X551" s="571"/>
      <c r="Y551" s="571"/>
      <c r="Z551" s="571"/>
    </row>
    <row r="552" spans="1:26" ht="18.75">
      <c r="A552" s="567"/>
      <c r="B552" s="568"/>
      <c r="C552" s="754"/>
      <c r="D552" s="754"/>
      <c r="E552" s="754"/>
      <c r="F552" s="754" t="s">
        <v>188</v>
      </c>
      <c r="G552" s="189"/>
      <c r="H552" s="161" t="s">
        <v>12</v>
      </c>
      <c r="I552" s="269"/>
      <c r="J552" s="269"/>
      <c r="K552" s="496"/>
      <c r="L552" s="496"/>
      <c r="M552" s="496"/>
      <c r="N552" s="817">
        <v>0</v>
      </c>
      <c r="O552" s="496"/>
      <c r="P552" s="496"/>
      <c r="Q552" s="571"/>
      <c r="R552" s="571"/>
      <c r="S552" s="571"/>
      <c r="T552" s="571"/>
      <c r="U552" s="571"/>
      <c r="V552" s="571"/>
      <c r="W552" s="571"/>
      <c r="X552" s="571"/>
      <c r="Y552" s="571"/>
      <c r="Z552" s="571"/>
    </row>
    <row r="553" spans="1:26" ht="18.75">
      <c r="A553" s="567"/>
      <c r="B553" s="568"/>
      <c r="C553" s="568"/>
      <c r="D553" s="568"/>
      <c r="E553" s="754"/>
      <c r="F553" s="754" t="s">
        <v>189</v>
      </c>
      <c r="G553" s="189"/>
      <c r="H553" s="161" t="s">
        <v>12</v>
      </c>
      <c r="I553" s="269"/>
      <c r="J553" s="269"/>
      <c r="K553" s="496"/>
      <c r="L553" s="496"/>
      <c r="M553" s="496"/>
      <c r="N553" s="817">
        <v>0</v>
      </c>
      <c r="O553" s="496"/>
      <c r="P553" s="496"/>
      <c r="Q553" s="571"/>
      <c r="R553" s="571"/>
      <c r="S553" s="571"/>
      <c r="T553" s="571"/>
      <c r="U553" s="571"/>
      <c r="V553" s="571"/>
      <c r="W553" s="571"/>
      <c r="X553" s="571"/>
      <c r="Y553" s="571"/>
      <c r="Z553" s="571"/>
    </row>
    <row r="554" spans="1:26" ht="18.75">
      <c r="A554" s="567"/>
      <c r="B554" s="568"/>
      <c r="C554" s="568"/>
      <c r="D554" s="568"/>
      <c r="E554" s="754"/>
      <c r="F554" s="754" t="s">
        <v>233</v>
      </c>
      <c r="G554" s="189"/>
      <c r="H554" s="161" t="s">
        <v>12</v>
      </c>
      <c r="I554" s="269"/>
      <c r="J554" s="269"/>
      <c r="K554" s="496"/>
      <c r="L554" s="496"/>
      <c r="M554" s="496"/>
      <c r="N554" s="817">
        <v>0</v>
      </c>
      <c r="O554" s="496"/>
      <c r="P554" s="496"/>
      <c r="Q554" s="571"/>
      <c r="R554" s="571"/>
      <c r="S554" s="571"/>
      <c r="T554" s="571"/>
      <c r="U554" s="571"/>
      <c r="V554" s="571"/>
      <c r="W554" s="571"/>
      <c r="X554" s="571"/>
      <c r="Y554" s="571"/>
      <c r="Z554" s="571"/>
    </row>
    <row r="555" spans="1:26" ht="18.75">
      <c r="A555" s="590"/>
      <c r="B555" s="568"/>
      <c r="C555" s="568"/>
      <c r="D555" s="599" t="s">
        <v>21</v>
      </c>
      <c r="E555" s="754"/>
      <c r="F555" s="754"/>
      <c r="G555" s="189"/>
      <c r="H555" s="168" t="s">
        <v>12</v>
      </c>
      <c r="I555" s="184"/>
      <c r="J555" s="184"/>
      <c r="K555" s="163"/>
      <c r="L555" s="496">
        <f t="shared" ref="L555:N555" ca="1" si="241">L556+L557</f>
        <v>0</v>
      </c>
      <c r="M555" s="496">
        <f t="shared" si="241"/>
        <v>0</v>
      </c>
      <c r="N555" s="496">
        <f t="shared" si="241"/>
        <v>0</v>
      </c>
      <c r="O555" s="496">
        <f t="shared" ref="O555:O557" ca="1" si="242">IF(L555&gt;0,N555*100/L555,0)</f>
        <v>0</v>
      </c>
      <c r="P555" s="496">
        <f t="shared" ref="P555:P557" si="243">IF(M555&gt;0,N555*100/M555,0)</f>
        <v>0</v>
      </c>
      <c r="Q555" s="571"/>
      <c r="R555" s="571"/>
      <c r="S555" s="571"/>
      <c r="T555" s="571"/>
      <c r="U555" s="571"/>
      <c r="V555" s="571"/>
      <c r="W555" s="571"/>
      <c r="X555" s="571"/>
      <c r="Y555" s="571"/>
      <c r="Z555" s="571"/>
    </row>
    <row r="556" spans="1:26" ht="18.75" hidden="1">
      <c r="A556" s="592"/>
      <c r="B556" s="600"/>
      <c r="C556" s="600"/>
      <c r="D556" s="750"/>
      <c r="E556" s="750" t="s">
        <v>18</v>
      </c>
      <c r="F556" s="750"/>
      <c r="G556" s="596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2"/>
        <v>0</v>
      </c>
      <c r="P556" s="93">
        <f t="shared" si="243"/>
        <v>0</v>
      </c>
      <c r="Q556" s="597"/>
      <c r="R556" s="597"/>
      <c r="S556" s="597"/>
      <c r="T556" s="597"/>
      <c r="U556" s="597"/>
      <c r="V556" s="597"/>
      <c r="W556" s="597"/>
      <c r="X556" s="597"/>
      <c r="Y556" s="597"/>
      <c r="Z556" s="597"/>
    </row>
    <row r="557" spans="1:26" ht="18.75" hidden="1">
      <c r="A557" s="592"/>
      <c r="B557" s="600"/>
      <c r="C557" s="600"/>
      <c r="D557" s="750"/>
      <c r="E557" s="750" t="s">
        <v>19</v>
      </c>
      <c r="F557" s="750"/>
      <c r="G557" s="596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IFERROR(__xludf.DUMMYFUNCTION("IMPORTRANGE(""https://docs.google.com/spreadsheets/d/1QqKyyYR6Q21VydFLVH3TRQUabQu_ym0Zz7PgGX0-kHA/edit?usp=sharing"",""แผน!HF70"")"),0)</f>
        <v>0</v>
      </c>
      <c r="M557" s="93">
        <v>0</v>
      </c>
      <c r="N557" s="93">
        <v>0</v>
      </c>
      <c r="O557" s="93">
        <f t="shared" ca="1" si="242"/>
        <v>0</v>
      </c>
      <c r="P557" s="93">
        <f t="shared" si="243"/>
        <v>0</v>
      </c>
      <c r="Q557" s="597"/>
      <c r="R557" s="597"/>
      <c r="S557" s="597"/>
      <c r="T557" s="597"/>
      <c r="U557" s="597"/>
      <c r="V557" s="597"/>
      <c r="W557" s="597"/>
      <c r="X557" s="597"/>
      <c r="Y557" s="597"/>
      <c r="Z557" s="597"/>
    </row>
    <row r="558" spans="1:26" ht="19.5">
      <c r="A558" s="601"/>
      <c r="B558" s="611"/>
      <c r="C558" s="568" t="s">
        <v>16</v>
      </c>
      <c r="D558" s="839" t="s">
        <v>38</v>
      </c>
      <c r="E558" s="752"/>
      <c r="F558" s="752"/>
      <c r="G558" s="606"/>
      <c r="H558" s="753"/>
      <c r="I558" s="184"/>
      <c r="J558" s="184"/>
      <c r="K558" s="163"/>
      <c r="L558" s="163"/>
      <c r="M558" s="163"/>
      <c r="N558" s="163"/>
      <c r="O558" s="163"/>
      <c r="P558" s="163"/>
      <c r="Q558" s="571"/>
      <c r="R558" s="571"/>
      <c r="S558" s="571"/>
      <c r="T558" s="571"/>
      <c r="U558" s="571"/>
      <c r="V558" s="571"/>
      <c r="W558" s="571"/>
      <c r="X558" s="571"/>
      <c r="Y558" s="571"/>
      <c r="Z558" s="571"/>
    </row>
    <row r="559" spans="1:26" ht="19.5" hidden="1">
      <c r="A559" s="685"/>
      <c r="B559" s="686" t="s">
        <v>234</v>
      </c>
      <c r="C559" s="687"/>
      <c r="D559" s="687"/>
      <c r="E559" s="666"/>
      <c r="F559" s="666"/>
      <c r="G559" s="667"/>
      <c r="H559" s="688" t="s">
        <v>46</v>
      </c>
      <c r="I559" s="699">
        <f t="shared" ref="I559:J559" ca="1" si="244">I576</f>
        <v>0</v>
      </c>
      <c r="J559" s="699">
        <f t="shared" si="244"/>
        <v>0</v>
      </c>
      <c r="K559" s="670">
        <f t="shared" ref="K559:K561" ca="1" si="245">IF(I559&gt;0,J559*100/I559,0)</f>
        <v>0</v>
      </c>
      <c r="L559" s="671"/>
      <c r="M559" s="671"/>
      <c r="N559" s="671"/>
      <c r="O559" s="671"/>
      <c r="P559" s="671"/>
      <c r="Q559" s="571"/>
      <c r="R559" s="571"/>
      <c r="S559" s="571"/>
      <c r="T559" s="571"/>
      <c r="U559" s="571"/>
      <c r="V559" s="571"/>
      <c r="W559" s="571"/>
      <c r="X559" s="571"/>
      <c r="Y559" s="571"/>
      <c r="Z559" s="571"/>
    </row>
    <row r="560" spans="1:26" ht="19.5" hidden="1">
      <c r="A560" s="601"/>
      <c r="B560" s="611"/>
      <c r="C560" s="618" t="s">
        <v>235</v>
      </c>
      <c r="D560" s="611"/>
      <c r="E560" s="619"/>
      <c r="F560" s="619"/>
      <c r="G560" s="753"/>
      <c r="H560" s="758" t="s">
        <v>46</v>
      </c>
      <c r="I560" s="193">
        <f ca="1">IFERROR(__xludf.DUMMYFUNCTION("IMPORTRANGE(""https://docs.google.com/spreadsheets/d/1QqKyyYR6Q21VydFLVH3TRQUabQu_ym0Zz7PgGX0-kHA/edit?usp=sharing"",""แผน!HH70"")"),0)</f>
        <v>0</v>
      </c>
      <c r="J560" s="193">
        <f t="shared" ref="J560:J561" si="246">J562+J564+J566</f>
        <v>0</v>
      </c>
      <c r="K560" s="410">
        <f t="shared" ca="1" si="245"/>
        <v>0</v>
      </c>
      <c r="L560" s="163"/>
      <c r="M560" s="163"/>
      <c r="N560" s="163"/>
      <c r="O560" s="163"/>
      <c r="P560" s="163"/>
      <c r="Q560" s="571"/>
      <c r="R560" s="571"/>
      <c r="S560" s="571"/>
      <c r="T560" s="571"/>
      <c r="U560" s="571"/>
      <c r="V560" s="571"/>
      <c r="W560" s="571"/>
      <c r="X560" s="571"/>
      <c r="Y560" s="571"/>
      <c r="Z560" s="571"/>
    </row>
    <row r="561" spans="1:26" ht="19.5" hidden="1">
      <c r="A561" s="601"/>
      <c r="B561" s="611"/>
      <c r="C561" s="611"/>
      <c r="D561" s="619"/>
      <c r="E561" s="619"/>
      <c r="F561" s="619"/>
      <c r="G561" s="753"/>
      <c r="H561" s="758" t="s">
        <v>34</v>
      </c>
      <c r="I561" s="193">
        <f ca="1">IFERROR(__xludf.DUMMYFUNCTION("IMPORTRANGE(""https://docs.google.com/spreadsheets/d/1QqKyyYR6Q21VydFLVH3TRQUabQu_ym0Zz7PgGX0-kHA/edit?usp=sharing"",""แผน!HG70"")"),0)</f>
        <v>0</v>
      </c>
      <c r="J561" s="193">
        <f t="shared" si="246"/>
        <v>0</v>
      </c>
      <c r="K561" s="410">
        <f t="shared" ca="1" si="245"/>
        <v>0</v>
      </c>
      <c r="L561" s="163"/>
      <c r="M561" s="163"/>
      <c r="N561" s="163"/>
      <c r="O561" s="163"/>
      <c r="P561" s="163"/>
      <c r="Q561" s="571"/>
      <c r="R561" s="571"/>
      <c r="S561" s="571"/>
      <c r="T561" s="571"/>
      <c r="U561" s="571"/>
      <c r="V561" s="571"/>
      <c r="W561" s="571"/>
      <c r="X561" s="571"/>
      <c r="Y561" s="571"/>
      <c r="Z561" s="571"/>
    </row>
    <row r="562" spans="1:26" ht="18.75" hidden="1">
      <c r="A562" s="601"/>
      <c r="B562" s="611"/>
      <c r="C562" s="611"/>
      <c r="D562" s="619" t="s">
        <v>236</v>
      </c>
      <c r="E562" s="619"/>
      <c r="F562" s="619"/>
      <c r="G562" s="753"/>
      <c r="H562" s="755" t="s">
        <v>46</v>
      </c>
      <c r="I562" s="184"/>
      <c r="J562" s="214">
        <v>0</v>
      </c>
      <c r="K562" s="163"/>
      <c r="L562" s="163"/>
      <c r="M562" s="163"/>
      <c r="N562" s="163"/>
      <c r="O562" s="163"/>
      <c r="P562" s="163"/>
      <c r="Q562" s="571"/>
      <c r="R562" s="571"/>
      <c r="S562" s="571"/>
      <c r="T562" s="571"/>
      <c r="U562" s="571"/>
      <c r="V562" s="571"/>
      <c r="W562" s="571"/>
      <c r="X562" s="571"/>
      <c r="Y562" s="571"/>
      <c r="Z562" s="571"/>
    </row>
    <row r="563" spans="1:26" ht="18.75" hidden="1">
      <c r="A563" s="601"/>
      <c r="B563" s="611"/>
      <c r="C563" s="611"/>
      <c r="D563" s="611"/>
      <c r="E563" s="619"/>
      <c r="F563" s="619"/>
      <c r="G563" s="753"/>
      <c r="H563" s="755" t="s">
        <v>34</v>
      </c>
      <c r="I563" s="184"/>
      <c r="J563" s="214">
        <v>0</v>
      </c>
      <c r="K563" s="163"/>
      <c r="L563" s="163"/>
      <c r="M563" s="163"/>
      <c r="N563" s="163"/>
      <c r="O563" s="163"/>
      <c r="P563" s="163"/>
      <c r="Q563" s="571"/>
      <c r="R563" s="571"/>
      <c r="S563" s="571"/>
      <c r="T563" s="571"/>
      <c r="U563" s="571"/>
      <c r="V563" s="571"/>
      <c r="W563" s="571"/>
      <c r="X563" s="571"/>
      <c r="Y563" s="571"/>
      <c r="Z563" s="571"/>
    </row>
    <row r="564" spans="1:26" ht="18.75" hidden="1">
      <c r="A564" s="601"/>
      <c r="B564" s="611"/>
      <c r="C564" s="611"/>
      <c r="D564" s="619" t="s">
        <v>237</v>
      </c>
      <c r="E564" s="619"/>
      <c r="F564" s="619"/>
      <c r="G564" s="753"/>
      <c r="H564" s="755" t="s">
        <v>46</v>
      </c>
      <c r="I564" s="184"/>
      <c r="J564" s="214">
        <v>0</v>
      </c>
      <c r="K564" s="163"/>
      <c r="L564" s="163"/>
      <c r="M564" s="163"/>
      <c r="N564" s="163"/>
      <c r="O564" s="163"/>
      <c r="P564" s="163"/>
      <c r="Q564" s="571"/>
      <c r="R564" s="571"/>
      <c r="S564" s="571"/>
      <c r="T564" s="571"/>
      <c r="U564" s="571"/>
      <c r="V564" s="571"/>
      <c r="W564" s="571"/>
      <c r="X564" s="571"/>
      <c r="Y564" s="571"/>
      <c r="Z564" s="571"/>
    </row>
    <row r="565" spans="1:26" ht="18.75" hidden="1">
      <c r="A565" s="601"/>
      <c r="B565" s="611"/>
      <c r="C565" s="611"/>
      <c r="D565" s="619"/>
      <c r="E565" s="619"/>
      <c r="F565" s="619"/>
      <c r="G565" s="753"/>
      <c r="H565" s="755" t="s">
        <v>34</v>
      </c>
      <c r="I565" s="184"/>
      <c r="J565" s="214">
        <v>0</v>
      </c>
      <c r="K565" s="163"/>
      <c r="L565" s="163"/>
      <c r="M565" s="163"/>
      <c r="N565" s="163"/>
      <c r="O565" s="163"/>
      <c r="P565" s="163"/>
      <c r="Q565" s="571"/>
      <c r="R565" s="571"/>
      <c r="S565" s="571"/>
      <c r="T565" s="571"/>
      <c r="U565" s="571"/>
      <c r="V565" s="571"/>
      <c r="W565" s="571"/>
      <c r="X565" s="571"/>
      <c r="Y565" s="571"/>
      <c r="Z565" s="571"/>
    </row>
    <row r="566" spans="1:26" ht="18.75" hidden="1">
      <c r="A566" s="601"/>
      <c r="B566" s="611"/>
      <c r="C566" s="611"/>
      <c r="D566" s="619" t="s">
        <v>238</v>
      </c>
      <c r="E566" s="619"/>
      <c r="F566" s="619"/>
      <c r="G566" s="753"/>
      <c r="H566" s="755" t="s">
        <v>46</v>
      </c>
      <c r="I566" s="184"/>
      <c r="J566" s="214">
        <v>0</v>
      </c>
      <c r="K566" s="163"/>
      <c r="L566" s="163"/>
      <c r="M566" s="163"/>
      <c r="N566" s="163"/>
      <c r="O566" s="163"/>
      <c r="P566" s="163"/>
      <c r="Q566" s="571"/>
      <c r="R566" s="571"/>
      <c r="S566" s="571"/>
      <c r="T566" s="571"/>
      <c r="U566" s="571"/>
      <c r="V566" s="571"/>
      <c r="W566" s="571"/>
      <c r="X566" s="571"/>
      <c r="Y566" s="571"/>
      <c r="Z566" s="571"/>
    </row>
    <row r="567" spans="1:26" ht="18.75" hidden="1">
      <c r="A567" s="601"/>
      <c r="B567" s="611"/>
      <c r="C567" s="611"/>
      <c r="D567" s="619"/>
      <c r="E567" s="619"/>
      <c r="F567" s="619"/>
      <c r="G567" s="753"/>
      <c r="H567" s="755" t="s">
        <v>34</v>
      </c>
      <c r="I567" s="184"/>
      <c r="J567" s="214">
        <v>0</v>
      </c>
      <c r="K567" s="163"/>
      <c r="L567" s="163"/>
      <c r="M567" s="163"/>
      <c r="N567" s="163"/>
      <c r="O567" s="163"/>
      <c r="P567" s="163"/>
      <c r="Q567" s="571"/>
      <c r="R567" s="571"/>
      <c r="S567" s="571"/>
      <c r="T567" s="571"/>
      <c r="U567" s="571"/>
      <c r="V567" s="571"/>
      <c r="W567" s="571"/>
      <c r="X567" s="571"/>
      <c r="Y567" s="571"/>
      <c r="Z567" s="571"/>
    </row>
    <row r="568" spans="1:26" ht="19.5" hidden="1">
      <c r="A568" s="601"/>
      <c r="B568" s="611"/>
      <c r="C568" s="618" t="s">
        <v>239</v>
      </c>
      <c r="D568" s="619"/>
      <c r="E568" s="619"/>
      <c r="F568" s="619"/>
      <c r="G568" s="753"/>
      <c r="H568" s="758" t="s">
        <v>46</v>
      </c>
      <c r="I568" s="193">
        <f ca="1">IFERROR(__xludf.DUMMYFUNCTION("IMPORTRANGE(""https://docs.google.com/spreadsheets/d/1QqKyyYR6Q21VydFLVH3TRQUabQu_ym0Zz7PgGX0-kHA/edit?usp=sharing"",""แผน!HH70"")"),0)</f>
        <v>0</v>
      </c>
      <c r="J568" s="674">
        <f t="shared" ref="J568:J569" si="247">J570+J572+J574</f>
        <v>0</v>
      </c>
      <c r="K568" s="410">
        <f t="shared" ref="K568:K569" ca="1" si="248">IF(I568&gt;0,J568*100/I568,0)</f>
        <v>0</v>
      </c>
      <c r="L568" s="163"/>
      <c r="M568" s="163"/>
      <c r="N568" s="163"/>
      <c r="O568" s="163"/>
      <c r="P568" s="163"/>
      <c r="Q568" s="571"/>
      <c r="R568" s="571"/>
      <c r="S568" s="571"/>
      <c r="T568" s="571"/>
      <c r="U568" s="571"/>
      <c r="V568" s="571"/>
      <c r="W568" s="571"/>
      <c r="X568" s="571"/>
      <c r="Y568" s="571"/>
      <c r="Z568" s="571"/>
    </row>
    <row r="569" spans="1:26" ht="19.5" hidden="1">
      <c r="A569" s="601"/>
      <c r="B569" s="611"/>
      <c r="C569" s="611"/>
      <c r="D569" s="611"/>
      <c r="E569" s="619"/>
      <c r="F569" s="619"/>
      <c r="G569" s="753"/>
      <c r="H569" s="758" t="s">
        <v>34</v>
      </c>
      <c r="I569" s="193">
        <f ca="1">IFERROR(__xludf.DUMMYFUNCTION("IMPORTRANGE(""https://docs.google.com/spreadsheets/d/1QqKyyYR6Q21VydFLVH3TRQUabQu_ym0Zz7PgGX0-kHA/edit?usp=sharing"",""แผน!HG70"")"),0)</f>
        <v>0</v>
      </c>
      <c r="J569" s="674">
        <f t="shared" si="247"/>
        <v>0</v>
      </c>
      <c r="K569" s="410">
        <f t="shared" ca="1" si="248"/>
        <v>0</v>
      </c>
      <c r="L569" s="163"/>
      <c r="M569" s="163"/>
      <c r="N569" s="163"/>
      <c r="O569" s="163"/>
      <c r="P569" s="163"/>
      <c r="Q569" s="571"/>
      <c r="R569" s="571"/>
      <c r="S569" s="571"/>
      <c r="T569" s="571"/>
      <c r="U569" s="571"/>
      <c r="V569" s="571"/>
      <c r="W569" s="571"/>
      <c r="X569" s="571"/>
      <c r="Y569" s="571"/>
      <c r="Z569" s="571"/>
    </row>
    <row r="570" spans="1:26" ht="18.75" hidden="1">
      <c r="A570" s="601"/>
      <c r="B570" s="611"/>
      <c r="C570" s="611"/>
      <c r="D570" s="619" t="s">
        <v>240</v>
      </c>
      <c r="E570" s="611"/>
      <c r="F570" s="619"/>
      <c r="G570" s="753"/>
      <c r="H570" s="755" t="s">
        <v>46</v>
      </c>
      <c r="I570" s="184"/>
      <c r="J570" s="214">
        <v>0</v>
      </c>
      <c r="K570" s="163"/>
      <c r="L570" s="163"/>
      <c r="M570" s="163"/>
      <c r="N570" s="163"/>
      <c r="O570" s="163"/>
      <c r="P570" s="163"/>
      <c r="Q570" s="571"/>
      <c r="R570" s="571"/>
      <c r="S570" s="571"/>
      <c r="T570" s="571"/>
      <c r="U570" s="571"/>
      <c r="V570" s="571"/>
      <c r="W570" s="571"/>
      <c r="X570" s="571"/>
      <c r="Y570" s="571"/>
      <c r="Z570" s="571"/>
    </row>
    <row r="571" spans="1:26" ht="18.75" hidden="1">
      <c r="A571" s="601"/>
      <c r="B571" s="611"/>
      <c r="C571" s="611"/>
      <c r="D571" s="611"/>
      <c r="E571" s="619"/>
      <c r="F571" s="619"/>
      <c r="G571" s="753"/>
      <c r="H571" s="755" t="s">
        <v>34</v>
      </c>
      <c r="I571" s="184"/>
      <c r="J571" s="214">
        <v>0</v>
      </c>
      <c r="K571" s="163"/>
      <c r="L571" s="163"/>
      <c r="M571" s="163"/>
      <c r="N571" s="163"/>
      <c r="O571" s="163"/>
      <c r="P571" s="163"/>
      <c r="Q571" s="571"/>
      <c r="R571" s="571"/>
      <c r="S571" s="571"/>
      <c r="T571" s="571"/>
      <c r="U571" s="571"/>
      <c r="V571" s="571"/>
      <c r="W571" s="571"/>
      <c r="X571" s="571"/>
      <c r="Y571" s="571"/>
      <c r="Z571" s="571"/>
    </row>
    <row r="572" spans="1:26" ht="18.75" hidden="1">
      <c r="A572" s="601"/>
      <c r="B572" s="611"/>
      <c r="C572" s="611"/>
      <c r="D572" s="619" t="s">
        <v>241</v>
      </c>
      <c r="E572" s="619"/>
      <c r="F572" s="619"/>
      <c r="G572" s="753"/>
      <c r="H572" s="755" t="s">
        <v>46</v>
      </c>
      <c r="I572" s="184"/>
      <c r="J572" s="214">
        <v>0</v>
      </c>
      <c r="K572" s="163"/>
      <c r="L572" s="163"/>
      <c r="M572" s="163"/>
      <c r="N572" s="163"/>
      <c r="O572" s="163"/>
      <c r="P572" s="163"/>
      <c r="Q572" s="571"/>
      <c r="R572" s="571"/>
      <c r="S572" s="571"/>
      <c r="T572" s="571"/>
      <c r="U572" s="571"/>
      <c r="V572" s="571"/>
      <c r="W572" s="571"/>
      <c r="X572" s="571"/>
      <c r="Y572" s="571"/>
      <c r="Z572" s="571"/>
    </row>
    <row r="573" spans="1:26" ht="18.75" hidden="1">
      <c r="A573" s="601"/>
      <c r="B573" s="611"/>
      <c r="C573" s="611"/>
      <c r="D573" s="619"/>
      <c r="E573" s="619"/>
      <c r="F573" s="619"/>
      <c r="G573" s="753"/>
      <c r="H573" s="755" t="s">
        <v>34</v>
      </c>
      <c r="I573" s="184"/>
      <c r="J573" s="214">
        <v>0</v>
      </c>
      <c r="K573" s="163"/>
      <c r="L573" s="163"/>
      <c r="M573" s="163"/>
      <c r="N573" s="163"/>
      <c r="O573" s="163"/>
      <c r="P573" s="163"/>
      <c r="Q573" s="571"/>
      <c r="R573" s="571"/>
      <c r="S573" s="571"/>
      <c r="T573" s="571"/>
      <c r="U573" s="571"/>
      <c r="V573" s="571"/>
      <c r="W573" s="571"/>
      <c r="X573" s="571"/>
      <c r="Y573" s="571"/>
      <c r="Z573" s="571"/>
    </row>
    <row r="574" spans="1:26" ht="18.75" hidden="1">
      <c r="A574" s="601"/>
      <c r="B574" s="611"/>
      <c r="C574" s="611"/>
      <c r="D574" s="619" t="s">
        <v>242</v>
      </c>
      <c r="E574" s="619"/>
      <c r="F574" s="619"/>
      <c r="G574" s="753"/>
      <c r="H574" s="755" t="s">
        <v>46</v>
      </c>
      <c r="I574" s="184"/>
      <c r="J574" s="214">
        <v>0</v>
      </c>
      <c r="K574" s="163"/>
      <c r="L574" s="163"/>
      <c r="M574" s="163"/>
      <c r="N574" s="163"/>
      <c r="O574" s="163"/>
      <c r="P574" s="163"/>
      <c r="Q574" s="571"/>
      <c r="R574" s="571"/>
      <c r="S574" s="571"/>
      <c r="T574" s="571"/>
      <c r="U574" s="571"/>
      <c r="V574" s="571"/>
      <c r="W574" s="571"/>
      <c r="X574" s="571"/>
      <c r="Y574" s="571"/>
      <c r="Z574" s="571"/>
    </row>
    <row r="575" spans="1:26" ht="18.75" hidden="1">
      <c r="A575" s="601"/>
      <c r="B575" s="611"/>
      <c r="C575" s="611"/>
      <c r="D575" s="611"/>
      <c r="E575" s="619"/>
      <c r="F575" s="619"/>
      <c r="G575" s="753"/>
      <c r="H575" s="755" t="s">
        <v>34</v>
      </c>
      <c r="I575" s="184"/>
      <c r="J575" s="214">
        <v>0</v>
      </c>
      <c r="K575" s="163"/>
      <c r="L575" s="163"/>
      <c r="M575" s="163"/>
      <c r="N575" s="163"/>
      <c r="O575" s="163"/>
      <c r="P575" s="163"/>
      <c r="Q575" s="571"/>
      <c r="R575" s="571"/>
      <c r="S575" s="571"/>
      <c r="T575" s="571"/>
      <c r="U575" s="571"/>
      <c r="V575" s="571"/>
      <c r="W575" s="571"/>
      <c r="X575" s="571"/>
      <c r="Y575" s="571"/>
      <c r="Z575" s="571"/>
    </row>
    <row r="576" spans="1:26" ht="19.5" hidden="1">
      <c r="A576" s="601"/>
      <c r="B576" s="611"/>
      <c r="C576" s="618" t="s">
        <v>243</v>
      </c>
      <c r="D576" s="611"/>
      <c r="E576" s="611"/>
      <c r="F576" s="619"/>
      <c r="G576" s="753"/>
      <c r="H576" s="758" t="s">
        <v>46</v>
      </c>
      <c r="I576" s="193">
        <f ca="1">IFERROR(__xludf.DUMMYFUNCTION("IMPORTRANGE(""https://docs.google.com/spreadsheets/d/1QqKyyYR6Q21VydFLVH3TRQUabQu_ym0Zz7PgGX0-kHA/edit?usp=sharing"",""แผน!HH70"")"),0)</f>
        <v>0</v>
      </c>
      <c r="J576" s="674">
        <f t="shared" ref="J576:J577" si="249">J578+J580+J582+J588+J590</f>
        <v>0</v>
      </c>
      <c r="K576" s="410">
        <f t="shared" ref="K576:K577" ca="1" si="250">IF(I576&gt;0,J576*100/I576,0)</f>
        <v>0</v>
      </c>
      <c r="L576" s="163"/>
      <c r="M576" s="163"/>
      <c r="N576" s="163"/>
      <c r="O576" s="163"/>
      <c r="P576" s="163"/>
      <c r="Q576" s="571"/>
      <c r="R576" s="571"/>
      <c r="S576" s="571"/>
      <c r="T576" s="571"/>
      <c r="U576" s="571"/>
      <c r="V576" s="571"/>
      <c r="W576" s="571"/>
      <c r="X576" s="571"/>
      <c r="Y576" s="571"/>
      <c r="Z576" s="571"/>
    </row>
    <row r="577" spans="1:26" ht="19.5" hidden="1">
      <c r="A577" s="601"/>
      <c r="B577" s="611"/>
      <c r="C577" s="611"/>
      <c r="D577" s="611"/>
      <c r="E577" s="619"/>
      <c r="F577" s="619"/>
      <c r="G577" s="753"/>
      <c r="H577" s="758" t="s">
        <v>34</v>
      </c>
      <c r="I577" s="193">
        <f ca="1">IFERROR(__xludf.DUMMYFUNCTION("IMPORTRANGE(""https://docs.google.com/spreadsheets/d/1QqKyyYR6Q21VydFLVH3TRQUabQu_ym0Zz7PgGX0-kHA/edit?usp=sharing"",""แผน!HG70"")"),0)</f>
        <v>0</v>
      </c>
      <c r="J577" s="674">
        <f t="shared" si="249"/>
        <v>0</v>
      </c>
      <c r="K577" s="410">
        <f t="shared" ca="1" si="250"/>
        <v>0</v>
      </c>
      <c r="L577" s="163"/>
      <c r="M577" s="163"/>
      <c r="N577" s="163"/>
      <c r="O577" s="163"/>
      <c r="P577" s="163"/>
      <c r="Q577" s="571"/>
      <c r="R577" s="571"/>
      <c r="S577" s="571"/>
      <c r="T577" s="571"/>
      <c r="U577" s="571"/>
      <c r="V577" s="571"/>
      <c r="W577" s="571"/>
      <c r="X577" s="571"/>
      <c r="Y577" s="571"/>
      <c r="Z577" s="571"/>
    </row>
    <row r="578" spans="1:26" ht="18.75" hidden="1">
      <c r="A578" s="601"/>
      <c r="B578" s="611"/>
      <c r="C578" s="611"/>
      <c r="D578" s="619" t="s">
        <v>244</v>
      </c>
      <c r="E578" s="619"/>
      <c r="F578" s="619"/>
      <c r="G578" s="753"/>
      <c r="H578" s="755" t="s">
        <v>46</v>
      </c>
      <c r="I578" s="184"/>
      <c r="J578" s="214">
        <v>0</v>
      </c>
      <c r="K578" s="163"/>
      <c r="L578" s="163"/>
      <c r="M578" s="163"/>
      <c r="N578" s="163"/>
      <c r="O578" s="163"/>
      <c r="P578" s="163"/>
      <c r="Q578" s="571"/>
      <c r="R578" s="571"/>
      <c r="S578" s="571"/>
      <c r="T578" s="571"/>
      <c r="U578" s="571"/>
      <c r="V578" s="571"/>
      <c r="W578" s="571"/>
      <c r="X578" s="571"/>
      <c r="Y578" s="571"/>
      <c r="Z578" s="571"/>
    </row>
    <row r="579" spans="1:26" ht="18.75" hidden="1">
      <c r="A579" s="601"/>
      <c r="B579" s="611"/>
      <c r="C579" s="611"/>
      <c r="D579" s="611"/>
      <c r="E579" s="619"/>
      <c r="F579" s="619"/>
      <c r="G579" s="753"/>
      <c r="H579" s="755" t="s">
        <v>34</v>
      </c>
      <c r="I579" s="184"/>
      <c r="J579" s="214">
        <v>0</v>
      </c>
      <c r="K579" s="163"/>
      <c r="L579" s="163"/>
      <c r="M579" s="163"/>
      <c r="N579" s="163"/>
      <c r="O579" s="163"/>
      <c r="P579" s="163"/>
      <c r="Q579" s="571"/>
      <c r="R579" s="571"/>
      <c r="S579" s="571"/>
      <c r="T579" s="571"/>
      <c r="U579" s="571"/>
      <c r="V579" s="571"/>
      <c r="W579" s="571"/>
      <c r="X579" s="571"/>
      <c r="Y579" s="571"/>
      <c r="Z579" s="571"/>
    </row>
    <row r="580" spans="1:26" ht="18.75" hidden="1">
      <c r="A580" s="601"/>
      <c r="B580" s="611"/>
      <c r="C580" s="611"/>
      <c r="D580" s="619" t="s">
        <v>245</v>
      </c>
      <c r="E580" s="619"/>
      <c r="F580" s="619"/>
      <c r="G580" s="753"/>
      <c r="H580" s="755" t="s">
        <v>46</v>
      </c>
      <c r="I580" s="184"/>
      <c r="J580" s="214">
        <v>0</v>
      </c>
      <c r="K580" s="163"/>
      <c r="L580" s="163"/>
      <c r="M580" s="163"/>
      <c r="N580" s="163"/>
      <c r="O580" s="163"/>
      <c r="P580" s="163"/>
      <c r="Q580" s="571"/>
      <c r="R580" s="571"/>
      <c r="S580" s="571"/>
      <c r="T580" s="571"/>
      <c r="U580" s="571"/>
      <c r="V580" s="571"/>
      <c r="W580" s="571"/>
      <c r="X580" s="571"/>
      <c r="Y580" s="571"/>
      <c r="Z580" s="571"/>
    </row>
    <row r="581" spans="1:26" ht="18.75" hidden="1">
      <c r="A581" s="601"/>
      <c r="B581" s="611"/>
      <c r="C581" s="611"/>
      <c r="D581" s="611"/>
      <c r="E581" s="619"/>
      <c r="F581" s="619"/>
      <c r="G581" s="753"/>
      <c r="H581" s="755" t="s">
        <v>34</v>
      </c>
      <c r="I581" s="184"/>
      <c r="J581" s="214">
        <v>0</v>
      </c>
      <c r="K581" s="163"/>
      <c r="L581" s="163"/>
      <c r="M581" s="163"/>
      <c r="N581" s="163"/>
      <c r="O581" s="163"/>
      <c r="P581" s="163"/>
      <c r="Q581" s="571"/>
      <c r="R581" s="571"/>
      <c r="S581" s="571"/>
      <c r="T581" s="571"/>
      <c r="U581" s="571"/>
      <c r="V581" s="571"/>
      <c r="W581" s="571"/>
      <c r="X581" s="571"/>
      <c r="Y581" s="571"/>
      <c r="Z581" s="571"/>
    </row>
    <row r="582" spans="1:26" ht="19.5" hidden="1">
      <c r="A582" s="601"/>
      <c r="B582" s="611"/>
      <c r="C582" s="611"/>
      <c r="D582" s="619" t="s">
        <v>246</v>
      </c>
      <c r="E582" s="619"/>
      <c r="F582" s="619"/>
      <c r="G582" s="753"/>
      <c r="H582" s="755" t="s">
        <v>46</v>
      </c>
      <c r="I582" s="184"/>
      <c r="J582" s="674">
        <f t="shared" ref="J582:J583" si="251">J584+J586</f>
        <v>0</v>
      </c>
      <c r="K582" s="410"/>
      <c r="L582" s="163"/>
      <c r="M582" s="163"/>
      <c r="N582" s="163"/>
      <c r="O582" s="163"/>
      <c r="P582" s="163"/>
      <c r="Q582" s="571"/>
      <c r="R582" s="571"/>
      <c r="S582" s="571"/>
      <c r="T582" s="571"/>
      <c r="U582" s="571"/>
      <c r="V582" s="571"/>
      <c r="W582" s="571"/>
      <c r="X582" s="571"/>
      <c r="Y582" s="571"/>
      <c r="Z582" s="571"/>
    </row>
    <row r="583" spans="1:26" ht="19.5" hidden="1">
      <c r="A583" s="601"/>
      <c r="B583" s="611"/>
      <c r="C583" s="611"/>
      <c r="D583" s="611"/>
      <c r="E583" s="619"/>
      <c r="F583" s="619"/>
      <c r="G583" s="753"/>
      <c r="H583" s="755" t="s">
        <v>34</v>
      </c>
      <c r="I583" s="184"/>
      <c r="J583" s="674">
        <f t="shared" si="251"/>
        <v>0</v>
      </c>
      <c r="K583" s="410"/>
      <c r="L583" s="163"/>
      <c r="M583" s="163"/>
      <c r="N583" s="163"/>
      <c r="O583" s="163"/>
      <c r="P583" s="163"/>
      <c r="Q583" s="571"/>
      <c r="R583" s="571"/>
      <c r="S583" s="571"/>
      <c r="T583" s="571"/>
      <c r="U583" s="571"/>
      <c r="V583" s="571"/>
      <c r="W583" s="571"/>
      <c r="X583" s="571"/>
      <c r="Y583" s="571"/>
      <c r="Z583" s="571"/>
    </row>
    <row r="584" spans="1:26" ht="18.75" hidden="1">
      <c r="A584" s="601"/>
      <c r="B584" s="611"/>
      <c r="C584" s="611"/>
      <c r="D584" s="611"/>
      <c r="E584" s="619" t="s">
        <v>247</v>
      </c>
      <c r="F584" s="619"/>
      <c r="G584" s="753"/>
      <c r="H584" s="755" t="s">
        <v>46</v>
      </c>
      <c r="I584" s="184"/>
      <c r="J584" s="214">
        <v>0</v>
      </c>
      <c r="K584" s="163"/>
      <c r="L584" s="163"/>
      <c r="M584" s="163"/>
      <c r="N584" s="163"/>
      <c r="O584" s="163"/>
      <c r="P584" s="163"/>
      <c r="Q584" s="571"/>
      <c r="R584" s="571"/>
      <c r="S584" s="571"/>
      <c r="T584" s="571"/>
      <c r="U584" s="571"/>
      <c r="V584" s="571"/>
      <c r="W584" s="571"/>
      <c r="X584" s="571"/>
      <c r="Y584" s="571"/>
      <c r="Z584" s="571"/>
    </row>
    <row r="585" spans="1:26" ht="18.75" hidden="1">
      <c r="A585" s="601"/>
      <c r="B585" s="611"/>
      <c r="C585" s="611"/>
      <c r="D585" s="611"/>
      <c r="E585" s="619"/>
      <c r="F585" s="619"/>
      <c r="G585" s="753"/>
      <c r="H585" s="755" t="s">
        <v>34</v>
      </c>
      <c r="I585" s="184"/>
      <c r="J585" s="214">
        <v>0</v>
      </c>
      <c r="K585" s="163"/>
      <c r="L585" s="163"/>
      <c r="M585" s="163"/>
      <c r="N585" s="163"/>
      <c r="O585" s="163"/>
      <c r="P585" s="163"/>
      <c r="Q585" s="571"/>
      <c r="R585" s="571"/>
      <c r="S585" s="571"/>
      <c r="T585" s="571"/>
      <c r="U585" s="571"/>
      <c r="V585" s="571"/>
      <c r="W585" s="571"/>
      <c r="X585" s="571"/>
      <c r="Y585" s="571"/>
      <c r="Z585" s="571"/>
    </row>
    <row r="586" spans="1:26" ht="18.75" hidden="1">
      <c r="A586" s="601"/>
      <c r="B586" s="611"/>
      <c r="C586" s="611"/>
      <c r="D586" s="611"/>
      <c r="E586" s="619" t="s">
        <v>248</v>
      </c>
      <c r="F586" s="619"/>
      <c r="G586" s="753"/>
      <c r="H586" s="755" t="s">
        <v>46</v>
      </c>
      <c r="I586" s="184"/>
      <c r="J586" s="214">
        <v>0</v>
      </c>
      <c r="K586" s="163"/>
      <c r="L586" s="163"/>
      <c r="M586" s="163"/>
      <c r="N586" s="163"/>
      <c r="O586" s="163"/>
      <c r="P586" s="163"/>
      <c r="Q586" s="571"/>
      <c r="R586" s="571"/>
      <c r="S586" s="571"/>
      <c r="T586" s="571"/>
      <c r="U586" s="571"/>
      <c r="V586" s="571"/>
      <c r="W586" s="571"/>
      <c r="X586" s="571"/>
      <c r="Y586" s="571"/>
      <c r="Z586" s="571"/>
    </row>
    <row r="587" spans="1:26" ht="18.75" hidden="1">
      <c r="A587" s="601"/>
      <c r="B587" s="611"/>
      <c r="C587" s="611"/>
      <c r="D587" s="611"/>
      <c r="E587" s="611"/>
      <c r="F587" s="619"/>
      <c r="G587" s="753"/>
      <c r="H587" s="755" t="s">
        <v>34</v>
      </c>
      <c r="I587" s="184"/>
      <c r="J587" s="214">
        <v>0</v>
      </c>
      <c r="K587" s="163"/>
      <c r="L587" s="163"/>
      <c r="M587" s="163"/>
      <c r="N587" s="163"/>
      <c r="O587" s="163"/>
      <c r="P587" s="163"/>
      <c r="Q587" s="571"/>
      <c r="R587" s="571"/>
      <c r="S587" s="571"/>
      <c r="T587" s="571"/>
      <c r="U587" s="571"/>
      <c r="V587" s="571"/>
      <c r="W587" s="571"/>
      <c r="X587" s="571"/>
      <c r="Y587" s="571"/>
      <c r="Z587" s="571"/>
    </row>
    <row r="588" spans="1:26" ht="18.75" hidden="1">
      <c r="A588" s="601"/>
      <c r="B588" s="611"/>
      <c r="C588" s="611"/>
      <c r="D588" s="619" t="s">
        <v>249</v>
      </c>
      <c r="E588" s="619"/>
      <c r="F588" s="619"/>
      <c r="G588" s="753"/>
      <c r="H588" s="755" t="s">
        <v>46</v>
      </c>
      <c r="I588" s="184"/>
      <c r="J588" s="214">
        <v>0</v>
      </c>
      <c r="K588" s="163"/>
      <c r="L588" s="163"/>
      <c r="M588" s="163"/>
      <c r="N588" s="163"/>
      <c r="O588" s="163"/>
      <c r="P588" s="163"/>
      <c r="Q588" s="571"/>
      <c r="R588" s="571"/>
      <c r="S588" s="571"/>
      <c r="T588" s="571"/>
      <c r="U588" s="571"/>
      <c r="V588" s="571"/>
      <c r="W588" s="571"/>
      <c r="X588" s="571"/>
      <c r="Y588" s="571"/>
      <c r="Z588" s="571"/>
    </row>
    <row r="589" spans="1:26" ht="18.75" hidden="1">
      <c r="A589" s="601"/>
      <c r="B589" s="611"/>
      <c r="C589" s="611"/>
      <c r="D589" s="611"/>
      <c r="E589" s="611"/>
      <c r="F589" s="619"/>
      <c r="G589" s="753"/>
      <c r="H589" s="755" t="s">
        <v>34</v>
      </c>
      <c r="I589" s="184"/>
      <c r="J589" s="214">
        <v>0</v>
      </c>
      <c r="K589" s="163"/>
      <c r="L589" s="163"/>
      <c r="M589" s="163"/>
      <c r="N589" s="163"/>
      <c r="O589" s="163"/>
      <c r="P589" s="163"/>
      <c r="Q589" s="571"/>
      <c r="R589" s="571"/>
      <c r="S589" s="571"/>
      <c r="T589" s="571"/>
      <c r="U589" s="571"/>
      <c r="V589" s="571"/>
      <c r="W589" s="571"/>
      <c r="X589" s="571"/>
      <c r="Y589" s="571"/>
      <c r="Z589" s="571"/>
    </row>
    <row r="590" spans="1:26" ht="18.75" hidden="1">
      <c r="A590" s="601"/>
      <c r="B590" s="611"/>
      <c r="C590" s="611"/>
      <c r="D590" s="619" t="s">
        <v>250</v>
      </c>
      <c r="E590" s="619"/>
      <c r="F590" s="619"/>
      <c r="G590" s="753"/>
      <c r="H590" s="755" t="s">
        <v>46</v>
      </c>
      <c r="I590" s="184"/>
      <c r="J590" s="214">
        <v>0</v>
      </c>
      <c r="K590" s="163"/>
      <c r="L590" s="163"/>
      <c r="M590" s="163"/>
      <c r="N590" s="163"/>
      <c r="O590" s="163"/>
      <c r="P590" s="163"/>
      <c r="Q590" s="571"/>
      <c r="R590" s="571"/>
      <c r="S590" s="571"/>
      <c r="T590" s="571"/>
      <c r="U590" s="571"/>
      <c r="V590" s="571"/>
      <c r="W590" s="571"/>
      <c r="X590" s="571"/>
      <c r="Y590" s="571"/>
      <c r="Z590" s="571"/>
    </row>
    <row r="591" spans="1:26" ht="18.75" hidden="1">
      <c r="A591" s="689"/>
      <c r="B591" s="690"/>
      <c r="C591" s="690"/>
      <c r="D591" s="690"/>
      <c r="E591" s="571"/>
      <c r="F591" s="571"/>
      <c r="G591" s="691"/>
      <c r="H591" s="692" t="s">
        <v>34</v>
      </c>
      <c r="I591" s="693"/>
      <c r="J591" s="694">
        <v>0</v>
      </c>
      <c r="K591" s="695"/>
      <c r="L591" s="695"/>
      <c r="M591" s="695"/>
      <c r="N591" s="695"/>
      <c r="O591" s="695"/>
      <c r="P591" s="695"/>
      <c r="Q591" s="571"/>
      <c r="R591" s="571"/>
      <c r="S591" s="571"/>
      <c r="T591" s="571"/>
      <c r="U591" s="571"/>
      <c r="V591" s="571"/>
      <c r="W591" s="571"/>
      <c r="X591" s="571"/>
      <c r="Y591" s="571"/>
      <c r="Z591" s="571"/>
    </row>
    <row r="592" spans="1:26" ht="19.5">
      <c r="A592" s="685"/>
      <c r="B592" s="686" t="s">
        <v>251</v>
      </c>
      <c r="C592" s="687"/>
      <c r="D592" s="687"/>
      <c r="E592" s="666"/>
      <c r="F592" s="666"/>
      <c r="G592" s="667"/>
      <c r="H592" s="688" t="s">
        <v>46</v>
      </c>
      <c r="I592" s="699">
        <f t="shared" ref="I592:J592" ca="1" si="252">I593</f>
        <v>640</v>
      </c>
      <c r="J592" s="699">
        <f t="shared" si="252"/>
        <v>0</v>
      </c>
      <c r="K592" s="670">
        <f t="shared" ref="K592:K594" ca="1" si="253">IF(I592&gt;0,J592*100/I592,0)</f>
        <v>0</v>
      </c>
      <c r="L592" s="671"/>
      <c r="M592" s="671"/>
      <c r="N592" s="671"/>
      <c r="O592" s="671"/>
      <c r="P592" s="671"/>
      <c r="Q592" s="571"/>
      <c r="R592" s="571"/>
      <c r="S592" s="571"/>
      <c r="T592" s="571"/>
      <c r="U592" s="571"/>
      <c r="V592" s="571"/>
      <c r="W592" s="571"/>
      <c r="X592" s="571"/>
      <c r="Y592" s="571"/>
      <c r="Z592" s="571"/>
    </row>
    <row r="593" spans="1:26" ht="19.5">
      <c r="A593" s="601"/>
      <c r="B593" s="611"/>
      <c r="C593" s="618" t="s">
        <v>252</v>
      </c>
      <c r="D593" s="611"/>
      <c r="E593" s="611"/>
      <c r="F593" s="619"/>
      <c r="G593" s="753"/>
      <c r="H593" s="758" t="s">
        <v>46</v>
      </c>
      <c r="I593" s="193">
        <f ca="1">IFERROR(__xludf.DUMMYFUNCTION("IMPORTRANGE(""https://docs.google.com/spreadsheets/d/1QqKyyYR6Q21VydFLVH3TRQUabQu_ym0Zz7PgGX0-kHA/edit?usp=sharing"",""แผน!HJ70"")"),640)</f>
        <v>640</v>
      </c>
      <c r="J593" s="193">
        <f t="shared" ref="J593:J594" si="254">J595+J603+J609</f>
        <v>0</v>
      </c>
      <c r="K593" s="410">
        <f t="shared" ca="1" si="253"/>
        <v>0</v>
      </c>
      <c r="L593" s="163"/>
      <c r="M593" s="163"/>
      <c r="N593" s="163"/>
      <c r="O593" s="163"/>
      <c r="P593" s="163"/>
      <c r="Q593" s="571"/>
      <c r="R593" s="571"/>
      <c r="S593" s="571"/>
      <c r="T593" s="571"/>
      <c r="U593" s="571"/>
      <c r="V593" s="571"/>
      <c r="W593" s="571"/>
      <c r="X593" s="571"/>
      <c r="Y593" s="571"/>
      <c r="Z593" s="571"/>
    </row>
    <row r="594" spans="1:26" ht="19.5">
      <c r="A594" s="601"/>
      <c r="B594" s="611"/>
      <c r="C594" s="611"/>
      <c r="D594" s="611"/>
      <c r="E594" s="619"/>
      <c r="F594" s="619"/>
      <c r="G594" s="753"/>
      <c r="H594" s="758" t="s">
        <v>34</v>
      </c>
      <c r="I594" s="193">
        <f ca="1">IFERROR(__xludf.DUMMYFUNCTION("IMPORTRANGE(""https://docs.google.com/spreadsheets/d/1QqKyyYR6Q21VydFLVH3TRQUabQu_ym0Zz7PgGX0-kHA/edit?usp=sharing"",""แผน!HI70"")"),121)</f>
        <v>121</v>
      </c>
      <c r="J594" s="193">
        <f t="shared" si="254"/>
        <v>0</v>
      </c>
      <c r="K594" s="410">
        <f t="shared" ca="1" si="253"/>
        <v>0</v>
      </c>
      <c r="L594" s="163"/>
      <c r="M594" s="163"/>
      <c r="N594" s="163"/>
      <c r="O594" s="163"/>
      <c r="P594" s="163"/>
      <c r="Q594" s="571"/>
      <c r="R594" s="571"/>
      <c r="S594" s="571"/>
      <c r="T594" s="571"/>
      <c r="U594" s="571"/>
      <c r="V594" s="571"/>
      <c r="W594" s="571"/>
      <c r="X594" s="571"/>
      <c r="Y594" s="571"/>
      <c r="Z594" s="571"/>
    </row>
    <row r="595" spans="1:26" ht="18.75">
      <c r="A595" s="601"/>
      <c r="B595" s="611"/>
      <c r="C595" s="611" t="s">
        <v>253</v>
      </c>
      <c r="D595" s="611"/>
      <c r="E595" s="611"/>
      <c r="F595" s="619"/>
      <c r="G595" s="753"/>
      <c r="H595" s="755" t="s">
        <v>46</v>
      </c>
      <c r="I595" s="184"/>
      <c r="J595" s="184">
        <f t="shared" ref="J595:J596" si="255">J597+J599</f>
        <v>0</v>
      </c>
      <c r="K595" s="163"/>
      <c r="L595" s="163"/>
      <c r="M595" s="163"/>
      <c r="N595" s="163"/>
      <c r="O595" s="163"/>
      <c r="P595" s="163"/>
      <c r="Q595" s="571"/>
      <c r="R595" s="571"/>
      <c r="S595" s="571"/>
      <c r="T595" s="571"/>
      <c r="U595" s="571"/>
      <c r="V595" s="571"/>
      <c r="W595" s="571"/>
      <c r="X595" s="571"/>
      <c r="Y595" s="571"/>
      <c r="Z595" s="571"/>
    </row>
    <row r="596" spans="1:26" ht="18.75">
      <c r="A596" s="601"/>
      <c r="B596" s="611"/>
      <c r="C596" s="611"/>
      <c r="D596" s="611"/>
      <c r="E596" s="619"/>
      <c r="F596" s="619"/>
      <c r="G596" s="753"/>
      <c r="H596" s="755" t="s">
        <v>34</v>
      </c>
      <c r="I596" s="184"/>
      <c r="J596" s="184">
        <f t="shared" si="255"/>
        <v>0</v>
      </c>
      <c r="K596" s="163"/>
      <c r="L596" s="163"/>
      <c r="M596" s="163"/>
      <c r="N596" s="163"/>
      <c r="O596" s="163"/>
      <c r="P596" s="163"/>
      <c r="Q596" s="571"/>
      <c r="R596" s="571"/>
      <c r="S596" s="571"/>
      <c r="T596" s="571"/>
      <c r="U596" s="571"/>
      <c r="V596" s="571"/>
      <c r="W596" s="571"/>
      <c r="X596" s="571"/>
      <c r="Y596" s="571"/>
      <c r="Z596" s="571"/>
    </row>
    <row r="597" spans="1:26" ht="18.75">
      <c r="A597" s="601"/>
      <c r="B597" s="611"/>
      <c r="C597" s="611"/>
      <c r="D597" s="737" t="s">
        <v>254</v>
      </c>
      <c r="E597" s="619"/>
      <c r="F597" s="619"/>
      <c r="G597" s="753"/>
      <c r="H597" s="755" t="s">
        <v>46</v>
      </c>
      <c r="I597" s="184"/>
      <c r="J597" s="214">
        <v>0</v>
      </c>
      <c r="K597" s="163"/>
      <c r="L597" s="163"/>
      <c r="M597" s="163"/>
      <c r="N597" s="163"/>
      <c r="O597" s="163"/>
      <c r="P597" s="163"/>
      <c r="Q597" s="571"/>
      <c r="R597" s="571"/>
      <c r="S597" s="571"/>
      <c r="T597" s="571"/>
      <c r="U597" s="571"/>
      <c r="V597" s="571"/>
      <c r="W597" s="571"/>
      <c r="X597" s="571"/>
      <c r="Y597" s="571"/>
      <c r="Z597" s="571"/>
    </row>
    <row r="598" spans="1:26" ht="18.75">
      <c r="A598" s="601"/>
      <c r="B598" s="611"/>
      <c r="C598" s="611"/>
      <c r="D598" s="611"/>
      <c r="E598" s="619"/>
      <c r="F598" s="619"/>
      <c r="G598" s="753"/>
      <c r="H598" s="755" t="s">
        <v>34</v>
      </c>
      <c r="I598" s="269"/>
      <c r="J598" s="214">
        <v>0</v>
      </c>
      <c r="K598" s="163"/>
      <c r="L598" s="163"/>
      <c r="M598" s="163"/>
      <c r="N598" s="163"/>
      <c r="O598" s="163"/>
      <c r="P598" s="163"/>
      <c r="Q598" s="571"/>
      <c r="R598" s="571"/>
      <c r="S598" s="571"/>
      <c r="T598" s="571"/>
      <c r="U598" s="571"/>
      <c r="V598" s="571"/>
      <c r="W598" s="571"/>
      <c r="X598" s="571"/>
      <c r="Y598" s="571"/>
      <c r="Z598" s="571"/>
    </row>
    <row r="599" spans="1:26" ht="18.75">
      <c r="A599" s="601"/>
      <c r="B599" s="611"/>
      <c r="C599" s="611"/>
      <c r="D599" s="737" t="s">
        <v>255</v>
      </c>
      <c r="E599" s="619"/>
      <c r="F599" s="619"/>
      <c r="G599" s="753"/>
      <c r="H599" s="755" t="s">
        <v>46</v>
      </c>
      <c r="I599" s="269"/>
      <c r="J599" s="214">
        <v>0</v>
      </c>
      <c r="K599" s="163"/>
      <c r="L599" s="163"/>
      <c r="M599" s="163"/>
      <c r="N599" s="163"/>
      <c r="O599" s="163"/>
      <c r="P599" s="163"/>
      <c r="Q599" s="571"/>
      <c r="R599" s="571"/>
      <c r="S599" s="571"/>
      <c r="T599" s="571"/>
      <c r="U599" s="571"/>
      <c r="V599" s="571"/>
      <c r="W599" s="571"/>
      <c r="X599" s="571"/>
      <c r="Y599" s="571"/>
      <c r="Z599" s="571"/>
    </row>
    <row r="600" spans="1:26" ht="18.75">
      <c r="A600" s="601"/>
      <c r="B600" s="611"/>
      <c r="C600" s="611"/>
      <c r="D600" s="611"/>
      <c r="E600" s="619"/>
      <c r="F600" s="619"/>
      <c r="G600" s="753"/>
      <c r="H600" s="755" t="s">
        <v>34</v>
      </c>
      <c r="I600" s="269"/>
      <c r="J600" s="214">
        <v>0</v>
      </c>
      <c r="K600" s="163"/>
      <c r="L600" s="163"/>
      <c r="M600" s="163"/>
      <c r="N600" s="163"/>
      <c r="O600" s="163"/>
      <c r="P600" s="163"/>
      <c r="Q600" s="571"/>
      <c r="R600" s="571"/>
      <c r="S600" s="571"/>
      <c r="T600" s="571"/>
      <c r="U600" s="571"/>
      <c r="V600" s="571"/>
      <c r="W600" s="571"/>
      <c r="X600" s="571"/>
      <c r="Y600" s="571"/>
      <c r="Z600" s="571"/>
    </row>
    <row r="601" spans="1:26" ht="18.75">
      <c r="A601" s="601"/>
      <c r="B601" s="611"/>
      <c r="C601" s="611"/>
      <c r="D601" s="737" t="s">
        <v>256</v>
      </c>
      <c r="E601" s="619"/>
      <c r="F601" s="619"/>
      <c r="G601" s="753"/>
      <c r="H601" s="755" t="s">
        <v>46</v>
      </c>
      <c r="I601" s="269"/>
      <c r="J601" s="214">
        <v>0</v>
      </c>
      <c r="K601" s="163"/>
      <c r="L601" s="163"/>
      <c r="M601" s="163"/>
      <c r="N601" s="163"/>
      <c r="O601" s="163"/>
      <c r="P601" s="163"/>
      <c r="Q601" s="571"/>
      <c r="R601" s="571"/>
      <c r="S601" s="571"/>
      <c r="T601" s="571"/>
      <c r="U601" s="571"/>
      <c r="V601" s="571"/>
      <c r="W601" s="571"/>
      <c r="X601" s="571"/>
      <c r="Y601" s="571"/>
      <c r="Z601" s="571"/>
    </row>
    <row r="602" spans="1:26" ht="18.75">
      <c r="A602" s="601"/>
      <c r="B602" s="611"/>
      <c r="C602" s="611"/>
      <c r="D602" s="611"/>
      <c r="E602" s="619"/>
      <c r="F602" s="619"/>
      <c r="G602" s="753"/>
      <c r="H602" s="755" t="s">
        <v>34</v>
      </c>
      <c r="I602" s="269"/>
      <c r="J602" s="214">
        <v>0</v>
      </c>
      <c r="K602" s="163"/>
      <c r="L602" s="163"/>
      <c r="M602" s="163"/>
      <c r="N602" s="163"/>
      <c r="O602" s="163"/>
      <c r="P602" s="163"/>
      <c r="Q602" s="571"/>
      <c r="R602" s="571"/>
      <c r="S602" s="571"/>
      <c r="T602" s="571"/>
      <c r="U602" s="571"/>
      <c r="V602" s="571"/>
      <c r="W602" s="571"/>
      <c r="X602" s="571"/>
      <c r="Y602" s="571"/>
      <c r="Z602" s="571"/>
    </row>
    <row r="603" spans="1:26" ht="18.75">
      <c r="A603" s="601"/>
      <c r="B603" s="611"/>
      <c r="C603" s="696" t="s">
        <v>257</v>
      </c>
      <c r="D603" s="611"/>
      <c r="E603" s="611"/>
      <c r="F603" s="619"/>
      <c r="G603" s="753"/>
      <c r="H603" s="755" t="s">
        <v>46</v>
      </c>
      <c r="I603" s="269"/>
      <c r="J603" s="269">
        <f t="shared" ref="J603:J604" si="256">J605+J607</f>
        <v>0</v>
      </c>
      <c r="K603" s="163"/>
      <c r="L603" s="163"/>
      <c r="M603" s="163"/>
      <c r="N603" s="163"/>
      <c r="O603" s="163"/>
      <c r="P603" s="163"/>
      <c r="Q603" s="571"/>
      <c r="R603" s="571"/>
      <c r="S603" s="571"/>
      <c r="T603" s="571"/>
      <c r="U603" s="571"/>
      <c r="V603" s="571"/>
      <c r="W603" s="571"/>
      <c r="X603" s="571"/>
      <c r="Y603" s="571"/>
      <c r="Z603" s="571"/>
    </row>
    <row r="604" spans="1:26" ht="18.75">
      <c r="A604" s="601"/>
      <c r="B604" s="611"/>
      <c r="C604" s="611"/>
      <c r="D604" s="611"/>
      <c r="E604" s="619"/>
      <c r="F604" s="619"/>
      <c r="G604" s="753"/>
      <c r="H604" s="755" t="s">
        <v>34</v>
      </c>
      <c r="I604" s="269"/>
      <c r="J604" s="269">
        <f t="shared" si="256"/>
        <v>0</v>
      </c>
      <c r="K604" s="163"/>
      <c r="L604" s="163"/>
      <c r="M604" s="163"/>
      <c r="N604" s="163"/>
      <c r="O604" s="163"/>
      <c r="P604" s="163"/>
      <c r="Q604" s="571"/>
      <c r="R604" s="571"/>
      <c r="S604" s="571"/>
      <c r="T604" s="571"/>
      <c r="U604" s="571"/>
      <c r="V604" s="571"/>
      <c r="W604" s="571"/>
      <c r="X604" s="571"/>
      <c r="Y604" s="571"/>
      <c r="Z604" s="571"/>
    </row>
    <row r="605" spans="1:26" ht="18.75">
      <c r="A605" s="601"/>
      <c r="B605" s="611"/>
      <c r="C605" s="611"/>
      <c r="D605" s="696" t="s">
        <v>258</v>
      </c>
      <c r="E605" s="619"/>
      <c r="F605" s="619"/>
      <c r="G605" s="753"/>
      <c r="H605" s="755" t="s">
        <v>46</v>
      </c>
      <c r="I605" s="269"/>
      <c r="J605" s="214">
        <v>0</v>
      </c>
      <c r="K605" s="163"/>
      <c r="L605" s="163"/>
      <c r="M605" s="163"/>
      <c r="N605" s="163"/>
      <c r="O605" s="163"/>
      <c r="P605" s="163"/>
      <c r="Q605" s="571"/>
      <c r="R605" s="571"/>
      <c r="S605" s="571"/>
      <c r="T605" s="571"/>
      <c r="U605" s="571"/>
      <c r="V605" s="571"/>
      <c r="W605" s="571"/>
      <c r="X605" s="571"/>
      <c r="Y605" s="571"/>
      <c r="Z605" s="571"/>
    </row>
    <row r="606" spans="1:26" ht="18.75">
      <c r="A606" s="601"/>
      <c r="B606" s="611"/>
      <c r="C606" s="611"/>
      <c r="D606" s="611"/>
      <c r="E606" s="611"/>
      <c r="F606" s="619"/>
      <c r="G606" s="753"/>
      <c r="H606" s="755" t="s">
        <v>34</v>
      </c>
      <c r="I606" s="269"/>
      <c r="J606" s="214">
        <v>0</v>
      </c>
      <c r="K606" s="163"/>
      <c r="L606" s="163"/>
      <c r="M606" s="163"/>
      <c r="N606" s="163"/>
      <c r="O606" s="163"/>
      <c r="P606" s="163"/>
      <c r="Q606" s="571"/>
      <c r="R606" s="571"/>
      <c r="S606" s="571"/>
      <c r="T606" s="571"/>
      <c r="U606" s="571"/>
      <c r="V606" s="571"/>
      <c r="W606" s="571"/>
      <c r="X606" s="571"/>
      <c r="Y606" s="571"/>
      <c r="Z606" s="571"/>
    </row>
    <row r="607" spans="1:26" ht="18.75">
      <c r="A607" s="601"/>
      <c r="B607" s="611"/>
      <c r="C607" s="611"/>
      <c r="D607" s="696" t="s">
        <v>259</v>
      </c>
      <c r="E607" s="611"/>
      <c r="F607" s="619"/>
      <c r="G607" s="753"/>
      <c r="H607" s="755" t="s">
        <v>46</v>
      </c>
      <c r="I607" s="269"/>
      <c r="J607" s="214">
        <v>0</v>
      </c>
      <c r="K607" s="163"/>
      <c r="L607" s="163"/>
      <c r="M607" s="163"/>
      <c r="N607" s="163"/>
      <c r="O607" s="163"/>
      <c r="P607" s="163"/>
      <c r="Q607" s="571"/>
      <c r="R607" s="571"/>
      <c r="S607" s="571"/>
      <c r="T607" s="571"/>
      <c r="U607" s="571"/>
      <c r="V607" s="571"/>
      <c r="W607" s="571"/>
      <c r="X607" s="571"/>
      <c r="Y607" s="571"/>
      <c r="Z607" s="571"/>
    </row>
    <row r="608" spans="1:26" ht="18.75">
      <c r="A608" s="601"/>
      <c r="B608" s="611"/>
      <c r="C608" s="611"/>
      <c r="D608" s="611"/>
      <c r="E608" s="619"/>
      <c r="F608" s="619"/>
      <c r="G608" s="753"/>
      <c r="H608" s="755" t="s">
        <v>34</v>
      </c>
      <c r="I608" s="269"/>
      <c r="J608" s="214">
        <v>0</v>
      </c>
      <c r="K608" s="163"/>
      <c r="L608" s="163"/>
      <c r="M608" s="163"/>
      <c r="N608" s="163"/>
      <c r="O608" s="163"/>
      <c r="P608" s="163"/>
      <c r="Q608" s="571"/>
      <c r="R608" s="571"/>
      <c r="S608" s="571"/>
      <c r="T608" s="571"/>
      <c r="U608" s="571"/>
      <c r="V608" s="571"/>
      <c r="W608" s="571"/>
      <c r="X608" s="571"/>
      <c r="Y608" s="571"/>
      <c r="Z608" s="571"/>
    </row>
    <row r="609" spans="1:26" ht="18.75">
      <c r="A609" s="601"/>
      <c r="B609" s="611"/>
      <c r="C609" s="611" t="s">
        <v>260</v>
      </c>
      <c r="D609" s="611"/>
      <c r="E609" s="611"/>
      <c r="F609" s="619"/>
      <c r="G609" s="753"/>
      <c r="H609" s="755" t="s">
        <v>46</v>
      </c>
      <c r="I609" s="269"/>
      <c r="J609" s="214">
        <v>0</v>
      </c>
      <c r="K609" s="163"/>
      <c r="L609" s="163"/>
      <c r="M609" s="163"/>
      <c r="N609" s="163"/>
      <c r="O609" s="163"/>
      <c r="P609" s="163"/>
      <c r="Q609" s="571"/>
      <c r="R609" s="571"/>
      <c r="S609" s="571"/>
      <c r="T609" s="571"/>
      <c r="U609" s="571"/>
      <c r="V609" s="571"/>
      <c r="W609" s="571"/>
      <c r="X609" s="571"/>
      <c r="Y609" s="571"/>
      <c r="Z609" s="571"/>
    </row>
    <row r="610" spans="1:26" ht="18.75">
      <c r="A610" s="601"/>
      <c r="B610" s="611"/>
      <c r="C610" s="611"/>
      <c r="D610" s="611"/>
      <c r="E610" s="619"/>
      <c r="F610" s="619"/>
      <c r="G610" s="753"/>
      <c r="H610" s="755" t="s">
        <v>34</v>
      </c>
      <c r="I610" s="269"/>
      <c r="J610" s="214">
        <v>0</v>
      </c>
      <c r="K610" s="163"/>
      <c r="L610" s="163"/>
      <c r="M610" s="163"/>
      <c r="N610" s="163"/>
      <c r="O610" s="163"/>
      <c r="P610" s="163"/>
      <c r="Q610" s="571"/>
      <c r="R610" s="571"/>
      <c r="S610" s="571"/>
      <c r="T610" s="571"/>
      <c r="U610" s="571"/>
      <c r="V610" s="571"/>
      <c r="W610" s="571"/>
      <c r="X610" s="571"/>
      <c r="Y610" s="571"/>
      <c r="Z610" s="571"/>
    </row>
    <row r="611" spans="1:26" ht="19.5" hidden="1">
      <c r="A611" s="685"/>
      <c r="B611" s="697" t="s">
        <v>261</v>
      </c>
      <c r="C611" s="687"/>
      <c r="D611" s="687"/>
      <c r="E611" s="666"/>
      <c r="F611" s="666"/>
      <c r="G611" s="667"/>
      <c r="H611" s="698" t="s">
        <v>46</v>
      </c>
      <c r="I611" s="699">
        <v>0</v>
      </c>
      <c r="J611" s="699">
        <f>J614+J616</f>
        <v>0</v>
      </c>
      <c r="K611" s="670">
        <f t="shared" ref="K611:K613" si="257">IF(I611&gt;0,J611*100/I611,0)</f>
        <v>0</v>
      </c>
      <c r="L611" s="671"/>
      <c r="M611" s="671"/>
      <c r="N611" s="671"/>
      <c r="O611" s="671"/>
      <c r="P611" s="671"/>
      <c r="Q611" s="571"/>
      <c r="R611" s="571"/>
      <c r="S611" s="571"/>
      <c r="T611" s="571"/>
      <c r="U611" s="571"/>
      <c r="V611" s="571"/>
      <c r="W611" s="571"/>
      <c r="X611" s="571"/>
      <c r="Y611" s="571"/>
      <c r="Z611" s="571"/>
    </row>
    <row r="612" spans="1:26" ht="19.5" hidden="1">
      <c r="A612" s="700"/>
      <c r="B612" s="710"/>
      <c r="C612" s="702" t="s">
        <v>262</v>
      </c>
      <c r="D612" s="710"/>
      <c r="E612" s="710"/>
      <c r="F612" s="703"/>
      <c r="G612" s="704"/>
      <c r="H612" s="705" t="s">
        <v>46</v>
      </c>
      <c r="I612" s="707">
        <v>0</v>
      </c>
      <c r="J612" s="707">
        <f t="shared" ref="J612:J613" si="258">J614+J616</f>
        <v>0</v>
      </c>
      <c r="K612" s="708">
        <f t="shared" si="257"/>
        <v>0</v>
      </c>
      <c r="L612" s="709"/>
      <c r="M612" s="709"/>
      <c r="N612" s="709"/>
      <c r="O612" s="709"/>
      <c r="P612" s="709"/>
      <c r="Q612" s="597"/>
      <c r="R612" s="597"/>
      <c r="S612" s="597"/>
      <c r="T612" s="597"/>
      <c r="U612" s="597"/>
      <c r="V612" s="597"/>
      <c r="W612" s="597"/>
      <c r="X612" s="597"/>
      <c r="Y612" s="597"/>
      <c r="Z612" s="597"/>
    </row>
    <row r="613" spans="1:26" ht="19.5" hidden="1">
      <c r="A613" s="700"/>
      <c r="B613" s="710"/>
      <c r="C613" s="710" t="s">
        <v>263</v>
      </c>
      <c r="D613" s="710"/>
      <c r="E613" s="710"/>
      <c r="F613" s="703"/>
      <c r="G613" s="704"/>
      <c r="H613" s="705" t="s">
        <v>34</v>
      </c>
      <c r="I613" s="707">
        <v>0</v>
      </c>
      <c r="J613" s="707">
        <f t="shared" si="258"/>
        <v>0</v>
      </c>
      <c r="K613" s="708">
        <f t="shared" si="257"/>
        <v>0</v>
      </c>
      <c r="L613" s="709"/>
      <c r="M613" s="709"/>
      <c r="N613" s="709"/>
      <c r="O613" s="709"/>
      <c r="P613" s="709"/>
      <c r="Q613" s="597"/>
      <c r="R613" s="597"/>
      <c r="S613" s="597"/>
      <c r="T613" s="597"/>
      <c r="U613" s="597"/>
      <c r="V613" s="597"/>
      <c r="W613" s="597"/>
      <c r="X613" s="597"/>
      <c r="Y613" s="597"/>
      <c r="Z613" s="597"/>
    </row>
    <row r="614" spans="1:26" ht="18.75" hidden="1">
      <c r="A614" s="607"/>
      <c r="B614" s="609"/>
      <c r="C614" s="609"/>
      <c r="D614" s="711" t="s">
        <v>264</v>
      </c>
      <c r="E614" s="609"/>
      <c r="F614" s="711"/>
      <c r="G614" s="365"/>
      <c r="H614" s="369" t="s">
        <v>46</v>
      </c>
      <c r="I614" s="610"/>
      <c r="J614" s="610">
        <v>0</v>
      </c>
      <c r="K614" s="167"/>
      <c r="L614" s="167"/>
      <c r="M614" s="167"/>
      <c r="N614" s="167"/>
      <c r="O614" s="167"/>
      <c r="P614" s="167"/>
      <c r="Q614" s="597"/>
      <c r="R614" s="597"/>
      <c r="S614" s="597"/>
      <c r="T614" s="597"/>
      <c r="U614" s="597"/>
      <c r="V614" s="597"/>
      <c r="W614" s="597"/>
      <c r="X614" s="597"/>
      <c r="Y614" s="597"/>
      <c r="Z614" s="597"/>
    </row>
    <row r="615" spans="1:26" ht="18.75" hidden="1">
      <c r="A615" s="607"/>
      <c r="B615" s="609"/>
      <c r="C615" s="609"/>
      <c r="D615" s="609"/>
      <c r="E615" s="609"/>
      <c r="F615" s="711"/>
      <c r="G615" s="365"/>
      <c r="H615" s="369" t="s">
        <v>34</v>
      </c>
      <c r="I615" s="610"/>
      <c r="J615" s="610">
        <v>0</v>
      </c>
      <c r="K615" s="167"/>
      <c r="L615" s="167"/>
      <c r="M615" s="167"/>
      <c r="N615" s="167"/>
      <c r="O615" s="167"/>
      <c r="P615" s="167"/>
      <c r="Q615" s="597"/>
      <c r="R615" s="597"/>
      <c r="S615" s="597"/>
      <c r="T615" s="597"/>
      <c r="U615" s="597"/>
      <c r="V615" s="597"/>
      <c r="W615" s="597"/>
      <c r="X615" s="597"/>
      <c r="Y615" s="597"/>
      <c r="Z615" s="597"/>
    </row>
    <row r="616" spans="1:26" ht="18.75" hidden="1">
      <c r="A616" s="607"/>
      <c r="B616" s="609"/>
      <c r="C616" s="609"/>
      <c r="D616" s="712" t="s">
        <v>264</v>
      </c>
      <c r="E616" s="711"/>
      <c r="F616" s="711"/>
      <c r="G616" s="365"/>
      <c r="H616" s="369" t="s">
        <v>46</v>
      </c>
      <c r="I616" s="610"/>
      <c r="J616" s="610">
        <v>0</v>
      </c>
      <c r="K616" s="167"/>
      <c r="L616" s="167"/>
      <c r="M616" s="167"/>
      <c r="N616" s="167"/>
      <c r="O616" s="167"/>
      <c r="P616" s="167"/>
      <c r="Q616" s="597"/>
      <c r="R616" s="597"/>
      <c r="S616" s="597"/>
      <c r="T616" s="597"/>
      <c r="U616" s="597"/>
      <c r="V616" s="597"/>
      <c r="W616" s="597"/>
      <c r="X616" s="597"/>
      <c r="Y616" s="597"/>
      <c r="Z616" s="597"/>
    </row>
    <row r="617" spans="1:26" ht="18.75" hidden="1">
      <c r="A617" s="607"/>
      <c r="B617" s="609"/>
      <c r="C617" s="609"/>
      <c r="D617" s="609"/>
      <c r="E617" s="711"/>
      <c r="F617" s="711"/>
      <c r="G617" s="365"/>
      <c r="H617" s="369" t="s">
        <v>34</v>
      </c>
      <c r="I617" s="610"/>
      <c r="J617" s="610">
        <v>0</v>
      </c>
      <c r="K617" s="167"/>
      <c r="L617" s="167"/>
      <c r="M617" s="167"/>
      <c r="N617" s="167"/>
      <c r="O617" s="167"/>
      <c r="P617" s="167"/>
      <c r="Q617" s="597"/>
      <c r="R617" s="597"/>
      <c r="S617" s="597"/>
      <c r="T617" s="597"/>
      <c r="U617" s="597"/>
      <c r="V617" s="597"/>
      <c r="W617" s="597"/>
      <c r="X617" s="597"/>
      <c r="Y617" s="597"/>
      <c r="Z617" s="597"/>
    </row>
    <row r="618" spans="1:26" ht="18.75" hidden="1">
      <c r="A618" s="607"/>
      <c r="B618" s="609"/>
      <c r="C618" s="609"/>
      <c r="D618" s="712" t="s">
        <v>265</v>
      </c>
      <c r="E618" s="711"/>
      <c r="F618" s="711"/>
      <c r="G618" s="365"/>
      <c r="H618" s="369" t="s">
        <v>46</v>
      </c>
      <c r="I618" s="610"/>
      <c r="J618" s="610">
        <v>0</v>
      </c>
      <c r="K618" s="167"/>
      <c r="L618" s="167"/>
      <c r="M618" s="167"/>
      <c r="N618" s="167"/>
      <c r="O618" s="167"/>
      <c r="P618" s="167"/>
      <c r="Q618" s="597"/>
      <c r="R618" s="597"/>
      <c r="S618" s="597"/>
      <c r="T618" s="597"/>
      <c r="U618" s="597"/>
      <c r="V618" s="597"/>
      <c r="W618" s="597"/>
      <c r="X618" s="597"/>
      <c r="Y618" s="597"/>
      <c r="Z618" s="597"/>
    </row>
    <row r="619" spans="1:26" ht="18.75" hidden="1">
      <c r="A619" s="607"/>
      <c r="B619" s="609"/>
      <c r="C619" s="609"/>
      <c r="D619" s="609"/>
      <c r="E619" s="711"/>
      <c r="F619" s="711"/>
      <c r="G619" s="365"/>
      <c r="H619" s="369" t="s">
        <v>34</v>
      </c>
      <c r="I619" s="610"/>
      <c r="J619" s="610">
        <v>0</v>
      </c>
      <c r="K619" s="167"/>
      <c r="L619" s="167"/>
      <c r="M619" s="167"/>
      <c r="N619" s="167"/>
      <c r="O619" s="167"/>
      <c r="P619" s="167"/>
      <c r="Q619" s="597"/>
      <c r="R619" s="597"/>
      <c r="S619" s="597"/>
      <c r="T619" s="597"/>
      <c r="U619" s="597"/>
      <c r="V619" s="597"/>
      <c r="W619" s="597"/>
      <c r="X619" s="597"/>
      <c r="Y619" s="597"/>
      <c r="Z619" s="597"/>
    </row>
    <row r="620" spans="1:26" ht="19.5" hidden="1">
      <c r="A620" s="713"/>
      <c r="B620" s="722"/>
      <c r="C620" s="715" t="s">
        <v>266</v>
      </c>
      <c r="D620" s="722"/>
      <c r="E620" s="722"/>
      <c r="F620" s="716"/>
      <c r="G620" s="717"/>
      <c r="H620" s="718" t="s">
        <v>46</v>
      </c>
      <c r="I620" s="719">
        <f ca="1">IFERROR(__xludf.DUMMYFUNCTION("IMPORTRANGE(""https://docs.google.com/spreadsheets/d/1QqKyyYR6Q21VydFLVH3TRQUabQu_ym0Zz7PgGX0-kHA/edit?usp=sharing"",""แผน!HL70"")"),0)</f>
        <v>0</v>
      </c>
      <c r="J620" s="719">
        <f t="shared" ref="J620:J621" si="259">J622+J624+J626</f>
        <v>0</v>
      </c>
      <c r="K620" s="720">
        <f t="shared" ref="K620:K621" ca="1" si="260">IF(I620&gt;0,J620*100/I620,0)</f>
        <v>0</v>
      </c>
      <c r="L620" s="721"/>
      <c r="M620" s="721"/>
      <c r="N620" s="721"/>
      <c r="O620" s="721"/>
      <c r="P620" s="721"/>
      <c r="Q620" s="571"/>
      <c r="R620" s="571"/>
      <c r="S620" s="571"/>
      <c r="T620" s="571"/>
      <c r="U620" s="571"/>
      <c r="V620" s="571"/>
      <c r="W620" s="571"/>
      <c r="X620" s="571"/>
      <c r="Y620" s="571"/>
      <c r="Z620" s="571"/>
    </row>
    <row r="621" spans="1:26" ht="19.5" hidden="1">
      <c r="A621" s="713"/>
      <c r="B621" s="722"/>
      <c r="C621" s="722" t="s">
        <v>267</v>
      </c>
      <c r="D621" s="722"/>
      <c r="E621" s="722"/>
      <c r="F621" s="716"/>
      <c r="G621" s="717"/>
      <c r="H621" s="718" t="s">
        <v>34</v>
      </c>
      <c r="I621" s="719">
        <f ca="1">IFERROR(__xludf.DUMMYFUNCTION("IMPORTRANGE(""https://docs.google.com/spreadsheets/d/1QqKyyYR6Q21VydFLVH3TRQUabQu_ym0Zz7PgGX0-kHA/edit?usp=sharing"",""แผน!HK70"")"),0)</f>
        <v>0</v>
      </c>
      <c r="J621" s="719">
        <f t="shared" si="259"/>
        <v>0</v>
      </c>
      <c r="K621" s="720">
        <f t="shared" ca="1" si="260"/>
        <v>0</v>
      </c>
      <c r="L621" s="721"/>
      <c r="M621" s="721"/>
      <c r="N621" s="721"/>
      <c r="O621" s="721"/>
      <c r="P621" s="721"/>
      <c r="Q621" s="571"/>
      <c r="R621" s="571"/>
      <c r="S621" s="571"/>
      <c r="T621" s="571"/>
      <c r="U621" s="571"/>
      <c r="V621" s="571"/>
      <c r="W621" s="571"/>
      <c r="X621" s="571"/>
      <c r="Y621" s="571"/>
      <c r="Z621" s="571"/>
    </row>
    <row r="622" spans="1:26" ht="18.75" hidden="1">
      <c r="A622" s="601"/>
      <c r="B622" s="611"/>
      <c r="C622" s="611"/>
      <c r="D622" s="737" t="s">
        <v>268</v>
      </c>
      <c r="E622" s="619"/>
      <c r="F622" s="619"/>
      <c r="G622" s="753"/>
      <c r="H622" s="755" t="s">
        <v>46</v>
      </c>
      <c r="I622" s="269"/>
      <c r="J622" s="214">
        <v>0</v>
      </c>
      <c r="K622" s="163"/>
      <c r="L622" s="163"/>
      <c r="M622" s="163"/>
      <c r="N622" s="163"/>
      <c r="O622" s="163"/>
      <c r="P622" s="163"/>
      <c r="Q622" s="571"/>
      <c r="R622" s="571"/>
      <c r="S622" s="571"/>
      <c r="T622" s="571"/>
      <c r="U622" s="571"/>
      <c r="V622" s="571"/>
      <c r="W622" s="571"/>
      <c r="X622" s="571"/>
      <c r="Y622" s="571"/>
      <c r="Z622" s="571"/>
    </row>
    <row r="623" spans="1:26" ht="18.75" hidden="1">
      <c r="A623" s="601"/>
      <c r="B623" s="611"/>
      <c r="C623" s="611"/>
      <c r="D623" s="611"/>
      <c r="E623" s="619"/>
      <c r="F623" s="619"/>
      <c r="G623" s="753"/>
      <c r="H623" s="755" t="s">
        <v>34</v>
      </c>
      <c r="I623" s="269"/>
      <c r="J623" s="214">
        <v>0</v>
      </c>
      <c r="K623" s="163"/>
      <c r="L623" s="163"/>
      <c r="M623" s="163"/>
      <c r="N623" s="163"/>
      <c r="O623" s="163"/>
      <c r="P623" s="163"/>
      <c r="Q623" s="571"/>
      <c r="R623" s="571"/>
      <c r="S623" s="571"/>
      <c r="T623" s="571"/>
      <c r="U623" s="571"/>
      <c r="V623" s="571"/>
      <c r="W623" s="571"/>
      <c r="X623" s="571"/>
      <c r="Y623" s="571"/>
      <c r="Z623" s="571"/>
    </row>
    <row r="624" spans="1:26" ht="18.75" hidden="1">
      <c r="A624" s="601"/>
      <c r="B624" s="611"/>
      <c r="C624" s="611"/>
      <c r="D624" s="737" t="s">
        <v>264</v>
      </c>
      <c r="E624" s="619"/>
      <c r="F624" s="619"/>
      <c r="G624" s="753"/>
      <c r="H624" s="755" t="s">
        <v>46</v>
      </c>
      <c r="I624" s="269"/>
      <c r="J624" s="214">
        <v>0</v>
      </c>
      <c r="K624" s="163"/>
      <c r="L624" s="163"/>
      <c r="M624" s="163"/>
      <c r="N624" s="163"/>
      <c r="O624" s="163"/>
      <c r="P624" s="163"/>
      <c r="Q624" s="571"/>
      <c r="R624" s="571"/>
      <c r="S624" s="571"/>
      <c r="T624" s="571"/>
      <c r="U624" s="571"/>
      <c r="V624" s="571"/>
      <c r="W624" s="571"/>
      <c r="X624" s="571"/>
      <c r="Y624" s="571"/>
      <c r="Z624" s="571"/>
    </row>
    <row r="625" spans="1:26" ht="18.75" hidden="1">
      <c r="A625" s="601"/>
      <c r="B625" s="611"/>
      <c r="C625" s="611"/>
      <c r="D625" s="611"/>
      <c r="E625" s="619"/>
      <c r="F625" s="619"/>
      <c r="G625" s="753"/>
      <c r="H625" s="755" t="s">
        <v>34</v>
      </c>
      <c r="I625" s="269"/>
      <c r="J625" s="214">
        <v>0</v>
      </c>
      <c r="K625" s="163"/>
      <c r="L625" s="163"/>
      <c r="M625" s="163"/>
      <c r="N625" s="163"/>
      <c r="O625" s="163"/>
      <c r="P625" s="163"/>
      <c r="Q625" s="571"/>
      <c r="R625" s="571"/>
      <c r="S625" s="571"/>
      <c r="T625" s="571"/>
      <c r="U625" s="571"/>
      <c r="V625" s="571"/>
      <c r="W625" s="571"/>
      <c r="X625" s="571"/>
      <c r="Y625" s="571"/>
      <c r="Z625" s="571"/>
    </row>
    <row r="626" spans="1:26" ht="18.75" hidden="1">
      <c r="A626" s="601"/>
      <c r="B626" s="611"/>
      <c r="C626" s="611"/>
      <c r="D626" s="737" t="s">
        <v>269</v>
      </c>
      <c r="E626" s="619"/>
      <c r="F626" s="619"/>
      <c r="G626" s="753"/>
      <c r="H626" s="755" t="s">
        <v>46</v>
      </c>
      <c r="I626" s="269"/>
      <c r="J626" s="214">
        <v>0</v>
      </c>
      <c r="K626" s="163"/>
      <c r="L626" s="163"/>
      <c r="M626" s="163"/>
      <c r="N626" s="163"/>
      <c r="O626" s="163"/>
      <c r="P626" s="163"/>
      <c r="Q626" s="571"/>
      <c r="R626" s="571"/>
      <c r="S626" s="571"/>
      <c r="T626" s="571"/>
      <c r="U626" s="571"/>
      <c r="V626" s="571"/>
      <c r="W626" s="571"/>
      <c r="X626" s="571"/>
      <c r="Y626" s="571"/>
      <c r="Z626" s="571"/>
    </row>
    <row r="627" spans="1:26" ht="18.75" hidden="1">
      <c r="A627" s="723"/>
      <c r="B627" s="724"/>
      <c r="C627" s="724"/>
      <c r="D627" s="724"/>
      <c r="E627" s="725"/>
      <c r="F627" s="725"/>
      <c r="G627" s="726"/>
      <c r="H627" s="421" t="s">
        <v>34</v>
      </c>
      <c r="I627" s="499"/>
      <c r="J627" s="423">
        <v>0</v>
      </c>
      <c r="K627" s="384"/>
      <c r="L627" s="384"/>
      <c r="M627" s="384"/>
      <c r="N627" s="384"/>
      <c r="O627" s="384"/>
      <c r="P627" s="384"/>
      <c r="Q627" s="571"/>
      <c r="R627" s="571"/>
      <c r="S627" s="571"/>
      <c r="T627" s="571"/>
      <c r="U627" s="571"/>
      <c r="V627" s="571"/>
      <c r="W627" s="571"/>
      <c r="X627" s="571"/>
      <c r="Y627" s="571"/>
      <c r="Z627" s="571"/>
    </row>
    <row r="628" spans="1:26" ht="19.5">
      <c r="A628" s="727">
        <v>7</v>
      </c>
      <c r="B628" s="728" t="s">
        <v>270</v>
      </c>
      <c r="C628" s="729"/>
      <c r="D628" s="729"/>
      <c r="E628" s="729"/>
      <c r="F628" s="729"/>
      <c r="G628" s="730"/>
      <c r="H628" s="731" t="s">
        <v>35</v>
      </c>
      <c r="I628" s="732">
        <f t="shared" ref="I628:J628" ca="1" si="261">I651</f>
        <v>500</v>
      </c>
      <c r="J628" s="732">
        <f t="shared" ca="1" si="261"/>
        <v>0</v>
      </c>
      <c r="K628" s="733">
        <f ca="1">IF(I628&gt;0,J628*100/I628,0)</f>
        <v>0</v>
      </c>
      <c r="L628" s="734"/>
      <c r="M628" s="734"/>
      <c r="N628" s="734"/>
      <c r="O628" s="734"/>
      <c r="P628" s="734"/>
      <c r="Q628" s="571"/>
      <c r="R628" s="571"/>
      <c r="S628" s="571"/>
      <c r="T628" s="571"/>
      <c r="U628" s="571"/>
      <c r="V628" s="571"/>
      <c r="W628" s="571"/>
      <c r="X628" s="571"/>
      <c r="Y628" s="571"/>
      <c r="Z628" s="571"/>
    </row>
    <row r="629" spans="1:26" ht="19.5">
      <c r="A629" s="590"/>
      <c r="B629" s="754"/>
      <c r="C629" s="754" t="s">
        <v>16</v>
      </c>
      <c r="D629" s="863" t="s">
        <v>17</v>
      </c>
      <c r="E629" s="857"/>
      <c r="F629" s="857"/>
      <c r="G629" s="189"/>
      <c r="H629" s="591" t="s">
        <v>12</v>
      </c>
      <c r="I629" s="269"/>
      <c r="J629" s="269"/>
      <c r="K629" s="496"/>
      <c r="L629" s="195">
        <f t="shared" ref="L629:N629" ca="1" si="262">L630+L631</f>
        <v>565480</v>
      </c>
      <c r="M629" s="195">
        <f t="shared" si="262"/>
        <v>0</v>
      </c>
      <c r="N629" s="195">
        <f t="shared" si="262"/>
        <v>0</v>
      </c>
      <c r="O629" s="195">
        <f t="shared" ref="O629:O634" ca="1" si="263">IF(L629&gt;0,N629*100/L629,0)</f>
        <v>0</v>
      </c>
      <c r="P629" s="195">
        <f t="shared" ref="P629:P634" si="264">IF(M629&gt;0,N629*100/M629,0)</f>
        <v>0</v>
      </c>
      <c r="Q629" s="571"/>
      <c r="R629" s="571"/>
      <c r="S629" s="571"/>
      <c r="T629" s="571"/>
      <c r="U629" s="571"/>
      <c r="V629" s="571"/>
      <c r="W629" s="571"/>
      <c r="X629" s="571"/>
      <c r="Y629" s="571"/>
      <c r="Z629" s="571"/>
    </row>
    <row r="630" spans="1:26" ht="18.75" hidden="1">
      <c r="A630" s="592"/>
      <c r="B630" s="750"/>
      <c r="C630" s="750"/>
      <c r="D630" s="711"/>
      <c r="E630" s="750" t="s">
        <v>184</v>
      </c>
      <c r="F630" s="750"/>
      <c r="G630" s="596"/>
      <c r="H630" s="165" t="s">
        <v>12</v>
      </c>
      <c r="I630" s="610"/>
      <c r="J630" s="610"/>
      <c r="K630" s="93"/>
      <c r="L630" s="93">
        <f t="shared" ref="L630:N631" si="265">L633+L640</f>
        <v>0</v>
      </c>
      <c r="M630" s="93">
        <f t="shared" si="265"/>
        <v>0</v>
      </c>
      <c r="N630" s="93">
        <f t="shared" si="265"/>
        <v>0</v>
      </c>
      <c r="O630" s="93">
        <f t="shared" si="263"/>
        <v>0</v>
      </c>
      <c r="P630" s="93">
        <f t="shared" si="264"/>
        <v>0</v>
      </c>
      <c r="Q630" s="597"/>
      <c r="R630" s="597"/>
      <c r="S630" s="597"/>
      <c r="T630" s="597"/>
      <c r="U630" s="597"/>
      <c r="V630" s="597"/>
      <c r="W630" s="597"/>
      <c r="X630" s="597"/>
      <c r="Y630" s="597"/>
      <c r="Z630" s="597"/>
    </row>
    <row r="631" spans="1:26" ht="18.75" hidden="1">
      <c r="A631" s="592"/>
      <c r="B631" s="600"/>
      <c r="C631" s="750"/>
      <c r="D631" s="711"/>
      <c r="E631" s="750" t="s">
        <v>185</v>
      </c>
      <c r="F631" s="750"/>
      <c r="G631" s="596"/>
      <c r="H631" s="165" t="s">
        <v>12</v>
      </c>
      <c r="I631" s="610"/>
      <c r="J631" s="610"/>
      <c r="K631" s="93"/>
      <c r="L631" s="93">
        <f t="shared" ca="1" si="265"/>
        <v>565480</v>
      </c>
      <c r="M631" s="93">
        <f t="shared" si="265"/>
        <v>0</v>
      </c>
      <c r="N631" s="93">
        <f t="shared" si="265"/>
        <v>0</v>
      </c>
      <c r="O631" s="93">
        <f t="shared" ca="1" si="263"/>
        <v>0</v>
      </c>
      <c r="P631" s="93">
        <f t="shared" si="264"/>
        <v>0</v>
      </c>
      <c r="Q631" s="597"/>
      <c r="R631" s="597"/>
      <c r="S631" s="597"/>
      <c r="T631" s="597"/>
      <c r="U631" s="597"/>
      <c r="V631" s="597"/>
      <c r="W631" s="597"/>
      <c r="X631" s="597"/>
      <c r="Y631" s="597"/>
      <c r="Z631" s="597"/>
    </row>
    <row r="632" spans="1:26" ht="18.75">
      <c r="A632" s="590"/>
      <c r="B632" s="568"/>
      <c r="C632" s="754"/>
      <c r="D632" s="599" t="s">
        <v>20</v>
      </c>
      <c r="E632" s="754"/>
      <c r="F632" s="754"/>
      <c r="G632" s="189"/>
      <c r="H632" s="161" t="s">
        <v>12</v>
      </c>
      <c r="I632" s="184"/>
      <c r="J632" s="184"/>
      <c r="K632" s="163"/>
      <c r="L632" s="496">
        <f t="shared" ref="L632:N632" ca="1" si="266">L633+L634</f>
        <v>565480</v>
      </c>
      <c r="M632" s="496">
        <f t="shared" si="266"/>
        <v>0</v>
      </c>
      <c r="N632" s="496">
        <f t="shared" si="266"/>
        <v>0</v>
      </c>
      <c r="O632" s="496">
        <f t="shared" ca="1" si="263"/>
        <v>0</v>
      </c>
      <c r="P632" s="496">
        <f t="shared" si="264"/>
        <v>0</v>
      </c>
      <c r="Q632" s="571"/>
      <c r="R632" s="571"/>
      <c r="S632" s="571"/>
      <c r="T632" s="571"/>
      <c r="U632" s="571"/>
      <c r="V632" s="571"/>
      <c r="W632" s="571"/>
      <c r="X632" s="571"/>
      <c r="Y632" s="571"/>
      <c r="Z632" s="571"/>
    </row>
    <row r="633" spans="1:26" ht="18.75" hidden="1">
      <c r="A633" s="592"/>
      <c r="B633" s="600"/>
      <c r="C633" s="750"/>
      <c r="D633" s="711"/>
      <c r="E633" s="750" t="s">
        <v>184</v>
      </c>
      <c r="F633" s="750"/>
      <c r="G633" s="596"/>
      <c r="H633" s="165" t="s">
        <v>12</v>
      </c>
      <c r="I633" s="610"/>
      <c r="J633" s="610"/>
      <c r="K633" s="93"/>
      <c r="L633" s="93">
        <v>0</v>
      </c>
      <c r="M633" s="93">
        <v>0</v>
      </c>
      <c r="N633" s="93">
        <v>0</v>
      </c>
      <c r="O633" s="93">
        <f t="shared" si="263"/>
        <v>0</v>
      </c>
      <c r="P633" s="93">
        <f t="shared" si="264"/>
        <v>0</v>
      </c>
      <c r="Q633" s="597"/>
      <c r="R633" s="597"/>
      <c r="S633" s="597"/>
      <c r="T633" s="597"/>
      <c r="U633" s="597"/>
      <c r="V633" s="597"/>
      <c r="W633" s="597"/>
      <c r="X633" s="597"/>
      <c r="Y633" s="597"/>
      <c r="Z633" s="597"/>
    </row>
    <row r="634" spans="1:26" ht="18.75" hidden="1">
      <c r="A634" s="592"/>
      <c r="B634" s="600"/>
      <c r="C634" s="750"/>
      <c r="D634" s="711"/>
      <c r="E634" s="750" t="s">
        <v>185</v>
      </c>
      <c r="F634" s="750"/>
      <c r="G634" s="596"/>
      <c r="H634" s="165" t="s">
        <v>12</v>
      </c>
      <c r="I634" s="610"/>
      <c r="J634" s="610"/>
      <c r="K634" s="93"/>
      <c r="L634" s="93">
        <f ca="1">IFERROR(__xludf.DUMMYFUNCTION("IMPORTRANGE(""https://docs.google.com/spreadsheets/d/1QqKyyYR6Q21VydFLVH3TRQUabQu_ym0Zz7PgGX0-kHA/edit?usp=sharing"",""แผน!HN70"")"),565480)</f>
        <v>565480</v>
      </c>
      <c r="M634" s="93">
        <v>0</v>
      </c>
      <c r="N634" s="93">
        <f>N635+N636+N637+N638</f>
        <v>0</v>
      </c>
      <c r="O634" s="93">
        <f t="shared" ca="1" si="263"/>
        <v>0</v>
      </c>
      <c r="P634" s="93">
        <f t="shared" si="264"/>
        <v>0</v>
      </c>
      <c r="Q634" s="597"/>
      <c r="R634" s="597"/>
      <c r="S634" s="597"/>
      <c r="T634" s="597"/>
      <c r="U634" s="597"/>
      <c r="V634" s="597"/>
      <c r="W634" s="597"/>
      <c r="X634" s="597"/>
      <c r="Y634" s="597"/>
      <c r="Z634" s="597"/>
    </row>
    <row r="635" spans="1:26" ht="18.75">
      <c r="A635" s="567"/>
      <c r="B635" s="568"/>
      <c r="C635" s="754"/>
      <c r="D635" s="754"/>
      <c r="E635" s="754"/>
      <c r="F635" s="754" t="s">
        <v>186</v>
      </c>
      <c r="G635" s="189"/>
      <c r="H635" s="161" t="s">
        <v>12</v>
      </c>
      <c r="I635" s="269"/>
      <c r="J635" s="269"/>
      <c r="K635" s="496"/>
      <c r="L635" s="496"/>
      <c r="M635" s="496"/>
      <c r="N635" s="817">
        <v>0</v>
      </c>
      <c r="O635" s="496"/>
      <c r="P635" s="496"/>
      <c r="Q635" s="571"/>
      <c r="R635" s="571"/>
      <c r="S635" s="571"/>
      <c r="T635" s="571"/>
      <c r="U635" s="571"/>
      <c r="V635" s="571"/>
      <c r="W635" s="571"/>
      <c r="X635" s="571"/>
      <c r="Y635" s="571"/>
      <c r="Z635" s="571"/>
    </row>
    <row r="636" spans="1:26" ht="18.75">
      <c r="A636" s="567"/>
      <c r="B636" s="568"/>
      <c r="C636" s="754"/>
      <c r="D636" s="754"/>
      <c r="E636" s="754"/>
      <c r="F636" s="754" t="s">
        <v>187</v>
      </c>
      <c r="G636" s="189"/>
      <c r="H636" s="161" t="s">
        <v>12</v>
      </c>
      <c r="I636" s="269"/>
      <c r="J636" s="269"/>
      <c r="K636" s="496"/>
      <c r="L636" s="496"/>
      <c r="M636" s="496"/>
      <c r="N636" s="817">
        <v>0</v>
      </c>
      <c r="O636" s="496"/>
      <c r="P636" s="496"/>
      <c r="Q636" s="571"/>
      <c r="R636" s="571"/>
      <c r="S636" s="571"/>
      <c r="T636" s="571"/>
      <c r="U636" s="571"/>
      <c r="V636" s="571"/>
      <c r="W636" s="571"/>
      <c r="X636" s="571"/>
      <c r="Y636" s="571"/>
      <c r="Z636" s="571"/>
    </row>
    <row r="637" spans="1:26" ht="18.75">
      <c r="A637" s="567"/>
      <c r="B637" s="568"/>
      <c r="C637" s="754"/>
      <c r="D637" s="754"/>
      <c r="E637" s="754"/>
      <c r="F637" s="754" t="s">
        <v>188</v>
      </c>
      <c r="G637" s="189"/>
      <c r="H637" s="161" t="s">
        <v>12</v>
      </c>
      <c r="I637" s="269"/>
      <c r="J637" s="269"/>
      <c r="K637" s="496"/>
      <c r="L637" s="496"/>
      <c r="M637" s="496"/>
      <c r="N637" s="817">
        <v>0</v>
      </c>
      <c r="O637" s="496"/>
      <c r="P637" s="496"/>
      <c r="Q637" s="571"/>
      <c r="R637" s="571"/>
      <c r="S637" s="571"/>
      <c r="T637" s="571"/>
      <c r="U637" s="571"/>
      <c r="V637" s="571"/>
      <c r="W637" s="571"/>
      <c r="X637" s="571"/>
      <c r="Y637" s="571"/>
      <c r="Z637" s="571"/>
    </row>
    <row r="638" spans="1:26" ht="18.75">
      <c r="A638" s="567"/>
      <c r="B638" s="568"/>
      <c r="C638" s="754"/>
      <c r="D638" s="754"/>
      <c r="E638" s="754"/>
      <c r="F638" s="754" t="s">
        <v>189</v>
      </c>
      <c r="G638" s="189"/>
      <c r="H638" s="161" t="s">
        <v>12</v>
      </c>
      <c r="I638" s="269"/>
      <c r="J638" s="269"/>
      <c r="K638" s="496"/>
      <c r="L638" s="496"/>
      <c r="M638" s="496"/>
      <c r="N638" s="817">
        <v>0</v>
      </c>
      <c r="O638" s="496"/>
      <c r="P638" s="496"/>
      <c r="Q638" s="571"/>
      <c r="R638" s="571"/>
      <c r="S638" s="571"/>
      <c r="T638" s="571"/>
      <c r="U638" s="571"/>
      <c r="V638" s="571"/>
      <c r="W638" s="571"/>
      <c r="X638" s="571"/>
      <c r="Y638" s="571"/>
      <c r="Z638" s="571"/>
    </row>
    <row r="639" spans="1:26" ht="18.75">
      <c r="A639" s="590"/>
      <c r="B639" s="568"/>
      <c r="C639" s="754"/>
      <c r="D639" s="599" t="s">
        <v>21</v>
      </c>
      <c r="E639" s="754"/>
      <c r="F639" s="754"/>
      <c r="G639" s="189"/>
      <c r="H639" s="168" t="s">
        <v>12</v>
      </c>
      <c r="I639" s="184"/>
      <c r="J639" s="184"/>
      <c r="K639" s="163"/>
      <c r="L639" s="496">
        <f t="shared" ref="L639:N639" ca="1" si="267">L640+L641</f>
        <v>0</v>
      </c>
      <c r="M639" s="496">
        <f t="shared" si="267"/>
        <v>0</v>
      </c>
      <c r="N639" s="496">
        <f t="shared" si="267"/>
        <v>0</v>
      </c>
      <c r="O639" s="496">
        <f t="shared" ref="O639:O641" ca="1" si="268">IF(L639&gt;0,N639*100/L639,0)</f>
        <v>0</v>
      </c>
      <c r="P639" s="496">
        <f t="shared" ref="P639:P641" si="269">IF(M639&gt;0,N639*100/M639,0)</f>
        <v>0</v>
      </c>
      <c r="Q639" s="571"/>
      <c r="R639" s="571"/>
      <c r="S639" s="571"/>
      <c r="T639" s="571"/>
      <c r="U639" s="571"/>
      <c r="V639" s="571"/>
      <c r="W639" s="571"/>
      <c r="X639" s="571"/>
      <c r="Y639" s="571"/>
      <c r="Z639" s="571"/>
    </row>
    <row r="640" spans="1:26" ht="18.75" hidden="1">
      <c r="A640" s="592"/>
      <c r="B640" s="600"/>
      <c r="C640" s="750"/>
      <c r="D640" s="750"/>
      <c r="E640" s="750" t="s">
        <v>18</v>
      </c>
      <c r="F640" s="750"/>
      <c r="G640" s="596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8"/>
        <v>0</v>
      </c>
      <c r="P640" s="93">
        <f t="shared" si="269"/>
        <v>0</v>
      </c>
      <c r="Q640" s="597"/>
      <c r="R640" s="597"/>
      <c r="S640" s="597"/>
      <c r="T640" s="597"/>
      <c r="U640" s="597"/>
      <c r="V640" s="597"/>
      <c r="W640" s="597"/>
      <c r="X640" s="597"/>
      <c r="Y640" s="597"/>
      <c r="Z640" s="597"/>
    </row>
    <row r="641" spans="1:26" ht="18.75" hidden="1">
      <c r="A641" s="592"/>
      <c r="B641" s="600"/>
      <c r="C641" s="750"/>
      <c r="D641" s="750"/>
      <c r="E641" s="750" t="s">
        <v>19</v>
      </c>
      <c r="F641" s="750"/>
      <c r="G641" s="596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IFERROR(__xludf.DUMMYFUNCTION("IMPORTRANGE(""https://docs.google.com/spreadsheets/d/1QqKyyYR6Q21VydFLVH3TRQUabQu_ym0Zz7PgGX0-kHA/edit?usp=sharing"",""แผน!HQ70"")"),0)</f>
        <v>0</v>
      </c>
      <c r="M641" s="93">
        <v>0</v>
      </c>
      <c r="N641" s="93">
        <v>0</v>
      </c>
      <c r="O641" s="93">
        <f t="shared" ca="1" si="268"/>
        <v>0</v>
      </c>
      <c r="P641" s="93">
        <f t="shared" si="269"/>
        <v>0</v>
      </c>
      <c r="Q641" s="597"/>
      <c r="R641" s="597"/>
      <c r="S641" s="597"/>
      <c r="T641" s="597"/>
      <c r="U641" s="597"/>
      <c r="V641" s="597"/>
      <c r="W641" s="597"/>
      <c r="X641" s="597"/>
      <c r="Y641" s="597"/>
      <c r="Z641" s="597"/>
    </row>
    <row r="642" spans="1:26" ht="19.5">
      <c r="A642" s="601"/>
      <c r="B642" s="611"/>
      <c r="C642" s="754" t="s">
        <v>16</v>
      </c>
      <c r="D642" s="839" t="s">
        <v>38</v>
      </c>
      <c r="E642" s="752"/>
      <c r="F642" s="752"/>
      <c r="G642" s="606"/>
      <c r="H642" s="753"/>
      <c r="I642" s="184"/>
      <c r="J642" s="184"/>
      <c r="K642" s="163"/>
      <c r="L642" s="163"/>
      <c r="M642" s="163"/>
      <c r="N642" s="163"/>
      <c r="O642" s="163"/>
      <c r="P642" s="163"/>
      <c r="Q642" s="571"/>
      <c r="R642" s="571"/>
      <c r="S642" s="571"/>
      <c r="T642" s="571"/>
      <c r="U642" s="571"/>
      <c r="V642" s="571"/>
      <c r="W642" s="571"/>
      <c r="X642" s="571"/>
      <c r="Y642" s="571"/>
      <c r="Z642" s="571"/>
    </row>
    <row r="643" spans="1:26" ht="18.75">
      <c r="A643" s="735"/>
      <c r="B643" s="568"/>
      <c r="C643" s="754"/>
      <c r="D643" s="619"/>
      <c r="E643" s="737" t="s">
        <v>271</v>
      </c>
      <c r="F643" s="619"/>
      <c r="G643" s="753"/>
      <c r="H643" s="755" t="s">
        <v>272</v>
      </c>
      <c r="I643" s="269">
        <f ca="1">IFERROR(__xludf.DUMMYFUNCTION("IMPORTRANGE(""https://docs.google.com/spreadsheets/d/1QqKyyYR6Q21VydFLVH3TRQUabQu_ym0Zz7PgGX0-kHA/edit?usp=sharing"",""แผน!HR70"")"),0)</f>
        <v>0</v>
      </c>
      <c r="J643" s="214">
        <v>0</v>
      </c>
      <c r="K643" s="163">
        <f t="shared" ref="K643:K652" ca="1" si="270">IF(I643&gt;0,J643*100/I643,0)</f>
        <v>0</v>
      </c>
      <c r="L643" s="163"/>
      <c r="M643" s="163"/>
      <c r="N643" s="496"/>
      <c r="O643" s="163"/>
      <c r="P643" s="163"/>
      <c r="Q643" s="571"/>
      <c r="R643" s="571"/>
      <c r="S643" s="571"/>
      <c r="T643" s="571"/>
      <c r="U643" s="571"/>
      <c r="V643" s="571"/>
      <c r="W643" s="571"/>
      <c r="X643" s="571"/>
      <c r="Y643" s="571"/>
      <c r="Z643" s="571"/>
    </row>
    <row r="644" spans="1:26" ht="18.75">
      <c r="A644" s="735"/>
      <c r="B644" s="568"/>
      <c r="C644" s="754"/>
      <c r="D644" s="619"/>
      <c r="E644" s="737" t="s">
        <v>273</v>
      </c>
      <c r="F644" s="619"/>
      <c r="G644" s="753"/>
      <c r="H644" s="755" t="s">
        <v>274</v>
      </c>
      <c r="I644" s="269">
        <f ca="1">IFERROR(__xludf.DUMMYFUNCTION("IMPORTRANGE(""https://docs.google.com/spreadsheets/d/1QqKyyYR6Q21VydFLVH3TRQUabQu_ym0Zz7PgGX0-kHA/edit?usp=sharing"",""แผน!HR70"")"),0)</f>
        <v>0</v>
      </c>
      <c r="J644" s="214">
        <v>0</v>
      </c>
      <c r="K644" s="163">
        <f t="shared" ca="1" si="270"/>
        <v>0</v>
      </c>
      <c r="L644" s="163"/>
      <c r="M644" s="163"/>
      <c r="N644" s="496"/>
      <c r="O644" s="163"/>
      <c r="P644" s="163"/>
      <c r="Q644" s="571"/>
      <c r="R644" s="571"/>
      <c r="S644" s="571"/>
      <c r="T644" s="571"/>
      <c r="U644" s="571"/>
      <c r="V644" s="571"/>
      <c r="W644" s="571"/>
      <c r="X644" s="571"/>
      <c r="Y644" s="571"/>
      <c r="Z644" s="571"/>
    </row>
    <row r="645" spans="1:26" ht="18.75">
      <c r="A645" s="735"/>
      <c r="B645" s="568"/>
      <c r="C645" s="754"/>
      <c r="D645" s="619"/>
      <c r="E645" s="737" t="s">
        <v>275</v>
      </c>
      <c r="F645" s="619"/>
      <c r="G645" s="753"/>
      <c r="H645" s="755" t="s">
        <v>34</v>
      </c>
      <c r="I645" s="269">
        <v>0</v>
      </c>
      <c r="J645" s="269">
        <f ca="1">IFERROR(__xludf.DUMMYFUNCTION("IMPORTRANGE(""https://docs.google.com/spreadsheets/d/1XWAQStnk-4SwqDmLtmXYiTMKHgktTP8We1SCoS47DrQ/edit?usp=sharing"",""จัดที่ดิน!AS70"")"),26)</f>
        <v>26</v>
      </c>
      <c r="K645" s="163">
        <f t="shared" si="270"/>
        <v>0</v>
      </c>
      <c r="L645" s="163"/>
      <c r="M645" s="163"/>
      <c r="N645" s="496"/>
      <c r="O645" s="163"/>
      <c r="P645" s="163"/>
      <c r="Q645" s="571"/>
      <c r="R645" s="571"/>
      <c r="S645" s="571"/>
      <c r="T645" s="571"/>
      <c r="U645" s="571"/>
      <c r="V645" s="571"/>
      <c r="W645" s="571"/>
      <c r="X645" s="571"/>
      <c r="Y645" s="571"/>
      <c r="Z645" s="571"/>
    </row>
    <row r="646" spans="1:26" ht="18.75">
      <c r="A646" s="735"/>
      <c r="B646" s="568"/>
      <c r="C646" s="754"/>
      <c r="D646" s="619"/>
      <c r="E646" s="619"/>
      <c r="F646" s="619"/>
      <c r="G646" s="753"/>
      <c r="H646" s="755" t="s">
        <v>46</v>
      </c>
      <c r="I646" s="269">
        <v>0</v>
      </c>
      <c r="J646" s="269">
        <f ca="1">IFERROR(__xludf.DUMMYFUNCTION("IMPORTRANGE(""https://docs.google.com/spreadsheets/d/1XWAQStnk-4SwqDmLtmXYiTMKHgktTP8We1SCoS47DrQ/edit?usp=sharing"",""จัดที่ดิน!AT70"")"),31.66)</f>
        <v>31.66</v>
      </c>
      <c r="K646" s="496">
        <f t="shared" si="270"/>
        <v>0</v>
      </c>
      <c r="L646" s="163"/>
      <c r="M646" s="163"/>
      <c r="N646" s="496"/>
      <c r="O646" s="163"/>
      <c r="P646" s="163"/>
      <c r="Q646" s="571"/>
      <c r="R646" s="571"/>
      <c r="S646" s="571"/>
      <c r="T646" s="571"/>
      <c r="U646" s="571"/>
      <c r="V646" s="571"/>
      <c r="W646" s="571"/>
      <c r="X646" s="571"/>
      <c r="Y646" s="571"/>
      <c r="Z646" s="571"/>
    </row>
    <row r="647" spans="1:26" ht="18.75">
      <c r="A647" s="735"/>
      <c r="B647" s="568"/>
      <c r="C647" s="754"/>
      <c r="D647" s="619"/>
      <c r="E647" s="737" t="s">
        <v>162</v>
      </c>
      <c r="F647" s="619"/>
      <c r="G647" s="753"/>
      <c r="H647" s="755" t="s">
        <v>35</v>
      </c>
      <c r="I647" s="269">
        <f ca="1">IFERROR(__xludf.DUMMYFUNCTION("IMPORTRANGE(""https://docs.google.com/spreadsheets/d/1QqKyyYR6Q21VydFLVH3TRQUabQu_ym0Zz7PgGX0-kHA/edit?usp=sharing"",""แผน!HS70"")"),500)</f>
        <v>500</v>
      </c>
      <c r="J647" s="269">
        <f ca="1">IFERROR(__xludf.DUMMYFUNCTION("IMPORTRANGE(""https://docs.google.com/spreadsheets/d/1XWAQStnk-4SwqDmLtmXYiTMKHgktTP8We1SCoS47DrQ/edit?usp=sharing"",""จัดที่ดิน!AU70"")"),31)</f>
        <v>31</v>
      </c>
      <c r="K647" s="163">
        <f t="shared" ca="1" si="270"/>
        <v>6.2</v>
      </c>
      <c r="L647" s="163"/>
      <c r="M647" s="163"/>
      <c r="N647" s="163"/>
      <c r="O647" s="163"/>
      <c r="P647" s="163"/>
      <c r="Q647" s="571"/>
      <c r="R647" s="571"/>
      <c r="S647" s="571"/>
      <c r="T647" s="571"/>
      <c r="U647" s="571"/>
      <c r="V647" s="571"/>
      <c r="W647" s="571"/>
      <c r="X647" s="571"/>
      <c r="Y647" s="571"/>
      <c r="Z647" s="571"/>
    </row>
    <row r="648" spans="1:26" ht="18.75">
      <c r="A648" s="735"/>
      <c r="B648" s="568"/>
      <c r="C648" s="754"/>
      <c r="D648" s="619"/>
      <c r="E648" s="619"/>
      <c r="F648" s="619"/>
      <c r="G648" s="753"/>
      <c r="H648" s="755" t="s">
        <v>46</v>
      </c>
      <c r="I648" s="269">
        <v>0</v>
      </c>
      <c r="J648" s="269">
        <f ca="1">IFERROR(__xludf.DUMMYFUNCTION("IMPORTRANGE(""https://docs.google.com/spreadsheets/d/1XWAQStnk-4SwqDmLtmXYiTMKHgktTP8We1SCoS47DrQ/edit?usp=sharing"",""จัดที่ดิน!AV70"")"),37.56)</f>
        <v>37.56</v>
      </c>
      <c r="K648" s="496">
        <f t="shared" si="270"/>
        <v>0</v>
      </c>
      <c r="L648" s="163"/>
      <c r="M648" s="163"/>
      <c r="N648" s="163"/>
      <c r="O648" s="163"/>
      <c r="P648" s="163"/>
      <c r="Q648" s="571"/>
      <c r="R648" s="571"/>
      <c r="S648" s="571"/>
      <c r="T648" s="571"/>
      <c r="U648" s="571"/>
      <c r="V648" s="571"/>
      <c r="W648" s="571"/>
      <c r="X648" s="571"/>
      <c r="Y648" s="571"/>
      <c r="Z648" s="571"/>
    </row>
    <row r="649" spans="1:26" ht="18.75">
      <c r="A649" s="735"/>
      <c r="B649" s="568"/>
      <c r="C649" s="754"/>
      <c r="D649" s="619"/>
      <c r="E649" s="737" t="s">
        <v>276</v>
      </c>
      <c r="F649" s="619"/>
      <c r="G649" s="753"/>
      <c r="H649" s="755" t="s">
        <v>35</v>
      </c>
      <c r="I649" s="269">
        <f ca="1">IFERROR(__xludf.DUMMYFUNCTION("IMPORTRANGE(""https://docs.google.com/spreadsheets/d/1QqKyyYR6Q21VydFLVH3TRQUabQu_ym0Zz7PgGX0-kHA/edit?usp=sharing"",""แผน!HS70"")"),500)</f>
        <v>500</v>
      </c>
      <c r="J649" s="269">
        <f ca="1">IFERROR(__xludf.DUMMYFUNCTION("IMPORTRANGE(""https://docs.google.com/spreadsheets/d/1XWAQStnk-4SwqDmLtmXYiTMKHgktTP8We1SCoS47DrQ/edit?usp=sharing"",""จัดที่ดิน!AW70"")"),0)</f>
        <v>0</v>
      </c>
      <c r="K649" s="163">
        <f t="shared" ca="1" si="270"/>
        <v>0</v>
      </c>
      <c r="L649" s="163"/>
      <c r="M649" s="163"/>
      <c r="N649" s="163"/>
      <c r="O649" s="163"/>
      <c r="P649" s="163"/>
      <c r="Q649" s="571"/>
      <c r="R649" s="571"/>
      <c r="S649" s="571"/>
      <c r="T649" s="571"/>
      <c r="U649" s="571"/>
      <c r="V649" s="571"/>
      <c r="W649" s="571"/>
      <c r="X649" s="571"/>
      <c r="Y649" s="571"/>
      <c r="Z649" s="571"/>
    </row>
    <row r="650" spans="1:26" ht="18.75">
      <c r="A650" s="735"/>
      <c r="B650" s="568"/>
      <c r="C650" s="754"/>
      <c r="D650" s="619"/>
      <c r="E650" s="619"/>
      <c r="F650" s="619"/>
      <c r="G650" s="753"/>
      <c r="H650" s="755" t="s">
        <v>46</v>
      </c>
      <c r="I650" s="269">
        <v>0</v>
      </c>
      <c r="J650" s="269">
        <f ca="1">IFERROR(__xludf.DUMMYFUNCTION("IMPORTRANGE(""https://docs.google.com/spreadsheets/d/1XWAQStnk-4SwqDmLtmXYiTMKHgktTP8We1SCoS47DrQ/edit?usp=sharing"",""จัดที่ดิน!AX70"")"),0)</f>
        <v>0</v>
      </c>
      <c r="K650" s="496">
        <f t="shared" si="270"/>
        <v>0</v>
      </c>
      <c r="L650" s="163"/>
      <c r="M650" s="163"/>
      <c r="N650" s="163"/>
      <c r="O650" s="163"/>
      <c r="P650" s="163"/>
      <c r="Q650" s="571"/>
      <c r="R650" s="571"/>
      <c r="S650" s="571"/>
      <c r="T650" s="571"/>
      <c r="U650" s="571"/>
      <c r="V650" s="571"/>
      <c r="W650" s="571"/>
      <c r="X650" s="571"/>
      <c r="Y650" s="571"/>
      <c r="Z650" s="571"/>
    </row>
    <row r="651" spans="1:26" ht="18.75">
      <c r="A651" s="735"/>
      <c r="B651" s="568"/>
      <c r="C651" s="754"/>
      <c r="D651" s="619"/>
      <c r="E651" s="737" t="s">
        <v>277</v>
      </c>
      <c r="F651" s="619"/>
      <c r="G651" s="753"/>
      <c r="H651" s="755" t="s">
        <v>35</v>
      </c>
      <c r="I651" s="269">
        <f ca="1">IFERROR(__xludf.DUMMYFUNCTION("IMPORTRANGE(""https://docs.google.com/spreadsheets/d/1QqKyyYR6Q21VydFLVH3TRQUabQu_ym0Zz7PgGX0-kHA/edit?usp=sharing"",""แผน!HS70"")"),500)</f>
        <v>500</v>
      </c>
      <c r="J651" s="269">
        <f ca="1">IFERROR(__xludf.DUMMYFUNCTION("IMPORTRANGE(""https://docs.google.com/spreadsheets/d/1XWAQStnk-4SwqDmLtmXYiTMKHgktTP8We1SCoS47DrQ/edit?usp=sharing"",""จัดที่ดิน!AY70"")"),0)</f>
        <v>0</v>
      </c>
      <c r="K651" s="163">
        <f t="shared" ca="1" si="270"/>
        <v>0</v>
      </c>
      <c r="L651" s="163"/>
      <c r="M651" s="163"/>
      <c r="N651" s="163"/>
      <c r="O651" s="163"/>
      <c r="P651" s="163"/>
      <c r="Q651" s="571"/>
      <c r="R651" s="571"/>
      <c r="S651" s="571"/>
      <c r="T651" s="571"/>
      <c r="U651" s="571"/>
      <c r="V651" s="571"/>
      <c r="W651" s="571"/>
      <c r="X651" s="571"/>
      <c r="Y651" s="571"/>
      <c r="Z651" s="571"/>
    </row>
    <row r="652" spans="1:26" ht="18.75">
      <c r="A652" s="738"/>
      <c r="B652" s="739"/>
      <c r="C652" s="740"/>
      <c r="D652" s="725"/>
      <c r="E652" s="725"/>
      <c r="F652" s="725"/>
      <c r="G652" s="726"/>
      <c r="H652" s="498" t="s">
        <v>46</v>
      </c>
      <c r="I652" s="499">
        <v>0</v>
      </c>
      <c r="J652" s="499">
        <f ca="1">IFERROR(__xludf.DUMMYFUNCTION("IMPORTRANGE(""https://docs.google.com/spreadsheets/d/1XWAQStnk-4SwqDmLtmXYiTMKHgktTP8We1SCoS47DrQ/edit?usp=sharing"",""จัดที่ดิน!AZ70"")"),0)</f>
        <v>0</v>
      </c>
      <c r="K652" s="500">
        <f t="shared" si="270"/>
        <v>0</v>
      </c>
      <c r="L652" s="384"/>
      <c r="M652" s="384"/>
      <c r="N652" s="384"/>
      <c r="O652" s="384"/>
      <c r="P652" s="384"/>
      <c r="Q652" s="571"/>
      <c r="R652" s="571"/>
      <c r="S652" s="571"/>
      <c r="T652" s="571"/>
      <c r="U652" s="571"/>
      <c r="V652" s="571"/>
      <c r="W652" s="571"/>
      <c r="X652" s="571"/>
      <c r="Y652" s="571"/>
      <c r="Z652" s="571"/>
    </row>
    <row r="653" spans="1:26" ht="19.5">
      <c r="A653" s="741">
        <v>8</v>
      </c>
      <c r="B653" s="728" t="s">
        <v>278</v>
      </c>
      <c r="C653" s="729"/>
      <c r="D653" s="729"/>
      <c r="E653" s="729"/>
      <c r="F653" s="729"/>
      <c r="G653" s="730"/>
      <c r="H653" s="730"/>
      <c r="I653" s="742"/>
      <c r="J653" s="742"/>
      <c r="K653" s="734"/>
      <c r="L653" s="734"/>
      <c r="M653" s="734"/>
      <c r="N653" s="734"/>
      <c r="O653" s="734"/>
      <c r="P653" s="734"/>
      <c r="Q653" s="571"/>
      <c r="R653" s="571"/>
      <c r="S653" s="571"/>
      <c r="T653" s="571"/>
      <c r="U653" s="571"/>
      <c r="V653" s="571"/>
      <c r="W653" s="571"/>
      <c r="X653" s="571"/>
      <c r="Y653" s="571"/>
      <c r="Z653" s="571"/>
    </row>
    <row r="654" spans="1:26" ht="19.5">
      <c r="A654" s="666"/>
      <c r="B654" s="665" t="s">
        <v>279</v>
      </c>
      <c r="C654" s="666"/>
      <c r="D654" s="666"/>
      <c r="E654" s="666"/>
      <c r="F654" s="666"/>
      <c r="G654" s="667"/>
      <c r="H654" s="698" t="s">
        <v>46</v>
      </c>
      <c r="I654" s="699">
        <f t="shared" ref="I654:J654" ca="1" si="271">I669</f>
        <v>50</v>
      </c>
      <c r="J654" s="699">
        <f t="shared" si="271"/>
        <v>0</v>
      </c>
      <c r="K654" s="670">
        <f ca="1">IF(I654&gt;0,J654*100/I654,0)</f>
        <v>0</v>
      </c>
      <c r="L654" s="671"/>
      <c r="M654" s="671"/>
      <c r="N654" s="671"/>
      <c r="O654" s="671"/>
      <c r="P654" s="671"/>
      <c r="Q654" s="571"/>
      <c r="R654" s="571"/>
      <c r="S654" s="571"/>
      <c r="T654" s="571"/>
      <c r="U654" s="571"/>
      <c r="V654" s="571"/>
      <c r="W654" s="571"/>
      <c r="X654" s="571"/>
      <c r="Y654" s="571"/>
      <c r="Z654" s="571"/>
    </row>
    <row r="655" spans="1:26" ht="19.5">
      <c r="A655" s="590"/>
      <c r="B655" s="754"/>
      <c r="C655" s="754" t="s">
        <v>16</v>
      </c>
      <c r="D655" s="863" t="s">
        <v>17</v>
      </c>
      <c r="E655" s="857"/>
      <c r="F655" s="857"/>
      <c r="G655" s="189"/>
      <c r="H655" s="591" t="s">
        <v>12</v>
      </c>
      <c r="I655" s="269"/>
      <c r="J655" s="269"/>
      <c r="K655" s="496"/>
      <c r="L655" s="195">
        <f t="shared" ref="L655:N655" ca="1" si="272">L656+L657</f>
        <v>11000</v>
      </c>
      <c r="M655" s="195">
        <f t="shared" si="272"/>
        <v>0</v>
      </c>
      <c r="N655" s="195">
        <f t="shared" si="272"/>
        <v>0</v>
      </c>
      <c r="O655" s="195">
        <f t="shared" ref="O655:O660" ca="1" si="273">IF(L655&gt;0,N655*100/L655,0)</f>
        <v>0</v>
      </c>
      <c r="P655" s="195">
        <f t="shared" ref="P655:P660" si="274">IF(M655&gt;0,N655*100/M655,0)</f>
        <v>0</v>
      </c>
      <c r="Q655" s="571"/>
      <c r="R655" s="571"/>
      <c r="S655" s="571"/>
      <c r="T655" s="571"/>
      <c r="U655" s="571"/>
      <c r="V655" s="571"/>
      <c r="W655" s="571"/>
      <c r="X655" s="571"/>
      <c r="Y655" s="571"/>
      <c r="Z655" s="571"/>
    </row>
    <row r="656" spans="1:26" ht="18.75" hidden="1">
      <c r="A656" s="592"/>
      <c r="B656" s="750"/>
      <c r="C656" s="750"/>
      <c r="D656" s="711"/>
      <c r="E656" s="750" t="s">
        <v>184</v>
      </c>
      <c r="F656" s="750"/>
      <c r="G656" s="596"/>
      <c r="H656" s="165" t="s">
        <v>12</v>
      </c>
      <c r="I656" s="610"/>
      <c r="J656" s="610"/>
      <c r="K656" s="93"/>
      <c r="L656" s="93">
        <f t="shared" ref="L656:N657" si="275">L659+L666</f>
        <v>0</v>
      </c>
      <c r="M656" s="93">
        <f t="shared" si="275"/>
        <v>0</v>
      </c>
      <c r="N656" s="93">
        <f t="shared" si="275"/>
        <v>0</v>
      </c>
      <c r="O656" s="93">
        <f t="shared" si="273"/>
        <v>0</v>
      </c>
      <c r="P656" s="93">
        <f t="shared" si="274"/>
        <v>0</v>
      </c>
      <c r="Q656" s="597"/>
      <c r="R656" s="597"/>
      <c r="S656" s="597"/>
      <c r="T656" s="597"/>
      <c r="U656" s="597"/>
      <c r="V656" s="597"/>
      <c r="W656" s="597"/>
      <c r="X656" s="597"/>
      <c r="Y656" s="597"/>
      <c r="Z656" s="597"/>
    </row>
    <row r="657" spans="1:26" ht="18.75" hidden="1">
      <c r="A657" s="592"/>
      <c r="B657" s="600"/>
      <c r="C657" s="750"/>
      <c r="D657" s="711"/>
      <c r="E657" s="750" t="s">
        <v>185</v>
      </c>
      <c r="F657" s="750"/>
      <c r="G657" s="596"/>
      <c r="H657" s="165" t="s">
        <v>12</v>
      </c>
      <c r="I657" s="610"/>
      <c r="J657" s="610"/>
      <c r="K657" s="93"/>
      <c r="L657" s="93">
        <f t="shared" ca="1" si="275"/>
        <v>11000</v>
      </c>
      <c r="M657" s="93">
        <f t="shared" si="275"/>
        <v>0</v>
      </c>
      <c r="N657" s="93">
        <f t="shared" si="275"/>
        <v>0</v>
      </c>
      <c r="O657" s="93">
        <f t="shared" ca="1" si="273"/>
        <v>0</v>
      </c>
      <c r="P657" s="93">
        <f t="shared" si="274"/>
        <v>0</v>
      </c>
      <c r="Q657" s="597"/>
      <c r="R657" s="597"/>
      <c r="S657" s="597"/>
      <c r="T657" s="597"/>
      <c r="U657" s="597"/>
      <c r="V657" s="597"/>
      <c r="W657" s="597"/>
      <c r="X657" s="597"/>
      <c r="Y657" s="597"/>
      <c r="Z657" s="597"/>
    </row>
    <row r="658" spans="1:26" ht="18.75">
      <c r="A658" s="590"/>
      <c r="B658" s="568"/>
      <c r="C658" s="754"/>
      <c r="D658" s="599" t="s">
        <v>20</v>
      </c>
      <c r="E658" s="754"/>
      <c r="F658" s="754"/>
      <c r="G658" s="189"/>
      <c r="H658" s="161" t="s">
        <v>12</v>
      </c>
      <c r="I658" s="184"/>
      <c r="J658" s="184"/>
      <c r="K658" s="163"/>
      <c r="L658" s="496">
        <f t="shared" ref="L658:N658" ca="1" si="276">L659+L660</f>
        <v>11000</v>
      </c>
      <c r="M658" s="496">
        <f t="shared" si="276"/>
        <v>0</v>
      </c>
      <c r="N658" s="496">
        <f t="shared" si="276"/>
        <v>0</v>
      </c>
      <c r="O658" s="496">
        <f t="shared" ca="1" si="273"/>
        <v>0</v>
      </c>
      <c r="P658" s="496">
        <f t="shared" si="274"/>
        <v>0</v>
      </c>
      <c r="Q658" s="571"/>
      <c r="R658" s="571"/>
      <c r="S658" s="571"/>
      <c r="T658" s="571"/>
      <c r="U658" s="571"/>
      <c r="V658" s="571"/>
      <c r="W658" s="571"/>
      <c r="X658" s="571"/>
      <c r="Y658" s="571"/>
      <c r="Z658" s="571"/>
    </row>
    <row r="659" spans="1:26" ht="18.75" hidden="1">
      <c r="A659" s="592"/>
      <c r="B659" s="600"/>
      <c r="C659" s="750"/>
      <c r="D659" s="711"/>
      <c r="E659" s="750" t="s">
        <v>184</v>
      </c>
      <c r="F659" s="750"/>
      <c r="G659" s="596"/>
      <c r="H659" s="165" t="s">
        <v>12</v>
      </c>
      <c r="I659" s="610"/>
      <c r="J659" s="610"/>
      <c r="K659" s="93"/>
      <c r="L659" s="93">
        <v>0</v>
      </c>
      <c r="M659" s="93">
        <v>0</v>
      </c>
      <c r="N659" s="93">
        <v>0</v>
      </c>
      <c r="O659" s="93">
        <f t="shared" si="273"/>
        <v>0</v>
      </c>
      <c r="P659" s="93">
        <f t="shared" si="274"/>
        <v>0</v>
      </c>
      <c r="Q659" s="597"/>
      <c r="R659" s="597"/>
      <c r="S659" s="597"/>
      <c r="T659" s="597"/>
      <c r="U659" s="597"/>
      <c r="V659" s="597"/>
      <c r="W659" s="597"/>
      <c r="X659" s="597"/>
      <c r="Y659" s="597"/>
      <c r="Z659" s="597"/>
    </row>
    <row r="660" spans="1:26" ht="18.75" hidden="1">
      <c r="A660" s="592"/>
      <c r="B660" s="600"/>
      <c r="C660" s="750"/>
      <c r="D660" s="711"/>
      <c r="E660" s="750" t="s">
        <v>185</v>
      </c>
      <c r="F660" s="750"/>
      <c r="G660" s="596"/>
      <c r="H660" s="165" t="s">
        <v>12</v>
      </c>
      <c r="I660" s="610"/>
      <c r="J660" s="610"/>
      <c r="K660" s="93"/>
      <c r="L660" s="93">
        <f ca="1">IFERROR(__xludf.DUMMYFUNCTION("IMPORTRANGE(""https://docs.google.com/spreadsheets/d/1QqKyyYR6Q21VydFLVH3TRQUabQu_ym0Zz7PgGX0-kHA/edit?usp=sharing"",""แผน!HV70"")"),11000)</f>
        <v>11000</v>
      </c>
      <c r="M660" s="93">
        <v>0</v>
      </c>
      <c r="N660" s="93">
        <f>N661+N662+N663+N664</f>
        <v>0</v>
      </c>
      <c r="O660" s="93">
        <f t="shared" ca="1" si="273"/>
        <v>0</v>
      </c>
      <c r="P660" s="93">
        <f t="shared" si="274"/>
        <v>0</v>
      </c>
      <c r="Q660" s="597"/>
      <c r="R660" s="597"/>
      <c r="S660" s="597"/>
      <c r="T660" s="597"/>
      <c r="U660" s="597"/>
      <c r="V660" s="597"/>
      <c r="W660" s="597"/>
      <c r="X660" s="597"/>
      <c r="Y660" s="597"/>
      <c r="Z660" s="597"/>
    </row>
    <row r="661" spans="1:26" ht="18.75">
      <c r="A661" s="567"/>
      <c r="B661" s="568"/>
      <c r="C661" s="754"/>
      <c r="D661" s="754"/>
      <c r="E661" s="754"/>
      <c r="F661" s="754" t="s">
        <v>186</v>
      </c>
      <c r="G661" s="189"/>
      <c r="H661" s="161" t="s">
        <v>12</v>
      </c>
      <c r="I661" s="269"/>
      <c r="J661" s="269"/>
      <c r="K661" s="496"/>
      <c r="L661" s="496"/>
      <c r="M661" s="496"/>
      <c r="N661" s="817"/>
      <c r="O661" s="496"/>
      <c r="P661" s="496"/>
      <c r="Q661" s="571"/>
      <c r="R661" s="571"/>
      <c r="S661" s="571"/>
      <c r="T661" s="571"/>
      <c r="U661" s="571"/>
      <c r="V661" s="571"/>
      <c r="W661" s="571"/>
      <c r="X661" s="571"/>
      <c r="Y661" s="571"/>
      <c r="Z661" s="571"/>
    </row>
    <row r="662" spans="1:26" ht="18.75">
      <c r="A662" s="567"/>
      <c r="B662" s="568"/>
      <c r="C662" s="754"/>
      <c r="D662" s="754"/>
      <c r="E662" s="754"/>
      <c r="F662" s="754" t="s">
        <v>187</v>
      </c>
      <c r="G662" s="189"/>
      <c r="H662" s="161" t="s">
        <v>12</v>
      </c>
      <c r="I662" s="269"/>
      <c r="J662" s="269"/>
      <c r="K662" s="496"/>
      <c r="L662" s="496"/>
      <c r="M662" s="496"/>
      <c r="N662" s="817">
        <v>0</v>
      </c>
      <c r="O662" s="496"/>
      <c r="P662" s="496"/>
      <c r="Q662" s="571"/>
      <c r="R662" s="571"/>
      <c r="S662" s="571"/>
      <c r="T662" s="571"/>
      <c r="U662" s="571"/>
      <c r="V662" s="571"/>
      <c r="W662" s="571"/>
      <c r="X662" s="571"/>
      <c r="Y662" s="571"/>
      <c r="Z662" s="571"/>
    </row>
    <row r="663" spans="1:26" ht="18.75">
      <c r="A663" s="567"/>
      <c r="B663" s="568"/>
      <c r="C663" s="568"/>
      <c r="D663" s="754"/>
      <c r="E663" s="754"/>
      <c r="F663" s="754" t="s">
        <v>188</v>
      </c>
      <c r="G663" s="189"/>
      <c r="H663" s="161" t="s">
        <v>12</v>
      </c>
      <c r="I663" s="269"/>
      <c r="J663" s="269"/>
      <c r="K663" s="496"/>
      <c r="L663" s="496"/>
      <c r="M663" s="496"/>
      <c r="N663" s="817">
        <v>0</v>
      </c>
      <c r="O663" s="496"/>
      <c r="P663" s="496"/>
      <c r="Q663" s="571"/>
      <c r="R663" s="571"/>
      <c r="S663" s="571"/>
      <c r="T663" s="571"/>
      <c r="U663" s="571"/>
      <c r="V663" s="571"/>
      <c r="W663" s="571"/>
      <c r="X663" s="571"/>
      <c r="Y663" s="571"/>
      <c r="Z663" s="571"/>
    </row>
    <row r="664" spans="1:26" ht="18.75">
      <c r="A664" s="567"/>
      <c r="B664" s="568"/>
      <c r="C664" s="568"/>
      <c r="D664" s="568"/>
      <c r="E664" s="754"/>
      <c r="F664" s="754" t="s">
        <v>189</v>
      </c>
      <c r="G664" s="189"/>
      <c r="H664" s="161" t="s">
        <v>12</v>
      </c>
      <c r="I664" s="269"/>
      <c r="J664" s="269"/>
      <c r="K664" s="496"/>
      <c r="L664" s="496"/>
      <c r="M664" s="496"/>
      <c r="N664" s="817">
        <v>0</v>
      </c>
      <c r="O664" s="496"/>
      <c r="P664" s="496"/>
      <c r="Q664" s="571"/>
      <c r="R664" s="571"/>
      <c r="S664" s="571"/>
      <c r="T664" s="571"/>
      <c r="U664" s="571"/>
      <c r="V664" s="571"/>
      <c r="W664" s="571"/>
      <c r="X664" s="571"/>
      <c r="Y664" s="571"/>
      <c r="Z664" s="571"/>
    </row>
    <row r="665" spans="1:26" ht="18.75">
      <c r="A665" s="590"/>
      <c r="B665" s="568"/>
      <c r="C665" s="568"/>
      <c r="D665" s="599" t="s">
        <v>21</v>
      </c>
      <c r="E665" s="754"/>
      <c r="F665" s="754"/>
      <c r="G665" s="189"/>
      <c r="H665" s="168" t="s">
        <v>12</v>
      </c>
      <c r="I665" s="184"/>
      <c r="J665" s="184"/>
      <c r="K665" s="163"/>
      <c r="L665" s="496">
        <f t="shared" ref="L665:N665" si="277">L666+L667</f>
        <v>0</v>
      </c>
      <c r="M665" s="496">
        <f t="shared" si="277"/>
        <v>0</v>
      </c>
      <c r="N665" s="496">
        <f t="shared" si="277"/>
        <v>0</v>
      </c>
      <c r="O665" s="496">
        <f t="shared" ref="O665:O667" si="278">IF(L665&gt;0,N665*100/L665,0)</f>
        <v>0</v>
      </c>
      <c r="P665" s="496">
        <f t="shared" ref="P665:P667" si="279">IF(M665&gt;0,N665*100/M665,0)</f>
        <v>0</v>
      </c>
      <c r="Q665" s="571"/>
      <c r="R665" s="571"/>
      <c r="S665" s="571"/>
      <c r="T665" s="571"/>
      <c r="U665" s="571"/>
      <c r="V665" s="571"/>
      <c r="W665" s="571"/>
      <c r="X665" s="571"/>
      <c r="Y665" s="571"/>
      <c r="Z665" s="571"/>
    </row>
    <row r="666" spans="1:26" ht="18.75" hidden="1">
      <c r="A666" s="592"/>
      <c r="B666" s="600"/>
      <c r="C666" s="600"/>
      <c r="D666" s="600"/>
      <c r="E666" s="750" t="s">
        <v>18</v>
      </c>
      <c r="F666" s="750"/>
      <c r="G666" s="596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8"/>
        <v>0</v>
      </c>
      <c r="P666" s="93">
        <f t="shared" si="279"/>
        <v>0</v>
      </c>
      <c r="Q666" s="597"/>
      <c r="R666" s="597"/>
      <c r="S666" s="597"/>
      <c r="T666" s="597"/>
      <c r="U666" s="597"/>
      <c r="V666" s="597"/>
      <c r="W666" s="597"/>
      <c r="X666" s="597"/>
      <c r="Y666" s="597"/>
      <c r="Z666" s="597"/>
    </row>
    <row r="667" spans="1:26" ht="18.75" hidden="1">
      <c r="A667" s="592"/>
      <c r="B667" s="600"/>
      <c r="C667" s="600"/>
      <c r="D667" s="600"/>
      <c r="E667" s="750" t="s">
        <v>19</v>
      </c>
      <c r="F667" s="750"/>
      <c r="G667" s="596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8"/>
        <v>0</v>
      </c>
      <c r="P667" s="93">
        <f t="shared" si="279"/>
        <v>0</v>
      </c>
      <c r="Q667" s="597"/>
      <c r="R667" s="597"/>
      <c r="S667" s="597"/>
      <c r="T667" s="597"/>
      <c r="U667" s="597"/>
      <c r="V667" s="597"/>
      <c r="W667" s="597"/>
      <c r="X667" s="597"/>
      <c r="Y667" s="597"/>
      <c r="Z667" s="597"/>
    </row>
    <row r="668" spans="1:26" ht="19.5">
      <c r="A668" s="601"/>
      <c r="B668" s="611"/>
      <c r="C668" s="568" t="s">
        <v>16</v>
      </c>
      <c r="D668" s="836" t="s">
        <v>38</v>
      </c>
      <c r="E668" s="752"/>
      <c r="F668" s="752"/>
      <c r="G668" s="606"/>
      <c r="H668" s="753"/>
      <c r="I668" s="184"/>
      <c r="J668" s="184"/>
      <c r="K668" s="163"/>
      <c r="L668" s="163"/>
      <c r="M668" s="163"/>
      <c r="N668" s="163"/>
      <c r="O668" s="163"/>
      <c r="P668" s="163"/>
      <c r="Q668" s="571"/>
      <c r="R668" s="571"/>
      <c r="S668" s="571"/>
      <c r="T668" s="571"/>
      <c r="U668" s="571"/>
      <c r="V668" s="571"/>
      <c r="W668" s="571"/>
      <c r="X668" s="571"/>
      <c r="Y668" s="571"/>
      <c r="Z668" s="571"/>
    </row>
    <row r="669" spans="1:26" ht="19.5">
      <c r="A669" s="601"/>
      <c r="B669" s="611"/>
      <c r="C669" s="611"/>
      <c r="D669" s="611" t="s">
        <v>280</v>
      </c>
      <c r="E669" s="619"/>
      <c r="F669" s="619"/>
      <c r="G669" s="753"/>
      <c r="H669" s="758" t="s">
        <v>46</v>
      </c>
      <c r="I669" s="674">
        <f ca="1">IFERROR(__xludf.DUMMYFUNCTION("IMPORTRANGE(""https://docs.google.com/spreadsheets/d/1QqKyyYR6Q21VydFLVH3TRQUabQu_ym0Zz7PgGX0-kHA/edit?usp=sharing"",""แผน!IA70"")"),50)</f>
        <v>50</v>
      </c>
      <c r="J669" s="674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1"/>
      <c r="R669" s="571"/>
      <c r="S669" s="571"/>
      <c r="T669" s="571"/>
      <c r="U669" s="571"/>
      <c r="V669" s="571"/>
      <c r="W669" s="571"/>
      <c r="X669" s="571"/>
      <c r="Y669" s="571"/>
      <c r="Z669" s="571"/>
    </row>
    <row r="670" spans="1:26" ht="18.75">
      <c r="A670" s="601"/>
      <c r="B670" s="611"/>
      <c r="C670" s="611"/>
      <c r="D670" s="611"/>
      <c r="E670" s="619" t="s">
        <v>281</v>
      </c>
      <c r="F670" s="619"/>
      <c r="G670" s="753"/>
      <c r="H670" s="755" t="s">
        <v>69</v>
      </c>
      <c r="I670" s="269">
        <f ca="1">IFERROR(__xludf.DUMMYFUNCTION("IMPORTRANGE(""https://docs.google.com/spreadsheets/d/1QqKyyYR6Q21VydFLVH3TRQUabQu_ym0Zz7PgGX0-kHA/edit?usp=sharing"",""แผน!HZ70"")"),5)</f>
        <v>5</v>
      </c>
      <c r="J670" s="214">
        <v>0</v>
      </c>
      <c r="K670" s="496">
        <f ca="1">IF(I670&gt;0,(J670*100)/I670,0)</f>
        <v>0</v>
      </c>
      <c r="L670" s="163"/>
      <c r="M670" s="163"/>
      <c r="N670" s="163"/>
      <c r="O670" s="163"/>
      <c r="P670" s="163"/>
      <c r="Q670" s="571"/>
      <c r="R670" s="571"/>
      <c r="S670" s="571"/>
      <c r="T670" s="571"/>
      <c r="U670" s="571"/>
      <c r="V670" s="571"/>
      <c r="W670" s="571"/>
      <c r="X670" s="571"/>
      <c r="Y670" s="571"/>
      <c r="Z670" s="571"/>
    </row>
    <row r="671" spans="1:26" ht="18.75">
      <c r="A671" s="601"/>
      <c r="B671" s="611"/>
      <c r="C671" s="611"/>
      <c r="D671" s="611"/>
      <c r="E671" s="619" t="s">
        <v>282</v>
      </c>
      <c r="F671" s="619"/>
      <c r="G671" s="753"/>
      <c r="H671" s="755" t="s">
        <v>69</v>
      </c>
      <c r="I671" s="269">
        <f ca="1">IFERROR(__xludf.DUMMYFUNCTION("IMPORTRANGE(""https://docs.google.com/spreadsheets/d/1QqKyyYR6Q21VydFLVH3TRQUabQu_ym0Zz7PgGX0-kHA/edit?usp=sharing"",""แผน!HZ70"")"),5)</f>
        <v>5</v>
      </c>
      <c r="J671" s="214">
        <v>0</v>
      </c>
      <c r="K671" s="496">
        <f ca="1">IF(I$671&gt;0,J671*100/I$671,0)</f>
        <v>0</v>
      </c>
      <c r="L671" s="163"/>
      <c r="M671" s="163"/>
      <c r="N671" s="163"/>
      <c r="O671" s="163"/>
      <c r="P671" s="163"/>
      <c r="Q671" s="571"/>
      <c r="R671" s="571"/>
      <c r="S671" s="571"/>
      <c r="T671" s="571"/>
      <c r="U671" s="571"/>
      <c r="V671" s="571"/>
      <c r="W671" s="571"/>
      <c r="X671" s="571"/>
      <c r="Y671" s="571"/>
      <c r="Z671" s="571"/>
    </row>
    <row r="672" spans="1:26" ht="18.75">
      <c r="A672" s="601"/>
      <c r="B672" s="611"/>
      <c r="C672" s="611"/>
      <c r="D672" s="611"/>
      <c r="E672" s="619" t="s">
        <v>283</v>
      </c>
      <c r="F672" s="619"/>
      <c r="G672" s="753"/>
      <c r="H672" s="755" t="s">
        <v>46</v>
      </c>
      <c r="I672" s="269"/>
      <c r="J672" s="214">
        <v>0</v>
      </c>
      <c r="K672" s="496">
        <f t="shared" ref="K672:K675" ca="1" si="280">IF(I$669&gt;0,J672*100/I$669,0)</f>
        <v>0</v>
      </c>
      <c r="L672" s="163"/>
      <c r="M672" s="163"/>
      <c r="N672" s="163"/>
      <c r="O672" s="163"/>
      <c r="P672" s="163"/>
      <c r="Q672" s="571"/>
      <c r="R672" s="571"/>
      <c r="S672" s="571"/>
      <c r="T672" s="571"/>
      <c r="U672" s="571"/>
      <c r="V672" s="571"/>
      <c r="W672" s="571"/>
      <c r="X672" s="571"/>
      <c r="Y672" s="571"/>
      <c r="Z672" s="571"/>
    </row>
    <row r="673" spans="1:26" ht="18.75">
      <c r="A673" s="601"/>
      <c r="B673" s="611"/>
      <c r="C673" s="611"/>
      <c r="D673" s="611"/>
      <c r="E673" s="619" t="s">
        <v>284</v>
      </c>
      <c r="F673" s="619"/>
      <c r="G673" s="753"/>
      <c r="H673" s="755" t="s">
        <v>46</v>
      </c>
      <c r="I673" s="269"/>
      <c r="J673" s="214">
        <v>0</v>
      </c>
      <c r="K673" s="496">
        <f t="shared" ca="1" si="280"/>
        <v>0</v>
      </c>
      <c r="L673" s="163"/>
      <c r="M673" s="163"/>
      <c r="N673" s="163"/>
      <c r="O673" s="163"/>
      <c r="P673" s="163"/>
      <c r="Q673" s="571"/>
      <c r="R673" s="571"/>
      <c r="S673" s="571"/>
      <c r="T673" s="571"/>
      <c r="U673" s="571"/>
      <c r="V673" s="571"/>
      <c r="W673" s="571"/>
      <c r="X673" s="571"/>
      <c r="Y673" s="571"/>
      <c r="Z673" s="571"/>
    </row>
    <row r="674" spans="1:26" ht="18.75">
      <c r="A674" s="601"/>
      <c r="B674" s="611"/>
      <c r="C674" s="611"/>
      <c r="D674" s="611"/>
      <c r="E674" s="619" t="s">
        <v>285</v>
      </c>
      <c r="F674" s="619"/>
      <c r="G674" s="753"/>
      <c r="H674" s="755" t="s">
        <v>46</v>
      </c>
      <c r="I674" s="269"/>
      <c r="J674" s="214">
        <v>0</v>
      </c>
      <c r="K674" s="496">
        <f t="shared" ca="1" si="280"/>
        <v>0</v>
      </c>
      <c r="L674" s="163"/>
      <c r="M674" s="163"/>
      <c r="N674" s="163"/>
      <c r="O674" s="163"/>
      <c r="P674" s="163"/>
      <c r="Q674" s="571"/>
      <c r="R674" s="571"/>
      <c r="S674" s="571"/>
      <c r="T674" s="571"/>
      <c r="U674" s="571"/>
      <c r="V674" s="571"/>
      <c r="W674" s="571"/>
      <c r="X674" s="571"/>
      <c r="Y674" s="571"/>
      <c r="Z674" s="571"/>
    </row>
    <row r="675" spans="1:26" ht="19.5">
      <c r="A675" s="601"/>
      <c r="B675" s="611"/>
      <c r="C675" s="611"/>
      <c r="D675" s="611"/>
      <c r="E675" s="619" t="s">
        <v>286</v>
      </c>
      <c r="F675" s="619"/>
      <c r="G675" s="753"/>
      <c r="H675" s="755" t="s">
        <v>46</v>
      </c>
      <c r="I675" s="269"/>
      <c r="J675" s="674">
        <f>J676+J677</f>
        <v>0</v>
      </c>
      <c r="K675" s="195">
        <f t="shared" ca="1" si="280"/>
        <v>0</v>
      </c>
      <c r="L675" s="163"/>
      <c r="M675" s="163"/>
      <c r="N675" s="163"/>
      <c r="O675" s="163"/>
      <c r="P675" s="163"/>
      <c r="Q675" s="571"/>
      <c r="R675" s="571"/>
      <c r="S675" s="571"/>
      <c r="T675" s="571"/>
      <c r="U675" s="571"/>
      <c r="V675" s="571"/>
      <c r="W675" s="571"/>
      <c r="X675" s="571"/>
      <c r="Y675" s="571"/>
      <c r="Z675" s="571"/>
    </row>
    <row r="676" spans="1:26" ht="18.75">
      <c r="A676" s="601"/>
      <c r="B676" s="611"/>
      <c r="C676" s="611"/>
      <c r="D676" s="611"/>
      <c r="E676" s="619"/>
      <c r="F676" s="619" t="s">
        <v>287</v>
      </c>
      <c r="G676" s="753"/>
      <c r="H676" s="755" t="s">
        <v>46</v>
      </c>
      <c r="I676" s="269"/>
      <c r="J676" s="214">
        <v>0</v>
      </c>
      <c r="K676" s="496"/>
      <c r="L676" s="163"/>
      <c r="M676" s="163"/>
      <c r="N676" s="163"/>
      <c r="O676" s="163"/>
      <c r="P676" s="163"/>
      <c r="Q676" s="571"/>
      <c r="R676" s="571"/>
      <c r="S676" s="571"/>
      <c r="T676" s="571"/>
      <c r="U676" s="571"/>
      <c r="V676" s="571"/>
      <c r="W676" s="571"/>
      <c r="X676" s="571"/>
      <c r="Y676" s="571"/>
      <c r="Z676" s="571"/>
    </row>
    <row r="677" spans="1:26" ht="18.75">
      <c r="A677" s="601"/>
      <c r="B677" s="611"/>
      <c r="C677" s="611"/>
      <c r="D677" s="611"/>
      <c r="E677" s="619"/>
      <c r="F677" s="619" t="s">
        <v>288</v>
      </c>
      <c r="G677" s="753"/>
      <c r="H677" s="755" t="s">
        <v>46</v>
      </c>
      <c r="I677" s="269"/>
      <c r="J677" s="214">
        <v>0</v>
      </c>
      <c r="K677" s="496"/>
      <c r="L677" s="163"/>
      <c r="M677" s="163"/>
      <c r="N677" s="163"/>
      <c r="O677" s="163"/>
      <c r="P677" s="163"/>
      <c r="Q677" s="571"/>
      <c r="R677" s="571"/>
      <c r="S677" s="571"/>
      <c r="T677" s="571"/>
      <c r="U677" s="571"/>
      <c r="V677" s="571"/>
      <c r="W677" s="571"/>
      <c r="X677" s="571"/>
      <c r="Y677" s="571"/>
      <c r="Z677" s="571"/>
    </row>
    <row r="678" spans="1:26" ht="19.5">
      <c r="A678" s="601"/>
      <c r="B678" s="611"/>
      <c r="C678" s="611"/>
      <c r="D678" s="611" t="s">
        <v>289</v>
      </c>
      <c r="E678" s="619"/>
      <c r="F678" s="619"/>
      <c r="G678" s="753"/>
      <c r="H678" s="755" t="s">
        <v>46</v>
      </c>
      <c r="I678" s="674">
        <f ca="1">IFERROR(__xludf.DUMMYFUNCTION("IMPORTRANGE(""https://docs.google.com/spreadsheets/d/1QqKyyYR6Q21VydFLVH3TRQUabQu_ym0Zz7PgGX0-kHA/edit?usp=sharing"",""แผน!IB70"")"),0)</f>
        <v>0</v>
      </c>
      <c r="J678" s="674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1"/>
      <c r="R678" s="571"/>
      <c r="S678" s="571"/>
      <c r="T678" s="571"/>
      <c r="U678" s="571"/>
      <c r="V678" s="571"/>
      <c r="W678" s="571"/>
      <c r="X678" s="571"/>
      <c r="Y678" s="571"/>
      <c r="Z678" s="571"/>
    </row>
    <row r="679" spans="1:26" ht="18.75">
      <c r="A679" s="601"/>
      <c r="B679" s="611"/>
      <c r="C679" s="611"/>
      <c r="D679" s="611"/>
      <c r="E679" s="619" t="s">
        <v>290</v>
      </c>
      <c r="F679" s="619"/>
      <c r="G679" s="753"/>
      <c r="H679" s="755" t="s">
        <v>46</v>
      </c>
      <c r="I679" s="269"/>
      <c r="J679" s="269">
        <f>J680+J681</f>
        <v>0</v>
      </c>
      <c r="K679" s="496"/>
      <c r="L679" s="163"/>
      <c r="M679" s="163"/>
      <c r="N679" s="163"/>
      <c r="O679" s="163"/>
      <c r="P679" s="163"/>
      <c r="Q679" s="571"/>
      <c r="R679" s="571"/>
      <c r="S679" s="571"/>
      <c r="T679" s="571"/>
      <c r="U679" s="571"/>
      <c r="V679" s="571"/>
      <c r="W679" s="571"/>
      <c r="X679" s="571"/>
      <c r="Y679" s="571"/>
      <c r="Z679" s="571"/>
    </row>
    <row r="680" spans="1:26" ht="18.75">
      <c r="A680" s="601"/>
      <c r="B680" s="611"/>
      <c r="C680" s="611"/>
      <c r="D680" s="611"/>
      <c r="E680" s="619"/>
      <c r="F680" s="619" t="s">
        <v>287</v>
      </c>
      <c r="G680" s="753"/>
      <c r="H680" s="755" t="s">
        <v>46</v>
      </c>
      <c r="I680" s="269"/>
      <c r="J680" s="214">
        <v>0</v>
      </c>
      <c r="K680" s="496"/>
      <c r="L680" s="163"/>
      <c r="M680" s="163"/>
      <c r="N680" s="163"/>
      <c r="O680" s="163"/>
      <c r="P680" s="163"/>
      <c r="Q680" s="571"/>
      <c r="R680" s="571"/>
      <c r="S680" s="571"/>
      <c r="T680" s="571"/>
      <c r="U680" s="571"/>
      <c r="V680" s="571"/>
      <c r="W680" s="571"/>
      <c r="X680" s="571"/>
      <c r="Y680" s="571"/>
      <c r="Z680" s="571"/>
    </row>
    <row r="681" spans="1:26" ht="18.75">
      <c r="A681" s="601"/>
      <c r="B681" s="611"/>
      <c r="C681" s="611"/>
      <c r="D681" s="611"/>
      <c r="E681" s="619"/>
      <c r="F681" s="619" t="s">
        <v>288</v>
      </c>
      <c r="G681" s="753"/>
      <c r="H681" s="755" t="s">
        <v>46</v>
      </c>
      <c r="I681" s="269"/>
      <c r="J681" s="214">
        <v>0</v>
      </c>
      <c r="K681" s="496"/>
      <c r="L681" s="163"/>
      <c r="M681" s="163"/>
      <c r="N681" s="163"/>
      <c r="O681" s="163"/>
      <c r="P681" s="163"/>
      <c r="Q681" s="571"/>
      <c r="R681" s="571"/>
      <c r="S681" s="571"/>
      <c r="T681" s="571"/>
      <c r="U681" s="571"/>
      <c r="V681" s="571"/>
      <c r="W681" s="571"/>
      <c r="X681" s="571"/>
      <c r="Y681" s="571"/>
      <c r="Z681" s="571"/>
    </row>
    <row r="682" spans="1:26" ht="18.75">
      <c r="A682" s="601"/>
      <c r="B682" s="611"/>
      <c r="C682" s="611"/>
      <c r="D682" s="611"/>
      <c r="E682" s="619" t="s">
        <v>291</v>
      </c>
      <c r="F682" s="619"/>
      <c r="G682" s="753"/>
      <c r="H682" s="755" t="s">
        <v>46</v>
      </c>
      <c r="I682" s="269"/>
      <c r="J682" s="214">
        <v>0</v>
      </c>
      <c r="K682" s="496"/>
      <c r="L682" s="163"/>
      <c r="M682" s="163"/>
      <c r="N682" s="163"/>
      <c r="O682" s="163"/>
      <c r="P682" s="163"/>
      <c r="Q682" s="571"/>
      <c r="R682" s="571"/>
      <c r="S682" s="571"/>
      <c r="T682" s="571"/>
      <c r="U682" s="571"/>
      <c r="V682" s="571"/>
      <c r="W682" s="571"/>
      <c r="X682" s="571"/>
      <c r="Y682" s="571"/>
      <c r="Z682" s="571"/>
    </row>
    <row r="683" spans="1:26" ht="18.75">
      <c r="A683" s="601"/>
      <c r="B683" s="611"/>
      <c r="C683" s="611"/>
      <c r="D683" s="611"/>
      <c r="E683" s="619"/>
      <c r="F683" s="619" t="s">
        <v>292</v>
      </c>
      <c r="G683" s="753"/>
      <c r="H683" s="755" t="s">
        <v>46</v>
      </c>
      <c r="I683" s="269"/>
      <c r="J683" s="214">
        <v>0</v>
      </c>
      <c r="K683" s="496"/>
      <c r="L683" s="163"/>
      <c r="M683" s="163"/>
      <c r="N683" s="163"/>
      <c r="O683" s="163"/>
      <c r="P683" s="163"/>
      <c r="Q683" s="571"/>
      <c r="R683" s="571"/>
      <c r="S683" s="571"/>
      <c r="T683" s="571"/>
      <c r="U683" s="571"/>
      <c r="V683" s="571"/>
      <c r="W683" s="571"/>
      <c r="X683" s="571"/>
      <c r="Y683" s="571"/>
      <c r="Z683" s="571"/>
    </row>
    <row r="684" spans="1:26" ht="19.5">
      <c r="A684" s="744"/>
      <c r="B684" s="745" t="s">
        <v>293</v>
      </c>
      <c r="C684" s="744"/>
      <c r="D684" s="744"/>
      <c r="E684" s="744"/>
      <c r="F684" s="744"/>
      <c r="G684" s="746"/>
      <c r="H684" s="746"/>
      <c r="I684" s="747"/>
      <c r="J684" s="747"/>
      <c r="K684" s="748"/>
      <c r="L684" s="748"/>
      <c r="M684" s="748"/>
      <c r="N684" s="748"/>
      <c r="O684" s="748"/>
      <c r="P684" s="748"/>
      <c r="Q684" s="571"/>
      <c r="R684" s="571"/>
      <c r="S684" s="571"/>
      <c r="T684" s="571"/>
      <c r="U684" s="571"/>
      <c r="V684" s="571"/>
      <c r="W684" s="571"/>
      <c r="X684" s="571"/>
      <c r="Y684" s="571"/>
      <c r="Z684" s="571"/>
    </row>
    <row r="685" spans="1:26" ht="19.5">
      <c r="A685" s="590"/>
      <c r="B685" s="754"/>
      <c r="C685" s="754" t="s">
        <v>16</v>
      </c>
      <c r="D685" s="863" t="s">
        <v>17</v>
      </c>
      <c r="E685" s="857"/>
      <c r="F685" s="857"/>
      <c r="G685" s="189"/>
      <c r="H685" s="591" t="s">
        <v>12</v>
      </c>
      <c r="I685" s="269"/>
      <c r="J685" s="269"/>
      <c r="K685" s="496"/>
      <c r="L685" s="195">
        <f t="shared" ref="L685:N685" ca="1" si="281">L686+L687</f>
        <v>9260</v>
      </c>
      <c r="M685" s="195">
        <f t="shared" si="281"/>
        <v>0</v>
      </c>
      <c r="N685" s="195">
        <f t="shared" si="281"/>
        <v>0</v>
      </c>
      <c r="O685" s="195">
        <f t="shared" ref="O685:O688" ca="1" si="282">IF(L685&gt;0,N685*100/L685,0)</f>
        <v>0</v>
      </c>
      <c r="P685" s="195">
        <f t="shared" ref="P685:P688" si="283">IF(M685&gt;0,N685*100/M685,0)</f>
        <v>0</v>
      </c>
      <c r="Q685" s="571"/>
      <c r="R685" s="571"/>
      <c r="S685" s="571"/>
      <c r="T685" s="571"/>
      <c r="U685" s="571"/>
      <c r="V685" s="571"/>
      <c r="W685" s="571"/>
      <c r="X685" s="571"/>
      <c r="Y685" s="571"/>
      <c r="Z685" s="571"/>
    </row>
    <row r="686" spans="1:26" ht="18.75" hidden="1">
      <c r="A686" s="592"/>
      <c r="B686" s="750"/>
      <c r="C686" s="750"/>
      <c r="D686" s="711"/>
      <c r="E686" s="750" t="s">
        <v>184</v>
      </c>
      <c r="F686" s="750"/>
      <c r="G686" s="596"/>
      <c r="H686" s="165" t="s">
        <v>12</v>
      </c>
      <c r="I686" s="610"/>
      <c r="J686" s="610"/>
      <c r="K686" s="93"/>
      <c r="L686" s="93">
        <f t="shared" ref="L686:N687" si="284">L689+L696</f>
        <v>0</v>
      </c>
      <c r="M686" s="93">
        <f t="shared" si="284"/>
        <v>0</v>
      </c>
      <c r="N686" s="93">
        <f t="shared" si="284"/>
        <v>0</v>
      </c>
      <c r="O686" s="93">
        <f t="shared" si="282"/>
        <v>0</v>
      </c>
      <c r="P686" s="93">
        <f t="shared" si="283"/>
        <v>0</v>
      </c>
      <c r="Q686" s="597"/>
      <c r="R686" s="597"/>
      <c r="S686" s="597"/>
      <c r="T686" s="597"/>
      <c r="U686" s="597"/>
      <c r="V686" s="597"/>
      <c r="W686" s="597"/>
      <c r="X686" s="597"/>
      <c r="Y686" s="597"/>
      <c r="Z686" s="597"/>
    </row>
    <row r="687" spans="1:26" ht="18.75" hidden="1">
      <c r="A687" s="592"/>
      <c r="B687" s="600"/>
      <c r="C687" s="750"/>
      <c r="D687" s="711"/>
      <c r="E687" s="750" t="s">
        <v>185</v>
      </c>
      <c r="F687" s="750"/>
      <c r="G687" s="596"/>
      <c r="H687" s="165" t="s">
        <v>12</v>
      </c>
      <c r="I687" s="610"/>
      <c r="J687" s="610"/>
      <c r="K687" s="93"/>
      <c r="L687" s="93">
        <f t="shared" ca="1" si="284"/>
        <v>9260</v>
      </c>
      <c r="M687" s="93">
        <f t="shared" si="284"/>
        <v>0</v>
      </c>
      <c r="N687" s="93">
        <f t="shared" si="284"/>
        <v>0</v>
      </c>
      <c r="O687" s="93">
        <f t="shared" ca="1" si="282"/>
        <v>0</v>
      </c>
      <c r="P687" s="93">
        <f t="shared" si="283"/>
        <v>0</v>
      </c>
      <c r="Q687" s="597"/>
      <c r="R687" s="597"/>
      <c r="S687" s="597"/>
      <c r="T687" s="597"/>
      <c r="U687" s="597"/>
      <c r="V687" s="597"/>
      <c r="W687" s="597"/>
      <c r="X687" s="597"/>
      <c r="Y687" s="597"/>
      <c r="Z687" s="597"/>
    </row>
    <row r="688" spans="1:26" ht="18.75">
      <c r="A688" s="590"/>
      <c r="B688" s="568"/>
      <c r="C688" s="754"/>
      <c r="D688" s="599" t="s">
        <v>20</v>
      </c>
      <c r="E688" s="754"/>
      <c r="F688" s="754"/>
      <c r="G688" s="189"/>
      <c r="H688" s="161" t="s">
        <v>12</v>
      </c>
      <c r="I688" s="184"/>
      <c r="J688" s="184"/>
      <c r="K688" s="163"/>
      <c r="L688" s="496">
        <f t="shared" ref="L688:N688" ca="1" si="285">L689+L690</f>
        <v>9260</v>
      </c>
      <c r="M688" s="496">
        <f t="shared" si="285"/>
        <v>0</v>
      </c>
      <c r="N688" s="496">
        <f t="shared" si="285"/>
        <v>0</v>
      </c>
      <c r="O688" s="496">
        <f t="shared" ca="1" si="282"/>
        <v>0</v>
      </c>
      <c r="P688" s="496">
        <f t="shared" si="283"/>
        <v>0</v>
      </c>
      <c r="Q688" s="571"/>
      <c r="R688" s="571"/>
      <c r="S688" s="571"/>
      <c r="T688" s="571"/>
      <c r="U688" s="571"/>
      <c r="V688" s="571"/>
      <c r="W688" s="571"/>
      <c r="X688" s="571"/>
      <c r="Y688" s="571"/>
      <c r="Z688" s="571"/>
    </row>
    <row r="689" spans="1:26" ht="18.75" hidden="1">
      <c r="A689" s="592"/>
      <c r="B689" s="600"/>
      <c r="C689" s="750"/>
      <c r="D689" s="711"/>
      <c r="E689" s="750" t="s">
        <v>184</v>
      </c>
      <c r="F689" s="750"/>
      <c r="G689" s="596"/>
      <c r="H689" s="165" t="s">
        <v>12</v>
      </c>
      <c r="I689" s="610"/>
      <c r="J689" s="610"/>
      <c r="K689" s="93"/>
      <c r="L689" s="93">
        <v>0</v>
      </c>
      <c r="M689" s="93">
        <v>0</v>
      </c>
      <c r="N689" s="93">
        <v>0</v>
      </c>
      <c r="O689" s="93"/>
      <c r="P689" s="93"/>
      <c r="Q689" s="597"/>
      <c r="R689" s="597"/>
      <c r="S689" s="597"/>
      <c r="T689" s="597"/>
      <c r="U689" s="597"/>
      <c r="V689" s="597"/>
      <c r="W689" s="597"/>
      <c r="X689" s="597"/>
      <c r="Y689" s="597"/>
      <c r="Z689" s="597"/>
    </row>
    <row r="690" spans="1:26" ht="18.75" hidden="1">
      <c r="A690" s="592"/>
      <c r="B690" s="600"/>
      <c r="C690" s="750"/>
      <c r="D690" s="711"/>
      <c r="E690" s="750" t="s">
        <v>185</v>
      </c>
      <c r="F690" s="750"/>
      <c r="G690" s="596"/>
      <c r="H690" s="165" t="s">
        <v>12</v>
      </c>
      <c r="I690" s="610"/>
      <c r="J690" s="610"/>
      <c r="K690" s="93"/>
      <c r="L690" s="93">
        <f ca="1">IFERROR(__xludf.DUMMYFUNCTION("IMPORTRANGE(""https://docs.google.com/spreadsheets/d/1QqKyyYR6Q21VydFLVH3TRQUabQu_ym0Zz7PgGX0-kHA/edit?usp=sharing"",""แผน!HW70"")"),9260)</f>
        <v>9260</v>
      </c>
      <c r="M690" s="93">
        <v>0</v>
      </c>
      <c r="N690" s="93">
        <f>N691+N692+N693+N694</f>
        <v>0</v>
      </c>
      <c r="O690" s="93">
        <f ca="1">IF(L690&gt;0,N690*100/L690,0)</f>
        <v>0</v>
      </c>
      <c r="P690" s="93">
        <f>IF(M690&gt;0,N690*100/M690,0)</f>
        <v>0</v>
      </c>
      <c r="Q690" s="597"/>
      <c r="R690" s="597"/>
      <c r="S690" s="597"/>
      <c r="T690" s="597"/>
      <c r="U690" s="597"/>
      <c r="V690" s="597"/>
      <c r="W690" s="597"/>
      <c r="X690" s="597"/>
      <c r="Y690" s="597"/>
      <c r="Z690" s="597"/>
    </row>
    <row r="691" spans="1:26" ht="18.75">
      <c r="A691" s="567"/>
      <c r="B691" s="568"/>
      <c r="C691" s="754"/>
      <c r="D691" s="754"/>
      <c r="E691" s="754"/>
      <c r="F691" s="754" t="s">
        <v>186</v>
      </c>
      <c r="G691" s="189"/>
      <c r="H691" s="161" t="s">
        <v>12</v>
      </c>
      <c r="I691" s="269"/>
      <c r="J691" s="269"/>
      <c r="K691" s="496"/>
      <c r="L691" s="496"/>
      <c r="M691" s="496"/>
      <c r="N691" s="817">
        <v>0</v>
      </c>
      <c r="O691" s="496"/>
      <c r="P691" s="496"/>
      <c r="Q691" s="571"/>
      <c r="R691" s="571"/>
      <c r="S691" s="571"/>
      <c r="T691" s="571"/>
      <c r="U691" s="571"/>
      <c r="V691" s="571"/>
      <c r="W691" s="571"/>
      <c r="X691" s="571"/>
      <c r="Y691" s="571"/>
      <c r="Z691" s="571"/>
    </row>
    <row r="692" spans="1:26" ht="18.75">
      <c r="A692" s="567"/>
      <c r="B692" s="568"/>
      <c r="C692" s="754"/>
      <c r="D692" s="754"/>
      <c r="E692" s="754"/>
      <c r="F692" s="754" t="s">
        <v>187</v>
      </c>
      <c r="G692" s="189"/>
      <c r="H692" s="161" t="s">
        <v>12</v>
      </c>
      <c r="I692" s="269"/>
      <c r="J692" s="269"/>
      <c r="K692" s="496"/>
      <c r="L692" s="496"/>
      <c r="M692" s="496"/>
      <c r="N692" s="817">
        <v>0</v>
      </c>
      <c r="O692" s="496"/>
      <c r="P692" s="496"/>
      <c r="Q692" s="571"/>
      <c r="R692" s="571"/>
      <c r="S692" s="571"/>
      <c r="T692" s="571"/>
      <c r="U692" s="571"/>
      <c r="V692" s="571"/>
      <c r="W692" s="571"/>
      <c r="X692" s="571"/>
      <c r="Y692" s="571"/>
      <c r="Z692" s="571"/>
    </row>
    <row r="693" spans="1:26" ht="18.75">
      <c r="A693" s="567"/>
      <c r="B693" s="568"/>
      <c r="C693" s="754"/>
      <c r="D693" s="754"/>
      <c r="E693" s="754"/>
      <c r="F693" s="754" t="s">
        <v>188</v>
      </c>
      <c r="G693" s="189"/>
      <c r="H693" s="161" t="s">
        <v>12</v>
      </c>
      <c r="I693" s="269"/>
      <c r="J693" s="269"/>
      <c r="K693" s="496"/>
      <c r="L693" s="496"/>
      <c r="M693" s="496"/>
      <c r="N693" s="817">
        <v>0</v>
      </c>
      <c r="O693" s="496"/>
      <c r="P693" s="496"/>
      <c r="Q693" s="571"/>
      <c r="R693" s="571"/>
      <c r="S693" s="571"/>
      <c r="T693" s="571"/>
      <c r="U693" s="571"/>
      <c r="V693" s="571"/>
      <c r="W693" s="571"/>
      <c r="X693" s="571"/>
      <c r="Y693" s="571"/>
      <c r="Z693" s="571"/>
    </row>
    <row r="694" spans="1:26" ht="18.75">
      <c r="A694" s="567"/>
      <c r="B694" s="568"/>
      <c r="C694" s="754"/>
      <c r="D694" s="754"/>
      <c r="E694" s="754"/>
      <c r="F694" s="754" t="s">
        <v>189</v>
      </c>
      <c r="G694" s="189"/>
      <c r="H694" s="161" t="s">
        <v>12</v>
      </c>
      <c r="I694" s="269"/>
      <c r="J694" s="269"/>
      <c r="K694" s="496"/>
      <c r="L694" s="496"/>
      <c r="M694" s="496"/>
      <c r="N694" s="817">
        <v>0</v>
      </c>
      <c r="O694" s="496"/>
      <c r="P694" s="496"/>
      <c r="Q694" s="571"/>
      <c r="R694" s="571"/>
      <c r="S694" s="571"/>
      <c r="T694" s="571"/>
      <c r="U694" s="571"/>
      <c r="V694" s="571"/>
      <c r="W694" s="571"/>
      <c r="X694" s="571"/>
      <c r="Y694" s="571"/>
      <c r="Z694" s="571"/>
    </row>
    <row r="695" spans="1:26" ht="18.75">
      <c r="A695" s="590"/>
      <c r="B695" s="568"/>
      <c r="C695" s="754"/>
      <c r="D695" s="599" t="s">
        <v>21</v>
      </c>
      <c r="E695" s="754"/>
      <c r="F695" s="754"/>
      <c r="G695" s="189"/>
      <c r="H695" s="168" t="s">
        <v>12</v>
      </c>
      <c r="I695" s="184"/>
      <c r="J695" s="184"/>
      <c r="K695" s="163"/>
      <c r="L695" s="496">
        <f t="shared" ref="L695:N695" si="286">L696+L697</f>
        <v>0</v>
      </c>
      <c r="M695" s="496">
        <f t="shared" si="286"/>
        <v>0</v>
      </c>
      <c r="N695" s="496">
        <f t="shared" si="286"/>
        <v>0</v>
      </c>
      <c r="O695" s="496">
        <f t="shared" ref="O695:O697" si="287">IF(L695&gt;0,N695*100/L695,0)</f>
        <v>0</v>
      </c>
      <c r="P695" s="496">
        <f t="shared" ref="P695:P697" si="288">IF(M695&gt;0,N695*100/M695,0)</f>
        <v>0</v>
      </c>
      <c r="Q695" s="571"/>
      <c r="R695" s="571"/>
      <c r="S695" s="571"/>
      <c r="T695" s="571"/>
      <c r="U695" s="571"/>
      <c r="V695" s="571"/>
      <c r="W695" s="571"/>
      <c r="X695" s="571"/>
      <c r="Y695" s="571"/>
      <c r="Z695" s="571"/>
    </row>
    <row r="696" spans="1:26" ht="18.75" hidden="1">
      <c r="A696" s="592"/>
      <c r="B696" s="600"/>
      <c r="C696" s="750"/>
      <c r="D696" s="750"/>
      <c r="E696" s="750" t="s">
        <v>18</v>
      </c>
      <c r="F696" s="750"/>
      <c r="G696" s="596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7"/>
        <v>0</v>
      </c>
      <c r="P696" s="93">
        <f t="shared" si="288"/>
        <v>0</v>
      </c>
      <c r="Q696" s="597"/>
      <c r="R696" s="597"/>
      <c r="S696" s="597"/>
      <c r="T696" s="597"/>
      <c r="U696" s="597"/>
      <c r="V696" s="597"/>
      <c r="W696" s="597"/>
      <c r="X696" s="597"/>
      <c r="Y696" s="597"/>
      <c r="Z696" s="597"/>
    </row>
    <row r="697" spans="1:26" ht="18.75" hidden="1">
      <c r="A697" s="592"/>
      <c r="B697" s="600"/>
      <c r="C697" s="750"/>
      <c r="D697" s="750"/>
      <c r="E697" s="750" t="s">
        <v>19</v>
      </c>
      <c r="F697" s="750"/>
      <c r="G697" s="596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7"/>
        <v>0</v>
      </c>
      <c r="P697" s="93">
        <f t="shared" si="288"/>
        <v>0</v>
      </c>
      <c r="Q697" s="597"/>
      <c r="R697" s="597"/>
      <c r="S697" s="597"/>
      <c r="T697" s="597"/>
      <c r="U697" s="597"/>
      <c r="V697" s="597"/>
      <c r="W697" s="597"/>
      <c r="X697" s="597"/>
      <c r="Y697" s="597"/>
      <c r="Z697" s="597"/>
    </row>
    <row r="698" spans="1:26" ht="19.5">
      <c r="A698" s="601"/>
      <c r="B698" s="611"/>
      <c r="C698" s="754" t="s">
        <v>16</v>
      </c>
      <c r="D698" s="840" t="s">
        <v>38</v>
      </c>
      <c r="E698" s="752"/>
      <c r="F698" s="752"/>
      <c r="G698" s="606"/>
      <c r="H698" s="753"/>
      <c r="I698" s="184"/>
      <c r="J698" s="184"/>
      <c r="K698" s="163"/>
      <c r="L698" s="163"/>
      <c r="M698" s="163"/>
      <c r="N698" s="163"/>
      <c r="O698" s="163"/>
      <c r="P698" s="163"/>
      <c r="Q698" s="571"/>
      <c r="R698" s="571"/>
      <c r="S698" s="571"/>
      <c r="T698" s="571"/>
      <c r="U698" s="571"/>
      <c r="V698" s="571"/>
      <c r="W698" s="571"/>
      <c r="X698" s="571"/>
      <c r="Y698" s="571"/>
      <c r="Z698" s="571"/>
    </row>
    <row r="699" spans="1:26" ht="18.75">
      <c r="A699" s="735"/>
      <c r="B699" s="754"/>
      <c r="C699" s="754"/>
      <c r="D699" s="754" t="s">
        <v>294</v>
      </c>
      <c r="E699" s="754"/>
      <c r="F699" s="754"/>
      <c r="G699" s="189"/>
      <c r="H699" s="755" t="s">
        <v>46</v>
      </c>
      <c r="I699" s="756">
        <f ca="1">IFERROR(__xludf.DUMMYFUNCTION("IMPORTRANGE(""https://docs.google.com/spreadsheets/d/1QqKyyYR6Q21VydFLVH3TRQUabQu_ym0Zz7PgGX0-kHA/edit?usp=sharing"",""แผน!IC70"")"),0)</f>
        <v>0</v>
      </c>
      <c r="J699" s="269">
        <f ca="1">IFERROR(__xludf.DUMMYFUNCTION("IMPORTRANGE(""https://docs.google.com/spreadsheets/d/1XWAQStnk-4SwqDmLtmXYiTMKHgktTP8We1SCoS47DrQ/edit?usp=sharing"",""จัดที่ดิน!BB70"")"),0)</f>
        <v>0</v>
      </c>
      <c r="K699" s="496">
        <f t="shared" ref="K699:K701" ca="1" si="289">IF(I699&gt;0,J699*100/I699,0)</f>
        <v>0</v>
      </c>
      <c r="L699" s="496"/>
      <c r="M699" s="189"/>
      <c r="N699" s="757"/>
      <c r="O699" s="496"/>
      <c r="P699" s="496"/>
      <c r="Q699" s="571"/>
      <c r="R699" s="571"/>
      <c r="S699" s="571"/>
      <c r="T699" s="571"/>
      <c r="U699" s="571"/>
      <c r="V699" s="571"/>
      <c r="W699" s="571"/>
      <c r="X699" s="571"/>
      <c r="Y699" s="571"/>
      <c r="Z699" s="571"/>
    </row>
    <row r="700" spans="1:26" ht="18.75">
      <c r="A700" s="735"/>
      <c r="B700" s="754"/>
      <c r="C700" s="754"/>
      <c r="D700" s="754" t="s">
        <v>295</v>
      </c>
      <c r="E700" s="754"/>
      <c r="F700" s="754"/>
      <c r="G700" s="189"/>
      <c r="H700" s="755" t="s">
        <v>35</v>
      </c>
      <c r="I700" s="756">
        <f ca="1">IFERROR(__xludf.DUMMYFUNCTION("IMPORTRANGE(""https://docs.google.com/spreadsheets/d/1QqKyyYR6Q21VydFLVH3TRQUabQu_ym0Zz7PgGX0-kHA/edit?usp=sharing"",""แผน!ID70"")"),0)</f>
        <v>0</v>
      </c>
      <c r="J700" s="269">
        <f ca="1">IFERROR(__xludf.DUMMYFUNCTION("IMPORTRANGE(""https://docs.google.com/spreadsheets/d/1XWAQStnk-4SwqDmLtmXYiTMKHgktTP8We1SCoS47DrQ/edit?usp=sharing"",""จัดที่ดิน!BD70"")"),0)</f>
        <v>0</v>
      </c>
      <c r="K700" s="496">
        <f t="shared" ca="1" si="289"/>
        <v>0</v>
      </c>
      <c r="L700" s="496"/>
      <c r="M700" s="189"/>
      <c r="N700" s="757"/>
      <c r="O700" s="496"/>
      <c r="P700" s="496"/>
      <c r="Q700" s="571"/>
      <c r="R700" s="571"/>
      <c r="S700" s="571"/>
      <c r="T700" s="571"/>
      <c r="U700" s="571"/>
      <c r="V700" s="571"/>
      <c r="W700" s="571"/>
      <c r="X700" s="571"/>
      <c r="Y700" s="571"/>
      <c r="Z700" s="571"/>
    </row>
    <row r="701" spans="1:26" ht="19.5">
      <c r="A701" s="735"/>
      <c r="B701" s="754"/>
      <c r="C701" s="754"/>
      <c r="D701" s="754" t="s">
        <v>296</v>
      </c>
      <c r="E701" s="754"/>
      <c r="F701" s="754"/>
      <c r="G701" s="189"/>
      <c r="H701" s="758" t="s">
        <v>46</v>
      </c>
      <c r="I701" s="759">
        <f ca="1">IFERROR(__xludf.DUMMYFUNCTION("IMPORTRANGE(""https://docs.google.com/spreadsheets/d/1QqKyyYR6Q21VydFLVH3TRQUabQu_ym0Zz7PgGX0-kHA/edit?usp=sharing"",""แผน!IE70"")"),23)</f>
        <v>23</v>
      </c>
      <c r="J701" s="674">
        <f>J704+J707</f>
        <v>0</v>
      </c>
      <c r="K701" s="195">
        <f t="shared" ca="1" si="289"/>
        <v>0</v>
      </c>
      <c r="L701" s="496"/>
      <c r="M701" s="189"/>
      <c r="N701" s="757"/>
      <c r="O701" s="496"/>
      <c r="P701" s="496"/>
      <c r="Q701" s="571"/>
      <c r="R701" s="571"/>
      <c r="S701" s="571"/>
      <c r="T701" s="571"/>
      <c r="U701" s="571"/>
      <c r="V701" s="571"/>
      <c r="W701" s="571"/>
      <c r="X701" s="571"/>
      <c r="Y701" s="571"/>
      <c r="Z701" s="571"/>
    </row>
    <row r="702" spans="1:26" ht="18.75">
      <c r="A702" s="735"/>
      <c r="B702" s="754"/>
      <c r="C702" s="754"/>
      <c r="D702" s="754"/>
      <c r="E702" s="754" t="s">
        <v>297</v>
      </c>
      <c r="F702" s="754"/>
      <c r="G702" s="189"/>
      <c r="H702" s="755" t="s">
        <v>35</v>
      </c>
      <c r="I702" s="756"/>
      <c r="J702" s="214">
        <v>0</v>
      </c>
      <c r="K702" s="496"/>
      <c r="L702" s="496"/>
      <c r="M702" s="189"/>
      <c r="N702" s="757"/>
      <c r="O702" s="496"/>
      <c r="P702" s="496"/>
      <c r="Q702" s="571"/>
      <c r="R702" s="571"/>
      <c r="S702" s="571"/>
      <c r="T702" s="571"/>
      <c r="U702" s="571"/>
      <c r="V702" s="571"/>
      <c r="W702" s="571"/>
      <c r="X702" s="571"/>
      <c r="Y702" s="571"/>
      <c r="Z702" s="571"/>
    </row>
    <row r="703" spans="1:26" ht="18.75">
      <c r="A703" s="735"/>
      <c r="B703" s="754"/>
      <c r="C703" s="754"/>
      <c r="D703" s="754"/>
      <c r="E703" s="754"/>
      <c r="F703" s="754"/>
      <c r="G703" s="189"/>
      <c r="H703" s="755" t="s">
        <v>34</v>
      </c>
      <c r="I703" s="756"/>
      <c r="J703" s="214">
        <v>0</v>
      </c>
      <c r="K703" s="496"/>
      <c r="L703" s="496"/>
      <c r="M703" s="189"/>
      <c r="N703" s="757"/>
      <c r="O703" s="496"/>
      <c r="P703" s="496"/>
      <c r="Q703" s="571"/>
      <c r="R703" s="571"/>
      <c r="S703" s="571"/>
      <c r="T703" s="571"/>
      <c r="U703" s="571"/>
      <c r="V703" s="571"/>
      <c r="W703" s="571"/>
      <c r="X703" s="571"/>
      <c r="Y703" s="571"/>
      <c r="Z703" s="571"/>
    </row>
    <row r="704" spans="1:26" ht="18.75">
      <c r="A704" s="735"/>
      <c r="B704" s="754"/>
      <c r="C704" s="754"/>
      <c r="D704" s="754"/>
      <c r="E704" s="754"/>
      <c r="F704" s="754"/>
      <c r="G704" s="189"/>
      <c r="H704" s="755" t="s">
        <v>46</v>
      </c>
      <c r="I704" s="756">
        <f ca="1">IFERROR(__xludf.DUMMYFUNCTION("IMPORTRANGE(""https://docs.google.com/spreadsheets/d/1QqKyyYR6Q21VydFLVH3TRQUabQu_ym0Zz7PgGX0-kHA/edit?usp=sharing"",""แผน!IF70"")"),23)</f>
        <v>23</v>
      </c>
      <c r="J704" s="214">
        <v>0</v>
      </c>
      <c r="K704" s="496"/>
      <c r="L704" s="496"/>
      <c r="M704" s="189"/>
      <c r="N704" s="757"/>
      <c r="O704" s="496"/>
      <c r="P704" s="496"/>
      <c r="Q704" s="571"/>
      <c r="R704" s="571"/>
      <c r="S704" s="571"/>
      <c r="T704" s="571"/>
      <c r="U704" s="571"/>
      <c r="V704" s="571"/>
      <c r="W704" s="571"/>
      <c r="X704" s="571"/>
      <c r="Y704" s="571"/>
      <c r="Z704" s="571"/>
    </row>
    <row r="705" spans="1:26" ht="18.75">
      <c r="A705" s="735"/>
      <c r="B705" s="754"/>
      <c r="C705" s="754"/>
      <c r="D705" s="754"/>
      <c r="E705" s="754" t="s">
        <v>298</v>
      </c>
      <c r="F705" s="754"/>
      <c r="G705" s="189"/>
      <c r="H705" s="755" t="s">
        <v>35</v>
      </c>
      <c r="I705" s="756"/>
      <c r="J705" s="214">
        <v>0</v>
      </c>
      <c r="K705" s="496"/>
      <c r="L705" s="496"/>
      <c r="M705" s="189"/>
      <c r="N705" s="757"/>
      <c r="O705" s="496"/>
      <c r="P705" s="496"/>
      <c r="Q705" s="571"/>
      <c r="R705" s="571"/>
      <c r="S705" s="571"/>
      <c r="T705" s="571"/>
      <c r="U705" s="571"/>
      <c r="V705" s="571"/>
      <c r="W705" s="571"/>
      <c r="X705" s="571"/>
      <c r="Y705" s="571"/>
      <c r="Z705" s="571"/>
    </row>
    <row r="706" spans="1:26" ht="18.75">
      <c r="A706" s="735"/>
      <c r="B706" s="754"/>
      <c r="C706" s="754"/>
      <c r="D706" s="754"/>
      <c r="E706" s="754"/>
      <c r="F706" s="754"/>
      <c r="G706" s="189"/>
      <c r="H706" s="755" t="s">
        <v>34</v>
      </c>
      <c r="I706" s="756"/>
      <c r="J706" s="214">
        <v>0</v>
      </c>
      <c r="K706" s="496"/>
      <c r="L706" s="496"/>
      <c r="M706" s="189"/>
      <c r="N706" s="757"/>
      <c r="O706" s="496"/>
      <c r="P706" s="496"/>
      <c r="Q706" s="571"/>
      <c r="R706" s="571"/>
      <c r="S706" s="571"/>
      <c r="T706" s="571"/>
      <c r="U706" s="571"/>
      <c r="V706" s="571"/>
      <c r="W706" s="571"/>
      <c r="X706" s="571"/>
      <c r="Y706" s="571"/>
      <c r="Z706" s="571"/>
    </row>
    <row r="707" spans="1:26" ht="18.75">
      <c r="A707" s="735"/>
      <c r="B707" s="754"/>
      <c r="C707" s="754"/>
      <c r="D707" s="754"/>
      <c r="E707" s="754"/>
      <c r="F707" s="754"/>
      <c r="G707" s="189"/>
      <c r="H707" s="755" t="s">
        <v>46</v>
      </c>
      <c r="I707" s="756">
        <f ca="1">IFERROR(__xludf.DUMMYFUNCTION("IMPORTRANGE(""https://docs.google.com/spreadsheets/d/1QqKyyYR6Q21VydFLVH3TRQUabQu_ym0Zz7PgGX0-kHA/edit?usp=sharing"",""แผน!IG70"")"),0)</f>
        <v>0</v>
      </c>
      <c r="J707" s="214">
        <v>0</v>
      </c>
      <c r="K707" s="496"/>
      <c r="L707" s="496"/>
      <c r="M707" s="189"/>
      <c r="N707" s="757"/>
      <c r="O707" s="496"/>
      <c r="P707" s="496"/>
      <c r="Q707" s="571"/>
      <c r="R707" s="571"/>
      <c r="S707" s="571"/>
      <c r="T707" s="571"/>
      <c r="U707" s="571"/>
      <c r="V707" s="571"/>
      <c r="W707" s="571"/>
      <c r="X707" s="571"/>
      <c r="Y707" s="571"/>
      <c r="Z707" s="571"/>
    </row>
    <row r="708" spans="1:26" ht="19.5">
      <c r="A708" s="735"/>
      <c r="B708" s="754"/>
      <c r="C708" s="754"/>
      <c r="D708" s="760" t="s">
        <v>299</v>
      </c>
      <c r="E708" s="754"/>
      <c r="F708" s="754"/>
      <c r="G708" s="189"/>
      <c r="H708" s="758" t="s">
        <v>46</v>
      </c>
      <c r="I708" s="759">
        <f ca="1">IFERROR(__xludf.DUMMYFUNCTION("IMPORTRANGE(""https://docs.google.com/spreadsheets/d/1QqKyyYR6Q21VydFLVH3TRQUabQu_ym0Zz7PgGX0-kHA/edit?usp=sharing"",""แผน!IH70"")"),0)</f>
        <v>0</v>
      </c>
      <c r="J708" s="674">
        <f>J714+J717</f>
        <v>0</v>
      </c>
      <c r="K708" s="195">
        <f ca="1">IF(I708&gt;0,J708*100/I708,0)</f>
        <v>0</v>
      </c>
      <c r="L708" s="496"/>
      <c r="M708" s="189"/>
      <c r="N708" s="757"/>
      <c r="O708" s="496"/>
      <c r="P708" s="496"/>
      <c r="Q708" s="571"/>
      <c r="R708" s="571"/>
      <c r="S708" s="571"/>
      <c r="T708" s="571"/>
      <c r="U708" s="571"/>
      <c r="V708" s="571"/>
      <c r="W708" s="571"/>
      <c r="X708" s="571"/>
      <c r="Y708" s="571"/>
      <c r="Z708" s="571"/>
    </row>
    <row r="709" spans="1:26" ht="18.75">
      <c r="A709" s="735"/>
      <c r="B709" s="754"/>
      <c r="C709" s="754"/>
      <c r="D709" s="754"/>
      <c r="E709" s="754" t="s">
        <v>300</v>
      </c>
      <c r="F709" s="754"/>
      <c r="G709" s="189"/>
      <c r="H709" s="755" t="s">
        <v>34</v>
      </c>
      <c r="I709" s="756"/>
      <c r="J709" s="214">
        <v>0</v>
      </c>
      <c r="K709" s="496"/>
      <c r="L709" s="757"/>
      <c r="M709" s="189"/>
      <c r="N709" s="757"/>
      <c r="O709" s="496"/>
      <c r="P709" s="496"/>
      <c r="Q709" s="571"/>
      <c r="R709" s="571"/>
      <c r="S709" s="571"/>
      <c r="T709" s="571"/>
      <c r="U709" s="571"/>
      <c r="V709" s="571"/>
      <c r="W709" s="571"/>
      <c r="X709" s="571"/>
      <c r="Y709" s="571"/>
      <c r="Z709" s="571"/>
    </row>
    <row r="710" spans="1:26" ht="18.75">
      <c r="A710" s="735"/>
      <c r="B710" s="754"/>
      <c r="C710" s="754"/>
      <c r="D710" s="754"/>
      <c r="E710" s="754"/>
      <c r="F710" s="754"/>
      <c r="G710" s="189"/>
      <c r="H710" s="755" t="s">
        <v>46</v>
      </c>
      <c r="I710" s="756"/>
      <c r="J710" s="214">
        <v>0</v>
      </c>
      <c r="K710" s="496"/>
      <c r="L710" s="757"/>
      <c r="M710" s="189"/>
      <c r="N710" s="757"/>
      <c r="O710" s="496"/>
      <c r="P710" s="496"/>
      <c r="Q710" s="571"/>
      <c r="R710" s="571"/>
      <c r="S710" s="571"/>
      <c r="T710" s="571"/>
      <c r="U710" s="571"/>
      <c r="V710" s="571"/>
      <c r="W710" s="571"/>
      <c r="X710" s="571"/>
      <c r="Y710" s="571"/>
      <c r="Z710" s="571"/>
    </row>
    <row r="711" spans="1:26" ht="18.75">
      <c r="A711" s="735"/>
      <c r="B711" s="754"/>
      <c r="C711" s="754"/>
      <c r="D711" s="754"/>
      <c r="E711" s="754" t="s">
        <v>301</v>
      </c>
      <c r="F711" s="754"/>
      <c r="G711" s="189"/>
      <c r="H711" s="753"/>
      <c r="I711" s="756"/>
      <c r="J711" s="269"/>
      <c r="K711" s="496"/>
      <c r="L711" s="757"/>
      <c r="M711" s="189"/>
      <c r="N711" s="757"/>
      <c r="O711" s="496"/>
      <c r="P711" s="496"/>
      <c r="Q711" s="571"/>
      <c r="R711" s="571"/>
      <c r="S711" s="571"/>
      <c r="T711" s="571"/>
      <c r="U711" s="571"/>
      <c r="V711" s="571"/>
      <c r="W711" s="571"/>
      <c r="X711" s="571"/>
      <c r="Y711" s="571"/>
      <c r="Z711" s="571"/>
    </row>
    <row r="712" spans="1:26" ht="18.75">
      <c r="A712" s="735"/>
      <c r="B712" s="754"/>
      <c r="C712" s="754"/>
      <c r="D712" s="754"/>
      <c r="E712" s="754"/>
      <c r="F712" s="754" t="s">
        <v>302</v>
      </c>
      <c r="G712" s="189"/>
      <c r="H712" s="755" t="s">
        <v>35</v>
      </c>
      <c r="I712" s="756"/>
      <c r="J712" s="214">
        <v>0</v>
      </c>
      <c r="K712" s="496"/>
      <c r="L712" s="757"/>
      <c r="M712" s="189"/>
      <c r="N712" s="757"/>
      <c r="O712" s="496"/>
      <c r="P712" s="496"/>
      <c r="Q712" s="571"/>
      <c r="R712" s="571"/>
      <c r="S712" s="571"/>
      <c r="T712" s="571"/>
      <c r="U712" s="571"/>
      <c r="V712" s="571"/>
      <c r="W712" s="571"/>
      <c r="X712" s="571"/>
      <c r="Y712" s="571"/>
      <c r="Z712" s="571"/>
    </row>
    <row r="713" spans="1:26" ht="18.75">
      <c r="A713" s="735"/>
      <c r="B713" s="754"/>
      <c r="C713" s="754"/>
      <c r="D713" s="754"/>
      <c r="E713" s="754"/>
      <c r="F713" s="754"/>
      <c r="G713" s="189"/>
      <c r="H713" s="755" t="s">
        <v>34</v>
      </c>
      <c r="I713" s="756"/>
      <c r="J713" s="214">
        <v>0</v>
      </c>
      <c r="K713" s="496"/>
      <c r="L713" s="757"/>
      <c r="M713" s="189"/>
      <c r="N713" s="757"/>
      <c r="O713" s="496"/>
      <c r="P713" s="496"/>
      <c r="Q713" s="571"/>
      <c r="R713" s="571"/>
      <c r="S713" s="571"/>
      <c r="T713" s="571"/>
      <c r="U713" s="571"/>
      <c r="V713" s="571"/>
      <c r="W713" s="571"/>
      <c r="X713" s="571"/>
      <c r="Y713" s="571"/>
      <c r="Z713" s="571"/>
    </row>
    <row r="714" spans="1:26" ht="18.75">
      <c r="A714" s="735"/>
      <c r="B714" s="754"/>
      <c r="C714" s="754"/>
      <c r="D714" s="754"/>
      <c r="E714" s="754"/>
      <c r="F714" s="754"/>
      <c r="G714" s="189"/>
      <c r="H714" s="755" t="s">
        <v>46</v>
      </c>
      <c r="I714" s="756"/>
      <c r="J714" s="214">
        <v>0</v>
      </c>
      <c r="K714" s="496"/>
      <c r="L714" s="757"/>
      <c r="M714" s="189"/>
      <c r="N714" s="757"/>
      <c r="O714" s="496"/>
      <c r="P714" s="496"/>
      <c r="Q714" s="571"/>
      <c r="R714" s="571"/>
      <c r="S714" s="571"/>
      <c r="T714" s="571"/>
      <c r="U714" s="571"/>
      <c r="V714" s="571"/>
      <c r="W714" s="571"/>
      <c r="X714" s="571"/>
      <c r="Y714" s="571"/>
      <c r="Z714" s="571"/>
    </row>
    <row r="715" spans="1:26" ht="18.75">
      <c r="A715" s="735"/>
      <c r="B715" s="754"/>
      <c r="C715" s="754"/>
      <c r="D715" s="754"/>
      <c r="E715" s="754"/>
      <c r="F715" s="754" t="s">
        <v>303</v>
      </c>
      <c r="G715" s="189"/>
      <c r="H715" s="755" t="s">
        <v>35</v>
      </c>
      <c r="I715" s="756"/>
      <c r="J715" s="214">
        <v>0</v>
      </c>
      <c r="K715" s="496"/>
      <c r="L715" s="757"/>
      <c r="M715" s="189"/>
      <c r="N715" s="757"/>
      <c r="O715" s="496"/>
      <c r="P715" s="496"/>
      <c r="Q715" s="571"/>
      <c r="R715" s="571"/>
      <c r="S715" s="571"/>
      <c r="T715" s="571"/>
      <c r="U715" s="571"/>
      <c r="V715" s="571"/>
      <c r="W715" s="571"/>
      <c r="X715" s="571"/>
      <c r="Y715" s="571"/>
      <c r="Z715" s="571"/>
    </row>
    <row r="716" spans="1:26" ht="18.75">
      <c r="A716" s="735"/>
      <c r="B716" s="754"/>
      <c r="C716" s="754"/>
      <c r="D716" s="754"/>
      <c r="E716" s="754"/>
      <c r="F716" s="754"/>
      <c r="G716" s="189"/>
      <c r="H716" s="755" t="s">
        <v>34</v>
      </c>
      <c r="I716" s="756"/>
      <c r="J716" s="214">
        <v>0</v>
      </c>
      <c r="K716" s="496"/>
      <c r="L716" s="757"/>
      <c r="M716" s="189"/>
      <c r="N716" s="757"/>
      <c r="O716" s="496"/>
      <c r="P716" s="496"/>
      <c r="Q716" s="571"/>
      <c r="R716" s="571"/>
      <c r="S716" s="571"/>
      <c r="T716" s="571"/>
      <c r="U716" s="571"/>
      <c r="V716" s="571"/>
      <c r="W716" s="571"/>
      <c r="X716" s="571"/>
      <c r="Y716" s="571"/>
      <c r="Z716" s="571"/>
    </row>
    <row r="717" spans="1:26" ht="18.75">
      <c r="A717" s="735"/>
      <c r="B717" s="754"/>
      <c r="C717" s="754"/>
      <c r="D717" s="754"/>
      <c r="E717" s="754"/>
      <c r="F717" s="754"/>
      <c r="G717" s="189"/>
      <c r="H717" s="755" t="s">
        <v>46</v>
      </c>
      <c r="I717" s="756"/>
      <c r="J717" s="214">
        <v>0</v>
      </c>
      <c r="K717" s="496"/>
      <c r="L717" s="757"/>
      <c r="M717" s="189"/>
      <c r="N717" s="757"/>
      <c r="O717" s="496"/>
      <c r="P717" s="496"/>
      <c r="Q717" s="571"/>
      <c r="R717" s="571"/>
      <c r="S717" s="571"/>
      <c r="T717" s="571"/>
      <c r="U717" s="571"/>
      <c r="V717" s="571"/>
      <c r="W717" s="571"/>
      <c r="X717" s="571"/>
      <c r="Y717" s="571"/>
      <c r="Z717" s="571"/>
    </row>
    <row r="718" spans="1:26" ht="18.75">
      <c r="A718" s="735"/>
      <c r="B718" s="754"/>
      <c r="C718" s="754"/>
      <c r="D718" s="754" t="s">
        <v>304</v>
      </c>
      <c r="E718" s="754"/>
      <c r="F718" s="754"/>
      <c r="G718" s="189"/>
      <c r="H718" s="755" t="s">
        <v>35</v>
      </c>
      <c r="I718" s="756"/>
      <c r="J718" s="269">
        <f ca="1">IFERROR(__xludf.DUMMYFUNCTION("IMPORTRANGE(""https://docs.google.com/spreadsheets/d/1XWAQStnk-4SwqDmLtmXYiTMKHgktTP8We1SCoS47DrQ/edit?usp=sharing"",""จัดที่ดิน!BF70"")"),0)</f>
        <v>0</v>
      </c>
      <c r="K718" s="496"/>
      <c r="L718" s="496"/>
      <c r="M718" s="189"/>
      <c r="N718" s="757"/>
      <c r="O718" s="496"/>
      <c r="P718" s="496"/>
      <c r="Q718" s="571"/>
      <c r="R718" s="571"/>
      <c r="S718" s="571"/>
      <c r="T718" s="571"/>
      <c r="U718" s="571"/>
      <c r="V718" s="571"/>
      <c r="W718" s="571"/>
      <c r="X718" s="571"/>
      <c r="Y718" s="571"/>
      <c r="Z718" s="571"/>
    </row>
    <row r="719" spans="1:26" ht="18.75">
      <c r="A719" s="735"/>
      <c r="B719" s="754"/>
      <c r="C719" s="754"/>
      <c r="D719" s="754"/>
      <c r="E719" s="754"/>
      <c r="F719" s="754"/>
      <c r="G719" s="189"/>
      <c r="H719" s="755" t="s">
        <v>34</v>
      </c>
      <c r="I719" s="756"/>
      <c r="J719" s="269">
        <f ca="1">IFERROR(__xludf.DUMMYFUNCTION("IMPORTRANGE(""https://docs.google.com/spreadsheets/d/1XWAQStnk-4SwqDmLtmXYiTMKHgktTP8We1SCoS47DrQ/edit?usp=sharing"",""จัดที่ดิน!BG70"")"),0)</f>
        <v>0</v>
      </c>
      <c r="K719" s="496"/>
      <c r="L719" s="757"/>
      <c r="M719" s="189"/>
      <c r="N719" s="757"/>
      <c r="O719" s="496"/>
      <c r="P719" s="496"/>
      <c r="Q719" s="571"/>
      <c r="R719" s="571"/>
      <c r="S719" s="571"/>
      <c r="T719" s="571"/>
      <c r="U719" s="571"/>
      <c r="V719" s="571"/>
      <c r="W719" s="571"/>
      <c r="X719" s="571"/>
      <c r="Y719" s="571"/>
      <c r="Z719" s="571"/>
    </row>
    <row r="720" spans="1:26" ht="18.75">
      <c r="A720" s="735"/>
      <c r="B720" s="754"/>
      <c r="C720" s="754"/>
      <c r="D720" s="754"/>
      <c r="E720" s="754"/>
      <c r="F720" s="754"/>
      <c r="G720" s="189"/>
      <c r="H720" s="755" t="s">
        <v>46</v>
      </c>
      <c r="I720" s="756">
        <f ca="1">IFERROR(__xludf.DUMMYFUNCTION("IMPORTRANGE(""https://docs.google.com/spreadsheets/d/1QqKyyYR6Q21VydFLVH3TRQUabQu_ym0Zz7PgGX0-kHA/edit?usp=sharing"",""แผน!II70"")"),200)</f>
        <v>200</v>
      </c>
      <c r="J720" s="269">
        <f ca="1">IFERROR(__xludf.DUMMYFUNCTION("IMPORTRANGE(""https://docs.google.com/spreadsheets/d/1XWAQStnk-4SwqDmLtmXYiTMKHgktTP8We1SCoS47DrQ/edit?usp=sharing"",""จัดที่ดิน!BH70"")"),0)</f>
        <v>0</v>
      </c>
      <c r="K720" s="496">
        <f t="shared" ref="K720:K723" ca="1" si="290">IF(I720&gt;0,J720*100/I720,0)</f>
        <v>0</v>
      </c>
      <c r="L720" s="757"/>
      <c r="M720" s="189"/>
      <c r="N720" s="757"/>
      <c r="O720" s="496"/>
      <c r="P720" s="496"/>
      <c r="Q720" s="571"/>
      <c r="R720" s="571"/>
      <c r="S720" s="571"/>
      <c r="T720" s="571"/>
      <c r="U720" s="571"/>
      <c r="V720" s="571"/>
      <c r="W720" s="571"/>
      <c r="X720" s="571"/>
      <c r="Y720" s="571"/>
      <c r="Z720" s="571"/>
    </row>
    <row r="721" spans="1:26" ht="19.5">
      <c r="A721" s="735"/>
      <c r="B721" s="754"/>
      <c r="C721" s="754"/>
      <c r="D721" s="754" t="s">
        <v>305</v>
      </c>
      <c r="E721" s="754"/>
      <c r="F721" s="754"/>
      <c r="G721" s="189"/>
      <c r="H721" s="758" t="s">
        <v>35</v>
      </c>
      <c r="I721" s="759">
        <f ca="1">IFERROR(__xludf.DUMMYFUNCTION("IMPORTRANGE(""https://docs.google.com/spreadsheets/d/1QqKyyYR6Q21VydFLVH3TRQUabQu_ym0Zz7PgGX0-kHA/edit?usp=sharing"",""แผน!IJ70"")"),15)</f>
        <v>15</v>
      </c>
      <c r="J721" s="674">
        <f ca="1">J723+J726</f>
        <v>0</v>
      </c>
      <c r="K721" s="195">
        <f t="shared" ca="1" si="290"/>
        <v>0</v>
      </c>
      <c r="L721" s="757"/>
      <c r="M721" s="189"/>
      <c r="N721" s="757"/>
      <c r="O721" s="496"/>
      <c r="P721" s="496"/>
      <c r="Q721" s="571"/>
      <c r="R721" s="571"/>
      <c r="S721" s="571"/>
      <c r="T721" s="571"/>
      <c r="U721" s="571"/>
      <c r="V721" s="571"/>
      <c r="W721" s="571"/>
      <c r="X721" s="571"/>
      <c r="Y721" s="571"/>
      <c r="Z721" s="571"/>
    </row>
    <row r="722" spans="1:26" ht="19.5">
      <c r="A722" s="735"/>
      <c r="B722" s="754"/>
      <c r="C722" s="754"/>
      <c r="D722" s="754"/>
      <c r="E722" s="754"/>
      <c r="F722" s="754"/>
      <c r="G722" s="189"/>
      <c r="H722" s="758" t="s">
        <v>46</v>
      </c>
      <c r="I722" s="759">
        <f ca="1">IFERROR(__xludf.DUMMYFUNCTION("IMPORTRANGE(""https://docs.google.com/spreadsheets/d/1QqKyyYR6Q21VydFLVH3TRQUabQu_ym0Zz7PgGX0-kHA/edit?usp=sharing"",""แผน!IK70"")"),150)</f>
        <v>150</v>
      </c>
      <c r="J722" s="674">
        <f ca="1">J725+J728</f>
        <v>0</v>
      </c>
      <c r="K722" s="195">
        <f t="shared" ca="1" si="290"/>
        <v>0</v>
      </c>
      <c r="L722" s="496"/>
      <c r="M722" s="189"/>
      <c r="N722" s="757"/>
      <c r="O722" s="496"/>
      <c r="P722" s="496"/>
      <c r="Q722" s="571"/>
      <c r="R722" s="571"/>
      <c r="S722" s="571"/>
      <c r="T722" s="571"/>
      <c r="U722" s="571"/>
      <c r="V722" s="571"/>
      <c r="W722" s="571"/>
      <c r="X722" s="571"/>
      <c r="Y722" s="571"/>
      <c r="Z722" s="571"/>
    </row>
    <row r="723" spans="1:26" ht="18.75">
      <c r="A723" s="735"/>
      <c r="B723" s="754"/>
      <c r="C723" s="754"/>
      <c r="D723" s="754"/>
      <c r="E723" s="754" t="s">
        <v>306</v>
      </c>
      <c r="F723" s="754"/>
      <c r="G723" s="189"/>
      <c r="H723" s="755" t="s">
        <v>35</v>
      </c>
      <c r="I723" s="756">
        <f ca="1">IFERROR(__xludf.DUMMYFUNCTION("IMPORTRANGE(""https://docs.google.com/spreadsheets/d/1QqKyyYR6Q21VydFLVH3TRQUabQu_ym0Zz7PgGX0-kHA/edit?usp=sharing"",""แผน!IL70"")"),15)</f>
        <v>15</v>
      </c>
      <c r="J723" s="269">
        <f ca="1">IFERROR(__xludf.DUMMYFUNCTION("IMPORTRANGE(""https://docs.google.com/spreadsheets/d/1XWAQStnk-4SwqDmLtmXYiTMKHgktTP8We1SCoS47DrQ/edit?usp=sharing"",""จัดที่ดิน!BM70"")"),0)</f>
        <v>0</v>
      </c>
      <c r="K723" s="496">
        <f t="shared" ca="1" si="290"/>
        <v>0</v>
      </c>
      <c r="L723" s="496"/>
      <c r="M723" s="189"/>
      <c r="N723" s="757"/>
      <c r="O723" s="496"/>
      <c r="P723" s="496"/>
      <c r="Q723" s="571"/>
      <c r="R723" s="571"/>
      <c r="S723" s="571"/>
      <c r="T723" s="571"/>
      <c r="U723" s="571"/>
      <c r="V723" s="571"/>
      <c r="W723" s="571"/>
      <c r="X723" s="571"/>
      <c r="Y723" s="571"/>
      <c r="Z723" s="571"/>
    </row>
    <row r="724" spans="1:26" ht="18.75">
      <c r="A724" s="735"/>
      <c r="B724" s="754"/>
      <c r="C724" s="754"/>
      <c r="D724" s="754"/>
      <c r="E724" s="754"/>
      <c r="F724" s="754"/>
      <c r="G724" s="189"/>
      <c r="H724" s="755" t="s">
        <v>34</v>
      </c>
      <c r="I724" s="756"/>
      <c r="J724" s="269">
        <f ca="1">IFERROR(__xludf.DUMMYFUNCTION("IMPORTRANGE(""https://docs.google.com/spreadsheets/d/1XWAQStnk-4SwqDmLtmXYiTMKHgktTP8We1SCoS47DrQ/edit?usp=sharing"",""จัดที่ดิน!BN70"")"),0)</f>
        <v>0</v>
      </c>
      <c r="K724" s="496"/>
      <c r="L724" s="757"/>
      <c r="M724" s="189"/>
      <c r="N724" s="757"/>
      <c r="O724" s="496"/>
      <c r="P724" s="496"/>
      <c r="Q724" s="571"/>
      <c r="R724" s="571"/>
      <c r="S724" s="571"/>
      <c r="T724" s="571"/>
      <c r="U724" s="571"/>
      <c r="V724" s="571"/>
      <c r="W724" s="571"/>
      <c r="X724" s="571"/>
      <c r="Y724" s="571"/>
      <c r="Z724" s="571"/>
    </row>
    <row r="725" spans="1:26" ht="18.75">
      <c r="A725" s="735"/>
      <c r="B725" s="754"/>
      <c r="C725" s="754"/>
      <c r="D725" s="754"/>
      <c r="E725" s="754"/>
      <c r="F725" s="754"/>
      <c r="G725" s="189"/>
      <c r="H725" s="755" t="s">
        <v>46</v>
      </c>
      <c r="I725" s="756">
        <f ca="1">IFERROR(__xludf.DUMMYFUNCTION("IMPORTRANGE(""https://docs.google.com/spreadsheets/d/1QqKyyYR6Q21VydFLVH3TRQUabQu_ym0Zz7PgGX0-kHA/edit?usp=sharing"",""แผน!IM70"")"),150)</f>
        <v>150</v>
      </c>
      <c r="J725" s="269">
        <f ca="1">IFERROR(__xludf.DUMMYFUNCTION("IMPORTRANGE(""https://docs.google.com/spreadsheets/d/1XWAQStnk-4SwqDmLtmXYiTMKHgktTP8We1SCoS47DrQ/edit?usp=sharing"",""จัดที่ดิน!BO70"")"),0)</f>
        <v>0</v>
      </c>
      <c r="K725" s="496">
        <f t="shared" ref="K725:K726" ca="1" si="291">IF(I725&gt;0,J725*100/I725,0)</f>
        <v>0</v>
      </c>
      <c r="L725" s="757"/>
      <c r="M725" s="189"/>
      <c r="N725" s="757"/>
      <c r="O725" s="496"/>
      <c r="P725" s="496"/>
      <c r="Q725" s="571"/>
      <c r="R725" s="571"/>
      <c r="S725" s="571"/>
      <c r="T725" s="571"/>
      <c r="U725" s="571"/>
      <c r="V725" s="571"/>
      <c r="W725" s="571"/>
      <c r="X725" s="571"/>
      <c r="Y725" s="571"/>
      <c r="Z725" s="571"/>
    </row>
    <row r="726" spans="1:26" ht="18.75">
      <c r="A726" s="735"/>
      <c r="B726" s="754"/>
      <c r="C726" s="754"/>
      <c r="D726" s="754"/>
      <c r="E726" s="754" t="s">
        <v>307</v>
      </c>
      <c r="F726" s="754"/>
      <c r="G726" s="189"/>
      <c r="H726" s="755" t="s">
        <v>35</v>
      </c>
      <c r="I726" s="756">
        <f ca="1">IFERROR(__xludf.DUMMYFUNCTION("IMPORTRANGE(""https://docs.google.com/spreadsheets/d/1QqKyyYR6Q21VydFLVH3TRQUabQu_ym0Zz7PgGX0-kHA/edit?usp=sharing"",""แผน!IN70"")"),0)</f>
        <v>0</v>
      </c>
      <c r="J726" s="269">
        <f ca="1">IFERROR(__xludf.DUMMYFUNCTION("IMPORTRANGE(""https://docs.google.com/spreadsheets/d/1XWAQStnk-4SwqDmLtmXYiTMKHgktTP8We1SCoS47DrQ/edit?usp=sharing"",""จัดที่ดิน!BR70"")"),0)</f>
        <v>0</v>
      </c>
      <c r="K726" s="496">
        <f t="shared" ca="1" si="291"/>
        <v>0</v>
      </c>
      <c r="L726" s="496"/>
      <c r="M726" s="189"/>
      <c r="N726" s="757"/>
      <c r="O726" s="496"/>
      <c r="P726" s="496"/>
      <c r="Q726" s="571"/>
      <c r="R726" s="571"/>
      <c r="S726" s="571"/>
      <c r="T726" s="571"/>
      <c r="U726" s="571"/>
      <c r="V726" s="571"/>
      <c r="W726" s="571"/>
      <c r="X726" s="571"/>
      <c r="Y726" s="571"/>
      <c r="Z726" s="571"/>
    </row>
    <row r="727" spans="1:26" ht="18.75">
      <c r="A727" s="735"/>
      <c r="B727" s="754"/>
      <c r="C727" s="754"/>
      <c r="D727" s="754"/>
      <c r="E727" s="754"/>
      <c r="F727" s="754"/>
      <c r="G727" s="189"/>
      <c r="H727" s="755" t="s">
        <v>34</v>
      </c>
      <c r="I727" s="756"/>
      <c r="J727" s="269">
        <f ca="1">IFERROR(__xludf.DUMMYFUNCTION("IMPORTRANGE(""https://docs.google.com/spreadsheets/d/1XWAQStnk-4SwqDmLtmXYiTMKHgktTP8We1SCoS47DrQ/edit?usp=sharing"",""จัดที่ดิน!BS70"")"),0)</f>
        <v>0</v>
      </c>
      <c r="K727" s="496"/>
      <c r="L727" s="757"/>
      <c r="M727" s="189"/>
      <c r="N727" s="757"/>
      <c r="O727" s="496"/>
      <c r="P727" s="496"/>
      <c r="Q727" s="571"/>
      <c r="R727" s="571"/>
      <c r="S727" s="571"/>
      <c r="T727" s="571"/>
      <c r="U727" s="571"/>
      <c r="V727" s="571"/>
      <c r="W727" s="571"/>
      <c r="X727" s="571"/>
      <c r="Y727" s="571"/>
      <c r="Z727" s="571"/>
    </row>
    <row r="728" spans="1:26" ht="18.75">
      <c r="A728" s="735"/>
      <c r="B728" s="754"/>
      <c r="C728" s="754"/>
      <c r="D728" s="754"/>
      <c r="E728" s="754"/>
      <c r="F728" s="754"/>
      <c r="G728" s="189"/>
      <c r="H728" s="755" t="s">
        <v>46</v>
      </c>
      <c r="I728" s="756">
        <f ca="1">IFERROR(__xludf.DUMMYFUNCTION("IMPORTRANGE(""https://docs.google.com/spreadsheets/d/1QqKyyYR6Q21VydFLVH3TRQUabQu_ym0Zz7PgGX0-kHA/edit?usp=sharing"",""แผน!IO70"")"),0)</f>
        <v>0</v>
      </c>
      <c r="J728" s="269">
        <f ca="1">IFERROR(__xludf.DUMMYFUNCTION("IMPORTRANGE(""https://docs.google.com/spreadsheets/d/1XWAQStnk-4SwqDmLtmXYiTMKHgktTP8We1SCoS47DrQ/edit?usp=sharing"",""จัดที่ดิน!BT70"")"),0)</f>
        <v>0</v>
      </c>
      <c r="K728" s="496">
        <f t="shared" ref="K728:K729" ca="1" si="292">IF(I728&gt;0,J728*100/I728,0)</f>
        <v>0</v>
      </c>
      <c r="L728" s="757"/>
      <c r="M728" s="189"/>
      <c r="N728" s="757"/>
      <c r="O728" s="496"/>
      <c r="P728" s="496"/>
      <c r="Q728" s="571"/>
      <c r="R728" s="571"/>
      <c r="S728" s="571"/>
      <c r="T728" s="571"/>
      <c r="U728" s="571"/>
      <c r="V728" s="571"/>
      <c r="W728" s="571"/>
      <c r="X728" s="571"/>
      <c r="Y728" s="571"/>
      <c r="Z728" s="571"/>
    </row>
    <row r="729" spans="1:26" ht="19.5">
      <c r="A729" s="735"/>
      <c r="B729" s="754"/>
      <c r="C729" s="754"/>
      <c r="D729" s="754" t="s">
        <v>308</v>
      </c>
      <c r="E729" s="754"/>
      <c r="F729" s="754"/>
      <c r="G729" s="189"/>
      <c r="H729" s="758" t="s">
        <v>46</v>
      </c>
      <c r="I729" s="759">
        <f ca="1">IFERROR(__xludf.DUMMYFUNCTION("IMPORTRANGE(""https://docs.google.com/spreadsheets/d/1QqKyyYR6Q21VydFLVH3TRQUabQu_ym0Zz7PgGX0-kHA/edit?usp=sharing"",""แผน!IP70"")"),0)</f>
        <v>0</v>
      </c>
      <c r="J729" s="674">
        <f>J732+J735</f>
        <v>0</v>
      </c>
      <c r="K729" s="195">
        <f t="shared" ca="1" si="292"/>
        <v>0</v>
      </c>
      <c r="L729" s="496"/>
      <c r="M729" s="189"/>
      <c r="N729" s="757"/>
      <c r="O729" s="496"/>
      <c r="P729" s="496"/>
      <c r="Q729" s="571"/>
      <c r="R729" s="571"/>
      <c r="S729" s="571"/>
      <c r="T729" s="571"/>
      <c r="U729" s="571"/>
      <c r="V729" s="571"/>
      <c r="W729" s="571"/>
      <c r="X729" s="571"/>
      <c r="Y729" s="571"/>
      <c r="Z729" s="571"/>
    </row>
    <row r="730" spans="1:26" ht="18.75">
      <c r="A730" s="735"/>
      <c r="B730" s="754"/>
      <c r="C730" s="754"/>
      <c r="D730" s="754"/>
      <c r="E730" s="754" t="s">
        <v>309</v>
      </c>
      <c r="F730" s="754"/>
      <c r="G730" s="189"/>
      <c r="H730" s="755" t="s">
        <v>35</v>
      </c>
      <c r="I730" s="756"/>
      <c r="J730" s="214">
        <v>0</v>
      </c>
      <c r="K730" s="496"/>
      <c r="L730" s="757"/>
      <c r="M730" s="496"/>
      <c r="N730" s="757"/>
      <c r="O730" s="496"/>
      <c r="P730" s="496"/>
      <c r="Q730" s="571"/>
      <c r="R730" s="571"/>
      <c r="S730" s="571"/>
      <c r="T730" s="571"/>
      <c r="U730" s="571"/>
      <c r="V730" s="571"/>
      <c r="W730" s="571"/>
      <c r="X730" s="571"/>
      <c r="Y730" s="571"/>
      <c r="Z730" s="571"/>
    </row>
    <row r="731" spans="1:26" ht="18.75">
      <c r="A731" s="735"/>
      <c r="B731" s="754"/>
      <c r="C731" s="754"/>
      <c r="D731" s="754"/>
      <c r="E731" s="754"/>
      <c r="F731" s="754"/>
      <c r="G731" s="189"/>
      <c r="H731" s="755" t="s">
        <v>34</v>
      </c>
      <c r="I731" s="756"/>
      <c r="J731" s="214">
        <v>0</v>
      </c>
      <c r="K731" s="496"/>
      <c r="L731" s="757"/>
      <c r="M731" s="496"/>
      <c r="N731" s="757"/>
      <c r="O731" s="496"/>
      <c r="P731" s="496"/>
      <c r="Q731" s="571"/>
      <c r="R731" s="571"/>
      <c r="S731" s="571"/>
      <c r="T731" s="571"/>
      <c r="U731" s="571"/>
      <c r="V731" s="571"/>
      <c r="W731" s="571"/>
      <c r="X731" s="571"/>
      <c r="Y731" s="571"/>
      <c r="Z731" s="571"/>
    </row>
    <row r="732" spans="1:26" ht="18.75">
      <c r="A732" s="735"/>
      <c r="B732" s="754"/>
      <c r="C732" s="754"/>
      <c r="D732" s="754"/>
      <c r="E732" s="754"/>
      <c r="F732" s="754"/>
      <c r="G732" s="189"/>
      <c r="H732" s="755" t="s">
        <v>46</v>
      </c>
      <c r="I732" s="756"/>
      <c r="J732" s="214">
        <v>0</v>
      </c>
      <c r="K732" s="496"/>
      <c r="L732" s="757"/>
      <c r="M732" s="496"/>
      <c r="N732" s="757"/>
      <c r="O732" s="496"/>
      <c r="P732" s="496"/>
      <c r="Q732" s="571"/>
      <c r="R732" s="571"/>
      <c r="S732" s="571"/>
      <c r="T732" s="571"/>
      <c r="U732" s="571"/>
      <c r="V732" s="571"/>
      <c r="W732" s="571"/>
      <c r="X732" s="571"/>
      <c r="Y732" s="571"/>
      <c r="Z732" s="571"/>
    </row>
    <row r="733" spans="1:26" ht="18.75">
      <c r="A733" s="735"/>
      <c r="B733" s="754"/>
      <c r="C733" s="754"/>
      <c r="D733" s="754"/>
      <c r="E733" s="754" t="s">
        <v>310</v>
      </c>
      <c r="F733" s="754"/>
      <c r="G733" s="189"/>
      <c r="H733" s="755" t="s">
        <v>35</v>
      </c>
      <c r="I733" s="756"/>
      <c r="J733" s="214">
        <v>0</v>
      </c>
      <c r="K733" s="496"/>
      <c r="L733" s="757"/>
      <c r="M733" s="496"/>
      <c r="N733" s="757"/>
      <c r="O733" s="496"/>
      <c r="P733" s="496"/>
      <c r="Q733" s="571"/>
      <c r="R733" s="571"/>
      <c r="S733" s="571"/>
      <c r="T733" s="571"/>
      <c r="U733" s="571"/>
      <c r="V733" s="571"/>
      <c r="W733" s="571"/>
      <c r="X733" s="571"/>
      <c r="Y733" s="571"/>
      <c r="Z733" s="571"/>
    </row>
    <row r="734" spans="1:26" ht="18.75">
      <c r="A734" s="735"/>
      <c r="B734" s="754"/>
      <c r="C734" s="754"/>
      <c r="D734" s="754"/>
      <c r="E734" s="754"/>
      <c r="F734" s="754"/>
      <c r="G734" s="189"/>
      <c r="H734" s="755" t="s">
        <v>34</v>
      </c>
      <c r="I734" s="756"/>
      <c r="J734" s="214">
        <v>0</v>
      </c>
      <c r="K734" s="496"/>
      <c r="L734" s="757"/>
      <c r="M734" s="496"/>
      <c r="N734" s="757"/>
      <c r="O734" s="496"/>
      <c r="P734" s="496"/>
      <c r="Q734" s="571"/>
      <c r="R734" s="571"/>
      <c r="S734" s="571"/>
      <c r="T734" s="571"/>
      <c r="U734" s="571"/>
      <c r="V734" s="571"/>
      <c r="W734" s="571"/>
      <c r="X734" s="571"/>
      <c r="Y734" s="571"/>
      <c r="Z734" s="571"/>
    </row>
    <row r="735" spans="1:26" ht="19.5">
      <c r="A735" s="761"/>
      <c r="B735" s="762" t="s">
        <v>311</v>
      </c>
      <c r="C735" s="725"/>
      <c r="D735" s="725"/>
      <c r="E735" s="725"/>
      <c r="F735" s="725"/>
      <c r="G735" s="726"/>
      <c r="H735" s="421" t="s">
        <v>46</v>
      </c>
      <c r="I735" s="763"/>
      <c r="J735" s="423">
        <v>0</v>
      </c>
      <c r="K735" s="500"/>
      <c r="L735" s="764"/>
      <c r="M735" s="500"/>
      <c r="N735" s="764"/>
      <c r="O735" s="500"/>
      <c r="P735" s="500"/>
      <c r="Q735" s="571"/>
      <c r="R735" s="571"/>
      <c r="S735" s="571"/>
      <c r="T735" s="571"/>
      <c r="U735" s="571"/>
      <c r="V735" s="571"/>
      <c r="W735" s="571"/>
      <c r="X735" s="571"/>
      <c r="Y735" s="571"/>
      <c r="Z735" s="571"/>
    </row>
    <row r="736" spans="1:26" ht="19.5" hidden="1">
      <c r="A736" s="765">
        <v>9</v>
      </c>
      <c r="B736" s="766" t="s">
        <v>312</v>
      </c>
      <c r="C736" s="767"/>
      <c r="D736" s="767"/>
      <c r="E736" s="767"/>
      <c r="F736" s="767"/>
      <c r="G736" s="768"/>
      <c r="H736" s="769" t="s">
        <v>46</v>
      </c>
      <c r="I736" s="770"/>
      <c r="J736" s="770">
        <f>J751</f>
        <v>0</v>
      </c>
      <c r="K736" s="771">
        <f>IF(I736&gt;0,J736*100/I736,0)</f>
        <v>0</v>
      </c>
      <c r="L736" s="772"/>
      <c r="M736" s="772"/>
      <c r="N736" s="772"/>
      <c r="O736" s="772"/>
      <c r="P736" s="772"/>
      <c r="Q736" s="597"/>
      <c r="R736" s="597"/>
      <c r="S736" s="597"/>
      <c r="T736" s="597"/>
      <c r="U736" s="597"/>
      <c r="V736" s="597"/>
      <c r="W736" s="597"/>
      <c r="X736" s="597"/>
      <c r="Y736" s="597"/>
      <c r="Z736" s="597"/>
    </row>
    <row r="737" spans="1:26" ht="19.5" hidden="1">
      <c r="A737" s="592"/>
      <c r="B737" s="750"/>
      <c r="C737" s="750" t="s">
        <v>16</v>
      </c>
      <c r="D737" s="864" t="s">
        <v>17</v>
      </c>
      <c r="E737" s="857"/>
      <c r="F737" s="857"/>
      <c r="G737" s="596"/>
      <c r="H737" s="639" t="s">
        <v>12</v>
      </c>
      <c r="I737" s="610"/>
      <c r="J737" s="610"/>
      <c r="K737" s="93"/>
      <c r="L737" s="640">
        <f t="shared" ref="L737:N737" si="293">L738+L739</f>
        <v>0</v>
      </c>
      <c r="M737" s="640">
        <f t="shared" si="293"/>
        <v>0</v>
      </c>
      <c r="N737" s="640">
        <f t="shared" si="293"/>
        <v>0</v>
      </c>
      <c r="O737" s="640">
        <f t="shared" ref="O737:O742" si="294">IF(L737&gt;0,N737*100/L737,0)</f>
        <v>0</v>
      </c>
      <c r="P737" s="640">
        <f t="shared" ref="P737:P742" si="295">IF(M737&gt;0,N737*100/M737,0)</f>
        <v>0</v>
      </c>
      <c r="Q737" s="597"/>
      <c r="R737" s="597"/>
      <c r="S737" s="597"/>
      <c r="T737" s="597"/>
      <c r="U737" s="597"/>
      <c r="V737" s="597"/>
      <c r="W737" s="597"/>
      <c r="X737" s="597"/>
      <c r="Y737" s="597"/>
      <c r="Z737" s="597"/>
    </row>
    <row r="738" spans="1:26" ht="18.75" hidden="1">
      <c r="A738" s="592"/>
      <c r="B738" s="750"/>
      <c r="C738" s="750"/>
      <c r="D738" s="711"/>
      <c r="E738" s="750" t="s">
        <v>184</v>
      </c>
      <c r="F738" s="750"/>
      <c r="G738" s="596"/>
      <c r="H738" s="165" t="s">
        <v>12</v>
      </c>
      <c r="I738" s="610"/>
      <c r="J738" s="610"/>
      <c r="K738" s="93"/>
      <c r="L738" s="93">
        <f t="shared" ref="L738:N739" si="296">L741+L748</f>
        <v>0</v>
      </c>
      <c r="M738" s="93">
        <f t="shared" si="296"/>
        <v>0</v>
      </c>
      <c r="N738" s="93">
        <f t="shared" si="296"/>
        <v>0</v>
      </c>
      <c r="O738" s="93">
        <f t="shared" si="294"/>
        <v>0</v>
      </c>
      <c r="P738" s="93">
        <f t="shared" si="295"/>
        <v>0</v>
      </c>
      <c r="Q738" s="597"/>
      <c r="R738" s="597"/>
      <c r="S738" s="597"/>
      <c r="T738" s="597"/>
      <c r="U738" s="597"/>
      <c r="V738" s="597"/>
      <c r="W738" s="597"/>
      <c r="X738" s="597"/>
      <c r="Y738" s="597"/>
      <c r="Z738" s="597"/>
    </row>
    <row r="739" spans="1:26" ht="18.75" hidden="1">
      <c r="A739" s="592"/>
      <c r="B739" s="600"/>
      <c r="C739" s="750"/>
      <c r="D739" s="711"/>
      <c r="E739" s="750" t="s">
        <v>185</v>
      </c>
      <c r="F739" s="750"/>
      <c r="G739" s="596"/>
      <c r="H739" s="165" t="s">
        <v>12</v>
      </c>
      <c r="I739" s="610"/>
      <c r="J739" s="610"/>
      <c r="K739" s="93"/>
      <c r="L739" s="93">
        <f t="shared" si="296"/>
        <v>0</v>
      </c>
      <c r="M739" s="93">
        <f t="shared" si="296"/>
        <v>0</v>
      </c>
      <c r="N739" s="93">
        <f t="shared" si="296"/>
        <v>0</v>
      </c>
      <c r="O739" s="93">
        <f t="shared" si="294"/>
        <v>0</v>
      </c>
      <c r="P739" s="93">
        <f t="shared" si="295"/>
        <v>0</v>
      </c>
      <c r="Q739" s="597"/>
      <c r="R739" s="597"/>
      <c r="S739" s="597"/>
      <c r="T739" s="597"/>
      <c r="U739" s="597"/>
      <c r="V739" s="597"/>
      <c r="W739" s="597"/>
      <c r="X739" s="597"/>
      <c r="Y739" s="597"/>
      <c r="Z739" s="597"/>
    </row>
    <row r="740" spans="1:26" ht="19.5" hidden="1">
      <c r="A740" s="592"/>
      <c r="B740" s="600"/>
      <c r="C740" s="750"/>
      <c r="D740" s="638" t="s">
        <v>20</v>
      </c>
      <c r="E740" s="750"/>
      <c r="F740" s="750"/>
      <c r="G740" s="596"/>
      <c r="H740" s="639" t="s">
        <v>12</v>
      </c>
      <c r="I740" s="166"/>
      <c r="J740" s="166"/>
      <c r="K740" s="167"/>
      <c r="L740" s="640">
        <f t="shared" ref="L740:N740" si="297">L741+L742</f>
        <v>0</v>
      </c>
      <c r="M740" s="640">
        <f t="shared" si="297"/>
        <v>0</v>
      </c>
      <c r="N740" s="640">
        <f t="shared" si="297"/>
        <v>0</v>
      </c>
      <c r="O740" s="640">
        <f t="shared" si="294"/>
        <v>0</v>
      </c>
      <c r="P740" s="640">
        <f t="shared" si="295"/>
        <v>0</v>
      </c>
      <c r="Q740" s="597"/>
      <c r="R740" s="597"/>
      <c r="S740" s="597"/>
      <c r="T740" s="597"/>
      <c r="U740" s="597"/>
      <c r="V740" s="597"/>
      <c r="W740" s="597"/>
      <c r="X740" s="597"/>
      <c r="Y740" s="597"/>
      <c r="Z740" s="597"/>
    </row>
    <row r="741" spans="1:26" ht="18.75" hidden="1">
      <c r="A741" s="592"/>
      <c r="B741" s="600"/>
      <c r="C741" s="750"/>
      <c r="D741" s="711"/>
      <c r="E741" s="750" t="s">
        <v>184</v>
      </c>
      <c r="F741" s="750"/>
      <c r="G741" s="596"/>
      <c r="H741" s="165" t="s">
        <v>12</v>
      </c>
      <c r="I741" s="610"/>
      <c r="J741" s="610"/>
      <c r="K741" s="93"/>
      <c r="L741" s="93">
        <v>0</v>
      </c>
      <c r="M741" s="93">
        <v>0</v>
      </c>
      <c r="N741" s="93">
        <v>0</v>
      </c>
      <c r="O741" s="93">
        <f t="shared" si="294"/>
        <v>0</v>
      </c>
      <c r="P741" s="93">
        <f t="shared" si="295"/>
        <v>0</v>
      </c>
      <c r="Q741" s="597"/>
      <c r="R741" s="597"/>
      <c r="S741" s="597"/>
      <c r="T741" s="597"/>
      <c r="U741" s="597"/>
      <c r="V741" s="597"/>
      <c r="W741" s="597"/>
      <c r="X741" s="597"/>
      <c r="Y741" s="597"/>
      <c r="Z741" s="597"/>
    </row>
    <row r="742" spans="1:26" ht="18.75" hidden="1">
      <c r="A742" s="592"/>
      <c r="B742" s="600"/>
      <c r="C742" s="750"/>
      <c r="D742" s="711"/>
      <c r="E742" s="750" t="s">
        <v>185</v>
      </c>
      <c r="F742" s="750"/>
      <c r="G742" s="596"/>
      <c r="H742" s="165" t="s">
        <v>12</v>
      </c>
      <c r="I742" s="610"/>
      <c r="J742" s="610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4"/>
        <v>0</v>
      </c>
      <c r="P742" s="93">
        <f t="shared" si="295"/>
        <v>0</v>
      </c>
      <c r="Q742" s="597"/>
      <c r="R742" s="597"/>
      <c r="S742" s="597"/>
      <c r="T742" s="597"/>
      <c r="U742" s="597"/>
      <c r="V742" s="597"/>
      <c r="W742" s="597"/>
      <c r="X742" s="597"/>
      <c r="Y742" s="597"/>
      <c r="Z742" s="597"/>
    </row>
    <row r="743" spans="1:26" ht="18.75" hidden="1">
      <c r="A743" s="642"/>
      <c r="B743" s="600"/>
      <c r="C743" s="750"/>
      <c r="D743" s="750"/>
      <c r="E743" s="750"/>
      <c r="F743" s="750" t="s">
        <v>186</v>
      </c>
      <c r="G743" s="596"/>
      <c r="H743" s="165" t="s">
        <v>12</v>
      </c>
      <c r="I743" s="610"/>
      <c r="J743" s="610"/>
      <c r="K743" s="93"/>
      <c r="L743" s="93"/>
      <c r="M743" s="93"/>
      <c r="N743" s="93"/>
      <c r="O743" s="93"/>
      <c r="P743" s="93"/>
      <c r="Q743" s="597"/>
      <c r="R743" s="597"/>
      <c r="S743" s="597"/>
      <c r="T743" s="597"/>
      <c r="U743" s="597"/>
      <c r="V743" s="597"/>
      <c r="W743" s="597"/>
      <c r="X743" s="597"/>
      <c r="Y743" s="597"/>
      <c r="Z743" s="597"/>
    </row>
    <row r="744" spans="1:26" ht="18.75" hidden="1">
      <c r="A744" s="642"/>
      <c r="B744" s="600"/>
      <c r="C744" s="750"/>
      <c r="D744" s="750"/>
      <c r="E744" s="750"/>
      <c r="F744" s="750" t="s">
        <v>187</v>
      </c>
      <c r="G744" s="596"/>
      <c r="H744" s="165" t="s">
        <v>12</v>
      </c>
      <c r="I744" s="610"/>
      <c r="J744" s="610"/>
      <c r="K744" s="93"/>
      <c r="L744" s="93"/>
      <c r="M744" s="93"/>
      <c r="N744" s="93"/>
      <c r="O744" s="93"/>
      <c r="P744" s="93"/>
      <c r="Q744" s="597"/>
      <c r="R744" s="597"/>
      <c r="S744" s="597"/>
      <c r="T744" s="597"/>
      <c r="U744" s="597"/>
      <c r="V744" s="597"/>
      <c r="W744" s="597"/>
      <c r="X744" s="597"/>
      <c r="Y744" s="597"/>
      <c r="Z744" s="597"/>
    </row>
    <row r="745" spans="1:26" ht="18.75" hidden="1">
      <c r="A745" s="642"/>
      <c r="B745" s="600"/>
      <c r="C745" s="750"/>
      <c r="D745" s="750"/>
      <c r="E745" s="750"/>
      <c r="F745" s="750" t="s">
        <v>188</v>
      </c>
      <c r="G745" s="596"/>
      <c r="H745" s="165" t="s">
        <v>12</v>
      </c>
      <c r="I745" s="610"/>
      <c r="J745" s="610"/>
      <c r="K745" s="93"/>
      <c r="L745" s="93"/>
      <c r="M745" s="93"/>
      <c r="N745" s="93"/>
      <c r="O745" s="93"/>
      <c r="P745" s="93"/>
      <c r="Q745" s="597"/>
      <c r="R745" s="597"/>
      <c r="S745" s="597"/>
      <c r="T745" s="597"/>
      <c r="U745" s="597"/>
      <c r="V745" s="597"/>
      <c r="W745" s="597"/>
      <c r="X745" s="597"/>
      <c r="Y745" s="597"/>
      <c r="Z745" s="597"/>
    </row>
    <row r="746" spans="1:26" ht="18.75" hidden="1">
      <c r="A746" s="642"/>
      <c r="B746" s="600"/>
      <c r="C746" s="750"/>
      <c r="D746" s="750"/>
      <c r="E746" s="750"/>
      <c r="F746" s="750" t="s">
        <v>189</v>
      </c>
      <c r="G746" s="596"/>
      <c r="H746" s="165" t="s">
        <v>12</v>
      </c>
      <c r="I746" s="610"/>
      <c r="J746" s="610"/>
      <c r="K746" s="93"/>
      <c r="L746" s="93"/>
      <c r="M746" s="93"/>
      <c r="N746" s="93"/>
      <c r="O746" s="93"/>
      <c r="P746" s="93"/>
      <c r="Q746" s="597"/>
      <c r="R746" s="597"/>
      <c r="S746" s="597"/>
      <c r="T746" s="597"/>
      <c r="U746" s="597"/>
      <c r="V746" s="597"/>
      <c r="W746" s="597"/>
      <c r="X746" s="597"/>
      <c r="Y746" s="597"/>
      <c r="Z746" s="597"/>
    </row>
    <row r="747" spans="1:26" ht="19.5" hidden="1">
      <c r="A747" s="592"/>
      <c r="B747" s="600"/>
      <c r="C747" s="750"/>
      <c r="D747" s="638" t="s">
        <v>21</v>
      </c>
      <c r="E747" s="750"/>
      <c r="F747" s="750"/>
      <c r="G747" s="596"/>
      <c r="H747" s="774" t="s">
        <v>12</v>
      </c>
      <c r="I747" s="166"/>
      <c r="J747" s="166"/>
      <c r="K747" s="167"/>
      <c r="L747" s="640">
        <f t="shared" ref="L747:N747" si="298">L748+L749</f>
        <v>0</v>
      </c>
      <c r="M747" s="640">
        <f t="shared" si="298"/>
        <v>0</v>
      </c>
      <c r="N747" s="640">
        <f t="shared" si="298"/>
        <v>0</v>
      </c>
      <c r="O747" s="640">
        <f t="shared" ref="O747:O749" si="299">IF(L747&gt;0,N747*100/L747,0)</f>
        <v>0</v>
      </c>
      <c r="P747" s="640">
        <f t="shared" ref="P747:P749" si="300">IF(M747&gt;0,N747*100/M747,0)</f>
        <v>0</v>
      </c>
      <c r="Q747" s="597"/>
      <c r="R747" s="597"/>
      <c r="S747" s="597"/>
      <c r="T747" s="597"/>
      <c r="U747" s="597"/>
      <c r="V747" s="597"/>
      <c r="W747" s="597"/>
      <c r="X747" s="597"/>
      <c r="Y747" s="597"/>
      <c r="Z747" s="597"/>
    </row>
    <row r="748" spans="1:26" ht="18.75" hidden="1">
      <c r="A748" s="592"/>
      <c r="B748" s="600"/>
      <c r="C748" s="750"/>
      <c r="D748" s="750"/>
      <c r="E748" s="750" t="s">
        <v>18</v>
      </c>
      <c r="F748" s="750"/>
      <c r="G748" s="596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299"/>
        <v>0</v>
      </c>
      <c r="P748" s="93">
        <f t="shared" si="300"/>
        <v>0</v>
      </c>
      <c r="Q748" s="597"/>
      <c r="R748" s="597"/>
      <c r="S748" s="597"/>
      <c r="T748" s="597"/>
      <c r="U748" s="597"/>
      <c r="V748" s="597"/>
      <c r="W748" s="597"/>
      <c r="X748" s="597"/>
      <c r="Y748" s="597"/>
      <c r="Z748" s="597"/>
    </row>
    <row r="749" spans="1:26" ht="18.75" hidden="1">
      <c r="A749" s="592"/>
      <c r="B749" s="600"/>
      <c r="C749" s="750"/>
      <c r="D749" s="750"/>
      <c r="E749" s="750" t="s">
        <v>19</v>
      </c>
      <c r="F749" s="750"/>
      <c r="G749" s="596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299"/>
        <v>0</v>
      </c>
      <c r="P749" s="93">
        <f t="shared" si="300"/>
        <v>0</v>
      </c>
      <c r="Q749" s="597"/>
      <c r="R749" s="597"/>
      <c r="S749" s="597"/>
      <c r="T749" s="597"/>
      <c r="U749" s="597"/>
      <c r="V749" s="597"/>
      <c r="W749" s="597"/>
      <c r="X749" s="597"/>
      <c r="Y749" s="597"/>
      <c r="Z749" s="597"/>
    </row>
    <row r="750" spans="1:26" ht="19.5" hidden="1">
      <c r="A750" s="607"/>
      <c r="B750" s="609"/>
      <c r="C750" s="750" t="s">
        <v>16</v>
      </c>
      <c r="D750" s="841" t="s">
        <v>38</v>
      </c>
      <c r="E750" s="644"/>
      <c r="F750" s="644"/>
      <c r="G750" s="645"/>
      <c r="H750" s="365"/>
      <c r="I750" s="166"/>
      <c r="J750" s="166"/>
      <c r="K750" s="167"/>
      <c r="L750" s="167"/>
      <c r="M750" s="167"/>
      <c r="N750" s="167"/>
      <c r="O750" s="167"/>
      <c r="P750" s="167"/>
      <c r="Q750" s="597"/>
      <c r="R750" s="597"/>
      <c r="S750" s="597"/>
      <c r="T750" s="597"/>
      <c r="U750" s="597"/>
      <c r="V750" s="597"/>
      <c r="W750" s="597"/>
      <c r="X750" s="597"/>
      <c r="Y750" s="597"/>
      <c r="Z750" s="597"/>
    </row>
    <row r="751" spans="1:26" ht="18.75" hidden="1">
      <c r="A751" s="642"/>
      <c r="B751" s="600"/>
      <c r="C751" s="750"/>
      <c r="D751" s="750"/>
      <c r="E751" s="750" t="s">
        <v>313</v>
      </c>
      <c r="F751" s="750"/>
      <c r="G751" s="596"/>
      <c r="H751" s="165" t="s">
        <v>46</v>
      </c>
      <c r="I751" s="610"/>
      <c r="J751" s="610"/>
      <c r="K751" s="93"/>
      <c r="L751" s="93"/>
      <c r="M751" s="93"/>
      <c r="N751" s="93"/>
      <c r="O751" s="93"/>
      <c r="P751" s="93"/>
      <c r="Q751" s="597"/>
      <c r="R751" s="597"/>
      <c r="S751" s="597"/>
      <c r="T751" s="597"/>
      <c r="U751" s="597"/>
      <c r="V751" s="597"/>
      <c r="W751" s="597"/>
      <c r="X751" s="597"/>
      <c r="Y751" s="597"/>
      <c r="Z751" s="597"/>
    </row>
    <row r="752" spans="1:26" ht="18.75" hidden="1">
      <c r="A752" s="642"/>
      <c r="B752" s="600"/>
      <c r="C752" s="750"/>
      <c r="D752" s="750"/>
      <c r="E752" s="750"/>
      <c r="F752" s="750"/>
      <c r="G752" s="596"/>
      <c r="H752" s="165" t="s">
        <v>314</v>
      </c>
      <c r="I752" s="610"/>
      <c r="J752" s="610"/>
      <c r="K752" s="93"/>
      <c r="L752" s="93"/>
      <c r="M752" s="93"/>
      <c r="N752" s="93"/>
      <c r="O752" s="93"/>
      <c r="P752" s="93"/>
      <c r="Q752" s="597"/>
      <c r="R752" s="597"/>
      <c r="S752" s="597"/>
      <c r="T752" s="597"/>
      <c r="U752" s="597"/>
      <c r="V752" s="597"/>
      <c r="W752" s="597"/>
      <c r="X752" s="597"/>
      <c r="Y752" s="597"/>
      <c r="Z752" s="597"/>
    </row>
    <row r="753" spans="1:26" ht="19.5" hidden="1">
      <c r="A753" s="776">
        <v>10</v>
      </c>
      <c r="B753" s="777" t="s">
        <v>315</v>
      </c>
      <c r="C753" s="778"/>
      <c r="D753" s="778"/>
      <c r="E753" s="778"/>
      <c r="F753" s="778"/>
      <c r="G753" s="779"/>
      <c r="H753" s="780" t="s">
        <v>46</v>
      </c>
      <c r="I753" s="781"/>
      <c r="J753" s="781">
        <f>J768</f>
        <v>0</v>
      </c>
      <c r="K753" s="782">
        <f>IF(I753&gt;0,J753*100/I753,0)</f>
        <v>0</v>
      </c>
      <c r="L753" s="783"/>
      <c r="M753" s="783"/>
      <c r="N753" s="783"/>
      <c r="O753" s="783"/>
      <c r="P753" s="783"/>
      <c r="Q753" s="597"/>
      <c r="R753" s="597"/>
      <c r="S753" s="597"/>
      <c r="T753" s="597"/>
      <c r="U753" s="597"/>
      <c r="V753" s="597"/>
      <c r="W753" s="597"/>
      <c r="X753" s="597"/>
      <c r="Y753" s="597"/>
      <c r="Z753" s="597"/>
    </row>
    <row r="754" spans="1:26" ht="19.5" hidden="1">
      <c r="A754" s="592"/>
      <c r="B754" s="750"/>
      <c r="C754" s="750" t="s">
        <v>16</v>
      </c>
      <c r="D754" s="864" t="s">
        <v>17</v>
      </c>
      <c r="E754" s="857"/>
      <c r="F754" s="857"/>
      <c r="G754" s="596"/>
      <c r="H754" s="639" t="s">
        <v>12</v>
      </c>
      <c r="I754" s="610"/>
      <c r="J754" s="610"/>
      <c r="K754" s="93"/>
      <c r="L754" s="640">
        <f t="shared" ref="L754:N754" si="301">L755+L756</f>
        <v>0</v>
      </c>
      <c r="M754" s="640">
        <f t="shared" si="301"/>
        <v>0</v>
      </c>
      <c r="N754" s="640">
        <f t="shared" si="301"/>
        <v>0</v>
      </c>
      <c r="O754" s="640">
        <f t="shared" ref="O754:O759" si="302">IF(L754&gt;0,N754*100/L754,0)</f>
        <v>0</v>
      </c>
      <c r="P754" s="640">
        <f t="shared" ref="P754:P759" si="303">IF(M754&gt;0,N754*100/M754,0)</f>
        <v>0</v>
      </c>
      <c r="Q754" s="597"/>
      <c r="R754" s="597"/>
      <c r="S754" s="597"/>
      <c r="T754" s="597"/>
      <c r="U754" s="597"/>
      <c r="V754" s="597"/>
      <c r="W754" s="597"/>
      <c r="X754" s="597"/>
      <c r="Y754" s="597"/>
      <c r="Z754" s="597"/>
    </row>
    <row r="755" spans="1:26" ht="18.75" hidden="1">
      <c r="A755" s="592"/>
      <c r="B755" s="750"/>
      <c r="C755" s="750"/>
      <c r="D755" s="711"/>
      <c r="E755" s="750" t="s">
        <v>184</v>
      </c>
      <c r="F755" s="750"/>
      <c r="G755" s="596"/>
      <c r="H755" s="165" t="s">
        <v>12</v>
      </c>
      <c r="I755" s="610"/>
      <c r="J755" s="610"/>
      <c r="K755" s="93"/>
      <c r="L755" s="93">
        <f t="shared" ref="L755:N756" si="304">L758+L765</f>
        <v>0</v>
      </c>
      <c r="M755" s="93">
        <f t="shared" si="304"/>
        <v>0</v>
      </c>
      <c r="N755" s="93">
        <f t="shared" si="304"/>
        <v>0</v>
      </c>
      <c r="O755" s="93">
        <f t="shared" si="302"/>
        <v>0</v>
      </c>
      <c r="P755" s="93">
        <f t="shared" si="303"/>
        <v>0</v>
      </c>
      <c r="Q755" s="597"/>
      <c r="R755" s="597"/>
      <c r="S755" s="597"/>
      <c r="T755" s="597"/>
      <c r="U755" s="597"/>
      <c r="V755" s="597"/>
      <c r="W755" s="597"/>
      <c r="X755" s="597"/>
      <c r="Y755" s="597"/>
      <c r="Z755" s="597"/>
    </row>
    <row r="756" spans="1:26" ht="18.75" hidden="1">
      <c r="A756" s="592"/>
      <c r="B756" s="600"/>
      <c r="C756" s="750"/>
      <c r="D756" s="711"/>
      <c r="E756" s="750" t="s">
        <v>185</v>
      </c>
      <c r="F756" s="750"/>
      <c r="G756" s="596"/>
      <c r="H756" s="165" t="s">
        <v>12</v>
      </c>
      <c r="I756" s="610"/>
      <c r="J756" s="610"/>
      <c r="K756" s="93"/>
      <c r="L756" s="93">
        <f t="shared" si="304"/>
        <v>0</v>
      </c>
      <c r="M756" s="93">
        <f t="shared" si="304"/>
        <v>0</v>
      </c>
      <c r="N756" s="93">
        <f t="shared" si="304"/>
        <v>0</v>
      </c>
      <c r="O756" s="93">
        <f t="shared" si="302"/>
        <v>0</v>
      </c>
      <c r="P756" s="93">
        <f t="shared" si="303"/>
        <v>0</v>
      </c>
      <c r="Q756" s="597"/>
      <c r="R756" s="597"/>
      <c r="S756" s="597"/>
      <c r="T756" s="597"/>
      <c r="U756" s="597"/>
      <c r="V756" s="597"/>
      <c r="W756" s="597"/>
      <c r="X756" s="597"/>
      <c r="Y756" s="597"/>
      <c r="Z756" s="597"/>
    </row>
    <row r="757" spans="1:26" ht="19.5" hidden="1">
      <c r="A757" s="592"/>
      <c r="B757" s="600"/>
      <c r="C757" s="750"/>
      <c r="D757" s="638" t="s">
        <v>20</v>
      </c>
      <c r="E757" s="750"/>
      <c r="F757" s="750"/>
      <c r="G757" s="596"/>
      <c r="H757" s="639" t="s">
        <v>12</v>
      </c>
      <c r="I757" s="166"/>
      <c r="J757" s="166"/>
      <c r="K757" s="167"/>
      <c r="L757" s="640">
        <f t="shared" ref="L757:N757" si="305">L758+L759</f>
        <v>0</v>
      </c>
      <c r="M757" s="640">
        <f t="shared" si="305"/>
        <v>0</v>
      </c>
      <c r="N757" s="640">
        <f t="shared" si="305"/>
        <v>0</v>
      </c>
      <c r="O757" s="640">
        <f t="shared" si="302"/>
        <v>0</v>
      </c>
      <c r="P757" s="640">
        <f t="shared" si="303"/>
        <v>0</v>
      </c>
      <c r="Q757" s="597"/>
      <c r="R757" s="597"/>
      <c r="S757" s="597"/>
      <c r="T757" s="597"/>
      <c r="U757" s="597"/>
      <c r="V757" s="597"/>
      <c r="W757" s="597"/>
      <c r="X757" s="597"/>
      <c r="Y757" s="597"/>
      <c r="Z757" s="597"/>
    </row>
    <row r="758" spans="1:26" ht="18.75" hidden="1">
      <c r="A758" s="592"/>
      <c r="B758" s="600"/>
      <c r="C758" s="750"/>
      <c r="D758" s="711"/>
      <c r="E758" s="750" t="s">
        <v>184</v>
      </c>
      <c r="F758" s="750"/>
      <c r="G758" s="596"/>
      <c r="H758" s="165" t="s">
        <v>12</v>
      </c>
      <c r="I758" s="610"/>
      <c r="J758" s="610"/>
      <c r="K758" s="93"/>
      <c r="L758" s="93">
        <v>0</v>
      </c>
      <c r="M758" s="93">
        <v>0</v>
      </c>
      <c r="N758" s="93">
        <v>0</v>
      </c>
      <c r="O758" s="93">
        <f t="shared" si="302"/>
        <v>0</v>
      </c>
      <c r="P758" s="93">
        <f t="shared" si="303"/>
        <v>0</v>
      </c>
      <c r="Q758" s="597"/>
      <c r="R758" s="597"/>
      <c r="S758" s="597"/>
      <c r="T758" s="597"/>
      <c r="U758" s="597"/>
      <c r="V758" s="597"/>
      <c r="W758" s="597"/>
      <c r="X758" s="597"/>
      <c r="Y758" s="597"/>
      <c r="Z758" s="597"/>
    </row>
    <row r="759" spans="1:26" ht="18.75" hidden="1">
      <c r="A759" s="592"/>
      <c r="B759" s="600"/>
      <c r="C759" s="750"/>
      <c r="D759" s="711"/>
      <c r="E759" s="750" t="s">
        <v>185</v>
      </c>
      <c r="F759" s="750"/>
      <c r="G759" s="596"/>
      <c r="H759" s="165" t="s">
        <v>12</v>
      </c>
      <c r="I759" s="610"/>
      <c r="J759" s="610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2"/>
        <v>0</v>
      </c>
      <c r="P759" s="93">
        <f t="shared" si="303"/>
        <v>0</v>
      </c>
      <c r="Q759" s="597"/>
      <c r="R759" s="597"/>
      <c r="S759" s="597"/>
      <c r="T759" s="597"/>
      <c r="U759" s="597"/>
      <c r="V759" s="597"/>
      <c r="W759" s="597"/>
      <c r="X759" s="597"/>
      <c r="Y759" s="597"/>
      <c r="Z759" s="597"/>
    </row>
    <row r="760" spans="1:26" ht="18.75" hidden="1">
      <c r="A760" s="642"/>
      <c r="B760" s="600"/>
      <c r="C760" s="750"/>
      <c r="D760" s="750"/>
      <c r="E760" s="750"/>
      <c r="F760" s="750" t="s">
        <v>186</v>
      </c>
      <c r="G760" s="596"/>
      <c r="H760" s="165" t="s">
        <v>12</v>
      </c>
      <c r="I760" s="610"/>
      <c r="J760" s="610"/>
      <c r="K760" s="93"/>
      <c r="L760" s="93"/>
      <c r="M760" s="93"/>
      <c r="N760" s="93"/>
      <c r="O760" s="93"/>
      <c r="P760" s="93"/>
      <c r="Q760" s="597"/>
      <c r="R760" s="597"/>
      <c r="S760" s="597"/>
      <c r="T760" s="597"/>
      <c r="U760" s="597"/>
      <c r="V760" s="597"/>
      <c r="W760" s="597"/>
      <c r="X760" s="597"/>
      <c r="Y760" s="597"/>
      <c r="Z760" s="597"/>
    </row>
    <row r="761" spans="1:26" ht="18.75" hidden="1">
      <c r="A761" s="642"/>
      <c r="B761" s="600"/>
      <c r="C761" s="750"/>
      <c r="D761" s="750"/>
      <c r="E761" s="750"/>
      <c r="F761" s="750" t="s">
        <v>187</v>
      </c>
      <c r="G761" s="596"/>
      <c r="H761" s="165" t="s">
        <v>12</v>
      </c>
      <c r="I761" s="610"/>
      <c r="J761" s="610"/>
      <c r="K761" s="93"/>
      <c r="L761" s="93"/>
      <c r="M761" s="93"/>
      <c r="N761" s="93"/>
      <c r="O761" s="93"/>
      <c r="P761" s="93"/>
      <c r="Q761" s="597"/>
      <c r="R761" s="597"/>
      <c r="S761" s="597"/>
      <c r="T761" s="597"/>
      <c r="U761" s="597"/>
      <c r="V761" s="597"/>
      <c r="W761" s="597"/>
      <c r="X761" s="597"/>
      <c r="Y761" s="597"/>
      <c r="Z761" s="597"/>
    </row>
    <row r="762" spans="1:26" ht="18.75" hidden="1">
      <c r="A762" s="642"/>
      <c r="B762" s="600"/>
      <c r="C762" s="750"/>
      <c r="D762" s="750"/>
      <c r="E762" s="750"/>
      <c r="F762" s="750" t="s">
        <v>188</v>
      </c>
      <c r="G762" s="596"/>
      <c r="H762" s="165" t="s">
        <v>12</v>
      </c>
      <c r="I762" s="610"/>
      <c r="J762" s="610"/>
      <c r="K762" s="93"/>
      <c r="L762" s="93"/>
      <c r="M762" s="93"/>
      <c r="N762" s="93"/>
      <c r="O762" s="93"/>
      <c r="P762" s="93"/>
      <c r="Q762" s="597"/>
      <c r="R762" s="597"/>
      <c r="S762" s="597"/>
      <c r="T762" s="597"/>
      <c r="U762" s="597"/>
      <c r="V762" s="597"/>
      <c r="W762" s="597"/>
      <c r="X762" s="597"/>
      <c r="Y762" s="597"/>
      <c r="Z762" s="597"/>
    </row>
    <row r="763" spans="1:26" ht="18.75" hidden="1">
      <c r="A763" s="642"/>
      <c r="B763" s="600"/>
      <c r="C763" s="750"/>
      <c r="D763" s="750"/>
      <c r="E763" s="750"/>
      <c r="F763" s="750" t="s">
        <v>189</v>
      </c>
      <c r="G763" s="596"/>
      <c r="H763" s="165" t="s">
        <v>12</v>
      </c>
      <c r="I763" s="610"/>
      <c r="J763" s="610"/>
      <c r="K763" s="93"/>
      <c r="L763" s="93"/>
      <c r="M763" s="93"/>
      <c r="N763" s="93"/>
      <c r="O763" s="93"/>
      <c r="P763" s="93"/>
      <c r="Q763" s="597"/>
      <c r="R763" s="597"/>
      <c r="S763" s="597"/>
      <c r="T763" s="597"/>
      <c r="U763" s="597"/>
      <c r="V763" s="597"/>
      <c r="W763" s="597"/>
      <c r="X763" s="597"/>
      <c r="Y763" s="597"/>
      <c r="Z763" s="597"/>
    </row>
    <row r="764" spans="1:26" ht="19.5" hidden="1">
      <c r="A764" s="592"/>
      <c r="B764" s="600"/>
      <c r="C764" s="750"/>
      <c r="D764" s="638" t="s">
        <v>21</v>
      </c>
      <c r="E764" s="750"/>
      <c r="F764" s="750"/>
      <c r="G764" s="596"/>
      <c r="H764" s="774" t="s">
        <v>12</v>
      </c>
      <c r="I764" s="166"/>
      <c r="J764" s="166"/>
      <c r="K764" s="167"/>
      <c r="L764" s="640">
        <f t="shared" ref="L764:N764" si="306">L765+L766</f>
        <v>0</v>
      </c>
      <c r="M764" s="640">
        <f t="shared" si="306"/>
        <v>0</v>
      </c>
      <c r="N764" s="640">
        <f t="shared" si="306"/>
        <v>0</v>
      </c>
      <c r="O764" s="640">
        <f t="shared" ref="O764:O766" si="307">IF(L764&gt;0,N764*100/L764,0)</f>
        <v>0</v>
      </c>
      <c r="P764" s="640">
        <f t="shared" ref="P764:P766" si="308">IF(M764&gt;0,N764*100/M764,0)</f>
        <v>0</v>
      </c>
      <c r="Q764" s="597"/>
      <c r="R764" s="597"/>
      <c r="S764" s="597"/>
      <c r="T764" s="597"/>
      <c r="U764" s="597"/>
      <c r="V764" s="597"/>
      <c r="W764" s="597"/>
      <c r="X764" s="597"/>
      <c r="Y764" s="597"/>
      <c r="Z764" s="597"/>
    </row>
    <row r="765" spans="1:26" ht="18.75" hidden="1">
      <c r="A765" s="592"/>
      <c r="B765" s="600"/>
      <c r="C765" s="750"/>
      <c r="D765" s="750"/>
      <c r="E765" s="750" t="s">
        <v>18</v>
      </c>
      <c r="F765" s="750"/>
      <c r="G765" s="596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7"/>
        <v>0</v>
      </c>
      <c r="P765" s="93">
        <f t="shared" si="308"/>
        <v>0</v>
      </c>
      <c r="Q765" s="597"/>
      <c r="R765" s="597"/>
      <c r="S765" s="597"/>
      <c r="T765" s="597"/>
      <c r="U765" s="597"/>
      <c r="V765" s="597"/>
      <c r="W765" s="597"/>
      <c r="X765" s="597"/>
      <c r="Y765" s="597"/>
      <c r="Z765" s="597"/>
    </row>
    <row r="766" spans="1:26" ht="18.75" hidden="1">
      <c r="A766" s="592"/>
      <c r="B766" s="600"/>
      <c r="C766" s="750"/>
      <c r="D766" s="750"/>
      <c r="E766" s="750" t="s">
        <v>19</v>
      </c>
      <c r="F766" s="750"/>
      <c r="G766" s="596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7"/>
        <v>0</v>
      </c>
      <c r="P766" s="93">
        <f t="shared" si="308"/>
        <v>0</v>
      </c>
      <c r="Q766" s="597"/>
      <c r="R766" s="597"/>
      <c r="S766" s="597"/>
      <c r="T766" s="597"/>
      <c r="U766" s="597"/>
      <c r="V766" s="597"/>
      <c r="W766" s="597"/>
      <c r="X766" s="597"/>
      <c r="Y766" s="597"/>
      <c r="Z766" s="597"/>
    </row>
    <row r="767" spans="1:26" ht="19.5" hidden="1">
      <c r="A767" s="607"/>
      <c r="B767" s="609"/>
      <c r="C767" s="750" t="s">
        <v>16</v>
      </c>
      <c r="D767" s="841" t="s">
        <v>38</v>
      </c>
      <c r="E767" s="644"/>
      <c r="F767" s="644"/>
      <c r="G767" s="645"/>
      <c r="H767" s="365"/>
      <c r="I767" s="166"/>
      <c r="J767" s="166"/>
      <c r="K767" s="167"/>
      <c r="L767" s="167"/>
      <c r="M767" s="167"/>
      <c r="N767" s="167"/>
      <c r="O767" s="167"/>
      <c r="P767" s="167"/>
      <c r="Q767" s="597"/>
      <c r="R767" s="597"/>
      <c r="S767" s="597"/>
      <c r="T767" s="597"/>
      <c r="U767" s="597"/>
      <c r="V767" s="597"/>
      <c r="W767" s="597"/>
      <c r="X767" s="597"/>
      <c r="Y767" s="597"/>
      <c r="Z767" s="597"/>
    </row>
    <row r="768" spans="1:26" ht="18.75" hidden="1">
      <c r="A768" s="642"/>
      <c r="B768" s="600"/>
      <c r="C768" s="750"/>
      <c r="D768" s="750"/>
      <c r="E768" s="750" t="s">
        <v>316</v>
      </c>
      <c r="F768" s="750"/>
      <c r="G768" s="596"/>
      <c r="H768" s="165" t="s">
        <v>46</v>
      </c>
      <c r="I768" s="610"/>
      <c r="J768" s="610"/>
      <c r="K768" s="93"/>
      <c r="L768" s="93"/>
      <c r="M768" s="93"/>
      <c r="N768" s="93"/>
      <c r="O768" s="93"/>
      <c r="P768" s="93"/>
      <c r="Q768" s="597"/>
      <c r="R768" s="597"/>
      <c r="S768" s="597"/>
      <c r="T768" s="597"/>
      <c r="U768" s="597"/>
      <c r="V768" s="597"/>
      <c r="W768" s="597"/>
      <c r="X768" s="597"/>
      <c r="Y768" s="597"/>
      <c r="Z768" s="597"/>
    </row>
    <row r="769" spans="1:26" ht="19.5" hidden="1">
      <c r="A769" s="784">
        <v>11</v>
      </c>
      <c r="B769" s="785" t="s">
        <v>317</v>
      </c>
      <c r="C769" s="786"/>
      <c r="D769" s="786"/>
      <c r="E769" s="786"/>
      <c r="F769" s="786"/>
      <c r="G769" s="787"/>
      <c r="H769" s="788" t="s">
        <v>46</v>
      </c>
      <c r="I769" s="789"/>
      <c r="J769" s="789">
        <f>J784</f>
        <v>0</v>
      </c>
      <c r="K769" s="790">
        <f>IF(I769&gt;0,J769*100/I769,0)</f>
        <v>0</v>
      </c>
      <c r="L769" s="791"/>
      <c r="M769" s="791"/>
      <c r="N769" s="791"/>
      <c r="O769" s="791"/>
      <c r="P769" s="791"/>
      <c r="Q769" s="597"/>
      <c r="R769" s="597"/>
      <c r="S769" s="597"/>
      <c r="T769" s="597"/>
      <c r="U769" s="597"/>
      <c r="V769" s="597"/>
      <c r="W769" s="597"/>
      <c r="X769" s="597"/>
      <c r="Y769" s="597"/>
      <c r="Z769" s="597"/>
    </row>
    <row r="770" spans="1:26" ht="19.5" hidden="1">
      <c r="A770" s="592"/>
      <c r="B770" s="750"/>
      <c r="C770" s="750" t="s">
        <v>16</v>
      </c>
      <c r="D770" s="864" t="s">
        <v>17</v>
      </c>
      <c r="E770" s="857"/>
      <c r="F770" s="857"/>
      <c r="G770" s="596"/>
      <c r="H770" s="639" t="s">
        <v>12</v>
      </c>
      <c r="I770" s="610"/>
      <c r="J770" s="610"/>
      <c r="K770" s="93"/>
      <c r="L770" s="640">
        <f t="shared" ref="L770:N770" si="309">L771+L772</f>
        <v>0</v>
      </c>
      <c r="M770" s="640">
        <f t="shared" si="309"/>
        <v>0</v>
      </c>
      <c r="N770" s="640">
        <f t="shared" si="309"/>
        <v>0</v>
      </c>
      <c r="O770" s="640">
        <f t="shared" ref="O770:O775" si="310">IF(L770&gt;0,N770*100/L770,0)</f>
        <v>0</v>
      </c>
      <c r="P770" s="640">
        <f t="shared" ref="P770:P775" si="311">IF(M770&gt;0,N770*100/M770,0)</f>
        <v>0</v>
      </c>
      <c r="Q770" s="597"/>
      <c r="R770" s="597"/>
      <c r="S770" s="597"/>
      <c r="T770" s="597"/>
      <c r="U770" s="597"/>
      <c r="V770" s="597"/>
      <c r="W770" s="597"/>
      <c r="X770" s="597"/>
      <c r="Y770" s="597"/>
      <c r="Z770" s="597"/>
    </row>
    <row r="771" spans="1:26" ht="18.75" hidden="1">
      <c r="A771" s="592"/>
      <c r="B771" s="750"/>
      <c r="C771" s="750"/>
      <c r="D771" s="711"/>
      <c r="E771" s="750" t="s">
        <v>184</v>
      </c>
      <c r="F771" s="750"/>
      <c r="G771" s="596"/>
      <c r="H771" s="165" t="s">
        <v>12</v>
      </c>
      <c r="I771" s="610"/>
      <c r="J771" s="610"/>
      <c r="K771" s="93"/>
      <c r="L771" s="93">
        <f t="shared" ref="L771:N772" si="312">L774+L781</f>
        <v>0</v>
      </c>
      <c r="M771" s="93">
        <f t="shared" si="312"/>
        <v>0</v>
      </c>
      <c r="N771" s="93">
        <f t="shared" si="312"/>
        <v>0</v>
      </c>
      <c r="O771" s="93">
        <f t="shared" si="310"/>
        <v>0</v>
      </c>
      <c r="P771" s="93">
        <f t="shared" si="311"/>
        <v>0</v>
      </c>
      <c r="Q771" s="597"/>
      <c r="R771" s="597"/>
      <c r="S771" s="597"/>
      <c r="T771" s="597"/>
      <c r="U771" s="597"/>
      <c r="V771" s="597"/>
      <c r="W771" s="597"/>
      <c r="X771" s="597"/>
      <c r="Y771" s="597"/>
      <c r="Z771" s="597"/>
    </row>
    <row r="772" spans="1:26" ht="18.75" hidden="1">
      <c r="A772" s="592"/>
      <c r="B772" s="600"/>
      <c r="C772" s="750"/>
      <c r="D772" s="711"/>
      <c r="E772" s="750" t="s">
        <v>185</v>
      </c>
      <c r="F772" s="750"/>
      <c r="G772" s="596"/>
      <c r="H772" s="165" t="s">
        <v>12</v>
      </c>
      <c r="I772" s="610"/>
      <c r="J772" s="610"/>
      <c r="K772" s="93"/>
      <c r="L772" s="93">
        <f t="shared" si="312"/>
        <v>0</v>
      </c>
      <c r="M772" s="93">
        <f t="shared" si="312"/>
        <v>0</v>
      </c>
      <c r="N772" s="93">
        <f t="shared" si="312"/>
        <v>0</v>
      </c>
      <c r="O772" s="93">
        <f t="shared" si="310"/>
        <v>0</v>
      </c>
      <c r="P772" s="93">
        <f t="shared" si="311"/>
        <v>0</v>
      </c>
      <c r="Q772" s="597"/>
      <c r="R772" s="597"/>
      <c r="S772" s="597"/>
      <c r="T772" s="597"/>
      <c r="U772" s="597"/>
      <c r="V772" s="597"/>
      <c r="W772" s="597"/>
      <c r="X772" s="597"/>
      <c r="Y772" s="597"/>
      <c r="Z772" s="597"/>
    </row>
    <row r="773" spans="1:26" ht="19.5" hidden="1">
      <c r="A773" s="592"/>
      <c r="B773" s="600"/>
      <c r="C773" s="750"/>
      <c r="D773" s="638" t="s">
        <v>20</v>
      </c>
      <c r="E773" s="750"/>
      <c r="F773" s="750"/>
      <c r="G773" s="596"/>
      <c r="H773" s="639" t="s">
        <v>12</v>
      </c>
      <c r="I773" s="166"/>
      <c r="J773" s="166"/>
      <c r="K773" s="167"/>
      <c r="L773" s="640">
        <f t="shared" ref="L773:N773" si="313">L774+L775</f>
        <v>0</v>
      </c>
      <c r="M773" s="640">
        <f t="shared" si="313"/>
        <v>0</v>
      </c>
      <c r="N773" s="640">
        <f t="shared" si="313"/>
        <v>0</v>
      </c>
      <c r="O773" s="640">
        <f t="shared" si="310"/>
        <v>0</v>
      </c>
      <c r="P773" s="640">
        <f t="shared" si="311"/>
        <v>0</v>
      </c>
      <c r="Q773" s="597"/>
      <c r="R773" s="597"/>
      <c r="S773" s="597"/>
      <c r="T773" s="597"/>
      <c r="U773" s="597"/>
      <c r="V773" s="597"/>
      <c r="W773" s="597"/>
      <c r="X773" s="597"/>
      <c r="Y773" s="597"/>
      <c r="Z773" s="597"/>
    </row>
    <row r="774" spans="1:26" ht="18.75" hidden="1">
      <c r="A774" s="592"/>
      <c r="B774" s="600"/>
      <c r="C774" s="750"/>
      <c r="D774" s="711"/>
      <c r="E774" s="750" t="s">
        <v>184</v>
      </c>
      <c r="F774" s="750"/>
      <c r="G774" s="596"/>
      <c r="H774" s="165" t="s">
        <v>12</v>
      </c>
      <c r="I774" s="610"/>
      <c r="J774" s="610"/>
      <c r="K774" s="93"/>
      <c r="L774" s="93">
        <v>0</v>
      </c>
      <c r="M774" s="93">
        <v>0</v>
      </c>
      <c r="N774" s="93">
        <v>0</v>
      </c>
      <c r="O774" s="93">
        <f t="shared" si="310"/>
        <v>0</v>
      </c>
      <c r="P774" s="93">
        <f t="shared" si="311"/>
        <v>0</v>
      </c>
      <c r="Q774" s="597"/>
      <c r="R774" s="597"/>
      <c r="S774" s="597"/>
      <c r="T774" s="597"/>
      <c r="U774" s="597"/>
      <c r="V774" s="597"/>
      <c r="W774" s="597"/>
      <c r="X774" s="597"/>
      <c r="Y774" s="597"/>
      <c r="Z774" s="597"/>
    </row>
    <row r="775" spans="1:26" ht="18.75" hidden="1">
      <c r="A775" s="592"/>
      <c r="B775" s="600"/>
      <c r="C775" s="750"/>
      <c r="D775" s="711"/>
      <c r="E775" s="750" t="s">
        <v>185</v>
      </c>
      <c r="F775" s="750"/>
      <c r="G775" s="596"/>
      <c r="H775" s="165" t="s">
        <v>12</v>
      </c>
      <c r="I775" s="610"/>
      <c r="J775" s="610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0"/>
        <v>0</v>
      </c>
      <c r="P775" s="93">
        <f t="shared" si="311"/>
        <v>0</v>
      </c>
      <c r="Q775" s="597"/>
      <c r="R775" s="597"/>
      <c r="S775" s="597"/>
      <c r="T775" s="597"/>
      <c r="U775" s="597"/>
      <c r="V775" s="597"/>
      <c r="W775" s="597"/>
      <c r="X775" s="597"/>
      <c r="Y775" s="597"/>
      <c r="Z775" s="597"/>
    </row>
    <row r="776" spans="1:26" ht="18.75" hidden="1">
      <c r="A776" s="642"/>
      <c r="B776" s="600"/>
      <c r="C776" s="750"/>
      <c r="D776" s="750"/>
      <c r="E776" s="750"/>
      <c r="F776" s="750" t="s">
        <v>186</v>
      </c>
      <c r="G776" s="596"/>
      <c r="H776" s="165" t="s">
        <v>12</v>
      </c>
      <c r="I776" s="610"/>
      <c r="J776" s="610"/>
      <c r="K776" s="93"/>
      <c r="L776" s="93"/>
      <c r="M776" s="93"/>
      <c r="N776" s="93"/>
      <c r="O776" s="93"/>
      <c r="P776" s="93"/>
      <c r="Q776" s="597"/>
      <c r="R776" s="597"/>
      <c r="S776" s="597"/>
      <c r="T776" s="597"/>
      <c r="U776" s="597"/>
      <c r="V776" s="597"/>
      <c r="W776" s="597"/>
      <c r="X776" s="597"/>
      <c r="Y776" s="597"/>
      <c r="Z776" s="597"/>
    </row>
    <row r="777" spans="1:26" ht="18.75" hidden="1">
      <c r="A777" s="642"/>
      <c r="B777" s="600"/>
      <c r="C777" s="750"/>
      <c r="D777" s="750"/>
      <c r="E777" s="750"/>
      <c r="F777" s="750" t="s">
        <v>187</v>
      </c>
      <c r="G777" s="596"/>
      <c r="H777" s="165" t="s">
        <v>12</v>
      </c>
      <c r="I777" s="610"/>
      <c r="J777" s="610"/>
      <c r="K777" s="93"/>
      <c r="L777" s="93"/>
      <c r="M777" s="93"/>
      <c r="N777" s="93"/>
      <c r="O777" s="93"/>
      <c r="P777" s="93"/>
      <c r="Q777" s="597"/>
      <c r="R777" s="597"/>
      <c r="S777" s="597"/>
      <c r="T777" s="597"/>
      <c r="U777" s="597"/>
      <c r="V777" s="597"/>
      <c r="W777" s="597"/>
      <c r="X777" s="597"/>
      <c r="Y777" s="597"/>
      <c r="Z777" s="597"/>
    </row>
    <row r="778" spans="1:26" ht="18.75" hidden="1">
      <c r="A778" s="642"/>
      <c r="B778" s="600"/>
      <c r="C778" s="750"/>
      <c r="D778" s="750"/>
      <c r="E778" s="750"/>
      <c r="F778" s="750" t="s">
        <v>188</v>
      </c>
      <c r="G778" s="596"/>
      <c r="H778" s="165" t="s">
        <v>12</v>
      </c>
      <c r="I778" s="610"/>
      <c r="J778" s="610"/>
      <c r="K778" s="93"/>
      <c r="L778" s="93"/>
      <c r="M778" s="93"/>
      <c r="N778" s="93"/>
      <c r="O778" s="93"/>
      <c r="P778" s="93"/>
      <c r="Q778" s="597"/>
      <c r="R778" s="597"/>
      <c r="S778" s="597"/>
      <c r="T778" s="597"/>
      <c r="U778" s="597"/>
      <c r="V778" s="597"/>
      <c r="W778" s="597"/>
      <c r="X778" s="597"/>
      <c r="Y778" s="597"/>
      <c r="Z778" s="597"/>
    </row>
    <row r="779" spans="1:26" ht="18.75" hidden="1">
      <c r="A779" s="642"/>
      <c r="B779" s="600"/>
      <c r="C779" s="750"/>
      <c r="D779" s="750"/>
      <c r="E779" s="750"/>
      <c r="F779" s="750" t="s">
        <v>189</v>
      </c>
      <c r="G779" s="596"/>
      <c r="H779" s="165" t="s">
        <v>12</v>
      </c>
      <c r="I779" s="610"/>
      <c r="J779" s="610"/>
      <c r="K779" s="93"/>
      <c r="L779" s="93"/>
      <c r="M779" s="93"/>
      <c r="N779" s="93"/>
      <c r="O779" s="93"/>
      <c r="P779" s="93"/>
      <c r="Q779" s="597"/>
      <c r="R779" s="597"/>
      <c r="S779" s="597"/>
      <c r="T779" s="597"/>
      <c r="U779" s="597"/>
      <c r="V779" s="597"/>
      <c r="W779" s="597"/>
      <c r="X779" s="597"/>
      <c r="Y779" s="597"/>
      <c r="Z779" s="597"/>
    </row>
    <row r="780" spans="1:26" ht="19.5" hidden="1">
      <c r="A780" s="592"/>
      <c r="B780" s="600"/>
      <c r="C780" s="750"/>
      <c r="D780" s="638" t="s">
        <v>21</v>
      </c>
      <c r="E780" s="750"/>
      <c r="F780" s="750"/>
      <c r="G780" s="596"/>
      <c r="H780" s="774" t="s">
        <v>12</v>
      </c>
      <c r="I780" s="166"/>
      <c r="J780" s="166"/>
      <c r="K780" s="167"/>
      <c r="L780" s="640">
        <f t="shared" ref="L780:N780" si="314">L781+L782</f>
        <v>0</v>
      </c>
      <c r="M780" s="640">
        <f t="shared" si="314"/>
        <v>0</v>
      </c>
      <c r="N780" s="640">
        <f t="shared" si="314"/>
        <v>0</v>
      </c>
      <c r="O780" s="640">
        <f t="shared" ref="O780:O782" si="315">IF(L780&gt;0,N780*100/L780,0)</f>
        <v>0</v>
      </c>
      <c r="P780" s="640">
        <f t="shared" ref="P780:P782" si="316">IF(M780&gt;0,N780*100/M780,0)</f>
        <v>0</v>
      </c>
      <c r="Q780" s="597"/>
      <c r="R780" s="597"/>
      <c r="S780" s="597"/>
      <c r="T780" s="597"/>
      <c r="U780" s="597"/>
      <c r="V780" s="597"/>
      <c r="W780" s="597"/>
      <c r="X780" s="597"/>
      <c r="Y780" s="597"/>
      <c r="Z780" s="597"/>
    </row>
    <row r="781" spans="1:26" ht="18.75" hidden="1">
      <c r="A781" s="592"/>
      <c r="B781" s="600"/>
      <c r="C781" s="750"/>
      <c r="D781" s="750"/>
      <c r="E781" s="750" t="s">
        <v>18</v>
      </c>
      <c r="F781" s="750"/>
      <c r="G781" s="596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5"/>
        <v>0</v>
      </c>
      <c r="P781" s="93">
        <f t="shared" si="316"/>
        <v>0</v>
      </c>
      <c r="Q781" s="597"/>
      <c r="R781" s="597"/>
      <c r="S781" s="597"/>
      <c r="T781" s="597"/>
      <c r="U781" s="597"/>
      <c r="V781" s="597"/>
      <c r="W781" s="597"/>
      <c r="X781" s="597"/>
      <c r="Y781" s="597"/>
      <c r="Z781" s="597"/>
    </row>
    <row r="782" spans="1:26" ht="18.75" hidden="1">
      <c r="A782" s="592"/>
      <c r="B782" s="600"/>
      <c r="C782" s="750"/>
      <c r="D782" s="750"/>
      <c r="E782" s="750" t="s">
        <v>19</v>
      </c>
      <c r="F782" s="750"/>
      <c r="G782" s="596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5"/>
        <v>0</v>
      </c>
      <c r="P782" s="93">
        <f t="shared" si="316"/>
        <v>0</v>
      </c>
      <c r="Q782" s="597"/>
      <c r="R782" s="597"/>
      <c r="S782" s="597"/>
      <c r="T782" s="597"/>
      <c r="U782" s="597"/>
      <c r="V782" s="597"/>
      <c r="W782" s="597"/>
      <c r="X782" s="597"/>
      <c r="Y782" s="597"/>
      <c r="Z782" s="597"/>
    </row>
    <row r="783" spans="1:26" ht="19.5" hidden="1">
      <c r="A783" s="607"/>
      <c r="B783" s="609"/>
      <c r="C783" s="750" t="s">
        <v>16</v>
      </c>
      <c r="D783" s="841" t="s">
        <v>38</v>
      </c>
      <c r="E783" s="644"/>
      <c r="F783" s="644"/>
      <c r="G783" s="645"/>
      <c r="H783" s="792"/>
      <c r="I783" s="166"/>
      <c r="J783" s="166"/>
      <c r="K783" s="167"/>
      <c r="L783" s="167"/>
      <c r="M783" s="167"/>
      <c r="N783" s="167"/>
      <c r="O783" s="167"/>
      <c r="P783" s="167"/>
      <c r="Q783" s="597"/>
      <c r="R783" s="597"/>
      <c r="S783" s="597"/>
      <c r="T783" s="597"/>
      <c r="U783" s="597"/>
      <c r="V783" s="597"/>
      <c r="W783" s="597"/>
      <c r="X783" s="597"/>
      <c r="Y783" s="597"/>
      <c r="Z783" s="597"/>
    </row>
    <row r="784" spans="1:26" ht="18.75" hidden="1">
      <c r="A784" s="642"/>
      <c r="B784" s="600"/>
      <c r="C784" s="750"/>
      <c r="D784" s="750"/>
      <c r="E784" s="750" t="s">
        <v>318</v>
      </c>
      <c r="F784" s="750"/>
      <c r="G784" s="596"/>
      <c r="H784" s="165" t="s">
        <v>46</v>
      </c>
      <c r="I784" s="610"/>
      <c r="J784" s="610"/>
      <c r="K784" s="93"/>
      <c r="L784" s="93"/>
      <c r="M784" s="93"/>
      <c r="N784" s="93"/>
      <c r="O784" s="93"/>
      <c r="P784" s="93"/>
      <c r="Q784" s="597"/>
      <c r="R784" s="597"/>
      <c r="S784" s="597"/>
      <c r="T784" s="597"/>
      <c r="U784" s="597"/>
      <c r="V784" s="597"/>
      <c r="W784" s="597"/>
      <c r="X784" s="597"/>
      <c r="Y784" s="597"/>
      <c r="Z784" s="597"/>
    </row>
    <row r="785" spans="1:26" ht="19.5" hidden="1">
      <c r="A785" s="793">
        <v>12</v>
      </c>
      <c r="B785" s="794" t="s">
        <v>319</v>
      </c>
      <c r="C785" s="795"/>
      <c r="D785" s="795"/>
      <c r="E785" s="795"/>
      <c r="F785" s="795"/>
      <c r="G785" s="796"/>
      <c r="H785" s="797" t="s">
        <v>46</v>
      </c>
      <c r="I785" s="798">
        <f t="shared" ref="I785:J785" ca="1" si="317">I800</f>
        <v>0</v>
      </c>
      <c r="J785" s="799">
        <f t="shared" ca="1" si="317"/>
        <v>0</v>
      </c>
      <c r="K785" s="800">
        <f ca="1">IF(I785&gt;0,J785*100/I785,0)</f>
        <v>0</v>
      </c>
      <c r="L785" s="801"/>
      <c r="M785" s="801"/>
      <c r="N785" s="801"/>
      <c r="O785" s="801"/>
      <c r="P785" s="801"/>
      <c r="Q785" s="571"/>
      <c r="R785" s="571"/>
      <c r="S785" s="571"/>
      <c r="T785" s="571"/>
      <c r="U785" s="571"/>
      <c r="V785" s="571"/>
      <c r="W785" s="571"/>
      <c r="X785" s="571"/>
      <c r="Y785" s="571"/>
      <c r="Z785" s="571"/>
    </row>
    <row r="786" spans="1:26" ht="19.5" hidden="1">
      <c r="A786" s="590"/>
      <c r="B786" s="568"/>
      <c r="C786" s="754" t="s">
        <v>16</v>
      </c>
      <c r="D786" s="863" t="s">
        <v>17</v>
      </c>
      <c r="E786" s="857"/>
      <c r="F786" s="857"/>
      <c r="G786" s="189"/>
      <c r="H786" s="591" t="s">
        <v>12</v>
      </c>
      <c r="I786" s="269"/>
      <c r="J786" s="269"/>
      <c r="K786" s="496"/>
      <c r="L786" s="195">
        <f t="shared" ref="L786:N786" ca="1" si="318">L787+L788</f>
        <v>0</v>
      </c>
      <c r="M786" s="195">
        <f t="shared" si="318"/>
        <v>0</v>
      </c>
      <c r="N786" s="195">
        <f t="shared" si="318"/>
        <v>0</v>
      </c>
      <c r="O786" s="195">
        <f t="shared" ref="O786:O791" ca="1" si="319">IF(L786&gt;0,N786*100/L786,0)</f>
        <v>0</v>
      </c>
      <c r="P786" s="195">
        <f t="shared" ref="P786:P791" si="320">IF(M786&gt;0,N786*100/M786,0)</f>
        <v>0</v>
      </c>
      <c r="Q786" s="571"/>
      <c r="R786" s="571"/>
      <c r="S786" s="571"/>
      <c r="T786" s="571"/>
      <c r="U786" s="571"/>
      <c r="V786" s="571"/>
      <c r="W786" s="571"/>
      <c r="X786" s="571"/>
      <c r="Y786" s="571"/>
      <c r="Z786" s="571"/>
    </row>
    <row r="787" spans="1:26" ht="18.75" hidden="1">
      <c r="A787" s="592"/>
      <c r="B787" s="600"/>
      <c r="C787" s="750"/>
      <c r="D787" s="711"/>
      <c r="E787" s="750" t="s">
        <v>184</v>
      </c>
      <c r="F787" s="750"/>
      <c r="G787" s="596"/>
      <c r="H787" s="165" t="s">
        <v>12</v>
      </c>
      <c r="I787" s="610"/>
      <c r="J787" s="610"/>
      <c r="K787" s="93"/>
      <c r="L787" s="93">
        <f t="shared" ref="L787:N788" si="321">L790+L797</f>
        <v>0</v>
      </c>
      <c r="M787" s="93">
        <f t="shared" si="321"/>
        <v>0</v>
      </c>
      <c r="N787" s="93">
        <f t="shared" si="321"/>
        <v>0</v>
      </c>
      <c r="O787" s="93">
        <f t="shared" si="319"/>
        <v>0</v>
      </c>
      <c r="P787" s="93">
        <f t="shared" si="320"/>
        <v>0</v>
      </c>
      <c r="Q787" s="597"/>
      <c r="R787" s="597"/>
      <c r="S787" s="597"/>
      <c r="T787" s="597"/>
      <c r="U787" s="597"/>
      <c r="V787" s="597"/>
      <c r="W787" s="597"/>
      <c r="X787" s="597"/>
      <c r="Y787" s="597"/>
      <c r="Z787" s="597"/>
    </row>
    <row r="788" spans="1:26" ht="18.75" hidden="1">
      <c r="A788" s="592"/>
      <c r="B788" s="600"/>
      <c r="C788" s="600"/>
      <c r="D788" s="609"/>
      <c r="E788" s="750" t="s">
        <v>185</v>
      </c>
      <c r="F788" s="750"/>
      <c r="G788" s="596"/>
      <c r="H788" s="165" t="s">
        <v>12</v>
      </c>
      <c r="I788" s="610"/>
      <c r="J788" s="610"/>
      <c r="K788" s="93"/>
      <c r="L788" s="93">
        <f t="shared" ca="1" si="321"/>
        <v>0</v>
      </c>
      <c r="M788" s="93">
        <f t="shared" si="321"/>
        <v>0</v>
      </c>
      <c r="N788" s="93">
        <f t="shared" si="321"/>
        <v>0</v>
      </c>
      <c r="O788" s="93">
        <f t="shared" ca="1" si="319"/>
        <v>0</v>
      </c>
      <c r="P788" s="93">
        <f t="shared" si="320"/>
        <v>0</v>
      </c>
      <c r="Q788" s="597"/>
      <c r="R788" s="597"/>
      <c r="S788" s="597"/>
      <c r="T788" s="597"/>
      <c r="U788" s="597"/>
      <c r="V788" s="597"/>
      <c r="W788" s="597"/>
      <c r="X788" s="597"/>
      <c r="Y788" s="597"/>
      <c r="Z788" s="597"/>
    </row>
    <row r="789" spans="1:26" ht="18.75" hidden="1">
      <c r="A789" s="590"/>
      <c r="B789" s="568"/>
      <c r="C789" s="568"/>
      <c r="D789" s="599" t="s">
        <v>20</v>
      </c>
      <c r="E789" s="754"/>
      <c r="F789" s="754"/>
      <c r="G789" s="189"/>
      <c r="H789" s="161" t="s">
        <v>12</v>
      </c>
      <c r="I789" s="184"/>
      <c r="J789" s="184"/>
      <c r="K789" s="163"/>
      <c r="L789" s="496">
        <f t="shared" ref="L789:N789" ca="1" si="322">L790+L791</f>
        <v>0</v>
      </c>
      <c r="M789" s="496">
        <f t="shared" si="322"/>
        <v>0</v>
      </c>
      <c r="N789" s="496">
        <f t="shared" si="322"/>
        <v>0</v>
      </c>
      <c r="O789" s="496">
        <f t="shared" ca="1" si="319"/>
        <v>0</v>
      </c>
      <c r="P789" s="496">
        <f t="shared" si="320"/>
        <v>0</v>
      </c>
      <c r="Q789" s="571"/>
      <c r="R789" s="571"/>
      <c r="S789" s="571"/>
      <c r="T789" s="571"/>
      <c r="U789" s="571"/>
      <c r="V789" s="571"/>
      <c r="W789" s="571"/>
      <c r="X789" s="571"/>
      <c r="Y789" s="571"/>
      <c r="Z789" s="571"/>
    </row>
    <row r="790" spans="1:26" ht="18.75" hidden="1">
      <c r="A790" s="592"/>
      <c r="B790" s="600"/>
      <c r="C790" s="600"/>
      <c r="D790" s="609"/>
      <c r="E790" s="750" t="s">
        <v>184</v>
      </c>
      <c r="F790" s="750"/>
      <c r="G790" s="596"/>
      <c r="H790" s="165" t="s">
        <v>12</v>
      </c>
      <c r="I790" s="610"/>
      <c r="J790" s="610"/>
      <c r="K790" s="93"/>
      <c r="L790" s="93">
        <v>0</v>
      </c>
      <c r="M790" s="93">
        <v>0</v>
      </c>
      <c r="N790" s="93">
        <v>0</v>
      </c>
      <c r="O790" s="93">
        <f t="shared" si="319"/>
        <v>0</v>
      </c>
      <c r="P790" s="93">
        <f t="shared" si="320"/>
        <v>0</v>
      </c>
      <c r="Q790" s="597"/>
      <c r="R790" s="597"/>
      <c r="S790" s="597"/>
      <c r="T790" s="597"/>
      <c r="U790" s="597"/>
      <c r="V790" s="597"/>
      <c r="W790" s="597"/>
      <c r="X790" s="597"/>
      <c r="Y790" s="597"/>
      <c r="Z790" s="597"/>
    </row>
    <row r="791" spans="1:26" ht="18.75" hidden="1">
      <c r="A791" s="592"/>
      <c r="B791" s="600"/>
      <c r="C791" s="600"/>
      <c r="D791" s="609"/>
      <c r="E791" s="750" t="s">
        <v>185</v>
      </c>
      <c r="F791" s="750"/>
      <c r="G791" s="596"/>
      <c r="H791" s="165" t="s">
        <v>12</v>
      </c>
      <c r="I791" s="610"/>
      <c r="J791" s="610"/>
      <c r="K791" s="93"/>
      <c r="L791" s="93">
        <f ca="1">IFERROR(__xludf.DUMMYFUNCTION("IMPORTRANGE(""https://docs.google.com/spreadsheets/d/1QqKyyYR6Q21VydFLVH3TRQUabQu_ym0Zz7PgGX0-kHA/edit?usp=sharing"",""แผน!JJ70"")"),0)</f>
        <v>0</v>
      </c>
      <c r="M791" s="93">
        <v>0</v>
      </c>
      <c r="N791" s="93">
        <f>N792+N793+N794+N795</f>
        <v>0</v>
      </c>
      <c r="O791" s="93">
        <f t="shared" ca="1" si="319"/>
        <v>0</v>
      </c>
      <c r="P791" s="93">
        <f t="shared" si="320"/>
        <v>0</v>
      </c>
      <c r="Q791" s="597"/>
      <c r="R791" s="597"/>
      <c r="S791" s="597"/>
      <c r="T791" s="597"/>
      <c r="U791" s="597"/>
      <c r="V791" s="597"/>
      <c r="W791" s="597"/>
      <c r="X791" s="597"/>
      <c r="Y791" s="597"/>
      <c r="Z791" s="597"/>
    </row>
    <row r="792" spans="1:26" ht="18.75" hidden="1">
      <c r="A792" s="567"/>
      <c r="B792" s="568"/>
      <c r="C792" s="754"/>
      <c r="D792" s="754"/>
      <c r="E792" s="754"/>
      <c r="F792" s="754" t="s">
        <v>186</v>
      </c>
      <c r="G792" s="189"/>
      <c r="H792" s="161" t="s">
        <v>12</v>
      </c>
      <c r="I792" s="269"/>
      <c r="J792" s="269"/>
      <c r="K792" s="496"/>
      <c r="L792" s="496"/>
      <c r="M792" s="496"/>
      <c r="N792" s="817">
        <v>0</v>
      </c>
      <c r="O792" s="496"/>
      <c r="P792" s="496"/>
      <c r="Q792" s="571"/>
      <c r="R792" s="571"/>
      <c r="S792" s="571"/>
      <c r="T792" s="571"/>
      <c r="U792" s="571"/>
      <c r="V792" s="571"/>
      <c r="W792" s="571"/>
      <c r="X792" s="571"/>
      <c r="Y792" s="571"/>
      <c r="Z792" s="571"/>
    </row>
    <row r="793" spans="1:26" ht="18.75" hidden="1">
      <c r="A793" s="567"/>
      <c r="B793" s="568"/>
      <c r="C793" s="754"/>
      <c r="D793" s="754"/>
      <c r="E793" s="754"/>
      <c r="F793" s="754" t="s">
        <v>187</v>
      </c>
      <c r="G793" s="189"/>
      <c r="H793" s="161" t="s">
        <v>12</v>
      </c>
      <c r="I793" s="269"/>
      <c r="J793" s="269"/>
      <c r="K793" s="496"/>
      <c r="L793" s="496"/>
      <c r="M793" s="496"/>
      <c r="N793" s="817">
        <v>0</v>
      </c>
      <c r="O793" s="496"/>
      <c r="P793" s="496"/>
      <c r="Q793" s="571"/>
      <c r="R793" s="571"/>
      <c r="S793" s="571"/>
      <c r="T793" s="571"/>
      <c r="U793" s="571"/>
      <c r="V793" s="571"/>
      <c r="W793" s="571"/>
      <c r="X793" s="571"/>
      <c r="Y793" s="571"/>
      <c r="Z793" s="571"/>
    </row>
    <row r="794" spans="1:26" ht="18.75" hidden="1">
      <c r="A794" s="567"/>
      <c r="B794" s="568"/>
      <c r="C794" s="754"/>
      <c r="D794" s="754"/>
      <c r="E794" s="754"/>
      <c r="F794" s="754" t="s">
        <v>188</v>
      </c>
      <c r="G794" s="189"/>
      <c r="H794" s="161" t="s">
        <v>12</v>
      </c>
      <c r="I794" s="269"/>
      <c r="J794" s="269"/>
      <c r="K794" s="496"/>
      <c r="L794" s="496"/>
      <c r="M794" s="496"/>
      <c r="N794" s="817">
        <v>0</v>
      </c>
      <c r="O794" s="496"/>
      <c r="P794" s="496"/>
      <c r="Q794" s="571"/>
      <c r="R794" s="571"/>
      <c r="S794" s="571"/>
      <c r="T794" s="571"/>
      <c r="U794" s="571"/>
      <c r="V794" s="571"/>
      <c r="W794" s="571"/>
      <c r="X794" s="571"/>
      <c r="Y794" s="571"/>
      <c r="Z794" s="571"/>
    </row>
    <row r="795" spans="1:26" ht="18.75" hidden="1">
      <c r="A795" s="567"/>
      <c r="B795" s="568"/>
      <c r="C795" s="754"/>
      <c r="D795" s="754"/>
      <c r="E795" s="754"/>
      <c r="F795" s="754" t="s">
        <v>189</v>
      </c>
      <c r="G795" s="189"/>
      <c r="H795" s="161" t="s">
        <v>12</v>
      </c>
      <c r="I795" s="269"/>
      <c r="J795" s="269"/>
      <c r="K795" s="496"/>
      <c r="L795" s="496"/>
      <c r="M795" s="496"/>
      <c r="N795" s="817">
        <v>0</v>
      </c>
      <c r="O795" s="496"/>
      <c r="P795" s="496"/>
      <c r="Q795" s="571"/>
      <c r="R795" s="571"/>
      <c r="S795" s="571"/>
      <c r="T795" s="571"/>
      <c r="U795" s="571"/>
      <c r="V795" s="571"/>
      <c r="W795" s="571"/>
      <c r="X795" s="571"/>
      <c r="Y795" s="571"/>
      <c r="Z795" s="571"/>
    </row>
    <row r="796" spans="1:26" ht="18.75" hidden="1">
      <c r="A796" s="590"/>
      <c r="B796" s="568"/>
      <c r="C796" s="754"/>
      <c r="D796" s="599" t="s">
        <v>21</v>
      </c>
      <c r="E796" s="754"/>
      <c r="F796" s="754"/>
      <c r="G796" s="189"/>
      <c r="H796" s="168" t="s">
        <v>12</v>
      </c>
      <c r="I796" s="184"/>
      <c r="J796" s="184"/>
      <c r="K796" s="163"/>
      <c r="L796" s="496">
        <f t="shared" ref="L796:N796" si="323">L797+L798</f>
        <v>0</v>
      </c>
      <c r="M796" s="496">
        <f t="shared" si="323"/>
        <v>0</v>
      </c>
      <c r="N796" s="496">
        <f t="shared" si="323"/>
        <v>0</v>
      </c>
      <c r="O796" s="496">
        <f t="shared" ref="O796:O798" si="324">IF(L796&gt;0,N796*100/L796,0)</f>
        <v>0</v>
      </c>
      <c r="P796" s="496">
        <f t="shared" ref="P796:P798" si="325">IF(M796&gt;0,N796*100/M796,0)</f>
        <v>0</v>
      </c>
      <c r="Q796" s="571"/>
      <c r="R796" s="571"/>
      <c r="S796" s="571"/>
      <c r="T796" s="571"/>
      <c r="U796" s="571"/>
      <c r="V796" s="571"/>
      <c r="W796" s="571"/>
      <c r="X796" s="571"/>
      <c r="Y796" s="571"/>
      <c r="Z796" s="571"/>
    </row>
    <row r="797" spans="1:26" ht="18.75" hidden="1">
      <c r="A797" s="592"/>
      <c r="B797" s="600"/>
      <c r="C797" s="750"/>
      <c r="D797" s="750"/>
      <c r="E797" s="750" t="s">
        <v>18</v>
      </c>
      <c r="F797" s="750"/>
      <c r="G797" s="596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4"/>
        <v>0</v>
      </c>
      <c r="P797" s="93">
        <f t="shared" si="325"/>
        <v>0</v>
      </c>
      <c r="Q797" s="597"/>
      <c r="R797" s="597"/>
      <c r="S797" s="597"/>
      <c r="T797" s="597"/>
      <c r="U797" s="597"/>
      <c r="V797" s="597"/>
      <c r="W797" s="597"/>
      <c r="X797" s="597"/>
      <c r="Y797" s="597"/>
      <c r="Z797" s="597"/>
    </row>
    <row r="798" spans="1:26" ht="18.75" hidden="1">
      <c r="A798" s="592"/>
      <c r="B798" s="600"/>
      <c r="C798" s="750"/>
      <c r="D798" s="750"/>
      <c r="E798" s="750" t="s">
        <v>19</v>
      </c>
      <c r="F798" s="750"/>
      <c r="G798" s="596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4"/>
        <v>0</v>
      </c>
      <c r="P798" s="93">
        <f t="shared" si="325"/>
        <v>0</v>
      </c>
      <c r="Q798" s="597"/>
      <c r="R798" s="597"/>
      <c r="S798" s="597"/>
      <c r="T798" s="597"/>
      <c r="U798" s="597"/>
      <c r="V798" s="597"/>
      <c r="W798" s="597"/>
      <c r="X798" s="597"/>
      <c r="Y798" s="597"/>
      <c r="Z798" s="597"/>
    </row>
    <row r="799" spans="1:26" ht="19.5" hidden="1">
      <c r="A799" s="601"/>
      <c r="B799" s="611"/>
      <c r="C799" s="754" t="s">
        <v>16</v>
      </c>
      <c r="D799" s="840" t="s">
        <v>38</v>
      </c>
      <c r="E799" s="752"/>
      <c r="F799" s="752"/>
      <c r="G799" s="606"/>
      <c r="H799" s="802"/>
      <c r="I799" s="184"/>
      <c r="J799" s="184"/>
      <c r="K799" s="163"/>
      <c r="L799" s="163"/>
      <c r="M799" s="163"/>
      <c r="N799" s="163"/>
      <c r="O799" s="163"/>
      <c r="P799" s="163"/>
      <c r="Q799" s="571"/>
      <c r="R799" s="571"/>
      <c r="S799" s="571"/>
      <c r="T799" s="571"/>
      <c r="U799" s="571"/>
      <c r="V799" s="571"/>
      <c r="W799" s="571"/>
      <c r="X799" s="571"/>
      <c r="Y799" s="571"/>
      <c r="Z799" s="571"/>
    </row>
    <row r="800" spans="1:26" ht="18.75" hidden="1">
      <c r="A800" s="601"/>
      <c r="B800" s="611"/>
      <c r="C800" s="611"/>
      <c r="D800" s="611"/>
      <c r="E800" s="619"/>
      <c r="F800" s="619" t="s">
        <v>320</v>
      </c>
      <c r="G800" s="753"/>
      <c r="H800" s="185" t="s">
        <v>46</v>
      </c>
      <c r="I800" s="184">
        <f ca="1">IFERROR(__xludf.DUMMYFUNCTION("IMPORTRANGE(""https://docs.google.com/spreadsheets/d/1QqKyyYR6Q21VydFLVH3TRQUabQu_ym0Zz7PgGX0-kHA/edit?usp=sharing"",""แผน!JN70"")"),0)</f>
        <v>0</v>
      </c>
      <c r="J800" s="184">
        <f ca="1">IFERROR(__xludf.DUMMYFUNCTION("IMPORTRANGE(""https://docs.google.com/spreadsheets/d/1MaWodYyGHDf7siQLGxnXhG4mBNTNIuy296niS2xXulU/edit?usp=sharing"",""RTK!H70"")"),0)</f>
        <v>0</v>
      </c>
      <c r="K800" s="496">
        <f ca="1">IF(I800&gt;0,J800*100/I800,0)</f>
        <v>0</v>
      </c>
      <c r="L800" s="496"/>
      <c r="M800" s="496"/>
      <c r="N800" s="496"/>
      <c r="O800" s="163"/>
      <c r="P800" s="163"/>
      <c r="Q800" s="571"/>
      <c r="R800" s="571"/>
      <c r="S800" s="571"/>
      <c r="T800" s="571"/>
      <c r="U800" s="571"/>
      <c r="V800" s="571"/>
      <c r="W800" s="571"/>
      <c r="X800" s="571"/>
      <c r="Y800" s="571"/>
      <c r="Z800" s="571"/>
    </row>
    <row r="801" spans="1:26" ht="18.75" hidden="1">
      <c r="A801" s="601"/>
      <c r="B801" s="611"/>
      <c r="C801" s="611"/>
      <c r="D801" s="611"/>
      <c r="E801" s="619"/>
      <c r="F801" s="619"/>
      <c r="G801" s="753"/>
      <c r="H801" s="161" t="s">
        <v>34</v>
      </c>
      <c r="I801" s="184"/>
      <c r="J801" s="269">
        <f ca="1">IFERROR(__xludf.DUMMYFUNCTION("IMPORTRANGE(""https://docs.google.com/spreadsheets/d/1MaWodYyGHDf7siQLGxnXhG4mBNTNIuy296niS2xXulU/edit?usp=sharing"",""RTK!I70"")"),0)</f>
        <v>0</v>
      </c>
      <c r="K801" s="496"/>
      <c r="L801" s="496"/>
      <c r="M801" s="496"/>
      <c r="N801" s="496"/>
      <c r="O801" s="163"/>
      <c r="P801" s="163"/>
      <c r="Q801" s="571"/>
      <c r="R801" s="571"/>
      <c r="S801" s="571"/>
      <c r="T801" s="571"/>
      <c r="U801" s="571"/>
      <c r="V801" s="571"/>
      <c r="W801" s="571"/>
      <c r="X801" s="571"/>
      <c r="Y801" s="571"/>
      <c r="Z801" s="571"/>
    </row>
    <row r="802" spans="1:26" ht="18.75" hidden="1">
      <c r="A802" s="607"/>
      <c r="B802" s="609"/>
      <c r="C802" s="609"/>
      <c r="D802" s="609"/>
      <c r="E802" s="711"/>
      <c r="F802" s="711" t="s">
        <v>321</v>
      </c>
      <c r="G802" s="365"/>
      <c r="H802" s="646" t="s">
        <v>46</v>
      </c>
      <c r="I802" s="166"/>
      <c r="J802" s="610"/>
      <c r="K802" s="167">
        <f>IF(I802&gt;0,J802*100/I802,0)</f>
        <v>0</v>
      </c>
      <c r="L802" s="167"/>
      <c r="M802" s="167"/>
      <c r="N802" s="167"/>
      <c r="O802" s="167"/>
      <c r="P802" s="167"/>
      <c r="Q802" s="597"/>
      <c r="R802" s="597"/>
      <c r="S802" s="597"/>
      <c r="T802" s="597"/>
      <c r="U802" s="597"/>
      <c r="V802" s="597"/>
      <c r="W802" s="597"/>
      <c r="X802" s="597"/>
      <c r="Y802" s="597"/>
      <c r="Z802" s="597"/>
    </row>
    <row r="803" spans="1:26" ht="18.75" hidden="1">
      <c r="A803" s="607"/>
      <c r="B803" s="609"/>
      <c r="C803" s="609"/>
      <c r="D803" s="609"/>
      <c r="E803" s="711"/>
      <c r="F803" s="711"/>
      <c r="G803" s="365"/>
      <c r="H803" s="646" t="s">
        <v>34</v>
      </c>
      <c r="I803" s="166"/>
      <c r="J803" s="610"/>
      <c r="K803" s="167"/>
      <c r="L803" s="167"/>
      <c r="M803" s="167"/>
      <c r="N803" s="167"/>
      <c r="O803" s="167"/>
      <c r="P803" s="167"/>
      <c r="Q803" s="597"/>
      <c r="R803" s="597"/>
      <c r="S803" s="597"/>
      <c r="T803" s="597"/>
      <c r="U803" s="597"/>
      <c r="V803" s="597"/>
      <c r="W803" s="597"/>
      <c r="X803" s="597"/>
      <c r="Y803" s="597"/>
      <c r="Z803" s="597"/>
    </row>
    <row r="804" spans="1:26" ht="19.5" hidden="1">
      <c r="A804" s="784">
        <v>13</v>
      </c>
      <c r="B804" s="785" t="s">
        <v>322</v>
      </c>
      <c r="C804" s="786"/>
      <c r="D804" s="803"/>
      <c r="E804" s="786"/>
      <c r="F804" s="786"/>
      <c r="G804" s="787"/>
      <c r="H804" s="788" t="s">
        <v>46</v>
      </c>
      <c r="I804" s="789"/>
      <c r="J804" s="789">
        <f>J819</f>
        <v>0</v>
      </c>
      <c r="K804" s="790">
        <f>IF(I804&gt;0,J804*100/I804,0)</f>
        <v>0</v>
      </c>
      <c r="L804" s="791"/>
      <c r="M804" s="791"/>
      <c r="N804" s="791"/>
      <c r="O804" s="791"/>
      <c r="P804" s="791"/>
      <c r="Q804" s="597"/>
      <c r="R804" s="597"/>
      <c r="S804" s="597"/>
      <c r="T804" s="597"/>
      <c r="U804" s="597"/>
      <c r="V804" s="597"/>
      <c r="W804" s="597"/>
      <c r="X804" s="597"/>
      <c r="Y804" s="597"/>
      <c r="Z804" s="597"/>
    </row>
    <row r="805" spans="1:26" ht="19.5" hidden="1">
      <c r="A805" s="592"/>
      <c r="B805" s="750"/>
      <c r="C805" s="750" t="s">
        <v>16</v>
      </c>
      <c r="D805" s="864" t="s">
        <v>17</v>
      </c>
      <c r="E805" s="857"/>
      <c r="F805" s="857"/>
      <c r="G805" s="596"/>
      <c r="H805" s="639" t="s">
        <v>12</v>
      </c>
      <c r="I805" s="610"/>
      <c r="J805" s="610"/>
      <c r="K805" s="93"/>
      <c r="L805" s="640">
        <f t="shared" ref="L805:N805" si="326">L806+L807</f>
        <v>0</v>
      </c>
      <c r="M805" s="640">
        <f t="shared" si="326"/>
        <v>0</v>
      </c>
      <c r="N805" s="640">
        <f t="shared" si="326"/>
        <v>0</v>
      </c>
      <c r="O805" s="640">
        <f t="shared" ref="O805:O810" si="327">IF(L805&gt;0,N805*100/L805,0)</f>
        <v>0</v>
      </c>
      <c r="P805" s="640">
        <f t="shared" ref="P805:P810" si="328">IF(M805&gt;0,N805*100/M805,0)</f>
        <v>0</v>
      </c>
      <c r="Q805" s="597"/>
      <c r="R805" s="597"/>
      <c r="S805" s="597"/>
      <c r="T805" s="597"/>
      <c r="U805" s="597"/>
      <c r="V805" s="597"/>
      <c r="W805" s="597"/>
      <c r="X805" s="597"/>
      <c r="Y805" s="597"/>
      <c r="Z805" s="597"/>
    </row>
    <row r="806" spans="1:26" ht="18.75" hidden="1">
      <c r="A806" s="592"/>
      <c r="B806" s="750"/>
      <c r="C806" s="750"/>
      <c r="D806" s="609"/>
      <c r="E806" s="750" t="s">
        <v>184</v>
      </c>
      <c r="F806" s="750"/>
      <c r="G806" s="596"/>
      <c r="H806" s="165" t="s">
        <v>12</v>
      </c>
      <c r="I806" s="610"/>
      <c r="J806" s="610"/>
      <c r="K806" s="93"/>
      <c r="L806" s="93">
        <f t="shared" ref="L806:N807" si="329">L809+L816</f>
        <v>0</v>
      </c>
      <c r="M806" s="93">
        <f t="shared" si="329"/>
        <v>0</v>
      </c>
      <c r="N806" s="93">
        <f t="shared" si="329"/>
        <v>0</v>
      </c>
      <c r="O806" s="93">
        <f t="shared" si="327"/>
        <v>0</v>
      </c>
      <c r="P806" s="93">
        <f t="shared" si="328"/>
        <v>0</v>
      </c>
      <c r="Q806" s="597"/>
      <c r="R806" s="597"/>
      <c r="S806" s="597"/>
      <c r="T806" s="597"/>
      <c r="U806" s="597"/>
      <c r="V806" s="597"/>
      <c r="W806" s="597"/>
      <c r="X806" s="597"/>
      <c r="Y806" s="597"/>
      <c r="Z806" s="597"/>
    </row>
    <row r="807" spans="1:26" ht="18.75" hidden="1">
      <c r="A807" s="592"/>
      <c r="B807" s="750"/>
      <c r="C807" s="750"/>
      <c r="D807" s="609"/>
      <c r="E807" s="750" t="s">
        <v>185</v>
      </c>
      <c r="F807" s="750"/>
      <c r="G807" s="596"/>
      <c r="H807" s="165" t="s">
        <v>12</v>
      </c>
      <c r="I807" s="610"/>
      <c r="J807" s="610"/>
      <c r="K807" s="93"/>
      <c r="L807" s="93">
        <f t="shared" si="329"/>
        <v>0</v>
      </c>
      <c r="M807" s="93">
        <f t="shared" si="329"/>
        <v>0</v>
      </c>
      <c r="N807" s="93">
        <f t="shared" si="329"/>
        <v>0</v>
      </c>
      <c r="O807" s="93">
        <f t="shared" si="327"/>
        <v>0</v>
      </c>
      <c r="P807" s="93">
        <f t="shared" si="328"/>
        <v>0</v>
      </c>
      <c r="Q807" s="597"/>
      <c r="R807" s="597"/>
      <c r="S807" s="597"/>
      <c r="T807" s="597"/>
      <c r="U807" s="597"/>
      <c r="V807" s="597"/>
      <c r="W807" s="597"/>
      <c r="X807" s="597"/>
      <c r="Y807" s="597"/>
      <c r="Z807" s="597"/>
    </row>
    <row r="808" spans="1:26" ht="19.5" hidden="1">
      <c r="A808" s="592"/>
      <c r="B808" s="600"/>
      <c r="C808" s="750"/>
      <c r="D808" s="869" t="s">
        <v>20</v>
      </c>
      <c r="E808" s="857"/>
      <c r="F808" s="857"/>
      <c r="G808" s="596"/>
      <c r="H808" s="639" t="s">
        <v>12</v>
      </c>
      <c r="I808" s="166"/>
      <c r="J808" s="166"/>
      <c r="K808" s="167"/>
      <c r="L808" s="640">
        <f t="shared" ref="L808:N808" si="330">L809+L810</f>
        <v>0</v>
      </c>
      <c r="M808" s="640">
        <f t="shared" si="330"/>
        <v>0</v>
      </c>
      <c r="N808" s="640">
        <f t="shared" si="330"/>
        <v>0</v>
      </c>
      <c r="O808" s="640">
        <f t="shared" si="327"/>
        <v>0</v>
      </c>
      <c r="P808" s="640">
        <f t="shared" si="328"/>
        <v>0</v>
      </c>
      <c r="Q808" s="597"/>
      <c r="R808" s="597"/>
      <c r="S808" s="597"/>
      <c r="T808" s="597"/>
      <c r="U808" s="597"/>
      <c r="V808" s="597"/>
      <c r="W808" s="597"/>
      <c r="X808" s="597"/>
      <c r="Y808" s="597"/>
      <c r="Z808" s="597"/>
    </row>
    <row r="809" spans="1:26" ht="18.75" hidden="1">
      <c r="A809" s="592"/>
      <c r="B809" s="750"/>
      <c r="C809" s="750"/>
      <c r="D809" s="609"/>
      <c r="E809" s="750" t="s">
        <v>184</v>
      </c>
      <c r="F809" s="750"/>
      <c r="G809" s="596"/>
      <c r="H809" s="165" t="s">
        <v>12</v>
      </c>
      <c r="I809" s="610"/>
      <c r="J809" s="610"/>
      <c r="K809" s="93"/>
      <c r="L809" s="93">
        <v>0</v>
      </c>
      <c r="M809" s="93">
        <v>0</v>
      </c>
      <c r="N809" s="93">
        <v>0</v>
      </c>
      <c r="O809" s="93">
        <f t="shared" si="327"/>
        <v>0</v>
      </c>
      <c r="P809" s="93">
        <f t="shared" si="328"/>
        <v>0</v>
      </c>
      <c r="Q809" s="597"/>
      <c r="R809" s="597"/>
      <c r="S809" s="597"/>
      <c r="T809" s="597"/>
      <c r="U809" s="597"/>
      <c r="V809" s="597"/>
      <c r="W809" s="597"/>
      <c r="X809" s="597"/>
      <c r="Y809" s="597"/>
      <c r="Z809" s="597"/>
    </row>
    <row r="810" spans="1:26" ht="18.75" hidden="1">
      <c r="A810" s="592"/>
      <c r="B810" s="750"/>
      <c r="C810" s="750"/>
      <c r="D810" s="609"/>
      <c r="E810" s="750" t="s">
        <v>185</v>
      </c>
      <c r="F810" s="750"/>
      <c r="G810" s="596"/>
      <c r="H810" s="165" t="s">
        <v>12</v>
      </c>
      <c r="I810" s="610"/>
      <c r="J810" s="610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7"/>
        <v>0</v>
      </c>
      <c r="P810" s="93">
        <f t="shared" si="328"/>
        <v>0</v>
      </c>
      <c r="Q810" s="597"/>
      <c r="R810" s="597"/>
      <c r="S810" s="597"/>
      <c r="T810" s="597"/>
      <c r="U810" s="597"/>
      <c r="V810" s="597"/>
      <c r="W810" s="597"/>
      <c r="X810" s="597"/>
      <c r="Y810" s="597"/>
      <c r="Z810" s="597"/>
    </row>
    <row r="811" spans="1:26" ht="18.75" hidden="1">
      <c r="A811" s="642"/>
      <c r="B811" s="600"/>
      <c r="C811" s="750"/>
      <c r="D811" s="600"/>
      <c r="E811" s="750"/>
      <c r="F811" s="750" t="s">
        <v>186</v>
      </c>
      <c r="G811" s="596"/>
      <c r="H811" s="165" t="s">
        <v>12</v>
      </c>
      <c r="I811" s="610"/>
      <c r="J811" s="610"/>
      <c r="K811" s="93"/>
      <c r="L811" s="93"/>
      <c r="M811" s="93"/>
      <c r="N811" s="93"/>
      <c r="O811" s="93"/>
      <c r="P811" s="93"/>
      <c r="Q811" s="597"/>
      <c r="R811" s="597"/>
      <c r="S811" s="597"/>
      <c r="T811" s="597"/>
      <c r="U811" s="597"/>
      <c r="V811" s="597"/>
      <c r="W811" s="597"/>
      <c r="X811" s="597"/>
      <c r="Y811" s="597"/>
      <c r="Z811" s="597"/>
    </row>
    <row r="812" spans="1:26" ht="18.75" hidden="1">
      <c r="A812" s="642"/>
      <c r="B812" s="600"/>
      <c r="C812" s="750"/>
      <c r="D812" s="600"/>
      <c r="E812" s="750"/>
      <c r="F812" s="750" t="s">
        <v>187</v>
      </c>
      <c r="G812" s="596"/>
      <c r="H812" s="165" t="s">
        <v>12</v>
      </c>
      <c r="I812" s="610"/>
      <c r="J812" s="610"/>
      <c r="K812" s="93"/>
      <c r="L812" s="93"/>
      <c r="M812" s="93"/>
      <c r="N812" s="93"/>
      <c r="O812" s="93"/>
      <c r="P812" s="93"/>
      <c r="Q812" s="597"/>
      <c r="R812" s="597"/>
      <c r="S812" s="597"/>
      <c r="T812" s="597"/>
      <c r="U812" s="597"/>
      <c r="V812" s="597"/>
      <c r="W812" s="597"/>
      <c r="X812" s="597"/>
      <c r="Y812" s="597"/>
      <c r="Z812" s="597"/>
    </row>
    <row r="813" spans="1:26" ht="18.75" hidden="1">
      <c r="A813" s="642"/>
      <c r="B813" s="600"/>
      <c r="C813" s="750"/>
      <c r="D813" s="600"/>
      <c r="E813" s="750"/>
      <c r="F813" s="750" t="s">
        <v>188</v>
      </c>
      <c r="G813" s="596"/>
      <c r="H813" s="165" t="s">
        <v>12</v>
      </c>
      <c r="I813" s="610"/>
      <c r="J813" s="610"/>
      <c r="K813" s="93"/>
      <c r="L813" s="93"/>
      <c r="M813" s="93"/>
      <c r="N813" s="93"/>
      <c r="O813" s="93"/>
      <c r="P813" s="93"/>
      <c r="Q813" s="597"/>
      <c r="R813" s="597"/>
      <c r="S813" s="597"/>
      <c r="T813" s="597"/>
      <c r="U813" s="597"/>
      <c r="V813" s="597"/>
      <c r="W813" s="597"/>
      <c r="X813" s="597"/>
      <c r="Y813" s="597"/>
      <c r="Z813" s="597"/>
    </row>
    <row r="814" spans="1:26" ht="18.75" hidden="1">
      <c r="A814" s="642"/>
      <c r="B814" s="600"/>
      <c r="C814" s="750"/>
      <c r="D814" s="600"/>
      <c r="E814" s="750"/>
      <c r="F814" s="750" t="s">
        <v>189</v>
      </c>
      <c r="G814" s="596"/>
      <c r="H814" s="165" t="s">
        <v>12</v>
      </c>
      <c r="I814" s="610"/>
      <c r="J814" s="610"/>
      <c r="K814" s="93"/>
      <c r="L814" s="93"/>
      <c r="M814" s="93"/>
      <c r="N814" s="93"/>
      <c r="O814" s="93"/>
      <c r="P814" s="93"/>
      <c r="Q814" s="597"/>
      <c r="R814" s="597"/>
      <c r="S814" s="597"/>
      <c r="T814" s="597"/>
      <c r="U814" s="597"/>
      <c r="V814" s="597"/>
      <c r="W814" s="597"/>
      <c r="X814" s="597"/>
      <c r="Y814" s="597"/>
      <c r="Z814" s="597"/>
    </row>
    <row r="815" spans="1:26" ht="19.5" hidden="1">
      <c r="A815" s="592"/>
      <c r="B815" s="600"/>
      <c r="C815" s="750"/>
      <c r="D815" s="869" t="s">
        <v>21</v>
      </c>
      <c r="E815" s="857"/>
      <c r="F815" s="857"/>
      <c r="G815" s="596"/>
      <c r="H815" s="774" t="s">
        <v>12</v>
      </c>
      <c r="I815" s="166"/>
      <c r="J815" s="166"/>
      <c r="K815" s="167"/>
      <c r="L815" s="640">
        <f t="shared" ref="L815:N815" si="331">L816+L817</f>
        <v>0</v>
      </c>
      <c r="M815" s="640">
        <f t="shared" si="331"/>
        <v>0</v>
      </c>
      <c r="N815" s="640">
        <f t="shared" si="331"/>
        <v>0</v>
      </c>
      <c r="O815" s="640">
        <f t="shared" ref="O815:O817" si="332">IF(L815&gt;0,N815*100/L815,0)</f>
        <v>0</v>
      </c>
      <c r="P815" s="640">
        <f t="shared" ref="P815:P817" si="333">IF(M815&gt;0,N815*100/M815,0)</f>
        <v>0</v>
      </c>
      <c r="Q815" s="597"/>
      <c r="R815" s="597"/>
      <c r="S815" s="597"/>
      <c r="T815" s="597"/>
      <c r="U815" s="597"/>
      <c r="V815" s="597"/>
      <c r="W815" s="597"/>
      <c r="X815" s="597"/>
      <c r="Y815" s="597"/>
      <c r="Z815" s="597"/>
    </row>
    <row r="816" spans="1:26" ht="18.75" hidden="1">
      <c r="A816" s="592"/>
      <c r="B816" s="600"/>
      <c r="C816" s="750"/>
      <c r="D816" s="600"/>
      <c r="E816" s="750" t="s">
        <v>18</v>
      </c>
      <c r="F816" s="750"/>
      <c r="G816" s="596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2"/>
        <v>0</v>
      </c>
      <c r="P816" s="93">
        <f t="shared" si="333"/>
        <v>0</v>
      </c>
      <c r="Q816" s="597"/>
      <c r="R816" s="597"/>
      <c r="S816" s="597"/>
      <c r="T816" s="597"/>
      <c r="U816" s="597"/>
      <c r="V816" s="597"/>
      <c r="W816" s="597"/>
      <c r="X816" s="597"/>
      <c r="Y816" s="597"/>
      <c r="Z816" s="597"/>
    </row>
    <row r="817" spans="1:26" ht="18.75" hidden="1">
      <c r="A817" s="592"/>
      <c r="B817" s="600"/>
      <c r="C817" s="750"/>
      <c r="D817" s="600"/>
      <c r="E817" s="750" t="s">
        <v>19</v>
      </c>
      <c r="F817" s="750"/>
      <c r="G817" s="596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2"/>
        <v>0</v>
      </c>
      <c r="P817" s="93">
        <f t="shared" si="333"/>
        <v>0</v>
      </c>
      <c r="Q817" s="597"/>
      <c r="R817" s="597"/>
      <c r="S817" s="597"/>
      <c r="T817" s="597"/>
      <c r="U817" s="597"/>
      <c r="V817" s="597"/>
      <c r="W817" s="597"/>
      <c r="X817" s="597"/>
      <c r="Y817" s="597"/>
      <c r="Z817" s="597"/>
    </row>
    <row r="818" spans="1:26" ht="19.5" hidden="1">
      <c r="A818" s="607"/>
      <c r="B818" s="609"/>
      <c r="C818" s="750" t="s">
        <v>16</v>
      </c>
      <c r="D818" s="842" t="s">
        <v>38</v>
      </c>
      <c r="E818" s="644"/>
      <c r="F818" s="644"/>
      <c r="G818" s="645"/>
      <c r="H818" s="365"/>
      <c r="I818" s="166"/>
      <c r="J818" s="166"/>
      <c r="K818" s="167"/>
      <c r="L818" s="167"/>
      <c r="M818" s="167"/>
      <c r="N818" s="167"/>
      <c r="O818" s="167"/>
      <c r="P818" s="167"/>
      <c r="Q818" s="597"/>
      <c r="R818" s="597"/>
      <c r="S818" s="597"/>
      <c r="T818" s="597"/>
      <c r="U818" s="597"/>
      <c r="V818" s="597"/>
      <c r="W818" s="597"/>
      <c r="X818" s="597"/>
      <c r="Y818" s="597"/>
      <c r="Z818" s="597"/>
    </row>
    <row r="819" spans="1:26" ht="19.5" hidden="1" thickBot="1">
      <c r="A819" s="805"/>
      <c r="B819" s="806"/>
      <c r="C819" s="808"/>
      <c r="D819" s="806"/>
      <c r="E819" s="808" t="s">
        <v>323</v>
      </c>
      <c r="F819" s="808"/>
      <c r="G819" s="809"/>
      <c r="H819" s="810" t="s">
        <v>46</v>
      </c>
      <c r="I819" s="811"/>
      <c r="J819" s="811"/>
      <c r="K819" s="812"/>
      <c r="L819" s="812"/>
      <c r="M819" s="812"/>
      <c r="N819" s="812"/>
      <c r="O819" s="812"/>
      <c r="P819" s="812"/>
      <c r="Q819" s="597"/>
      <c r="R819" s="597"/>
      <c r="S819" s="597"/>
      <c r="T819" s="597"/>
      <c r="U819" s="597"/>
      <c r="V819" s="597"/>
      <c r="W819" s="597"/>
      <c r="X819" s="597"/>
      <c r="Y819" s="597"/>
      <c r="Z819" s="597"/>
    </row>
    <row r="820" spans="1:26" ht="19.5">
      <c r="A820" s="813" t="s">
        <v>331</v>
      </c>
      <c r="B820" s="814"/>
      <c r="C820" s="814"/>
      <c r="D820" s="815"/>
      <c r="E820" s="814"/>
      <c r="F820" s="814"/>
      <c r="G820" s="816"/>
      <c r="H820" s="816"/>
      <c r="I820" s="214"/>
      <c r="J820" s="214"/>
      <c r="K820" s="817"/>
      <c r="L820" s="817"/>
      <c r="M820" s="817"/>
      <c r="N820" s="817"/>
      <c r="O820" s="817"/>
      <c r="P820" s="817"/>
      <c r="Q820" s="571"/>
      <c r="R820" s="571"/>
      <c r="S820" s="571"/>
      <c r="T820" s="571"/>
      <c r="U820" s="571"/>
      <c r="V820" s="571"/>
      <c r="W820" s="571"/>
      <c r="X820" s="571"/>
      <c r="Y820" s="571"/>
      <c r="Z820" s="571"/>
    </row>
    <row r="821" spans="1:26" ht="18.75">
      <c r="A821" s="735"/>
      <c r="B821" s="754" t="s">
        <v>325</v>
      </c>
      <c r="C821" s="754"/>
      <c r="D821" s="568"/>
      <c r="E821" s="754"/>
      <c r="F821" s="754"/>
      <c r="G821" s="189"/>
      <c r="H821" s="616" t="s">
        <v>12</v>
      </c>
      <c r="I821" s="269">
        <f ca="1">IFERROR(__xludf.DUMMYFUNCTION("IMPORTRANGE(""https://docs.google.com/spreadsheets/d/19vJNZY_5yjcGF2XGBMNZRCAIB0Kwfpjp8YEOfu-bneM/edit?usp=sharing"",""งานกองทุน!D70"")"),2396788.71)</f>
        <v>2396788.71</v>
      </c>
      <c r="J821" s="269">
        <f ca="1">IFERROR(__xludf.DUMMYFUNCTION("IMPORTRANGE(""https://docs.google.com/spreadsheets/d/19vJNZY_5yjcGF2XGBMNZRCAIB0Kwfpjp8YEOfu-bneM/edit?usp=sharing"",""งานกองทุน!F70"")"),50000)</f>
        <v>50000</v>
      </c>
      <c r="K821" s="496">
        <f t="shared" ref="K821:K828" ca="1" si="334">IF(I821&gt;0,J821*100/I821,0)</f>
        <v>2.0861246463398104</v>
      </c>
      <c r="L821" s="496"/>
      <c r="M821" s="496"/>
      <c r="N821" s="496"/>
      <c r="O821" s="496"/>
      <c r="P821" s="496"/>
      <c r="Q821" s="571"/>
      <c r="R821" s="571"/>
      <c r="S821" s="571"/>
      <c r="T821" s="571"/>
      <c r="U821" s="571"/>
      <c r="V821" s="571"/>
      <c r="W821" s="571"/>
      <c r="X821" s="571"/>
      <c r="Y821" s="571"/>
      <c r="Z821" s="571"/>
    </row>
    <row r="822" spans="1:26" ht="18.75">
      <c r="A822" s="735"/>
      <c r="B822" s="754"/>
      <c r="C822" s="754"/>
      <c r="D822" s="568"/>
      <c r="E822" s="754"/>
      <c r="F822" s="754"/>
      <c r="G822" s="189"/>
      <c r="H822" s="616" t="s">
        <v>35</v>
      </c>
      <c r="I822" s="269">
        <f ca="1">IFERROR(__xludf.DUMMYFUNCTION("IMPORTRANGE(""https://docs.google.com/spreadsheets/d/19vJNZY_5yjcGF2XGBMNZRCAIB0Kwfpjp8YEOfu-bneM/edit?usp=sharing"",""งานกองทุน!C70"")"),174)</f>
        <v>174</v>
      </c>
      <c r="J822" s="269">
        <f ca="1">IFERROR(__xludf.DUMMYFUNCTION("IMPORTRANGE(""https://docs.google.com/spreadsheets/d/19vJNZY_5yjcGF2XGBMNZRCAIB0Kwfpjp8YEOfu-bneM/edit?usp=sharing"",""งานกองทุน!E70"")"),1)</f>
        <v>1</v>
      </c>
      <c r="K822" s="496">
        <f t="shared" ca="1" si="334"/>
        <v>0.57471264367816088</v>
      </c>
      <c r="L822" s="496"/>
      <c r="M822" s="496"/>
      <c r="N822" s="496"/>
      <c r="O822" s="496"/>
      <c r="P822" s="496"/>
      <c r="Q822" s="571"/>
      <c r="R822" s="571"/>
      <c r="S822" s="571"/>
      <c r="T822" s="571"/>
      <c r="U822" s="571"/>
      <c r="V822" s="571"/>
      <c r="W822" s="571"/>
      <c r="X822" s="571"/>
      <c r="Y822" s="571"/>
      <c r="Z822" s="571"/>
    </row>
    <row r="823" spans="1:26" ht="18.75">
      <c r="A823" s="735"/>
      <c r="B823" s="754" t="s">
        <v>326</v>
      </c>
      <c r="C823" s="754"/>
      <c r="D823" s="568"/>
      <c r="E823" s="754"/>
      <c r="F823" s="754"/>
      <c r="G823" s="189"/>
      <c r="H823" s="616" t="s">
        <v>12</v>
      </c>
      <c r="I823" s="269">
        <f ca="1">IFERROR(__xludf.DUMMYFUNCTION("IMPORTRANGE(""https://docs.google.com/spreadsheets/d/19vJNZY_5yjcGF2XGBMNZRCAIB0Kwfpjp8YEOfu-bneM/edit?usp=sharing"",""งานกองทุน!I70"")"),16965786.14)</f>
        <v>16965786.140000001</v>
      </c>
      <c r="J823" s="269">
        <f ca="1">IFERROR(__xludf.DUMMYFUNCTION("IMPORTRANGE(""https://docs.google.com/spreadsheets/d/19vJNZY_5yjcGF2XGBMNZRCAIB0Kwfpjp8YEOfu-bneM/edit?usp=sharing"",""งานกองทุน!K70"")"),62318.08)</f>
        <v>62318.080000000002</v>
      </c>
      <c r="K823" s="496">
        <f t="shared" ca="1" si="334"/>
        <v>0.36731619440300217</v>
      </c>
      <c r="L823" s="496"/>
      <c r="M823" s="496"/>
      <c r="N823" s="496"/>
      <c r="O823" s="496"/>
      <c r="P823" s="496"/>
      <c r="Q823" s="571"/>
      <c r="R823" s="571"/>
      <c r="S823" s="571"/>
      <c r="T823" s="571"/>
      <c r="U823" s="571"/>
      <c r="V823" s="571"/>
      <c r="W823" s="571"/>
      <c r="X823" s="571"/>
      <c r="Y823" s="571"/>
      <c r="Z823" s="571"/>
    </row>
    <row r="824" spans="1:26" ht="18.75">
      <c r="A824" s="735"/>
      <c r="B824" s="754"/>
      <c r="C824" s="754"/>
      <c r="D824" s="568"/>
      <c r="E824" s="754"/>
      <c r="F824" s="754"/>
      <c r="G824" s="189"/>
      <c r="H824" s="616" t="s">
        <v>35</v>
      </c>
      <c r="I824" s="269">
        <f ca="1">IFERROR(__xludf.DUMMYFUNCTION("IMPORTRANGE(""https://docs.google.com/spreadsheets/d/19vJNZY_5yjcGF2XGBMNZRCAIB0Kwfpjp8YEOfu-bneM/edit?usp=sharing"",""งานกองทุน!H70"")"),254)</f>
        <v>254</v>
      </c>
      <c r="J824" s="269">
        <f ca="1">IFERROR(__xludf.DUMMYFUNCTION("IMPORTRANGE(""https://docs.google.com/spreadsheets/d/19vJNZY_5yjcGF2XGBMNZRCAIB0Kwfpjp8YEOfu-bneM/edit?usp=sharing"",""งานกองทุน!J70"")"),41)</f>
        <v>41</v>
      </c>
      <c r="K824" s="496">
        <f t="shared" ca="1" si="334"/>
        <v>16.141732283464567</v>
      </c>
      <c r="L824" s="496"/>
      <c r="M824" s="496"/>
      <c r="N824" s="496"/>
      <c r="O824" s="496"/>
      <c r="P824" s="496"/>
      <c r="Q824" s="571"/>
      <c r="R824" s="571"/>
      <c r="S824" s="571"/>
      <c r="T824" s="571"/>
      <c r="U824" s="571"/>
      <c r="V824" s="571"/>
      <c r="W824" s="571"/>
      <c r="X824" s="571"/>
      <c r="Y824" s="571"/>
      <c r="Z824" s="571"/>
    </row>
    <row r="825" spans="1:26" ht="18.75">
      <c r="A825" s="735"/>
      <c r="B825" s="754" t="s">
        <v>327</v>
      </c>
      <c r="C825" s="754"/>
      <c r="D825" s="568"/>
      <c r="E825" s="754"/>
      <c r="F825" s="754"/>
      <c r="G825" s="189"/>
      <c r="H825" s="616" t="s">
        <v>12</v>
      </c>
      <c r="I825" s="269">
        <f ca="1">IFERROR(__xludf.DUMMYFUNCTION("IMPORTRANGE(""https://docs.google.com/spreadsheets/d/19vJNZY_5yjcGF2XGBMNZRCAIB0Kwfpjp8YEOfu-bneM/edit?usp=sharing"",""งานกองทุน!N70"")"),2357453.85)</f>
        <v>2357453.85</v>
      </c>
      <c r="J825" s="269">
        <f ca="1">IFERROR(__xludf.DUMMYFUNCTION("IMPORTRANGE(""https://docs.google.com/spreadsheets/d/19vJNZY_5yjcGF2XGBMNZRCAIB0Kwfpjp8YEOfu-bneM/edit?usp=sharing"",""งานกองทุน!P70"")"),42271.42)</f>
        <v>42271.42</v>
      </c>
      <c r="K825" s="496">
        <f t="shared" ca="1" si="334"/>
        <v>1.7930963950789534</v>
      </c>
      <c r="L825" s="496"/>
      <c r="M825" s="496"/>
      <c r="N825" s="496"/>
      <c r="O825" s="496"/>
      <c r="P825" s="496"/>
      <c r="Q825" s="571"/>
      <c r="R825" s="571"/>
      <c r="S825" s="571"/>
      <c r="T825" s="571"/>
      <c r="U825" s="571"/>
      <c r="V825" s="571"/>
      <c r="W825" s="571"/>
      <c r="X825" s="571"/>
      <c r="Y825" s="571"/>
      <c r="Z825" s="571"/>
    </row>
    <row r="826" spans="1:26" ht="18.75">
      <c r="A826" s="735"/>
      <c r="B826" s="754"/>
      <c r="C826" s="754"/>
      <c r="D826" s="568"/>
      <c r="E826" s="754"/>
      <c r="F826" s="754"/>
      <c r="G826" s="189"/>
      <c r="H826" s="616" t="s">
        <v>35</v>
      </c>
      <c r="I826" s="269">
        <f ca="1">IFERROR(__xludf.DUMMYFUNCTION("IMPORTRANGE(""https://docs.google.com/spreadsheets/d/19vJNZY_5yjcGF2XGBMNZRCAIB0Kwfpjp8YEOfu-bneM/edit?usp=sharing"",""งานกองทุน!M70"")"),83)</f>
        <v>83</v>
      </c>
      <c r="J826" s="269">
        <f ca="1">IFERROR(__xludf.DUMMYFUNCTION("IMPORTRANGE(""https://docs.google.com/spreadsheets/d/19vJNZY_5yjcGF2XGBMNZRCAIB0Kwfpjp8YEOfu-bneM/edit?usp=sharing"",""งานกองทุน!O70"")"),30)</f>
        <v>30</v>
      </c>
      <c r="K826" s="496">
        <f t="shared" ca="1" si="334"/>
        <v>36.144578313253014</v>
      </c>
      <c r="L826" s="496"/>
      <c r="M826" s="496"/>
      <c r="N826" s="496"/>
      <c r="O826" s="496"/>
      <c r="P826" s="496"/>
      <c r="Q826" s="571"/>
      <c r="R826" s="571"/>
      <c r="S826" s="571"/>
      <c r="T826" s="571"/>
      <c r="U826" s="571"/>
      <c r="V826" s="571"/>
      <c r="W826" s="571"/>
      <c r="X826" s="571"/>
      <c r="Y826" s="571"/>
      <c r="Z826" s="571"/>
    </row>
    <row r="827" spans="1:26" ht="18.75">
      <c r="A827" s="735"/>
      <c r="B827" s="754" t="s">
        <v>328</v>
      </c>
      <c r="C827" s="754"/>
      <c r="D827" s="568"/>
      <c r="E827" s="754"/>
      <c r="F827" s="754"/>
      <c r="G827" s="189"/>
      <c r="H827" s="616" t="s">
        <v>12</v>
      </c>
      <c r="I827" s="269">
        <f ca="1">IFERROR(__xludf.DUMMYFUNCTION("IMPORTRANGE(""https://docs.google.com/spreadsheets/d/19vJNZY_5yjcGF2XGBMNZRCAIB0Kwfpjp8YEOfu-bneM/edit?usp=sharing"",""งานกองทุน!S70"")"),4030000)</f>
        <v>4030000</v>
      </c>
      <c r="J827" s="269">
        <f ca="1">IFERROR(__xludf.DUMMYFUNCTION("IMPORTRANGE(""https://docs.google.com/spreadsheets/d/19vJNZY_5yjcGF2XGBMNZRCAIB0Kwfpjp8YEOfu-bneM/edit?usp=sharing"",""งานกองทุน!U70"")"),0)</f>
        <v>0</v>
      </c>
      <c r="K827" s="496">
        <f t="shared" ca="1" si="334"/>
        <v>0</v>
      </c>
      <c r="L827" s="496"/>
      <c r="M827" s="496"/>
      <c r="N827" s="496"/>
      <c r="O827" s="496"/>
      <c r="P827" s="496"/>
      <c r="Q827" s="571"/>
      <c r="R827" s="571"/>
      <c r="S827" s="571"/>
      <c r="T827" s="571"/>
      <c r="U827" s="571"/>
      <c r="V827" s="571"/>
      <c r="W827" s="571"/>
      <c r="X827" s="571"/>
      <c r="Y827" s="571"/>
      <c r="Z827" s="571"/>
    </row>
    <row r="828" spans="1:26" ht="18.75">
      <c r="A828" s="738"/>
      <c r="B828" s="740"/>
      <c r="C828" s="740"/>
      <c r="D828" s="739"/>
      <c r="E828" s="740"/>
      <c r="F828" s="740"/>
      <c r="G828" s="818"/>
      <c r="H828" s="819" t="s">
        <v>35</v>
      </c>
      <c r="I828" s="499">
        <f ca="1">IFERROR(__xludf.DUMMYFUNCTION("IMPORTRANGE(""https://docs.google.com/spreadsheets/d/19vJNZY_5yjcGF2XGBMNZRCAIB0Kwfpjp8YEOfu-bneM/edit?usp=sharing"",""งานกองทุน!R70"")"),161)</f>
        <v>161</v>
      </c>
      <c r="J828" s="499">
        <f ca="1">IFERROR(__xludf.DUMMYFUNCTION("IMPORTRANGE(""https://docs.google.com/spreadsheets/d/19vJNZY_5yjcGF2XGBMNZRCAIB0Kwfpjp8YEOfu-bneM/edit?usp=sharing"",""งานกองทุน!T70"")"),0)</f>
        <v>0</v>
      </c>
      <c r="K828" s="500">
        <f t="shared" ca="1" si="334"/>
        <v>0</v>
      </c>
      <c r="L828" s="500"/>
      <c r="M828" s="500"/>
      <c r="N828" s="500"/>
      <c r="O828" s="500"/>
      <c r="P828" s="500"/>
      <c r="Q828" s="571"/>
      <c r="R828" s="571"/>
      <c r="S828" s="571"/>
      <c r="T828" s="571"/>
      <c r="U828" s="571"/>
      <c r="V828" s="571"/>
      <c r="W828" s="571"/>
      <c r="X828" s="571"/>
      <c r="Y828" s="571"/>
      <c r="Z828" s="571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544:F544"/>
    <mergeCell ref="A7:G7"/>
    <mergeCell ref="A17:G17"/>
    <mergeCell ref="A27:G27"/>
    <mergeCell ref="B40:G40"/>
    <mergeCell ref="A50:G50"/>
    <mergeCell ref="B51:G51"/>
    <mergeCell ref="D419:F419"/>
    <mergeCell ref="D444:F444"/>
    <mergeCell ref="D467:F467"/>
    <mergeCell ref="D502:F502"/>
    <mergeCell ref="D523:F523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 gridLines="1"/>
  <pageMargins left="0.23622047244094491" right="0.23622047244094491" top="0.74803149606299213" bottom="0.74803149606299213" header="0" footer="0"/>
  <pageSetup paperSize="9" scale="43" fitToHeight="0" pageOrder="overThenDown" orientation="portrait" cellComments="atEnd" r:id="rId1"/>
  <headerFooter>
    <oddFooter>&amp;Cหน้า &amp;P/&amp;N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93F11A-4425-4C48-B70C-1CDADEED2452}">
  <sheetPr codeName="Sheet2"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activeCell="A2" sqref="A2:P2"/>
      <selection pane="bottomLeft" activeCell="A2" sqref="A2:P2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9" width="18.7109375" bestFit="1" customWidth="1"/>
    <col min="10" max="10" width="14.42578125" bestFit="1" customWidth="1"/>
    <col min="11" max="11" width="12.5703125" customWidth="1"/>
    <col min="12" max="14" width="21.28515625" bestFit="1" customWidth="1"/>
    <col min="15" max="16" width="17.5703125" customWidth="1"/>
  </cols>
  <sheetData>
    <row r="1" spans="1:26" ht="19.5">
      <c r="A1" s="844" t="s">
        <v>0</v>
      </c>
      <c r="B1" s="845"/>
      <c r="C1" s="845"/>
      <c r="D1" s="845"/>
      <c r="E1" s="845"/>
      <c r="F1" s="845"/>
      <c r="G1" s="845"/>
      <c r="H1" s="845"/>
      <c r="I1" s="845"/>
      <c r="J1" s="845"/>
      <c r="K1" s="845"/>
      <c r="L1" s="845"/>
      <c r="M1" s="845"/>
      <c r="N1" s="845"/>
      <c r="O1" s="845"/>
      <c r="P1" s="845"/>
    </row>
    <row r="2" spans="1:26" ht="19.5">
      <c r="A2" s="844" t="s">
        <v>329</v>
      </c>
      <c r="B2" s="845"/>
      <c r="C2" s="845"/>
      <c r="D2" s="845"/>
      <c r="E2" s="845"/>
      <c r="F2" s="845"/>
      <c r="G2" s="845"/>
      <c r="H2" s="845"/>
      <c r="I2" s="845"/>
      <c r="J2" s="845"/>
      <c r="K2" s="845"/>
      <c r="L2" s="845"/>
      <c r="M2" s="845"/>
      <c r="N2" s="845"/>
      <c r="O2" s="845"/>
      <c r="P2" s="845"/>
    </row>
    <row r="3" spans="1:26" ht="19.5">
      <c r="A3" s="844" t="s">
        <v>347</v>
      </c>
      <c r="B3" s="845"/>
      <c r="C3" s="845"/>
      <c r="D3" s="845"/>
      <c r="E3" s="845"/>
      <c r="F3" s="845"/>
      <c r="G3" s="845"/>
      <c r="H3" s="845"/>
      <c r="I3" s="845"/>
      <c r="J3" s="845"/>
      <c r="K3" s="845"/>
      <c r="L3" s="845"/>
      <c r="M3" s="845"/>
      <c r="N3" s="845"/>
      <c r="O3" s="845"/>
      <c r="P3" s="845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52" t="s">
        <v>2</v>
      </c>
      <c r="B5" s="845"/>
      <c r="C5" s="845"/>
      <c r="D5" s="845"/>
      <c r="E5" s="845"/>
      <c r="F5" s="845"/>
      <c r="G5" s="853"/>
      <c r="H5" s="846" t="s">
        <v>3</v>
      </c>
      <c r="I5" s="848" t="s">
        <v>4</v>
      </c>
      <c r="J5" s="849"/>
      <c r="K5" s="847"/>
      <c r="L5" s="850" t="s">
        <v>5</v>
      </c>
      <c r="M5" s="847"/>
      <c r="N5" s="851" t="s">
        <v>6</v>
      </c>
      <c r="O5" s="849"/>
      <c r="P5" s="847"/>
    </row>
    <row r="6" spans="1:26" ht="19.5">
      <c r="A6" s="854"/>
      <c r="B6" s="849"/>
      <c r="C6" s="849"/>
      <c r="D6" s="849"/>
      <c r="E6" s="849"/>
      <c r="F6" s="849"/>
      <c r="G6" s="847"/>
      <c r="H6" s="847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55" t="s">
        <v>15</v>
      </c>
      <c r="B7" s="849"/>
      <c r="C7" s="849"/>
      <c r="D7" s="849"/>
      <c r="E7" s="849"/>
      <c r="F7" s="849"/>
      <c r="G7" s="847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7278897</v>
      </c>
      <c r="M8" s="22">
        <f t="shared" ca="1" si="0"/>
        <v>2485409</v>
      </c>
      <c r="N8" s="22">
        <f t="shared" ca="1" si="0"/>
        <v>1535179.95</v>
      </c>
      <c r="O8" s="22">
        <f t="shared" ref="O8:O16" ca="1" si="1">IF(L8&gt;0,N8*100/L8,0)</f>
        <v>21.090832168665116</v>
      </c>
      <c r="P8" s="22">
        <f t="shared" ref="P8:P16" ca="1" si="2">IF(M8&gt;0,N8*100/M8,0)</f>
        <v>61.767698998434462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7278897</v>
      </c>
      <c r="M10" s="30">
        <f t="shared" ca="1" si="3"/>
        <v>2485409</v>
      </c>
      <c r="N10" s="30">
        <f t="shared" ca="1" si="3"/>
        <v>1535179.95</v>
      </c>
      <c r="O10" s="30">
        <f t="shared" ca="1" si="1"/>
        <v>21.090832168665116</v>
      </c>
      <c r="P10" s="30">
        <f t="shared" ca="1" si="2"/>
        <v>61.767698998434462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16" t="s">
        <v>12</v>
      </c>
      <c r="I11" s="269"/>
      <c r="J11" s="269"/>
      <c r="K11" s="496"/>
      <c r="L11" s="496">
        <f t="shared" ref="L11:N11" ca="1" si="4">L12+L13</f>
        <v>6697697</v>
      </c>
      <c r="M11" s="496">
        <f t="shared" ca="1" si="4"/>
        <v>1904209</v>
      </c>
      <c r="N11" s="496">
        <f t="shared" ca="1" si="4"/>
        <v>993579.95</v>
      </c>
      <c r="O11" s="496">
        <f t="shared" ca="1" si="1"/>
        <v>14.834650626924448</v>
      </c>
      <c r="P11" s="496">
        <f t="shared" ca="1" si="2"/>
        <v>52.178093371053279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2" t="s">
        <v>18</v>
      </c>
      <c r="F12" s="40"/>
      <c r="G12" s="42"/>
      <c r="H12" s="43" t="s">
        <v>12</v>
      </c>
      <c r="I12" s="610"/>
      <c r="J12" s="610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2" t="s">
        <v>19</v>
      </c>
      <c r="F13" s="40"/>
      <c r="G13" s="42"/>
      <c r="H13" s="43" t="s">
        <v>12</v>
      </c>
      <c r="I13" s="610"/>
      <c r="J13" s="610"/>
      <c r="K13" s="93"/>
      <c r="L13" s="93">
        <f t="shared" ca="1" si="5"/>
        <v>6697697</v>
      </c>
      <c r="M13" s="93">
        <f t="shared" ca="1" si="5"/>
        <v>1904209</v>
      </c>
      <c r="N13" s="93">
        <f t="shared" ca="1" si="5"/>
        <v>993579.95</v>
      </c>
      <c r="O13" s="93">
        <f t="shared" ca="1" si="1"/>
        <v>14.834650626924448</v>
      </c>
      <c r="P13" s="93">
        <f t="shared" ca="1" si="2"/>
        <v>52.178093371053279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16" t="s">
        <v>12</v>
      </c>
      <c r="I14" s="269"/>
      <c r="J14" s="269"/>
      <c r="K14" s="496"/>
      <c r="L14" s="496">
        <f t="shared" ref="L14:N14" ca="1" si="6">L15+L16</f>
        <v>581200</v>
      </c>
      <c r="M14" s="496">
        <f t="shared" ca="1" si="6"/>
        <v>581200</v>
      </c>
      <c r="N14" s="496">
        <f t="shared" ca="1" si="6"/>
        <v>541600</v>
      </c>
      <c r="O14" s="496">
        <f t="shared" ca="1" si="1"/>
        <v>93.186510667584315</v>
      </c>
      <c r="P14" s="496">
        <f t="shared" ca="1" si="2"/>
        <v>93.186510667584315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2" t="s">
        <v>18</v>
      </c>
      <c r="F15" s="40"/>
      <c r="G15" s="42"/>
      <c r="H15" s="43" t="s">
        <v>12</v>
      </c>
      <c r="I15" s="610"/>
      <c r="J15" s="610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581200</v>
      </c>
      <c r="M16" s="52">
        <f t="shared" ca="1" si="7"/>
        <v>581200</v>
      </c>
      <c r="N16" s="52">
        <f t="shared" ca="1" si="7"/>
        <v>541600</v>
      </c>
      <c r="O16" s="52">
        <f t="shared" ca="1" si="1"/>
        <v>93.186510667584315</v>
      </c>
      <c r="P16" s="52">
        <f t="shared" ca="1" si="2"/>
        <v>93.186510667584315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55" t="s">
        <v>22</v>
      </c>
      <c r="B17" s="849"/>
      <c r="C17" s="849"/>
      <c r="D17" s="849"/>
      <c r="E17" s="849"/>
      <c r="F17" s="849"/>
      <c r="G17" s="847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4378506</v>
      </c>
      <c r="M18" s="22">
        <f t="shared" ca="1" si="8"/>
        <v>2485409</v>
      </c>
      <c r="N18" s="22">
        <f t="shared" ca="1" si="8"/>
        <v>1261919.95</v>
      </c>
      <c r="O18" s="22">
        <f t="shared" ref="O18:O26" ca="1" si="9">IF(L18&gt;0,N18*100/L18,0)</f>
        <v>28.820788415043854</v>
      </c>
      <c r="P18" s="22">
        <f t="shared" ref="P18:P26" ca="1" si="10">IF(M18&gt;0,N18*100/M18,0)</f>
        <v>50.773130297669319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4378506</v>
      </c>
      <c r="M20" s="30">
        <f t="shared" ca="1" si="11"/>
        <v>2485409</v>
      </c>
      <c r="N20" s="30">
        <f t="shared" ca="1" si="11"/>
        <v>1261919.95</v>
      </c>
      <c r="O20" s="30">
        <f t="shared" ca="1" si="9"/>
        <v>28.820788415043854</v>
      </c>
      <c r="P20" s="30">
        <f t="shared" ca="1" si="10"/>
        <v>50.773130297669319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16" t="s">
        <v>12</v>
      </c>
      <c r="I21" s="269"/>
      <c r="J21" s="269"/>
      <c r="K21" s="496"/>
      <c r="L21" s="496">
        <f t="shared" ref="L21:N21" ca="1" si="12">L22+L23</f>
        <v>3797306</v>
      </c>
      <c r="M21" s="496">
        <f t="shared" ca="1" si="12"/>
        <v>1904209</v>
      </c>
      <c r="N21" s="496">
        <f t="shared" ca="1" si="12"/>
        <v>720319.95</v>
      </c>
      <c r="O21" s="496">
        <f t="shared" ca="1" si="9"/>
        <v>18.969236348084667</v>
      </c>
      <c r="P21" s="496">
        <f t="shared" ca="1" si="10"/>
        <v>37.827777833210533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2" t="s">
        <v>18</v>
      </c>
      <c r="F22" s="40"/>
      <c r="G22" s="42"/>
      <c r="H22" s="43" t="s">
        <v>12</v>
      </c>
      <c r="I22" s="610"/>
      <c r="J22" s="610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2" t="s">
        <v>19</v>
      </c>
      <c r="F23" s="40"/>
      <c r="G23" s="42"/>
      <c r="H23" s="43" t="s">
        <v>12</v>
      </c>
      <c r="I23" s="610"/>
      <c r="J23" s="610"/>
      <c r="K23" s="93"/>
      <c r="L23" s="93">
        <f t="shared" ca="1" si="13"/>
        <v>3797306</v>
      </c>
      <c r="M23" s="93">
        <f t="shared" ca="1" si="13"/>
        <v>1904209</v>
      </c>
      <c r="N23" s="93">
        <f t="shared" ca="1" si="13"/>
        <v>720319.95</v>
      </c>
      <c r="O23" s="93">
        <f t="shared" ca="1" si="9"/>
        <v>18.969236348084667</v>
      </c>
      <c r="P23" s="93">
        <f t="shared" ca="1" si="10"/>
        <v>37.827777833210533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16" t="s">
        <v>12</v>
      </c>
      <c r="I24" s="269"/>
      <c r="J24" s="269"/>
      <c r="K24" s="496"/>
      <c r="L24" s="496">
        <f t="shared" ref="L24:N24" ca="1" si="14">L25+L26</f>
        <v>581200</v>
      </c>
      <c r="M24" s="496">
        <f t="shared" ca="1" si="14"/>
        <v>581200</v>
      </c>
      <c r="N24" s="496">
        <f t="shared" ca="1" si="14"/>
        <v>541600</v>
      </c>
      <c r="O24" s="496">
        <f t="shared" ca="1" si="9"/>
        <v>93.186510667584315</v>
      </c>
      <c r="P24" s="496">
        <f t="shared" ca="1" si="10"/>
        <v>93.186510667584315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2" t="s">
        <v>18</v>
      </c>
      <c r="F25" s="40"/>
      <c r="G25" s="42"/>
      <c r="H25" s="43" t="s">
        <v>12</v>
      </c>
      <c r="I25" s="610"/>
      <c r="J25" s="610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581200</v>
      </c>
      <c r="M26" s="52">
        <f t="shared" ca="1" si="15"/>
        <v>581200</v>
      </c>
      <c r="N26" s="52">
        <f t="shared" ca="1" si="15"/>
        <v>541600</v>
      </c>
      <c r="O26" s="52">
        <f t="shared" ca="1" si="9"/>
        <v>93.186510667584315</v>
      </c>
      <c r="P26" s="52">
        <f t="shared" ca="1" si="10"/>
        <v>93.186510667584315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55" t="s">
        <v>23</v>
      </c>
      <c r="B27" s="849"/>
      <c r="C27" s="849"/>
      <c r="D27" s="849"/>
      <c r="E27" s="849"/>
      <c r="F27" s="849"/>
      <c r="G27" s="847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2900391</v>
      </c>
      <c r="M28" s="22">
        <f t="shared" si="16"/>
        <v>0</v>
      </c>
      <c r="N28" s="22">
        <f t="shared" si="16"/>
        <v>273260</v>
      </c>
      <c r="O28" s="22">
        <f t="shared" ref="O28:O37" ca="1" si="17">IF(L28&gt;0,N28*100/L28,0)</f>
        <v>9.4214883441577353</v>
      </c>
      <c r="P28" s="22">
        <f t="shared" ref="P28:P37" si="18">IF(M28&gt;0,N28*100/M28,0)</f>
        <v>0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2900391</v>
      </c>
      <c r="M30" s="30">
        <f t="shared" si="19"/>
        <v>0</v>
      </c>
      <c r="N30" s="30">
        <f t="shared" si="19"/>
        <v>273260</v>
      </c>
      <c r="O30" s="30">
        <f t="shared" ca="1" si="17"/>
        <v>9.4214883441577353</v>
      </c>
      <c r="P30" s="30">
        <f t="shared" si="18"/>
        <v>0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16" t="s">
        <v>12</v>
      </c>
      <c r="I31" s="269"/>
      <c r="J31" s="269"/>
      <c r="K31" s="496"/>
      <c r="L31" s="496">
        <f t="shared" ref="L31:N31" ca="1" si="20">L32+L33</f>
        <v>2900391</v>
      </c>
      <c r="M31" s="496">
        <f t="shared" si="20"/>
        <v>0</v>
      </c>
      <c r="N31" s="496">
        <f t="shared" si="20"/>
        <v>273260</v>
      </c>
      <c r="O31" s="496">
        <f t="shared" ca="1" si="17"/>
        <v>9.4214883441577353</v>
      </c>
      <c r="P31" s="496">
        <f t="shared" si="18"/>
        <v>0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2" t="s">
        <v>18</v>
      </c>
      <c r="F32" s="40"/>
      <c r="G32" s="42"/>
      <c r="H32" s="43" t="s">
        <v>12</v>
      </c>
      <c r="I32" s="610"/>
      <c r="J32" s="610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2" t="s">
        <v>19</v>
      </c>
      <c r="F33" s="40"/>
      <c r="G33" s="42"/>
      <c r="H33" s="43" t="s">
        <v>12</v>
      </c>
      <c r="I33" s="610"/>
      <c r="J33" s="610"/>
      <c r="K33" s="93"/>
      <c r="L33" s="93">
        <f t="shared" ca="1" si="21"/>
        <v>2900391</v>
      </c>
      <c r="M33" s="93">
        <f t="shared" si="21"/>
        <v>0</v>
      </c>
      <c r="N33" s="93">
        <f t="shared" si="21"/>
        <v>273260</v>
      </c>
      <c r="O33" s="93">
        <f t="shared" ca="1" si="17"/>
        <v>9.4214883441577353</v>
      </c>
      <c r="P33" s="93">
        <f t="shared" si="18"/>
        <v>0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16" t="s">
        <v>12</v>
      </c>
      <c r="I34" s="269"/>
      <c r="J34" s="269"/>
      <c r="K34" s="496"/>
      <c r="L34" s="496">
        <f t="shared" ref="L34:N34" ca="1" si="22">L35+L36</f>
        <v>0</v>
      </c>
      <c r="M34" s="496">
        <f t="shared" si="22"/>
        <v>0</v>
      </c>
      <c r="N34" s="496">
        <f t="shared" si="22"/>
        <v>0</v>
      </c>
      <c r="O34" s="496">
        <f t="shared" ca="1" si="17"/>
        <v>0</v>
      </c>
      <c r="P34" s="496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2" t="s">
        <v>18</v>
      </c>
      <c r="F35" s="40"/>
      <c r="G35" s="42"/>
      <c r="H35" s="43" t="s">
        <v>12</v>
      </c>
      <c r="I35" s="610"/>
      <c r="J35" s="610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53" t="s">
        <v>24</v>
      </c>
      <c r="B37" s="54"/>
      <c r="C37" s="54"/>
      <c r="D37" s="54"/>
      <c r="E37" s="54"/>
      <c r="F37" s="54"/>
      <c r="G37" s="55"/>
      <c r="H37" s="56"/>
      <c r="I37" s="423"/>
      <c r="J37" s="423"/>
      <c r="K37" s="58"/>
      <c r="L37" s="59">
        <f t="shared" ref="L37:N37" ca="1" si="24">L41+L53+L66+L88+L119+L132+L149+L165+L181+L261+L277+L298+L315+L328+L345+L389+L402</f>
        <v>4378506</v>
      </c>
      <c r="M37" s="59">
        <f t="shared" ca="1" si="24"/>
        <v>2485409</v>
      </c>
      <c r="N37" s="59">
        <f t="shared" ca="1" si="24"/>
        <v>1261919.95</v>
      </c>
      <c r="O37" s="59">
        <f t="shared" ca="1" si="17"/>
        <v>28.820788415043854</v>
      </c>
      <c r="P37" s="59">
        <f t="shared" ca="1" si="18"/>
        <v>50.773130297669319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56" t="s">
        <v>27</v>
      </c>
      <c r="C40" s="857"/>
      <c r="D40" s="857"/>
      <c r="E40" s="857"/>
      <c r="F40" s="857"/>
      <c r="G40" s="858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20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524846</v>
      </c>
      <c r="M41" s="85">
        <f t="shared" ca="1" si="25"/>
        <v>273869</v>
      </c>
      <c r="N41" s="85">
        <f t="shared" ca="1" si="25"/>
        <v>108145</v>
      </c>
      <c r="O41" s="85">
        <f t="shared" ref="O41:O49" ca="1" si="26">IF(L41&gt;0,N41*100/L41,0)</f>
        <v>20.605091779302882</v>
      </c>
      <c r="P41" s="85">
        <f t="shared" ref="P41:P49" ca="1" si="27">IF(M41&gt;0,N41*100/M41,0)</f>
        <v>39.487857333250567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524846</v>
      </c>
      <c r="M43" s="92">
        <f t="shared" ca="1" si="28"/>
        <v>273869</v>
      </c>
      <c r="N43" s="92">
        <f t="shared" ca="1" si="28"/>
        <v>108145</v>
      </c>
      <c r="O43" s="92">
        <f t="shared" ca="1" si="26"/>
        <v>20.605091779302882</v>
      </c>
      <c r="P43" s="92">
        <f t="shared" ca="1" si="27"/>
        <v>39.487857333250567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16" t="s">
        <v>12</v>
      </c>
      <c r="I44" s="269"/>
      <c r="J44" s="269"/>
      <c r="K44" s="496"/>
      <c r="L44" s="496">
        <f t="shared" ref="L44:N44" ca="1" si="29">L45+L46</f>
        <v>524846</v>
      </c>
      <c r="M44" s="496">
        <f t="shared" ca="1" si="29"/>
        <v>273869</v>
      </c>
      <c r="N44" s="496">
        <f t="shared" ca="1" si="29"/>
        <v>108145</v>
      </c>
      <c r="O44" s="496">
        <f t="shared" ca="1" si="26"/>
        <v>20.605091779302882</v>
      </c>
      <c r="P44" s="496">
        <f t="shared" ca="1" si="27"/>
        <v>39.487857333250567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2" t="s">
        <v>18</v>
      </c>
      <c r="F45" s="40"/>
      <c r="G45" s="42"/>
      <c r="H45" s="43" t="s">
        <v>12</v>
      </c>
      <c r="I45" s="610"/>
      <c r="J45" s="610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2" t="s">
        <v>19</v>
      </c>
      <c r="F46" s="40"/>
      <c r="G46" s="42"/>
      <c r="H46" s="43" t="s">
        <v>12</v>
      </c>
      <c r="I46" s="610"/>
      <c r="J46" s="610"/>
      <c r="K46" s="93"/>
      <c r="L46" s="93">
        <f ca="1">IFERROR(__xludf.DUMMYFUNCTION("IMPORTRANGE(""https://docs.google.com/spreadsheets/d/1MeEWN-I1oV_STSDYn1IFDPWt_1FKiwhDph83XaGc0o0/edit?usp=sharing"",""งบพรบ!M53"")"),524846)</f>
        <v>524846</v>
      </c>
      <c r="M46" s="93">
        <f ca="1">IFERROR(__xludf.DUMMYFUNCTION("IMPORTRANGE(""https://docs.google.com/spreadsheets/d/1MeEWN-I1oV_STSDYn1IFDPWt_1FKiwhDph83XaGc0o0/edit?usp=sharing"",""งบพรบ!R53"")"),273869)</f>
        <v>273869</v>
      </c>
      <c r="N46" s="93">
        <f ca="1">IFERROR(__xludf.DUMMYFUNCTION("IMPORTRANGE(""https://docs.google.com/spreadsheets/d/1MeEWN-I1oV_STSDYn1IFDPWt_1FKiwhDph83XaGc0o0/edit?usp=sharing"",""งบพรบ!T53"")"),108145)</f>
        <v>108145</v>
      </c>
      <c r="O46" s="93">
        <f t="shared" ca="1" si="26"/>
        <v>20.605091779302882</v>
      </c>
      <c r="P46" s="93">
        <f t="shared" ca="1" si="27"/>
        <v>39.487857333250567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16" t="s">
        <v>12</v>
      </c>
      <c r="I47" s="269"/>
      <c r="J47" s="269"/>
      <c r="K47" s="496"/>
      <c r="L47" s="496">
        <f t="shared" ref="L47:N47" ca="1" si="30">L48+L49</f>
        <v>0</v>
      </c>
      <c r="M47" s="496">
        <f t="shared" ca="1" si="30"/>
        <v>0</v>
      </c>
      <c r="N47" s="496">
        <f t="shared" ca="1" si="30"/>
        <v>0</v>
      </c>
      <c r="O47" s="496">
        <f t="shared" ca="1" si="26"/>
        <v>0</v>
      </c>
      <c r="P47" s="496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2" t="s">
        <v>18</v>
      </c>
      <c r="F48" s="40"/>
      <c r="G48" s="42"/>
      <c r="H48" s="43" t="s">
        <v>12</v>
      </c>
      <c r="I48" s="610"/>
      <c r="J48" s="610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IFERROR(__xludf.DUMMYFUNCTION("IMPORTRANGE(""https://docs.google.com/spreadsheets/d/1MeEWN-I1oV_STSDYn1IFDPWt_1FKiwhDph83XaGc0o0/edit?usp=sharing"",""งบพรบ!P53"")"),0)</f>
        <v>0</v>
      </c>
      <c r="M49" s="52">
        <f ca="1">IFERROR(__xludf.DUMMYFUNCTION("IMPORTRANGE(""https://docs.google.com/spreadsheets/d/1MeEWN-I1oV_STSDYn1IFDPWt_1FKiwhDph83XaGc0o0/edit?usp=sharing"",""งบพรบ!S53"")"),0)</f>
        <v>0</v>
      </c>
      <c r="N49" s="52">
        <f ca="1">IFERROR(__xludf.DUMMYFUNCTION("IMPORTRANGE(""https://docs.google.com/spreadsheets/d/1MeEWN-I1oV_STSDYn1IFDPWt_1FKiwhDph83XaGc0o0/edit?usp=sharing"",""งบพรบ!U53"")"),0)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59" t="s">
        <v>28</v>
      </c>
      <c r="B50" s="849"/>
      <c r="C50" s="849"/>
      <c r="D50" s="849"/>
      <c r="E50" s="849"/>
      <c r="F50" s="849"/>
      <c r="G50" s="847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60" t="s">
        <v>29</v>
      </c>
      <c r="C51" s="857"/>
      <c r="D51" s="857"/>
      <c r="E51" s="857"/>
      <c r="F51" s="857"/>
      <c r="G51" s="858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21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1449800</v>
      </c>
      <c r="M53" s="116">
        <f t="shared" ca="1" si="31"/>
        <v>955200</v>
      </c>
      <c r="N53" s="116">
        <f t="shared" ca="1" si="31"/>
        <v>694563.95</v>
      </c>
      <c r="O53" s="116">
        <f t="shared" ref="O53:O61" ca="1" si="32">IF(L53&gt;0,N53*100/L53,0)</f>
        <v>47.907570009656503</v>
      </c>
      <c r="P53" s="116">
        <f t="shared" ref="P53:P61" ca="1" si="33">IF(M53&gt;0,N53*100/M53,0)</f>
        <v>72.713981365159128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1449800</v>
      </c>
      <c r="M55" s="123">
        <f t="shared" ca="1" si="34"/>
        <v>955200</v>
      </c>
      <c r="N55" s="123">
        <f t="shared" ca="1" si="34"/>
        <v>694563.95</v>
      </c>
      <c r="O55" s="123">
        <f t="shared" ca="1" si="32"/>
        <v>47.907570009656503</v>
      </c>
      <c r="P55" s="123">
        <f t="shared" ca="1" si="33"/>
        <v>72.713981365159128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16" t="s">
        <v>12</v>
      </c>
      <c r="I56" s="269"/>
      <c r="J56" s="269"/>
      <c r="K56" s="496"/>
      <c r="L56" s="496">
        <f t="shared" ref="L56:N56" ca="1" si="35">L57+L58</f>
        <v>989200</v>
      </c>
      <c r="M56" s="496">
        <f t="shared" ca="1" si="35"/>
        <v>494600</v>
      </c>
      <c r="N56" s="496">
        <f t="shared" ca="1" si="35"/>
        <v>273563.95</v>
      </c>
      <c r="O56" s="496">
        <f t="shared" ca="1" si="32"/>
        <v>27.655069753336029</v>
      </c>
      <c r="P56" s="496">
        <f t="shared" ca="1" si="33"/>
        <v>55.310139506672058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2" t="s">
        <v>18</v>
      </c>
      <c r="F57" s="40"/>
      <c r="G57" s="42"/>
      <c r="H57" s="43" t="s">
        <v>12</v>
      </c>
      <c r="I57" s="610"/>
      <c r="J57" s="610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2" t="s">
        <v>19</v>
      </c>
      <c r="F58" s="40"/>
      <c r="G58" s="42"/>
      <c r="H58" s="43" t="s">
        <v>12</v>
      </c>
      <c r="I58" s="610"/>
      <c r="J58" s="610"/>
      <c r="K58" s="93"/>
      <c r="L58" s="93">
        <f ca="1">IFERROR(__xludf.DUMMYFUNCTION("IMPORTRANGE(""https://docs.google.com/spreadsheets/d/1MeEWN-I1oV_STSDYn1IFDPWt_1FKiwhDph83XaGc0o0/edit?usp=sharing"",""งบพรบ!W53"")"),989200)</f>
        <v>989200</v>
      </c>
      <c r="M58" s="93">
        <f ca="1">IFERROR(__xludf.DUMMYFUNCTION("IMPORTRANGE(""https://docs.google.com/spreadsheets/d/1MeEWN-I1oV_STSDYn1IFDPWt_1FKiwhDph83XaGc0o0/edit?usp=sharing"",""งบพรบ!AB53"")"),494600)</f>
        <v>494600</v>
      </c>
      <c r="N58" s="93">
        <f ca="1">IFERROR(__xludf.DUMMYFUNCTION("IMPORTRANGE(""https://docs.google.com/spreadsheets/d/1MeEWN-I1oV_STSDYn1IFDPWt_1FKiwhDph83XaGc0o0/edit?usp=sharing"",""งบพรบ!AD53"")"),273563.95)</f>
        <v>273563.95</v>
      </c>
      <c r="O58" s="93">
        <f t="shared" ca="1" si="32"/>
        <v>27.655069753336029</v>
      </c>
      <c r="P58" s="93">
        <f t="shared" ca="1" si="33"/>
        <v>55.310139506672058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16" t="s">
        <v>12</v>
      </c>
      <c r="I59" s="269"/>
      <c r="J59" s="269"/>
      <c r="K59" s="496"/>
      <c r="L59" s="496">
        <f t="shared" ref="L59:N59" ca="1" si="36">L60+L61</f>
        <v>460600</v>
      </c>
      <c r="M59" s="496">
        <f t="shared" ca="1" si="36"/>
        <v>460600</v>
      </c>
      <c r="N59" s="496">
        <f t="shared" ca="1" si="36"/>
        <v>421000</v>
      </c>
      <c r="O59" s="496">
        <f t="shared" ca="1" si="32"/>
        <v>91.402518454190187</v>
      </c>
      <c r="P59" s="496">
        <f t="shared" ca="1" si="33"/>
        <v>91.402518454190187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2" t="s">
        <v>18</v>
      </c>
      <c r="F60" s="40"/>
      <c r="G60" s="42"/>
      <c r="H60" s="43" t="s">
        <v>12</v>
      </c>
      <c r="I60" s="610"/>
      <c r="J60" s="610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IFERROR(__xludf.DUMMYFUNCTION("IMPORTRANGE(""https://docs.google.com/spreadsheets/d/1MeEWN-I1oV_STSDYn1IFDPWt_1FKiwhDph83XaGc0o0/edit?usp=sharing"",""งบพรบ!Z53"")"),460600)</f>
        <v>460600</v>
      </c>
      <c r="M61" s="52">
        <f ca="1">IFERROR(__xludf.DUMMYFUNCTION("IMPORTRANGE(""https://docs.google.com/spreadsheets/d/1MeEWN-I1oV_STSDYn1IFDPWt_1FKiwhDph83XaGc0o0/edit?usp=sharing"",""งบพรบ!AC53"")"),460600)</f>
        <v>460600</v>
      </c>
      <c r="N61" s="52">
        <f ca="1">IFERROR(__xludf.DUMMYFUNCTION("IMPORTRANGE(""https://docs.google.com/spreadsheets/d/1MeEWN-I1oV_STSDYn1IFDPWt_1FKiwhDph83XaGc0o0/edit?usp=sharing"",""งบพรบ!AE53"")"),421000)</f>
        <v>421000</v>
      </c>
      <c r="O61" s="52">
        <f t="shared" ca="1" si="32"/>
        <v>91.402518454190187</v>
      </c>
      <c r="P61" s="52">
        <f t="shared" ca="1" si="33"/>
        <v>91.402518454190187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 hidden="1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 hidden="1">
      <c r="A64" s="138"/>
      <c r="B64" s="208" t="s">
        <v>33</v>
      </c>
      <c r="C64" s="140"/>
      <c r="D64" s="141"/>
      <c r="E64" s="140"/>
      <c r="F64" s="140"/>
      <c r="G64" s="142"/>
      <c r="H64" s="143" t="s">
        <v>34</v>
      </c>
      <c r="I64" s="144">
        <f t="shared" ref="I64:J65" ca="1" si="37">I76</f>
        <v>0</v>
      </c>
      <c r="J64" s="144">
        <f t="shared" si="37"/>
        <v>0</v>
      </c>
      <c r="K64" s="145">
        <f t="shared" ref="K64:K65" ca="1" si="38">IF(I64&gt;0,J64*100/I64,0)</f>
        <v>0</v>
      </c>
      <c r="L64" s="146"/>
      <c r="M64" s="146"/>
      <c r="N64" s="146"/>
      <c r="O64" s="146"/>
      <c r="P64" s="146"/>
    </row>
    <row r="65" spans="1:26" ht="19.5" hidden="1">
      <c r="A65" s="138"/>
      <c r="B65" s="140"/>
      <c r="C65" s="140"/>
      <c r="D65" s="141"/>
      <c r="E65" s="140"/>
      <c r="F65" s="140"/>
      <c r="G65" s="142"/>
      <c r="H65" s="143" t="s">
        <v>35</v>
      </c>
      <c r="I65" s="144">
        <f t="shared" ca="1" si="37"/>
        <v>0</v>
      </c>
      <c r="J65" s="144">
        <f t="shared" si="37"/>
        <v>0</v>
      </c>
      <c r="K65" s="145">
        <f t="shared" ca="1" si="38"/>
        <v>0</v>
      </c>
      <c r="L65" s="146"/>
      <c r="M65" s="146"/>
      <c r="N65" s="146"/>
      <c r="O65" s="146"/>
      <c r="P65" s="146"/>
    </row>
    <row r="66" spans="1:26" ht="19.5" hidden="1">
      <c r="A66" s="147"/>
      <c r="B66" s="148"/>
      <c r="C66" s="149" t="s">
        <v>16</v>
      </c>
      <c r="D66" s="822" t="s">
        <v>17</v>
      </c>
      <c r="E66" s="148"/>
      <c r="F66" s="148"/>
      <c r="G66" s="151"/>
      <c r="H66" s="152" t="s">
        <v>12</v>
      </c>
      <c r="I66" s="419"/>
      <c r="J66" s="419"/>
      <c r="K66" s="154"/>
      <c r="L66" s="155">
        <f t="shared" ref="L66:N66" ca="1" si="39">L67+L68</f>
        <v>0</v>
      </c>
      <c r="M66" s="155">
        <f t="shared" ca="1" si="39"/>
        <v>0</v>
      </c>
      <c r="N66" s="155">
        <f t="shared" ca="1" si="39"/>
        <v>0</v>
      </c>
      <c r="O66" s="155">
        <f t="shared" ref="O66:O74" ca="1" si="40">IF(L66&gt;0,N66*100/L66,0)</f>
        <v>0</v>
      </c>
      <c r="P66" s="155">
        <f t="shared" ref="P66:P74" ca="1" si="41">IF(M66&gt;0,N66*100/M66,0)</f>
        <v>0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2" t="s">
        <v>18</v>
      </c>
      <c r="F67" s="40"/>
      <c r="G67" s="157"/>
      <c r="H67" s="158" t="s">
        <v>12</v>
      </c>
      <c r="I67" s="610"/>
      <c r="J67" s="610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2" t="s">
        <v>19</v>
      </c>
      <c r="F68" s="40"/>
      <c r="G68" s="157"/>
      <c r="H68" s="158" t="s">
        <v>12</v>
      </c>
      <c r="I68" s="610"/>
      <c r="J68" s="610"/>
      <c r="K68" s="93"/>
      <c r="L68" s="93">
        <f t="shared" ca="1" si="42"/>
        <v>0</v>
      </c>
      <c r="M68" s="93">
        <f t="shared" ca="1" si="42"/>
        <v>0</v>
      </c>
      <c r="N68" s="93">
        <f t="shared" ca="1" si="42"/>
        <v>0</v>
      </c>
      <c r="O68" s="93">
        <f t="shared" ca="1" si="40"/>
        <v>0</v>
      </c>
      <c r="P68" s="93">
        <f t="shared" ca="1" si="41"/>
        <v>0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 hidden="1">
      <c r="A69" s="159"/>
      <c r="B69" s="33"/>
      <c r="C69" s="281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6">
        <f t="shared" ref="L69:N69" ca="1" si="43">L70+L71</f>
        <v>0</v>
      </c>
      <c r="M69" s="496">
        <f t="shared" ca="1" si="43"/>
        <v>0</v>
      </c>
      <c r="N69" s="496">
        <f t="shared" ca="1" si="43"/>
        <v>0</v>
      </c>
      <c r="O69" s="496">
        <f t="shared" ca="1" si="40"/>
        <v>0</v>
      </c>
      <c r="P69" s="496">
        <f t="shared" ca="1" si="41"/>
        <v>0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2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2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IFERROR(__xludf.DUMMYFUNCTION("IMPORTRANGE(""https://docs.google.com/spreadsheets/d/1MeEWN-I1oV_STSDYn1IFDPWt_1FKiwhDph83XaGc0o0/edit?usp=sharing"",""งบพรบ!AG53"")"),0)</f>
        <v>0</v>
      </c>
      <c r="M71" s="93">
        <f ca="1">IFERROR(__xludf.DUMMYFUNCTION("IMPORTRANGE(""https://docs.google.com/spreadsheets/d/1MeEWN-I1oV_STSDYn1IFDPWt_1FKiwhDph83XaGc0o0/edit?usp=sharing"",""งบพรบ!AL53"")"),0)</f>
        <v>0</v>
      </c>
      <c r="N71" s="93">
        <f ca="1">IFERROR(__xludf.DUMMYFUNCTION("IMPORTRANGE(""https://docs.google.com/spreadsheets/d/1MeEWN-I1oV_STSDYn1IFDPWt_1FKiwhDph83XaGc0o0/edit?usp=sharing"",""งบพรบ!AN53"")"),0)</f>
        <v>0</v>
      </c>
      <c r="O71" s="93">
        <f t="shared" ca="1" si="40"/>
        <v>0</v>
      </c>
      <c r="P71" s="93">
        <f t="shared" ca="1" si="41"/>
        <v>0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 hidden="1">
      <c r="A72" s="159"/>
      <c r="B72" s="33"/>
      <c r="C72" s="281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6">
        <f t="shared" ref="L72:N72" ca="1" si="44">L73+L74</f>
        <v>0</v>
      </c>
      <c r="M72" s="496">
        <f t="shared" ca="1" si="44"/>
        <v>0</v>
      </c>
      <c r="N72" s="496">
        <f t="shared" ca="1" si="44"/>
        <v>0</v>
      </c>
      <c r="O72" s="496">
        <f t="shared" ca="1" si="40"/>
        <v>0</v>
      </c>
      <c r="P72" s="496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2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2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IFERROR(__xludf.DUMMYFUNCTION("IMPORTRANGE(""https://docs.google.com/spreadsheets/d/1MeEWN-I1oV_STSDYn1IFDPWt_1FKiwhDph83XaGc0o0/edit?usp=sharing"",""งบพรบ!AJ53"")"),0)</f>
        <v>0</v>
      </c>
      <c r="M74" s="93">
        <f ca="1">IFERROR(__xludf.DUMMYFUNCTION("IMPORTRANGE(""https://docs.google.com/spreadsheets/d/1MeEWN-I1oV_STSDYn1IFDPWt_1FKiwhDph83XaGc0o0/edit?usp=sharing"",""งบพรบ!AM53"")"),0)</f>
        <v>0</v>
      </c>
      <c r="N74" s="93">
        <f ca="1">IFERROR(__xludf.DUMMYFUNCTION("IMPORTRANGE(""https://docs.google.com/spreadsheets/d/1MeEWN-I1oV_STSDYn1IFDPWt_1FKiwhDph83XaGc0o0/edit?usp=sharing"",""งบพรบ!AO53"")"),0)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 hidden="1">
      <c r="A75" s="170"/>
      <c r="B75" s="171"/>
      <c r="C75" s="164" t="s">
        <v>16</v>
      </c>
      <c r="D75" s="823" t="s">
        <v>38</v>
      </c>
      <c r="E75" s="173"/>
      <c r="F75" s="173"/>
      <c r="G75" s="174"/>
      <c r="H75" s="753"/>
      <c r="I75" s="184"/>
      <c r="J75" s="184"/>
      <c r="K75" s="163"/>
      <c r="L75" s="163"/>
      <c r="M75" s="163"/>
      <c r="N75" s="163"/>
      <c r="O75" s="163"/>
      <c r="P75" s="163"/>
    </row>
    <row r="76" spans="1:26" ht="19.5" hidden="1">
      <c r="A76" s="170"/>
      <c r="B76" s="171"/>
      <c r="C76" s="171"/>
      <c r="D76" s="176" t="s">
        <v>39</v>
      </c>
      <c r="E76" s="446"/>
      <c r="F76" s="178"/>
      <c r="G76" s="179"/>
      <c r="H76" s="180" t="s">
        <v>34</v>
      </c>
      <c r="I76" s="269">
        <f t="shared" ref="I76:J77" ca="1" si="45">I78+I80+I82</f>
        <v>0</v>
      </c>
      <c r="J76" s="269">
        <f t="shared" si="45"/>
        <v>0</v>
      </c>
      <c r="K76" s="163">
        <f t="shared" ref="K76:K84" ca="1" si="46">IF(I76&gt;0,J76*100/I76,0)</f>
        <v>0</v>
      </c>
      <c r="L76" s="163"/>
      <c r="M76" s="163"/>
      <c r="N76" s="163"/>
      <c r="O76" s="163"/>
      <c r="P76" s="163"/>
    </row>
    <row r="77" spans="1:26" ht="19.5" hidden="1">
      <c r="A77" s="170"/>
      <c r="B77" s="171"/>
      <c r="C77" s="171"/>
      <c r="D77" s="171"/>
      <c r="E77" s="178"/>
      <c r="F77" s="178"/>
      <c r="G77" s="179"/>
      <c r="H77" s="180" t="s">
        <v>35</v>
      </c>
      <c r="I77" s="269">
        <f t="shared" ca="1" si="45"/>
        <v>0</v>
      </c>
      <c r="J77" s="269">
        <f t="shared" si="45"/>
        <v>0</v>
      </c>
      <c r="K77" s="163">
        <f t="shared" ca="1" si="46"/>
        <v>0</v>
      </c>
      <c r="L77" s="163"/>
      <c r="M77" s="163"/>
      <c r="N77" s="163"/>
      <c r="O77" s="163"/>
      <c r="P77" s="163"/>
    </row>
    <row r="78" spans="1:26" ht="18.75" hidden="1">
      <c r="A78" s="170"/>
      <c r="B78" s="171"/>
      <c r="C78" s="171"/>
      <c r="D78" s="171"/>
      <c r="E78" s="446" t="s">
        <v>40</v>
      </c>
      <c r="F78" s="446"/>
      <c r="G78" s="179"/>
      <c r="H78" s="755" t="s">
        <v>34</v>
      </c>
      <c r="I78" s="184">
        <f ca="1">IFERROR(__xludf.DUMMYFUNCTION("IMPORTRANGE(""https://docs.google.com/spreadsheets/d/1QqKyyYR6Q21VydFLVH3TRQUabQu_ym0Zz7PgGX0-kHA/edit?usp=sharing"",""แผน!H53"")"),0)</f>
        <v>0</v>
      </c>
      <c r="J78" s="214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 hidden="1">
      <c r="A79" s="170"/>
      <c r="B79" s="171"/>
      <c r="C79" s="171"/>
      <c r="D79" s="171"/>
      <c r="E79" s="178"/>
      <c r="F79" s="178"/>
      <c r="G79" s="179"/>
      <c r="H79" s="755" t="s">
        <v>35</v>
      </c>
      <c r="I79" s="184">
        <f ca="1">IFERROR(__xludf.DUMMYFUNCTION("IMPORTRANGE(""https://docs.google.com/spreadsheets/d/1QqKyyYR6Q21VydFLVH3TRQUabQu_ym0Zz7PgGX0-kHA/edit?usp=sharing"",""แผน!I53"")"),0)</f>
        <v>0</v>
      </c>
      <c r="J79" s="214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 hidden="1">
      <c r="A80" s="170"/>
      <c r="B80" s="171"/>
      <c r="C80" s="171"/>
      <c r="D80" s="171"/>
      <c r="E80" s="446" t="s">
        <v>41</v>
      </c>
      <c r="F80" s="446"/>
      <c r="G80" s="179"/>
      <c r="H80" s="755" t="s">
        <v>34</v>
      </c>
      <c r="I80" s="184">
        <f ca="1">IFERROR(__xludf.DUMMYFUNCTION("IMPORTRANGE(""https://docs.google.com/spreadsheets/d/1QqKyyYR6Q21VydFLVH3TRQUabQu_ym0Zz7PgGX0-kHA/edit?usp=sharing"",""แผน!F53"")"),0)</f>
        <v>0</v>
      </c>
      <c r="J80" s="214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 hidden="1">
      <c r="A81" s="170"/>
      <c r="B81" s="171"/>
      <c r="C81" s="171"/>
      <c r="D81" s="171"/>
      <c r="E81" s="178"/>
      <c r="F81" s="178"/>
      <c r="G81" s="179"/>
      <c r="H81" s="755" t="s">
        <v>35</v>
      </c>
      <c r="I81" s="184">
        <f ca="1">IFERROR(__xludf.DUMMYFUNCTION("IMPORTRANGE(""https://docs.google.com/spreadsheets/d/1QqKyyYR6Q21VydFLVH3TRQUabQu_ym0Zz7PgGX0-kHA/edit?usp=sharing"",""แผน!G53"")"),0)</f>
        <v>0</v>
      </c>
      <c r="J81" s="214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 hidden="1">
      <c r="A82" s="170"/>
      <c r="B82" s="171"/>
      <c r="C82" s="171"/>
      <c r="D82" s="171"/>
      <c r="E82" s="446" t="s">
        <v>42</v>
      </c>
      <c r="F82" s="446"/>
      <c r="G82" s="179"/>
      <c r="H82" s="755" t="s">
        <v>34</v>
      </c>
      <c r="I82" s="184">
        <f ca="1">IFERROR(__xludf.DUMMYFUNCTION("IMPORTRANGE(""https://docs.google.com/spreadsheets/d/1QqKyyYR6Q21VydFLVH3TRQUabQu_ym0Zz7PgGX0-kHA/edit?usp=sharing"",""แผน!D53"")"),0)</f>
        <v>0</v>
      </c>
      <c r="J82" s="214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 hidden="1">
      <c r="A83" s="170"/>
      <c r="B83" s="171"/>
      <c r="C83" s="171"/>
      <c r="D83" s="171"/>
      <c r="E83" s="178"/>
      <c r="F83" s="178"/>
      <c r="G83" s="179"/>
      <c r="H83" s="755" t="s">
        <v>35</v>
      </c>
      <c r="I83" s="184">
        <f ca="1">IFERROR(__xludf.DUMMYFUNCTION("IMPORTRANGE(""https://docs.google.com/spreadsheets/d/1QqKyyYR6Q21VydFLVH3TRQUabQu_ym0Zz7PgGX0-kHA/edit?usp=sharing"",""แผน!E53"")"),0)</f>
        <v>0</v>
      </c>
      <c r="J83" s="214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 hidden="1">
      <c r="A84" s="170"/>
      <c r="B84" s="171"/>
      <c r="C84" s="171"/>
      <c r="D84" s="176" t="s">
        <v>43</v>
      </c>
      <c r="E84" s="446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IFERROR(__xludf.DUMMYFUNCTION("IMPORTRANGE(""https://docs.google.com/spreadsheets/d/1QqKyyYR6Q21VydFLVH3TRQUabQu_ym0Zz7PgGX0-kHA/edit?usp=sharing"",""แผน!J53"")"),0)</f>
        <v>0</v>
      </c>
      <c r="J84" s="214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8" t="s">
        <v>45</v>
      </c>
      <c r="C86" s="140"/>
      <c r="D86" s="141"/>
      <c r="E86" s="140"/>
      <c r="F86" s="140"/>
      <c r="G86" s="142"/>
      <c r="H86" s="143" t="s">
        <v>46</v>
      </c>
      <c r="I86" s="144">
        <f t="shared" ref="I86:J87" ca="1" si="47">I98</f>
        <v>30</v>
      </c>
      <c r="J86" s="144">
        <f t="shared" si="47"/>
        <v>0</v>
      </c>
      <c r="K86" s="145">
        <f t="shared" ref="K86:K87" ca="1" si="48">IF(I86&gt;0,J86*100/I86,0)</f>
        <v>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143" t="s">
        <v>35</v>
      </c>
      <c r="I87" s="144">
        <f t="shared" ca="1" si="47"/>
        <v>10</v>
      </c>
      <c r="J87" s="144">
        <f t="shared" si="47"/>
        <v>0</v>
      </c>
      <c r="K87" s="145">
        <f t="shared" ca="1" si="48"/>
        <v>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22" t="s">
        <v>17</v>
      </c>
      <c r="E88" s="148"/>
      <c r="F88" s="148"/>
      <c r="G88" s="151"/>
      <c r="H88" s="152" t="s">
        <v>12</v>
      </c>
      <c r="I88" s="419"/>
      <c r="J88" s="419"/>
      <c r="K88" s="154"/>
      <c r="L88" s="155">
        <f t="shared" ref="L88:N88" ca="1" si="49">L89+L90</f>
        <v>86340</v>
      </c>
      <c r="M88" s="155">
        <f t="shared" ca="1" si="49"/>
        <v>21840</v>
      </c>
      <c r="N88" s="155">
        <f t="shared" ca="1" si="49"/>
        <v>0</v>
      </c>
      <c r="O88" s="155">
        <f t="shared" ref="O88:O96" ca="1" si="50">IF(L88&gt;0,N88*100/L88,0)</f>
        <v>0</v>
      </c>
      <c r="P88" s="155">
        <f t="shared" ref="P88:P96" ca="1" si="51">IF(M88&gt;0,N88*100/M88,0)</f>
        <v>0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2" t="s">
        <v>18</v>
      </c>
      <c r="F89" s="40"/>
      <c r="G89" s="157"/>
      <c r="H89" s="158" t="s">
        <v>12</v>
      </c>
      <c r="I89" s="610"/>
      <c r="J89" s="610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2" t="s">
        <v>19</v>
      </c>
      <c r="F90" s="40"/>
      <c r="G90" s="157"/>
      <c r="H90" s="158" t="s">
        <v>12</v>
      </c>
      <c r="I90" s="610"/>
      <c r="J90" s="610"/>
      <c r="K90" s="93"/>
      <c r="L90" s="93">
        <f t="shared" ca="1" si="52"/>
        <v>86340</v>
      </c>
      <c r="M90" s="93">
        <f t="shared" ca="1" si="52"/>
        <v>21840</v>
      </c>
      <c r="N90" s="93">
        <f t="shared" ca="1" si="52"/>
        <v>0</v>
      </c>
      <c r="O90" s="93">
        <f t="shared" ca="1" si="50"/>
        <v>0</v>
      </c>
      <c r="P90" s="93">
        <f t="shared" ca="1" si="51"/>
        <v>0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1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6">
        <f t="shared" ref="L91:N91" ca="1" si="53">L92+L93</f>
        <v>86340</v>
      </c>
      <c r="M91" s="496">
        <f t="shared" ca="1" si="53"/>
        <v>21840</v>
      </c>
      <c r="N91" s="496">
        <f t="shared" ca="1" si="53"/>
        <v>0</v>
      </c>
      <c r="O91" s="496">
        <f t="shared" ca="1" si="50"/>
        <v>0</v>
      </c>
      <c r="P91" s="496">
        <f t="shared" ca="1" si="51"/>
        <v>0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2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2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IFERROR(__xludf.DUMMYFUNCTION("IMPORTRANGE(""https://docs.google.com/spreadsheets/d/1MeEWN-I1oV_STSDYn1IFDPWt_1FKiwhDph83XaGc0o0/edit?usp=sharing"",""งบพรบ!AQ53"")"),86340)</f>
        <v>86340</v>
      </c>
      <c r="M93" s="93">
        <f ca="1">IFERROR(__xludf.DUMMYFUNCTION("IMPORTRANGE(""https://docs.google.com/spreadsheets/d/1MeEWN-I1oV_STSDYn1IFDPWt_1FKiwhDph83XaGc0o0/edit?usp=sharing"",""งบพรบ!AV53"")"),21840)</f>
        <v>21840</v>
      </c>
      <c r="N93" s="93">
        <f ca="1">IFERROR(__xludf.DUMMYFUNCTION("IMPORTRANGE(""https://docs.google.com/spreadsheets/d/1MeEWN-I1oV_STSDYn1IFDPWt_1FKiwhDph83XaGc0o0/edit?usp=sharing"",""งบพรบ!AX53"")"),0)</f>
        <v>0</v>
      </c>
      <c r="O93" s="93">
        <f t="shared" ca="1" si="50"/>
        <v>0</v>
      </c>
      <c r="P93" s="93">
        <f t="shared" ca="1" si="51"/>
        <v>0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1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6">
        <f t="shared" ref="L94:N94" ca="1" si="54">L95+L96</f>
        <v>0</v>
      </c>
      <c r="M94" s="496">
        <f t="shared" ca="1" si="54"/>
        <v>0</v>
      </c>
      <c r="N94" s="496">
        <f t="shared" ca="1" si="54"/>
        <v>0</v>
      </c>
      <c r="O94" s="496">
        <f t="shared" ca="1" si="50"/>
        <v>0</v>
      </c>
      <c r="P94" s="496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2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2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IFERROR(__xludf.DUMMYFUNCTION("IMPORTRANGE(""https://docs.google.com/spreadsheets/d/1MeEWN-I1oV_STSDYn1IFDPWt_1FKiwhDph83XaGc0o0/edit?usp=sharing"",""งบพรบ!AT53"")"),0)</f>
        <v>0</v>
      </c>
      <c r="M96" s="93">
        <f ca="1">IFERROR(__xludf.DUMMYFUNCTION("IMPORTRANGE(""https://docs.google.com/spreadsheets/d/1MeEWN-I1oV_STSDYn1IFDPWt_1FKiwhDph83XaGc0o0/edit?usp=sharing"",""งบพรบ!AW53"")"),0)</f>
        <v>0</v>
      </c>
      <c r="N96" s="93">
        <f ca="1">IFERROR(__xludf.DUMMYFUNCTION("IMPORTRANGE(""https://docs.google.com/spreadsheets/d/1MeEWN-I1oV_STSDYn1IFDPWt_1FKiwhDph83XaGc0o0/edit?usp=sharing"",""งบพรบ!AY53"")"),0)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23" t="s">
        <v>38</v>
      </c>
      <c r="E97" s="173"/>
      <c r="F97" s="173"/>
      <c r="G97" s="174"/>
      <c r="H97" s="753"/>
      <c r="I97" s="184"/>
      <c r="J97" s="269"/>
      <c r="K97" s="496"/>
      <c r="L97" s="496"/>
      <c r="M97" s="496"/>
      <c r="N97" s="496"/>
      <c r="O97" s="163"/>
      <c r="P97" s="163"/>
    </row>
    <row r="98" spans="1:16" ht="18.75">
      <c r="A98" s="170"/>
      <c r="B98" s="171"/>
      <c r="C98" s="171"/>
      <c r="D98" s="446" t="s">
        <v>47</v>
      </c>
      <c r="E98" s="446"/>
      <c r="F98" s="178"/>
      <c r="G98" s="179"/>
      <c r="H98" s="616" t="s">
        <v>46</v>
      </c>
      <c r="I98" s="269">
        <f ca="1">IFERROR(__xludf.DUMMYFUNCTION("IMPORTRANGE(""https://docs.google.com/spreadsheets/d/1QqKyyYR6Q21VydFLVH3TRQUabQu_ym0Zz7PgGX0-kHA/edit?usp=sharing"",""แผน!K53"")"),30)</f>
        <v>30</v>
      </c>
      <c r="J98" s="269">
        <f>J102</f>
        <v>0</v>
      </c>
      <c r="K98" s="496">
        <f t="shared" ref="K98:K100" ca="1" si="55">IF(I98&gt;0,J98*100/I98,0)</f>
        <v>0</v>
      </c>
      <c r="L98" s="496"/>
      <c r="M98" s="496"/>
      <c r="N98" s="496"/>
      <c r="O98" s="163"/>
      <c r="P98" s="163"/>
    </row>
    <row r="99" spans="1:16" ht="18.75">
      <c r="A99" s="170"/>
      <c r="B99" s="171"/>
      <c r="C99" s="171"/>
      <c r="D99" s="446" t="s">
        <v>48</v>
      </c>
      <c r="E99" s="446"/>
      <c r="F99" s="178"/>
      <c r="G99" s="179"/>
      <c r="H99" s="616" t="s">
        <v>35</v>
      </c>
      <c r="I99" s="269">
        <f ca="1">IFERROR(__xludf.DUMMYFUNCTION("IMPORTRANGE(""https://docs.google.com/spreadsheets/d/1QqKyyYR6Q21VydFLVH3TRQUabQu_ym0Zz7PgGX0-kHA/edit?usp=sharing"",""แผน!L53"")"),10)</f>
        <v>10</v>
      </c>
      <c r="J99" s="269">
        <f>J104</f>
        <v>0</v>
      </c>
      <c r="K99" s="496">
        <f t="shared" ca="1" si="55"/>
        <v>0</v>
      </c>
      <c r="L99" s="496"/>
      <c r="M99" s="496"/>
      <c r="N99" s="496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16" t="s">
        <v>49</v>
      </c>
      <c r="I100" s="269">
        <f ca="1">IFERROR(__xludf.DUMMYFUNCTION("IMPORTRANGE(""https://docs.google.com/spreadsheets/d/1QqKyyYR6Q21VydFLVH3TRQUabQu_ym0Zz7PgGX0-kHA/edit?usp=sharing"",""แผน!M53"")"),2)</f>
        <v>2</v>
      </c>
      <c r="J100" s="269">
        <f>J107+J110</f>
        <v>0</v>
      </c>
      <c r="K100" s="496">
        <f t="shared" ca="1" si="55"/>
        <v>0</v>
      </c>
      <c r="L100" s="496"/>
      <c r="M100" s="496"/>
      <c r="N100" s="496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16"/>
      <c r="I101" s="269"/>
      <c r="J101" s="269"/>
      <c r="K101" s="496"/>
      <c r="L101" s="496"/>
      <c r="M101" s="496"/>
      <c r="N101" s="496"/>
      <c r="O101" s="163"/>
      <c r="P101" s="163"/>
    </row>
    <row r="102" spans="1:16" ht="18.75">
      <c r="A102" s="170"/>
      <c r="B102" s="171"/>
      <c r="C102" s="171"/>
      <c r="D102" s="178"/>
      <c r="E102" s="619" t="s">
        <v>47</v>
      </c>
      <c r="F102" s="178"/>
      <c r="G102" s="179"/>
      <c r="H102" s="616" t="s">
        <v>46</v>
      </c>
      <c r="I102" s="269">
        <f ca="1">IFERROR(__xludf.DUMMYFUNCTION("IMPORTRANGE(""https://docs.google.com/spreadsheets/d/1QqKyyYR6Q21VydFLVH3TRQUabQu_ym0Zz7PgGX0-kHA/edit?usp=sharing"",""แผน!N53"")"),30)</f>
        <v>30</v>
      </c>
      <c r="J102" s="214">
        <v>0</v>
      </c>
      <c r="K102" s="496">
        <f t="shared" ref="K102:K104" ca="1" si="56">IF(I102&gt;0,J102*100/I102,0)</f>
        <v>0</v>
      </c>
      <c r="L102" s="496"/>
      <c r="M102" s="496"/>
      <c r="N102" s="496"/>
      <c r="O102" s="163"/>
      <c r="P102" s="163"/>
    </row>
    <row r="103" spans="1:16" ht="19.5">
      <c r="A103" s="170"/>
      <c r="B103" s="171"/>
      <c r="C103" s="171"/>
      <c r="D103" s="178"/>
      <c r="E103" s="446" t="s">
        <v>51</v>
      </c>
      <c r="F103" s="178"/>
      <c r="G103" s="179"/>
      <c r="H103" s="616" t="s">
        <v>35</v>
      </c>
      <c r="I103" s="269">
        <f ca="1">IFERROR(__xludf.DUMMYFUNCTION("IMPORTRANGE(""https://docs.google.com/spreadsheets/d/1QqKyyYR6Q21VydFLVH3TRQUabQu_ym0Zz7PgGX0-kHA/edit?usp=sharing"",""แผน!O53"")"),10)</f>
        <v>10</v>
      </c>
      <c r="J103" s="214">
        <v>0</v>
      </c>
      <c r="K103" s="496">
        <f t="shared" ca="1" si="56"/>
        <v>0</v>
      </c>
      <c r="L103" s="496"/>
      <c r="M103" s="496"/>
      <c r="N103" s="496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16" t="s">
        <v>35</v>
      </c>
      <c r="I104" s="269">
        <f ca="1">IFERROR(__xludf.DUMMYFUNCTION("IMPORTRANGE(""https://docs.google.com/spreadsheets/d/1QqKyyYR6Q21VydFLVH3TRQUabQu_ym0Zz7PgGX0-kHA/edit?usp=sharing"",""แผน!O53"")"),10)</f>
        <v>10</v>
      </c>
      <c r="J104" s="214">
        <v>0</v>
      </c>
      <c r="K104" s="496">
        <f t="shared" ca="1" si="56"/>
        <v>0</v>
      </c>
      <c r="L104" s="496"/>
      <c r="M104" s="496"/>
      <c r="N104" s="496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69"/>
      <c r="J105" s="269"/>
      <c r="K105" s="496"/>
      <c r="L105" s="496"/>
      <c r="M105" s="496"/>
      <c r="N105" s="496"/>
      <c r="O105" s="163"/>
      <c r="P105" s="163"/>
    </row>
    <row r="106" spans="1:16" ht="19.5">
      <c r="A106" s="170"/>
      <c r="B106" s="171"/>
      <c r="C106" s="171"/>
      <c r="D106" s="178"/>
      <c r="E106" s="446" t="s">
        <v>54</v>
      </c>
      <c r="F106" s="178"/>
      <c r="G106" s="179"/>
      <c r="H106" s="616" t="s">
        <v>49</v>
      </c>
      <c r="I106" s="269">
        <f ca="1">IFERROR(__xludf.DUMMYFUNCTION("IMPORTRANGE(""https://docs.google.com/spreadsheets/d/1QqKyyYR6Q21VydFLVH3TRQUabQu_ym0Zz7PgGX0-kHA/edit?usp=sharing"",""แผน!P53"")"),1)</f>
        <v>1</v>
      </c>
      <c r="J106" s="214">
        <v>0</v>
      </c>
      <c r="K106" s="496">
        <f t="shared" ref="K106:K107" ca="1" si="57">IF(I106&gt;0,J106*100/I106,0)</f>
        <v>0</v>
      </c>
      <c r="L106" s="496"/>
      <c r="M106" s="496"/>
      <c r="N106" s="496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16" t="s">
        <v>49</v>
      </c>
      <c r="I107" s="269">
        <f ca="1">IFERROR(__xludf.DUMMYFUNCTION("IMPORTRANGE(""https://docs.google.com/spreadsheets/d/1QqKyyYR6Q21VydFLVH3TRQUabQu_ym0Zz7PgGX0-kHA/edit?usp=sharing"",""แผน!P53"")"),1)</f>
        <v>1</v>
      </c>
      <c r="J107" s="214">
        <v>0</v>
      </c>
      <c r="K107" s="496">
        <f t="shared" ca="1" si="57"/>
        <v>0</v>
      </c>
      <c r="L107" s="496"/>
      <c r="M107" s="496"/>
      <c r="N107" s="496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69"/>
      <c r="J108" s="269"/>
      <c r="K108" s="496"/>
      <c r="L108" s="496"/>
      <c r="M108" s="496"/>
      <c r="N108" s="496"/>
      <c r="O108" s="163"/>
      <c r="P108" s="163"/>
    </row>
    <row r="109" spans="1:16" ht="19.5">
      <c r="A109" s="170"/>
      <c r="B109" s="171"/>
      <c r="C109" s="171"/>
      <c r="D109" s="178"/>
      <c r="E109" s="446" t="s">
        <v>57</v>
      </c>
      <c r="F109" s="178"/>
      <c r="G109" s="179"/>
      <c r="H109" s="616" t="s">
        <v>49</v>
      </c>
      <c r="I109" s="269">
        <f ca="1">IFERROR(__xludf.DUMMYFUNCTION("IMPORTRANGE(""https://docs.google.com/spreadsheets/d/1QqKyyYR6Q21VydFLVH3TRQUabQu_ym0Zz7PgGX0-kHA/edit?usp=sharing"",""แผน!Q53"")"),1)</f>
        <v>1</v>
      </c>
      <c r="J109" s="214">
        <v>0</v>
      </c>
      <c r="K109" s="496">
        <f t="shared" ref="K109:K116" ca="1" si="58">IF(I109&gt;0,J109*100/I109,0)</f>
        <v>0</v>
      </c>
      <c r="L109" s="496"/>
      <c r="M109" s="496"/>
      <c r="N109" s="496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16" t="s">
        <v>49</v>
      </c>
      <c r="I110" s="269">
        <f ca="1">IFERROR(__xludf.DUMMYFUNCTION("IMPORTRANGE(""https://docs.google.com/spreadsheets/d/1QqKyyYR6Q21VydFLVH3TRQUabQu_ym0Zz7PgGX0-kHA/edit?usp=sharing"",""แผน!Q53"")"),1)</f>
        <v>1</v>
      </c>
      <c r="J110" s="214">
        <v>0</v>
      </c>
      <c r="K110" s="496">
        <f t="shared" ca="1" si="58"/>
        <v>0</v>
      </c>
      <c r="L110" s="496"/>
      <c r="M110" s="496"/>
      <c r="N110" s="496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58" t="s">
        <v>35</v>
      </c>
      <c r="I111" s="193">
        <f ca="1">IFERROR(__xludf.DUMMYFUNCTION("IMPORTRANGE(""https://docs.google.com/spreadsheets/d/1QqKyyYR6Q21VydFLVH3TRQUabQu_ym0Zz7PgGX0-kHA/edit?usp=sharing"",""แผน!R53"")"),10)</f>
        <v>10</v>
      </c>
      <c r="J111" s="674">
        <f>J114</f>
        <v>0</v>
      </c>
      <c r="K111" s="195">
        <f t="shared" ca="1" si="58"/>
        <v>0</v>
      </c>
      <c r="L111" s="496"/>
      <c r="M111" s="496"/>
      <c r="N111" s="496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2</v>
      </c>
      <c r="J112" s="674">
        <f t="shared" si="59"/>
        <v>0</v>
      </c>
      <c r="K112" s="195">
        <f t="shared" ca="1" si="58"/>
        <v>0</v>
      </c>
      <c r="L112" s="496"/>
      <c r="M112" s="496"/>
      <c r="N112" s="496"/>
      <c r="O112" s="163"/>
      <c r="P112" s="163"/>
    </row>
    <row r="113" spans="1:26" ht="19.5">
      <c r="A113" s="170"/>
      <c r="B113" s="171"/>
      <c r="C113" s="171"/>
      <c r="D113" s="171"/>
      <c r="E113" s="525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IFERROR(__xludf.DUMMYFUNCTION("IMPORTRANGE(""https://docs.google.com/spreadsheets/d/1QqKyyYR6Q21VydFLVH3TRQUabQu_ym0Zz7PgGX0-kHA/edit?usp=sharing"",""แผน!R53"")"),10)</f>
        <v>10</v>
      </c>
      <c r="J113" s="214">
        <v>0</v>
      </c>
      <c r="K113" s="496">
        <f t="shared" ca="1" si="58"/>
        <v>0</v>
      </c>
      <c r="L113" s="496"/>
      <c r="M113" s="496"/>
      <c r="N113" s="496"/>
      <c r="O113" s="163"/>
      <c r="P113" s="163"/>
    </row>
    <row r="114" spans="1:26" ht="19.5">
      <c r="A114" s="170"/>
      <c r="B114" s="171"/>
      <c r="C114" s="171"/>
      <c r="D114" s="171"/>
      <c r="E114" s="446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IFERROR(__xludf.DUMMYFUNCTION("IMPORTRANGE(""https://docs.google.com/spreadsheets/d/1QqKyyYR6Q21VydFLVH3TRQUabQu_ym0Zz7PgGX0-kHA/edit?usp=sharing"",""แผน!R53"")"),10)</f>
        <v>10</v>
      </c>
      <c r="J114" s="214">
        <v>0</v>
      </c>
      <c r="K114" s="496">
        <f t="shared" ca="1" si="58"/>
        <v>0</v>
      </c>
      <c r="L114" s="496"/>
      <c r="M114" s="496"/>
      <c r="N114" s="496"/>
      <c r="O114" s="163"/>
      <c r="P114" s="163"/>
    </row>
    <row r="115" spans="1:26" ht="18.75">
      <c r="A115" s="170"/>
      <c r="B115" s="171"/>
      <c r="C115" s="171"/>
      <c r="D115" s="171"/>
      <c r="E115" s="446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IFERROR(__xludf.DUMMYFUNCTION("IMPORTRANGE(""https://docs.google.com/spreadsheets/d/1QqKyyYR6Q21VydFLVH3TRQUabQu_ym0Zz7PgGX0-kHA/edit?usp=sharing"",""แผน!S53"")"),1)</f>
        <v>1</v>
      </c>
      <c r="J115" s="214">
        <v>0</v>
      </c>
      <c r="K115" s="496">
        <f t="shared" ca="1" si="58"/>
        <v>0</v>
      </c>
      <c r="L115" s="496"/>
      <c r="M115" s="496"/>
      <c r="N115" s="496"/>
      <c r="O115" s="163"/>
      <c r="P115" s="163"/>
    </row>
    <row r="116" spans="1:26" ht="18.75">
      <c r="A116" s="170"/>
      <c r="B116" s="171"/>
      <c r="C116" s="171"/>
      <c r="D116" s="171"/>
      <c r="E116" s="446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IFERROR(__xludf.DUMMYFUNCTION("IMPORTRANGE(""https://docs.google.com/spreadsheets/d/1QqKyyYR6Q21VydFLVH3TRQUabQu_ym0Zz7PgGX0-kHA/edit?usp=sharing"",""แผน!T53"")"),1)</f>
        <v>1</v>
      </c>
      <c r="J116" s="214">
        <v>0</v>
      </c>
      <c r="K116" s="496">
        <f t="shared" ca="1" si="58"/>
        <v>0</v>
      </c>
      <c r="L116" s="496"/>
      <c r="M116" s="496"/>
      <c r="N116" s="496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8" t="s">
        <v>65</v>
      </c>
      <c r="C118" s="204"/>
      <c r="D118" s="141"/>
      <c r="E118" s="140"/>
      <c r="F118" s="140"/>
      <c r="G118" s="142"/>
      <c r="H118" s="143"/>
      <c r="I118" s="205"/>
      <c r="J118" s="205"/>
      <c r="K118" s="146"/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22" t="s">
        <v>17</v>
      </c>
      <c r="E119" s="148"/>
      <c r="F119" s="148"/>
      <c r="G119" s="151"/>
      <c r="H119" s="152" t="s">
        <v>12</v>
      </c>
      <c r="I119" s="419"/>
      <c r="J119" s="419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2" t="s">
        <v>18</v>
      </c>
      <c r="F120" s="40"/>
      <c r="G120" s="157"/>
      <c r="H120" s="158" t="s">
        <v>12</v>
      </c>
      <c r="I120" s="610"/>
      <c r="J120" s="610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2" t="s">
        <v>19</v>
      </c>
      <c r="F121" s="40"/>
      <c r="G121" s="157"/>
      <c r="H121" s="158" t="s">
        <v>12</v>
      </c>
      <c r="I121" s="610"/>
      <c r="J121" s="610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1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6">
        <f t="shared" ref="L122:N122" ca="1" si="64">L123+L124</f>
        <v>0</v>
      </c>
      <c r="M122" s="496">
        <f t="shared" ca="1" si="64"/>
        <v>0</v>
      </c>
      <c r="N122" s="496">
        <f t="shared" ca="1" si="64"/>
        <v>0</v>
      </c>
      <c r="O122" s="496">
        <f t="shared" ca="1" si="61"/>
        <v>0</v>
      </c>
      <c r="P122" s="496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2"/>
      <c r="D123" s="40"/>
      <c r="E123" s="222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2"/>
      <c r="D124" s="40"/>
      <c r="E124" s="222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IFERROR(__xludf.DUMMYFUNCTION("IMPORTRANGE(""https://docs.google.com/spreadsheets/d/1MeEWN-I1oV_STSDYn1IFDPWt_1FKiwhDph83XaGc0o0/edit?usp=sharing"",""งบพรบ!BA53"")"),0)</f>
        <v>0</v>
      </c>
      <c r="M124" s="93">
        <f ca="1">IFERROR(__xludf.DUMMYFUNCTION("IMPORTRANGE(""https://docs.google.com/spreadsheets/d/1MeEWN-I1oV_STSDYn1IFDPWt_1FKiwhDph83XaGc0o0/edit?usp=sharing"",""งบพรบ!BF53"")"),0)</f>
        <v>0</v>
      </c>
      <c r="N124" s="93">
        <f ca="1">IFERROR(__xludf.DUMMYFUNCTION("IMPORTRANGE(""https://docs.google.com/spreadsheets/d/1MeEWN-I1oV_STSDYn1IFDPWt_1FKiwhDph83XaGc0o0/edit?usp=sharing"",""งบพรบ!BH53"")"),0)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1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6">
        <f t="shared" ref="L125:N125" ca="1" si="65">L126+L127</f>
        <v>0</v>
      </c>
      <c r="M125" s="496">
        <f t="shared" ca="1" si="65"/>
        <v>0</v>
      </c>
      <c r="N125" s="496">
        <f t="shared" ca="1" si="65"/>
        <v>0</v>
      </c>
      <c r="O125" s="496">
        <f t="shared" ca="1" si="61"/>
        <v>0</v>
      </c>
      <c r="P125" s="496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2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2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IFERROR(__xludf.DUMMYFUNCTION("IMPORTRANGE(""https://docs.google.com/spreadsheets/d/1MeEWN-I1oV_STSDYn1IFDPWt_1FKiwhDph83XaGc0o0/edit?usp=sharing"",""งบพรบ!BD53"")"),0)</f>
        <v>0</v>
      </c>
      <c r="M127" s="93">
        <f ca="1">IFERROR(__xludf.DUMMYFUNCTION("IMPORTRANGE(""https://docs.google.com/spreadsheets/d/1MeEWN-I1oV_STSDYn1IFDPWt_1FKiwhDph83XaGc0o0/edit?usp=sharing"",""งบพรบ!BG53"")"),0)</f>
        <v>0</v>
      </c>
      <c r="N127" s="93">
        <f ca="1">IFERROR(__xludf.DUMMYFUNCTION("IMPORTRANGE(""https://docs.google.com/spreadsheets/d/1MeEWN-I1oV_STSDYn1IFDPWt_1FKiwhDph83XaGc0o0/edit?usp=sharing"",""งบพรบ!BI53"")"),0)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66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8" t="s">
        <v>67</v>
      </c>
      <c r="C129" s="204"/>
      <c r="D129" s="141"/>
      <c r="E129" s="140"/>
      <c r="F129" s="140"/>
      <c r="G129" s="140"/>
      <c r="H129" s="207"/>
      <c r="I129" s="205"/>
      <c r="J129" s="205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8"/>
      <c r="C130" s="209" t="s">
        <v>68</v>
      </c>
      <c r="D130" s="141"/>
      <c r="E130" s="140"/>
      <c r="F130" s="140"/>
      <c r="G130" s="142"/>
      <c r="H130" s="143" t="s">
        <v>69</v>
      </c>
      <c r="I130" s="144">
        <f t="shared" ref="I130:J130" ca="1" si="66">I146</f>
        <v>0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8"/>
      <c r="C131" s="209" t="s">
        <v>70</v>
      </c>
      <c r="D131" s="141"/>
      <c r="E131" s="140"/>
      <c r="F131" s="140"/>
      <c r="G131" s="142"/>
      <c r="H131" s="143" t="s">
        <v>35</v>
      </c>
      <c r="I131" s="144">
        <f t="shared" ref="I131:J131" ca="1" si="68">I143</f>
        <v>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822" t="s">
        <v>17</v>
      </c>
      <c r="E132" s="148"/>
      <c r="F132" s="148"/>
      <c r="G132" s="151"/>
      <c r="H132" s="152" t="s">
        <v>12</v>
      </c>
      <c r="I132" s="419"/>
      <c r="J132" s="419"/>
      <c r="K132" s="154"/>
      <c r="L132" s="155">
        <f t="shared" ref="L132:N132" ca="1" si="69">L133+L134</f>
        <v>0</v>
      </c>
      <c r="M132" s="155">
        <f t="shared" ca="1" si="69"/>
        <v>0</v>
      </c>
      <c r="N132" s="155">
        <f t="shared" ca="1" si="69"/>
        <v>0</v>
      </c>
      <c r="O132" s="155">
        <f t="shared" ref="O132:O140" ca="1" si="70">IF(L132&gt;0,N132*100/L132,0)</f>
        <v>0</v>
      </c>
      <c r="P132" s="155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2" t="s">
        <v>18</v>
      </c>
      <c r="F133" s="40"/>
      <c r="G133" s="157"/>
      <c r="H133" s="158" t="s">
        <v>12</v>
      </c>
      <c r="I133" s="610"/>
      <c r="J133" s="610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2" t="s">
        <v>19</v>
      </c>
      <c r="F134" s="40"/>
      <c r="G134" s="157"/>
      <c r="H134" s="158" t="s">
        <v>12</v>
      </c>
      <c r="I134" s="610"/>
      <c r="J134" s="610"/>
      <c r="K134" s="93"/>
      <c r="L134" s="93">
        <f t="shared" ca="1" si="72"/>
        <v>0</v>
      </c>
      <c r="M134" s="93">
        <f t="shared" ca="1" si="72"/>
        <v>0</v>
      </c>
      <c r="N134" s="93">
        <f t="shared" ca="1" si="72"/>
        <v>0</v>
      </c>
      <c r="O134" s="93">
        <f t="shared" ca="1" si="70"/>
        <v>0</v>
      </c>
      <c r="P134" s="93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1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6">
        <f t="shared" ref="L135:N135" ca="1" si="73">L136+L137</f>
        <v>0</v>
      </c>
      <c r="M135" s="496">
        <f t="shared" ca="1" si="73"/>
        <v>0</v>
      </c>
      <c r="N135" s="496">
        <f t="shared" ca="1" si="73"/>
        <v>0</v>
      </c>
      <c r="O135" s="496">
        <f t="shared" ca="1" si="70"/>
        <v>0</v>
      </c>
      <c r="P135" s="496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2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2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IFERROR(__xludf.DUMMYFUNCTION("IMPORTRANGE(""https://docs.google.com/spreadsheets/d/1MeEWN-I1oV_STSDYn1IFDPWt_1FKiwhDph83XaGc0o0/edit?usp=sharing"",""งบพรบ!BK53"")"),0)</f>
        <v>0</v>
      </c>
      <c r="M137" s="93">
        <f ca="1">IFERROR(__xludf.DUMMYFUNCTION("IMPORTRANGE(""https://docs.google.com/spreadsheets/d/1MeEWN-I1oV_STSDYn1IFDPWt_1FKiwhDph83XaGc0o0/edit?usp=sharing"",""งบพรบ!BP53"")"),0)</f>
        <v>0</v>
      </c>
      <c r="N137" s="93">
        <f ca="1">IFERROR(__xludf.DUMMYFUNCTION("IMPORTRANGE(""https://docs.google.com/spreadsheets/d/1MeEWN-I1oV_STSDYn1IFDPWt_1FKiwhDph83XaGc0o0/edit?usp=sharing"",""งบพรบ!BR53"")"),0)</f>
        <v>0</v>
      </c>
      <c r="O137" s="93">
        <f t="shared" ca="1" si="70"/>
        <v>0</v>
      </c>
      <c r="P137" s="93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1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6">
        <f t="shared" ref="L138:N138" ca="1" si="74">L139+L140</f>
        <v>0</v>
      </c>
      <c r="M138" s="496">
        <f t="shared" ca="1" si="74"/>
        <v>0</v>
      </c>
      <c r="N138" s="496">
        <f t="shared" ca="1" si="74"/>
        <v>0</v>
      </c>
      <c r="O138" s="496">
        <f t="shared" ca="1" si="70"/>
        <v>0</v>
      </c>
      <c r="P138" s="496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2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2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IFERROR(__xludf.DUMMYFUNCTION("IMPORTRANGE(""https://docs.google.com/spreadsheets/d/1MeEWN-I1oV_STSDYn1IFDPWt_1FKiwhDph83XaGc0o0/edit?usp=sharing"",""งบพรบ!BN53"")"),0)</f>
        <v>0</v>
      </c>
      <c r="M140" s="93">
        <f ca="1">IFERROR(__xludf.DUMMYFUNCTION("IMPORTRANGE(""https://docs.google.com/spreadsheets/d/1MeEWN-I1oV_STSDYn1IFDPWt_1FKiwhDph83XaGc0o0/edit?usp=sharing"",""งบพรบ!BQ53"")"),0)</f>
        <v>0</v>
      </c>
      <c r="N140" s="93">
        <f ca="1">IFERROR(__xludf.DUMMYFUNCTION("IMPORTRANGE(""https://docs.google.com/spreadsheets/d/1MeEWN-I1oV_STSDYn1IFDPWt_1FKiwhDph83XaGc0o0/edit?usp=sharing"",""งบพรบ!BS53"")"),0)</f>
        <v>0</v>
      </c>
      <c r="O140" s="93">
        <f t="shared" ca="1" si="70"/>
        <v>0</v>
      </c>
      <c r="P140" s="93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823" t="s">
        <v>38</v>
      </c>
      <c r="E141" s="173"/>
      <c r="F141" s="173"/>
      <c r="G141" s="174"/>
      <c r="H141" s="168"/>
      <c r="I141" s="269"/>
      <c r="J141" s="269"/>
      <c r="K141" s="496"/>
      <c r="L141" s="496"/>
      <c r="M141" s="496"/>
      <c r="N141" s="496"/>
      <c r="O141" s="496"/>
      <c r="P141" s="496"/>
    </row>
    <row r="142" spans="1:26" ht="19.5" hidden="1">
      <c r="A142" s="159"/>
      <c r="B142" s="33"/>
      <c r="C142" s="210"/>
      <c r="D142" s="281" t="s">
        <v>71</v>
      </c>
      <c r="E142" s="34"/>
      <c r="F142" s="33"/>
      <c r="G142" s="213"/>
      <c r="H142" s="168"/>
      <c r="I142" s="269"/>
      <c r="J142" s="214">
        <v>0</v>
      </c>
      <c r="K142" s="496"/>
      <c r="L142" s="496"/>
      <c r="M142" s="496"/>
      <c r="N142" s="496"/>
      <c r="O142" s="496"/>
      <c r="P142" s="496"/>
    </row>
    <row r="143" spans="1:26" ht="19.5" hidden="1">
      <c r="A143" s="159"/>
      <c r="B143" s="33"/>
      <c r="C143" s="210"/>
      <c r="D143" s="281" t="s">
        <v>72</v>
      </c>
      <c r="E143" s="34"/>
      <c r="F143" s="33"/>
      <c r="G143" s="213"/>
      <c r="H143" s="168" t="s">
        <v>35</v>
      </c>
      <c r="I143" s="269">
        <f ca="1">I145</f>
        <v>0</v>
      </c>
      <c r="J143" s="269">
        <f ca="1">IF(AND(J144&gt;=I144,J145&gt;=I145),J145,0)</f>
        <v>0</v>
      </c>
      <c r="K143" s="496">
        <f t="shared" ref="K143:K146" ca="1" si="75">IF(I143&gt;0,J143*100/I143,0)</f>
        <v>0</v>
      </c>
      <c r="L143" s="496"/>
      <c r="M143" s="496"/>
      <c r="N143" s="496"/>
      <c r="O143" s="496"/>
      <c r="P143" s="496"/>
    </row>
    <row r="144" spans="1:26" ht="19.5" hidden="1">
      <c r="A144" s="159"/>
      <c r="B144" s="33"/>
      <c r="C144" s="210"/>
      <c r="D144" s="178"/>
      <c r="E144" s="281" t="s">
        <v>73</v>
      </c>
      <c r="F144" s="33"/>
      <c r="G144" s="213"/>
      <c r="H144" s="168" t="s">
        <v>35</v>
      </c>
      <c r="I144" s="269">
        <f ca="1">IFERROR(__xludf.DUMMYFUNCTION("IMPORTRANGE(""https://docs.google.com/spreadsheets/d/1QqKyyYR6Q21VydFLVH3TRQUabQu_ym0Zz7PgGX0-kHA/edit?usp=sharing"",""แผน!U53"")"),0)</f>
        <v>0</v>
      </c>
      <c r="J144" s="214">
        <v>0</v>
      </c>
      <c r="K144" s="496">
        <f t="shared" ca="1" si="75"/>
        <v>0</v>
      </c>
      <c r="L144" s="496"/>
      <c r="M144" s="496"/>
      <c r="N144" s="496"/>
      <c r="O144" s="496"/>
      <c r="P144" s="496"/>
    </row>
    <row r="145" spans="1:26" ht="19.5" hidden="1">
      <c r="A145" s="159"/>
      <c r="B145" s="33"/>
      <c r="C145" s="210"/>
      <c r="D145" s="178"/>
      <c r="E145" s="281" t="s">
        <v>74</v>
      </c>
      <c r="F145" s="33"/>
      <c r="G145" s="213"/>
      <c r="H145" s="168" t="s">
        <v>35</v>
      </c>
      <c r="I145" s="269">
        <f ca="1">IFERROR(__xludf.DUMMYFUNCTION("IMPORTRANGE(""https://docs.google.com/spreadsheets/d/1QqKyyYR6Q21VydFLVH3TRQUabQu_ym0Zz7PgGX0-kHA/edit?usp=sharing"",""แผน!V53"")"),0)</f>
        <v>0</v>
      </c>
      <c r="J145" s="214">
        <v>0</v>
      </c>
      <c r="K145" s="496">
        <f t="shared" ca="1" si="75"/>
        <v>0</v>
      </c>
      <c r="L145" s="496"/>
      <c r="M145" s="496"/>
      <c r="N145" s="496"/>
      <c r="O145" s="496"/>
      <c r="P145" s="496"/>
    </row>
    <row r="146" spans="1:26" ht="19.5" hidden="1">
      <c r="A146" s="159"/>
      <c r="B146" s="33"/>
      <c r="C146" s="210"/>
      <c r="D146" s="281" t="s">
        <v>75</v>
      </c>
      <c r="E146" s="34"/>
      <c r="F146" s="33"/>
      <c r="G146" s="213"/>
      <c r="H146" s="168" t="s">
        <v>69</v>
      </c>
      <c r="I146" s="269">
        <f ca="1">IFERROR(__xludf.DUMMYFUNCTION("IMPORTRANGE(""https://docs.google.com/spreadsheets/d/1QqKyyYR6Q21VydFLVH3TRQUabQu_ym0Zz7PgGX0-kHA/edit?usp=sharing"",""แผน!W53"")"),0)</f>
        <v>0</v>
      </c>
      <c r="J146" s="214">
        <v>0</v>
      </c>
      <c r="K146" s="496">
        <f t="shared" ca="1" si="75"/>
        <v>0</v>
      </c>
      <c r="L146" s="496"/>
      <c r="M146" s="496"/>
      <c r="N146" s="496"/>
      <c r="O146" s="496"/>
      <c r="P146" s="496"/>
    </row>
    <row r="147" spans="1:26" ht="19.5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>
      <c r="A148" s="216"/>
      <c r="B148" s="208" t="s">
        <v>77</v>
      </c>
      <c r="C148" s="208"/>
      <c r="D148" s="208"/>
      <c r="E148" s="824"/>
      <c r="F148" s="218"/>
      <c r="G148" s="219"/>
      <c r="H148" s="220" t="s">
        <v>35</v>
      </c>
      <c r="I148" s="144">
        <f t="shared" ref="I148:J148" ca="1" si="76">I159</f>
        <v>20</v>
      </c>
      <c r="J148" s="144">
        <f t="shared" si="76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1"/>
      <c r="R148" s="221"/>
      <c r="S148" s="221"/>
      <c r="T148" s="221"/>
      <c r="U148" s="221"/>
      <c r="V148" s="221"/>
      <c r="W148" s="221"/>
      <c r="X148" s="221"/>
      <c r="Y148" s="221"/>
      <c r="Z148" s="221"/>
    </row>
    <row r="149" spans="1:26" ht="19.5">
      <c r="A149" s="147"/>
      <c r="B149" s="148"/>
      <c r="C149" s="149" t="s">
        <v>16</v>
      </c>
      <c r="D149" s="822" t="s">
        <v>17</v>
      </c>
      <c r="E149" s="148"/>
      <c r="F149" s="148"/>
      <c r="G149" s="151"/>
      <c r="H149" s="152" t="s">
        <v>12</v>
      </c>
      <c r="I149" s="419"/>
      <c r="J149" s="419"/>
      <c r="K149" s="154"/>
      <c r="L149" s="155">
        <f t="shared" ref="L149:N149" ca="1" si="77">L150+L151</f>
        <v>10000</v>
      </c>
      <c r="M149" s="155">
        <f t="shared" ca="1" si="77"/>
        <v>23900</v>
      </c>
      <c r="N149" s="155">
        <f t="shared" ca="1" si="77"/>
        <v>1440</v>
      </c>
      <c r="O149" s="155">
        <f t="shared" ref="O149:O157" ca="1" si="78">IF(L149&gt;0,N149*100/L149,0)</f>
        <v>14.4</v>
      </c>
      <c r="P149" s="155">
        <f t="shared" ref="P149:P157" ca="1" si="79">IF(M149&gt;0,N149*100/M149,0)</f>
        <v>6.02510460251046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2" t="s">
        <v>18</v>
      </c>
      <c r="F150" s="40"/>
      <c r="G150" s="157"/>
      <c r="H150" s="158" t="s">
        <v>12</v>
      </c>
      <c r="I150" s="610"/>
      <c r="J150" s="610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2" t="s">
        <v>19</v>
      </c>
      <c r="F151" s="40"/>
      <c r="G151" s="157"/>
      <c r="H151" s="158" t="s">
        <v>12</v>
      </c>
      <c r="I151" s="610"/>
      <c r="J151" s="610"/>
      <c r="K151" s="93"/>
      <c r="L151" s="93">
        <f t="shared" ca="1" si="80"/>
        <v>10000</v>
      </c>
      <c r="M151" s="93">
        <f t="shared" ca="1" si="80"/>
        <v>23900</v>
      </c>
      <c r="N151" s="93">
        <f t="shared" ca="1" si="80"/>
        <v>1440</v>
      </c>
      <c r="O151" s="93">
        <f t="shared" ca="1" si="78"/>
        <v>14.4</v>
      </c>
      <c r="P151" s="93">
        <f t="shared" ca="1" si="79"/>
        <v>6.02510460251046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>
      <c r="A152" s="159"/>
      <c r="B152" s="33"/>
      <c r="C152" s="281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6">
        <f t="shared" ref="L152:N152" ca="1" si="81">L153+L154</f>
        <v>10000</v>
      </c>
      <c r="M152" s="496">
        <f t="shared" ca="1" si="81"/>
        <v>23900</v>
      </c>
      <c r="N152" s="496">
        <f t="shared" ca="1" si="81"/>
        <v>1440</v>
      </c>
      <c r="O152" s="496">
        <f t="shared" ca="1" si="78"/>
        <v>14.4</v>
      </c>
      <c r="P152" s="496">
        <f t="shared" ca="1" si="79"/>
        <v>6.02510460251046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2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2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IFERROR(__xludf.DUMMYFUNCTION("IMPORTRANGE(""https://docs.google.com/spreadsheets/d/1MeEWN-I1oV_STSDYn1IFDPWt_1FKiwhDph83XaGc0o0/edit?usp=sharing"",""งบพรบ!BU53"")"),10000)</f>
        <v>10000</v>
      </c>
      <c r="M154" s="93">
        <f ca="1">IFERROR(__xludf.DUMMYFUNCTION("IMPORTRANGE(""https://docs.google.com/spreadsheets/d/1MeEWN-I1oV_STSDYn1IFDPWt_1FKiwhDph83XaGc0o0/edit?usp=sharing"",""งบพรบ!BZ53"")"),23900)</f>
        <v>23900</v>
      </c>
      <c r="N154" s="93">
        <f ca="1">IFERROR(__xludf.DUMMYFUNCTION("IMPORTRANGE(""https://docs.google.com/spreadsheets/d/1MeEWN-I1oV_STSDYn1IFDPWt_1FKiwhDph83XaGc0o0/edit?usp=sharing"",""งบพรบ!CB53"")"),1440)</f>
        <v>1440</v>
      </c>
      <c r="O154" s="93">
        <f t="shared" ca="1" si="78"/>
        <v>14.4</v>
      </c>
      <c r="P154" s="93">
        <f t="shared" ca="1" si="79"/>
        <v>6.02510460251046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>
      <c r="A155" s="159"/>
      <c r="B155" s="33"/>
      <c r="C155" s="281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6">
        <f t="shared" ref="L155:N155" ca="1" si="82">L156+L157</f>
        <v>0</v>
      </c>
      <c r="M155" s="496">
        <f t="shared" ca="1" si="82"/>
        <v>0</v>
      </c>
      <c r="N155" s="496">
        <f t="shared" ca="1" si="82"/>
        <v>0</v>
      </c>
      <c r="O155" s="496">
        <f t="shared" ca="1" si="78"/>
        <v>0</v>
      </c>
      <c r="P155" s="496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2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2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IFERROR(__xludf.DUMMYFUNCTION("IMPORTRANGE(""https://docs.google.com/spreadsheets/d/1MeEWN-I1oV_STSDYn1IFDPWt_1FKiwhDph83XaGc0o0/edit?usp=sharing"",""งบพรบ!BX53"")"),0)</f>
        <v>0</v>
      </c>
      <c r="M157" s="93">
        <f ca="1">IFERROR(__xludf.DUMMYFUNCTION("IMPORTRANGE(""https://docs.google.com/spreadsheets/d/1MeEWN-I1oV_STSDYn1IFDPWt_1FKiwhDph83XaGc0o0/edit?usp=sharing"",""งบพรบ!CA53"")"),0)</f>
        <v>0</v>
      </c>
      <c r="N157" s="93">
        <f ca="1">IFERROR(__xludf.DUMMYFUNCTION("IMPORTRANGE(""https://docs.google.com/spreadsheets/d/1MeEWN-I1oV_STSDYn1IFDPWt_1FKiwhDph83XaGc0o0/edit?usp=sharing"",""งบพรบ!CC53"")"),0)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>
      <c r="A158" s="170"/>
      <c r="B158" s="171"/>
      <c r="C158" s="164" t="s">
        <v>16</v>
      </c>
      <c r="D158" s="823" t="s">
        <v>38</v>
      </c>
      <c r="E158" s="173"/>
      <c r="F158" s="173"/>
      <c r="G158" s="174"/>
      <c r="H158" s="168"/>
      <c r="I158" s="269"/>
      <c r="J158" s="269"/>
      <c r="K158" s="496"/>
      <c r="L158" s="496"/>
      <c r="M158" s="496"/>
      <c r="N158" s="496"/>
      <c r="O158" s="496"/>
      <c r="P158" s="496"/>
    </row>
    <row r="159" spans="1:26" ht="19.5">
      <c r="A159" s="159"/>
      <c r="B159" s="33"/>
      <c r="C159" s="210"/>
      <c r="D159" s="281" t="s">
        <v>78</v>
      </c>
      <c r="E159" s="34"/>
      <c r="F159" s="33"/>
      <c r="G159" s="213"/>
      <c r="H159" s="168" t="s">
        <v>35</v>
      </c>
      <c r="I159" s="269">
        <f ca="1">IFERROR(__xludf.DUMMYFUNCTION("IMPORTRANGE(""https://docs.google.com/spreadsheets/d/1QqKyyYR6Q21VydFLVH3TRQUabQu_ym0Zz7PgGX0-kHA/edit?usp=sharing"",""แผน!X53"")"),20)</f>
        <v>20</v>
      </c>
      <c r="J159" s="214">
        <v>0</v>
      </c>
      <c r="K159" s="496">
        <f ca="1">IF(I159&gt;0,J159*100/I159,0)</f>
        <v>0</v>
      </c>
      <c r="L159" s="496"/>
      <c r="M159" s="496"/>
      <c r="N159" s="496"/>
      <c r="O159" s="496"/>
      <c r="P159" s="496"/>
    </row>
    <row r="160" spans="1:26" ht="19.5" hidden="1">
      <c r="A160" s="156"/>
      <c r="B160" s="40"/>
      <c r="C160" s="164"/>
      <c r="D160" s="222" t="s">
        <v>79</v>
      </c>
      <c r="E160" s="223"/>
      <c r="F160" s="40"/>
      <c r="G160" s="157"/>
      <c r="H160" s="169" t="s">
        <v>35</v>
      </c>
      <c r="I160" s="610"/>
      <c r="J160" s="610"/>
      <c r="K160" s="93"/>
      <c r="L160" s="93"/>
      <c r="M160" s="93"/>
      <c r="N160" s="93"/>
      <c r="O160" s="93"/>
      <c r="P160" s="93"/>
      <c r="Q160" s="224"/>
      <c r="R160" s="224"/>
      <c r="S160" s="224"/>
      <c r="T160" s="224"/>
      <c r="U160" s="224"/>
      <c r="V160" s="224"/>
      <c r="W160" s="224"/>
      <c r="X160" s="224"/>
      <c r="Y160" s="224"/>
      <c r="Z160" s="224"/>
    </row>
    <row r="161" spans="1:26" ht="19.5" hidden="1">
      <c r="A161" s="225"/>
      <c r="B161" s="226"/>
      <c r="C161" s="227"/>
      <c r="D161" s="228" t="s">
        <v>80</v>
      </c>
      <c r="E161" s="825"/>
      <c r="F161" s="226"/>
      <c r="G161" s="230"/>
      <c r="H161" s="231" t="s">
        <v>35</v>
      </c>
      <c r="I161" s="232"/>
      <c r="J161" s="232"/>
      <c r="K161" s="233"/>
      <c r="L161" s="233"/>
      <c r="M161" s="233"/>
      <c r="N161" s="233"/>
      <c r="O161" s="233"/>
      <c r="P161" s="233"/>
      <c r="Q161" s="224"/>
      <c r="R161" s="224"/>
      <c r="S161" s="224"/>
      <c r="T161" s="224"/>
      <c r="U161" s="224"/>
      <c r="V161" s="224"/>
      <c r="W161" s="224"/>
      <c r="X161" s="224"/>
      <c r="Y161" s="224"/>
      <c r="Z161" s="224"/>
    </row>
    <row r="162" spans="1:26" ht="19.5">
      <c r="A162" s="234" t="s">
        <v>81</v>
      </c>
      <c r="B162" s="235"/>
      <c r="C162" s="235"/>
      <c r="D162" s="235"/>
      <c r="E162" s="236"/>
      <c r="F162" s="236"/>
      <c r="G162" s="237"/>
      <c r="H162" s="238"/>
      <c r="I162" s="239"/>
      <c r="J162" s="239"/>
      <c r="K162" s="240"/>
      <c r="L162" s="240"/>
      <c r="M162" s="240"/>
      <c r="N162" s="240"/>
      <c r="O162" s="240"/>
      <c r="P162" s="240"/>
    </row>
    <row r="163" spans="1:26" ht="19.5">
      <c r="A163" s="241" t="s">
        <v>82</v>
      </c>
      <c r="B163" s="242"/>
      <c r="C163" s="242"/>
      <c r="D163" s="243"/>
      <c r="E163" s="243"/>
      <c r="F163" s="243"/>
      <c r="G163" s="244"/>
      <c r="H163" s="245"/>
      <c r="I163" s="246"/>
      <c r="J163" s="246"/>
      <c r="K163" s="247"/>
      <c r="L163" s="247"/>
      <c r="M163" s="247"/>
      <c r="N163" s="247"/>
      <c r="O163" s="247"/>
      <c r="P163" s="247"/>
    </row>
    <row r="164" spans="1:26" ht="19.5">
      <c r="A164" s="248"/>
      <c r="B164" s="249" t="s">
        <v>83</v>
      </c>
      <c r="C164" s="250"/>
      <c r="D164" s="173"/>
      <c r="E164" s="173"/>
      <c r="F164" s="173"/>
      <c r="G164" s="174"/>
      <c r="H164" s="251" t="s">
        <v>35</v>
      </c>
      <c r="I164" s="252">
        <f t="shared" ref="I164:J164" ca="1" si="83">I174+I177</f>
        <v>12</v>
      </c>
      <c r="J164" s="252">
        <f t="shared" si="83"/>
        <v>0</v>
      </c>
      <c r="K164" s="253">
        <f ca="1">IF(I164&gt;0,J164*100/I164,0)</f>
        <v>0</v>
      </c>
      <c r="L164" s="254"/>
      <c r="M164" s="254"/>
      <c r="N164" s="254"/>
      <c r="O164" s="254"/>
      <c r="P164" s="254"/>
    </row>
    <row r="165" spans="1:26" ht="19.5">
      <c r="A165" s="147"/>
      <c r="B165" s="148"/>
      <c r="C165" s="149" t="s">
        <v>16</v>
      </c>
      <c r="D165" s="822" t="s">
        <v>17</v>
      </c>
      <c r="E165" s="148"/>
      <c r="F165" s="148"/>
      <c r="G165" s="151"/>
      <c r="H165" s="152" t="s">
        <v>12</v>
      </c>
      <c r="I165" s="419"/>
      <c r="J165" s="419"/>
      <c r="K165" s="154"/>
      <c r="L165" s="155">
        <f t="shared" ref="L165:N165" ca="1" si="84">L166+L167</f>
        <v>23060</v>
      </c>
      <c r="M165" s="155">
        <f t="shared" ca="1" si="84"/>
        <v>23060</v>
      </c>
      <c r="N165" s="155">
        <f t="shared" ca="1" si="84"/>
        <v>0</v>
      </c>
      <c r="O165" s="155">
        <f t="shared" ref="O165:O173" ca="1" si="85">IF(L165&gt;0,N165*100/L165,0)</f>
        <v>0</v>
      </c>
      <c r="P165" s="155">
        <f t="shared" ref="P165:P173" ca="1" si="86">IF(M165&gt;0,N165*100/M165,0)</f>
        <v>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2" t="s">
        <v>18</v>
      </c>
      <c r="F166" s="40"/>
      <c r="G166" s="157"/>
      <c r="H166" s="158" t="s">
        <v>12</v>
      </c>
      <c r="I166" s="610"/>
      <c r="J166" s="610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2" t="s">
        <v>19</v>
      </c>
      <c r="F167" s="40"/>
      <c r="G167" s="157"/>
      <c r="H167" s="158" t="s">
        <v>12</v>
      </c>
      <c r="I167" s="610"/>
      <c r="J167" s="610"/>
      <c r="K167" s="93"/>
      <c r="L167" s="93">
        <f t="shared" ca="1" si="87"/>
        <v>23060</v>
      </c>
      <c r="M167" s="93">
        <f t="shared" ca="1" si="87"/>
        <v>23060</v>
      </c>
      <c r="N167" s="93">
        <f t="shared" ca="1" si="87"/>
        <v>0</v>
      </c>
      <c r="O167" s="93">
        <f t="shared" ca="1" si="85"/>
        <v>0</v>
      </c>
      <c r="P167" s="93">
        <f t="shared" ca="1" si="86"/>
        <v>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1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6">
        <f t="shared" ref="L168:N168" ca="1" si="88">L169+L170</f>
        <v>23060</v>
      </c>
      <c r="M168" s="496">
        <f t="shared" ca="1" si="88"/>
        <v>23060</v>
      </c>
      <c r="N168" s="496">
        <f t="shared" ca="1" si="88"/>
        <v>0</v>
      </c>
      <c r="O168" s="496">
        <f t="shared" ca="1" si="85"/>
        <v>0</v>
      </c>
      <c r="P168" s="496">
        <f t="shared" ca="1" si="86"/>
        <v>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2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2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IFERROR(__xludf.DUMMYFUNCTION("IMPORTRANGE(""https://docs.google.com/spreadsheets/d/1MeEWN-I1oV_STSDYn1IFDPWt_1FKiwhDph83XaGc0o0/edit?usp=sharing"",""งบพรบ!CE53"")"),23060)</f>
        <v>23060</v>
      </c>
      <c r="M170" s="93">
        <f ca="1">IFERROR(__xludf.DUMMYFUNCTION("IMPORTRANGE(""https://docs.google.com/spreadsheets/d/1MeEWN-I1oV_STSDYn1IFDPWt_1FKiwhDph83XaGc0o0/edit?usp=sharing"",""งบพรบ!CJ53"")"),23060)</f>
        <v>23060</v>
      </c>
      <c r="N170" s="93">
        <f ca="1">IFERROR(__xludf.DUMMYFUNCTION("IMPORTRANGE(""https://docs.google.com/spreadsheets/d/1MeEWN-I1oV_STSDYn1IFDPWt_1FKiwhDph83XaGc0o0/edit?usp=sharing"",""งบพรบ!CL53"")"),0)</f>
        <v>0</v>
      </c>
      <c r="O170" s="93">
        <f t="shared" ca="1" si="85"/>
        <v>0</v>
      </c>
      <c r="P170" s="93">
        <f t="shared" ca="1" si="86"/>
        <v>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1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6">
        <f t="shared" ref="L171:N171" ca="1" si="89">L172+L173</f>
        <v>0</v>
      </c>
      <c r="M171" s="496">
        <f t="shared" ca="1" si="89"/>
        <v>0</v>
      </c>
      <c r="N171" s="496">
        <f t="shared" ca="1" si="89"/>
        <v>0</v>
      </c>
      <c r="O171" s="496">
        <f t="shared" ca="1" si="85"/>
        <v>0</v>
      </c>
      <c r="P171" s="496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2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2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IFERROR(__xludf.DUMMYFUNCTION("IMPORTRANGE(""https://docs.google.com/spreadsheets/d/1MeEWN-I1oV_STSDYn1IFDPWt_1FKiwhDph83XaGc0o0/edit?usp=sharing"",""งบพรบ!CH53"")"),0)</f>
        <v>0</v>
      </c>
      <c r="M173" s="93">
        <f ca="1">IFERROR(__xludf.DUMMYFUNCTION("IMPORTRANGE(""https://docs.google.com/spreadsheets/d/1MeEWN-I1oV_STSDYn1IFDPWt_1FKiwhDph83XaGc0o0/edit?usp=sharing"",""งบพรบ!CK53"")"),0)</f>
        <v>0</v>
      </c>
      <c r="N173" s="93">
        <f ca="1">IFERROR(__xludf.DUMMYFUNCTION("IMPORTRANGE(""https://docs.google.com/spreadsheets/d/1MeEWN-I1oV_STSDYn1IFDPWt_1FKiwhDph83XaGc0o0/edit?usp=sharing"",""งบพรบ!CM53"")"),0)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5"/>
      <c r="B174" s="256"/>
      <c r="C174" s="257" t="s">
        <v>84</v>
      </c>
      <c r="D174" s="256"/>
      <c r="E174" s="256"/>
      <c r="F174" s="256"/>
      <c r="G174" s="258"/>
      <c r="H174" s="259" t="s">
        <v>35</v>
      </c>
      <c r="I174" s="260">
        <f t="shared" ref="I174:J174" ca="1" si="90">I176</f>
        <v>12</v>
      </c>
      <c r="J174" s="260">
        <f t="shared" si="90"/>
        <v>0</v>
      </c>
      <c r="K174" s="261">
        <f ca="1">IF(I174&gt;0,J174*100/I174,0)</f>
        <v>0</v>
      </c>
      <c r="L174" s="261"/>
      <c r="M174" s="261"/>
      <c r="N174" s="261"/>
      <c r="O174" s="261"/>
      <c r="P174" s="261"/>
    </row>
    <row r="175" spans="1:26" ht="19.5">
      <c r="A175" s="170"/>
      <c r="B175" s="171"/>
      <c r="C175" s="164" t="s">
        <v>16</v>
      </c>
      <c r="D175" s="823" t="s">
        <v>38</v>
      </c>
      <c r="E175" s="173"/>
      <c r="F175" s="173"/>
      <c r="G175" s="174"/>
      <c r="H175" s="753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37" t="s">
        <v>85</v>
      </c>
      <c r="E176" s="178"/>
      <c r="F176" s="178"/>
      <c r="G176" s="179"/>
      <c r="H176" s="616" t="s">
        <v>35</v>
      </c>
      <c r="I176" s="269">
        <f ca="1">IFERROR(__xludf.DUMMYFUNCTION("IMPORTRANGE(""https://docs.google.com/spreadsheets/d/1QqKyyYR6Q21VydFLVH3TRQUabQu_ym0Zz7PgGX0-kHA/edit?usp=sharing"",""แผน!Y53"")"),12)</f>
        <v>12</v>
      </c>
      <c r="J176" s="214">
        <v>0</v>
      </c>
      <c r="K176" s="163">
        <f ca="1">IF(I176&gt;0,J176*100/I176,0)</f>
        <v>0</v>
      </c>
      <c r="L176" s="163"/>
      <c r="M176" s="163"/>
      <c r="N176" s="163"/>
      <c r="O176" s="163"/>
      <c r="P176" s="163"/>
    </row>
    <row r="177" spans="1:26" ht="19.5" hidden="1">
      <c r="A177" s="255"/>
      <c r="B177" s="263"/>
      <c r="C177" s="264" t="s">
        <v>86</v>
      </c>
      <c r="D177" s="263"/>
      <c r="E177" s="256"/>
      <c r="F177" s="256"/>
      <c r="G177" s="258"/>
      <c r="H177" s="265" t="s">
        <v>35</v>
      </c>
      <c r="I177" s="260"/>
      <c r="J177" s="260">
        <f>J179</f>
        <v>0</v>
      </c>
      <c r="K177" s="261"/>
      <c r="L177" s="261"/>
      <c r="M177" s="261"/>
      <c r="N177" s="261"/>
      <c r="O177" s="261"/>
      <c r="P177" s="261"/>
    </row>
    <row r="178" spans="1:26" ht="19.5" hidden="1">
      <c r="A178" s="170"/>
      <c r="B178" s="171"/>
      <c r="C178" s="164" t="s">
        <v>16</v>
      </c>
      <c r="D178" s="266" t="s">
        <v>38</v>
      </c>
      <c r="E178" s="173"/>
      <c r="F178" s="173"/>
      <c r="G178" s="174"/>
      <c r="H178" s="753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3" t="s">
        <v>87</v>
      </c>
      <c r="E179" s="178"/>
      <c r="F179" s="366"/>
      <c r="G179" s="179"/>
      <c r="H179" s="43" t="s">
        <v>35</v>
      </c>
      <c r="I179" s="269"/>
      <c r="J179" s="269"/>
      <c r="K179" s="163"/>
      <c r="L179" s="163"/>
      <c r="M179" s="163"/>
      <c r="N179" s="163"/>
      <c r="O179" s="163"/>
      <c r="P179" s="163"/>
    </row>
    <row r="180" spans="1:26" ht="19.5">
      <c r="A180" s="248"/>
      <c r="B180" s="249" t="s">
        <v>88</v>
      </c>
      <c r="C180" s="250"/>
      <c r="D180" s="173"/>
      <c r="E180" s="173"/>
      <c r="F180" s="173"/>
      <c r="G180" s="174"/>
      <c r="H180" s="251" t="s">
        <v>35</v>
      </c>
      <c r="I180" s="252">
        <f t="shared" ref="I180:J180" ca="1" si="91">I225+I226</f>
        <v>30</v>
      </c>
      <c r="J180" s="252">
        <f t="shared" si="91"/>
        <v>0</v>
      </c>
      <c r="K180" s="253">
        <f ca="1">IF(I180&gt;0,J180*100/I180,0)</f>
        <v>0</v>
      </c>
      <c r="L180" s="254"/>
      <c r="M180" s="254"/>
      <c r="N180" s="254"/>
      <c r="O180" s="254"/>
      <c r="P180" s="254"/>
    </row>
    <row r="181" spans="1:26" ht="19.5">
      <c r="A181" s="147"/>
      <c r="B181" s="148"/>
      <c r="C181" s="149" t="s">
        <v>16</v>
      </c>
      <c r="D181" s="822" t="s">
        <v>17</v>
      </c>
      <c r="E181" s="148"/>
      <c r="F181" s="148"/>
      <c r="G181" s="151"/>
      <c r="H181" s="152" t="s">
        <v>12</v>
      </c>
      <c r="I181" s="419"/>
      <c r="J181" s="419"/>
      <c r="K181" s="154"/>
      <c r="L181" s="155">
        <f t="shared" ref="L181:N181" ca="1" si="92">L182+L183</f>
        <v>352500</v>
      </c>
      <c r="M181" s="155">
        <f t="shared" ca="1" si="92"/>
        <v>190600</v>
      </c>
      <c r="N181" s="155">
        <f t="shared" ca="1" si="92"/>
        <v>4615</v>
      </c>
      <c r="O181" s="155">
        <f t="shared" ref="O181:O189" ca="1" si="93">IF(L181&gt;0,N181*100/L181,0)</f>
        <v>1.3092198581560284</v>
      </c>
      <c r="P181" s="155">
        <f t="shared" ref="P181:P189" ca="1" si="94">IF(M181&gt;0,N181*100/M181,0)</f>
        <v>2.4213011542497376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2" t="s">
        <v>18</v>
      </c>
      <c r="F182" s="40"/>
      <c r="G182" s="157"/>
      <c r="H182" s="158" t="s">
        <v>12</v>
      </c>
      <c r="I182" s="610"/>
      <c r="J182" s="610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2" t="s">
        <v>19</v>
      </c>
      <c r="F183" s="40"/>
      <c r="G183" s="157"/>
      <c r="H183" s="158" t="s">
        <v>12</v>
      </c>
      <c r="I183" s="610"/>
      <c r="J183" s="610"/>
      <c r="K183" s="93"/>
      <c r="L183" s="93">
        <f t="shared" ca="1" si="95"/>
        <v>352500</v>
      </c>
      <c r="M183" s="93">
        <f t="shared" ca="1" si="95"/>
        <v>190600</v>
      </c>
      <c r="N183" s="93">
        <f t="shared" ca="1" si="95"/>
        <v>4615</v>
      </c>
      <c r="O183" s="93">
        <f t="shared" ca="1" si="93"/>
        <v>1.3092198581560284</v>
      </c>
      <c r="P183" s="93">
        <f t="shared" ca="1" si="94"/>
        <v>2.4213011542497376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1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6">
        <f t="shared" ref="L184:N184" ca="1" si="96">L185+L186</f>
        <v>352500</v>
      </c>
      <c r="M184" s="496">
        <f t="shared" ca="1" si="96"/>
        <v>190600</v>
      </c>
      <c r="N184" s="496">
        <f t="shared" ca="1" si="96"/>
        <v>4615</v>
      </c>
      <c r="O184" s="496">
        <f t="shared" ca="1" si="93"/>
        <v>1.3092198581560284</v>
      </c>
      <c r="P184" s="496">
        <f t="shared" ca="1" si="94"/>
        <v>2.4213011542497376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2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2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IFERROR(__xludf.DUMMYFUNCTION("IMPORTRANGE(""https://docs.google.com/spreadsheets/d/1MeEWN-I1oV_STSDYn1IFDPWt_1FKiwhDph83XaGc0o0/edit?usp=sharing"",""งบพรบ!CO53"")"),352500)</f>
        <v>352500</v>
      </c>
      <c r="M186" s="93">
        <f ca="1">IFERROR(__xludf.DUMMYFUNCTION("IMPORTRANGE(""https://docs.google.com/spreadsheets/d/1MeEWN-I1oV_STSDYn1IFDPWt_1FKiwhDph83XaGc0o0/edit?usp=sharing"",""งบพรบ!CT53"")"),190600)</f>
        <v>190600</v>
      </c>
      <c r="N186" s="93">
        <f ca="1">IFERROR(__xludf.DUMMYFUNCTION("IMPORTRANGE(""https://docs.google.com/spreadsheets/d/1MeEWN-I1oV_STSDYn1IFDPWt_1FKiwhDph83XaGc0o0/edit?usp=sharing"",""งบพรบ!CV53"")"),4615)</f>
        <v>4615</v>
      </c>
      <c r="O186" s="93">
        <f t="shared" ca="1" si="93"/>
        <v>1.3092198581560284</v>
      </c>
      <c r="P186" s="93">
        <f t="shared" ca="1" si="94"/>
        <v>2.4213011542497376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1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6">
        <f t="shared" ref="L187:N187" ca="1" si="97">L188+L189</f>
        <v>0</v>
      </c>
      <c r="M187" s="496">
        <f t="shared" ca="1" si="97"/>
        <v>0</v>
      </c>
      <c r="N187" s="496">
        <f t="shared" ca="1" si="97"/>
        <v>0</v>
      </c>
      <c r="O187" s="496">
        <f t="shared" ca="1" si="93"/>
        <v>0</v>
      </c>
      <c r="P187" s="496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2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2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IFERROR(__xludf.DUMMYFUNCTION("IMPORTRANGE(""https://docs.google.com/spreadsheets/d/1MeEWN-I1oV_STSDYn1IFDPWt_1FKiwhDph83XaGc0o0/edit?usp=sharing"",""งบพรบ!CR53"")"),0)</f>
        <v>0</v>
      </c>
      <c r="M189" s="93">
        <f ca="1">IFERROR(__xludf.DUMMYFUNCTION("IMPORTRANGE(""https://docs.google.com/spreadsheets/d/1MeEWN-I1oV_STSDYn1IFDPWt_1FKiwhDph83XaGc0o0/edit?usp=sharing"",""งบพรบ!CU53"")"),0)</f>
        <v>0</v>
      </c>
      <c r="N189" s="93">
        <f ca="1">IFERROR(__xludf.DUMMYFUNCTION("IMPORTRANGE(""https://docs.google.com/spreadsheets/d/1MeEWN-I1oV_STSDYn1IFDPWt_1FKiwhDph83XaGc0o0/edit?usp=sharing"",""งบพรบ!CW53"")"),0)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5"/>
      <c r="B190" s="263"/>
      <c r="C190" s="270" t="s">
        <v>89</v>
      </c>
      <c r="D190" s="256"/>
      <c r="E190" s="256"/>
      <c r="F190" s="256"/>
      <c r="G190" s="258"/>
      <c r="H190" s="259" t="s">
        <v>90</v>
      </c>
      <c r="I190" s="271">
        <f t="shared" ref="I190:J190" ca="1" si="98">I193</f>
        <v>4</v>
      </c>
      <c r="J190" s="271">
        <f t="shared" si="98"/>
        <v>0</v>
      </c>
      <c r="K190" s="272">
        <f ca="1">IF(I190&gt;0,J190*100/I190,0)</f>
        <v>0</v>
      </c>
      <c r="L190" s="261"/>
      <c r="M190" s="261"/>
      <c r="N190" s="261"/>
      <c r="O190" s="261"/>
      <c r="P190" s="261"/>
    </row>
    <row r="191" spans="1:26" ht="19.5">
      <c r="A191" s="147"/>
      <c r="B191" s="148"/>
      <c r="C191" s="149" t="s">
        <v>16</v>
      </c>
      <c r="D191" s="826" t="s">
        <v>17</v>
      </c>
      <c r="E191" s="148"/>
      <c r="F191" s="148"/>
      <c r="G191" s="151"/>
      <c r="H191" s="274" t="s">
        <v>12</v>
      </c>
      <c r="I191" s="419"/>
      <c r="J191" s="419"/>
      <c r="K191" s="154"/>
      <c r="L191" s="155">
        <f ca="1">IFERROR(__xludf.DUMMYFUNCTION("IMPORTRANGE(""https://docs.google.com/spreadsheets/d/1QqKyyYR6Q21VydFLVH3TRQUabQu_ym0Zz7PgGX0-kHA/edit?usp=sharing"",""แผน!Z53"")"),6000)</f>
        <v>6000</v>
      </c>
      <c r="M191" s="155"/>
      <c r="N191" s="275">
        <v>0</v>
      </c>
      <c r="O191" s="155">
        <f ca="1">IF(L191&gt;0,N191*100/L191,0)</f>
        <v>0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0" t="s">
        <v>16</v>
      </c>
      <c r="D192" s="823" t="s">
        <v>38</v>
      </c>
      <c r="E192" s="173"/>
      <c r="F192" s="173"/>
      <c r="G192" s="174"/>
      <c r="H192" s="753"/>
      <c r="I192" s="269"/>
      <c r="J192" s="269"/>
      <c r="K192" s="496"/>
      <c r="L192" s="496"/>
      <c r="M192" s="496"/>
      <c r="N192" s="496"/>
      <c r="O192" s="496"/>
      <c r="P192" s="496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6" t="s">
        <v>91</v>
      </c>
      <c r="E193" s="178"/>
      <c r="F193" s="178"/>
      <c r="G193" s="179"/>
      <c r="H193" s="755" t="s">
        <v>90</v>
      </c>
      <c r="I193" s="269">
        <f ca="1">IFERROR(__xludf.DUMMYFUNCTION("IMPORTRANGE(""https://docs.google.com/spreadsheets/d/1QqKyyYR6Q21VydFLVH3TRQUabQu_ym0Zz7PgGX0-kHA/edit?usp=sharing"",""แผน!AC53"")"),4)</f>
        <v>4</v>
      </c>
      <c r="J193" s="214">
        <v>0</v>
      </c>
      <c r="K193" s="496">
        <f ca="1">IF(I193&gt;0,J193*100/I193,0)</f>
        <v>0</v>
      </c>
      <c r="L193" s="496"/>
      <c r="M193" s="496"/>
      <c r="N193" s="496"/>
      <c r="O193" s="496"/>
      <c r="P193" s="496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6" t="s">
        <v>92</v>
      </c>
      <c r="E194" s="178"/>
      <c r="F194" s="178"/>
      <c r="G194" s="179"/>
      <c r="H194" s="276" t="s">
        <v>35</v>
      </c>
      <c r="I194" s="269"/>
      <c r="J194" s="269">
        <f>J195+J196</f>
        <v>0</v>
      </c>
      <c r="K194" s="496"/>
      <c r="L194" s="496"/>
      <c r="M194" s="496"/>
      <c r="N194" s="496"/>
      <c r="O194" s="496"/>
      <c r="P194" s="496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6" t="s">
        <v>93</v>
      </c>
      <c r="F195" s="178"/>
      <c r="G195" s="179"/>
      <c r="H195" s="276" t="s">
        <v>35</v>
      </c>
      <c r="I195" s="269"/>
      <c r="J195" s="214">
        <v>0</v>
      </c>
      <c r="K195" s="496"/>
      <c r="L195" s="496"/>
      <c r="M195" s="496"/>
      <c r="N195" s="496"/>
      <c r="O195" s="496"/>
      <c r="P195" s="496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6" t="s">
        <v>94</v>
      </c>
      <c r="F196" s="178"/>
      <c r="G196" s="179"/>
      <c r="H196" s="276" t="s">
        <v>35</v>
      </c>
      <c r="I196" s="269"/>
      <c r="J196" s="214">
        <v>0</v>
      </c>
      <c r="K196" s="496"/>
      <c r="L196" s="496"/>
      <c r="M196" s="496"/>
      <c r="N196" s="496"/>
      <c r="O196" s="496"/>
      <c r="P196" s="496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5"/>
      <c r="B197" s="263"/>
      <c r="C197" s="270" t="s">
        <v>95</v>
      </c>
      <c r="D197" s="256"/>
      <c r="E197" s="256"/>
      <c r="F197" s="256"/>
      <c r="G197" s="258"/>
      <c r="H197" s="277" t="s">
        <v>96</v>
      </c>
      <c r="I197" s="271">
        <f t="shared" ref="I197:J197" ca="1" si="99">I204</f>
        <v>4</v>
      </c>
      <c r="J197" s="271">
        <f t="shared" si="99"/>
        <v>0</v>
      </c>
      <c r="K197" s="272">
        <f ca="1">IF(I197&gt;0,J197*100/I197,0)</f>
        <v>0</v>
      </c>
      <c r="L197" s="261"/>
      <c r="M197" s="261"/>
      <c r="N197" s="261"/>
      <c r="O197" s="261"/>
      <c r="P197" s="261"/>
    </row>
    <row r="198" spans="1:26" ht="19.5">
      <c r="A198" s="147"/>
      <c r="B198" s="148"/>
      <c r="C198" s="149" t="s">
        <v>16</v>
      </c>
      <c r="D198" s="826" t="s">
        <v>17</v>
      </c>
      <c r="E198" s="148"/>
      <c r="F198" s="148"/>
      <c r="G198" s="151"/>
      <c r="H198" s="274" t="s">
        <v>12</v>
      </c>
      <c r="I198" s="418"/>
      <c r="J198" s="418"/>
      <c r="K198" s="279"/>
      <c r="L198" s="155">
        <f ca="1">L199+L200+L201+L202</f>
        <v>57000</v>
      </c>
      <c r="M198" s="155"/>
      <c r="N198" s="155">
        <f>N199+N200+N201+N202</f>
        <v>0</v>
      </c>
      <c r="O198" s="155">
        <f ca="1">IF(L198&gt;0,N198*100/L198,0)</f>
        <v>0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0"/>
      <c r="C199" s="33"/>
      <c r="D199" s="281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6">
        <f ca="1">IFERROR(__xludf.DUMMYFUNCTION("IMPORTRANGE(""https://docs.google.com/spreadsheets/d/1QqKyyYR6Q21VydFLVH3TRQUabQu_ym0Zz7PgGX0-kHA/edit?usp=sharing"",""แผน!AE53"")"),4000)</f>
        <v>4000</v>
      </c>
      <c r="M199" s="496"/>
      <c r="N199" s="817">
        <v>0</v>
      </c>
      <c r="O199" s="496"/>
      <c r="P199" s="496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4"/>
      <c r="B200" s="280"/>
      <c r="C200" s="210"/>
      <c r="D200" s="281" t="s">
        <v>98</v>
      </c>
      <c r="E200" s="33"/>
      <c r="F200" s="33"/>
      <c r="G200" s="35"/>
      <c r="H200" s="616" t="s">
        <v>12</v>
      </c>
      <c r="I200" s="269"/>
      <c r="J200" s="269"/>
      <c r="K200" s="496"/>
      <c r="L200" s="496">
        <f ca="1">IFERROR(__xludf.DUMMYFUNCTION("IMPORTRANGE(""https://docs.google.com/spreadsheets/d/1QqKyyYR6Q21VydFLVH3TRQUabQu_ym0Zz7PgGX0-kHA/edit?usp=sharing"",""แผน!AF53"")"),32000)</f>
        <v>32000</v>
      </c>
      <c r="M200" s="496"/>
      <c r="N200" s="817">
        <v>0</v>
      </c>
      <c r="O200" s="496"/>
      <c r="P200" s="496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>
      <c r="A201" s="284"/>
      <c r="B201" s="280"/>
      <c r="C201" s="210"/>
      <c r="D201" s="281" t="s">
        <v>99</v>
      </c>
      <c r="E201" s="33"/>
      <c r="F201" s="33"/>
      <c r="G201" s="35"/>
      <c r="H201" s="616" t="s">
        <v>12</v>
      </c>
      <c r="I201" s="269"/>
      <c r="J201" s="269"/>
      <c r="K201" s="496"/>
      <c r="L201" s="496">
        <f ca="1">IFERROR(__xludf.DUMMYFUNCTION("IMPORTRANGE(""https://docs.google.com/spreadsheets/d/1QqKyyYR6Q21VydFLVH3TRQUabQu_ym0Zz7PgGX0-kHA/edit?usp=sharing"",""แผน!AG53"")"),16000)</f>
        <v>16000</v>
      </c>
      <c r="M201" s="496"/>
      <c r="N201" s="817">
        <v>0</v>
      </c>
      <c r="O201" s="496"/>
      <c r="P201" s="496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>
      <c r="A202" s="284"/>
      <c r="B202" s="280"/>
      <c r="C202" s="210"/>
      <c r="D202" s="281" t="s">
        <v>100</v>
      </c>
      <c r="E202" s="33"/>
      <c r="F202" s="33"/>
      <c r="G202" s="35"/>
      <c r="H202" s="616" t="s">
        <v>12</v>
      </c>
      <c r="I202" s="269"/>
      <c r="J202" s="269"/>
      <c r="K202" s="496"/>
      <c r="L202" s="496">
        <f ca="1">IFERROR(__xludf.DUMMYFUNCTION("IMPORTRANGE(""https://docs.google.com/spreadsheets/d/1QqKyyYR6Q21VydFLVH3TRQUabQu_ym0Zz7PgGX0-kHA/edit?usp=sharing"",""แผน!AH53"")"),5000)</f>
        <v>5000</v>
      </c>
      <c r="M202" s="496"/>
      <c r="N202" s="817">
        <v>0</v>
      </c>
      <c r="O202" s="496"/>
      <c r="P202" s="496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>
      <c r="A203" s="170"/>
      <c r="B203" s="171"/>
      <c r="C203" s="210" t="s">
        <v>16</v>
      </c>
      <c r="D203" s="823" t="s">
        <v>38</v>
      </c>
      <c r="E203" s="173"/>
      <c r="F203" s="173"/>
      <c r="G203" s="174"/>
      <c r="H203" s="753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53" t="s">
        <v>96</v>
      </c>
      <c r="I204" s="269">
        <f ca="1">IFERROR(__xludf.DUMMYFUNCTION("IMPORTRANGE(""https://docs.google.com/spreadsheets/d/1QqKyyYR6Q21VydFLVH3TRQUabQu_ym0Zz7PgGX0-kHA/edit?usp=sharing"",""แผน!AI53"")"),4)</f>
        <v>4</v>
      </c>
      <c r="J204" s="214">
        <v>0</v>
      </c>
      <c r="K204" s="163">
        <f ca="1">IF(I204&gt;0,J204*100/I204,0)</f>
        <v>0</v>
      </c>
      <c r="L204" s="496"/>
      <c r="M204" s="496"/>
      <c r="N204" s="496"/>
      <c r="O204" s="496"/>
      <c r="P204" s="496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6" t="s">
        <v>59</v>
      </c>
      <c r="E205" s="178"/>
      <c r="F205" s="178"/>
      <c r="G205" s="179"/>
      <c r="H205" s="753"/>
      <c r="I205" s="269"/>
      <c r="J205" s="269"/>
      <c r="K205" s="163"/>
      <c r="L205" s="496"/>
      <c r="M205" s="496"/>
      <c r="N205" s="496"/>
      <c r="O205" s="496"/>
      <c r="P205" s="496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446" t="s">
        <v>102</v>
      </c>
      <c r="F206" s="178"/>
      <c r="G206" s="179"/>
      <c r="H206" s="753" t="s">
        <v>96</v>
      </c>
      <c r="I206" s="269">
        <v>4</v>
      </c>
      <c r="J206" s="214">
        <v>0</v>
      </c>
      <c r="K206" s="163">
        <f t="shared" ref="K206:K208" si="100">IF(I206&gt;0,J206*100/I206,0)</f>
        <v>0</v>
      </c>
      <c r="L206" s="496"/>
      <c r="M206" s="496"/>
      <c r="N206" s="496"/>
      <c r="O206" s="496"/>
      <c r="P206" s="496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6"/>
      <c r="E207" s="446" t="s">
        <v>103</v>
      </c>
      <c r="F207" s="178"/>
      <c r="G207" s="179"/>
      <c r="H207" s="755" t="s">
        <v>104</v>
      </c>
      <c r="I207" s="269">
        <v>1</v>
      </c>
      <c r="J207" s="214">
        <v>0</v>
      </c>
      <c r="K207" s="163">
        <f t="shared" si="100"/>
        <v>0</v>
      </c>
      <c r="L207" s="496"/>
      <c r="M207" s="496"/>
      <c r="N207" s="496"/>
      <c r="O207" s="496"/>
      <c r="P207" s="496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>
      <c r="A208" s="255"/>
      <c r="B208" s="263"/>
      <c r="C208" s="270" t="s">
        <v>105</v>
      </c>
      <c r="D208" s="256"/>
      <c r="E208" s="256"/>
      <c r="F208" s="291"/>
      <c r="G208" s="258"/>
      <c r="H208" s="277" t="s">
        <v>96</v>
      </c>
      <c r="I208" s="271">
        <f t="shared" ref="I208:J208" ca="1" si="101">I215</f>
        <v>6</v>
      </c>
      <c r="J208" s="271">
        <f t="shared" si="101"/>
        <v>0</v>
      </c>
      <c r="K208" s="272">
        <f t="shared" ca="1" si="100"/>
        <v>0</v>
      </c>
      <c r="L208" s="261"/>
      <c r="M208" s="261"/>
      <c r="N208" s="261"/>
      <c r="O208" s="261"/>
      <c r="P208" s="261"/>
    </row>
    <row r="209" spans="1:26" ht="19.5">
      <c r="A209" s="147"/>
      <c r="B209" s="148"/>
      <c r="C209" s="149" t="s">
        <v>16</v>
      </c>
      <c r="D209" s="826" t="s">
        <v>17</v>
      </c>
      <c r="E209" s="148"/>
      <c r="F209" s="148"/>
      <c r="G209" s="151"/>
      <c r="H209" s="274" t="s">
        <v>12</v>
      </c>
      <c r="I209" s="418"/>
      <c r="J209" s="418"/>
      <c r="K209" s="279"/>
      <c r="L209" s="155">
        <f ca="1">L210+L211+L212</f>
        <v>84000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>
      <c r="A210" s="159"/>
      <c r="B210" s="280"/>
      <c r="C210" s="33"/>
      <c r="D210" s="281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6">
        <f ca="1">IFERROR(__xludf.DUMMYFUNCTION("IMPORTRANGE(""https://docs.google.com/spreadsheets/d/1QqKyyYR6Q21VydFLVH3TRQUabQu_ym0Zz7PgGX0-kHA/edit?usp=sharing"",""แผน!AK53"")"),6000)</f>
        <v>6000</v>
      </c>
      <c r="M210" s="496"/>
      <c r="N210" s="817">
        <v>0</v>
      </c>
      <c r="O210" s="496"/>
      <c r="P210" s="496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>
      <c r="A211" s="284"/>
      <c r="B211" s="280"/>
      <c r="C211" s="292"/>
      <c r="D211" s="281" t="s">
        <v>99</v>
      </c>
      <c r="E211" s="33"/>
      <c r="F211" s="33"/>
      <c r="G211" s="35"/>
      <c r="H211" s="161" t="s">
        <v>12</v>
      </c>
      <c r="I211" s="269"/>
      <c r="J211" s="269"/>
      <c r="K211" s="496"/>
      <c r="L211" s="496">
        <f ca="1">IFERROR(__xludf.DUMMYFUNCTION("IMPORTRANGE(""https://docs.google.com/spreadsheets/d/1QqKyyYR6Q21VydFLVH3TRQUabQu_ym0Zz7PgGX0-kHA/edit?usp=sharing"",""แผน!AL53"")"),30000)</f>
        <v>30000</v>
      </c>
      <c r="M211" s="496"/>
      <c r="N211" s="817">
        <v>0</v>
      </c>
      <c r="O211" s="496"/>
      <c r="P211" s="496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>
      <c r="A212" s="284"/>
      <c r="B212" s="280"/>
      <c r="C212" s="292"/>
      <c r="D212" s="281" t="s">
        <v>98</v>
      </c>
      <c r="E212" s="33"/>
      <c r="F212" s="33"/>
      <c r="G212" s="35"/>
      <c r="H212" s="161" t="s">
        <v>12</v>
      </c>
      <c r="I212" s="269"/>
      <c r="J212" s="269"/>
      <c r="K212" s="496"/>
      <c r="L212" s="496">
        <f ca="1">IFERROR(__xludf.DUMMYFUNCTION("IMPORTRANGE(""https://docs.google.com/spreadsheets/d/1QqKyyYR6Q21VydFLVH3TRQUabQu_ym0Zz7PgGX0-kHA/edit?usp=sharing"",""แผน!AM53"")"),48000)</f>
        <v>48000</v>
      </c>
      <c r="M212" s="496"/>
      <c r="N212" s="817">
        <v>0</v>
      </c>
      <c r="O212" s="496"/>
      <c r="P212" s="496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>
      <c r="A213" s="170"/>
      <c r="B213" s="171"/>
      <c r="C213" s="292" t="s">
        <v>16</v>
      </c>
      <c r="D213" s="823" t="s">
        <v>38</v>
      </c>
      <c r="E213" s="173"/>
      <c r="F213" s="173"/>
      <c r="G213" s="174"/>
      <c r="H213" s="753"/>
      <c r="I213" s="184"/>
      <c r="J213" s="269"/>
      <c r="K213" s="496"/>
      <c r="L213" s="496"/>
      <c r="M213" s="496"/>
      <c r="N213" s="496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>
      <c r="A214" s="170"/>
      <c r="B214" s="171"/>
      <c r="C214" s="171"/>
      <c r="D214" s="176" t="s">
        <v>106</v>
      </c>
      <c r="E214" s="178"/>
      <c r="F214" s="178"/>
      <c r="G214" s="179"/>
      <c r="H214" s="753" t="s">
        <v>96</v>
      </c>
      <c r="I214" s="269">
        <f ca="1">IFERROR(__xludf.DUMMYFUNCTION("IMPORTRANGE(""https://docs.google.com/spreadsheets/d/1QqKyyYR6Q21VydFLVH3TRQUabQu_ym0Zz7PgGX0-kHA/edit?usp=sharing"",""แผน!AN53"")"),6)</f>
        <v>6</v>
      </c>
      <c r="J214" s="214">
        <v>0</v>
      </c>
      <c r="K214" s="496">
        <f t="shared" ref="K214:K216" ca="1" si="102">IF(I214&gt;0,J214*100/I214,0)</f>
        <v>0</v>
      </c>
      <c r="L214" s="496"/>
      <c r="M214" s="496"/>
      <c r="N214" s="496"/>
      <c r="O214" s="496"/>
      <c r="P214" s="496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>
      <c r="A215" s="170"/>
      <c r="B215" s="171"/>
      <c r="C215" s="171"/>
      <c r="D215" s="176" t="s">
        <v>107</v>
      </c>
      <c r="E215" s="178"/>
      <c r="F215" s="178"/>
      <c r="G215" s="179"/>
      <c r="H215" s="753" t="s">
        <v>96</v>
      </c>
      <c r="I215" s="269">
        <f ca="1">IFERROR(__xludf.DUMMYFUNCTION("IMPORTRANGE(""https://docs.google.com/spreadsheets/d/1QqKyyYR6Q21VydFLVH3TRQUabQu_ym0Zz7PgGX0-kHA/edit?usp=sharing"",""แผน!AN53"")"),6)</f>
        <v>6</v>
      </c>
      <c r="J215" s="214">
        <v>0</v>
      </c>
      <c r="K215" s="496">
        <f t="shared" ca="1" si="102"/>
        <v>0</v>
      </c>
      <c r="L215" s="496"/>
      <c r="M215" s="496"/>
      <c r="N215" s="496"/>
      <c r="O215" s="496"/>
      <c r="P215" s="496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5"/>
      <c r="B216" s="263"/>
      <c r="C216" s="270" t="s">
        <v>108</v>
      </c>
      <c r="D216" s="256"/>
      <c r="E216" s="256"/>
      <c r="F216" s="291"/>
      <c r="G216" s="258"/>
      <c r="H216" s="259" t="s">
        <v>109</v>
      </c>
      <c r="I216" s="271">
        <f t="shared" ref="I216:J216" ca="1" si="103">I224</f>
        <v>30000</v>
      </c>
      <c r="J216" s="271">
        <f t="shared" si="103"/>
        <v>0</v>
      </c>
      <c r="K216" s="272">
        <f t="shared" ca="1" si="102"/>
        <v>0</v>
      </c>
      <c r="L216" s="261"/>
      <c r="M216" s="261"/>
      <c r="N216" s="261"/>
      <c r="O216" s="261"/>
      <c r="P216" s="261"/>
    </row>
    <row r="217" spans="1:26" ht="19.5">
      <c r="A217" s="147"/>
      <c r="B217" s="148"/>
      <c r="C217" s="149" t="s">
        <v>16</v>
      </c>
      <c r="D217" s="826" t="s">
        <v>17</v>
      </c>
      <c r="E217" s="148"/>
      <c r="F217" s="148"/>
      <c r="G217" s="151"/>
      <c r="H217" s="274" t="s">
        <v>12</v>
      </c>
      <c r="I217" s="418"/>
      <c r="J217" s="418"/>
      <c r="K217" s="279"/>
      <c r="L217" s="155">
        <f ca="1">L218+L219+L220</f>
        <v>13500</v>
      </c>
      <c r="M217" s="155"/>
      <c r="N217" s="155">
        <f>N218+N219+N220</f>
        <v>0</v>
      </c>
      <c r="O217" s="155">
        <f ca="1">IF(L217&gt;0,N217*100/L217,0)</f>
        <v>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0"/>
      <c r="C218" s="33"/>
      <c r="D218" s="281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6">
        <f ca="1">IFERROR(__xludf.DUMMYFUNCTION("IMPORTRANGE(""https://docs.google.com/spreadsheets/d/1QqKyyYR6Q21VydFLVH3TRQUabQu_ym0Zz7PgGX0-kHA/edit?usp=sharing"",""แผน!AP53"")"),5000)</f>
        <v>5000</v>
      </c>
      <c r="M218" s="496"/>
      <c r="N218" s="817">
        <v>0</v>
      </c>
      <c r="O218" s="496"/>
      <c r="P218" s="496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4"/>
      <c r="B219" s="280"/>
      <c r="C219" s="292"/>
      <c r="D219" s="281" t="s">
        <v>110</v>
      </c>
      <c r="E219" s="33"/>
      <c r="F219" s="33"/>
      <c r="G219" s="35"/>
      <c r="H219" s="161" t="s">
        <v>12</v>
      </c>
      <c r="I219" s="269"/>
      <c r="J219" s="269"/>
      <c r="K219" s="496"/>
      <c r="L219" s="496">
        <f ca="1">IFERROR(__xludf.DUMMYFUNCTION("IMPORTRANGE(""https://docs.google.com/spreadsheets/d/1QqKyyYR6Q21VydFLVH3TRQUabQu_ym0Zz7PgGX0-kHA/edit?usp=sharing"",""แผน!AQ53"")"),8500)</f>
        <v>8500</v>
      </c>
      <c r="M219" s="496"/>
      <c r="N219" s="817">
        <v>0</v>
      </c>
      <c r="O219" s="496"/>
      <c r="P219" s="496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0"/>
      <c r="C220" s="292"/>
      <c r="D220" s="281" t="s">
        <v>98</v>
      </c>
      <c r="E220" s="33"/>
      <c r="F220" s="33"/>
      <c r="G220" s="35"/>
      <c r="H220" s="161" t="s">
        <v>12</v>
      </c>
      <c r="I220" s="269"/>
      <c r="J220" s="269"/>
      <c r="K220" s="496"/>
      <c r="L220" s="496">
        <f ca="1">IFERROR(__xludf.DUMMYFUNCTION("IMPORTRANGE(""https://docs.google.com/spreadsheets/d/1QqKyyYR6Q21VydFLVH3TRQUabQu_ym0Zz7PgGX0-kHA/edit?usp=sharing"",""แผน!AR53"")"),0)</f>
        <v>0</v>
      </c>
      <c r="M220" s="496"/>
      <c r="N220" s="817">
        <v>0</v>
      </c>
      <c r="O220" s="496"/>
      <c r="P220" s="496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70"/>
      <c r="B221" s="171"/>
      <c r="C221" s="292" t="s">
        <v>16</v>
      </c>
      <c r="D221" s="823" t="s">
        <v>38</v>
      </c>
      <c r="E221" s="173"/>
      <c r="F221" s="173"/>
      <c r="G221" s="174"/>
      <c r="H221" s="753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1" t="s">
        <v>111</v>
      </c>
      <c r="E222" s="178"/>
      <c r="F222" s="178"/>
      <c r="G222" s="179"/>
      <c r="H222" s="753"/>
      <c r="I222" s="269"/>
      <c r="J222" s="269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55" t="s">
        <v>109</v>
      </c>
      <c r="I223" s="269">
        <f ca="1">IFERROR(__xludf.DUMMYFUNCTION("IMPORTRANGE(""https://docs.google.com/spreadsheets/d/1QqKyyYR6Q21VydFLVH3TRQUabQu_ym0Zz7PgGX0-kHA/edit?usp=sharing"",""แผน!AT53"")"),30000)</f>
        <v>30000</v>
      </c>
      <c r="J223" s="214">
        <v>0</v>
      </c>
      <c r="K223" s="163">
        <f t="shared" ref="K223:K226" ca="1" si="104">IF(I223&gt;0,J223*100/I223,0)</f>
        <v>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55" t="s">
        <v>109</v>
      </c>
      <c r="I224" s="269">
        <f ca="1">IFERROR(__xludf.DUMMYFUNCTION("IMPORTRANGE(""https://docs.google.com/spreadsheets/d/1QqKyyYR6Q21VydFLVH3TRQUabQu_ym0Zz7PgGX0-kHA/edit?usp=sharing"",""แผน!AT53"")"),30000)</f>
        <v>30000</v>
      </c>
      <c r="J224" s="214">
        <v>0</v>
      </c>
      <c r="K224" s="163">
        <f t="shared" ca="1" si="104"/>
        <v>0</v>
      </c>
      <c r="L224" s="496"/>
      <c r="M224" s="496"/>
      <c r="N224" s="496"/>
      <c r="O224" s="496"/>
      <c r="P224" s="496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1" t="s">
        <v>114</v>
      </c>
      <c r="E225" s="178"/>
      <c r="F225" s="178"/>
      <c r="G225" s="179"/>
      <c r="H225" s="755" t="s">
        <v>35</v>
      </c>
      <c r="I225" s="269">
        <f ca="1">IFERROR(__xludf.DUMMYFUNCTION("IMPORTRANGE(""https://docs.google.com/spreadsheets/d/1QqKyyYR6Q21VydFLVH3TRQUabQu_ym0Zz7PgGX0-kHA/edit?usp=sharing"",""แผน!AS53"")"),0)</f>
        <v>0</v>
      </c>
      <c r="J225" s="214">
        <v>0</v>
      </c>
      <c r="K225" s="163">
        <f t="shared" ca="1" si="104"/>
        <v>0</v>
      </c>
      <c r="L225" s="496"/>
      <c r="M225" s="496"/>
      <c r="N225" s="496"/>
      <c r="O225" s="496"/>
      <c r="P225" s="496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5"/>
      <c r="B226" s="263"/>
      <c r="C226" s="341" t="s">
        <v>115</v>
      </c>
      <c r="D226" s="256"/>
      <c r="E226" s="256"/>
      <c r="F226" s="256"/>
      <c r="G226" s="258"/>
      <c r="H226" s="265" t="s">
        <v>35</v>
      </c>
      <c r="I226" s="344">
        <f t="shared" ref="I226:J226" ca="1" si="105">I237+I248</f>
        <v>30</v>
      </c>
      <c r="J226" s="344">
        <f t="shared" si="105"/>
        <v>0</v>
      </c>
      <c r="K226" s="345">
        <f t="shared" ca="1" si="104"/>
        <v>0</v>
      </c>
      <c r="L226" s="261"/>
      <c r="M226" s="261"/>
      <c r="N226" s="261"/>
      <c r="O226" s="261"/>
      <c r="P226" s="261"/>
    </row>
    <row r="227" spans="1:26" ht="19.5" hidden="1">
      <c r="A227" s="347"/>
      <c r="B227" s="348"/>
      <c r="C227" s="349" t="s">
        <v>16</v>
      </c>
      <c r="D227" s="827" t="s">
        <v>17</v>
      </c>
      <c r="E227" s="348"/>
      <c r="F227" s="348"/>
      <c r="G227" s="351"/>
      <c r="H227" s="352" t="s">
        <v>12</v>
      </c>
      <c r="I227" s="353"/>
      <c r="J227" s="353"/>
      <c r="K227" s="354"/>
      <c r="L227" s="355">
        <f t="shared" ref="L227:L231" ca="1" si="106">L238+L249</f>
        <v>120200</v>
      </c>
      <c r="M227" s="355"/>
      <c r="N227" s="355">
        <f t="shared" ref="N227:N231" si="107">N238+N249</f>
        <v>0</v>
      </c>
      <c r="O227" s="828"/>
      <c r="P227" s="828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6"/>
      <c r="C228" s="40"/>
      <c r="D228" s="222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20000</v>
      </c>
      <c r="M228" s="93"/>
      <c r="N228" s="93">
        <f t="shared" si="107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8"/>
      <c r="B229" s="356"/>
      <c r="C229" s="359"/>
      <c r="D229" s="222" t="s">
        <v>98</v>
      </c>
      <c r="E229" s="40"/>
      <c r="F229" s="40"/>
      <c r="G229" s="42"/>
      <c r="H229" s="165" t="s">
        <v>12</v>
      </c>
      <c r="I229" s="610"/>
      <c r="J229" s="610"/>
      <c r="K229" s="93"/>
      <c r="L229" s="93">
        <f t="shared" ca="1" si="106"/>
        <v>55200</v>
      </c>
      <c r="M229" s="93"/>
      <c r="N229" s="93">
        <f t="shared" si="107"/>
        <v>0</v>
      </c>
      <c r="O229" s="93"/>
      <c r="P229" s="93"/>
      <c r="Q229" s="360"/>
      <c r="R229" s="360"/>
      <c r="S229" s="360"/>
      <c r="T229" s="360"/>
      <c r="U229" s="360"/>
      <c r="V229" s="360"/>
      <c r="W229" s="360"/>
      <c r="X229" s="360"/>
      <c r="Y229" s="360"/>
      <c r="Z229" s="360"/>
    </row>
    <row r="230" spans="1:26" ht="19.5" hidden="1">
      <c r="A230" s="358"/>
      <c r="B230" s="356"/>
      <c r="C230" s="359"/>
      <c r="D230" s="222" t="s">
        <v>116</v>
      </c>
      <c r="E230" s="40"/>
      <c r="F230" s="40"/>
      <c r="G230" s="42"/>
      <c r="H230" s="165" t="s">
        <v>12</v>
      </c>
      <c r="I230" s="610"/>
      <c r="J230" s="610"/>
      <c r="K230" s="93"/>
      <c r="L230" s="93">
        <f t="shared" ca="1" si="106"/>
        <v>15000</v>
      </c>
      <c r="M230" s="93"/>
      <c r="N230" s="93">
        <f t="shared" si="107"/>
        <v>0</v>
      </c>
      <c r="O230" s="93"/>
      <c r="P230" s="93"/>
      <c r="Q230" s="360"/>
      <c r="R230" s="360"/>
      <c r="S230" s="360"/>
      <c r="T230" s="360"/>
      <c r="U230" s="360"/>
      <c r="V230" s="360"/>
      <c r="W230" s="360"/>
      <c r="X230" s="360"/>
      <c r="Y230" s="360"/>
      <c r="Z230" s="360"/>
    </row>
    <row r="231" spans="1:26" ht="19.5" hidden="1">
      <c r="A231" s="358"/>
      <c r="B231" s="356"/>
      <c r="C231" s="359"/>
      <c r="D231" s="222" t="s">
        <v>100</v>
      </c>
      <c r="E231" s="40"/>
      <c r="F231" s="40"/>
      <c r="G231" s="42"/>
      <c r="H231" s="165" t="s">
        <v>12</v>
      </c>
      <c r="I231" s="610"/>
      <c r="J231" s="610"/>
      <c r="K231" s="93"/>
      <c r="L231" s="93">
        <f t="shared" ca="1" si="106"/>
        <v>30000</v>
      </c>
      <c r="M231" s="93"/>
      <c r="N231" s="93">
        <f t="shared" si="107"/>
        <v>0</v>
      </c>
      <c r="O231" s="93"/>
      <c r="P231" s="93"/>
      <c r="Q231" s="360"/>
      <c r="R231" s="360"/>
      <c r="S231" s="360"/>
      <c r="T231" s="360"/>
      <c r="U231" s="360"/>
      <c r="V231" s="360"/>
      <c r="W231" s="360"/>
      <c r="X231" s="360"/>
      <c r="Y231" s="360"/>
      <c r="Z231" s="360"/>
    </row>
    <row r="232" spans="1:26" ht="19.5" hidden="1">
      <c r="A232" s="361"/>
      <c r="B232" s="362"/>
      <c r="C232" s="359" t="s">
        <v>16</v>
      </c>
      <c r="D232" s="266" t="s">
        <v>38</v>
      </c>
      <c r="E232" s="363"/>
      <c r="F232" s="363"/>
      <c r="G232" s="364"/>
      <c r="H232" s="365"/>
      <c r="I232" s="166"/>
      <c r="J232" s="610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1"/>
      <c r="B233" s="362"/>
      <c r="C233" s="362"/>
      <c r="D233" s="366" t="s">
        <v>117</v>
      </c>
      <c r="E233" s="372"/>
      <c r="F233" s="372"/>
      <c r="G233" s="368"/>
      <c r="H233" s="369" t="s">
        <v>35</v>
      </c>
      <c r="I233" s="610">
        <f t="shared" ref="I233:J233" ca="1" si="108">I244+I255</f>
        <v>30</v>
      </c>
      <c r="J233" s="610">
        <f t="shared" si="108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1"/>
      <c r="B234" s="362"/>
      <c r="C234" s="362"/>
      <c r="D234" s="371" t="s">
        <v>43</v>
      </c>
      <c r="E234" s="372"/>
      <c r="F234" s="372"/>
      <c r="G234" s="368"/>
      <c r="H234" s="369"/>
      <c r="I234" s="610"/>
      <c r="J234" s="610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1"/>
      <c r="B235" s="362"/>
      <c r="C235" s="362"/>
      <c r="D235" s="362"/>
      <c r="E235" s="373" t="s">
        <v>118</v>
      </c>
      <c r="F235" s="372"/>
      <c r="G235" s="368"/>
      <c r="H235" s="369" t="s">
        <v>35</v>
      </c>
      <c r="I235" s="610">
        <f t="shared" ref="I235:J236" si="109">I246+I257</f>
        <v>30</v>
      </c>
      <c r="J235" s="610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1"/>
      <c r="B236" s="362"/>
      <c r="C236" s="362"/>
      <c r="D236" s="362"/>
      <c r="E236" s="373" t="s">
        <v>119</v>
      </c>
      <c r="F236" s="372"/>
      <c r="G236" s="368"/>
      <c r="H236" s="369" t="s">
        <v>69</v>
      </c>
      <c r="I236" s="610">
        <f t="shared" si="109"/>
        <v>1</v>
      </c>
      <c r="J236" s="610">
        <f t="shared" si="109"/>
        <v>0</v>
      </c>
      <c r="K236" s="93">
        <f t="shared" si="110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>
      <c r="A237" s="255"/>
      <c r="B237" s="263"/>
      <c r="C237" s="270" t="s">
        <v>330</v>
      </c>
      <c r="D237" s="256"/>
      <c r="E237" s="256"/>
      <c r="F237" s="256"/>
      <c r="G237" s="258"/>
      <c r="H237" s="259" t="s">
        <v>35</v>
      </c>
      <c r="I237" s="271">
        <f t="shared" ref="I237:J237" ca="1" si="111">I244</f>
        <v>30</v>
      </c>
      <c r="J237" s="271">
        <f t="shared" si="111"/>
        <v>0</v>
      </c>
      <c r="K237" s="272">
        <f t="shared" ca="1" si="110"/>
        <v>0</v>
      </c>
      <c r="L237" s="261"/>
      <c r="M237" s="261"/>
      <c r="N237" s="261"/>
      <c r="O237" s="261"/>
      <c r="P237" s="261"/>
    </row>
    <row r="238" spans="1:26" ht="19.5">
      <c r="A238" s="147"/>
      <c r="B238" s="148"/>
      <c r="C238" s="149" t="s">
        <v>16</v>
      </c>
      <c r="D238" s="822" t="s">
        <v>17</v>
      </c>
      <c r="E238" s="148"/>
      <c r="F238" s="148"/>
      <c r="G238" s="151"/>
      <c r="H238" s="274" t="s">
        <v>12</v>
      </c>
      <c r="I238" s="418"/>
      <c r="J238" s="418"/>
      <c r="K238" s="279"/>
      <c r="L238" s="155">
        <f ca="1">L239+L240+L241+L242</f>
        <v>120200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>
      <c r="A239" s="314"/>
      <c r="B239" s="315"/>
      <c r="C239" s="316"/>
      <c r="D239" s="324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282">
        <f ca="1">IFERROR(__xludf.DUMMYFUNCTION("IMPORTRANGE(""https://docs.google.com/spreadsheets/d/1QqKyyYR6Q21VydFLVH3TRQUabQu_ym0Zz7PgGX0-kHA/edit?usp=sharing"",""แผน!AV53"")"),20000)</f>
        <v>20000</v>
      </c>
      <c r="M239" s="282"/>
      <c r="N239" s="829">
        <v>0</v>
      </c>
      <c r="O239" s="282"/>
      <c r="P239" s="28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>
      <c r="A240" s="322"/>
      <c r="B240" s="315"/>
      <c r="C240" s="323"/>
      <c r="D240" s="324" t="s">
        <v>98</v>
      </c>
      <c r="E240" s="316"/>
      <c r="F240" s="316"/>
      <c r="G240" s="318"/>
      <c r="H240" s="319" t="s">
        <v>12</v>
      </c>
      <c r="I240" s="325"/>
      <c r="J240" s="325"/>
      <c r="K240" s="282"/>
      <c r="L240" s="282">
        <f ca="1">IFERROR(__xludf.DUMMYFUNCTION("IMPORTRANGE(""https://docs.google.com/spreadsheets/d/1QqKyyYR6Q21VydFLVH3TRQUabQu_ym0Zz7PgGX0-kHA/edit?usp=sharing"",""แผน!AW53"")"),55200)</f>
        <v>55200</v>
      </c>
      <c r="M240" s="282"/>
      <c r="N240" s="829">
        <v>0</v>
      </c>
      <c r="O240" s="282"/>
      <c r="P240" s="282"/>
      <c r="Q240" s="326"/>
      <c r="R240" s="326"/>
      <c r="S240" s="326"/>
      <c r="T240" s="326"/>
      <c r="U240" s="326"/>
      <c r="V240" s="326"/>
      <c r="W240" s="326"/>
      <c r="X240" s="326"/>
      <c r="Y240" s="326"/>
      <c r="Z240" s="326"/>
    </row>
    <row r="241" spans="1:26" ht="19.5">
      <c r="A241" s="322"/>
      <c r="B241" s="315"/>
      <c r="C241" s="323"/>
      <c r="D241" s="324" t="s">
        <v>116</v>
      </c>
      <c r="E241" s="316"/>
      <c r="F241" s="316"/>
      <c r="G241" s="318"/>
      <c r="H241" s="319" t="s">
        <v>12</v>
      </c>
      <c r="I241" s="325"/>
      <c r="J241" s="325"/>
      <c r="K241" s="282"/>
      <c r="L241" s="282">
        <f ca="1">IFERROR(__xludf.DUMMYFUNCTION("IMPORTRANGE(""https://docs.google.com/spreadsheets/d/1QqKyyYR6Q21VydFLVH3TRQUabQu_ym0Zz7PgGX0-kHA/edit?usp=sharing"",""แผน!AX53"")"),15000)</f>
        <v>15000</v>
      </c>
      <c r="M241" s="282"/>
      <c r="N241" s="829">
        <v>0</v>
      </c>
      <c r="O241" s="282"/>
      <c r="P241" s="282"/>
      <c r="Q241" s="326"/>
      <c r="R241" s="326"/>
      <c r="S241" s="326"/>
      <c r="T241" s="326"/>
      <c r="U241" s="326"/>
      <c r="V241" s="326"/>
      <c r="W241" s="326"/>
      <c r="X241" s="326"/>
      <c r="Y241" s="326"/>
      <c r="Z241" s="326"/>
    </row>
    <row r="242" spans="1:26" ht="19.5">
      <c r="A242" s="322"/>
      <c r="B242" s="315"/>
      <c r="C242" s="323"/>
      <c r="D242" s="324" t="s">
        <v>100</v>
      </c>
      <c r="E242" s="316"/>
      <c r="F242" s="316"/>
      <c r="G242" s="318"/>
      <c r="H242" s="319" t="s">
        <v>12</v>
      </c>
      <c r="I242" s="325"/>
      <c r="J242" s="325"/>
      <c r="K242" s="282"/>
      <c r="L242" s="282">
        <f ca="1">IFERROR(__xludf.DUMMYFUNCTION("IMPORTRANGE(""https://docs.google.com/spreadsheets/d/1QqKyyYR6Q21VydFLVH3TRQUabQu_ym0Zz7PgGX0-kHA/edit?usp=sharing"",""แผน!AY53"")"),30000)</f>
        <v>30000</v>
      </c>
      <c r="M242" s="282"/>
      <c r="N242" s="829">
        <v>0</v>
      </c>
      <c r="O242" s="282"/>
      <c r="P242" s="282"/>
      <c r="Q242" s="326"/>
      <c r="R242" s="326"/>
      <c r="S242" s="326"/>
      <c r="T242" s="326"/>
      <c r="U242" s="326"/>
      <c r="V242" s="326"/>
      <c r="W242" s="326"/>
      <c r="X242" s="326"/>
      <c r="Y242" s="326"/>
      <c r="Z242" s="326"/>
    </row>
    <row r="243" spans="1:26" ht="19.5">
      <c r="A243" s="170"/>
      <c r="B243" s="171"/>
      <c r="C243" s="292" t="s">
        <v>16</v>
      </c>
      <c r="D243" s="823" t="s">
        <v>38</v>
      </c>
      <c r="E243" s="173"/>
      <c r="F243" s="173"/>
      <c r="G243" s="174"/>
      <c r="H243" s="753"/>
      <c r="I243" s="184"/>
      <c r="J243" s="269"/>
      <c r="K243" s="496"/>
      <c r="L243" s="496"/>
      <c r="M243" s="496"/>
      <c r="N243" s="496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>
      <c r="A244" s="170"/>
      <c r="B244" s="171"/>
      <c r="C244" s="171"/>
      <c r="D244" s="446" t="s">
        <v>117</v>
      </c>
      <c r="E244" s="178"/>
      <c r="F244" s="178"/>
      <c r="G244" s="179"/>
      <c r="H244" s="755" t="s">
        <v>35</v>
      </c>
      <c r="I244" s="269">
        <f ca="1">IFERROR(__xludf.DUMMYFUNCTION("IMPORTRANGE(""https://docs.google.com/spreadsheets/d/1QqKyyYR6Q21VydFLVH3TRQUabQu_ym0Zz7PgGX0-kHA/edit?usp=sharing"",""แผน!BE53"")"),30)</f>
        <v>30</v>
      </c>
      <c r="J244" s="214">
        <v>0</v>
      </c>
      <c r="K244" s="496">
        <f ca="1">IF(I244&gt;0,J244*100/I244,0)</f>
        <v>0</v>
      </c>
      <c r="L244" s="496"/>
      <c r="M244" s="496"/>
      <c r="N244" s="496"/>
      <c r="O244" s="496"/>
      <c r="P244" s="496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>
      <c r="A245" s="170"/>
      <c r="B245" s="171"/>
      <c r="C245" s="171"/>
      <c r="D245" s="830" t="s">
        <v>43</v>
      </c>
      <c r="E245" s="178"/>
      <c r="F245" s="178"/>
      <c r="G245" s="179"/>
      <c r="H245" s="755"/>
      <c r="I245" s="269"/>
      <c r="J245" s="269"/>
      <c r="K245" s="496"/>
      <c r="L245" s="496"/>
      <c r="M245" s="496"/>
      <c r="N245" s="496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>
      <c r="A246" s="170"/>
      <c r="B246" s="171"/>
      <c r="C246" s="171"/>
      <c r="D246" s="171"/>
      <c r="E246" s="176" t="s">
        <v>118</v>
      </c>
      <c r="F246" s="178"/>
      <c r="G246" s="179"/>
      <c r="H246" s="755" t="s">
        <v>35</v>
      </c>
      <c r="I246" s="269">
        <v>30</v>
      </c>
      <c r="J246" s="214">
        <v>0</v>
      </c>
      <c r="K246" s="496">
        <f t="shared" ref="K246:K248" si="112">IF(I246&gt;0,J246*100/I246,0)</f>
        <v>0</v>
      </c>
      <c r="L246" s="496"/>
      <c r="M246" s="496"/>
      <c r="N246" s="496"/>
      <c r="O246" s="496"/>
      <c r="P246" s="496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>
      <c r="A247" s="170"/>
      <c r="B247" s="171"/>
      <c r="C247" s="171"/>
      <c r="D247" s="171"/>
      <c r="E247" s="176" t="s">
        <v>119</v>
      </c>
      <c r="F247" s="178"/>
      <c r="G247" s="179"/>
      <c r="H247" s="755" t="s">
        <v>69</v>
      </c>
      <c r="I247" s="269">
        <v>1</v>
      </c>
      <c r="J247" s="214">
        <v>0</v>
      </c>
      <c r="K247" s="496">
        <f t="shared" si="112"/>
        <v>0</v>
      </c>
      <c r="L247" s="496"/>
      <c r="M247" s="496"/>
      <c r="N247" s="496"/>
      <c r="O247" s="496"/>
      <c r="P247" s="496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5"/>
      <c r="B248" s="263"/>
      <c r="C248" s="270" t="s">
        <v>121</v>
      </c>
      <c r="D248" s="256"/>
      <c r="E248" s="256"/>
      <c r="F248" s="256"/>
      <c r="G248" s="258"/>
      <c r="H248" s="259" t="s">
        <v>35</v>
      </c>
      <c r="I248" s="271">
        <f t="shared" ref="I248:J248" ca="1" si="113">I255</f>
        <v>0</v>
      </c>
      <c r="J248" s="271">
        <f t="shared" si="113"/>
        <v>0</v>
      </c>
      <c r="K248" s="272">
        <f t="shared" ca="1" si="112"/>
        <v>0</v>
      </c>
      <c r="L248" s="261"/>
      <c r="M248" s="261"/>
      <c r="N248" s="261"/>
      <c r="O248" s="261"/>
      <c r="P248" s="261"/>
    </row>
    <row r="249" spans="1:26" ht="19.5" hidden="1">
      <c r="A249" s="147"/>
      <c r="B249" s="148"/>
      <c r="C249" s="149" t="s">
        <v>16</v>
      </c>
      <c r="D249" s="826" t="s">
        <v>17</v>
      </c>
      <c r="E249" s="148"/>
      <c r="F249" s="148"/>
      <c r="G249" s="151"/>
      <c r="H249" s="274" t="s">
        <v>12</v>
      </c>
      <c r="I249" s="418"/>
      <c r="J249" s="418"/>
      <c r="K249" s="279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4"/>
      <c r="B250" s="315"/>
      <c r="C250" s="316"/>
      <c r="D250" s="324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282">
        <f ca="1">IFERROR(__xludf.DUMMYFUNCTION("IMPORTRANGE(""https://docs.google.com/spreadsheets/d/1QqKyyYR6Q21VydFLVH3TRQUabQu_ym0Zz7PgGX0-kHA/edit?usp=sharing"",""แผน!AZ53"")"),0)</f>
        <v>0</v>
      </c>
      <c r="M250" s="282"/>
      <c r="N250" s="829">
        <v>0</v>
      </c>
      <c r="O250" s="282"/>
      <c r="P250" s="282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9.5" hidden="1">
      <c r="A251" s="322"/>
      <c r="B251" s="315"/>
      <c r="C251" s="323"/>
      <c r="D251" s="324" t="s">
        <v>98</v>
      </c>
      <c r="E251" s="316"/>
      <c r="F251" s="316"/>
      <c r="G251" s="318"/>
      <c r="H251" s="319" t="s">
        <v>12</v>
      </c>
      <c r="I251" s="325"/>
      <c r="J251" s="325"/>
      <c r="K251" s="282"/>
      <c r="L251" s="282">
        <f ca="1">IFERROR(__xludf.DUMMYFUNCTION("IMPORTRANGE(""https://docs.google.com/spreadsheets/d/1QqKyyYR6Q21VydFLVH3TRQUabQu_ym0Zz7PgGX0-kHA/edit?usp=sharing"",""แผน!BA53"")"),0)</f>
        <v>0</v>
      </c>
      <c r="M251" s="282"/>
      <c r="N251" s="829">
        <v>0</v>
      </c>
      <c r="O251" s="282"/>
      <c r="P251" s="282"/>
      <c r="Q251" s="326"/>
      <c r="R251" s="326"/>
      <c r="S251" s="326"/>
      <c r="T251" s="326"/>
      <c r="U251" s="326"/>
      <c r="V251" s="326"/>
      <c r="W251" s="326"/>
      <c r="X251" s="326"/>
      <c r="Y251" s="326"/>
      <c r="Z251" s="326"/>
    </row>
    <row r="252" spans="1:26" ht="19.5" hidden="1">
      <c r="A252" s="322"/>
      <c r="B252" s="315"/>
      <c r="C252" s="323"/>
      <c r="D252" s="324" t="s">
        <v>116</v>
      </c>
      <c r="E252" s="316"/>
      <c r="F252" s="316"/>
      <c r="G252" s="318"/>
      <c r="H252" s="319" t="s">
        <v>12</v>
      </c>
      <c r="I252" s="325"/>
      <c r="J252" s="325"/>
      <c r="K252" s="282"/>
      <c r="L252" s="282">
        <f ca="1">IFERROR(__xludf.DUMMYFUNCTION("IMPORTRANGE(""https://docs.google.com/spreadsheets/d/1QqKyyYR6Q21VydFLVH3TRQUabQu_ym0Zz7PgGX0-kHA/edit?usp=sharing"",""แผน!BB53"")"),0)</f>
        <v>0</v>
      </c>
      <c r="M252" s="282"/>
      <c r="N252" s="829">
        <v>0</v>
      </c>
      <c r="O252" s="282"/>
      <c r="P252" s="282"/>
      <c r="Q252" s="326"/>
      <c r="R252" s="326"/>
      <c r="S252" s="326"/>
      <c r="T252" s="326"/>
      <c r="U252" s="326"/>
      <c r="V252" s="326"/>
      <c r="W252" s="326"/>
      <c r="X252" s="326"/>
      <c r="Y252" s="326"/>
      <c r="Z252" s="326"/>
    </row>
    <row r="253" spans="1:26" ht="19.5" hidden="1">
      <c r="A253" s="322"/>
      <c r="B253" s="315"/>
      <c r="C253" s="323"/>
      <c r="D253" s="324" t="s">
        <v>100</v>
      </c>
      <c r="E253" s="316"/>
      <c r="F253" s="316"/>
      <c r="G253" s="318"/>
      <c r="H253" s="319" t="s">
        <v>12</v>
      </c>
      <c r="I253" s="325"/>
      <c r="J253" s="325"/>
      <c r="K253" s="282"/>
      <c r="L253" s="282">
        <f ca="1">IFERROR(__xludf.DUMMYFUNCTION("IMPORTRANGE(""https://docs.google.com/spreadsheets/d/1QqKyyYR6Q21VydFLVH3TRQUabQu_ym0Zz7PgGX0-kHA/edit?usp=sharing"",""แผน!BC53"")"),0)</f>
        <v>0</v>
      </c>
      <c r="M253" s="282"/>
      <c r="N253" s="829">
        <v>0</v>
      </c>
      <c r="O253" s="282"/>
      <c r="P253" s="282"/>
      <c r="Q253" s="326"/>
      <c r="R253" s="326"/>
      <c r="S253" s="326"/>
      <c r="T253" s="326"/>
      <c r="U253" s="326"/>
      <c r="V253" s="326"/>
      <c r="W253" s="326"/>
      <c r="X253" s="326"/>
      <c r="Y253" s="326"/>
      <c r="Z253" s="326"/>
    </row>
    <row r="254" spans="1:26" ht="19.5" hidden="1">
      <c r="A254" s="170"/>
      <c r="B254" s="171"/>
      <c r="C254" s="292" t="s">
        <v>16</v>
      </c>
      <c r="D254" s="823" t="s">
        <v>38</v>
      </c>
      <c r="E254" s="173"/>
      <c r="F254" s="173"/>
      <c r="G254" s="174"/>
      <c r="H254" s="753"/>
      <c r="I254" s="184"/>
      <c r="J254" s="269"/>
      <c r="K254" s="496"/>
      <c r="L254" s="496"/>
      <c r="M254" s="496"/>
      <c r="N254" s="496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6" t="s">
        <v>117</v>
      </c>
      <c r="E255" s="178"/>
      <c r="F255" s="178"/>
      <c r="G255" s="179"/>
      <c r="H255" s="755" t="s">
        <v>35</v>
      </c>
      <c r="I255" s="269">
        <f ca="1">IFERROR(__xludf.DUMMYFUNCTION("IMPORTRANGE(""https://docs.google.com/spreadsheets/d/1QqKyyYR6Q21VydFLVH3TRQUabQu_ym0Zz7PgGX0-kHA/edit?usp=sharing"",""แผน!BF53"")"),0)</f>
        <v>0</v>
      </c>
      <c r="J255" s="214">
        <v>0</v>
      </c>
      <c r="K255" s="496">
        <f ca="1">IF(I255&gt;0,J255*100/I255,0)</f>
        <v>0</v>
      </c>
      <c r="L255" s="496"/>
      <c r="M255" s="496"/>
      <c r="N255" s="496"/>
      <c r="O255" s="496"/>
      <c r="P255" s="496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30" t="s">
        <v>43</v>
      </c>
      <c r="E256" s="178"/>
      <c r="F256" s="178"/>
      <c r="G256" s="179"/>
      <c r="H256" s="755"/>
      <c r="I256" s="269"/>
      <c r="J256" s="269"/>
      <c r="K256" s="496"/>
      <c r="L256" s="496"/>
      <c r="M256" s="496"/>
      <c r="N256" s="496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55" t="s">
        <v>35</v>
      </c>
      <c r="I257" s="269"/>
      <c r="J257" s="214">
        <v>0</v>
      </c>
      <c r="K257" s="496">
        <f t="shared" ref="K257:K258" si="114">IF(I257&gt;0,J257*100/I257,0)</f>
        <v>0</v>
      </c>
      <c r="L257" s="496"/>
      <c r="M257" s="496"/>
      <c r="N257" s="496"/>
      <c r="O257" s="496"/>
      <c r="P257" s="496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55" t="s">
        <v>69</v>
      </c>
      <c r="I258" s="269"/>
      <c r="J258" s="214">
        <v>0</v>
      </c>
      <c r="K258" s="496">
        <f t="shared" si="114"/>
        <v>0</v>
      </c>
      <c r="L258" s="496"/>
      <c r="M258" s="496"/>
      <c r="N258" s="496"/>
      <c r="O258" s="496"/>
      <c r="P258" s="496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1" t="s">
        <v>122</v>
      </c>
      <c r="B259" s="242"/>
      <c r="C259" s="242"/>
      <c r="D259" s="243"/>
      <c r="E259" s="243"/>
      <c r="F259" s="243"/>
      <c r="G259" s="244"/>
      <c r="H259" s="245"/>
      <c r="I259" s="246"/>
      <c r="J259" s="246"/>
      <c r="K259" s="247"/>
      <c r="L259" s="247"/>
      <c r="M259" s="247"/>
      <c r="N259" s="247"/>
      <c r="O259" s="247"/>
      <c r="P259" s="247"/>
    </row>
    <row r="260" spans="1:26" ht="19.5">
      <c r="A260" s="248"/>
      <c r="B260" s="249" t="s">
        <v>123</v>
      </c>
      <c r="C260" s="250"/>
      <c r="D260" s="173"/>
      <c r="E260" s="173"/>
      <c r="F260" s="173"/>
      <c r="G260" s="174"/>
      <c r="H260" s="251" t="s">
        <v>35</v>
      </c>
      <c r="I260" s="252">
        <f t="shared" ref="I260:J260" ca="1" si="115">I271</f>
        <v>28</v>
      </c>
      <c r="J260" s="252">
        <f t="shared" si="115"/>
        <v>0</v>
      </c>
      <c r="K260" s="253">
        <f ca="1">IF(I260&gt;0,J260*100/I260,0)</f>
        <v>0</v>
      </c>
      <c r="L260" s="254"/>
      <c r="M260" s="254"/>
      <c r="N260" s="254"/>
      <c r="O260" s="254"/>
      <c r="P260" s="254"/>
    </row>
    <row r="261" spans="1:26" ht="19.5">
      <c r="A261" s="147"/>
      <c r="B261" s="148"/>
      <c r="C261" s="149" t="s">
        <v>16</v>
      </c>
      <c r="D261" s="822" t="s">
        <v>17</v>
      </c>
      <c r="E261" s="148"/>
      <c r="F261" s="148"/>
      <c r="G261" s="151"/>
      <c r="H261" s="152" t="s">
        <v>12</v>
      </c>
      <c r="I261" s="419"/>
      <c r="J261" s="419"/>
      <c r="K261" s="154"/>
      <c r="L261" s="155">
        <f t="shared" ref="L261:N261" ca="1" si="116">L262+L263</f>
        <v>32600</v>
      </c>
      <c r="M261" s="155">
        <f t="shared" ca="1" si="116"/>
        <v>0</v>
      </c>
      <c r="N261" s="155">
        <f t="shared" ca="1" si="116"/>
        <v>0</v>
      </c>
      <c r="O261" s="155">
        <f t="shared" ref="O261:O269" ca="1" si="117">IF(L261&gt;0,N261*100/L261,0)</f>
        <v>0</v>
      </c>
      <c r="P261" s="155">
        <f t="shared" ref="P261:P269" ca="1" si="118">IF(M261&gt;0,N261*100/M261,0)</f>
        <v>0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2" t="s">
        <v>18</v>
      </c>
      <c r="F262" s="40"/>
      <c r="G262" s="157"/>
      <c r="H262" s="158" t="s">
        <v>12</v>
      </c>
      <c r="I262" s="610"/>
      <c r="J262" s="610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2" t="s">
        <v>19</v>
      </c>
      <c r="F263" s="40"/>
      <c r="G263" s="157"/>
      <c r="H263" s="158" t="s">
        <v>12</v>
      </c>
      <c r="I263" s="610"/>
      <c r="J263" s="610"/>
      <c r="K263" s="93"/>
      <c r="L263" s="93">
        <f t="shared" ca="1" si="119"/>
        <v>32600</v>
      </c>
      <c r="M263" s="93">
        <f t="shared" ca="1" si="119"/>
        <v>0</v>
      </c>
      <c r="N263" s="93">
        <f t="shared" ca="1" si="119"/>
        <v>0</v>
      </c>
      <c r="O263" s="93">
        <f t="shared" ca="1" si="117"/>
        <v>0</v>
      </c>
      <c r="P263" s="93">
        <f t="shared" ca="1" si="118"/>
        <v>0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1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6">
        <f t="shared" ref="L264:N264" ca="1" si="120">L265+L266</f>
        <v>32600</v>
      </c>
      <c r="M264" s="496">
        <f t="shared" ca="1" si="120"/>
        <v>0</v>
      </c>
      <c r="N264" s="496">
        <f t="shared" ca="1" si="120"/>
        <v>0</v>
      </c>
      <c r="O264" s="496">
        <f t="shared" ca="1" si="117"/>
        <v>0</v>
      </c>
      <c r="P264" s="496">
        <f t="shared" ca="1" si="118"/>
        <v>0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2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2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IFERROR(__xludf.DUMMYFUNCTION("IMPORTRANGE(""https://docs.google.com/spreadsheets/d/1MeEWN-I1oV_STSDYn1IFDPWt_1FKiwhDph83XaGc0o0/edit?usp=sharing"",""งบพรบ!CY53"")"),32600)</f>
        <v>32600</v>
      </c>
      <c r="M266" s="93">
        <f ca="1">IFERROR(__xludf.DUMMYFUNCTION("IMPORTRANGE(""https://docs.google.com/spreadsheets/d/1MeEWN-I1oV_STSDYn1IFDPWt_1FKiwhDph83XaGc0o0/edit?usp=sharing"",""งบพรบ!DD53"")"),0)</f>
        <v>0</v>
      </c>
      <c r="N266" s="93">
        <f ca="1">IFERROR(__xludf.DUMMYFUNCTION("IMPORTRANGE(""https://docs.google.com/spreadsheets/d/1MeEWN-I1oV_STSDYn1IFDPWt_1FKiwhDph83XaGc0o0/edit?usp=sharing"",""งบพรบ!DF53"")"),0)</f>
        <v>0</v>
      </c>
      <c r="O266" s="93">
        <f t="shared" ca="1" si="117"/>
        <v>0</v>
      </c>
      <c r="P266" s="93">
        <f t="shared" ca="1" si="118"/>
        <v>0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1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6">
        <f t="shared" ref="L267:N267" ca="1" si="121">L268+L269</f>
        <v>0</v>
      </c>
      <c r="M267" s="496">
        <f t="shared" ca="1" si="121"/>
        <v>0</v>
      </c>
      <c r="N267" s="496">
        <f t="shared" ca="1" si="121"/>
        <v>0</v>
      </c>
      <c r="O267" s="496">
        <f t="shared" ca="1" si="117"/>
        <v>0</v>
      </c>
      <c r="P267" s="496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2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2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IFERROR(__xludf.DUMMYFUNCTION("IMPORTRANGE(""https://docs.google.com/spreadsheets/d/1MeEWN-I1oV_STSDYn1IFDPWt_1FKiwhDph83XaGc0o0/edit?usp=sharing"",""งบพรบ!DB53"")"),0)</f>
        <v>0</v>
      </c>
      <c r="M269" s="93">
        <f ca="1">IFERROR(__xludf.DUMMYFUNCTION("IMPORTRANGE(""https://docs.google.com/spreadsheets/d/1MeEWN-I1oV_STSDYn1IFDPWt_1FKiwhDph83XaGc0o0/edit?usp=sharing"",""งบพรบ!DE53"")"),0)</f>
        <v>0</v>
      </c>
      <c r="N269" s="93">
        <f ca="1">IFERROR(__xludf.DUMMYFUNCTION("IMPORTRANGE(""https://docs.google.com/spreadsheets/d/1MeEWN-I1oV_STSDYn1IFDPWt_1FKiwhDph83XaGc0o0/edit?usp=sharing"",""งบพรบ!DG53"")"),0)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1" t="s">
        <v>16</v>
      </c>
      <c r="D270" s="823" t="s">
        <v>38</v>
      </c>
      <c r="E270" s="173"/>
      <c r="F270" s="173"/>
      <c r="G270" s="174"/>
      <c r="H270" s="753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5" t="s">
        <v>124</v>
      </c>
      <c r="E271" s="178"/>
      <c r="F271" s="366"/>
      <c r="G271" s="179"/>
      <c r="H271" s="376" t="s">
        <v>35</v>
      </c>
      <c r="I271" s="269">
        <f ca="1">IFERROR(__xludf.DUMMYFUNCTION("IMPORTRANGE(""https://docs.google.com/spreadsheets/d/1QqKyyYR6Q21VydFLVH3TRQUabQu_ym0Zz7PgGX0-kHA/edit?usp=sharing"",""แผน!EA53"")"),28)</f>
        <v>28</v>
      </c>
      <c r="J271" s="214">
        <v>0</v>
      </c>
      <c r="K271" s="163">
        <f ca="1">IF(I271&gt;0,J271*100/I271,0)</f>
        <v>0</v>
      </c>
      <c r="L271" s="163"/>
      <c r="M271" s="163"/>
      <c r="N271" s="163"/>
      <c r="O271" s="163"/>
      <c r="P271" s="163"/>
    </row>
    <row r="272" spans="1:26" ht="18.75" hidden="1">
      <c r="A272" s="377"/>
      <c r="B272" s="378"/>
      <c r="C272" s="378"/>
      <c r="D272" s="379" t="s">
        <v>125</v>
      </c>
      <c r="E272" s="380"/>
      <c r="F272" s="380"/>
      <c r="G272" s="381"/>
      <c r="H272" s="50" t="s">
        <v>35</v>
      </c>
      <c r="I272" s="499">
        <v>0</v>
      </c>
      <c r="J272" s="499">
        <v>0</v>
      </c>
      <c r="K272" s="384">
        <v>0</v>
      </c>
      <c r="L272" s="384"/>
      <c r="M272" s="384"/>
      <c r="N272" s="384"/>
      <c r="O272" s="384"/>
      <c r="P272" s="384"/>
    </row>
    <row r="273" spans="1:26" ht="19.5">
      <c r="A273" s="385" t="s">
        <v>126</v>
      </c>
      <c r="B273" s="386"/>
      <c r="C273" s="386"/>
      <c r="D273" s="386"/>
      <c r="E273" s="387"/>
      <c r="F273" s="387"/>
      <c r="G273" s="388"/>
      <c r="H273" s="389"/>
      <c r="I273" s="390"/>
      <c r="J273" s="390"/>
      <c r="K273" s="391"/>
      <c r="L273" s="391"/>
      <c r="M273" s="391"/>
      <c r="N273" s="391"/>
      <c r="O273" s="391"/>
      <c r="P273" s="391"/>
    </row>
    <row r="274" spans="1:26" ht="19.5">
      <c r="A274" s="392" t="s">
        <v>127</v>
      </c>
      <c r="B274" s="393"/>
      <c r="C274" s="394"/>
      <c r="D274" s="393"/>
      <c r="E274" s="393"/>
      <c r="F274" s="393"/>
      <c r="G274" s="393"/>
      <c r="H274" s="395"/>
      <c r="I274" s="396"/>
      <c r="J274" s="397"/>
      <c r="K274" s="398"/>
      <c r="L274" s="398"/>
      <c r="M274" s="398"/>
      <c r="N274" s="398"/>
      <c r="O274" s="398"/>
      <c r="P274" s="398"/>
    </row>
    <row r="275" spans="1:26" ht="19.5">
      <c r="A275" s="399"/>
      <c r="B275" s="408" t="s">
        <v>128</v>
      </c>
      <c r="C275" s="401"/>
      <c r="D275" s="402"/>
      <c r="E275" s="401"/>
      <c r="F275" s="401"/>
      <c r="G275" s="403"/>
      <c r="H275" s="404" t="s">
        <v>35</v>
      </c>
      <c r="I275" s="405">
        <f t="shared" ref="I275:J275" ca="1" si="122">I288</f>
        <v>25</v>
      </c>
      <c r="J275" s="405">
        <f t="shared" ca="1" si="122"/>
        <v>0</v>
      </c>
      <c r="K275" s="406">
        <f t="shared" ref="K275:K276" ca="1" si="123">IF(I275&gt;0,J275*100/I275,0)</f>
        <v>0</v>
      </c>
      <c r="L275" s="407"/>
      <c r="M275" s="407"/>
      <c r="N275" s="407"/>
      <c r="O275" s="407"/>
      <c r="P275" s="407"/>
    </row>
    <row r="276" spans="1:26" ht="19.5">
      <c r="A276" s="399"/>
      <c r="B276" s="408"/>
      <c r="C276" s="401"/>
      <c r="D276" s="402"/>
      <c r="E276" s="401"/>
      <c r="F276" s="401"/>
      <c r="G276" s="403"/>
      <c r="H276" s="404" t="s">
        <v>46</v>
      </c>
      <c r="I276" s="831">
        <f t="shared" ref="I276:J276" ca="1" si="124">I287</f>
        <v>250</v>
      </c>
      <c r="J276" s="831">
        <f t="shared" si="124"/>
        <v>0</v>
      </c>
      <c r="K276" s="407">
        <f t="shared" ca="1" si="123"/>
        <v>0</v>
      </c>
      <c r="L276" s="407"/>
      <c r="M276" s="407"/>
      <c r="N276" s="407"/>
      <c r="O276" s="407"/>
      <c r="P276" s="407"/>
    </row>
    <row r="277" spans="1:26" ht="19.5">
      <c r="A277" s="147"/>
      <c r="B277" s="148"/>
      <c r="C277" s="149" t="s">
        <v>16</v>
      </c>
      <c r="D277" s="822" t="s">
        <v>17</v>
      </c>
      <c r="E277" s="148"/>
      <c r="F277" s="148"/>
      <c r="G277" s="151"/>
      <c r="H277" s="152" t="s">
        <v>12</v>
      </c>
      <c r="I277" s="419"/>
      <c r="J277" s="419"/>
      <c r="K277" s="154"/>
      <c r="L277" s="155">
        <f t="shared" ref="L277:N277" ca="1" si="125">L278+L279</f>
        <v>194020</v>
      </c>
      <c r="M277" s="155">
        <f t="shared" ca="1" si="125"/>
        <v>89050</v>
      </c>
      <c r="N277" s="155">
        <f t="shared" ca="1" si="125"/>
        <v>14890</v>
      </c>
      <c r="O277" s="155">
        <f t="shared" ref="O277:O285" ca="1" si="126">IF(L277&gt;0,N277*100/L277,0)</f>
        <v>7.6744665498402229</v>
      </c>
      <c r="P277" s="155">
        <f t="shared" ref="P277:P285" ca="1" si="127">IF(M277&gt;0,N277*100/M277,0)</f>
        <v>16.720943290286357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2" t="s">
        <v>18</v>
      </c>
      <c r="F278" s="40"/>
      <c r="G278" s="157"/>
      <c r="H278" s="158" t="s">
        <v>12</v>
      </c>
      <c r="I278" s="610"/>
      <c r="J278" s="610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2" t="s">
        <v>19</v>
      </c>
      <c r="F279" s="40"/>
      <c r="G279" s="157"/>
      <c r="H279" s="158" t="s">
        <v>12</v>
      </c>
      <c r="I279" s="610"/>
      <c r="J279" s="610"/>
      <c r="K279" s="93"/>
      <c r="L279" s="93">
        <f t="shared" ca="1" si="128"/>
        <v>194020</v>
      </c>
      <c r="M279" s="93">
        <f t="shared" ca="1" si="128"/>
        <v>89050</v>
      </c>
      <c r="N279" s="93">
        <f t="shared" ca="1" si="128"/>
        <v>14890</v>
      </c>
      <c r="O279" s="93">
        <f t="shared" ca="1" si="126"/>
        <v>7.6744665498402229</v>
      </c>
      <c r="P279" s="93">
        <f t="shared" ca="1" si="127"/>
        <v>16.720943290286357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>
      <c r="A280" s="159"/>
      <c r="B280" s="33"/>
      <c r="C280" s="281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6">
        <f t="shared" ref="L280:N280" ca="1" si="129">L281+L282</f>
        <v>194020</v>
      </c>
      <c r="M280" s="496">
        <f t="shared" ca="1" si="129"/>
        <v>89050</v>
      </c>
      <c r="N280" s="496">
        <f t="shared" ca="1" si="129"/>
        <v>14890</v>
      </c>
      <c r="O280" s="496">
        <f t="shared" ca="1" si="126"/>
        <v>7.6744665498402229</v>
      </c>
      <c r="P280" s="496">
        <f t="shared" ca="1" si="127"/>
        <v>16.720943290286357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2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2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IFERROR(__xludf.DUMMYFUNCTION("IMPORTRANGE(""https://docs.google.com/spreadsheets/d/1MeEWN-I1oV_STSDYn1IFDPWt_1FKiwhDph83XaGc0o0/edit?usp=sharing"",""งบพรบ!DI53"")"),194020)</f>
        <v>194020</v>
      </c>
      <c r="M282" s="93">
        <f ca="1">IFERROR(__xludf.DUMMYFUNCTION("IMPORTRANGE(""https://docs.google.com/spreadsheets/d/1MeEWN-I1oV_STSDYn1IFDPWt_1FKiwhDph83XaGc0o0/edit?usp=sharing"",""งบพรบ!DN53"")"),89050)</f>
        <v>89050</v>
      </c>
      <c r="N282" s="93">
        <f ca="1">IFERROR(__xludf.DUMMYFUNCTION("IMPORTRANGE(""https://docs.google.com/spreadsheets/d/1MeEWN-I1oV_STSDYn1IFDPWt_1FKiwhDph83XaGc0o0/edit?usp=sharing"",""งบพรบ!DP53"")"),14890)</f>
        <v>14890</v>
      </c>
      <c r="O282" s="93">
        <f t="shared" ca="1" si="126"/>
        <v>7.6744665498402229</v>
      </c>
      <c r="P282" s="93">
        <f t="shared" ca="1" si="127"/>
        <v>16.720943290286357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>
      <c r="A283" s="159"/>
      <c r="B283" s="33"/>
      <c r="C283" s="281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6">
        <f t="shared" ref="L283:N283" ca="1" si="130">L284+L285</f>
        <v>0</v>
      </c>
      <c r="M283" s="496">
        <f t="shared" ca="1" si="130"/>
        <v>0</v>
      </c>
      <c r="N283" s="496">
        <f t="shared" ca="1" si="130"/>
        <v>0</v>
      </c>
      <c r="O283" s="496">
        <f t="shared" ca="1" si="126"/>
        <v>0</v>
      </c>
      <c r="P283" s="496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2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2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IFERROR(__xludf.DUMMYFUNCTION("IMPORTRANGE(""https://docs.google.com/spreadsheets/d/1MeEWN-I1oV_STSDYn1IFDPWt_1FKiwhDph83XaGc0o0/edit?usp=sharing"",""งบพรบ!DL53"")"),0)</f>
        <v>0</v>
      </c>
      <c r="M285" s="93">
        <f ca="1">IFERROR(__xludf.DUMMYFUNCTION("IMPORTRANGE(""https://docs.google.com/spreadsheets/d/1MeEWN-I1oV_STSDYn1IFDPWt_1FKiwhDph83XaGc0o0/edit?usp=sharing"",""งบพรบ!DO53"")"),0)</f>
        <v>0</v>
      </c>
      <c r="N285" s="93">
        <f ca="1">IFERROR(__xludf.DUMMYFUNCTION("IMPORTRANGE(""https://docs.google.com/spreadsheets/d/1MeEWN-I1oV_STSDYn1IFDPWt_1FKiwhDph83XaGc0o0/edit?usp=sharing"",""งบพรบ!DQ53"")"),0)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>
      <c r="A286" s="170"/>
      <c r="B286" s="171"/>
      <c r="C286" s="164" t="s">
        <v>16</v>
      </c>
      <c r="D286" s="823" t="s">
        <v>38</v>
      </c>
      <c r="E286" s="173"/>
      <c r="F286" s="173"/>
      <c r="G286" s="174"/>
      <c r="H286" s="753"/>
      <c r="I286" s="184"/>
      <c r="J286" s="184"/>
      <c r="K286" s="163"/>
      <c r="L286" s="163"/>
      <c r="M286" s="163"/>
      <c r="N286" s="163"/>
      <c r="O286" s="163"/>
      <c r="P286" s="163"/>
    </row>
    <row r="287" spans="1:26" ht="18.75">
      <c r="A287" s="170"/>
      <c r="B287" s="171"/>
      <c r="C287" s="171"/>
      <c r="D287" s="619" t="s">
        <v>129</v>
      </c>
      <c r="E287" s="171"/>
      <c r="F287" s="178"/>
      <c r="G287" s="179"/>
      <c r="H287" s="185" t="s">
        <v>46</v>
      </c>
      <c r="I287" s="269">
        <f ca="1">IFERROR(__xludf.DUMMYFUNCTION("IMPORTRANGE(""https://docs.google.com/spreadsheets/d/1QqKyyYR6Q21VydFLVH3TRQUabQu_ym0Zz7PgGX0-kHA/edit?usp=sharing"",""แผน!EC53"")"),250)</f>
        <v>250</v>
      </c>
      <c r="J287" s="214">
        <v>0</v>
      </c>
      <c r="K287" s="163">
        <f t="shared" ref="K287:K288" ca="1" si="131">IF(I287&gt;0,J287*100/I287,0)</f>
        <v>0</v>
      </c>
      <c r="L287" s="163"/>
      <c r="M287" s="163"/>
      <c r="N287" s="163"/>
      <c r="O287" s="163"/>
      <c r="P287" s="163"/>
    </row>
    <row r="288" spans="1:26" ht="19.5">
      <c r="A288" s="170"/>
      <c r="B288" s="171"/>
      <c r="C288" s="171"/>
      <c r="D288" s="619" t="s">
        <v>130</v>
      </c>
      <c r="E288" s="171"/>
      <c r="F288" s="178"/>
      <c r="G288" s="179"/>
      <c r="H288" s="180" t="s">
        <v>35</v>
      </c>
      <c r="I288" s="674">
        <f ca="1">IFERROR(__xludf.DUMMYFUNCTION("IMPORTRANGE(""https://docs.google.com/spreadsheets/d/1QqKyyYR6Q21VydFLVH3TRQUabQu_ym0Zz7PgGX0-kHA/edit?usp=sharing"",""แผน!EB53"")"),25)</f>
        <v>25</v>
      </c>
      <c r="J288" s="674">
        <f ca="1">IF(AND(J291&gt;=I288,J294&gt;=I288),J294,0)</f>
        <v>0</v>
      </c>
      <c r="K288" s="410">
        <f t="shared" ca="1" si="131"/>
        <v>0</v>
      </c>
      <c r="L288" s="163"/>
      <c r="M288" s="163"/>
      <c r="N288" s="163"/>
      <c r="O288" s="163"/>
      <c r="P288" s="163"/>
    </row>
    <row r="289" spans="1:26" ht="19.5">
      <c r="A289" s="170"/>
      <c r="B289" s="171"/>
      <c r="C289" s="171"/>
      <c r="D289" s="411"/>
      <c r="E289" s="412" t="s">
        <v>131</v>
      </c>
      <c r="F289" s="178"/>
      <c r="G289" s="179"/>
      <c r="H289" s="755"/>
      <c r="I289" s="184"/>
      <c r="J289" s="269"/>
      <c r="K289" s="163"/>
      <c r="L289" s="163"/>
      <c r="M289" s="163"/>
      <c r="N289" s="163"/>
      <c r="O289" s="163"/>
      <c r="P289" s="163"/>
    </row>
    <row r="290" spans="1:26" ht="19.5">
      <c r="A290" s="170"/>
      <c r="B290" s="171"/>
      <c r="C290" s="171"/>
      <c r="D290" s="411"/>
      <c r="E290" s="619" t="s">
        <v>132</v>
      </c>
      <c r="F290" s="178"/>
      <c r="G290" s="179"/>
      <c r="H290" s="755" t="s">
        <v>35</v>
      </c>
      <c r="I290" s="184">
        <f ca="1">IFERROR(__xludf.DUMMYFUNCTION("IMPORTRANGE(""https://docs.google.com/spreadsheets/d/1QqKyyYR6Q21VydFLVH3TRQUabQu_ym0Zz7PgGX0-kHA/edit?usp=sharing"",""แผน!EB53"")"),25)</f>
        <v>25</v>
      </c>
      <c r="J290" s="214">
        <v>0</v>
      </c>
      <c r="K290" s="163">
        <f t="shared" ref="K290:K291" ca="1" si="132">IF(I290&gt;0,J290*100/I290,0)</f>
        <v>0</v>
      </c>
      <c r="L290" s="163"/>
      <c r="M290" s="163"/>
      <c r="N290" s="163"/>
      <c r="O290" s="163"/>
      <c r="P290" s="163"/>
    </row>
    <row r="291" spans="1:26" ht="19.5">
      <c r="A291" s="170"/>
      <c r="B291" s="171"/>
      <c r="C291" s="171"/>
      <c r="D291" s="178"/>
      <c r="E291" s="619" t="s">
        <v>133</v>
      </c>
      <c r="F291" s="178"/>
      <c r="G291" s="179"/>
      <c r="H291" s="755" t="s">
        <v>35</v>
      </c>
      <c r="I291" s="184">
        <f ca="1">IFERROR(__xludf.DUMMYFUNCTION("IMPORTRANGE(""https://docs.google.com/spreadsheets/d/1QqKyyYR6Q21VydFLVH3TRQUabQu_ym0Zz7PgGX0-kHA/edit?usp=sharing"",""แผน!EB53"")"),25)</f>
        <v>25</v>
      </c>
      <c r="J291" s="214">
        <v>0</v>
      </c>
      <c r="K291" s="163">
        <f t="shared" ca="1" si="132"/>
        <v>0</v>
      </c>
      <c r="L291" s="163"/>
      <c r="M291" s="163"/>
      <c r="N291" s="163"/>
      <c r="O291" s="163"/>
      <c r="P291" s="163"/>
    </row>
    <row r="292" spans="1:26" ht="19.5">
      <c r="A292" s="413"/>
      <c r="B292" s="414"/>
      <c r="C292" s="414"/>
      <c r="D292" s="415"/>
      <c r="E292" s="416" t="s">
        <v>134</v>
      </c>
      <c r="F292" s="287"/>
      <c r="G292" s="288"/>
      <c r="H292" s="417"/>
      <c r="I292" s="418"/>
      <c r="J292" s="419"/>
      <c r="K292" s="279"/>
      <c r="L292" s="279"/>
      <c r="M292" s="279"/>
      <c r="N292" s="279"/>
      <c r="O292" s="279"/>
      <c r="P292" s="279"/>
    </row>
    <row r="293" spans="1:26" ht="19.5">
      <c r="A293" s="170"/>
      <c r="B293" s="171"/>
      <c r="C293" s="171"/>
      <c r="D293" s="411"/>
      <c r="E293" s="619" t="s">
        <v>132</v>
      </c>
      <c r="F293" s="178"/>
      <c r="G293" s="179"/>
      <c r="H293" s="755" t="s">
        <v>35</v>
      </c>
      <c r="I293" s="184">
        <f ca="1">IFERROR(__xludf.DUMMYFUNCTION("IMPORTRANGE(""https://docs.google.com/spreadsheets/d/1QqKyyYR6Q21VydFLVH3TRQUabQu_ym0Zz7PgGX0-kHA/edit?usp=sharing"",""แผน!EB53"")"),25)</f>
        <v>25</v>
      </c>
      <c r="J293" s="214">
        <v>0</v>
      </c>
      <c r="K293" s="163">
        <f t="shared" ref="K293:K294" ca="1" si="133">IF(I293&gt;0,J293*100/I293,0)</f>
        <v>0</v>
      </c>
      <c r="L293" s="163"/>
      <c r="M293" s="163"/>
      <c r="N293" s="163"/>
      <c r="O293" s="163"/>
      <c r="P293" s="163"/>
    </row>
    <row r="294" spans="1:26" ht="19.5">
      <c r="A294" s="377"/>
      <c r="B294" s="378"/>
      <c r="C294" s="378"/>
      <c r="D294" s="380"/>
      <c r="E294" s="725" t="s">
        <v>136</v>
      </c>
      <c r="F294" s="380"/>
      <c r="G294" s="381"/>
      <c r="H294" s="421" t="s">
        <v>35</v>
      </c>
      <c r="I294" s="422">
        <f ca="1">IFERROR(__xludf.DUMMYFUNCTION("IMPORTRANGE(""https://docs.google.com/spreadsheets/d/1QqKyyYR6Q21VydFLVH3TRQUabQu_ym0Zz7PgGX0-kHA/edit?usp=sharing"",""แผน!EB53"")"),25)</f>
        <v>25</v>
      </c>
      <c r="J294" s="423">
        <v>0</v>
      </c>
      <c r="K294" s="384">
        <f t="shared" ca="1" si="133"/>
        <v>0</v>
      </c>
      <c r="L294" s="384"/>
      <c r="M294" s="384"/>
      <c r="N294" s="384"/>
      <c r="O294" s="384"/>
      <c r="P294" s="384"/>
    </row>
    <row r="295" spans="1:26" ht="19.5">
      <c r="A295" s="424" t="s">
        <v>137</v>
      </c>
      <c r="B295" s="425"/>
      <c r="C295" s="425"/>
      <c r="D295" s="425"/>
      <c r="E295" s="426"/>
      <c r="F295" s="426"/>
      <c r="G295" s="427"/>
      <c r="H295" s="428"/>
      <c r="I295" s="429"/>
      <c r="J295" s="429"/>
      <c r="K295" s="430"/>
      <c r="L295" s="430"/>
      <c r="M295" s="430"/>
      <c r="N295" s="430"/>
      <c r="O295" s="430"/>
      <c r="P295" s="430"/>
    </row>
    <row r="296" spans="1:26" ht="19.5">
      <c r="A296" s="431" t="s">
        <v>138</v>
      </c>
      <c r="B296" s="432"/>
      <c r="C296" s="432"/>
      <c r="D296" s="433"/>
      <c r="E296" s="433"/>
      <c r="F296" s="433"/>
      <c r="G296" s="434"/>
      <c r="H296" s="435"/>
      <c r="I296" s="436"/>
      <c r="J296" s="436"/>
      <c r="K296" s="437"/>
      <c r="L296" s="437"/>
      <c r="M296" s="437"/>
      <c r="N296" s="437"/>
      <c r="O296" s="437"/>
      <c r="P296" s="437"/>
    </row>
    <row r="297" spans="1:26" ht="19.5">
      <c r="A297" s="438"/>
      <c r="B297" s="439" t="s">
        <v>139</v>
      </c>
      <c r="C297" s="440"/>
      <c r="D297" s="440"/>
      <c r="E297" s="440"/>
      <c r="F297" s="440"/>
      <c r="G297" s="441"/>
      <c r="H297" s="442" t="s">
        <v>35</v>
      </c>
      <c r="I297" s="443">
        <f t="shared" ref="I297:J297" ca="1" si="134">I309</f>
        <v>20</v>
      </c>
      <c r="J297" s="443">
        <f t="shared" si="134"/>
        <v>20</v>
      </c>
      <c r="K297" s="444">
        <f ca="1">IF(I297&gt;0,J297*100/I297,0)</f>
        <v>100</v>
      </c>
      <c r="L297" s="445"/>
      <c r="M297" s="445"/>
      <c r="N297" s="445"/>
      <c r="O297" s="445"/>
      <c r="P297" s="445"/>
    </row>
    <row r="298" spans="1:26" ht="19.5">
      <c r="A298" s="147"/>
      <c r="B298" s="148"/>
      <c r="C298" s="149" t="s">
        <v>16</v>
      </c>
      <c r="D298" s="822" t="s">
        <v>17</v>
      </c>
      <c r="E298" s="148"/>
      <c r="F298" s="148"/>
      <c r="G298" s="151"/>
      <c r="H298" s="152" t="s">
        <v>12</v>
      </c>
      <c r="I298" s="419"/>
      <c r="J298" s="419"/>
      <c r="K298" s="154"/>
      <c r="L298" s="155">
        <f t="shared" ref="L298:N298" ca="1" si="135">L299+L300</f>
        <v>368400</v>
      </c>
      <c r="M298" s="155">
        <f t="shared" ca="1" si="135"/>
        <v>179120</v>
      </c>
      <c r="N298" s="155">
        <f t="shared" ca="1" si="135"/>
        <v>65230</v>
      </c>
      <c r="O298" s="155">
        <f t="shared" ref="O298:O306" ca="1" si="136">IF(L298&gt;0,N298*100/L298,0)</f>
        <v>17.706297502714442</v>
      </c>
      <c r="P298" s="155">
        <f t="shared" ref="P298:P306" ca="1" si="137">IF(M298&gt;0,N298*100/M298,0)</f>
        <v>36.4169271996427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2" t="s">
        <v>18</v>
      </c>
      <c r="F299" s="40"/>
      <c r="G299" s="157"/>
      <c r="H299" s="158" t="s">
        <v>12</v>
      </c>
      <c r="I299" s="610"/>
      <c r="J299" s="610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2" t="s">
        <v>19</v>
      </c>
      <c r="F300" s="40"/>
      <c r="G300" s="157"/>
      <c r="H300" s="158" t="s">
        <v>12</v>
      </c>
      <c r="I300" s="610"/>
      <c r="J300" s="610"/>
      <c r="K300" s="93"/>
      <c r="L300" s="93">
        <f t="shared" ca="1" si="138"/>
        <v>368400</v>
      </c>
      <c r="M300" s="93">
        <f t="shared" ca="1" si="138"/>
        <v>179120</v>
      </c>
      <c r="N300" s="93">
        <f t="shared" ca="1" si="138"/>
        <v>65230</v>
      </c>
      <c r="O300" s="93">
        <f t="shared" ca="1" si="136"/>
        <v>17.706297502714442</v>
      </c>
      <c r="P300" s="93">
        <f t="shared" ca="1" si="137"/>
        <v>36.4169271996427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>
      <c r="A301" s="159"/>
      <c r="B301" s="33"/>
      <c r="C301" s="281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6">
        <f t="shared" ref="L301:N301" ca="1" si="139">L302+L303</f>
        <v>368400</v>
      </c>
      <c r="M301" s="496">
        <f t="shared" ca="1" si="139"/>
        <v>179120</v>
      </c>
      <c r="N301" s="496">
        <f t="shared" ca="1" si="139"/>
        <v>65230</v>
      </c>
      <c r="O301" s="496">
        <f t="shared" ca="1" si="136"/>
        <v>17.706297502714442</v>
      </c>
      <c r="P301" s="496">
        <f t="shared" ca="1" si="137"/>
        <v>36.4169271996427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2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2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IFERROR(__xludf.DUMMYFUNCTION("IMPORTRANGE(""https://docs.google.com/spreadsheets/d/1MeEWN-I1oV_STSDYn1IFDPWt_1FKiwhDph83XaGc0o0/edit?usp=sharing"",""งบพรบ!DS53"")"),368400)</f>
        <v>368400</v>
      </c>
      <c r="M303" s="93">
        <f ca="1">IFERROR(__xludf.DUMMYFUNCTION("IMPORTRANGE(""https://docs.google.com/spreadsheets/d/1MeEWN-I1oV_STSDYn1IFDPWt_1FKiwhDph83XaGc0o0/edit?usp=sharing"",""งบพรบ!DX53"")"),179120)</f>
        <v>179120</v>
      </c>
      <c r="N303" s="93">
        <f ca="1">IFERROR(__xludf.DUMMYFUNCTION("IMPORTRANGE(""https://docs.google.com/spreadsheets/d/1MeEWN-I1oV_STSDYn1IFDPWt_1FKiwhDph83XaGc0o0/edit?usp=sharing"",""งบพรบ!DZ53"")"),65230)</f>
        <v>65230</v>
      </c>
      <c r="O303" s="93">
        <f t="shared" ca="1" si="136"/>
        <v>17.706297502714442</v>
      </c>
      <c r="P303" s="93">
        <f t="shared" ca="1" si="137"/>
        <v>36.4169271996427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>
      <c r="A304" s="159"/>
      <c r="B304" s="33"/>
      <c r="C304" s="281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6">
        <f t="shared" ref="L304:N304" ca="1" si="140">L305+L306</f>
        <v>0</v>
      </c>
      <c r="M304" s="496">
        <f t="shared" ca="1" si="140"/>
        <v>0</v>
      </c>
      <c r="N304" s="496">
        <f t="shared" ca="1" si="140"/>
        <v>0</v>
      </c>
      <c r="O304" s="496">
        <f t="shared" ca="1" si="136"/>
        <v>0</v>
      </c>
      <c r="P304" s="496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2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2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IFERROR(__xludf.DUMMYFUNCTION("IMPORTRANGE(""https://docs.google.com/spreadsheets/d/1MeEWN-I1oV_STSDYn1IFDPWt_1FKiwhDph83XaGc0o0/edit?usp=sharing"",""งบพรบ!DV53"")"),0)</f>
        <v>0</v>
      </c>
      <c r="M306" s="93">
        <f ca="1">IFERROR(__xludf.DUMMYFUNCTION("IMPORTRANGE(""https://docs.google.com/spreadsheets/d/1MeEWN-I1oV_STSDYn1IFDPWt_1FKiwhDph83XaGc0o0/edit?usp=sharing"",""งบพรบ!DY53"")"),0)</f>
        <v>0</v>
      </c>
      <c r="N306" s="93">
        <f ca="1">IFERROR(__xludf.DUMMYFUNCTION("IMPORTRANGE(""https://docs.google.com/spreadsheets/d/1MeEWN-I1oV_STSDYn1IFDPWt_1FKiwhDph83XaGc0o0/edit?usp=sharing"",""งบพรบ!EA53"")"),0)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>
      <c r="A307" s="170"/>
      <c r="B307" s="171"/>
      <c r="C307" s="164" t="s">
        <v>16</v>
      </c>
      <c r="D307" s="823" t="s">
        <v>38</v>
      </c>
      <c r="E307" s="173"/>
      <c r="F307" s="173"/>
      <c r="G307" s="174"/>
      <c r="H307" s="753"/>
      <c r="I307" s="269"/>
      <c r="J307" s="269"/>
      <c r="K307" s="496"/>
      <c r="L307" s="496"/>
      <c r="M307" s="496"/>
      <c r="N307" s="496"/>
      <c r="O307" s="496"/>
      <c r="P307" s="496"/>
    </row>
    <row r="308" spans="1:26" ht="18.75">
      <c r="A308" s="170"/>
      <c r="B308" s="171"/>
      <c r="C308" s="171"/>
      <c r="D308" s="446" t="s">
        <v>140</v>
      </c>
      <c r="E308" s="446"/>
      <c r="F308" s="446"/>
      <c r="G308" s="179"/>
      <c r="H308" s="755"/>
      <c r="I308" s="269"/>
      <c r="J308" s="214">
        <v>1</v>
      </c>
      <c r="K308" s="496"/>
      <c r="L308" s="496"/>
      <c r="M308" s="496"/>
      <c r="N308" s="496"/>
      <c r="O308" s="496"/>
      <c r="P308" s="496"/>
    </row>
    <row r="309" spans="1:26" ht="18.75">
      <c r="A309" s="170"/>
      <c r="B309" s="171"/>
      <c r="C309" s="171"/>
      <c r="D309" s="446" t="s">
        <v>141</v>
      </c>
      <c r="E309" s="446"/>
      <c r="F309" s="446"/>
      <c r="G309" s="179"/>
      <c r="H309" s="755" t="s">
        <v>35</v>
      </c>
      <c r="I309" s="269">
        <f ca="1">IFERROR(__xludf.DUMMYFUNCTION("IMPORTRANGE(""https://docs.google.com/spreadsheets/d/1QqKyyYR6Q21VydFLVH3TRQUabQu_ym0Zz7PgGX0-kHA/edit?usp=sharing"",""แผน!ED53"")"),20)</f>
        <v>20</v>
      </c>
      <c r="J309" s="214">
        <v>20</v>
      </c>
      <c r="K309" s="496">
        <f t="shared" ref="K309:K312" ca="1" si="141">IF(I309&gt;0,J309*100/I309,0)</f>
        <v>100</v>
      </c>
      <c r="L309" s="496"/>
      <c r="M309" s="496"/>
      <c r="N309" s="496"/>
      <c r="O309" s="496"/>
      <c r="P309" s="496"/>
    </row>
    <row r="310" spans="1:26" ht="18.75">
      <c r="A310" s="170"/>
      <c r="B310" s="171"/>
      <c r="C310" s="171"/>
      <c r="D310" s="446" t="s">
        <v>142</v>
      </c>
      <c r="E310" s="446"/>
      <c r="F310" s="446"/>
      <c r="G310" s="179"/>
      <c r="H310" s="755" t="s">
        <v>35</v>
      </c>
      <c r="I310" s="269">
        <f ca="1">IFERROR(__xludf.DUMMYFUNCTION("IMPORTRANGE(""https://docs.google.com/spreadsheets/d/1QqKyyYR6Q21VydFLVH3TRQUabQu_ym0Zz7PgGX0-kHA/edit?usp=sharing"",""แผน!ED53"")"),20)</f>
        <v>20</v>
      </c>
      <c r="J310" s="214">
        <v>0</v>
      </c>
      <c r="K310" s="496">
        <f t="shared" ca="1" si="141"/>
        <v>0</v>
      </c>
      <c r="L310" s="496"/>
      <c r="M310" s="496"/>
      <c r="N310" s="496"/>
      <c r="O310" s="496"/>
      <c r="P310" s="496"/>
    </row>
    <row r="311" spans="1:26" ht="18.75">
      <c r="A311" s="170"/>
      <c r="B311" s="171"/>
      <c r="C311" s="171"/>
      <c r="D311" s="446" t="s">
        <v>59</v>
      </c>
      <c r="E311" s="446"/>
      <c r="F311" s="446"/>
      <c r="G311" s="179"/>
      <c r="H311" s="755" t="s">
        <v>35</v>
      </c>
      <c r="I311" s="269">
        <f ca="1">IFERROR(__xludf.DUMMYFUNCTION("IMPORTRANGE(""https://docs.google.com/spreadsheets/d/1QqKyyYR6Q21VydFLVH3TRQUabQu_ym0Zz7PgGX0-kHA/edit?usp=sharing"",""แผน!ED53"")"),20)</f>
        <v>20</v>
      </c>
      <c r="J311" s="214">
        <v>0</v>
      </c>
      <c r="K311" s="496">
        <f t="shared" ca="1" si="141"/>
        <v>0</v>
      </c>
      <c r="L311" s="496"/>
      <c r="M311" s="496"/>
      <c r="N311" s="496"/>
      <c r="O311" s="496"/>
      <c r="P311" s="496"/>
    </row>
    <row r="312" spans="1:26" ht="18.75">
      <c r="A312" s="170"/>
      <c r="B312" s="171"/>
      <c r="C312" s="171"/>
      <c r="D312" s="446" t="s">
        <v>143</v>
      </c>
      <c r="E312" s="446"/>
      <c r="F312" s="446"/>
      <c r="G312" s="179"/>
      <c r="H312" s="755" t="s">
        <v>35</v>
      </c>
      <c r="I312" s="269">
        <f ca="1">IFERROR(__xludf.DUMMYFUNCTION("IMPORTRANGE(""https://docs.google.com/spreadsheets/d/1QqKyyYR6Q21VydFLVH3TRQUabQu_ym0Zz7PgGX0-kHA/edit?usp=sharing"",""แผน!EE53"")"),4)</f>
        <v>4</v>
      </c>
      <c r="J312" s="214">
        <v>0</v>
      </c>
      <c r="K312" s="496">
        <f t="shared" ca="1" si="141"/>
        <v>0</v>
      </c>
      <c r="L312" s="496"/>
      <c r="M312" s="496"/>
      <c r="N312" s="496"/>
      <c r="O312" s="496"/>
      <c r="P312" s="496"/>
    </row>
    <row r="313" spans="1:26" ht="19.5">
      <c r="A313" s="431" t="s">
        <v>144</v>
      </c>
      <c r="B313" s="432"/>
      <c r="C313" s="432"/>
      <c r="D313" s="433"/>
      <c r="E313" s="432"/>
      <c r="F313" s="432"/>
      <c r="G313" s="432"/>
      <c r="H313" s="448"/>
      <c r="I313" s="436"/>
      <c r="J313" s="436"/>
      <c r="K313" s="437"/>
      <c r="L313" s="437"/>
      <c r="M313" s="437"/>
      <c r="N313" s="437"/>
      <c r="O313" s="437"/>
      <c r="P313" s="437"/>
    </row>
    <row r="314" spans="1:26" ht="19.5">
      <c r="A314" s="449"/>
      <c r="B314" s="439" t="s">
        <v>145</v>
      </c>
      <c r="C314" s="450"/>
      <c r="D314" s="451"/>
      <c r="E314" s="440"/>
      <c r="F314" s="440"/>
      <c r="G314" s="441"/>
      <c r="H314" s="442" t="s">
        <v>146</v>
      </c>
      <c r="I314" s="443">
        <f t="shared" ref="I314:J314" ca="1" si="142">I325</f>
        <v>1</v>
      </c>
      <c r="J314" s="443">
        <f t="shared" si="142"/>
        <v>1</v>
      </c>
      <c r="K314" s="444">
        <f ca="1">IF(I314&gt;0,J314*100/I314,0)</f>
        <v>100</v>
      </c>
      <c r="L314" s="445"/>
      <c r="M314" s="445"/>
      <c r="N314" s="445"/>
      <c r="O314" s="445"/>
      <c r="P314" s="445"/>
    </row>
    <row r="315" spans="1:26" ht="19.5">
      <c r="A315" s="147"/>
      <c r="B315" s="148"/>
      <c r="C315" s="149" t="s">
        <v>16</v>
      </c>
      <c r="D315" s="822" t="s">
        <v>17</v>
      </c>
      <c r="E315" s="148"/>
      <c r="F315" s="148"/>
      <c r="G315" s="151"/>
      <c r="H315" s="152" t="s">
        <v>12</v>
      </c>
      <c r="I315" s="419"/>
      <c r="J315" s="419"/>
      <c r="K315" s="154"/>
      <c r="L315" s="155">
        <f t="shared" ref="L315:N315" ca="1" si="143">L316+L317</f>
        <v>153000</v>
      </c>
      <c r="M315" s="155">
        <f t="shared" ca="1" si="143"/>
        <v>76500</v>
      </c>
      <c r="N315" s="155">
        <f t="shared" ca="1" si="143"/>
        <v>28920</v>
      </c>
      <c r="O315" s="155">
        <f t="shared" ref="O315:O323" ca="1" si="144">IF(L315&gt;0,N315*100/L315,0)</f>
        <v>18.901960784313726</v>
      </c>
      <c r="P315" s="155">
        <f t="shared" ref="P315:P323" ca="1" si="145">IF(M315&gt;0,N315*100/M315,0)</f>
        <v>37.803921568627452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2" t="s">
        <v>18</v>
      </c>
      <c r="F316" s="40"/>
      <c r="G316" s="157"/>
      <c r="H316" s="158" t="s">
        <v>12</v>
      </c>
      <c r="I316" s="610"/>
      <c r="J316" s="610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2" t="s">
        <v>19</v>
      </c>
      <c r="F317" s="40"/>
      <c r="G317" s="157"/>
      <c r="H317" s="158" t="s">
        <v>12</v>
      </c>
      <c r="I317" s="610"/>
      <c r="J317" s="610"/>
      <c r="K317" s="93"/>
      <c r="L317" s="93">
        <f t="shared" ca="1" si="146"/>
        <v>153000</v>
      </c>
      <c r="M317" s="93">
        <f t="shared" ca="1" si="146"/>
        <v>76500</v>
      </c>
      <c r="N317" s="93">
        <f t="shared" ca="1" si="146"/>
        <v>28920</v>
      </c>
      <c r="O317" s="93">
        <f t="shared" ca="1" si="144"/>
        <v>18.901960784313726</v>
      </c>
      <c r="P317" s="93">
        <f t="shared" ca="1" si="145"/>
        <v>37.803921568627452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>
      <c r="A318" s="159"/>
      <c r="B318" s="33"/>
      <c r="C318" s="281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6">
        <f t="shared" ref="L318:N318" ca="1" si="147">L319+L320</f>
        <v>153000</v>
      </c>
      <c r="M318" s="496">
        <f t="shared" ca="1" si="147"/>
        <v>76500</v>
      </c>
      <c r="N318" s="496">
        <f t="shared" ca="1" si="147"/>
        <v>28920</v>
      </c>
      <c r="O318" s="496">
        <f t="shared" ca="1" si="144"/>
        <v>18.901960784313726</v>
      </c>
      <c r="P318" s="496">
        <f t="shared" ca="1" si="145"/>
        <v>37.803921568627452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2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2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IFERROR(__xludf.DUMMYFUNCTION("IMPORTRANGE(""https://docs.google.com/spreadsheets/d/1MeEWN-I1oV_STSDYn1IFDPWt_1FKiwhDph83XaGc0o0/edit?usp=sharing"",""งบพรบ!EC53"")"),153000)</f>
        <v>153000</v>
      </c>
      <c r="M320" s="93">
        <f ca="1">IFERROR(__xludf.DUMMYFUNCTION("IMPORTRANGE(""https://docs.google.com/spreadsheets/d/1MeEWN-I1oV_STSDYn1IFDPWt_1FKiwhDph83XaGc0o0/edit?usp=sharing"",""งบพรบ!EH53"")"),76500)</f>
        <v>76500</v>
      </c>
      <c r="N320" s="93">
        <f ca="1">IFERROR(__xludf.DUMMYFUNCTION("IMPORTRANGE(""https://docs.google.com/spreadsheets/d/1MeEWN-I1oV_STSDYn1IFDPWt_1FKiwhDph83XaGc0o0/edit?usp=sharing"",""งบพรบ!EJ53"")"),28920)</f>
        <v>28920</v>
      </c>
      <c r="O320" s="93">
        <f t="shared" ca="1" si="144"/>
        <v>18.901960784313726</v>
      </c>
      <c r="P320" s="93">
        <f t="shared" ca="1" si="145"/>
        <v>37.803921568627452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>
      <c r="A321" s="159"/>
      <c r="B321" s="33"/>
      <c r="C321" s="281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6">
        <f t="shared" ref="L321:N321" ca="1" si="148">L322+L323</f>
        <v>0</v>
      </c>
      <c r="M321" s="496">
        <f t="shared" ca="1" si="148"/>
        <v>0</v>
      </c>
      <c r="N321" s="496">
        <f t="shared" ca="1" si="148"/>
        <v>0</v>
      </c>
      <c r="O321" s="496">
        <f t="shared" ca="1" si="144"/>
        <v>0</v>
      </c>
      <c r="P321" s="496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2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2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IFERROR(__xludf.DUMMYFUNCTION("IMPORTRANGE(""https://docs.google.com/spreadsheets/d/1MeEWN-I1oV_STSDYn1IFDPWt_1FKiwhDph83XaGc0o0/edit?usp=sharing"",""งบพรบ!EF53"")"),0)</f>
        <v>0</v>
      </c>
      <c r="M323" s="93">
        <f ca="1">IFERROR(__xludf.DUMMYFUNCTION("IMPORTRANGE(""https://docs.google.com/spreadsheets/d/1MeEWN-I1oV_STSDYn1IFDPWt_1FKiwhDph83XaGc0o0/edit?usp=sharing"",""งบพรบ!EI53"")"),0)</f>
        <v>0</v>
      </c>
      <c r="N323" s="93">
        <f ca="1">IFERROR(__xludf.DUMMYFUNCTION("IMPORTRANGE(""https://docs.google.com/spreadsheets/d/1MeEWN-I1oV_STSDYn1IFDPWt_1FKiwhDph83XaGc0o0/edit?usp=sharing"",""งบพรบ!EK53"")"),0)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>
      <c r="A324" s="170"/>
      <c r="B324" s="171"/>
      <c r="C324" s="164" t="s">
        <v>16</v>
      </c>
      <c r="D324" s="823" t="s">
        <v>38</v>
      </c>
      <c r="E324" s="173"/>
      <c r="F324" s="173"/>
      <c r="G324" s="174"/>
      <c r="H324" s="753"/>
      <c r="I324" s="184"/>
      <c r="J324" s="269"/>
      <c r="K324" s="496"/>
      <c r="L324" s="496"/>
      <c r="M324" s="496"/>
      <c r="N324" s="496"/>
      <c r="O324" s="163"/>
      <c r="P324" s="163"/>
    </row>
    <row r="325" spans="1:26" ht="18.75">
      <c r="A325" s="170"/>
      <c r="B325" s="171"/>
      <c r="C325" s="171"/>
      <c r="D325" s="176" t="s">
        <v>147</v>
      </c>
      <c r="E325" s="178"/>
      <c r="F325" s="446"/>
      <c r="G325" s="179"/>
      <c r="H325" s="616" t="s">
        <v>146</v>
      </c>
      <c r="I325" s="269">
        <f ca="1">IFERROR(__xludf.DUMMYFUNCTION("IMPORTRANGE(""https://docs.google.com/spreadsheets/d/1QqKyyYR6Q21VydFLVH3TRQUabQu_ym0Zz7PgGX0-kHA/edit?usp=sharing"",""แผน!EF53"")"),1)</f>
        <v>1</v>
      </c>
      <c r="J325" s="214">
        <v>1</v>
      </c>
      <c r="K325" s="496">
        <f ca="1">IF(I325&gt;0,J325*100/I325,0)</f>
        <v>100</v>
      </c>
      <c r="L325" s="496"/>
      <c r="M325" s="496"/>
      <c r="N325" s="496"/>
      <c r="O325" s="163"/>
      <c r="P325" s="163"/>
    </row>
    <row r="326" spans="1:26" ht="19.5">
      <c r="A326" s="431" t="s">
        <v>148</v>
      </c>
      <c r="B326" s="432"/>
      <c r="C326" s="432"/>
      <c r="D326" s="433"/>
      <c r="E326" s="432"/>
      <c r="F326" s="432"/>
      <c r="G326" s="432"/>
      <c r="H326" s="448"/>
      <c r="I326" s="436"/>
      <c r="J326" s="436"/>
      <c r="K326" s="437"/>
      <c r="L326" s="437"/>
      <c r="M326" s="437"/>
      <c r="N326" s="437"/>
      <c r="O326" s="437"/>
      <c r="P326" s="437"/>
    </row>
    <row r="327" spans="1:26" ht="19.5">
      <c r="A327" s="438"/>
      <c r="B327" s="439" t="s">
        <v>149</v>
      </c>
      <c r="C327" s="451"/>
      <c r="D327" s="440"/>
      <c r="E327" s="440"/>
      <c r="F327" s="440"/>
      <c r="G327" s="441"/>
      <c r="H327" s="442" t="s">
        <v>35</v>
      </c>
      <c r="I327" s="443">
        <f ca="1">IFERROR(__xludf.DUMMYFUNCTION("IMPORTRANGE(""https://docs.google.com/spreadsheets/d/1QqKyyYR6Q21VydFLVH3TRQUabQu_ym0Zz7PgGX0-kHA/edit?usp=sharing"",""แผน!EG53"")"),1600)</f>
        <v>1600</v>
      </c>
      <c r="J327" s="443">
        <f ca="1">J338+J341+J342+J343</f>
        <v>1703</v>
      </c>
      <c r="K327" s="444">
        <f ca="1">IF(I327&gt;0,J327*100/I327,0)</f>
        <v>106.4375</v>
      </c>
      <c r="L327" s="445"/>
      <c r="M327" s="445"/>
      <c r="N327" s="445"/>
      <c r="O327" s="445"/>
      <c r="P327" s="445"/>
    </row>
    <row r="328" spans="1:26" ht="19.5">
      <c r="A328" s="147"/>
      <c r="B328" s="148"/>
      <c r="C328" s="149" t="s">
        <v>16</v>
      </c>
      <c r="D328" s="822" t="s">
        <v>17</v>
      </c>
      <c r="E328" s="148"/>
      <c r="F328" s="148"/>
      <c r="G328" s="151"/>
      <c r="H328" s="152" t="s">
        <v>12</v>
      </c>
      <c r="I328" s="419"/>
      <c r="J328" s="419"/>
      <c r="K328" s="154"/>
      <c r="L328" s="155">
        <f t="shared" ref="L328:N328" ca="1" si="149">L329+L330</f>
        <v>168000</v>
      </c>
      <c r="M328" s="155">
        <f t="shared" ca="1" si="149"/>
        <v>84000</v>
      </c>
      <c r="N328" s="155">
        <f t="shared" ca="1" si="149"/>
        <v>44880</v>
      </c>
      <c r="O328" s="155">
        <f t="shared" ref="O328:O336" ca="1" si="150">IF(L328&gt;0,N328*100/L328,0)</f>
        <v>26.714285714285715</v>
      </c>
      <c r="P328" s="155">
        <f t="shared" ref="P328:P336" ca="1" si="151">IF(M328&gt;0,N328*100/M328,0)</f>
        <v>53.428571428571431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2" t="s">
        <v>18</v>
      </c>
      <c r="F329" s="40"/>
      <c r="G329" s="157"/>
      <c r="H329" s="158" t="s">
        <v>12</v>
      </c>
      <c r="I329" s="610"/>
      <c r="J329" s="610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2" t="s">
        <v>19</v>
      </c>
      <c r="F330" s="40"/>
      <c r="G330" s="157"/>
      <c r="H330" s="158" t="s">
        <v>12</v>
      </c>
      <c r="I330" s="610"/>
      <c r="J330" s="610"/>
      <c r="K330" s="93"/>
      <c r="L330" s="93">
        <f t="shared" ca="1" si="152"/>
        <v>168000</v>
      </c>
      <c r="M330" s="93">
        <f t="shared" ca="1" si="152"/>
        <v>84000</v>
      </c>
      <c r="N330" s="93">
        <f t="shared" ca="1" si="152"/>
        <v>44880</v>
      </c>
      <c r="O330" s="93">
        <f t="shared" ca="1" si="150"/>
        <v>26.714285714285715</v>
      </c>
      <c r="P330" s="93">
        <f t="shared" ca="1" si="151"/>
        <v>53.428571428571431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1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6">
        <f t="shared" ref="L331:N331" ca="1" si="153">L332+L333</f>
        <v>168000</v>
      </c>
      <c r="M331" s="496">
        <f t="shared" ca="1" si="153"/>
        <v>84000</v>
      </c>
      <c r="N331" s="496">
        <f t="shared" ca="1" si="153"/>
        <v>44880</v>
      </c>
      <c r="O331" s="496">
        <f t="shared" ca="1" si="150"/>
        <v>26.714285714285715</v>
      </c>
      <c r="P331" s="496">
        <f t="shared" ca="1" si="151"/>
        <v>53.428571428571431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2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2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IFERROR(__xludf.DUMMYFUNCTION("IMPORTRANGE(""https://docs.google.com/spreadsheets/d/1MeEWN-I1oV_STSDYn1IFDPWt_1FKiwhDph83XaGc0o0/edit?usp=sharing"",""งบพรบ!EM53"")"),168000)</f>
        <v>168000</v>
      </c>
      <c r="M333" s="93">
        <f ca="1">IFERROR(__xludf.DUMMYFUNCTION("IMPORTRANGE(""https://docs.google.com/spreadsheets/d/1MeEWN-I1oV_STSDYn1IFDPWt_1FKiwhDph83XaGc0o0/edit?usp=sharing"",""งบพรบ!ER53"")"),84000)</f>
        <v>84000</v>
      </c>
      <c r="N333" s="93">
        <f ca="1">IFERROR(__xludf.DUMMYFUNCTION("IMPORTRANGE(""https://docs.google.com/spreadsheets/d/1MeEWN-I1oV_STSDYn1IFDPWt_1FKiwhDph83XaGc0o0/edit?usp=sharing"",""งบพรบ!ET53"")"),44880)</f>
        <v>44880</v>
      </c>
      <c r="O333" s="93">
        <f t="shared" ca="1" si="150"/>
        <v>26.714285714285715</v>
      </c>
      <c r="P333" s="93">
        <f t="shared" ca="1" si="151"/>
        <v>53.428571428571431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1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6">
        <f t="shared" ref="L334:N334" ca="1" si="154">L335+L336</f>
        <v>0</v>
      </c>
      <c r="M334" s="496">
        <f t="shared" ca="1" si="154"/>
        <v>0</v>
      </c>
      <c r="N334" s="496">
        <f t="shared" ca="1" si="154"/>
        <v>0</v>
      </c>
      <c r="O334" s="496">
        <f t="shared" ca="1" si="150"/>
        <v>0</v>
      </c>
      <c r="P334" s="496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2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2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IFERROR(__xludf.DUMMYFUNCTION("IMPORTRANGE(""https://docs.google.com/spreadsheets/d/1MeEWN-I1oV_STSDYn1IFDPWt_1FKiwhDph83XaGc0o0/edit?usp=sharing"",""งบพรบ!EP53"")"),0)</f>
        <v>0</v>
      </c>
      <c r="M336" s="93">
        <f ca="1">IFERROR(__xludf.DUMMYFUNCTION("IMPORTRANGE(""https://docs.google.com/spreadsheets/d/1MeEWN-I1oV_STSDYn1IFDPWt_1FKiwhDph83XaGc0o0/edit?usp=sharing"",""งบพรบ!ES53"")"),0)</f>
        <v>0</v>
      </c>
      <c r="N336" s="93">
        <f ca="1">IFERROR(__xludf.DUMMYFUNCTION("IMPORTRANGE(""https://docs.google.com/spreadsheets/d/1MeEWN-I1oV_STSDYn1IFDPWt_1FKiwhDph83XaGc0o0/edit?usp=sharing"",""งบพรบ!EU53"")"),0)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23" t="s">
        <v>38</v>
      </c>
      <c r="E337" s="173"/>
      <c r="F337" s="173"/>
      <c r="G337" s="174"/>
      <c r="H337" s="753"/>
      <c r="I337" s="184"/>
      <c r="J337" s="269"/>
      <c r="K337" s="496"/>
      <c r="L337" s="496"/>
      <c r="M337" s="496"/>
      <c r="N337" s="496"/>
      <c r="O337" s="163"/>
      <c r="P337" s="163"/>
    </row>
    <row r="338" spans="1:26" ht="18.75">
      <c r="A338" s="284"/>
      <c r="B338" s="33"/>
      <c r="C338" s="280"/>
      <c r="D338" s="446" t="s">
        <v>150</v>
      </c>
      <c r="E338" s="171"/>
      <c r="F338" s="33"/>
      <c r="G338" s="35"/>
      <c r="H338" s="276" t="s">
        <v>35</v>
      </c>
      <c r="I338" s="269">
        <f ca="1">IFERROR(__xludf.DUMMYFUNCTION("IMPORTRANGE(""https://docs.google.com/spreadsheets/d/1QqKyyYR6Q21VydFLVH3TRQUabQu_ym0Zz7PgGX0-kHA/edit?usp=sharing"",""แผน!EG53"")"),1600)</f>
        <v>1600</v>
      </c>
      <c r="J338" s="269">
        <f ca="1">IFERROR(__xludf.DUMMYFUNCTION("IMPORTRANGE(""https://docs.google.com/spreadsheets/d/1kVcqe37tkHyjCSG3S0O1AXqVkqjo8mSIZil3BcpIysc/edit?usp=sharing"",""ศูนย์!D53"")"),1492)</f>
        <v>1492</v>
      </c>
      <c r="K338" s="496">
        <f ca="1">IF(I338&gt;0,J338*100/I338,0)</f>
        <v>93.25</v>
      </c>
      <c r="L338" s="496"/>
      <c r="M338" s="496"/>
      <c r="N338" s="496"/>
      <c r="O338" s="496"/>
      <c r="P338" s="496"/>
    </row>
    <row r="339" spans="1:26" ht="18.75">
      <c r="A339" s="284"/>
      <c r="B339" s="33"/>
      <c r="C339" s="280"/>
      <c r="D339" s="446" t="s">
        <v>151</v>
      </c>
      <c r="E339" s="171"/>
      <c r="F339" s="33"/>
      <c r="G339" s="35"/>
      <c r="H339" s="276"/>
      <c r="I339" s="269"/>
      <c r="J339" s="269"/>
      <c r="K339" s="496"/>
      <c r="L339" s="496"/>
      <c r="M339" s="496"/>
      <c r="N339" s="496"/>
      <c r="O339" s="496"/>
      <c r="P339" s="496"/>
    </row>
    <row r="340" spans="1:26" ht="18.75">
      <c r="A340" s="284"/>
      <c r="B340" s="33"/>
      <c r="C340" s="280"/>
      <c r="D340" s="178"/>
      <c r="E340" s="446" t="s">
        <v>152</v>
      </c>
      <c r="F340" s="33"/>
      <c r="G340" s="35"/>
      <c r="H340" s="276" t="s">
        <v>153</v>
      </c>
      <c r="I340" s="269">
        <f ca="1">IFERROR(__xludf.DUMMYFUNCTION("IMPORTRANGE(""https://docs.google.com/spreadsheets/d/1QqKyyYR6Q21VydFLVH3TRQUabQu_ym0Zz7PgGX0-kHA/edit?usp=sharing"",""แผน!EH53"")"),5)</f>
        <v>5</v>
      </c>
      <c r="J340" s="269">
        <f ca="1">IFERROR(__xludf.DUMMYFUNCTION("IMPORTRANGE(""https://docs.google.com/spreadsheets/d/1kVcqe37tkHyjCSG3S0O1AXqVkqjo8mSIZil3BcpIysc/edit?usp=sharing"",""ศูนย์!E53"")"),3)</f>
        <v>3</v>
      </c>
      <c r="K340" s="496">
        <f ca="1">IF(I340&gt;0,J340*100/I340,0)</f>
        <v>60</v>
      </c>
      <c r="L340" s="496"/>
      <c r="M340" s="496"/>
      <c r="N340" s="496"/>
      <c r="O340" s="496"/>
      <c r="P340" s="496"/>
    </row>
    <row r="341" spans="1:26" ht="18.75">
      <c r="A341" s="284"/>
      <c r="B341" s="33"/>
      <c r="C341" s="280"/>
      <c r="D341" s="178"/>
      <c r="E341" s="446" t="s">
        <v>154</v>
      </c>
      <c r="F341" s="33"/>
      <c r="G341" s="35"/>
      <c r="H341" s="276" t="s">
        <v>35</v>
      </c>
      <c r="I341" s="269"/>
      <c r="J341" s="269">
        <f ca="1">IFERROR(__xludf.DUMMYFUNCTION("IMPORTRANGE(""https://docs.google.com/spreadsheets/d/1kVcqe37tkHyjCSG3S0O1AXqVkqjo8mSIZil3BcpIysc/edit?usp=sharing"",""ศูนย์!F53"")"),211)</f>
        <v>211</v>
      </c>
      <c r="K341" s="496"/>
      <c r="L341" s="496"/>
      <c r="M341" s="496"/>
      <c r="N341" s="496"/>
      <c r="O341" s="496"/>
      <c r="P341" s="496"/>
    </row>
    <row r="342" spans="1:26" ht="18.75">
      <c r="A342" s="284"/>
      <c r="B342" s="33"/>
      <c r="C342" s="280"/>
      <c r="D342" s="446" t="s">
        <v>155</v>
      </c>
      <c r="E342" s="178"/>
      <c r="F342" s="178"/>
      <c r="G342" s="35"/>
      <c r="H342" s="276" t="s">
        <v>35</v>
      </c>
      <c r="I342" s="269"/>
      <c r="J342" s="269">
        <f ca="1">IFERROR(__xludf.DUMMYFUNCTION("IMPORTRANGE(""https://docs.google.com/spreadsheets/d/1kVcqe37tkHyjCSG3S0O1AXqVkqjo8mSIZil3BcpIysc/edit?usp=sharing"",""ศูนย์!G53"")"),0)</f>
        <v>0</v>
      </c>
      <c r="K342" s="496"/>
      <c r="L342" s="496"/>
      <c r="M342" s="496"/>
      <c r="N342" s="496"/>
      <c r="O342" s="496"/>
      <c r="P342" s="496"/>
    </row>
    <row r="343" spans="1:26" ht="18.75">
      <c r="A343" s="284"/>
      <c r="B343" s="33"/>
      <c r="C343" s="280"/>
      <c r="D343" s="446" t="s">
        <v>156</v>
      </c>
      <c r="E343" s="178"/>
      <c r="F343" s="178"/>
      <c r="G343" s="35"/>
      <c r="H343" s="276" t="s">
        <v>35</v>
      </c>
      <c r="I343" s="269"/>
      <c r="J343" s="269">
        <f ca="1">IFERROR(__xludf.DUMMYFUNCTION("IMPORTRANGE(""https://docs.google.com/spreadsheets/d/1kVcqe37tkHyjCSG3S0O1AXqVkqjo8mSIZil3BcpIysc/edit?usp=sharing"",""ศูนย์!H53"")"),0)</f>
        <v>0</v>
      </c>
      <c r="K343" s="496"/>
      <c r="L343" s="496"/>
      <c r="M343" s="496"/>
      <c r="N343" s="496"/>
      <c r="O343" s="496"/>
      <c r="P343" s="496"/>
    </row>
    <row r="344" spans="1:26" ht="19.5">
      <c r="A344" s="438"/>
      <c r="B344" s="439" t="s">
        <v>157</v>
      </c>
      <c r="C344" s="451"/>
      <c r="D344" s="440"/>
      <c r="E344" s="440"/>
      <c r="F344" s="440"/>
      <c r="G344" s="441"/>
      <c r="H344" s="442"/>
      <c r="I344" s="452"/>
      <c r="J344" s="452"/>
      <c r="K344" s="445"/>
      <c r="L344" s="445"/>
      <c r="M344" s="445"/>
      <c r="N344" s="445"/>
      <c r="O344" s="445"/>
      <c r="P344" s="445"/>
    </row>
    <row r="345" spans="1:26" ht="19.5">
      <c r="A345" s="147"/>
      <c r="B345" s="148"/>
      <c r="C345" s="149" t="s">
        <v>16</v>
      </c>
      <c r="D345" s="822" t="s">
        <v>17</v>
      </c>
      <c r="E345" s="148"/>
      <c r="F345" s="148"/>
      <c r="G345" s="151"/>
      <c r="H345" s="152" t="s">
        <v>12</v>
      </c>
      <c r="I345" s="419"/>
      <c r="J345" s="419"/>
      <c r="K345" s="154"/>
      <c r="L345" s="155">
        <f t="shared" ref="L345:N345" ca="1" si="155">L346+L347</f>
        <v>1015940</v>
      </c>
      <c r="M345" s="155">
        <f t="shared" ca="1" si="155"/>
        <v>568270</v>
      </c>
      <c r="N345" s="155">
        <f t="shared" ca="1" si="155"/>
        <v>299236</v>
      </c>
      <c r="O345" s="155">
        <f t="shared" ref="O345:O353" ca="1" si="156">IF(L345&gt;0,N345*100/L345,0)</f>
        <v>29.45410162017442</v>
      </c>
      <c r="P345" s="155">
        <f t="shared" ref="P345:P353" ca="1" si="157">IF(M345&gt;0,N345*100/M345,0)</f>
        <v>52.657363577172823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2" t="s">
        <v>18</v>
      </c>
      <c r="F346" s="40"/>
      <c r="G346" s="157"/>
      <c r="H346" s="158" t="s">
        <v>12</v>
      </c>
      <c r="I346" s="610"/>
      <c r="J346" s="610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2" t="s">
        <v>19</v>
      </c>
      <c r="F347" s="40"/>
      <c r="G347" s="157"/>
      <c r="H347" s="158" t="s">
        <v>12</v>
      </c>
      <c r="I347" s="610"/>
      <c r="J347" s="610"/>
      <c r="K347" s="93"/>
      <c r="L347" s="93">
        <f t="shared" ca="1" si="158"/>
        <v>1015940</v>
      </c>
      <c r="M347" s="93">
        <f t="shared" ca="1" si="158"/>
        <v>568270</v>
      </c>
      <c r="N347" s="93">
        <f t="shared" ca="1" si="158"/>
        <v>299236</v>
      </c>
      <c r="O347" s="93">
        <f t="shared" ca="1" si="156"/>
        <v>29.45410162017442</v>
      </c>
      <c r="P347" s="93">
        <f t="shared" ca="1" si="157"/>
        <v>52.657363577172823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1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6">
        <f t="shared" ref="L348:N348" ca="1" si="159">L349+L350</f>
        <v>895340</v>
      </c>
      <c r="M348" s="496">
        <f t="shared" ca="1" si="159"/>
        <v>447670</v>
      </c>
      <c r="N348" s="496">
        <f t="shared" ca="1" si="159"/>
        <v>178636</v>
      </c>
      <c r="O348" s="496">
        <f t="shared" ca="1" si="156"/>
        <v>19.95175017311859</v>
      </c>
      <c r="P348" s="496">
        <f t="shared" ca="1" si="157"/>
        <v>39.90350034623718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2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2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IFERROR(__xludf.DUMMYFUNCTION("IMPORTRANGE(""https://docs.google.com/spreadsheets/d/1MeEWN-I1oV_STSDYn1IFDPWt_1FKiwhDph83XaGc0o0/edit?usp=sharing"",""งบพรบ!EW53"")"),895340)</f>
        <v>895340</v>
      </c>
      <c r="M350" s="93">
        <f ca="1">IFERROR(__xludf.DUMMYFUNCTION("IMPORTRANGE(""https://docs.google.com/spreadsheets/d/1MeEWN-I1oV_STSDYn1IFDPWt_1FKiwhDph83XaGc0o0/edit?usp=sharing"",""งบพรบ!FB53"")"),447670)</f>
        <v>447670</v>
      </c>
      <c r="N350" s="93">
        <f ca="1">IFERROR(__xludf.DUMMYFUNCTION("IMPORTRANGE(""https://docs.google.com/spreadsheets/d/1MeEWN-I1oV_STSDYn1IFDPWt_1FKiwhDph83XaGc0o0/edit?usp=sharing"",""งบพรบ!FD53"")"),178636)</f>
        <v>178636</v>
      </c>
      <c r="O350" s="93">
        <f t="shared" ca="1" si="156"/>
        <v>19.95175017311859</v>
      </c>
      <c r="P350" s="93">
        <f t="shared" ca="1" si="157"/>
        <v>39.90350034623718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1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6">
        <f t="shared" ref="L351:N351" ca="1" si="160">L352+L353</f>
        <v>120600</v>
      </c>
      <c r="M351" s="496">
        <f t="shared" ca="1" si="160"/>
        <v>120600</v>
      </c>
      <c r="N351" s="496">
        <f t="shared" ca="1" si="160"/>
        <v>120600</v>
      </c>
      <c r="O351" s="496">
        <f t="shared" ca="1" si="156"/>
        <v>100</v>
      </c>
      <c r="P351" s="496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2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2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IFERROR(__xludf.DUMMYFUNCTION("IMPORTRANGE(""https://docs.google.com/spreadsheets/d/1MeEWN-I1oV_STSDYn1IFDPWt_1FKiwhDph83XaGc0o0/edit?usp=sharing"",""งบพรบ!EZ53"")"),120600)</f>
        <v>120600</v>
      </c>
      <c r="M353" s="93">
        <f ca="1">IFERROR(__xludf.DUMMYFUNCTION("IMPORTRANGE(""https://docs.google.com/spreadsheets/d/1MeEWN-I1oV_STSDYn1IFDPWt_1FKiwhDph83XaGc0o0/edit?usp=sharing"",""งบพรบ!FC53"")"),120600)</f>
        <v>120600</v>
      </c>
      <c r="N353" s="93">
        <f ca="1">IFERROR(__xludf.DUMMYFUNCTION("IMPORTRANGE(""https://docs.google.com/spreadsheets/d/1MeEWN-I1oV_STSDYn1IFDPWt_1FKiwhDph83XaGc0o0/edit?usp=sharing"",""งบพรบ!FE53"")"),120600)</f>
        <v>120600</v>
      </c>
      <c r="O353" s="93">
        <f t="shared" ca="1" si="156"/>
        <v>100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5"/>
      <c r="B354" s="263"/>
      <c r="C354" s="256"/>
      <c r="D354" s="832" t="s">
        <v>158</v>
      </c>
      <c r="E354" s="256"/>
      <c r="F354" s="256"/>
      <c r="G354" s="258"/>
      <c r="H354" s="454"/>
      <c r="I354" s="260"/>
      <c r="J354" s="260"/>
      <c r="K354" s="261"/>
      <c r="L354" s="261"/>
      <c r="M354" s="261"/>
      <c r="N354" s="261"/>
      <c r="O354" s="261"/>
      <c r="P354" s="261"/>
    </row>
    <row r="355" spans="1:26" ht="19.5">
      <c r="A355" s="455"/>
      <c r="B355" s="456"/>
      <c r="C355" s="457"/>
      <c r="D355" s="833" t="s">
        <v>159</v>
      </c>
      <c r="E355" s="459"/>
      <c r="F355" s="459"/>
      <c r="G355" s="460"/>
      <c r="H355" s="461" t="s">
        <v>35</v>
      </c>
      <c r="I355" s="463">
        <f ca="1">IFERROR(__xludf.DUMMYFUNCTION("IMPORTRANGE(""https://docs.google.com/spreadsheets/d/1QqKyyYR6Q21VydFLVH3TRQUabQu_ym0Zz7PgGX0-kHA/edit?usp=sharing"",""แผน!EP53"")"),160)</f>
        <v>160</v>
      </c>
      <c r="J355" s="463">
        <f ca="1">J362</f>
        <v>2</v>
      </c>
      <c r="K355" s="464">
        <f ca="1">IF(I355&gt;0,J355*100/I355,0)</f>
        <v>1.25</v>
      </c>
      <c r="L355" s="465"/>
      <c r="M355" s="465"/>
      <c r="N355" s="465"/>
      <c r="O355" s="465"/>
      <c r="P355" s="465"/>
    </row>
    <row r="356" spans="1:26" ht="19.5">
      <c r="A356" s="455"/>
      <c r="B356" s="456"/>
      <c r="C356" s="457"/>
      <c r="D356" s="466" t="s">
        <v>160</v>
      </c>
      <c r="E356" s="459"/>
      <c r="F356" s="459"/>
      <c r="G356" s="460"/>
      <c r="H356" s="467"/>
      <c r="I356" s="468"/>
      <c r="J356" s="468"/>
      <c r="K356" s="465"/>
      <c r="L356" s="465"/>
      <c r="M356" s="465"/>
      <c r="N356" s="465"/>
      <c r="O356" s="465"/>
      <c r="P356" s="465"/>
    </row>
    <row r="357" spans="1:26" ht="19.5">
      <c r="A357" s="170"/>
      <c r="B357" s="171"/>
      <c r="C357" s="164" t="s">
        <v>16</v>
      </c>
      <c r="D357" s="823" t="s">
        <v>38</v>
      </c>
      <c r="E357" s="173"/>
      <c r="F357" s="173"/>
      <c r="G357" s="174"/>
      <c r="H357" s="753"/>
      <c r="I357" s="269"/>
      <c r="J357" s="269"/>
      <c r="K357" s="496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69">
        <v>0</v>
      </c>
      <c r="J358" s="269">
        <f ca="1">IFERROR(__xludf.DUMMYFUNCTION("IMPORTRANGE(""https://docs.google.com/spreadsheets/d/1XWAQStnk-4SwqDmLtmXYiTMKHgktTP8We1SCoS47DrQ/edit?usp=sharing"",""จัดที่ดิน!W53"")"),6)</f>
        <v>6</v>
      </c>
      <c r="K358" s="496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69">
        <f ca="1">IFERROR(__xludf.DUMMYFUNCTION("IMPORTRANGE(""https://docs.google.com/spreadsheets/d/1QqKyyYR6Q21VydFLVH3TRQUabQu_ym0Zz7PgGX0-kHA/edit?usp=sharing"",""แผน!EO53"")"),1600)</f>
        <v>1600</v>
      </c>
      <c r="J359" s="269">
        <f ca="1">IFERROR(__xludf.DUMMYFUNCTION("IMPORTRANGE(""https://docs.google.com/spreadsheets/d/1XWAQStnk-4SwqDmLtmXYiTMKHgktTP8We1SCoS47DrQ/edit?usp=sharing"",""จัดที่ดิน!X53"")"),80.83)</f>
        <v>80.83</v>
      </c>
      <c r="K359" s="496">
        <f t="shared" ca="1" si="161"/>
        <v>5.0518749999999999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755" t="s">
        <v>35</v>
      </c>
      <c r="I360" s="269">
        <f ca="1">IFERROR(__xludf.DUMMYFUNCTION("IMPORTRANGE(""https://docs.google.com/spreadsheets/d/1QqKyyYR6Q21VydFLVH3TRQUabQu_ym0Zz7PgGX0-kHA/edit?usp=sharing"",""แผน!EP53"")"),160)</f>
        <v>160</v>
      </c>
      <c r="J360" s="269">
        <f ca="1">IFERROR(__xludf.DUMMYFUNCTION("IMPORTRANGE(""https://docs.google.com/spreadsheets/d/1XWAQStnk-4SwqDmLtmXYiTMKHgktTP8We1SCoS47DrQ/edit?usp=sharing"",""จัดที่ดิน!Y53"")"),6)</f>
        <v>6</v>
      </c>
      <c r="K360" s="496">
        <f t="shared" ca="1" si="161"/>
        <v>3.75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755" t="s">
        <v>46</v>
      </c>
      <c r="I361" s="269">
        <v>0</v>
      </c>
      <c r="J361" s="269">
        <f ca="1">IFERROR(__xludf.DUMMYFUNCTION("IMPORTRANGE(""https://docs.google.com/spreadsheets/d/1XWAQStnk-4SwqDmLtmXYiTMKHgktTP8We1SCoS47DrQ/edit?usp=sharing"",""จัดที่ดิน!Z53"")"),80.83)</f>
        <v>80.83</v>
      </c>
      <c r="K361" s="496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755" t="s">
        <v>35</v>
      </c>
      <c r="I362" s="269">
        <f ca="1">IFERROR(__xludf.DUMMYFUNCTION("IMPORTRANGE(""https://docs.google.com/spreadsheets/d/1QqKyyYR6Q21VydFLVH3TRQUabQu_ym0Zz7PgGX0-kHA/edit?usp=sharing"",""แผน!EP53"")"),160)</f>
        <v>160</v>
      </c>
      <c r="J362" s="269">
        <f ca="1">IFERROR(__xludf.DUMMYFUNCTION("IMPORTRANGE(""https://docs.google.com/spreadsheets/d/1XWAQStnk-4SwqDmLtmXYiTMKHgktTP8We1SCoS47DrQ/edit?usp=sharing"",""จัดที่ดิน!AA53"")"),2)</f>
        <v>2</v>
      </c>
      <c r="K362" s="496">
        <f t="shared" ca="1" si="161"/>
        <v>1.25</v>
      </c>
      <c r="L362" s="163"/>
      <c r="M362" s="163"/>
      <c r="N362" s="163"/>
      <c r="O362" s="163"/>
      <c r="P362" s="163"/>
    </row>
    <row r="363" spans="1:26" ht="18.75">
      <c r="A363" s="469" t="s">
        <v>164</v>
      </c>
      <c r="B363" s="178"/>
      <c r="C363" s="171"/>
      <c r="D363" s="178"/>
      <c r="E363" s="446"/>
      <c r="F363" s="178"/>
      <c r="G363" s="179"/>
      <c r="H363" s="755" t="s">
        <v>46</v>
      </c>
      <c r="I363" s="269">
        <v>0</v>
      </c>
      <c r="J363" s="269">
        <f ca="1">IFERROR(__xludf.DUMMYFUNCTION("IMPORTRANGE(""https://docs.google.com/spreadsheets/d/1XWAQStnk-4SwqDmLtmXYiTMKHgktTP8We1SCoS47DrQ/edit?usp=sharing"",""จัดที่ดิน!AB53"")"),6.12)</f>
        <v>6.12</v>
      </c>
      <c r="K363" s="496">
        <f t="shared" si="161"/>
        <v>0</v>
      </c>
      <c r="L363" s="163"/>
      <c r="M363" s="163"/>
      <c r="N363" s="163"/>
      <c r="O363" s="163"/>
      <c r="P363" s="163"/>
    </row>
    <row r="364" spans="1:26" ht="19.5">
      <c r="A364" s="470"/>
      <c r="B364" s="471"/>
      <c r="C364" s="472"/>
      <c r="D364" s="473" t="s">
        <v>165</v>
      </c>
      <c r="E364" s="474"/>
      <c r="F364" s="474"/>
      <c r="G364" s="475"/>
      <c r="H364" s="476" t="s">
        <v>35</v>
      </c>
      <c r="I364" s="477">
        <f t="shared" ref="I364:J364" ca="1" si="162">I365+I374</f>
        <v>200</v>
      </c>
      <c r="J364" s="477">
        <f t="shared" ca="1" si="162"/>
        <v>2</v>
      </c>
      <c r="K364" s="478">
        <f t="shared" ca="1" si="161"/>
        <v>1</v>
      </c>
      <c r="L364" s="479"/>
      <c r="M364" s="479"/>
      <c r="N364" s="479"/>
      <c r="O364" s="479"/>
      <c r="P364" s="479"/>
      <c r="Q364" s="480"/>
      <c r="R364" s="480"/>
      <c r="S364" s="480"/>
      <c r="T364" s="480"/>
      <c r="U364" s="480"/>
      <c r="V364" s="480"/>
      <c r="W364" s="480"/>
      <c r="X364" s="480"/>
      <c r="Y364" s="480"/>
      <c r="Z364" s="480"/>
    </row>
    <row r="365" spans="1:26" ht="19.5">
      <c r="A365" s="481"/>
      <c r="B365" s="482"/>
      <c r="C365" s="484"/>
      <c r="D365" s="484" t="s">
        <v>166</v>
      </c>
      <c r="E365" s="485"/>
      <c r="F365" s="485"/>
      <c r="G365" s="486"/>
      <c r="H365" s="487" t="s">
        <v>35</v>
      </c>
      <c r="I365" s="489">
        <f ca="1">IFERROR(__xludf.DUMMYFUNCTION("IMPORTRANGE(""https://docs.google.com/spreadsheets/d/1QqKyyYR6Q21VydFLVH3TRQUabQu_ym0Zz7PgGX0-kHA/edit?usp=sharing"",""แผน!EJ53"")"),80)</f>
        <v>80</v>
      </c>
      <c r="J365" s="489">
        <f ca="1">J372</f>
        <v>2</v>
      </c>
      <c r="K365" s="490">
        <f t="shared" ca="1" si="161"/>
        <v>2.5</v>
      </c>
      <c r="L365" s="491"/>
      <c r="M365" s="491"/>
      <c r="N365" s="491"/>
      <c r="O365" s="491"/>
      <c r="P365" s="491"/>
      <c r="Q365" s="480"/>
      <c r="R365" s="480"/>
      <c r="S365" s="480"/>
      <c r="T365" s="480"/>
      <c r="U365" s="480"/>
      <c r="V365" s="480"/>
      <c r="W365" s="480"/>
      <c r="X365" s="480"/>
      <c r="Y365" s="480"/>
      <c r="Z365" s="480"/>
    </row>
    <row r="366" spans="1:26" ht="19.5">
      <c r="A366" s="481"/>
      <c r="B366" s="482"/>
      <c r="C366" s="484"/>
      <c r="D366" s="492" t="s">
        <v>167</v>
      </c>
      <c r="E366" s="485"/>
      <c r="F366" s="485"/>
      <c r="G366" s="486"/>
      <c r="H366" s="493"/>
      <c r="I366" s="494"/>
      <c r="J366" s="494"/>
      <c r="K366" s="491"/>
      <c r="L366" s="491"/>
      <c r="M366" s="491"/>
      <c r="N366" s="491"/>
      <c r="O366" s="491"/>
      <c r="P366" s="491"/>
      <c r="Q366" s="480"/>
      <c r="R366" s="480"/>
      <c r="S366" s="480"/>
      <c r="T366" s="480"/>
      <c r="U366" s="480"/>
      <c r="V366" s="480"/>
      <c r="W366" s="480"/>
      <c r="X366" s="480"/>
      <c r="Y366" s="480"/>
      <c r="Z366" s="480"/>
    </row>
    <row r="367" spans="1:26" ht="19.5">
      <c r="A367" s="170"/>
      <c r="B367" s="171"/>
      <c r="C367" s="164" t="s">
        <v>16</v>
      </c>
      <c r="D367" s="823" t="s">
        <v>38</v>
      </c>
      <c r="E367" s="173"/>
      <c r="F367" s="173"/>
      <c r="G367" s="174"/>
      <c r="H367" s="753"/>
      <c r="I367" s="269"/>
      <c r="J367" s="269"/>
      <c r="K367" s="496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69">
        <v>0</v>
      </c>
      <c r="J368" s="269">
        <f ca="1">IFERROR(__xludf.DUMMYFUNCTION("IMPORTRANGE(""https://docs.google.com/spreadsheets/d/1XWAQStnk-4SwqDmLtmXYiTMKHgktTP8We1SCoS47DrQ/edit?usp=sharing"",""จัดที่ดิน!E53"")"),6)</f>
        <v>6</v>
      </c>
      <c r="K368" s="496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69">
        <f ca="1">IFERROR(__xludf.DUMMYFUNCTION("IMPORTRANGE(""https://docs.google.com/spreadsheets/d/1QqKyyYR6Q21VydFLVH3TRQUabQu_ym0Zz7PgGX0-kHA/edit?usp=sharing"",""แผน!EI53"")"),800)</f>
        <v>800</v>
      </c>
      <c r="J369" s="269">
        <f ca="1">IFERROR(__xludf.DUMMYFUNCTION("IMPORTRANGE(""https://docs.google.com/spreadsheets/d/1XWAQStnk-4SwqDmLtmXYiTMKHgktTP8We1SCoS47DrQ/edit?usp=sharing"",""จัดที่ดิน!F53"")"),80.83)</f>
        <v>80.83</v>
      </c>
      <c r="K369" s="496">
        <f t="shared" ca="1" si="163"/>
        <v>10.10375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55" t="s">
        <v>35</v>
      </c>
      <c r="I370" s="269">
        <f ca="1">IFERROR(__xludf.DUMMYFUNCTION("IMPORTRANGE(""https://docs.google.com/spreadsheets/d/1QqKyyYR6Q21VydFLVH3TRQUabQu_ym0Zz7PgGX0-kHA/edit?usp=sharing"",""แผน!EJ53"")"),80)</f>
        <v>80</v>
      </c>
      <c r="J370" s="269">
        <f ca="1">IFERROR(__xludf.DUMMYFUNCTION("IMPORTRANGE(""https://docs.google.com/spreadsheets/d/1XWAQStnk-4SwqDmLtmXYiTMKHgktTP8We1SCoS47DrQ/edit?usp=sharing"",""จัดที่ดิน!G53"")"),6)</f>
        <v>6</v>
      </c>
      <c r="K370" s="496">
        <f t="shared" ca="1" si="163"/>
        <v>7.5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55" t="s">
        <v>46</v>
      </c>
      <c r="I371" s="269">
        <v>0</v>
      </c>
      <c r="J371" s="269">
        <f ca="1">IFERROR(__xludf.DUMMYFUNCTION("IMPORTRANGE(""https://docs.google.com/spreadsheets/d/1XWAQStnk-4SwqDmLtmXYiTMKHgktTP8We1SCoS47DrQ/edit?usp=sharing"",""จัดที่ดิน!H53"")"),80.83)</f>
        <v>80.83</v>
      </c>
      <c r="K371" s="496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55" t="s">
        <v>35</v>
      </c>
      <c r="I372" s="269">
        <f ca="1">IFERROR(__xludf.DUMMYFUNCTION("IMPORTRANGE(""https://docs.google.com/spreadsheets/d/1QqKyyYR6Q21VydFLVH3TRQUabQu_ym0Zz7PgGX0-kHA/edit?usp=sharing"",""แผน!EJ53"")"),80)</f>
        <v>80</v>
      </c>
      <c r="J372" s="269">
        <f ca="1">IFERROR(__xludf.DUMMYFUNCTION("IMPORTRANGE(""https://docs.google.com/spreadsheets/d/1XWAQStnk-4SwqDmLtmXYiTMKHgktTP8We1SCoS47DrQ/edit?usp=sharing"",""จัดที่ดิน!I53"")"),2)</f>
        <v>2</v>
      </c>
      <c r="K372" s="496">
        <f t="shared" ca="1" si="163"/>
        <v>2.5</v>
      </c>
      <c r="L372" s="163"/>
      <c r="M372" s="163"/>
      <c r="N372" s="163"/>
      <c r="O372" s="163"/>
      <c r="P372" s="163"/>
    </row>
    <row r="373" spans="1:26" ht="18.75">
      <c r="A373" s="469" t="s">
        <v>164</v>
      </c>
      <c r="B373" s="178"/>
      <c r="C373" s="171"/>
      <c r="D373" s="178"/>
      <c r="E373" s="446"/>
      <c r="F373" s="178"/>
      <c r="G373" s="179"/>
      <c r="H373" s="755" t="s">
        <v>46</v>
      </c>
      <c r="I373" s="269">
        <v>0</v>
      </c>
      <c r="J373" s="269">
        <f ca="1">IFERROR(__xludf.DUMMYFUNCTION("IMPORTRANGE(""https://docs.google.com/spreadsheets/d/1XWAQStnk-4SwqDmLtmXYiTMKHgktTP8We1SCoS47DrQ/edit?usp=sharing"",""จัดที่ดิน!J53"")"),6.12)</f>
        <v>6.12</v>
      </c>
      <c r="K373" s="496">
        <f t="shared" si="163"/>
        <v>0</v>
      </c>
      <c r="L373" s="163"/>
      <c r="M373" s="163"/>
      <c r="N373" s="163"/>
      <c r="O373" s="163"/>
      <c r="P373" s="163"/>
    </row>
    <row r="374" spans="1:26" ht="19.5">
      <c r="A374" s="481"/>
      <c r="B374" s="482"/>
      <c r="C374" s="484"/>
      <c r="D374" s="484" t="s">
        <v>168</v>
      </c>
      <c r="E374" s="485"/>
      <c r="F374" s="485"/>
      <c r="G374" s="486"/>
      <c r="H374" s="487" t="s">
        <v>35</v>
      </c>
      <c r="I374" s="495">
        <f ca="1">IFERROR(__xludf.DUMMYFUNCTION("IMPORTRANGE(""https://docs.google.com/spreadsheets/d/1QqKyyYR6Q21VydFLVH3TRQUabQu_ym0Zz7PgGX0-kHA/edit?usp=sharing"",""แผน!EU53"")"),120)</f>
        <v>120</v>
      </c>
      <c r="J374" s="489">
        <f ca="1">J381</f>
        <v>0</v>
      </c>
      <c r="K374" s="490">
        <f t="shared" ca="1" si="163"/>
        <v>0</v>
      </c>
      <c r="L374" s="491"/>
      <c r="M374" s="491"/>
      <c r="N374" s="491"/>
      <c r="O374" s="491"/>
      <c r="P374" s="491"/>
      <c r="Q374" s="480"/>
      <c r="R374" s="480"/>
      <c r="S374" s="480"/>
      <c r="T374" s="480"/>
      <c r="U374" s="480"/>
      <c r="V374" s="480"/>
      <c r="W374" s="480"/>
      <c r="X374" s="480"/>
      <c r="Y374" s="480"/>
      <c r="Z374" s="480"/>
    </row>
    <row r="375" spans="1:26" ht="19.5">
      <c r="A375" s="481"/>
      <c r="B375" s="482"/>
      <c r="C375" s="484"/>
      <c r="D375" s="492" t="s">
        <v>169</v>
      </c>
      <c r="E375" s="485"/>
      <c r="F375" s="485"/>
      <c r="G375" s="486"/>
      <c r="H375" s="493"/>
      <c r="I375" s="494"/>
      <c r="J375" s="494"/>
      <c r="K375" s="491"/>
      <c r="L375" s="491"/>
      <c r="M375" s="491"/>
      <c r="N375" s="491"/>
      <c r="O375" s="491"/>
      <c r="P375" s="491"/>
      <c r="Q375" s="480"/>
      <c r="R375" s="480"/>
      <c r="S375" s="480"/>
      <c r="T375" s="480"/>
      <c r="U375" s="480"/>
      <c r="V375" s="480"/>
      <c r="W375" s="480"/>
      <c r="X375" s="480"/>
      <c r="Y375" s="480"/>
      <c r="Z375" s="480"/>
    </row>
    <row r="376" spans="1:26" ht="19.5">
      <c r="A376" s="170"/>
      <c r="B376" s="171"/>
      <c r="C376" s="164" t="s">
        <v>16</v>
      </c>
      <c r="D376" s="823" t="s">
        <v>38</v>
      </c>
      <c r="E376" s="173"/>
      <c r="F376" s="173"/>
      <c r="G376" s="174"/>
      <c r="H376" s="753"/>
      <c r="I376" s="269"/>
      <c r="J376" s="269"/>
      <c r="K376" s="496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69">
        <v>0</v>
      </c>
      <c r="J377" s="269">
        <f ca="1">IFERROR(__xludf.DUMMYFUNCTION("IMPORTRANGE(""https://docs.google.com/spreadsheets/d/1XWAQStnk-4SwqDmLtmXYiTMKHgktTP8We1SCoS47DrQ/edit?usp=sharing"",""จัดที่ดิน!AH53"")"),0)</f>
        <v>0</v>
      </c>
      <c r="K377" s="496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69">
        <f ca="1">IFERROR(__xludf.DUMMYFUNCTION("IMPORTRANGE(""https://docs.google.com/spreadsheets/d/1QqKyyYR6Q21VydFLVH3TRQUabQu_ym0Zz7PgGX0-kHA/edit?usp=sharing"",""แผน!ET53"")"),800)</f>
        <v>800</v>
      </c>
      <c r="J378" s="269">
        <f ca="1">IFERROR(__xludf.DUMMYFUNCTION("IMPORTRANGE(""https://docs.google.com/spreadsheets/d/1XWAQStnk-4SwqDmLtmXYiTMKHgktTP8We1SCoS47DrQ/edit?usp=sharing"",""จัดที่ดิน!AI53"")"),0)</f>
        <v>0</v>
      </c>
      <c r="K378" s="496">
        <f t="shared" ca="1" si="164"/>
        <v>0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55" t="s">
        <v>35</v>
      </c>
      <c r="I379" s="269">
        <f ca="1">IFERROR(__xludf.DUMMYFUNCTION("IMPORTRANGE(""https://docs.google.com/spreadsheets/d/1QqKyyYR6Q21VydFLVH3TRQUabQu_ym0Zz7PgGX0-kHA/edit?usp=sharing"",""แผน!EU53"")"),120)</f>
        <v>120</v>
      </c>
      <c r="J379" s="269">
        <f ca="1">IFERROR(__xludf.DUMMYFUNCTION("IMPORTRANGE(""https://docs.google.com/spreadsheets/d/1XWAQStnk-4SwqDmLtmXYiTMKHgktTP8We1SCoS47DrQ/edit?usp=sharing"",""จัดที่ดิน!AJ53"")"),0)</f>
        <v>0</v>
      </c>
      <c r="K379" s="496">
        <f t="shared" ca="1" si="164"/>
        <v>0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55" t="s">
        <v>46</v>
      </c>
      <c r="I380" s="269">
        <v>0</v>
      </c>
      <c r="J380" s="269">
        <f ca="1">IFERROR(__xludf.DUMMYFUNCTION("IMPORTRANGE(""https://docs.google.com/spreadsheets/d/1XWAQStnk-4SwqDmLtmXYiTMKHgktTP8We1SCoS47DrQ/edit?usp=sharing"",""จัดที่ดิน!AK53"")"),0)</f>
        <v>0</v>
      </c>
      <c r="K380" s="496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55" t="s">
        <v>35</v>
      </c>
      <c r="I381" s="269">
        <f ca="1">IFERROR(__xludf.DUMMYFUNCTION("IMPORTRANGE(""https://docs.google.com/spreadsheets/d/1QqKyyYR6Q21VydFLVH3TRQUabQu_ym0Zz7PgGX0-kHA/edit?usp=sharing"",""แผน!EU53"")"),120)</f>
        <v>120</v>
      </c>
      <c r="J381" s="269">
        <f ca="1">IFERROR(__xludf.DUMMYFUNCTION("IMPORTRANGE(""https://docs.google.com/spreadsheets/d/1XWAQStnk-4SwqDmLtmXYiTMKHgktTP8We1SCoS47DrQ/edit?usp=sharing"",""จัดที่ดิน!AL53"")"),0)</f>
        <v>0</v>
      </c>
      <c r="K381" s="496">
        <f t="shared" ca="1" si="164"/>
        <v>0</v>
      </c>
      <c r="L381" s="163"/>
      <c r="M381" s="163"/>
      <c r="N381" s="163"/>
      <c r="O381" s="163"/>
      <c r="P381" s="163"/>
    </row>
    <row r="382" spans="1:26" ht="18.75">
      <c r="A382" s="469" t="s">
        <v>164</v>
      </c>
      <c r="B382" s="178"/>
      <c r="C382" s="171"/>
      <c r="D382" s="178"/>
      <c r="E382" s="446"/>
      <c r="F382" s="178"/>
      <c r="G382" s="179"/>
      <c r="H382" s="755" t="s">
        <v>46</v>
      </c>
      <c r="I382" s="269">
        <v>0</v>
      </c>
      <c r="J382" s="269">
        <f ca="1">IFERROR(__xludf.DUMMYFUNCTION("IMPORTRANGE(""https://docs.google.com/spreadsheets/d/1XWAQStnk-4SwqDmLtmXYiTMKHgktTP8We1SCoS47DrQ/edit?usp=sharing"",""จัดที่ดิน!AM53"")"),0)</f>
        <v>0</v>
      </c>
      <c r="K382" s="496">
        <f t="shared" si="164"/>
        <v>0</v>
      </c>
      <c r="L382" s="163"/>
      <c r="M382" s="163"/>
      <c r="N382" s="163"/>
      <c r="O382" s="163"/>
      <c r="P382" s="163"/>
    </row>
    <row r="383" spans="1:26" ht="19.5">
      <c r="A383" s="255"/>
      <c r="B383" s="263"/>
      <c r="C383" s="256"/>
      <c r="D383" s="832" t="s">
        <v>170</v>
      </c>
      <c r="E383" s="256"/>
      <c r="F383" s="256"/>
      <c r="G383" s="258"/>
      <c r="H383" s="454"/>
      <c r="I383" s="260"/>
      <c r="J383" s="260"/>
      <c r="K383" s="261"/>
      <c r="L383" s="261"/>
      <c r="M383" s="261"/>
      <c r="N383" s="261"/>
      <c r="O383" s="261"/>
      <c r="P383" s="261"/>
    </row>
    <row r="384" spans="1:26" ht="19.5">
      <c r="A384" s="170"/>
      <c r="B384" s="171"/>
      <c r="C384" s="33" t="s">
        <v>16</v>
      </c>
      <c r="D384" s="823" t="s">
        <v>38</v>
      </c>
      <c r="E384" s="173"/>
      <c r="F384" s="173"/>
      <c r="G384" s="174"/>
      <c r="H384" s="753"/>
      <c r="I384" s="269"/>
      <c r="J384" s="269"/>
      <c r="K384" s="496"/>
      <c r="L384" s="163"/>
      <c r="M384" s="163"/>
      <c r="N384" s="163"/>
      <c r="O384" s="163"/>
      <c r="P384" s="163"/>
    </row>
    <row r="385" spans="1:26" ht="18.75">
      <c r="A385" s="377"/>
      <c r="B385" s="380"/>
      <c r="C385" s="378"/>
      <c r="D385" s="380"/>
      <c r="E385" s="497" t="s">
        <v>163</v>
      </c>
      <c r="F385" s="380"/>
      <c r="G385" s="381"/>
      <c r="H385" s="498" t="s">
        <v>35</v>
      </c>
      <c r="I385" s="499">
        <f ca="1">IFERROR(__xludf.DUMMYFUNCTION("IMPORTRANGE(""https://docs.google.com/spreadsheets/d/1QqKyyYR6Q21VydFLVH3TRQUabQu_ym0Zz7PgGX0-kHA/edit?usp=sharing"",""แผน!EW53"")"),10)</f>
        <v>10</v>
      </c>
      <c r="J385" s="499">
        <f ca="1">IFERROR(__xludf.DUMMYFUNCTION("IMPORTRANGE(""https://docs.google.com/spreadsheets/d/1XWAQStnk-4SwqDmLtmXYiTMKHgktTP8We1SCoS47DrQ/edit?usp=sharing"",""จัดที่ดิน!AP53"")"),0)</f>
        <v>0</v>
      </c>
      <c r="K385" s="500">
        <f ca="1">IF(I385&gt;0,J385*100/I385,0)</f>
        <v>0</v>
      </c>
      <c r="L385" s="384"/>
      <c r="M385" s="384"/>
      <c r="N385" s="384"/>
      <c r="O385" s="384"/>
      <c r="P385" s="384"/>
    </row>
    <row r="386" spans="1:26" ht="19.5" hidden="1">
      <c r="A386" s="501" t="s">
        <v>171</v>
      </c>
      <c r="B386" s="502"/>
      <c r="C386" s="502"/>
      <c r="D386" s="502"/>
      <c r="E386" s="503"/>
      <c r="F386" s="503"/>
      <c r="G386" s="504"/>
      <c r="H386" s="505"/>
      <c r="I386" s="506"/>
      <c r="J386" s="506"/>
      <c r="K386" s="507"/>
      <c r="L386" s="507"/>
      <c r="M386" s="507"/>
      <c r="N386" s="507"/>
      <c r="O386" s="507"/>
      <c r="P386" s="507"/>
    </row>
    <row r="387" spans="1:26" ht="19.5" hidden="1">
      <c r="A387" s="508" t="s">
        <v>172</v>
      </c>
      <c r="B387" s="509"/>
      <c r="C387" s="509"/>
      <c r="D387" s="510"/>
      <c r="E387" s="509"/>
      <c r="F387" s="509"/>
      <c r="G387" s="509"/>
      <c r="H387" s="511"/>
      <c r="I387" s="512"/>
      <c r="J387" s="512"/>
      <c r="K387" s="513"/>
      <c r="L387" s="513"/>
      <c r="M387" s="513"/>
      <c r="N387" s="513"/>
      <c r="O387" s="513"/>
      <c r="P387" s="513"/>
    </row>
    <row r="388" spans="1:26" ht="19.5" hidden="1">
      <c r="A388" s="514"/>
      <c r="B388" s="515" t="s">
        <v>173</v>
      </c>
      <c r="C388" s="516"/>
      <c r="D388" s="517"/>
      <c r="E388" s="517"/>
      <c r="F388" s="517"/>
      <c r="G388" s="518"/>
      <c r="H388" s="519" t="s">
        <v>69</v>
      </c>
      <c r="I388" s="520">
        <f t="shared" ref="I388:J388" si="165">I400</f>
        <v>0</v>
      </c>
      <c r="J388" s="520">
        <f t="shared" si="165"/>
        <v>0</v>
      </c>
      <c r="K388" s="521">
        <f>IF(I388&gt;0,J388*100/I388,0)</f>
        <v>0</v>
      </c>
      <c r="L388" s="522"/>
      <c r="M388" s="522"/>
      <c r="N388" s="522"/>
      <c r="O388" s="522"/>
      <c r="P388" s="522"/>
    </row>
    <row r="389" spans="1:26" ht="19.5" hidden="1">
      <c r="A389" s="147"/>
      <c r="B389" s="148"/>
      <c r="C389" s="149" t="s">
        <v>16</v>
      </c>
      <c r="D389" s="822" t="s">
        <v>17</v>
      </c>
      <c r="E389" s="148"/>
      <c r="F389" s="148"/>
      <c r="G389" s="151"/>
      <c r="H389" s="152" t="s">
        <v>12</v>
      </c>
      <c r="I389" s="419"/>
      <c r="J389" s="419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2" t="s">
        <v>18</v>
      </c>
      <c r="F390" s="40"/>
      <c r="G390" s="157"/>
      <c r="H390" s="158" t="s">
        <v>12</v>
      </c>
      <c r="I390" s="610"/>
      <c r="J390" s="610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2" t="s">
        <v>19</v>
      </c>
      <c r="F391" s="40"/>
      <c r="G391" s="157"/>
      <c r="H391" s="158" t="s">
        <v>12</v>
      </c>
      <c r="I391" s="610"/>
      <c r="J391" s="610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1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6">
        <f t="shared" ref="L392:N392" ca="1" si="170">L393+L394</f>
        <v>0</v>
      </c>
      <c r="M392" s="496">
        <f t="shared" ca="1" si="170"/>
        <v>0</v>
      </c>
      <c r="N392" s="496">
        <f t="shared" ca="1" si="170"/>
        <v>0</v>
      </c>
      <c r="O392" s="496">
        <f t="shared" ca="1" si="167"/>
        <v>0</v>
      </c>
      <c r="P392" s="496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2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2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IFERROR(__xludf.DUMMYFUNCTION("IMPORTRANGE(""https://docs.google.com/spreadsheets/d/1MeEWN-I1oV_STSDYn1IFDPWt_1FKiwhDph83XaGc0o0/edit?usp=sharing"",""งบพรบ!FG53"")"),0)</f>
        <v>0</v>
      </c>
      <c r="M394" s="93">
        <f ca="1">IFERROR(__xludf.DUMMYFUNCTION("IMPORTRANGE(""https://docs.google.com/spreadsheets/d/1MeEWN-I1oV_STSDYn1IFDPWt_1FKiwhDph83XaGc0o0/edit?usp=sharing"",""งบพรบ!FL53"")"),0)</f>
        <v>0</v>
      </c>
      <c r="N394" s="93">
        <f ca="1">IFERROR(__xludf.DUMMYFUNCTION("IMPORTRANGE(""https://docs.google.com/spreadsheets/d/1MeEWN-I1oV_STSDYn1IFDPWt_1FKiwhDph83XaGc0o0/edit?usp=sharing"",""งบพรบ!FN53"")"),0)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1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6">
        <f t="shared" ref="L395:N395" ca="1" si="171">L396+L397</f>
        <v>0</v>
      </c>
      <c r="M395" s="496">
        <f t="shared" ca="1" si="171"/>
        <v>0</v>
      </c>
      <c r="N395" s="496">
        <f t="shared" ca="1" si="171"/>
        <v>0</v>
      </c>
      <c r="O395" s="496">
        <f t="shared" ca="1" si="167"/>
        <v>0</v>
      </c>
      <c r="P395" s="496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2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2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IFERROR(__xludf.DUMMYFUNCTION("IMPORTRANGE(""https://docs.google.com/spreadsheets/d/1MeEWN-I1oV_STSDYn1IFDPWt_1FKiwhDph83XaGc0o0/edit?usp=sharing"",""งบพรบ!FJ53"")"),0)</f>
        <v>0</v>
      </c>
      <c r="M397" s="93">
        <f ca="1">IFERROR(__xludf.DUMMYFUNCTION("IMPORTRANGE(""https://docs.google.com/spreadsheets/d/1MeEWN-I1oV_STSDYn1IFDPWt_1FKiwhDph83XaGc0o0/edit?usp=sharing"",""งบพรบ!FM53"")"),0)</f>
        <v>0</v>
      </c>
      <c r="N397" s="93">
        <f ca="1">IFERROR(__xludf.DUMMYFUNCTION("IMPORTRANGE(""https://docs.google.com/spreadsheets/d/1MeEWN-I1oV_STSDYn1IFDPWt_1FKiwhDph83XaGc0o0/edit?usp=sharing"",""งบพรบ!FO53"")"),0)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23" t="s">
        <v>38</v>
      </c>
      <c r="E398" s="173"/>
      <c r="F398" s="173"/>
      <c r="G398" s="174"/>
      <c r="H398" s="753"/>
      <c r="I398" s="184"/>
      <c r="J398" s="269"/>
      <c r="K398" s="496"/>
      <c r="L398" s="496"/>
      <c r="M398" s="496"/>
      <c r="N398" s="496"/>
      <c r="O398" s="163"/>
      <c r="P398" s="163"/>
    </row>
    <row r="399" spans="1:26" ht="18.75" hidden="1">
      <c r="A399" s="523"/>
      <c r="B399" s="148"/>
      <c r="C399" s="524"/>
      <c r="D399" s="525" t="s">
        <v>174</v>
      </c>
      <c r="E399" s="414"/>
      <c r="F399" s="148"/>
      <c r="G399" s="151"/>
      <c r="H399" s="526" t="s">
        <v>9</v>
      </c>
      <c r="I399" s="269">
        <v>0</v>
      </c>
      <c r="J399" s="214">
        <v>0</v>
      </c>
      <c r="K399" s="496">
        <f t="shared" ref="K399:K401" si="172">IF(I399&gt;0,J399*100/I399,0)</f>
        <v>0</v>
      </c>
      <c r="L399" s="527"/>
      <c r="M399" s="527"/>
      <c r="N399" s="527"/>
      <c r="O399" s="527"/>
      <c r="P399" s="527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4"/>
      <c r="B400" s="33"/>
      <c r="C400" s="280"/>
      <c r="D400" s="446" t="s">
        <v>175</v>
      </c>
      <c r="E400" s="171"/>
      <c r="F400" s="33"/>
      <c r="G400" s="35"/>
      <c r="H400" s="276" t="s">
        <v>69</v>
      </c>
      <c r="I400" s="269">
        <v>0</v>
      </c>
      <c r="J400" s="214">
        <v>0</v>
      </c>
      <c r="K400" s="496">
        <f t="shared" si="172"/>
        <v>0</v>
      </c>
      <c r="L400" s="496"/>
      <c r="M400" s="496"/>
      <c r="N400" s="496"/>
      <c r="O400" s="496"/>
      <c r="P400" s="496"/>
    </row>
    <row r="401" spans="1:26" ht="19.5" hidden="1">
      <c r="A401" s="514"/>
      <c r="B401" s="515" t="s">
        <v>176</v>
      </c>
      <c r="C401" s="516"/>
      <c r="D401" s="517"/>
      <c r="E401" s="517"/>
      <c r="F401" s="517"/>
      <c r="G401" s="518"/>
      <c r="H401" s="519" t="s">
        <v>69</v>
      </c>
      <c r="I401" s="520">
        <f t="shared" ref="I401:J401" si="173">I412</f>
        <v>0</v>
      </c>
      <c r="J401" s="520">
        <f t="shared" si="173"/>
        <v>0</v>
      </c>
      <c r="K401" s="521">
        <f t="shared" si="172"/>
        <v>0</v>
      </c>
      <c r="L401" s="522"/>
      <c r="M401" s="522"/>
      <c r="N401" s="522"/>
      <c r="O401" s="522"/>
      <c r="P401" s="522"/>
    </row>
    <row r="402" spans="1:26" ht="19.5" hidden="1">
      <c r="A402" s="147"/>
      <c r="B402" s="148"/>
      <c r="C402" s="149" t="s">
        <v>16</v>
      </c>
      <c r="D402" s="822" t="s">
        <v>17</v>
      </c>
      <c r="E402" s="148"/>
      <c r="F402" s="148"/>
      <c r="G402" s="151"/>
      <c r="H402" s="152" t="s">
        <v>12</v>
      </c>
      <c r="I402" s="419"/>
      <c r="J402" s="419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2" t="s">
        <v>18</v>
      </c>
      <c r="F403" s="40"/>
      <c r="G403" s="157"/>
      <c r="H403" s="158" t="s">
        <v>12</v>
      </c>
      <c r="I403" s="610"/>
      <c r="J403" s="610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2" t="s">
        <v>19</v>
      </c>
      <c r="F404" s="40"/>
      <c r="G404" s="157"/>
      <c r="H404" s="158" t="s">
        <v>12</v>
      </c>
      <c r="I404" s="610"/>
      <c r="J404" s="610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1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6">
        <f t="shared" ref="L405:N405" ca="1" si="178">L406+L407</f>
        <v>0</v>
      </c>
      <c r="M405" s="496">
        <f t="shared" ca="1" si="178"/>
        <v>0</v>
      </c>
      <c r="N405" s="496">
        <f t="shared" ca="1" si="178"/>
        <v>0</v>
      </c>
      <c r="O405" s="496">
        <f t="shared" ca="1" si="175"/>
        <v>0</v>
      </c>
      <c r="P405" s="496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2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2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IFERROR(__xludf.DUMMYFUNCTION("IMPORTRANGE(""https://docs.google.com/spreadsheets/d/1MeEWN-I1oV_STSDYn1IFDPWt_1FKiwhDph83XaGc0o0/edit?usp=sharing"",""งบพรบ!FQ53"")"),0)</f>
        <v>0</v>
      </c>
      <c r="M407" s="93">
        <f ca="1">IFERROR(__xludf.DUMMYFUNCTION("IMPORTRANGE(""https://docs.google.com/spreadsheets/d/1MeEWN-I1oV_STSDYn1IFDPWt_1FKiwhDph83XaGc0o0/edit?usp=sharing"",""งบพรบ!FV53"")"),0)</f>
        <v>0</v>
      </c>
      <c r="N407" s="93">
        <f ca="1">IFERROR(__xludf.DUMMYFUNCTION("IMPORTRANGE(""https://docs.google.com/spreadsheets/d/1MeEWN-I1oV_STSDYn1IFDPWt_1FKiwhDph83XaGc0o0/edit?usp=sharing"",""งบพรบ!FX53"")"),0)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1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6">
        <f t="shared" ref="L408:N408" ca="1" si="179">L409+L410</f>
        <v>0</v>
      </c>
      <c r="M408" s="496">
        <f t="shared" ca="1" si="179"/>
        <v>0</v>
      </c>
      <c r="N408" s="496">
        <f t="shared" ca="1" si="179"/>
        <v>0</v>
      </c>
      <c r="O408" s="496">
        <f t="shared" ca="1" si="175"/>
        <v>0</v>
      </c>
      <c r="P408" s="496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2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2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IFERROR(__xludf.DUMMYFUNCTION("IMPORTRANGE(""https://docs.google.com/spreadsheets/d/1MeEWN-I1oV_STSDYn1IFDPWt_1FKiwhDph83XaGc0o0/edit?usp=sharing"",""งบพรบ!FT53"")"),0)</f>
        <v>0</v>
      </c>
      <c r="M410" s="93">
        <f ca="1">IFERROR(__xludf.DUMMYFUNCTION("IMPORTRANGE(""https://docs.google.com/spreadsheets/d/1MeEWN-I1oV_STSDYn1IFDPWt_1FKiwhDph83XaGc0o0/edit?usp=sharing"",""งบพรบ!FW53"")"),0)</f>
        <v>0</v>
      </c>
      <c r="N410" s="93">
        <f ca="1">IFERROR(__xludf.DUMMYFUNCTION("IMPORTRANGE(""https://docs.google.com/spreadsheets/d/1MeEWN-I1oV_STSDYn1IFDPWt_1FKiwhDph83XaGc0o0/edit?usp=sharing"",""งบพรบ!FY53"")"),0)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34" t="s">
        <v>38</v>
      </c>
      <c r="E411" s="529"/>
      <c r="F411" s="529"/>
      <c r="G411" s="530"/>
      <c r="H411" s="753"/>
      <c r="I411" s="269"/>
      <c r="J411" s="269"/>
      <c r="K411" s="496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6" t="s">
        <v>177</v>
      </c>
      <c r="E412" s="178"/>
      <c r="F412" s="178"/>
      <c r="G412" s="179"/>
      <c r="H412" s="531" t="s">
        <v>69</v>
      </c>
      <c r="I412" s="269">
        <v>0</v>
      </c>
      <c r="J412" s="214">
        <v>0</v>
      </c>
      <c r="K412" s="496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2"/>
      <c r="B413" s="533"/>
      <c r="C413" s="533"/>
      <c r="D413" s="534" t="s">
        <v>178</v>
      </c>
      <c r="E413" s="533"/>
      <c r="F413" s="533"/>
      <c r="G413" s="535"/>
      <c r="H413" s="536" t="s">
        <v>179</v>
      </c>
      <c r="I413" s="537">
        <v>0</v>
      </c>
      <c r="J413" s="538">
        <v>0</v>
      </c>
      <c r="K413" s="539">
        <f t="shared" si="180"/>
        <v>0</v>
      </c>
      <c r="L413" s="540"/>
      <c r="M413" s="540"/>
      <c r="N413" s="540"/>
      <c r="O413" s="540"/>
      <c r="P413" s="540"/>
    </row>
    <row r="414" spans="1:26" ht="19.5">
      <c r="A414" s="541" t="s">
        <v>180</v>
      </c>
      <c r="B414" s="542"/>
      <c r="C414" s="542"/>
      <c r="D414" s="542"/>
      <c r="E414" s="542"/>
      <c r="F414" s="542"/>
      <c r="G414" s="543"/>
      <c r="H414" s="544"/>
      <c r="I414" s="545"/>
      <c r="J414" s="545"/>
      <c r="K414" s="546"/>
      <c r="L414" s="547">
        <f t="shared" ref="L414:N414" ca="1" si="181">L419+L444+L467+L502+L523+L544+L629+L655+L685+L737+L754+L770+L786+L805</f>
        <v>2900391</v>
      </c>
      <c r="M414" s="547">
        <f t="shared" si="181"/>
        <v>0</v>
      </c>
      <c r="N414" s="547">
        <f t="shared" si="181"/>
        <v>273260</v>
      </c>
      <c r="O414" s="547">
        <f ca="1">IF(L414&gt;0,N414*100/L414,0)</f>
        <v>9.4214883441577353</v>
      </c>
      <c r="P414" s="547">
        <f>IF(M414&gt;0,N414*100/M414,0)</f>
        <v>0</v>
      </c>
    </row>
    <row r="415" spans="1:26" ht="19.5">
      <c r="A415" s="548" t="s">
        <v>181</v>
      </c>
      <c r="B415" s="549"/>
      <c r="C415" s="549"/>
      <c r="D415" s="549"/>
      <c r="E415" s="549"/>
      <c r="F415" s="549"/>
      <c r="G415" s="549"/>
      <c r="H415" s="550"/>
      <c r="I415" s="551"/>
      <c r="J415" s="551"/>
      <c r="K415" s="552"/>
      <c r="L415" s="553"/>
      <c r="M415" s="553"/>
      <c r="N415" s="553"/>
      <c r="O415" s="553"/>
      <c r="P415" s="553"/>
    </row>
    <row r="416" spans="1:26" ht="19.5">
      <c r="A416" s="548" t="s">
        <v>182</v>
      </c>
      <c r="B416" s="549"/>
      <c r="C416" s="549"/>
      <c r="D416" s="549"/>
      <c r="E416" s="549"/>
      <c r="F416" s="549"/>
      <c r="G416" s="554"/>
      <c r="H416" s="555"/>
      <c r="I416" s="556"/>
      <c r="J416" s="556"/>
      <c r="K416" s="553"/>
      <c r="L416" s="553"/>
      <c r="M416" s="553"/>
      <c r="N416" s="553"/>
      <c r="O416" s="553"/>
      <c r="P416" s="553"/>
    </row>
    <row r="417" spans="1:26" ht="39">
      <c r="A417" s="557">
        <v>1</v>
      </c>
      <c r="B417" s="559" t="s">
        <v>183</v>
      </c>
      <c r="C417" s="559"/>
      <c r="D417" s="560"/>
      <c r="E417" s="560"/>
      <c r="F417" s="560"/>
      <c r="G417" s="561"/>
      <c r="H417" s="562" t="s">
        <v>35</v>
      </c>
      <c r="I417" s="563">
        <f t="shared" ref="I417:J418" ca="1" si="182">I433</f>
        <v>20</v>
      </c>
      <c r="J417" s="563">
        <f t="shared" ca="1" si="182"/>
        <v>0</v>
      </c>
      <c r="K417" s="564">
        <f t="shared" ref="K417:K418" ca="1" si="183">IF(I417&gt;0,J417*100/I417,0)</f>
        <v>0</v>
      </c>
      <c r="L417" s="565"/>
      <c r="M417" s="565"/>
      <c r="N417" s="565"/>
      <c r="O417" s="565"/>
      <c r="P417" s="565"/>
    </row>
    <row r="418" spans="1:26" ht="19.5">
      <c r="A418" s="566"/>
      <c r="B418" s="557"/>
      <c r="C418" s="559"/>
      <c r="D418" s="560"/>
      <c r="E418" s="560"/>
      <c r="F418" s="560"/>
      <c r="G418" s="561"/>
      <c r="H418" s="562" t="s">
        <v>49</v>
      </c>
      <c r="I418" s="563">
        <f t="shared" ca="1" si="182"/>
        <v>1</v>
      </c>
      <c r="J418" s="563">
        <f t="shared" si="182"/>
        <v>0</v>
      </c>
      <c r="K418" s="564">
        <f t="shared" ca="1" si="183"/>
        <v>0</v>
      </c>
      <c r="L418" s="565"/>
      <c r="M418" s="565"/>
      <c r="N418" s="565"/>
      <c r="O418" s="565"/>
      <c r="P418" s="565"/>
    </row>
    <row r="419" spans="1:26" ht="19.5">
      <c r="A419" s="147"/>
      <c r="B419" s="148"/>
      <c r="C419" s="148" t="s">
        <v>16</v>
      </c>
      <c r="D419" s="868" t="s">
        <v>17</v>
      </c>
      <c r="E419" s="862"/>
      <c r="F419" s="862"/>
      <c r="G419" s="151"/>
      <c r="H419" s="274" t="s">
        <v>12</v>
      </c>
      <c r="I419" s="419"/>
      <c r="J419" s="419"/>
      <c r="K419" s="154"/>
      <c r="L419" s="155">
        <f t="shared" ref="L419:N419" ca="1" si="184">L420+L421</f>
        <v>78660</v>
      </c>
      <c r="M419" s="155">
        <f t="shared" si="184"/>
        <v>0</v>
      </c>
      <c r="N419" s="155">
        <f t="shared" si="184"/>
        <v>0</v>
      </c>
      <c r="O419" s="155">
        <f t="shared" ref="O419:O424" ca="1" si="185">IF(L419&gt;0,N419*100/L419,0)</f>
        <v>0</v>
      </c>
      <c r="P419" s="155">
        <f t="shared" ref="P419:P424" si="186">IF(M419&gt;0,N419*100/M419,0)</f>
        <v>0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2"/>
      <c r="E420" s="222" t="s">
        <v>184</v>
      </c>
      <c r="F420" s="40"/>
      <c r="G420" s="157"/>
      <c r="H420" s="165" t="s">
        <v>12</v>
      </c>
      <c r="I420" s="610"/>
      <c r="J420" s="610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2"/>
      <c r="E421" s="222" t="s">
        <v>185</v>
      </c>
      <c r="F421" s="40"/>
      <c r="G421" s="157"/>
      <c r="H421" s="165" t="s">
        <v>12</v>
      </c>
      <c r="I421" s="610"/>
      <c r="J421" s="610"/>
      <c r="K421" s="93"/>
      <c r="L421" s="93">
        <f t="shared" ca="1" si="187"/>
        <v>78660</v>
      </c>
      <c r="M421" s="93">
        <f t="shared" si="187"/>
        <v>0</v>
      </c>
      <c r="N421" s="93">
        <f t="shared" si="187"/>
        <v>0</v>
      </c>
      <c r="O421" s="93">
        <f t="shared" ca="1" si="185"/>
        <v>0</v>
      </c>
      <c r="P421" s="93">
        <f t="shared" si="186"/>
        <v>0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0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6">
        <f t="shared" ref="L422:N422" ca="1" si="188">L423+L424</f>
        <v>78660</v>
      </c>
      <c r="M422" s="496">
        <f t="shared" si="188"/>
        <v>0</v>
      </c>
      <c r="N422" s="496">
        <f t="shared" si="188"/>
        <v>0</v>
      </c>
      <c r="O422" s="496">
        <f t="shared" ca="1" si="185"/>
        <v>0</v>
      </c>
      <c r="P422" s="496">
        <f t="shared" si="186"/>
        <v>0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2"/>
      <c r="E423" s="222" t="s">
        <v>184</v>
      </c>
      <c r="F423" s="40"/>
      <c r="G423" s="157"/>
      <c r="H423" s="165" t="s">
        <v>12</v>
      </c>
      <c r="I423" s="610"/>
      <c r="J423" s="610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2"/>
      <c r="E424" s="222" t="s">
        <v>185</v>
      </c>
      <c r="F424" s="40"/>
      <c r="G424" s="157"/>
      <c r="H424" s="165" t="s">
        <v>12</v>
      </c>
      <c r="I424" s="610"/>
      <c r="J424" s="610"/>
      <c r="K424" s="93"/>
      <c r="L424" s="93">
        <f ca="1">IFERROR(__xludf.DUMMYFUNCTION("IMPORTRANGE(""https://docs.google.com/spreadsheets/d/1QqKyyYR6Q21VydFLVH3TRQUabQu_ym0Zz7PgGX0-kHA/edit?usp=sharing"",""แผน!EY53"")"),78660)</f>
        <v>78660</v>
      </c>
      <c r="M424" s="93">
        <v>0</v>
      </c>
      <c r="N424" s="93">
        <f>N425+N426+N427+N428</f>
        <v>0</v>
      </c>
      <c r="O424" s="93">
        <f t="shared" ca="1" si="185"/>
        <v>0</v>
      </c>
      <c r="P424" s="93">
        <f t="shared" si="186"/>
        <v>0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67"/>
      <c r="B425" s="568"/>
      <c r="C425" s="754"/>
      <c r="D425" s="754"/>
      <c r="E425" s="754"/>
      <c r="F425" s="754" t="s">
        <v>186</v>
      </c>
      <c r="G425" s="189"/>
      <c r="H425" s="161" t="s">
        <v>12</v>
      </c>
      <c r="I425" s="269"/>
      <c r="J425" s="269"/>
      <c r="K425" s="496"/>
      <c r="L425" s="496"/>
      <c r="M425" s="496"/>
      <c r="N425" s="817">
        <v>0</v>
      </c>
      <c r="O425" s="496"/>
      <c r="P425" s="496"/>
      <c r="Q425" s="571"/>
      <c r="R425" s="571"/>
      <c r="S425" s="571"/>
      <c r="T425" s="571"/>
      <c r="U425" s="571"/>
      <c r="V425" s="571"/>
      <c r="W425" s="571"/>
      <c r="X425" s="571"/>
      <c r="Y425" s="571"/>
      <c r="Z425" s="571"/>
    </row>
    <row r="426" spans="1:26" ht="18.75">
      <c r="A426" s="567"/>
      <c r="B426" s="568"/>
      <c r="C426" s="754"/>
      <c r="D426" s="754"/>
      <c r="E426" s="754"/>
      <c r="F426" s="754" t="s">
        <v>187</v>
      </c>
      <c r="G426" s="189"/>
      <c r="H426" s="161" t="s">
        <v>12</v>
      </c>
      <c r="I426" s="269"/>
      <c r="J426" s="269"/>
      <c r="K426" s="496"/>
      <c r="L426" s="496"/>
      <c r="M426" s="496"/>
      <c r="N426" s="817">
        <v>0</v>
      </c>
      <c r="O426" s="496"/>
      <c r="P426" s="496"/>
      <c r="Q426" s="571"/>
      <c r="R426" s="571"/>
      <c r="S426" s="571"/>
      <c r="T426" s="571"/>
      <c r="U426" s="571"/>
      <c r="V426" s="571"/>
      <c r="W426" s="571"/>
      <c r="X426" s="571"/>
      <c r="Y426" s="571"/>
      <c r="Z426" s="571"/>
    </row>
    <row r="427" spans="1:26" ht="18.75">
      <c r="A427" s="567"/>
      <c r="B427" s="568"/>
      <c r="C427" s="754"/>
      <c r="D427" s="754"/>
      <c r="E427" s="754"/>
      <c r="F427" s="754" t="s">
        <v>188</v>
      </c>
      <c r="G427" s="189"/>
      <c r="H427" s="161" t="s">
        <v>12</v>
      </c>
      <c r="I427" s="269"/>
      <c r="J427" s="269"/>
      <c r="K427" s="496"/>
      <c r="L427" s="496"/>
      <c r="M427" s="496"/>
      <c r="N427" s="817">
        <v>0</v>
      </c>
      <c r="O427" s="496"/>
      <c r="P427" s="496"/>
      <c r="Q427" s="571"/>
      <c r="R427" s="571"/>
      <c r="S427" s="571"/>
      <c r="T427" s="571"/>
      <c r="U427" s="571"/>
      <c r="V427" s="571"/>
      <c r="W427" s="571"/>
      <c r="X427" s="571"/>
      <c r="Y427" s="571"/>
      <c r="Z427" s="571"/>
    </row>
    <row r="428" spans="1:26" ht="18.75">
      <c r="A428" s="284"/>
      <c r="B428" s="280"/>
      <c r="C428" s="33"/>
      <c r="D428" s="33"/>
      <c r="E428" s="33"/>
      <c r="F428" s="281" t="s">
        <v>189</v>
      </c>
      <c r="G428" s="213"/>
      <c r="H428" s="161" t="s">
        <v>12</v>
      </c>
      <c r="I428" s="269"/>
      <c r="J428" s="269"/>
      <c r="K428" s="496"/>
      <c r="L428" s="496"/>
      <c r="M428" s="496"/>
      <c r="N428" s="817">
        <v>0</v>
      </c>
      <c r="O428" s="496"/>
      <c r="P428" s="496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0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6">
        <f t="shared" ref="L429:N429" ca="1" si="189">L430+L431</f>
        <v>0</v>
      </c>
      <c r="M429" s="496">
        <f t="shared" si="189"/>
        <v>0</v>
      </c>
      <c r="N429" s="496">
        <f t="shared" si="189"/>
        <v>0</v>
      </c>
      <c r="O429" s="496">
        <f t="shared" ref="O429:O431" ca="1" si="190">IF(L429&gt;0,N429*100/L429,0)</f>
        <v>0</v>
      </c>
      <c r="P429" s="496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6"/>
      <c r="C430" s="40"/>
      <c r="D430" s="40"/>
      <c r="E430" s="222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6"/>
      <c r="C431" s="40"/>
      <c r="D431" s="40"/>
      <c r="E431" s="222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IFERROR(__xludf.DUMMYFUNCTION("IMPORTRANGE(""https://docs.google.com/spreadsheets/d/1QqKyyYR6Q21VydFLVH3TRQUabQu_ym0Zz7PgGX0-kHA/edit?usp=sharing"",""แผน!FB53"")"),0)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3"/>
      <c r="B432" s="414"/>
      <c r="C432" s="148" t="s">
        <v>16</v>
      </c>
      <c r="D432" s="835" t="s">
        <v>38</v>
      </c>
      <c r="E432" s="573"/>
      <c r="F432" s="573"/>
      <c r="G432" s="574"/>
      <c r="H432" s="575"/>
      <c r="I432" s="419"/>
      <c r="J432" s="419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190</v>
      </c>
      <c r="E433" s="178"/>
      <c r="F433" s="178"/>
      <c r="G433" s="179"/>
      <c r="H433" s="196" t="s">
        <v>35</v>
      </c>
      <c r="I433" s="674">
        <f ca="1">I435</f>
        <v>20</v>
      </c>
      <c r="J433" s="674">
        <f ca="1">IF(AND(J435=I435,J437=I437,J439=I439),I437+I439,IF(AND(J435=I437,J437=I437),I437,IF(AND(J435=I439,J439=I439),I439,0)))</f>
        <v>0</v>
      </c>
      <c r="K433" s="195">
        <f t="shared" ref="K433:K435" ca="1" si="192">IF(I433&gt;0,J433*100/I433,0)</f>
        <v>0</v>
      </c>
      <c r="L433" s="496"/>
      <c r="M433" s="496"/>
      <c r="N433" s="496"/>
      <c r="O433" s="496"/>
      <c r="P433" s="496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191</v>
      </c>
      <c r="E434" s="178"/>
      <c r="F434" s="178"/>
      <c r="G434" s="179"/>
      <c r="H434" s="196" t="s">
        <v>49</v>
      </c>
      <c r="I434" s="674">
        <f t="shared" ref="I434:J434" ca="1" si="193">I438+I440</f>
        <v>1</v>
      </c>
      <c r="J434" s="674">
        <f t="shared" si="193"/>
        <v>0</v>
      </c>
      <c r="K434" s="195">
        <f t="shared" ca="1" si="192"/>
        <v>0</v>
      </c>
      <c r="L434" s="496"/>
      <c r="M434" s="496"/>
      <c r="N434" s="496"/>
      <c r="O434" s="496"/>
      <c r="P434" s="496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6" t="s">
        <v>192</v>
      </c>
      <c r="E435" s="178"/>
      <c r="F435" s="178"/>
      <c r="G435" s="179"/>
      <c r="H435" s="616" t="s">
        <v>35</v>
      </c>
      <c r="I435" s="576">
        <f ca="1">IFERROR(__xludf.DUMMYFUNCTION("IMPORTRANGE(""https://docs.google.com/spreadsheets/d/1QqKyyYR6Q21VydFLVH3TRQUabQu_ym0Zz7PgGX0-kHA/edit?usp=sharing"",""แผน!FC53"")"),20)</f>
        <v>20</v>
      </c>
      <c r="J435" s="577">
        <v>0</v>
      </c>
      <c r="K435" s="496">
        <f t="shared" ca="1" si="192"/>
        <v>0</v>
      </c>
      <c r="L435" s="496"/>
      <c r="M435" s="496"/>
      <c r="N435" s="496"/>
      <c r="O435" s="496"/>
      <c r="P435" s="496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6" t="s">
        <v>193</v>
      </c>
      <c r="E436" s="178"/>
      <c r="F436" s="178"/>
      <c r="G436" s="179"/>
      <c r="H436" s="616"/>
      <c r="I436" s="269"/>
      <c r="J436" s="269"/>
      <c r="K436" s="496"/>
      <c r="L436" s="496"/>
      <c r="M436" s="496"/>
      <c r="N436" s="496"/>
      <c r="O436" s="496"/>
      <c r="P436" s="496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6" t="s">
        <v>194</v>
      </c>
      <c r="E437" s="178"/>
      <c r="F437" s="178"/>
      <c r="G437" s="179"/>
      <c r="H437" s="616" t="s">
        <v>35</v>
      </c>
      <c r="I437" s="576">
        <f ca="1">IFERROR(__xludf.DUMMYFUNCTION("IMPORTRANGE(""https://docs.google.com/spreadsheets/d/1QqKyyYR6Q21VydFLVH3TRQUabQu_ym0Zz7PgGX0-kHA/edit?usp=sharing"",""แผน!FD53"")"),0)</f>
        <v>0</v>
      </c>
      <c r="J437" s="577">
        <v>0</v>
      </c>
      <c r="K437" s="496">
        <f t="shared" ref="K437:K443" ca="1" si="194">IF(I437&gt;0,J437*100/I437,0)</f>
        <v>0</v>
      </c>
      <c r="L437" s="496"/>
      <c r="M437" s="496"/>
      <c r="N437" s="496"/>
      <c r="O437" s="496"/>
      <c r="P437" s="496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6" t="s">
        <v>195</v>
      </c>
      <c r="E438" s="178"/>
      <c r="F438" s="178"/>
      <c r="G438" s="179"/>
      <c r="H438" s="616" t="s">
        <v>49</v>
      </c>
      <c r="I438" s="269">
        <f ca="1">IFERROR(__xludf.DUMMYFUNCTION("IMPORTRANGE(""https://docs.google.com/spreadsheets/d/1QqKyyYR6Q21VydFLVH3TRQUabQu_ym0Zz7PgGX0-kHA/edit?usp=sharing"",""แผน!FE53"")"),0)</f>
        <v>0</v>
      </c>
      <c r="J438" s="214">
        <v>0</v>
      </c>
      <c r="K438" s="496">
        <f t="shared" ca="1" si="194"/>
        <v>0</v>
      </c>
      <c r="L438" s="496"/>
      <c r="M438" s="496"/>
      <c r="N438" s="496"/>
      <c r="O438" s="496"/>
      <c r="P438" s="496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6" t="s">
        <v>196</v>
      </c>
      <c r="E439" s="178"/>
      <c r="F439" s="178"/>
      <c r="G439" s="179"/>
      <c r="H439" s="616" t="s">
        <v>35</v>
      </c>
      <c r="I439" s="576">
        <f ca="1">IFERROR(__xludf.DUMMYFUNCTION("IMPORTRANGE(""https://docs.google.com/spreadsheets/d/1QqKyyYR6Q21VydFLVH3TRQUabQu_ym0Zz7PgGX0-kHA/edit?usp=sharing"",""แผน!FF53"")"),20)</f>
        <v>20</v>
      </c>
      <c r="J439" s="577">
        <v>0</v>
      </c>
      <c r="K439" s="496">
        <f t="shared" ca="1" si="194"/>
        <v>0</v>
      </c>
      <c r="L439" s="496"/>
      <c r="M439" s="496"/>
      <c r="N439" s="496"/>
      <c r="O439" s="496"/>
      <c r="P439" s="496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6" t="s">
        <v>197</v>
      </c>
      <c r="E440" s="178"/>
      <c r="F440" s="178"/>
      <c r="G440" s="179"/>
      <c r="H440" s="616" t="s">
        <v>49</v>
      </c>
      <c r="I440" s="269">
        <f ca="1">IFERROR(__xludf.DUMMYFUNCTION("IMPORTRANGE(""https://docs.google.com/spreadsheets/d/1QqKyyYR6Q21VydFLVH3TRQUabQu_ym0Zz7PgGX0-kHA/edit?usp=sharing"",""แผน!FG53"")"),1)</f>
        <v>1</v>
      </c>
      <c r="J440" s="214">
        <v>0</v>
      </c>
      <c r="K440" s="496">
        <f t="shared" ca="1" si="194"/>
        <v>0</v>
      </c>
      <c r="L440" s="496"/>
      <c r="M440" s="496"/>
      <c r="N440" s="496"/>
      <c r="O440" s="496"/>
      <c r="P440" s="496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 hidden="1">
      <c r="A441" s="170"/>
      <c r="B441" s="171"/>
      <c r="C441" s="171"/>
      <c r="D441" s="446" t="s">
        <v>198</v>
      </c>
      <c r="E441" s="178"/>
      <c r="F441" s="178"/>
      <c r="G441" s="179"/>
      <c r="H441" s="616" t="s">
        <v>35</v>
      </c>
      <c r="I441" s="269">
        <f ca="1">IFERROR(__xludf.DUMMYFUNCTION("IMPORTRANGE(""https://docs.google.com/spreadsheets/d/1QqKyyYR6Q21VydFLVH3TRQUabQu_ym0Zz7PgGX0-kHA/edit?usp=sharing"",""แผน!FH53"")"),0)</f>
        <v>0</v>
      </c>
      <c r="J441" s="269">
        <v>0</v>
      </c>
      <c r="K441" s="496">
        <f t="shared" ca="1" si="194"/>
        <v>0</v>
      </c>
      <c r="L441" s="496"/>
      <c r="M441" s="496"/>
      <c r="N441" s="496"/>
      <c r="O441" s="496"/>
      <c r="P441" s="496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78">
        <v>2</v>
      </c>
      <c r="B442" s="579" t="s">
        <v>199</v>
      </c>
      <c r="C442" s="580"/>
      <c r="D442" s="580"/>
      <c r="E442" s="580"/>
      <c r="F442" s="580"/>
      <c r="G442" s="581"/>
      <c r="H442" s="582" t="s">
        <v>35</v>
      </c>
      <c r="I442" s="583">
        <f t="shared" ref="I442:J442" ca="1" si="195">I460</f>
        <v>75</v>
      </c>
      <c r="J442" s="583">
        <f t="shared" si="195"/>
        <v>75</v>
      </c>
      <c r="K442" s="584">
        <f t="shared" ca="1" si="194"/>
        <v>100</v>
      </c>
      <c r="L442" s="585"/>
      <c r="M442" s="585"/>
      <c r="N442" s="585"/>
      <c r="O442" s="585"/>
      <c r="P442" s="585"/>
      <c r="Q442" s="571"/>
      <c r="R442" s="571"/>
      <c r="S442" s="571"/>
      <c r="T442" s="571"/>
      <c r="U442" s="571"/>
      <c r="V442" s="571"/>
      <c r="W442" s="571"/>
      <c r="X442" s="571"/>
      <c r="Y442" s="571"/>
      <c r="Z442" s="571"/>
    </row>
    <row r="443" spans="1:26" ht="19.5">
      <c r="A443" s="586"/>
      <c r="B443" s="587"/>
      <c r="C443" s="588"/>
      <c r="D443" s="588"/>
      <c r="E443" s="588"/>
      <c r="F443" s="588"/>
      <c r="G443" s="589"/>
      <c r="H443" s="562" t="s">
        <v>46</v>
      </c>
      <c r="I443" s="563">
        <f t="shared" ref="I443:J443" ca="1" si="196">I462</f>
        <v>200</v>
      </c>
      <c r="J443" s="563">
        <f t="shared" si="196"/>
        <v>200</v>
      </c>
      <c r="K443" s="564">
        <f t="shared" ca="1" si="194"/>
        <v>100</v>
      </c>
      <c r="L443" s="565"/>
      <c r="M443" s="565"/>
      <c r="N443" s="565"/>
      <c r="O443" s="565"/>
      <c r="P443" s="565"/>
      <c r="Q443" s="571"/>
      <c r="R443" s="571"/>
      <c r="S443" s="571"/>
      <c r="T443" s="571"/>
      <c r="U443" s="571"/>
      <c r="V443" s="571"/>
      <c r="W443" s="571"/>
      <c r="X443" s="571"/>
      <c r="Y443" s="571"/>
      <c r="Z443" s="571"/>
    </row>
    <row r="444" spans="1:26" ht="19.5">
      <c r="A444" s="590"/>
      <c r="B444" s="754"/>
      <c r="C444" s="754" t="s">
        <v>16</v>
      </c>
      <c r="D444" s="863" t="s">
        <v>17</v>
      </c>
      <c r="E444" s="857"/>
      <c r="F444" s="857"/>
      <c r="G444" s="189"/>
      <c r="H444" s="591" t="s">
        <v>12</v>
      </c>
      <c r="I444" s="269"/>
      <c r="J444" s="269"/>
      <c r="K444" s="496"/>
      <c r="L444" s="195">
        <f t="shared" ref="L444:N444" ca="1" si="197">L445+L446</f>
        <v>486400</v>
      </c>
      <c r="M444" s="195">
        <f t="shared" si="197"/>
        <v>0</v>
      </c>
      <c r="N444" s="195">
        <f t="shared" si="197"/>
        <v>83700</v>
      </c>
      <c r="O444" s="195">
        <f t="shared" ref="O444:O449" ca="1" si="198">IF(L444&gt;0,N444*100/L444,0)</f>
        <v>17.208059210526315</v>
      </c>
      <c r="P444" s="195">
        <f t="shared" ref="P444:P449" si="199">IF(M444&gt;0,N444*100/M444,0)</f>
        <v>0</v>
      </c>
      <c r="Q444" s="571"/>
      <c r="R444" s="571"/>
      <c r="S444" s="571"/>
      <c r="T444" s="571"/>
      <c r="U444" s="571"/>
      <c r="V444" s="571"/>
      <c r="W444" s="571"/>
      <c r="X444" s="571"/>
      <c r="Y444" s="571"/>
      <c r="Z444" s="571"/>
    </row>
    <row r="445" spans="1:26" ht="18.75" hidden="1">
      <c r="A445" s="592"/>
      <c r="B445" s="750"/>
      <c r="C445" s="750"/>
      <c r="D445" s="711"/>
      <c r="E445" s="750" t="s">
        <v>184</v>
      </c>
      <c r="F445" s="750"/>
      <c r="G445" s="596"/>
      <c r="H445" s="165" t="s">
        <v>12</v>
      </c>
      <c r="I445" s="610"/>
      <c r="J445" s="610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597"/>
      <c r="R445" s="597"/>
      <c r="S445" s="597"/>
      <c r="T445" s="597"/>
      <c r="U445" s="597"/>
      <c r="V445" s="597"/>
      <c r="W445" s="597"/>
      <c r="X445" s="597"/>
      <c r="Y445" s="597"/>
      <c r="Z445" s="597"/>
    </row>
    <row r="446" spans="1:26" ht="18.75" hidden="1">
      <c r="A446" s="592"/>
      <c r="B446" s="600"/>
      <c r="C446" s="750"/>
      <c r="D446" s="711"/>
      <c r="E446" s="750" t="s">
        <v>185</v>
      </c>
      <c r="F446" s="750"/>
      <c r="G446" s="596"/>
      <c r="H446" s="165" t="s">
        <v>12</v>
      </c>
      <c r="I446" s="610"/>
      <c r="J446" s="610"/>
      <c r="K446" s="93"/>
      <c r="L446" s="93">
        <f t="shared" ca="1" si="200"/>
        <v>486400</v>
      </c>
      <c r="M446" s="93">
        <f t="shared" si="200"/>
        <v>0</v>
      </c>
      <c r="N446" s="93">
        <f t="shared" si="200"/>
        <v>83700</v>
      </c>
      <c r="O446" s="93">
        <f t="shared" ca="1" si="198"/>
        <v>17.208059210526315</v>
      </c>
      <c r="P446" s="93">
        <f t="shared" si="199"/>
        <v>0</v>
      </c>
      <c r="Q446" s="597"/>
      <c r="R446" s="597"/>
      <c r="S446" s="597"/>
      <c r="T446" s="597"/>
      <c r="U446" s="597"/>
      <c r="V446" s="597"/>
      <c r="W446" s="597"/>
      <c r="X446" s="597"/>
      <c r="Y446" s="597"/>
      <c r="Z446" s="597"/>
    </row>
    <row r="447" spans="1:26" ht="18.75">
      <c r="A447" s="590"/>
      <c r="B447" s="568"/>
      <c r="C447" s="754"/>
      <c r="D447" s="599" t="s">
        <v>20</v>
      </c>
      <c r="E447" s="754"/>
      <c r="F447" s="754"/>
      <c r="G447" s="189"/>
      <c r="H447" s="161" t="s">
        <v>12</v>
      </c>
      <c r="I447" s="184"/>
      <c r="J447" s="184"/>
      <c r="K447" s="163"/>
      <c r="L447" s="496">
        <f t="shared" ref="L447:N447" ca="1" si="201">L448+L449</f>
        <v>486400</v>
      </c>
      <c r="M447" s="496">
        <f t="shared" si="201"/>
        <v>0</v>
      </c>
      <c r="N447" s="496">
        <f t="shared" si="201"/>
        <v>83700</v>
      </c>
      <c r="O447" s="496">
        <f t="shared" ca="1" si="198"/>
        <v>17.208059210526315</v>
      </c>
      <c r="P447" s="496">
        <f t="shared" si="199"/>
        <v>0</v>
      </c>
      <c r="Q447" s="571"/>
      <c r="R447" s="571"/>
      <c r="S447" s="571"/>
      <c r="T447" s="571"/>
      <c r="U447" s="571"/>
      <c r="V447" s="571"/>
      <c r="W447" s="571"/>
      <c r="X447" s="571"/>
      <c r="Y447" s="571"/>
      <c r="Z447" s="571"/>
    </row>
    <row r="448" spans="1:26" ht="18.75" hidden="1">
      <c r="A448" s="592"/>
      <c r="B448" s="600"/>
      <c r="C448" s="750"/>
      <c r="D448" s="711"/>
      <c r="E448" s="750" t="s">
        <v>184</v>
      </c>
      <c r="F448" s="750"/>
      <c r="G448" s="596"/>
      <c r="H448" s="165" t="s">
        <v>12</v>
      </c>
      <c r="I448" s="610"/>
      <c r="J448" s="610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597"/>
      <c r="R448" s="597"/>
      <c r="S448" s="597"/>
      <c r="T448" s="597"/>
      <c r="U448" s="597"/>
      <c r="V448" s="597"/>
      <c r="W448" s="597"/>
      <c r="X448" s="597"/>
      <c r="Y448" s="597"/>
      <c r="Z448" s="597"/>
    </row>
    <row r="449" spans="1:26" ht="18.75" hidden="1">
      <c r="A449" s="592"/>
      <c r="B449" s="600"/>
      <c r="C449" s="750"/>
      <c r="D449" s="711"/>
      <c r="E449" s="750" t="s">
        <v>185</v>
      </c>
      <c r="F449" s="750"/>
      <c r="G449" s="596"/>
      <c r="H449" s="165" t="s">
        <v>12</v>
      </c>
      <c r="I449" s="610"/>
      <c r="J449" s="610"/>
      <c r="K449" s="93"/>
      <c r="L449" s="93">
        <f ca="1">IFERROR(__xludf.DUMMYFUNCTION("IMPORTRANGE(""https://docs.google.com/spreadsheets/d/1QqKyyYR6Q21VydFLVH3TRQUabQu_ym0Zz7PgGX0-kHA/edit?usp=sharing"",""แผน!FJ53"")"),486400)</f>
        <v>486400</v>
      </c>
      <c r="M449" s="93">
        <v>0</v>
      </c>
      <c r="N449" s="93">
        <f>N450+N451+N452+N453</f>
        <v>83700</v>
      </c>
      <c r="O449" s="93">
        <f t="shared" ca="1" si="198"/>
        <v>17.208059210526315</v>
      </c>
      <c r="P449" s="93">
        <f t="shared" si="199"/>
        <v>0</v>
      </c>
      <c r="Q449" s="597"/>
      <c r="R449" s="597"/>
      <c r="S449" s="597"/>
      <c r="T449" s="597"/>
      <c r="U449" s="597"/>
      <c r="V449" s="597"/>
      <c r="W449" s="597"/>
      <c r="X449" s="597"/>
      <c r="Y449" s="597"/>
      <c r="Z449" s="597"/>
    </row>
    <row r="450" spans="1:26" ht="18.75">
      <c r="A450" s="567"/>
      <c r="B450" s="568"/>
      <c r="C450" s="754"/>
      <c r="D450" s="754"/>
      <c r="E450" s="754"/>
      <c r="F450" s="754" t="s">
        <v>186</v>
      </c>
      <c r="G450" s="189"/>
      <c r="H450" s="161" t="s">
        <v>12</v>
      </c>
      <c r="I450" s="269"/>
      <c r="J450" s="269"/>
      <c r="K450" s="496"/>
      <c r="L450" s="496"/>
      <c r="M450" s="496"/>
      <c r="N450" s="817">
        <v>55960</v>
      </c>
      <c r="O450" s="496"/>
      <c r="P450" s="496"/>
      <c r="Q450" s="571"/>
      <c r="R450" s="571"/>
      <c r="S450" s="571"/>
      <c r="T450" s="571"/>
      <c r="U450" s="571"/>
      <c r="V450" s="571"/>
      <c r="W450" s="571"/>
      <c r="X450" s="571"/>
      <c r="Y450" s="571"/>
      <c r="Z450" s="571"/>
    </row>
    <row r="451" spans="1:26" ht="18.75">
      <c r="A451" s="567"/>
      <c r="B451" s="568"/>
      <c r="C451" s="754"/>
      <c r="D451" s="754"/>
      <c r="E451" s="754"/>
      <c r="F451" s="754" t="s">
        <v>187</v>
      </c>
      <c r="G451" s="189"/>
      <c r="H451" s="161" t="s">
        <v>12</v>
      </c>
      <c r="I451" s="269"/>
      <c r="J451" s="269"/>
      <c r="K451" s="496"/>
      <c r="L451" s="496"/>
      <c r="M451" s="496"/>
      <c r="N451" s="817">
        <v>0</v>
      </c>
      <c r="O451" s="496"/>
      <c r="P451" s="496"/>
      <c r="Q451" s="571"/>
      <c r="R451" s="571"/>
      <c r="S451" s="571"/>
      <c r="T451" s="571"/>
      <c r="U451" s="571"/>
      <c r="V451" s="571"/>
      <c r="W451" s="571"/>
      <c r="X451" s="571"/>
      <c r="Y451" s="571"/>
      <c r="Z451" s="571"/>
    </row>
    <row r="452" spans="1:26" ht="18.75">
      <c r="A452" s="567"/>
      <c r="B452" s="568"/>
      <c r="C452" s="568"/>
      <c r="D452" s="568"/>
      <c r="E452" s="568"/>
      <c r="F452" s="754" t="s">
        <v>188</v>
      </c>
      <c r="G452" s="189"/>
      <c r="H452" s="161" t="s">
        <v>12</v>
      </c>
      <c r="I452" s="269"/>
      <c r="J452" s="269"/>
      <c r="K452" s="496"/>
      <c r="L452" s="496"/>
      <c r="M452" s="496"/>
      <c r="N452" s="817">
        <v>26000</v>
      </c>
      <c r="O452" s="496"/>
      <c r="P452" s="496"/>
      <c r="Q452" s="571"/>
      <c r="R452" s="571"/>
      <c r="S452" s="571"/>
      <c r="T452" s="571"/>
      <c r="U452" s="571"/>
      <c r="V452" s="571"/>
      <c r="W452" s="571"/>
      <c r="X452" s="571"/>
      <c r="Y452" s="571"/>
      <c r="Z452" s="571"/>
    </row>
    <row r="453" spans="1:26" ht="18.75">
      <c r="A453" s="567"/>
      <c r="B453" s="568"/>
      <c r="C453" s="568"/>
      <c r="D453" s="568"/>
      <c r="E453" s="568"/>
      <c r="F453" s="754" t="s">
        <v>189</v>
      </c>
      <c r="G453" s="189"/>
      <c r="H453" s="161" t="s">
        <v>12</v>
      </c>
      <c r="I453" s="269"/>
      <c r="J453" s="269"/>
      <c r="K453" s="496"/>
      <c r="L453" s="496"/>
      <c r="M453" s="496"/>
      <c r="N453" s="817">
        <v>1740</v>
      </c>
      <c r="O453" s="496"/>
      <c r="P453" s="496"/>
      <c r="Q453" s="571"/>
      <c r="R453" s="571"/>
      <c r="S453" s="571"/>
      <c r="T453" s="571"/>
      <c r="U453" s="571"/>
      <c r="V453" s="571"/>
      <c r="W453" s="571"/>
      <c r="X453" s="571"/>
      <c r="Y453" s="571"/>
      <c r="Z453" s="571"/>
    </row>
    <row r="454" spans="1:26" ht="18.75">
      <c r="A454" s="590"/>
      <c r="B454" s="568"/>
      <c r="C454" s="568"/>
      <c r="D454" s="599" t="s">
        <v>21</v>
      </c>
      <c r="E454" s="568"/>
      <c r="F454" s="754"/>
      <c r="G454" s="189"/>
      <c r="H454" s="168" t="s">
        <v>12</v>
      </c>
      <c r="I454" s="184"/>
      <c r="J454" s="184"/>
      <c r="K454" s="163"/>
      <c r="L454" s="496">
        <f t="shared" ref="L454:N454" ca="1" si="202">L455+L456</f>
        <v>0</v>
      </c>
      <c r="M454" s="496">
        <f t="shared" si="202"/>
        <v>0</v>
      </c>
      <c r="N454" s="496">
        <f t="shared" si="202"/>
        <v>0</v>
      </c>
      <c r="O454" s="496">
        <f t="shared" ref="O454:O456" ca="1" si="203">IF(L454&gt;0,N454*100/L454,0)</f>
        <v>0</v>
      </c>
      <c r="P454" s="496">
        <f t="shared" ref="P454:P456" si="204">IF(M454&gt;0,N454*100/M454,0)</f>
        <v>0</v>
      </c>
      <c r="Q454" s="571"/>
      <c r="R454" s="571"/>
      <c r="S454" s="571"/>
      <c r="T454" s="571"/>
      <c r="U454" s="571"/>
      <c r="V454" s="571"/>
      <c r="W454" s="571"/>
      <c r="X454" s="571"/>
      <c r="Y454" s="571"/>
      <c r="Z454" s="571"/>
    </row>
    <row r="455" spans="1:26" ht="18.75" hidden="1">
      <c r="A455" s="592"/>
      <c r="B455" s="600"/>
      <c r="C455" s="600"/>
      <c r="D455" s="600"/>
      <c r="E455" s="600" t="s">
        <v>18</v>
      </c>
      <c r="F455" s="750"/>
      <c r="G455" s="596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597"/>
      <c r="R455" s="597"/>
      <c r="S455" s="597"/>
      <c r="T455" s="597"/>
      <c r="U455" s="597"/>
      <c r="V455" s="597"/>
      <c r="W455" s="597"/>
      <c r="X455" s="597"/>
      <c r="Y455" s="597"/>
      <c r="Z455" s="597"/>
    </row>
    <row r="456" spans="1:26" ht="18.75" hidden="1">
      <c r="A456" s="592"/>
      <c r="B456" s="600"/>
      <c r="C456" s="600"/>
      <c r="D456" s="600"/>
      <c r="E456" s="600" t="s">
        <v>19</v>
      </c>
      <c r="F456" s="750"/>
      <c r="G456" s="596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IFERROR(__xludf.DUMMYFUNCTION("IMPORTRANGE(""https://docs.google.com/spreadsheets/d/1QqKyyYR6Q21VydFLVH3TRQUabQu_ym0Zz7PgGX0-kHA/edit?usp=sharing"",""แผน!FM53"")"),0)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597"/>
      <c r="R456" s="597"/>
      <c r="S456" s="597"/>
      <c r="T456" s="597"/>
      <c r="U456" s="597"/>
      <c r="V456" s="597"/>
      <c r="W456" s="597"/>
      <c r="X456" s="597"/>
      <c r="Y456" s="597"/>
      <c r="Z456" s="597"/>
    </row>
    <row r="457" spans="1:26" ht="19.5">
      <c r="A457" s="601"/>
      <c r="B457" s="611"/>
      <c r="C457" s="568" t="s">
        <v>16</v>
      </c>
      <c r="D457" s="836" t="s">
        <v>38</v>
      </c>
      <c r="E457" s="604"/>
      <c r="F457" s="752"/>
      <c r="G457" s="606"/>
      <c r="H457" s="753"/>
      <c r="I457" s="269"/>
      <c r="J457" s="269"/>
      <c r="K457" s="496"/>
      <c r="L457" s="496"/>
      <c r="M457" s="496"/>
      <c r="N457" s="496"/>
      <c r="O457" s="496"/>
      <c r="P457" s="496"/>
      <c r="Q457" s="571"/>
      <c r="R457" s="571"/>
      <c r="S457" s="571"/>
      <c r="T457" s="571"/>
      <c r="U457" s="571"/>
      <c r="V457" s="571"/>
      <c r="W457" s="571"/>
      <c r="X457" s="571"/>
      <c r="Y457" s="571"/>
      <c r="Z457" s="571"/>
    </row>
    <row r="458" spans="1:26" ht="18.75" hidden="1">
      <c r="A458" s="607"/>
      <c r="B458" s="609"/>
      <c r="C458" s="609"/>
      <c r="D458" s="609" t="s">
        <v>200</v>
      </c>
      <c r="E458" s="609"/>
      <c r="F458" s="711"/>
      <c r="G458" s="365"/>
      <c r="H458" s="369" t="s">
        <v>35</v>
      </c>
      <c r="I458" s="610">
        <v>0</v>
      </c>
      <c r="J458" s="610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597"/>
      <c r="R458" s="597"/>
      <c r="S458" s="597"/>
      <c r="T458" s="597"/>
      <c r="U458" s="597"/>
      <c r="V458" s="597"/>
      <c r="W458" s="597"/>
      <c r="X458" s="597"/>
      <c r="Y458" s="597"/>
      <c r="Z458" s="597"/>
    </row>
    <row r="459" spans="1:26" ht="18.75" hidden="1">
      <c r="A459" s="607"/>
      <c r="B459" s="609"/>
      <c r="C459" s="609"/>
      <c r="D459" s="609" t="s">
        <v>201</v>
      </c>
      <c r="E459" s="609"/>
      <c r="F459" s="711"/>
      <c r="G459" s="365"/>
      <c r="H459" s="369"/>
      <c r="I459" s="610"/>
      <c r="J459" s="610"/>
      <c r="K459" s="93"/>
      <c r="L459" s="93"/>
      <c r="M459" s="93"/>
      <c r="N459" s="93"/>
      <c r="O459" s="93"/>
      <c r="P459" s="93"/>
      <c r="Q459" s="597"/>
      <c r="R459" s="597"/>
      <c r="S459" s="597"/>
      <c r="T459" s="597"/>
      <c r="U459" s="597"/>
      <c r="V459" s="597"/>
      <c r="W459" s="597"/>
      <c r="X459" s="597"/>
      <c r="Y459" s="597"/>
      <c r="Z459" s="597"/>
    </row>
    <row r="460" spans="1:26" ht="18.75">
      <c r="A460" s="601"/>
      <c r="B460" s="611"/>
      <c r="C460" s="611"/>
      <c r="D460" s="611" t="s">
        <v>202</v>
      </c>
      <c r="E460" s="611"/>
      <c r="F460" s="619"/>
      <c r="G460" s="753"/>
      <c r="H460" s="755" t="s">
        <v>35</v>
      </c>
      <c r="I460" s="269">
        <f ca="1">IFERROR(__xludf.DUMMYFUNCTION("IMPORTRANGE(""https://docs.google.com/spreadsheets/d/1QqKyyYR6Q21VydFLVH3TRQUabQu_ym0Zz7PgGX0-kHA/edit?usp=sharing"",""แผน!FN53"")"),75)</f>
        <v>75</v>
      </c>
      <c r="J460" s="214">
        <v>75</v>
      </c>
      <c r="K460" s="496">
        <f ca="1">IF(I460&gt;0,J460*100/I460,0)</f>
        <v>100</v>
      </c>
      <c r="L460" s="496"/>
      <c r="M460" s="496"/>
      <c r="N460" s="496"/>
      <c r="O460" s="496"/>
      <c r="P460" s="496"/>
      <c r="Q460" s="571"/>
      <c r="R460" s="571"/>
      <c r="S460" s="571"/>
      <c r="T460" s="571"/>
      <c r="U460" s="571"/>
      <c r="V460" s="571"/>
      <c r="W460" s="571"/>
      <c r="X460" s="571"/>
      <c r="Y460" s="571"/>
      <c r="Z460" s="571"/>
    </row>
    <row r="461" spans="1:26" ht="18.75">
      <c r="A461" s="601"/>
      <c r="B461" s="611"/>
      <c r="C461" s="611"/>
      <c r="D461" s="611" t="s">
        <v>203</v>
      </c>
      <c r="E461" s="619"/>
      <c r="F461" s="619"/>
      <c r="G461" s="753"/>
      <c r="H461" s="755"/>
      <c r="I461" s="269"/>
      <c r="J461" s="269"/>
      <c r="K461" s="496"/>
      <c r="L461" s="496"/>
      <c r="M461" s="496"/>
      <c r="N461" s="496"/>
      <c r="O461" s="496"/>
      <c r="P461" s="496"/>
      <c r="Q461" s="571"/>
      <c r="R461" s="571"/>
      <c r="S461" s="571"/>
      <c r="T461" s="571"/>
      <c r="U461" s="571"/>
      <c r="V461" s="571"/>
      <c r="W461" s="571"/>
      <c r="X461" s="571"/>
      <c r="Y461" s="571"/>
      <c r="Z461" s="571"/>
    </row>
    <row r="462" spans="1:26" ht="18.75">
      <c r="A462" s="601"/>
      <c r="B462" s="611"/>
      <c r="C462" s="611"/>
      <c r="D462" s="611" t="s">
        <v>204</v>
      </c>
      <c r="E462" s="619"/>
      <c r="F462" s="619"/>
      <c r="G462" s="753"/>
      <c r="H462" s="755" t="s">
        <v>46</v>
      </c>
      <c r="I462" s="269">
        <f ca="1">IFERROR(__xludf.DUMMYFUNCTION("IMPORTRANGE(""https://docs.google.com/spreadsheets/d/1QqKyyYR6Q21VydFLVH3TRQUabQu_ym0Zz7PgGX0-kHA/edit?usp=sharing"",""แผน!FO53"")"),200)</f>
        <v>200</v>
      </c>
      <c r="J462" s="214">
        <v>200</v>
      </c>
      <c r="K462" s="496">
        <f ca="1">IF(I462&gt;0,J462*100/I462,0)</f>
        <v>100</v>
      </c>
      <c r="L462" s="496"/>
      <c r="M462" s="496"/>
      <c r="N462" s="496"/>
      <c r="O462" s="496"/>
      <c r="P462" s="496"/>
      <c r="Q462" s="571"/>
      <c r="R462" s="571"/>
      <c r="S462" s="571"/>
      <c r="T462" s="571"/>
      <c r="U462" s="571"/>
      <c r="V462" s="571"/>
      <c r="W462" s="571"/>
      <c r="X462" s="571"/>
      <c r="Y462" s="571"/>
      <c r="Z462" s="571"/>
    </row>
    <row r="463" spans="1:26" ht="18.75">
      <c r="A463" s="601"/>
      <c r="B463" s="611"/>
      <c r="C463" s="611"/>
      <c r="D463" s="611" t="s">
        <v>59</v>
      </c>
      <c r="E463" s="619"/>
      <c r="F463" s="754"/>
      <c r="G463" s="189"/>
      <c r="H463" s="755" t="s">
        <v>46</v>
      </c>
      <c r="I463" s="269">
        <f ca="1">IFERROR(__xludf.DUMMYFUNCTION("IMPORTRANGE(""https://docs.google.com/spreadsheets/d/1QqKyyYR6Q21VydFLVH3TRQUabQu_ym0Zz7PgGX0-kHA/edit?usp=sharing"",""แผน!FO53"")"),200)</f>
        <v>200</v>
      </c>
      <c r="J463" s="214">
        <v>0</v>
      </c>
      <c r="K463" s="496"/>
      <c r="L463" s="496"/>
      <c r="M463" s="496"/>
      <c r="N463" s="496"/>
      <c r="O463" s="496"/>
      <c r="P463" s="496"/>
      <c r="Q463" s="571"/>
      <c r="R463" s="571"/>
      <c r="S463" s="571"/>
      <c r="T463" s="571"/>
      <c r="U463" s="571"/>
      <c r="V463" s="571"/>
      <c r="W463" s="571"/>
      <c r="X463" s="571"/>
      <c r="Y463" s="571"/>
      <c r="Z463" s="571"/>
    </row>
    <row r="464" spans="1:26" ht="19.5">
      <c r="A464" s="601"/>
      <c r="B464" s="611"/>
      <c r="C464" s="611"/>
      <c r="D464" s="611"/>
      <c r="E464" s="619"/>
      <c r="F464" s="619"/>
      <c r="G464" s="613"/>
      <c r="H464" s="755" t="s">
        <v>35</v>
      </c>
      <c r="I464" s="269">
        <f ca="1">IFERROR(__xludf.DUMMYFUNCTION("IMPORTRANGE(""https://docs.google.com/spreadsheets/d/1QqKyyYR6Q21VydFLVH3TRQUabQu_ym0Zz7PgGX0-kHA/edit?usp=sharing"",""แผน!FN53"")"),75)</f>
        <v>75</v>
      </c>
      <c r="J464" s="214">
        <v>0</v>
      </c>
      <c r="K464" s="496"/>
      <c r="L464" s="496"/>
      <c r="M464" s="496"/>
      <c r="N464" s="496"/>
      <c r="O464" s="496"/>
      <c r="P464" s="496"/>
      <c r="Q464" s="571"/>
      <c r="R464" s="571"/>
      <c r="S464" s="571"/>
      <c r="T464" s="571"/>
      <c r="U464" s="571"/>
      <c r="V464" s="571"/>
      <c r="W464" s="571"/>
      <c r="X464" s="571"/>
      <c r="Y464" s="571"/>
      <c r="Z464" s="571"/>
    </row>
    <row r="465" spans="1:26" ht="19.5">
      <c r="A465" s="578">
        <v>3</v>
      </c>
      <c r="B465" s="579" t="s">
        <v>205</v>
      </c>
      <c r="C465" s="580"/>
      <c r="D465" s="580"/>
      <c r="E465" s="580"/>
      <c r="F465" s="580"/>
      <c r="G465" s="581"/>
      <c r="H465" s="582" t="s">
        <v>35</v>
      </c>
      <c r="I465" s="583">
        <f ca="1">IFERROR(__xludf.DUMMYFUNCTION("IMPORTRANGE(""https://docs.google.com/spreadsheets/d/1QqKyyYR6Q21VydFLVH3TRQUabQu_ym0Zz7PgGX0-kHA/edit?usp=sharing"",""แผน!FX53"")"),131)</f>
        <v>131</v>
      </c>
      <c r="J465" s="583">
        <f>J485+J489+J492</f>
        <v>131</v>
      </c>
      <c r="K465" s="584">
        <f t="shared" ref="K465:K466" ca="1" si="205">IF(I465&gt;0,J465*100/I465,0)</f>
        <v>100</v>
      </c>
      <c r="L465" s="585"/>
      <c r="M465" s="585"/>
      <c r="N465" s="585"/>
      <c r="O465" s="585"/>
      <c r="P465" s="585"/>
      <c r="Q465" s="571"/>
      <c r="R465" s="571"/>
      <c r="S465" s="571"/>
      <c r="T465" s="571"/>
      <c r="U465" s="571"/>
      <c r="V465" s="571"/>
      <c r="W465" s="571"/>
      <c r="X465" s="571"/>
      <c r="Y465" s="571"/>
      <c r="Z465" s="571"/>
    </row>
    <row r="466" spans="1:26" ht="19.5">
      <c r="A466" s="586"/>
      <c r="B466" s="587"/>
      <c r="C466" s="588"/>
      <c r="D466" s="588"/>
      <c r="E466" s="588"/>
      <c r="F466" s="588"/>
      <c r="G466" s="589"/>
      <c r="H466" s="562" t="s">
        <v>46</v>
      </c>
      <c r="I466" s="563">
        <f ca="1">IFERROR(__xludf.DUMMYFUNCTION("IMPORTRANGE(""https://docs.google.com/spreadsheets/d/1QqKyyYR6Q21VydFLVH3TRQUabQu_ym0Zz7PgGX0-kHA/edit?usp=sharing"",""แผน!FW53"")"),1300)</f>
        <v>1300</v>
      </c>
      <c r="J466" s="563">
        <f>J483+J487</f>
        <v>13000</v>
      </c>
      <c r="K466" s="564">
        <f t="shared" ca="1" si="205"/>
        <v>1000</v>
      </c>
      <c r="L466" s="565"/>
      <c r="M466" s="565"/>
      <c r="N466" s="565"/>
      <c r="O466" s="565"/>
      <c r="P466" s="565"/>
      <c r="Q466" s="571"/>
      <c r="R466" s="571"/>
      <c r="S466" s="571"/>
      <c r="T466" s="571"/>
      <c r="U466" s="571"/>
      <c r="V466" s="571"/>
      <c r="W466" s="571"/>
      <c r="X466" s="571"/>
      <c r="Y466" s="571"/>
      <c r="Z466" s="571"/>
    </row>
    <row r="467" spans="1:26" ht="19.5">
      <c r="A467" s="590"/>
      <c r="B467" s="754"/>
      <c r="C467" s="754" t="s">
        <v>16</v>
      </c>
      <c r="D467" s="863" t="s">
        <v>17</v>
      </c>
      <c r="E467" s="857"/>
      <c r="F467" s="857"/>
      <c r="G467" s="189"/>
      <c r="H467" s="591" t="s">
        <v>12</v>
      </c>
      <c r="I467" s="269"/>
      <c r="J467" s="269"/>
      <c r="K467" s="496"/>
      <c r="L467" s="195">
        <f t="shared" ref="L467:N467" ca="1" si="206">L468+L469</f>
        <v>1161548</v>
      </c>
      <c r="M467" s="195">
        <f t="shared" si="206"/>
        <v>0</v>
      </c>
      <c r="N467" s="195">
        <f t="shared" si="206"/>
        <v>136520</v>
      </c>
      <c r="O467" s="195">
        <f t="shared" ref="O467:O472" ca="1" si="207">IF(L467&gt;0,N467*100/L467,0)</f>
        <v>11.753280966434447</v>
      </c>
      <c r="P467" s="195">
        <f t="shared" ref="P467:P472" si="208">IF(M467&gt;0,N467*100/M467,0)</f>
        <v>0</v>
      </c>
      <c r="Q467" s="571"/>
      <c r="R467" s="571"/>
      <c r="S467" s="571"/>
      <c r="T467" s="571"/>
      <c r="U467" s="571"/>
      <c r="V467" s="571"/>
      <c r="W467" s="571"/>
      <c r="X467" s="571"/>
      <c r="Y467" s="571"/>
      <c r="Z467" s="571"/>
    </row>
    <row r="468" spans="1:26" ht="18.75" hidden="1">
      <c r="A468" s="592"/>
      <c r="B468" s="750"/>
      <c r="C468" s="750"/>
      <c r="D468" s="711"/>
      <c r="E468" s="750" t="s">
        <v>184</v>
      </c>
      <c r="F468" s="750"/>
      <c r="G468" s="596"/>
      <c r="H468" s="165" t="s">
        <v>12</v>
      </c>
      <c r="I468" s="610"/>
      <c r="J468" s="610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597"/>
      <c r="R468" s="597"/>
      <c r="S468" s="597"/>
      <c r="T468" s="597"/>
      <c r="U468" s="597"/>
      <c r="V468" s="597"/>
      <c r="W468" s="597"/>
      <c r="X468" s="597"/>
      <c r="Y468" s="597"/>
      <c r="Z468" s="597"/>
    </row>
    <row r="469" spans="1:26" ht="18.75" hidden="1">
      <c r="A469" s="592"/>
      <c r="B469" s="600"/>
      <c r="C469" s="750"/>
      <c r="D469" s="711"/>
      <c r="E469" s="750" t="s">
        <v>185</v>
      </c>
      <c r="F469" s="750"/>
      <c r="G469" s="596"/>
      <c r="H469" s="165" t="s">
        <v>12</v>
      </c>
      <c r="I469" s="610"/>
      <c r="J469" s="610"/>
      <c r="K469" s="93"/>
      <c r="L469" s="93">
        <f t="shared" ca="1" si="209"/>
        <v>1161548</v>
      </c>
      <c r="M469" s="93">
        <f t="shared" si="209"/>
        <v>0</v>
      </c>
      <c r="N469" s="93">
        <f t="shared" si="209"/>
        <v>136520</v>
      </c>
      <c r="O469" s="93">
        <f t="shared" ca="1" si="207"/>
        <v>11.753280966434447</v>
      </c>
      <c r="P469" s="93">
        <f t="shared" si="208"/>
        <v>0</v>
      </c>
      <c r="Q469" s="597"/>
      <c r="R469" s="597"/>
      <c r="S469" s="597"/>
      <c r="T469" s="597"/>
      <c r="U469" s="597"/>
      <c r="V469" s="597"/>
      <c r="W469" s="597"/>
      <c r="X469" s="597"/>
      <c r="Y469" s="597"/>
      <c r="Z469" s="597"/>
    </row>
    <row r="470" spans="1:26" ht="18.75">
      <c r="A470" s="590"/>
      <c r="B470" s="568"/>
      <c r="C470" s="754"/>
      <c r="D470" s="599" t="s">
        <v>20</v>
      </c>
      <c r="E470" s="754"/>
      <c r="F470" s="754"/>
      <c r="G470" s="189"/>
      <c r="H470" s="161" t="s">
        <v>12</v>
      </c>
      <c r="I470" s="184"/>
      <c r="J470" s="184"/>
      <c r="K470" s="163"/>
      <c r="L470" s="496">
        <f t="shared" ref="L470:N470" ca="1" si="210">L471+L472</f>
        <v>1161548</v>
      </c>
      <c r="M470" s="496">
        <f t="shared" si="210"/>
        <v>0</v>
      </c>
      <c r="N470" s="496">
        <f t="shared" si="210"/>
        <v>136520</v>
      </c>
      <c r="O470" s="496">
        <f t="shared" ca="1" si="207"/>
        <v>11.753280966434447</v>
      </c>
      <c r="P470" s="496">
        <f t="shared" si="208"/>
        <v>0</v>
      </c>
      <c r="Q470" s="571"/>
      <c r="R470" s="571"/>
      <c r="S470" s="571"/>
      <c r="T470" s="571"/>
      <c r="U470" s="571"/>
      <c r="V470" s="571"/>
      <c r="W470" s="571"/>
      <c r="X470" s="571"/>
      <c r="Y470" s="571"/>
      <c r="Z470" s="571"/>
    </row>
    <row r="471" spans="1:26" ht="18.75" hidden="1">
      <c r="A471" s="592"/>
      <c r="B471" s="600"/>
      <c r="C471" s="750"/>
      <c r="D471" s="711"/>
      <c r="E471" s="750" t="s">
        <v>184</v>
      </c>
      <c r="F471" s="750"/>
      <c r="G471" s="596"/>
      <c r="H471" s="165" t="s">
        <v>12</v>
      </c>
      <c r="I471" s="610"/>
      <c r="J471" s="610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597"/>
      <c r="R471" s="597"/>
      <c r="S471" s="597"/>
      <c r="T471" s="597"/>
      <c r="U471" s="597"/>
      <c r="V471" s="597"/>
      <c r="W471" s="597"/>
      <c r="X471" s="597"/>
      <c r="Y471" s="597"/>
      <c r="Z471" s="597"/>
    </row>
    <row r="472" spans="1:26" ht="18.75" hidden="1">
      <c r="A472" s="592"/>
      <c r="B472" s="600"/>
      <c r="C472" s="750"/>
      <c r="D472" s="711"/>
      <c r="E472" s="750" t="s">
        <v>185</v>
      </c>
      <c r="F472" s="750"/>
      <c r="G472" s="596"/>
      <c r="H472" s="165" t="s">
        <v>12</v>
      </c>
      <c r="I472" s="610"/>
      <c r="J472" s="610"/>
      <c r="K472" s="93"/>
      <c r="L472" s="93">
        <f ca="1">IFERROR(__xludf.DUMMYFUNCTION("IMPORTRANGE(""https://docs.google.com/spreadsheets/d/1QqKyyYR6Q21VydFLVH3TRQUabQu_ym0Zz7PgGX0-kHA/edit?usp=sharing"",""แผน!FS53"")"),1161548)</f>
        <v>1161548</v>
      </c>
      <c r="M472" s="93">
        <v>0</v>
      </c>
      <c r="N472" s="93">
        <f>N473+N474+N475+N476</f>
        <v>136520</v>
      </c>
      <c r="O472" s="93">
        <f t="shared" ca="1" si="207"/>
        <v>11.753280966434447</v>
      </c>
      <c r="P472" s="93">
        <f t="shared" si="208"/>
        <v>0</v>
      </c>
      <c r="Q472" s="597"/>
      <c r="R472" s="597"/>
      <c r="S472" s="597"/>
      <c r="T472" s="597"/>
      <c r="U472" s="597"/>
      <c r="V472" s="597"/>
      <c r="W472" s="597"/>
      <c r="X472" s="597"/>
      <c r="Y472" s="597"/>
      <c r="Z472" s="597"/>
    </row>
    <row r="473" spans="1:26" ht="18.75">
      <c r="A473" s="567"/>
      <c r="B473" s="568"/>
      <c r="C473" s="754"/>
      <c r="D473" s="754"/>
      <c r="E473" s="754"/>
      <c r="F473" s="754" t="s">
        <v>186</v>
      </c>
      <c r="G473" s="189"/>
      <c r="H473" s="161" t="s">
        <v>12</v>
      </c>
      <c r="I473" s="269"/>
      <c r="J473" s="269"/>
      <c r="K473" s="496"/>
      <c r="L473" s="496"/>
      <c r="M473" s="496"/>
      <c r="N473" s="817">
        <v>108390</v>
      </c>
      <c r="O473" s="496"/>
      <c r="P473" s="496"/>
      <c r="Q473" s="571"/>
      <c r="R473" s="571"/>
      <c r="S473" s="571"/>
      <c r="T473" s="571"/>
      <c r="U473" s="571"/>
      <c r="V473" s="571"/>
      <c r="W473" s="571"/>
      <c r="X473" s="571"/>
      <c r="Y473" s="571"/>
      <c r="Z473" s="571"/>
    </row>
    <row r="474" spans="1:26" ht="18.75">
      <c r="A474" s="567"/>
      <c r="B474" s="568"/>
      <c r="C474" s="754"/>
      <c r="D474" s="754"/>
      <c r="E474" s="754"/>
      <c r="F474" s="754" t="s">
        <v>187</v>
      </c>
      <c r="G474" s="189"/>
      <c r="H474" s="161" t="s">
        <v>12</v>
      </c>
      <c r="I474" s="269"/>
      <c r="J474" s="269"/>
      <c r="K474" s="496"/>
      <c r="L474" s="496"/>
      <c r="M474" s="496"/>
      <c r="N474" s="817">
        <v>0</v>
      </c>
      <c r="O474" s="496"/>
      <c r="P474" s="496"/>
      <c r="Q474" s="571"/>
      <c r="R474" s="571"/>
      <c r="S474" s="571"/>
      <c r="T474" s="571"/>
      <c r="U474" s="571"/>
      <c r="V474" s="571"/>
      <c r="W474" s="571"/>
      <c r="X474" s="571"/>
      <c r="Y474" s="571"/>
      <c r="Z474" s="571"/>
    </row>
    <row r="475" spans="1:26" ht="18.75">
      <c r="A475" s="567"/>
      <c r="B475" s="568"/>
      <c r="C475" s="568"/>
      <c r="D475" s="568"/>
      <c r="E475" s="568"/>
      <c r="F475" s="754" t="s">
        <v>188</v>
      </c>
      <c r="G475" s="189"/>
      <c r="H475" s="161" t="s">
        <v>12</v>
      </c>
      <c r="I475" s="269"/>
      <c r="J475" s="269"/>
      <c r="K475" s="496"/>
      <c r="L475" s="496"/>
      <c r="M475" s="496"/>
      <c r="N475" s="817">
        <v>26000</v>
      </c>
      <c r="O475" s="496"/>
      <c r="P475" s="496"/>
      <c r="Q475" s="571"/>
      <c r="R475" s="571"/>
      <c r="S475" s="571"/>
      <c r="T475" s="571"/>
      <c r="U475" s="571"/>
      <c r="V475" s="571"/>
      <c r="W475" s="571"/>
      <c r="X475" s="571"/>
      <c r="Y475" s="571"/>
      <c r="Z475" s="571"/>
    </row>
    <row r="476" spans="1:26" ht="18.75">
      <c r="A476" s="567"/>
      <c r="B476" s="568"/>
      <c r="C476" s="568"/>
      <c r="D476" s="568"/>
      <c r="E476" s="568"/>
      <c r="F476" s="754" t="s">
        <v>189</v>
      </c>
      <c r="G476" s="189"/>
      <c r="H476" s="161" t="s">
        <v>12</v>
      </c>
      <c r="I476" s="269"/>
      <c r="J476" s="269"/>
      <c r="K476" s="496"/>
      <c r="L476" s="496"/>
      <c r="M476" s="496"/>
      <c r="N476" s="817">
        <v>2130</v>
      </c>
      <c r="O476" s="496"/>
      <c r="P476" s="496"/>
      <c r="Q476" s="571"/>
      <c r="R476" s="571"/>
      <c r="S476" s="571"/>
      <c r="T476" s="571"/>
      <c r="U476" s="571"/>
      <c r="V476" s="571"/>
      <c r="W476" s="571"/>
      <c r="X476" s="571"/>
      <c r="Y476" s="571"/>
      <c r="Z476" s="571"/>
    </row>
    <row r="477" spans="1:26" ht="18.75">
      <c r="A477" s="590"/>
      <c r="B477" s="568"/>
      <c r="C477" s="568"/>
      <c r="D477" s="599" t="s">
        <v>21</v>
      </c>
      <c r="E477" s="568"/>
      <c r="F477" s="568"/>
      <c r="G477" s="189"/>
      <c r="H477" s="168" t="s">
        <v>12</v>
      </c>
      <c r="I477" s="184"/>
      <c r="J477" s="184"/>
      <c r="K477" s="163"/>
      <c r="L477" s="496">
        <f t="shared" ref="L477:N477" ca="1" si="211">L478+L479</f>
        <v>0</v>
      </c>
      <c r="M477" s="496">
        <f t="shared" si="211"/>
        <v>0</v>
      </c>
      <c r="N477" s="496">
        <f t="shared" si="211"/>
        <v>0</v>
      </c>
      <c r="O477" s="496">
        <f t="shared" ref="O477:O479" ca="1" si="212">IF(L477&gt;0,N477*100/L477,0)</f>
        <v>0</v>
      </c>
      <c r="P477" s="496">
        <f t="shared" ref="P477:P479" si="213">IF(M477&gt;0,N477*100/M477,0)</f>
        <v>0</v>
      </c>
      <c r="Q477" s="571"/>
      <c r="R477" s="571"/>
      <c r="S477" s="571"/>
      <c r="T477" s="571"/>
      <c r="U477" s="571"/>
      <c r="V477" s="571"/>
      <c r="W477" s="571"/>
      <c r="X477" s="571"/>
      <c r="Y477" s="571"/>
      <c r="Z477" s="571"/>
    </row>
    <row r="478" spans="1:26" ht="18.75" hidden="1">
      <c r="A478" s="592"/>
      <c r="B478" s="600"/>
      <c r="C478" s="600"/>
      <c r="D478" s="600"/>
      <c r="E478" s="600" t="s">
        <v>18</v>
      </c>
      <c r="F478" s="600"/>
      <c r="G478" s="596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597"/>
      <c r="R478" s="597"/>
      <c r="S478" s="597"/>
      <c r="T478" s="597"/>
      <c r="U478" s="597"/>
      <c r="V478" s="597"/>
      <c r="W478" s="597"/>
      <c r="X478" s="597"/>
      <c r="Y478" s="597"/>
      <c r="Z478" s="597"/>
    </row>
    <row r="479" spans="1:26" ht="18.75" hidden="1">
      <c r="A479" s="592"/>
      <c r="B479" s="600"/>
      <c r="C479" s="600"/>
      <c r="D479" s="600"/>
      <c r="E479" s="600" t="s">
        <v>19</v>
      </c>
      <c r="F479" s="600"/>
      <c r="G479" s="596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IFERROR(__xludf.DUMMYFUNCTION("IMPORTRANGE(""https://docs.google.com/spreadsheets/d/1QqKyyYR6Q21VydFLVH3TRQUabQu_ym0Zz7PgGX0-kHA/edit?usp=sharing"",""แผน!FV53"")"),0)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597"/>
      <c r="R479" s="597"/>
      <c r="S479" s="597"/>
      <c r="T479" s="597"/>
      <c r="U479" s="597"/>
      <c r="V479" s="597"/>
      <c r="W479" s="597"/>
      <c r="X479" s="597"/>
      <c r="Y479" s="597"/>
      <c r="Z479" s="597"/>
    </row>
    <row r="480" spans="1:26" ht="19.5">
      <c r="A480" s="601"/>
      <c r="B480" s="611"/>
      <c r="C480" s="568" t="s">
        <v>16</v>
      </c>
      <c r="D480" s="837" t="s">
        <v>38</v>
      </c>
      <c r="E480" s="604"/>
      <c r="F480" s="752"/>
      <c r="G480" s="606"/>
      <c r="H480" s="753"/>
      <c r="I480" s="269"/>
      <c r="J480" s="269"/>
      <c r="K480" s="496"/>
      <c r="L480" s="496"/>
      <c r="M480" s="496"/>
      <c r="N480" s="496"/>
      <c r="O480" s="496"/>
      <c r="P480" s="496"/>
      <c r="Q480" s="571"/>
      <c r="R480" s="571"/>
      <c r="S480" s="571"/>
      <c r="T480" s="571"/>
      <c r="U480" s="571"/>
      <c r="V480" s="571"/>
      <c r="W480" s="571"/>
      <c r="X480" s="571"/>
      <c r="Y480" s="571"/>
      <c r="Z480" s="571"/>
    </row>
    <row r="481" spans="1:26" ht="19.5">
      <c r="A481" s="601"/>
      <c r="B481" s="611"/>
      <c r="C481" s="611"/>
      <c r="D481" s="618" t="s">
        <v>206</v>
      </c>
      <c r="E481" s="611"/>
      <c r="F481" s="611"/>
      <c r="G481" s="753"/>
      <c r="H481" s="189"/>
      <c r="I481" s="269"/>
      <c r="J481" s="269"/>
      <c r="K481" s="496"/>
      <c r="L481" s="496"/>
      <c r="M481" s="496"/>
      <c r="N481" s="496"/>
      <c r="O481" s="496"/>
      <c r="P481" s="496"/>
      <c r="Q481" s="571"/>
      <c r="R481" s="571"/>
      <c r="S481" s="571"/>
      <c r="T481" s="571"/>
      <c r="U481" s="571"/>
      <c r="V481" s="571"/>
      <c r="W481" s="571"/>
      <c r="X481" s="571"/>
      <c r="Y481" s="571"/>
      <c r="Z481" s="571"/>
    </row>
    <row r="482" spans="1:26" ht="18.75">
      <c r="A482" s="601"/>
      <c r="B482" s="611"/>
      <c r="C482" s="611"/>
      <c r="D482" s="611"/>
      <c r="E482" s="611" t="s">
        <v>207</v>
      </c>
      <c r="F482" s="611"/>
      <c r="G482" s="753"/>
      <c r="H482" s="189"/>
      <c r="I482" s="269"/>
      <c r="J482" s="269"/>
      <c r="K482" s="496"/>
      <c r="L482" s="496"/>
      <c r="M482" s="496"/>
      <c r="N482" s="496"/>
      <c r="O482" s="496"/>
      <c r="P482" s="496"/>
      <c r="Q482" s="571"/>
      <c r="R482" s="571"/>
      <c r="S482" s="571"/>
      <c r="T482" s="571"/>
      <c r="U482" s="571"/>
      <c r="V482" s="571"/>
      <c r="W482" s="571"/>
      <c r="X482" s="571"/>
      <c r="Y482" s="571"/>
      <c r="Z482" s="571"/>
    </row>
    <row r="483" spans="1:26" ht="18.75">
      <c r="A483" s="601"/>
      <c r="B483" s="611"/>
      <c r="C483" s="611"/>
      <c r="D483" s="611"/>
      <c r="E483" s="611"/>
      <c r="F483" s="611" t="s">
        <v>208</v>
      </c>
      <c r="G483" s="753"/>
      <c r="H483" s="616" t="s">
        <v>46</v>
      </c>
      <c r="I483" s="269">
        <f ca="1">IFERROR(__xludf.DUMMYFUNCTION("IMPORTRANGE(""https://docs.google.com/spreadsheets/d/1QqKyyYR6Q21VydFLVH3TRQUabQu_ym0Zz7PgGX0-kHA/edit?usp=sharing"",""แผน!FY53"")"),1170)</f>
        <v>1170</v>
      </c>
      <c r="J483" s="214">
        <v>13000</v>
      </c>
      <c r="K483" s="496">
        <f ca="1">IF(I483&gt;0,J483*100/I483,0)</f>
        <v>1111.1111111111111</v>
      </c>
      <c r="L483" s="496"/>
      <c r="M483" s="496"/>
      <c r="N483" s="496"/>
      <c r="O483" s="496"/>
      <c r="P483" s="496"/>
      <c r="Q483" s="571"/>
      <c r="R483" s="571"/>
      <c r="S483" s="571"/>
      <c r="T483" s="571"/>
      <c r="U483" s="571"/>
      <c r="V483" s="571"/>
      <c r="W483" s="571"/>
      <c r="X483" s="571"/>
      <c r="Y483" s="571"/>
      <c r="Z483" s="571"/>
    </row>
    <row r="484" spans="1:26" ht="18.75">
      <c r="A484" s="601"/>
      <c r="B484" s="611"/>
      <c r="C484" s="611"/>
      <c r="D484" s="611"/>
      <c r="E484" s="611"/>
      <c r="F484" s="611" t="s">
        <v>209</v>
      </c>
      <c r="G484" s="753"/>
      <c r="H484" s="616" t="s">
        <v>35</v>
      </c>
      <c r="I484" s="269"/>
      <c r="J484" s="214">
        <v>0</v>
      </c>
      <c r="K484" s="496"/>
      <c r="L484" s="496"/>
      <c r="M484" s="496"/>
      <c r="N484" s="496"/>
      <c r="O484" s="496"/>
      <c r="P484" s="496"/>
      <c r="Q484" s="571"/>
      <c r="R484" s="571"/>
      <c r="S484" s="571"/>
      <c r="T484" s="571"/>
      <c r="U484" s="571"/>
      <c r="V484" s="571"/>
      <c r="W484" s="571"/>
      <c r="X484" s="571"/>
      <c r="Y484" s="571"/>
      <c r="Z484" s="571"/>
    </row>
    <row r="485" spans="1:26" ht="18.75">
      <c r="A485" s="601"/>
      <c r="B485" s="611"/>
      <c r="C485" s="611"/>
      <c r="D485" s="611"/>
      <c r="E485" s="611"/>
      <c r="F485" s="611" t="s">
        <v>210</v>
      </c>
      <c r="G485" s="753"/>
      <c r="H485" s="616" t="s">
        <v>35</v>
      </c>
      <c r="I485" s="269">
        <f ca="1">IFERROR(__xludf.DUMMYFUNCTION("IMPORTRANGE(""https://docs.google.com/spreadsheets/d/1QqKyyYR6Q21VydFLVH3TRQUabQu_ym0Zz7PgGX0-kHA/edit?usp=sharing"",""แผน!FZ53"")"),117)</f>
        <v>117</v>
      </c>
      <c r="J485" s="214">
        <v>130</v>
      </c>
      <c r="K485" s="496">
        <f ca="1">IF(I485&gt;0,J485*100/I485,0)</f>
        <v>111.11111111111111</v>
      </c>
      <c r="L485" s="496"/>
      <c r="M485" s="496"/>
      <c r="N485" s="496"/>
      <c r="O485" s="496"/>
      <c r="P485" s="496"/>
      <c r="Q485" s="571"/>
      <c r="R485" s="571"/>
      <c r="S485" s="571"/>
      <c r="T485" s="571"/>
      <c r="U485" s="571"/>
      <c r="V485" s="571"/>
      <c r="W485" s="571"/>
      <c r="X485" s="571"/>
      <c r="Y485" s="571"/>
      <c r="Z485" s="571"/>
    </row>
    <row r="486" spans="1:26" ht="18.75">
      <c r="A486" s="601"/>
      <c r="B486" s="611"/>
      <c r="C486" s="611"/>
      <c r="D486" s="611"/>
      <c r="E486" s="611" t="s">
        <v>62</v>
      </c>
      <c r="F486" s="611"/>
      <c r="G486" s="753"/>
      <c r="H486" s="616"/>
      <c r="I486" s="269"/>
      <c r="J486" s="269"/>
      <c r="K486" s="496"/>
      <c r="L486" s="496"/>
      <c r="M486" s="496"/>
      <c r="N486" s="496"/>
      <c r="O486" s="496"/>
      <c r="P486" s="496"/>
      <c r="Q486" s="571"/>
      <c r="R486" s="571"/>
      <c r="S486" s="571"/>
      <c r="T486" s="571"/>
      <c r="U486" s="571"/>
      <c r="V486" s="571"/>
      <c r="W486" s="571"/>
      <c r="X486" s="571"/>
      <c r="Y486" s="571"/>
      <c r="Z486" s="571"/>
    </row>
    <row r="487" spans="1:26" ht="18.75">
      <c r="A487" s="601"/>
      <c r="B487" s="611"/>
      <c r="C487" s="611"/>
      <c r="D487" s="611"/>
      <c r="E487" s="611"/>
      <c r="F487" s="611" t="s">
        <v>208</v>
      </c>
      <c r="G487" s="753"/>
      <c r="H487" s="616" t="s">
        <v>46</v>
      </c>
      <c r="I487" s="269">
        <f ca="1">IFERROR(__xludf.DUMMYFUNCTION("IMPORTRANGE(""https://docs.google.com/spreadsheets/d/1QqKyyYR6Q21VydFLVH3TRQUabQu_ym0Zz7PgGX0-kHA/edit?usp=sharing"",""แผน!GA53"")"),130)</f>
        <v>130</v>
      </c>
      <c r="J487" s="214">
        <v>0</v>
      </c>
      <c r="K487" s="496">
        <f ca="1">IF(I487&gt;0,J487*100/I487,0)</f>
        <v>0</v>
      </c>
      <c r="L487" s="496"/>
      <c r="M487" s="496"/>
      <c r="N487" s="496"/>
      <c r="O487" s="496"/>
      <c r="P487" s="496"/>
      <c r="Q487" s="571"/>
      <c r="R487" s="571"/>
      <c r="S487" s="571"/>
      <c r="T487" s="571"/>
      <c r="U487" s="571"/>
      <c r="V487" s="571"/>
      <c r="W487" s="571"/>
      <c r="X487" s="571"/>
      <c r="Y487" s="571"/>
      <c r="Z487" s="571"/>
    </row>
    <row r="488" spans="1:26" ht="18.75">
      <c r="A488" s="601"/>
      <c r="B488" s="611"/>
      <c r="C488" s="611"/>
      <c r="D488" s="611"/>
      <c r="E488" s="611"/>
      <c r="F488" s="611" t="s">
        <v>211</v>
      </c>
      <c r="G488" s="753"/>
      <c r="H488" s="616" t="s">
        <v>35</v>
      </c>
      <c r="I488" s="269"/>
      <c r="J488" s="214">
        <v>0</v>
      </c>
      <c r="K488" s="496"/>
      <c r="L488" s="496"/>
      <c r="M488" s="496"/>
      <c r="N488" s="496"/>
      <c r="O488" s="496"/>
      <c r="P488" s="496"/>
      <c r="Q488" s="571"/>
      <c r="R488" s="571"/>
      <c r="S488" s="571"/>
      <c r="T488" s="571"/>
      <c r="U488" s="571"/>
      <c r="V488" s="571"/>
      <c r="W488" s="571"/>
      <c r="X488" s="571"/>
      <c r="Y488" s="571"/>
      <c r="Z488" s="571"/>
    </row>
    <row r="489" spans="1:26" ht="18.75">
      <c r="A489" s="601"/>
      <c r="B489" s="611"/>
      <c r="C489" s="611"/>
      <c r="D489" s="611"/>
      <c r="E489" s="611"/>
      <c r="F489" s="611" t="s">
        <v>212</v>
      </c>
      <c r="G489" s="753"/>
      <c r="H489" s="616" t="s">
        <v>35</v>
      </c>
      <c r="I489" s="269">
        <f ca="1">IFERROR(__xludf.DUMMYFUNCTION("IMPORTRANGE(""https://docs.google.com/spreadsheets/d/1QqKyyYR6Q21VydFLVH3TRQUabQu_ym0Zz7PgGX0-kHA/edit?usp=sharing"",""แผน!GB53"")"),13)</f>
        <v>13</v>
      </c>
      <c r="J489" s="214">
        <v>0</v>
      </c>
      <c r="K489" s="496">
        <f ca="1">IF(I489&gt;0,J489*100/I489,0)</f>
        <v>0</v>
      </c>
      <c r="L489" s="496"/>
      <c r="M489" s="496"/>
      <c r="N489" s="496"/>
      <c r="O489" s="496"/>
      <c r="P489" s="496"/>
      <c r="Q489" s="571"/>
      <c r="R489" s="571"/>
      <c r="S489" s="571"/>
      <c r="T489" s="571"/>
      <c r="U489" s="571"/>
      <c r="V489" s="571"/>
      <c r="W489" s="571"/>
      <c r="X489" s="571"/>
      <c r="Y489" s="571"/>
      <c r="Z489" s="571"/>
    </row>
    <row r="490" spans="1:26" ht="18.75">
      <c r="A490" s="601"/>
      <c r="B490" s="611"/>
      <c r="C490" s="611"/>
      <c r="D490" s="611"/>
      <c r="E490" s="611" t="s">
        <v>63</v>
      </c>
      <c r="F490" s="619"/>
      <c r="G490" s="753"/>
      <c r="H490" s="616"/>
      <c r="I490" s="269"/>
      <c r="J490" s="269"/>
      <c r="K490" s="496"/>
      <c r="L490" s="496"/>
      <c r="M490" s="496"/>
      <c r="N490" s="496"/>
      <c r="O490" s="496"/>
      <c r="P490" s="496"/>
      <c r="Q490" s="571"/>
      <c r="R490" s="571"/>
      <c r="S490" s="571"/>
      <c r="T490" s="571"/>
      <c r="U490" s="571"/>
      <c r="V490" s="571"/>
      <c r="W490" s="571"/>
      <c r="X490" s="571"/>
      <c r="Y490" s="571"/>
      <c r="Z490" s="571"/>
    </row>
    <row r="491" spans="1:26" ht="18.75">
      <c r="A491" s="601"/>
      <c r="B491" s="611"/>
      <c r="C491" s="611"/>
      <c r="D491" s="611"/>
      <c r="E491" s="611"/>
      <c r="F491" s="611" t="s">
        <v>213</v>
      </c>
      <c r="G491" s="753"/>
      <c r="H491" s="616" t="s">
        <v>35</v>
      </c>
      <c r="I491" s="269"/>
      <c r="J491" s="214">
        <v>0</v>
      </c>
      <c r="K491" s="496"/>
      <c r="L491" s="496"/>
      <c r="M491" s="496"/>
      <c r="N491" s="496"/>
      <c r="O491" s="496"/>
      <c r="P491" s="496"/>
      <c r="Q491" s="571"/>
      <c r="R491" s="571"/>
      <c r="S491" s="571"/>
      <c r="T491" s="571"/>
      <c r="U491" s="571"/>
      <c r="V491" s="571"/>
      <c r="W491" s="571"/>
      <c r="X491" s="571"/>
      <c r="Y491" s="571"/>
      <c r="Z491" s="571"/>
    </row>
    <row r="492" spans="1:26" ht="18.75">
      <c r="A492" s="601"/>
      <c r="B492" s="611"/>
      <c r="C492" s="611"/>
      <c r="D492" s="611"/>
      <c r="E492" s="611"/>
      <c r="F492" s="611" t="s">
        <v>214</v>
      </c>
      <c r="G492" s="753"/>
      <c r="H492" s="616" t="s">
        <v>35</v>
      </c>
      <c r="I492" s="269">
        <f ca="1">IFERROR(__xludf.DUMMYFUNCTION("IMPORTRANGE(""https://docs.google.com/spreadsheets/d/1QqKyyYR6Q21VydFLVH3TRQUabQu_ym0Zz7PgGX0-kHA/edit?usp=sharing"",""แผน!GC53"")"),1)</f>
        <v>1</v>
      </c>
      <c r="J492" s="214">
        <v>1</v>
      </c>
      <c r="K492" s="496">
        <f ca="1">IF(I492&gt;0,J492*100/I492,0)</f>
        <v>100</v>
      </c>
      <c r="L492" s="496"/>
      <c r="M492" s="496"/>
      <c r="N492" s="496"/>
      <c r="O492" s="496"/>
      <c r="P492" s="496"/>
      <c r="Q492" s="571"/>
      <c r="R492" s="571"/>
      <c r="S492" s="571"/>
      <c r="T492" s="571"/>
      <c r="U492" s="571"/>
      <c r="V492" s="571"/>
      <c r="W492" s="571"/>
      <c r="X492" s="571"/>
      <c r="Y492" s="571"/>
      <c r="Z492" s="571"/>
    </row>
    <row r="493" spans="1:26" ht="19.5">
      <c r="A493" s="601"/>
      <c r="B493" s="611"/>
      <c r="C493" s="611"/>
      <c r="D493" s="618" t="s">
        <v>59</v>
      </c>
      <c r="E493" s="611"/>
      <c r="F493" s="619"/>
      <c r="G493" s="753"/>
      <c r="H493" s="189"/>
      <c r="I493" s="269"/>
      <c r="J493" s="269"/>
      <c r="K493" s="496"/>
      <c r="L493" s="496"/>
      <c r="M493" s="496"/>
      <c r="N493" s="496"/>
      <c r="O493" s="496"/>
      <c r="P493" s="496"/>
      <c r="Q493" s="571"/>
      <c r="R493" s="571"/>
      <c r="S493" s="571"/>
      <c r="T493" s="571"/>
      <c r="U493" s="571"/>
      <c r="V493" s="571"/>
      <c r="W493" s="571"/>
      <c r="X493" s="571"/>
      <c r="Y493" s="571"/>
      <c r="Z493" s="571"/>
    </row>
    <row r="494" spans="1:26" ht="18.75">
      <c r="A494" s="601"/>
      <c r="B494" s="611"/>
      <c r="C494" s="611"/>
      <c r="D494" s="611"/>
      <c r="E494" s="611" t="s">
        <v>207</v>
      </c>
      <c r="F494" s="619"/>
      <c r="G494" s="753"/>
      <c r="H494" s="189"/>
      <c r="I494" s="269"/>
      <c r="J494" s="269"/>
      <c r="K494" s="496"/>
      <c r="L494" s="496"/>
      <c r="M494" s="496"/>
      <c r="N494" s="496"/>
      <c r="O494" s="496"/>
      <c r="P494" s="496"/>
      <c r="Q494" s="571"/>
      <c r="R494" s="571"/>
      <c r="S494" s="571"/>
      <c r="T494" s="571"/>
      <c r="U494" s="571"/>
      <c r="V494" s="571"/>
      <c r="W494" s="571"/>
      <c r="X494" s="571"/>
      <c r="Y494" s="571"/>
      <c r="Z494" s="571"/>
    </row>
    <row r="495" spans="1:26" ht="18.75">
      <c r="A495" s="601"/>
      <c r="B495" s="611"/>
      <c r="C495" s="611"/>
      <c r="D495" s="611"/>
      <c r="E495" s="611"/>
      <c r="F495" s="619" t="s">
        <v>215</v>
      </c>
      <c r="G495" s="753"/>
      <c r="H495" s="616" t="s">
        <v>46</v>
      </c>
      <c r="I495" s="269">
        <f ca="1">IFERROR(__xludf.DUMMYFUNCTION("IMPORTRANGE(""https://docs.google.com/spreadsheets/d/1QqKyyYR6Q21VydFLVH3TRQUabQu_ym0Zz7PgGX0-kHA/edit?usp=sharing"",""แผน!FY53"")"),1170)</f>
        <v>1170</v>
      </c>
      <c r="J495" s="214">
        <v>0</v>
      </c>
      <c r="K495" s="496">
        <f ca="1">IF(I495&gt;0,J495*100/I495,0)</f>
        <v>0</v>
      </c>
      <c r="L495" s="496"/>
      <c r="M495" s="496"/>
      <c r="N495" s="496"/>
      <c r="O495" s="496"/>
      <c r="P495" s="496"/>
      <c r="Q495" s="571"/>
      <c r="R495" s="571"/>
      <c r="S495" s="571"/>
      <c r="T495" s="571"/>
      <c r="U495" s="571"/>
      <c r="V495" s="571"/>
      <c r="W495" s="571"/>
      <c r="X495" s="571"/>
      <c r="Y495" s="571"/>
      <c r="Z495" s="571"/>
    </row>
    <row r="496" spans="1:26" ht="18.75">
      <c r="A496" s="601"/>
      <c r="B496" s="611"/>
      <c r="C496" s="611"/>
      <c r="D496" s="611"/>
      <c r="E496" s="611"/>
      <c r="F496" s="619" t="s">
        <v>216</v>
      </c>
      <c r="G496" s="753"/>
      <c r="H496" s="616" t="s">
        <v>46</v>
      </c>
      <c r="I496" s="269"/>
      <c r="J496" s="214">
        <v>0</v>
      </c>
      <c r="K496" s="496"/>
      <c r="L496" s="496"/>
      <c r="M496" s="496"/>
      <c r="N496" s="496"/>
      <c r="O496" s="496"/>
      <c r="P496" s="496"/>
      <c r="Q496" s="571"/>
      <c r="R496" s="571"/>
      <c r="S496" s="571"/>
      <c r="T496" s="571"/>
      <c r="U496" s="571"/>
      <c r="V496" s="571"/>
      <c r="W496" s="571"/>
      <c r="X496" s="571"/>
      <c r="Y496" s="571"/>
      <c r="Z496" s="571"/>
    </row>
    <row r="497" spans="1:26" ht="18.75">
      <c r="A497" s="601"/>
      <c r="B497" s="611"/>
      <c r="C497" s="611"/>
      <c r="D497" s="611"/>
      <c r="E497" s="611" t="s">
        <v>62</v>
      </c>
      <c r="F497" s="619"/>
      <c r="G497" s="753"/>
      <c r="H497" s="189"/>
      <c r="I497" s="269"/>
      <c r="J497" s="269"/>
      <c r="K497" s="496"/>
      <c r="L497" s="496"/>
      <c r="M497" s="496"/>
      <c r="N497" s="496"/>
      <c r="O497" s="496"/>
      <c r="P497" s="496"/>
      <c r="Q497" s="571"/>
      <c r="R497" s="571"/>
      <c r="S497" s="571"/>
      <c r="T497" s="571"/>
      <c r="U497" s="571"/>
      <c r="V497" s="571"/>
      <c r="W497" s="571"/>
      <c r="X497" s="571"/>
      <c r="Y497" s="571"/>
      <c r="Z497" s="571"/>
    </row>
    <row r="498" spans="1:26" ht="18.75">
      <c r="A498" s="601"/>
      <c r="B498" s="611"/>
      <c r="C498" s="611"/>
      <c r="D498" s="611"/>
      <c r="E498" s="619"/>
      <c r="F498" s="619" t="s">
        <v>217</v>
      </c>
      <c r="G498" s="753"/>
      <c r="H498" s="616" t="s">
        <v>46</v>
      </c>
      <c r="I498" s="269">
        <f ca="1">IFERROR(__xludf.DUMMYFUNCTION("IMPORTRANGE(""https://docs.google.com/spreadsheets/d/1QqKyyYR6Q21VydFLVH3TRQUabQu_ym0Zz7PgGX0-kHA/edit?usp=sharing"",""แผน!GA53"")"),130)</f>
        <v>130</v>
      </c>
      <c r="J498" s="214">
        <v>0</v>
      </c>
      <c r="K498" s="496">
        <f ca="1">IF(I498&gt;0,J498*100/I498,0)</f>
        <v>0</v>
      </c>
      <c r="L498" s="496"/>
      <c r="M498" s="496"/>
      <c r="N498" s="496"/>
      <c r="O498" s="496"/>
      <c r="P498" s="496"/>
      <c r="Q498" s="571"/>
      <c r="R498" s="571"/>
      <c r="S498" s="571"/>
      <c r="T498" s="571"/>
      <c r="U498" s="571"/>
      <c r="V498" s="571"/>
      <c r="W498" s="571"/>
      <c r="X498" s="571"/>
      <c r="Y498" s="571"/>
      <c r="Z498" s="571"/>
    </row>
    <row r="499" spans="1:26" ht="18.75">
      <c r="A499" s="601"/>
      <c r="B499" s="611"/>
      <c r="C499" s="611"/>
      <c r="D499" s="611"/>
      <c r="E499" s="619"/>
      <c r="F499" s="619" t="s">
        <v>218</v>
      </c>
      <c r="G499" s="753"/>
      <c r="H499" s="616" t="s">
        <v>46</v>
      </c>
      <c r="I499" s="269"/>
      <c r="J499" s="214">
        <v>0</v>
      </c>
      <c r="K499" s="496"/>
      <c r="L499" s="496"/>
      <c r="M499" s="496"/>
      <c r="N499" s="496"/>
      <c r="O499" s="496"/>
      <c r="P499" s="496"/>
      <c r="Q499" s="571"/>
      <c r="R499" s="571"/>
      <c r="S499" s="571"/>
      <c r="T499" s="571"/>
      <c r="U499" s="571"/>
      <c r="V499" s="571"/>
      <c r="W499" s="571"/>
      <c r="X499" s="571"/>
      <c r="Y499" s="571"/>
      <c r="Z499" s="571"/>
    </row>
    <row r="500" spans="1:26" ht="19.5" hidden="1">
      <c r="A500" s="620">
        <v>4</v>
      </c>
      <c r="B500" s="621" t="s">
        <v>219</v>
      </c>
      <c r="C500" s="622"/>
      <c r="D500" s="623"/>
      <c r="E500" s="623"/>
      <c r="F500" s="623"/>
      <c r="G500" s="624"/>
      <c r="H500" s="625" t="s">
        <v>109</v>
      </c>
      <c r="I500" s="626"/>
      <c r="J500" s="626">
        <f t="shared" ref="J500:J501" si="214">J516</f>
        <v>0</v>
      </c>
      <c r="K500" s="627">
        <f t="shared" ref="K500:K501" si="215">IF(I500&gt;0,J500*100/I500,0)</f>
        <v>0</v>
      </c>
      <c r="L500" s="628"/>
      <c r="M500" s="628"/>
      <c r="N500" s="628"/>
      <c r="O500" s="628"/>
      <c r="P500" s="628"/>
      <c r="Q500" s="597"/>
      <c r="R500" s="597"/>
      <c r="S500" s="597"/>
      <c r="T500" s="597"/>
      <c r="U500" s="597"/>
      <c r="V500" s="597"/>
      <c r="W500" s="597"/>
      <c r="X500" s="597"/>
      <c r="Y500" s="597"/>
      <c r="Z500" s="597"/>
    </row>
    <row r="501" spans="1:26" ht="19.5" hidden="1">
      <c r="A501" s="629"/>
      <c r="B501" s="631" t="s">
        <v>220</v>
      </c>
      <c r="C501" s="631"/>
      <c r="D501" s="632"/>
      <c r="E501" s="632"/>
      <c r="F501" s="632"/>
      <c r="G501" s="633"/>
      <c r="H501" s="634" t="s">
        <v>35</v>
      </c>
      <c r="I501" s="635"/>
      <c r="J501" s="635">
        <f t="shared" si="214"/>
        <v>0</v>
      </c>
      <c r="K501" s="636">
        <f t="shared" si="215"/>
        <v>0</v>
      </c>
      <c r="L501" s="637"/>
      <c r="M501" s="637"/>
      <c r="N501" s="637"/>
      <c r="O501" s="637"/>
      <c r="P501" s="637"/>
      <c r="Q501" s="597"/>
      <c r="R501" s="597"/>
      <c r="S501" s="597"/>
      <c r="T501" s="597"/>
      <c r="U501" s="597"/>
      <c r="V501" s="597"/>
      <c r="W501" s="597"/>
      <c r="X501" s="597"/>
      <c r="Y501" s="597"/>
      <c r="Z501" s="597"/>
    </row>
    <row r="502" spans="1:26" ht="19.5" hidden="1">
      <c r="A502" s="592"/>
      <c r="B502" s="750"/>
      <c r="C502" s="750" t="s">
        <v>16</v>
      </c>
      <c r="D502" s="864" t="s">
        <v>17</v>
      </c>
      <c r="E502" s="857"/>
      <c r="F502" s="857"/>
      <c r="G502" s="596"/>
      <c r="H502" s="639" t="s">
        <v>12</v>
      </c>
      <c r="I502" s="610"/>
      <c r="J502" s="610"/>
      <c r="K502" s="93"/>
      <c r="L502" s="640">
        <f t="shared" ref="L502:N502" si="216">L503+L504</f>
        <v>0</v>
      </c>
      <c r="M502" s="640">
        <f t="shared" si="216"/>
        <v>0</v>
      </c>
      <c r="N502" s="640">
        <f t="shared" si="216"/>
        <v>0</v>
      </c>
      <c r="O502" s="640">
        <f t="shared" ref="O502:O507" si="217">IF(L502&gt;0,N502*100/L502,0)</f>
        <v>0</v>
      </c>
      <c r="P502" s="640">
        <f t="shared" ref="P502:P507" si="218">IF(M502&gt;0,N502*100/M502,0)</f>
        <v>0</v>
      </c>
      <c r="Q502" s="597"/>
      <c r="R502" s="597"/>
      <c r="S502" s="597"/>
      <c r="T502" s="597"/>
      <c r="U502" s="597"/>
      <c r="V502" s="597"/>
      <c r="W502" s="597"/>
      <c r="X502" s="597"/>
      <c r="Y502" s="597"/>
      <c r="Z502" s="597"/>
    </row>
    <row r="503" spans="1:26" ht="18.75" hidden="1">
      <c r="A503" s="592"/>
      <c r="B503" s="750"/>
      <c r="C503" s="750"/>
      <c r="D503" s="711"/>
      <c r="E503" s="750" t="s">
        <v>184</v>
      </c>
      <c r="F503" s="750"/>
      <c r="G503" s="596"/>
      <c r="H503" s="165" t="s">
        <v>12</v>
      </c>
      <c r="I503" s="610"/>
      <c r="J503" s="610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597"/>
      <c r="R503" s="597"/>
      <c r="S503" s="597"/>
      <c r="T503" s="597"/>
      <c r="U503" s="597"/>
      <c r="V503" s="597"/>
      <c r="W503" s="597"/>
      <c r="X503" s="597"/>
      <c r="Y503" s="597"/>
      <c r="Z503" s="597"/>
    </row>
    <row r="504" spans="1:26" ht="18.75" hidden="1">
      <c r="A504" s="592"/>
      <c r="B504" s="600"/>
      <c r="C504" s="750"/>
      <c r="D504" s="711"/>
      <c r="E504" s="750" t="s">
        <v>185</v>
      </c>
      <c r="F504" s="750"/>
      <c r="G504" s="596"/>
      <c r="H504" s="165" t="s">
        <v>12</v>
      </c>
      <c r="I504" s="610"/>
      <c r="J504" s="610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597"/>
      <c r="R504" s="597"/>
      <c r="S504" s="597"/>
      <c r="T504" s="597"/>
      <c r="U504" s="597"/>
      <c r="V504" s="597"/>
      <c r="W504" s="597"/>
      <c r="X504" s="597"/>
      <c r="Y504" s="597"/>
      <c r="Z504" s="597"/>
    </row>
    <row r="505" spans="1:26" ht="18.75" hidden="1">
      <c r="A505" s="592"/>
      <c r="B505" s="600"/>
      <c r="C505" s="750"/>
      <c r="D505" s="641" t="s">
        <v>20</v>
      </c>
      <c r="E505" s="750"/>
      <c r="F505" s="750"/>
      <c r="G505" s="596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597"/>
      <c r="R505" s="597"/>
      <c r="S505" s="597"/>
      <c r="T505" s="597"/>
      <c r="U505" s="597"/>
      <c r="V505" s="597"/>
      <c r="W505" s="597"/>
      <c r="X505" s="597"/>
      <c r="Y505" s="597"/>
      <c r="Z505" s="597"/>
    </row>
    <row r="506" spans="1:26" ht="18.75" hidden="1">
      <c r="A506" s="592"/>
      <c r="B506" s="600"/>
      <c r="C506" s="750"/>
      <c r="D506" s="711"/>
      <c r="E506" s="750" t="s">
        <v>184</v>
      </c>
      <c r="F506" s="750"/>
      <c r="G506" s="596"/>
      <c r="H506" s="165" t="s">
        <v>12</v>
      </c>
      <c r="I506" s="610"/>
      <c r="J506" s="610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597"/>
      <c r="R506" s="597"/>
      <c r="S506" s="597"/>
      <c r="T506" s="597"/>
      <c r="U506" s="597"/>
      <c r="V506" s="597"/>
      <c r="W506" s="597"/>
      <c r="X506" s="597"/>
      <c r="Y506" s="597"/>
      <c r="Z506" s="597"/>
    </row>
    <row r="507" spans="1:26" ht="18.75" hidden="1">
      <c r="A507" s="592"/>
      <c r="B507" s="600"/>
      <c r="C507" s="750"/>
      <c r="D507" s="711"/>
      <c r="E507" s="750" t="s">
        <v>185</v>
      </c>
      <c r="F507" s="750"/>
      <c r="G507" s="596"/>
      <c r="H507" s="165" t="s">
        <v>12</v>
      </c>
      <c r="I507" s="610"/>
      <c r="J507" s="610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597"/>
      <c r="R507" s="597"/>
      <c r="S507" s="597"/>
      <c r="T507" s="597"/>
      <c r="U507" s="597"/>
      <c r="V507" s="597"/>
      <c r="W507" s="597"/>
      <c r="X507" s="597"/>
      <c r="Y507" s="597"/>
      <c r="Z507" s="597"/>
    </row>
    <row r="508" spans="1:26" ht="18.75" hidden="1">
      <c r="A508" s="642"/>
      <c r="B508" s="600"/>
      <c r="C508" s="750"/>
      <c r="D508" s="750"/>
      <c r="E508" s="750"/>
      <c r="F508" s="750" t="s">
        <v>186</v>
      </c>
      <c r="G508" s="596"/>
      <c r="H508" s="165" t="s">
        <v>12</v>
      </c>
      <c r="I508" s="610"/>
      <c r="J508" s="610"/>
      <c r="K508" s="93"/>
      <c r="L508" s="93"/>
      <c r="M508" s="93"/>
      <c r="N508" s="93">
        <v>0</v>
      </c>
      <c r="O508" s="93"/>
      <c r="P508" s="93"/>
      <c r="Q508" s="597"/>
      <c r="R508" s="597"/>
      <c r="S508" s="597"/>
      <c r="T508" s="597"/>
      <c r="U508" s="597"/>
      <c r="V508" s="597"/>
      <c r="W508" s="597"/>
      <c r="X508" s="597"/>
      <c r="Y508" s="597"/>
      <c r="Z508" s="597"/>
    </row>
    <row r="509" spans="1:26" ht="18.75" hidden="1">
      <c r="A509" s="642"/>
      <c r="B509" s="600"/>
      <c r="C509" s="750"/>
      <c r="D509" s="750"/>
      <c r="E509" s="750"/>
      <c r="F509" s="750" t="s">
        <v>187</v>
      </c>
      <c r="G509" s="596"/>
      <c r="H509" s="165" t="s">
        <v>12</v>
      </c>
      <c r="I509" s="610"/>
      <c r="J509" s="610"/>
      <c r="K509" s="93"/>
      <c r="L509" s="93"/>
      <c r="M509" s="93"/>
      <c r="N509" s="93">
        <v>0</v>
      </c>
      <c r="O509" s="93"/>
      <c r="P509" s="93"/>
      <c r="Q509" s="597"/>
      <c r="R509" s="597"/>
      <c r="S509" s="597"/>
      <c r="T509" s="597"/>
      <c r="U509" s="597"/>
      <c r="V509" s="597"/>
      <c r="W509" s="597"/>
      <c r="X509" s="597"/>
      <c r="Y509" s="597"/>
      <c r="Z509" s="597"/>
    </row>
    <row r="510" spans="1:26" ht="18.75" hidden="1">
      <c r="A510" s="642"/>
      <c r="B510" s="600"/>
      <c r="C510" s="600"/>
      <c r="D510" s="600"/>
      <c r="E510" s="750"/>
      <c r="F510" s="750" t="s">
        <v>188</v>
      </c>
      <c r="G510" s="596"/>
      <c r="H510" s="165" t="s">
        <v>12</v>
      </c>
      <c r="I510" s="610"/>
      <c r="J510" s="610"/>
      <c r="K510" s="93"/>
      <c r="L510" s="93"/>
      <c r="M510" s="93"/>
      <c r="N510" s="93">
        <v>0</v>
      </c>
      <c r="O510" s="93"/>
      <c r="P510" s="93"/>
      <c r="Q510" s="597"/>
      <c r="R510" s="597"/>
      <c r="S510" s="597"/>
      <c r="T510" s="597"/>
      <c r="U510" s="597"/>
      <c r="V510" s="597"/>
      <c r="W510" s="597"/>
      <c r="X510" s="597"/>
      <c r="Y510" s="597"/>
      <c r="Z510" s="597"/>
    </row>
    <row r="511" spans="1:26" ht="18.75" hidden="1">
      <c r="A511" s="642"/>
      <c r="B511" s="600"/>
      <c r="C511" s="600"/>
      <c r="D511" s="600"/>
      <c r="E511" s="750"/>
      <c r="F511" s="750" t="s">
        <v>189</v>
      </c>
      <c r="G511" s="596"/>
      <c r="H511" s="165" t="s">
        <v>12</v>
      </c>
      <c r="I511" s="610"/>
      <c r="J511" s="610"/>
      <c r="K511" s="93"/>
      <c r="L511" s="93"/>
      <c r="M511" s="93"/>
      <c r="N511" s="93">
        <v>0</v>
      </c>
      <c r="O511" s="93"/>
      <c r="P511" s="93"/>
      <c r="Q511" s="597"/>
      <c r="R511" s="597"/>
      <c r="S511" s="597"/>
      <c r="T511" s="597"/>
      <c r="U511" s="597"/>
      <c r="V511" s="597"/>
      <c r="W511" s="597"/>
      <c r="X511" s="597"/>
      <c r="Y511" s="597"/>
      <c r="Z511" s="597"/>
    </row>
    <row r="512" spans="1:26" ht="18.75" hidden="1">
      <c r="A512" s="592"/>
      <c r="B512" s="600"/>
      <c r="C512" s="600"/>
      <c r="D512" s="641" t="s">
        <v>21</v>
      </c>
      <c r="E512" s="600"/>
      <c r="F512" s="750"/>
      <c r="G512" s="596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597"/>
      <c r="R512" s="597"/>
      <c r="S512" s="597"/>
      <c r="T512" s="597"/>
      <c r="U512" s="597"/>
      <c r="V512" s="597"/>
      <c r="W512" s="597"/>
      <c r="X512" s="597"/>
      <c r="Y512" s="597"/>
      <c r="Z512" s="597"/>
    </row>
    <row r="513" spans="1:26" ht="18.75" hidden="1">
      <c r="A513" s="592"/>
      <c r="B513" s="600"/>
      <c r="C513" s="600"/>
      <c r="D513" s="600"/>
      <c r="E513" s="600" t="s">
        <v>18</v>
      </c>
      <c r="F513" s="750"/>
      <c r="G513" s="596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597"/>
      <c r="R513" s="597"/>
      <c r="S513" s="597"/>
      <c r="T513" s="597"/>
      <c r="U513" s="597"/>
      <c r="V513" s="597"/>
      <c r="W513" s="597"/>
      <c r="X513" s="597"/>
      <c r="Y513" s="597"/>
      <c r="Z513" s="597"/>
    </row>
    <row r="514" spans="1:26" ht="18.75" hidden="1">
      <c r="A514" s="592"/>
      <c r="B514" s="600"/>
      <c r="C514" s="600"/>
      <c r="D514" s="750"/>
      <c r="E514" s="600" t="s">
        <v>19</v>
      </c>
      <c r="F514" s="750"/>
      <c r="G514" s="596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597"/>
      <c r="R514" s="597"/>
      <c r="S514" s="597"/>
      <c r="T514" s="597"/>
      <c r="U514" s="597"/>
      <c r="V514" s="597"/>
      <c r="W514" s="597"/>
      <c r="X514" s="597"/>
      <c r="Y514" s="597"/>
      <c r="Z514" s="597"/>
    </row>
    <row r="515" spans="1:26" ht="19.5" hidden="1">
      <c r="A515" s="607"/>
      <c r="B515" s="609"/>
      <c r="C515" s="600" t="s">
        <v>16</v>
      </c>
      <c r="D515" s="838" t="s">
        <v>38</v>
      </c>
      <c r="E515" s="644"/>
      <c r="F515" s="644"/>
      <c r="G515" s="645"/>
      <c r="H515" s="365"/>
      <c r="I515" s="166"/>
      <c r="J515" s="166"/>
      <c r="K515" s="167"/>
      <c r="L515" s="167"/>
      <c r="M515" s="167"/>
      <c r="N515" s="167"/>
      <c r="O515" s="167"/>
      <c r="P515" s="167"/>
      <c r="Q515" s="597"/>
      <c r="R515" s="597"/>
      <c r="S515" s="597"/>
      <c r="T515" s="597"/>
      <c r="U515" s="597"/>
      <c r="V515" s="597"/>
      <c r="W515" s="597"/>
      <c r="X515" s="597"/>
      <c r="Y515" s="597"/>
      <c r="Z515" s="597"/>
    </row>
    <row r="516" spans="1:26" ht="18.75" hidden="1">
      <c r="A516" s="607"/>
      <c r="B516" s="609"/>
      <c r="C516" s="609"/>
      <c r="D516" s="609" t="s">
        <v>221</v>
      </c>
      <c r="E516" s="711"/>
      <c r="F516" s="711"/>
      <c r="G516" s="365"/>
      <c r="H516" s="646" t="s">
        <v>109</v>
      </c>
      <c r="I516" s="610"/>
      <c r="J516" s="610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597"/>
      <c r="R516" s="597"/>
      <c r="S516" s="597"/>
      <c r="T516" s="597"/>
      <c r="U516" s="597"/>
      <c r="V516" s="597"/>
      <c r="W516" s="597"/>
      <c r="X516" s="597"/>
      <c r="Y516" s="597"/>
      <c r="Z516" s="597"/>
    </row>
    <row r="517" spans="1:26" ht="19.5" hidden="1">
      <c r="A517" s="607"/>
      <c r="B517" s="609"/>
      <c r="C517" s="609"/>
      <c r="D517" s="609" t="s">
        <v>222</v>
      </c>
      <c r="E517" s="711"/>
      <c r="F517" s="711"/>
      <c r="G517" s="365"/>
      <c r="H517" s="647" t="s">
        <v>35</v>
      </c>
      <c r="I517" s="648"/>
      <c r="J517" s="648">
        <f>J518+J519</f>
        <v>0</v>
      </c>
      <c r="K517" s="649">
        <f t="shared" si="224"/>
        <v>0</v>
      </c>
      <c r="L517" s="167"/>
      <c r="M517" s="167"/>
      <c r="N517" s="167"/>
      <c r="O517" s="167"/>
      <c r="P517" s="167"/>
      <c r="Q517" s="597"/>
      <c r="R517" s="597"/>
      <c r="S517" s="597"/>
      <c r="T517" s="597"/>
      <c r="U517" s="597"/>
      <c r="V517" s="597"/>
      <c r="W517" s="597"/>
      <c r="X517" s="597"/>
      <c r="Y517" s="597"/>
      <c r="Z517" s="597"/>
    </row>
    <row r="518" spans="1:26" ht="18.75" hidden="1">
      <c r="A518" s="607"/>
      <c r="B518" s="609"/>
      <c r="C518" s="609"/>
      <c r="D518" s="609"/>
      <c r="E518" s="609" t="s">
        <v>223</v>
      </c>
      <c r="F518" s="711"/>
      <c r="G518" s="365"/>
      <c r="H518" s="369" t="s">
        <v>35</v>
      </c>
      <c r="I518" s="610"/>
      <c r="J518" s="610"/>
      <c r="K518" s="167"/>
      <c r="L518" s="167"/>
      <c r="M518" s="167"/>
      <c r="N518" s="167"/>
      <c r="O518" s="167"/>
      <c r="P518" s="167"/>
      <c r="Q518" s="597"/>
      <c r="R518" s="597"/>
      <c r="S518" s="597"/>
      <c r="T518" s="597"/>
      <c r="U518" s="597"/>
      <c r="V518" s="597"/>
      <c r="W518" s="597"/>
      <c r="X518" s="597"/>
      <c r="Y518" s="597"/>
      <c r="Z518" s="597"/>
    </row>
    <row r="519" spans="1:26" ht="18.75" hidden="1">
      <c r="A519" s="607"/>
      <c r="B519" s="609"/>
      <c r="C519" s="609"/>
      <c r="D519" s="609"/>
      <c r="E519" s="609" t="s">
        <v>224</v>
      </c>
      <c r="F519" s="711"/>
      <c r="G519" s="365"/>
      <c r="H519" s="646" t="s">
        <v>35</v>
      </c>
      <c r="I519" s="610"/>
      <c r="J519" s="610"/>
      <c r="K519" s="167"/>
      <c r="L519" s="167"/>
      <c r="M519" s="167"/>
      <c r="N519" s="167"/>
      <c r="O519" s="167"/>
      <c r="P519" s="167"/>
      <c r="Q519" s="597"/>
      <c r="R519" s="597"/>
      <c r="S519" s="597"/>
      <c r="T519" s="597"/>
      <c r="U519" s="597"/>
      <c r="V519" s="597"/>
      <c r="W519" s="597"/>
      <c r="X519" s="597"/>
      <c r="Y519" s="597"/>
      <c r="Z519" s="597"/>
    </row>
    <row r="520" spans="1:26" ht="19.5">
      <c r="A520" s="650" t="s">
        <v>137</v>
      </c>
      <c r="B520" s="651"/>
      <c r="C520" s="651"/>
      <c r="D520" s="652"/>
      <c r="E520" s="652"/>
      <c r="F520" s="652"/>
      <c r="G520" s="653"/>
      <c r="H520" s="654"/>
      <c r="I520" s="655"/>
      <c r="J520" s="655"/>
      <c r="K520" s="656"/>
      <c r="L520" s="656"/>
      <c r="M520" s="656"/>
      <c r="N520" s="656"/>
      <c r="O520" s="656"/>
      <c r="P520" s="656"/>
    </row>
    <row r="521" spans="1:26" ht="19.5">
      <c r="A521" s="657">
        <v>5</v>
      </c>
      <c r="B521" s="658" t="s">
        <v>225</v>
      </c>
      <c r="C521" s="659"/>
      <c r="D521" s="660"/>
      <c r="E521" s="660"/>
      <c r="F521" s="660"/>
      <c r="G521" s="660"/>
      <c r="H521" s="661"/>
      <c r="I521" s="662"/>
      <c r="J521" s="662"/>
      <c r="K521" s="663"/>
      <c r="L521" s="663"/>
      <c r="M521" s="663"/>
      <c r="N521" s="663"/>
      <c r="O521" s="663"/>
      <c r="P521" s="663"/>
      <c r="Q521" s="571"/>
      <c r="R521" s="571"/>
      <c r="S521" s="571"/>
      <c r="T521" s="571"/>
      <c r="U521" s="571"/>
      <c r="V521" s="571"/>
      <c r="W521" s="571"/>
      <c r="X521" s="571"/>
      <c r="Y521" s="571"/>
      <c r="Z521" s="571"/>
    </row>
    <row r="522" spans="1:26" ht="19.5">
      <c r="A522" s="664"/>
      <c r="B522" s="665" t="s">
        <v>226</v>
      </c>
      <c r="C522" s="666"/>
      <c r="D522" s="666"/>
      <c r="E522" s="666"/>
      <c r="F522" s="666"/>
      <c r="G522" s="667"/>
      <c r="H522" s="668" t="s">
        <v>35</v>
      </c>
      <c r="I522" s="699">
        <f t="shared" ref="I522:J522" ca="1" si="225">I537</f>
        <v>50</v>
      </c>
      <c r="J522" s="699">
        <f t="shared" ca="1" si="225"/>
        <v>0</v>
      </c>
      <c r="K522" s="670">
        <f ca="1">IF(I522&gt;0,J522*100/I522,0)</f>
        <v>0</v>
      </c>
      <c r="L522" s="671"/>
      <c r="M522" s="671"/>
      <c r="N522" s="671"/>
      <c r="O522" s="671"/>
      <c r="P522" s="671"/>
      <c r="Q522" s="571"/>
      <c r="R522" s="571"/>
      <c r="S522" s="571"/>
      <c r="T522" s="571"/>
      <c r="U522" s="571"/>
      <c r="V522" s="571"/>
      <c r="W522" s="571"/>
      <c r="X522" s="571"/>
      <c r="Y522" s="571"/>
      <c r="Z522" s="571"/>
    </row>
    <row r="523" spans="1:26" ht="19.5">
      <c r="A523" s="590"/>
      <c r="B523" s="754"/>
      <c r="C523" s="754" t="s">
        <v>16</v>
      </c>
      <c r="D523" s="863" t="s">
        <v>17</v>
      </c>
      <c r="E523" s="857"/>
      <c r="F523" s="857"/>
      <c r="G523" s="189"/>
      <c r="H523" s="591" t="s">
        <v>12</v>
      </c>
      <c r="I523" s="269"/>
      <c r="J523" s="269"/>
      <c r="K523" s="496"/>
      <c r="L523" s="195">
        <f t="shared" ref="L523:N523" ca="1" si="226">L524+L525</f>
        <v>427460</v>
      </c>
      <c r="M523" s="195">
        <f t="shared" si="226"/>
        <v>0</v>
      </c>
      <c r="N523" s="195">
        <f t="shared" si="226"/>
        <v>0</v>
      </c>
      <c r="O523" s="195">
        <f t="shared" ref="O523:O528" ca="1" si="227">IF(L523&gt;0,N523*100/L523,0)</f>
        <v>0</v>
      </c>
      <c r="P523" s="195">
        <f t="shared" ref="P523:P528" si="228">IF(M523&gt;0,N523*100/M523,0)</f>
        <v>0</v>
      </c>
      <c r="Q523" s="571"/>
      <c r="R523" s="571"/>
      <c r="S523" s="571"/>
      <c r="T523" s="571"/>
      <c r="U523" s="571"/>
      <c r="V523" s="571"/>
      <c r="W523" s="571"/>
      <c r="X523" s="571"/>
      <c r="Y523" s="571"/>
      <c r="Z523" s="571"/>
    </row>
    <row r="524" spans="1:26" ht="18.75" hidden="1">
      <c r="A524" s="592"/>
      <c r="B524" s="750"/>
      <c r="C524" s="750"/>
      <c r="D524" s="711"/>
      <c r="E524" s="750" t="s">
        <v>184</v>
      </c>
      <c r="F524" s="750"/>
      <c r="G524" s="596"/>
      <c r="H524" s="165" t="s">
        <v>12</v>
      </c>
      <c r="I524" s="610"/>
      <c r="J524" s="610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597"/>
      <c r="R524" s="597"/>
      <c r="S524" s="597"/>
      <c r="T524" s="597"/>
      <c r="U524" s="597"/>
      <c r="V524" s="597"/>
      <c r="W524" s="597"/>
      <c r="X524" s="597"/>
      <c r="Y524" s="597"/>
      <c r="Z524" s="597"/>
    </row>
    <row r="525" spans="1:26" ht="18.75" hidden="1">
      <c r="A525" s="592"/>
      <c r="B525" s="600"/>
      <c r="C525" s="750"/>
      <c r="D525" s="711"/>
      <c r="E525" s="750" t="s">
        <v>185</v>
      </c>
      <c r="F525" s="750"/>
      <c r="G525" s="596"/>
      <c r="H525" s="165" t="s">
        <v>12</v>
      </c>
      <c r="I525" s="610"/>
      <c r="J525" s="610"/>
      <c r="K525" s="93"/>
      <c r="L525" s="93">
        <f t="shared" ca="1" si="229"/>
        <v>427460</v>
      </c>
      <c r="M525" s="93">
        <f t="shared" si="229"/>
        <v>0</v>
      </c>
      <c r="N525" s="93">
        <f t="shared" si="229"/>
        <v>0</v>
      </c>
      <c r="O525" s="93">
        <f t="shared" ca="1" si="227"/>
        <v>0</v>
      </c>
      <c r="P525" s="93">
        <f t="shared" si="228"/>
        <v>0</v>
      </c>
      <c r="Q525" s="597"/>
      <c r="R525" s="597"/>
      <c r="S525" s="597"/>
      <c r="T525" s="597"/>
      <c r="U525" s="597"/>
      <c r="V525" s="597"/>
      <c r="W525" s="597"/>
      <c r="X525" s="597"/>
      <c r="Y525" s="597"/>
      <c r="Z525" s="597"/>
    </row>
    <row r="526" spans="1:26" ht="18.75">
      <c r="A526" s="590"/>
      <c r="B526" s="568"/>
      <c r="C526" s="754"/>
      <c r="D526" s="599" t="s">
        <v>20</v>
      </c>
      <c r="E526" s="754"/>
      <c r="F526" s="754"/>
      <c r="G526" s="189"/>
      <c r="H526" s="161" t="s">
        <v>12</v>
      </c>
      <c r="I526" s="184"/>
      <c r="J526" s="184"/>
      <c r="K526" s="163"/>
      <c r="L526" s="496">
        <f t="shared" ref="L526:N526" ca="1" si="230">L527+L528</f>
        <v>427460</v>
      </c>
      <c r="M526" s="496">
        <f t="shared" si="230"/>
        <v>0</v>
      </c>
      <c r="N526" s="496">
        <f t="shared" si="230"/>
        <v>0</v>
      </c>
      <c r="O526" s="496">
        <f t="shared" ca="1" si="227"/>
        <v>0</v>
      </c>
      <c r="P526" s="496">
        <f t="shared" si="228"/>
        <v>0</v>
      </c>
      <c r="Q526" s="571"/>
      <c r="R526" s="571"/>
      <c r="S526" s="571"/>
      <c r="T526" s="571"/>
      <c r="U526" s="571"/>
      <c r="V526" s="571"/>
      <c r="W526" s="571"/>
      <c r="X526" s="571"/>
      <c r="Y526" s="571"/>
      <c r="Z526" s="571"/>
    </row>
    <row r="527" spans="1:26" ht="18.75" hidden="1">
      <c r="A527" s="592"/>
      <c r="B527" s="600"/>
      <c r="C527" s="750"/>
      <c r="D527" s="711"/>
      <c r="E527" s="750" t="s">
        <v>184</v>
      </c>
      <c r="F527" s="750"/>
      <c r="G527" s="596"/>
      <c r="H527" s="165" t="s">
        <v>12</v>
      </c>
      <c r="I527" s="610"/>
      <c r="J527" s="610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597"/>
      <c r="R527" s="597"/>
      <c r="S527" s="597"/>
      <c r="T527" s="597"/>
      <c r="U527" s="597"/>
      <c r="V527" s="597"/>
      <c r="W527" s="597"/>
      <c r="X527" s="597"/>
      <c r="Y527" s="597"/>
      <c r="Z527" s="597"/>
    </row>
    <row r="528" spans="1:26" ht="18.75" hidden="1">
      <c r="A528" s="592"/>
      <c r="B528" s="600"/>
      <c r="C528" s="750"/>
      <c r="D528" s="711"/>
      <c r="E528" s="750" t="s">
        <v>185</v>
      </c>
      <c r="F528" s="750"/>
      <c r="G528" s="596"/>
      <c r="H528" s="165" t="s">
        <v>12</v>
      </c>
      <c r="I528" s="610"/>
      <c r="J528" s="610"/>
      <c r="K528" s="93"/>
      <c r="L528" s="93">
        <f ca="1">IFERROR(__xludf.DUMMYFUNCTION("IMPORTRANGE(""https://docs.google.com/spreadsheets/d/1QqKyyYR6Q21VydFLVH3TRQUabQu_ym0Zz7PgGX0-kHA/edit?usp=sharing"",""แผน!GQ53"")"),427460)</f>
        <v>427460</v>
      </c>
      <c r="M528" s="93">
        <v>0</v>
      </c>
      <c r="N528" s="93">
        <f>N529+N530+N531+N532</f>
        <v>0</v>
      </c>
      <c r="O528" s="93">
        <f t="shared" ca="1" si="227"/>
        <v>0</v>
      </c>
      <c r="P528" s="93">
        <f t="shared" si="228"/>
        <v>0</v>
      </c>
      <c r="Q528" s="597"/>
      <c r="R528" s="597"/>
      <c r="S528" s="597"/>
      <c r="T528" s="597"/>
      <c r="U528" s="597"/>
      <c r="V528" s="597"/>
      <c r="W528" s="597"/>
      <c r="X528" s="597"/>
      <c r="Y528" s="597"/>
      <c r="Z528" s="597"/>
    </row>
    <row r="529" spans="1:26" ht="18.75">
      <c r="A529" s="567"/>
      <c r="B529" s="568"/>
      <c r="C529" s="754"/>
      <c r="D529" s="754"/>
      <c r="E529" s="754"/>
      <c r="F529" s="754" t="s">
        <v>186</v>
      </c>
      <c r="G529" s="189"/>
      <c r="H529" s="161" t="s">
        <v>12</v>
      </c>
      <c r="I529" s="269"/>
      <c r="J529" s="269"/>
      <c r="K529" s="496"/>
      <c r="L529" s="496"/>
      <c r="M529" s="496"/>
      <c r="N529" s="817">
        <v>0</v>
      </c>
      <c r="O529" s="496"/>
      <c r="P529" s="496"/>
      <c r="Q529" s="571"/>
      <c r="R529" s="571"/>
      <c r="S529" s="571"/>
      <c r="T529" s="571"/>
      <c r="U529" s="571"/>
      <c r="V529" s="571"/>
      <c r="W529" s="571"/>
      <c r="X529" s="571"/>
      <c r="Y529" s="571"/>
      <c r="Z529" s="571"/>
    </row>
    <row r="530" spans="1:26" ht="18.75">
      <c r="A530" s="567"/>
      <c r="B530" s="568"/>
      <c r="C530" s="754"/>
      <c r="D530" s="754"/>
      <c r="E530" s="754"/>
      <c r="F530" s="754" t="s">
        <v>187</v>
      </c>
      <c r="G530" s="189"/>
      <c r="H530" s="161" t="s">
        <v>12</v>
      </c>
      <c r="I530" s="269"/>
      <c r="J530" s="269"/>
      <c r="K530" s="496"/>
      <c r="L530" s="496"/>
      <c r="M530" s="496"/>
      <c r="N530" s="817">
        <v>0</v>
      </c>
      <c r="O530" s="496"/>
      <c r="P530" s="496"/>
      <c r="Q530" s="571"/>
      <c r="R530" s="571"/>
      <c r="S530" s="571"/>
      <c r="T530" s="571"/>
      <c r="U530" s="571"/>
      <c r="V530" s="571"/>
      <c r="W530" s="571"/>
      <c r="X530" s="571"/>
      <c r="Y530" s="571"/>
      <c r="Z530" s="571"/>
    </row>
    <row r="531" spans="1:26" ht="18.75">
      <c r="A531" s="567"/>
      <c r="B531" s="568"/>
      <c r="C531" s="754"/>
      <c r="D531" s="754"/>
      <c r="E531" s="754"/>
      <c r="F531" s="754" t="s">
        <v>188</v>
      </c>
      <c r="G531" s="189"/>
      <c r="H531" s="161" t="s">
        <v>12</v>
      </c>
      <c r="I531" s="269"/>
      <c r="J531" s="269"/>
      <c r="K531" s="496"/>
      <c r="L531" s="496"/>
      <c r="M531" s="496"/>
      <c r="N531" s="817">
        <v>0</v>
      </c>
      <c r="O531" s="496"/>
      <c r="P531" s="496"/>
      <c r="Q531" s="571"/>
      <c r="R531" s="571"/>
      <c r="S531" s="571"/>
      <c r="T531" s="571"/>
      <c r="U531" s="571"/>
      <c r="V531" s="571"/>
      <c r="W531" s="571"/>
      <c r="X531" s="571"/>
      <c r="Y531" s="571"/>
      <c r="Z531" s="571"/>
    </row>
    <row r="532" spans="1:26" ht="18.75">
      <c r="A532" s="567"/>
      <c r="B532" s="568"/>
      <c r="C532" s="754"/>
      <c r="D532" s="754"/>
      <c r="E532" s="754"/>
      <c r="F532" s="754" t="s">
        <v>189</v>
      </c>
      <c r="G532" s="189"/>
      <c r="H532" s="161" t="s">
        <v>12</v>
      </c>
      <c r="I532" s="269"/>
      <c r="J532" s="269"/>
      <c r="K532" s="496"/>
      <c r="L532" s="496"/>
      <c r="M532" s="496"/>
      <c r="N532" s="817">
        <v>0</v>
      </c>
      <c r="O532" s="496"/>
      <c r="P532" s="496"/>
      <c r="Q532" s="571"/>
      <c r="R532" s="571"/>
      <c r="S532" s="571"/>
      <c r="T532" s="571"/>
      <c r="U532" s="571"/>
      <c r="V532" s="571"/>
      <c r="W532" s="571"/>
      <c r="X532" s="571"/>
      <c r="Y532" s="571"/>
      <c r="Z532" s="571"/>
    </row>
    <row r="533" spans="1:26" ht="18.75">
      <c r="A533" s="590"/>
      <c r="B533" s="568"/>
      <c r="C533" s="754"/>
      <c r="D533" s="599" t="s">
        <v>21</v>
      </c>
      <c r="E533" s="754"/>
      <c r="F533" s="754"/>
      <c r="G533" s="189"/>
      <c r="H533" s="168" t="s">
        <v>12</v>
      </c>
      <c r="I533" s="184"/>
      <c r="J533" s="184"/>
      <c r="K533" s="163"/>
      <c r="L533" s="496">
        <f t="shared" ref="L533:N533" ca="1" si="231">L534+L535</f>
        <v>0</v>
      </c>
      <c r="M533" s="496">
        <f t="shared" si="231"/>
        <v>0</v>
      </c>
      <c r="N533" s="496">
        <f t="shared" si="231"/>
        <v>0</v>
      </c>
      <c r="O533" s="496">
        <f t="shared" ref="O533:O535" ca="1" si="232">IF(L533&gt;0,N533*100/L533,0)</f>
        <v>0</v>
      </c>
      <c r="P533" s="496">
        <f t="shared" ref="P533:P535" si="233">IF(M533&gt;0,N533*100/M533,0)</f>
        <v>0</v>
      </c>
      <c r="Q533" s="571"/>
      <c r="R533" s="571"/>
      <c r="S533" s="571"/>
      <c r="T533" s="571"/>
      <c r="U533" s="571"/>
      <c r="V533" s="571"/>
      <c r="W533" s="571"/>
      <c r="X533" s="571"/>
      <c r="Y533" s="571"/>
      <c r="Z533" s="571"/>
    </row>
    <row r="534" spans="1:26" ht="18.75" hidden="1">
      <c r="A534" s="592"/>
      <c r="B534" s="600"/>
      <c r="C534" s="750"/>
      <c r="D534" s="750"/>
      <c r="E534" s="750" t="s">
        <v>18</v>
      </c>
      <c r="F534" s="750"/>
      <c r="G534" s="596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597"/>
      <c r="R534" s="597"/>
      <c r="S534" s="597"/>
      <c r="T534" s="597"/>
      <c r="U534" s="597"/>
      <c r="V534" s="597"/>
      <c r="W534" s="597"/>
      <c r="X534" s="597"/>
      <c r="Y534" s="597"/>
      <c r="Z534" s="597"/>
    </row>
    <row r="535" spans="1:26" ht="18.75" hidden="1">
      <c r="A535" s="592"/>
      <c r="B535" s="600"/>
      <c r="C535" s="750"/>
      <c r="D535" s="750"/>
      <c r="E535" s="750" t="s">
        <v>19</v>
      </c>
      <c r="F535" s="750"/>
      <c r="G535" s="596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IFERROR(__xludf.DUMMYFUNCTION("IMPORTRANGE(""https://docs.google.com/spreadsheets/d/1QqKyyYR6Q21VydFLVH3TRQUabQu_ym0Zz7PgGX0-kHA/edit?usp=sharing"",""แผน!GT53"")"),0)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597"/>
      <c r="R535" s="597"/>
      <c r="S535" s="597"/>
      <c r="T535" s="597"/>
      <c r="U535" s="597"/>
      <c r="V535" s="597"/>
      <c r="W535" s="597"/>
      <c r="X535" s="597"/>
      <c r="Y535" s="597"/>
      <c r="Z535" s="597"/>
    </row>
    <row r="536" spans="1:26" ht="19.5">
      <c r="A536" s="601"/>
      <c r="B536" s="611"/>
      <c r="C536" s="754" t="s">
        <v>16</v>
      </c>
      <c r="D536" s="839" t="s">
        <v>38</v>
      </c>
      <c r="E536" s="752"/>
      <c r="F536" s="752"/>
      <c r="G536" s="606"/>
      <c r="H536" s="753"/>
      <c r="I536" s="184"/>
      <c r="J536" s="184"/>
      <c r="K536" s="163"/>
      <c r="L536" s="163"/>
      <c r="M536" s="163"/>
      <c r="N536" s="163"/>
      <c r="O536" s="163"/>
      <c r="P536" s="163"/>
      <c r="Q536" s="571"/>
      <c r="R536" s="571"/>
      <c r="S536" s="571"/>
      <c r="T536" s="571"/>
      <c r="U536" s="571"/>
      <c r="V536" s="571"/>
      <c r="W536" s="571"/>
      <c r="X536" s="571"/>
      <c r="Y536" s="571"/>
      <c r="Z536" s="571"/>
    </row>
    <row r="537" spans="1:26" ht="19.5">
      <c r="A537" s="567"/>
      <c r="B537" s="568"/>
      <c r="C537" s="754"/>
      <c r="D537" s="754" t="s">
        <v>227</v>
      </c>
      <c r="E537" s="754"/>
      <c r="F537" s="754"/>
      <c r="G537" s="189"/>
      <c r="H537" s="616" t="s">
        <v>35</v>
      </c>
      <c r="I537" s="674">
        <f ca="1">IFERROR(__xludf.DUMMYFUNCTION("IMPORTRANGE(""https://docs.google.com/spreadsheets/d/1QqKyyYR6Q21VydFLVH3TRQUabQu_ym0Zz7PgGX0-kHA/edit?usp=sharing"",""แผน!GU53"")"),50)</f>
        <v>50</v>
      </c>
      <c r="J537" s="674">
        <f ca="1">IF(AND(J538=I538,J539=I539,J540=I540,J541=I541),I537,0)</f>
        <v>0</v>
      </c>
      <c r="K537" s="496">
        <f t="shared" ref="K537:K543" ca="1" si="234">IF(I537&gt;0,J537*100/I537,0)</f>
        <v>0</v>
      </c>
      <c r="L537" s="496"/>
      <c r="M537" s="496"/>
      <c r="N537" s="496"/>
      <c r="O537" s="496"/>
      <c r="P537" s="496"/>
      <c r="Q537" s="675"/>
      <c r="R537" s="675"/>
      <c r="S537" s="675"/>
      <c r="T537" s="675"/>
      <c r="U537" s="675"/>
      <c r="V537" s="675"/>
      <c r="W537" s="675"/>
      <c r="X537" s="675"/>
      <c r="Y537" s="675"/>
      <c r="Z537" s="675"/>
    </row>
    <row r="538" spans="1:26" ht="18.75">
      <c r="A538" s="567"/>
      <c r="B538" s="568"/>
      <c r="C538" s="754"/>
      <c r="D538" s="754"/>
      <c r="E538" s="754" t="s">
        <v>228</v>
      </c>
      <c r="F538" s="754"/>
      <c r="G538" s="189"/>
      <c r="H538" s="616" t="s">
        <v>35</v>
      </c>
      <c r="I538" s="269">
        <f ca="1">IFERROR(__xludf.DUMMYFUNCTION("IMPORTRANGE(""https://docs.google.com/spreadsheets/d/1QqKyyYR6Q21VydFLVH3TRQUabQu_ym0Zz7PgGX0-kHA/edit?usp=sharing"",""แผน!GV53"")"),50)</f>
        <v>50</v>
      </c>
      <c r="J538" s="214">
        <v>0</v>
      </c>
      <c r="K538" s="496">
        <f t="shared" ca="1" si="234"/>
        <v>0</v>
      </c>
      <c r="L538" s="496"/>
      <c r="M538" s="496"/>
      <c r="N538" s="496"/>
      <c r="O538" s="496"/>
      <c r="P538" s="496"/>
      <c r="Q538" s="675"/>
      <c r="R538" s="675"/>
      <c r="S538" s="675"/>
      <c r="T538" s="675"/>
      <c r="U538" s="675"/>
      <c r="V538" s="675"/>
      <c r="W538" s="675"/>
      <c r="X538" s="675"/>
      <c r="Y538" s="675"/>
      <c r="Z538" s="675"/>
    </row>
    <row r="539" spans="1:26" ht="18.75">
      <c r="A539" s="567"/>
      <c r="B539" s="568"/>
      <c r="C539" s="754"/>
      <c r="D539" s="754"/>
      <c r="E539" s="754" t="s">
        <v>229</v>
      </c>
      <c r="F539" s="754"/>
      <c r="G539" s="189"/>
      <c r="H539" s="616" t="s">
        <v>35</v>
      </c>
      <c r="I539" s="269">
        <f ca="1">IFERROR(__xludf.DUMMYFUNCTION("IMPORTRANGE(""https://docs.google.com/spreadsheets/d/1QqKyyYR6Q21VydFLVH3TRQUabQu_ym0Zz7PgGX0-kHA/edit?usp=sharing"",""แผน!GW53"")"),0)</f>
        <v>0</v>
      </c>
      <c r="J539" s="214">
        <v>0</v>
      </c>
      <c r="K539" s="496">
        <f t="shared" ca="1" si="234"/>
        <v>0</v>
      </c>
      <c r="L539" s="496"/>
      <c r="M539" s="496"/>
      <c r="N539" s="496"/>
      <c r="O539" s="496"/>
      <c r="P539" s="496"/>
      <c r="Q539" s="675"/>
      <c r="R539" s="675"/>
      <c r="S539" s="675"/>
      <c r="T539" s="675"/>
      <c r="U539" s="675"/>
      <c r="V539" s="675"/>
      <c r="W539" s="675"/>
      <c r="X539" s="675"/>
      <c r="Y539" s="675"/>
      <c r="Z539" s="675"/>
    </row>
    <row r="540" spans="1:26" ht="18.75">
      <c r="A540" s="567"/>
      <c r="B540" s="568"/>
      <c r="C540" s="754"/>
      <c r="D540" s="754"/>
      <c r="E540" s="754" t="s">
        <v>230</v>
      </c>
      <c r="F540" s="754"/>
      <c r="G540" s="189"/>
      <c r="H540" s="616" t="s">
        <v>35</v>
      </c>
      <c r="I540" s="269">
        <f ca="1">IFERROR(__xludf.DUMMYFUNCTION("IMPORTRANGE(""https://docs.google.com/spreadsheets/d/1QqKyyYR6Q21VydFLVH3TRQUabQu_ym0Zz7PgGX0-kHA/edit?usp=sharing"",""แผน!GX53"")"),0)</f>
        <v>0</v>
      </c>
      <c r="J540" s="214">
        <v>0</v>
      </c>
      <c r="K540" s="496">
        <f t="shared" ca="1" si="234"/>
        <v>0</v>
      </c>
      <c r="L540" s="496"/>
      <c r="M540" s="496"/>
      <c r="N540" s="496"/>
      <c r="O540" s="496"/>
      <c r="P540" s="496"/>
      <c r="Q540" s="675"/>
      <c r="R540" s="675"/>
      <c r="S540" s="675"/>
      <c r="T540" s="675"/>
      <c r="U540" s="675"/>
      <c r="V540" s="675"/>
      <c r="W540" s="675"/>
      <c r="X540" s="675"/>
      <c r="Y540" s="675"/>
      <c r="Z540" s="675"/>
    </row>
    <row r="541" spans="1:26" ht="18.75">
      <c r="A541" s="567"/>
      <c r="B541" s="568"/>
      <c r="C541" s="754"/>
      <c r="D541" s="754"/>
      <c r="E541" s="760" t="s">
        <v>231</v>
      </c>
      <c r="F541" s="754"/>
      <c r="G541" s="189"/>
      <c r="H541" s="616" t="s">
        <v>35</v>
      </c>
      <c r="I541" s="269">
        <f ca="1">IFERROR(__xludf.DUMMYFUNCTION("IMPORTRANGE(""https://docs.google.com/spreadsheets/d/1QqKyyYR6Q21VydFLVH3TRQUabQu_ym0Zz7PgGX0-kHA/edit?usp=sharing"",""แผน!GY53"")"),50)</f>
        <v>50</v>
      </c>
      <c r="J541" s="214">
        <v>0</v>
      </c>
      <c r="K541" s="496">
        <f t="shared" ca="1" si="234"/>
        <v>0</v>
      </c>
      <c r="L541" s="496"/>
      <c r="M541" s="496"/>
      <c r="N541" s="496"/>
      <c r="O541" s="496"/>
      <c r="P541" s="496"/>
      <c r="Q541" s="675"/>
      <c r="R541" s="675"/>
      <c r="S541" s="675"/>
      <c r="T541" s="675"/>
      <c r="U541" s="675"/>
      <c r="V541" s="675"/>
      <c r="W541" s="675"/>
      <c r="X541" s="675"/>
      <c r="Y541" s="675"/>
      <c r="Z541" s="675"/>
    </row>
    <row r="542" spans="1:26" ht="18.75">
      <c r="A542" s="567"/>
      <c r="B542" s="568"/>
      <c r="C542" s="754"/>
      <c r="D542" s="754" t="s">
        <v>59</v>
      </c>
      <c r="E542" s="754"/>
      <c r="F542" s="754"/>
      <c r="G542" s="189"/>
      <c r="H542" s="616" t="s">
        <v>35</v>
      </c>
      <c r="I542" s="269">
        <f ca="1">IFERROR(__xludf.DUMMYFUNCTION("IMPORTRANGE(""https://docs.google.com/spreadsheets/d/1QqKyyYR6Q21VydFLVH3TRQUabQu_ym0Zz7PgGX0-kHA/edit?usp=sharing"",""แผน!GZ53"")"),50)</f>
        <v>50</v>
      </c>
      <c r="J542" s="214">
        <v>0</v>
      </c>
      <c r="K542" s="496">
        <f t="shared" ca="1" si="234"/>
        <v>0</v>
      </c>
      <c r="L542" s="496"/>
      <c r="M542" s="496"/>
      <c r="N542" s="496"/>
      <c r="O542" s="496"/>
      <c r="P542" s="496"/>
      <c r="Q542" s="675"/>
      <c r="R542" s="675"/>
      <c r="S542" s="675"/>
      <c r="T542" s="675"/>
      <c r="U542" s="675"/>
      <c r="V542" s="675"/>
      <c r="W542" s="675"/>
      <c r="X542" s="675"/>
      <c r="Y542" s="675"/>
      <c r="Z542" s="675"/>
    </row>
    <row r="543" spans="1:26" ht="19.5">
      <c r="A543" s="657">
        <v>6</v>
      </c>
      <c r="B543" s="678" t="s">
        <v>232</v>
      </c>
      <c r="C543" s="660"/>
      <c r="D543" s="660"/>
      <c r="E543" s="660"/>
      <c r="F543" s="660"/>
      <c r="G543" s="661"/>
      <c r="H543" s="679" t="s">
        <v>46</v>
      </c>
      <c r="I543" s="680">
        <f t="shared" ref="I543:J543" ca="1" si="235">I559</f>
        <v>62938</v>
      </c>
      <c r="J543" s="680">
        <f t="shared" si="235"/>
        <v>0</v>
      </c>
      <c r="K543" s="681">
        <f t="shared" ca="1" si="234"/>
        <v>0</v>
      </c>
      <c r="L543" s="663"/>
      <c r="M543" s="663"/>
      <c r="N543" s="663"/>
      <c r="O543" s="663"/>
      <c r="P543" s="663"/>
      <c r="Q543" s="571"/>
      <c r="R543" s="571"/>
      <c r="S543" s="571"/>
      <c r="T543" s="571"/>
      <c r="U543" s="571"/>
      <c r="V543" s="571"/>
      <c r="W543" s="571"/>
      <c r="X543" s="571"/>
      <c r="Y543" s="571"/>
      <c r="Z543" s="571"/>
    </row>
    <row r="544" spans="1:26" ht="19.5">
      <c r="A544" s="682"/>
      <c r="B544" s="683"/>
      <c r="C544" s="683" t="s">
        <v>16</v>
      </c>
      <c r="D544" s="867" t="s">
        <v>17</v>
      </c>
      <c r="E544" s="862"/>
      <c r="F544" s="862"/>
      <c r="G544" s="684"/>
      <c r="H544" s="274" t="s">
        <v>12</v>
      </c>
      <c r="I544" s="419"/>
      <c r="J544" s="419"/>
      <c r="K544" s="154"/>
      <c r="L544" s="155">
        <f t="shared" ref="L544:N544" ca="1" si="236">L545+L546</f>
        <v>339323</v>
      </c>
      <c r="M544" s="155">
        <f t="shared" si="236"/>
        <v>0</v>
      </c>
      <c r="N544" s="155">
        <f t="shared" si="236"/>
        <v>26720</v>
      </c>
      <c r="O544" s="155">
        <f t="shared" ref="O544:O549" ca="1" si="237">IF(L544&gt;0,N544*100/L544,0)</f>
        <v>7.874503054611683</v>
      </c>
      <c r="P544" s="155">
        <f t="shared" ref="P544:P549" si="238">IF(M544&gt;0,N544*100/M544,0)</f>
        <v>0</v>
      </c>
      <c r="Q544" s="571"/>
      <c r="R544" s="571"/>
      <c r="S544" s="571"/>
      <c r="T544" s="571"/>
      <c r="U544" s="571"/>
      <c r="V544" s="571"/>
      <c r="W544" s="571"/>
      <c r="X544" s="571"/>
      <c r="Y544" s="571"/>
      <c r="Z544" s="571"/>
    </row>
    <row r="545" spans="1:26" ht="18.75" hidden="1">
      <c r="A545" s="592"/>
      <c r="B545" s="750"/>
      <c r="C545" s="750"/>
      <c r="D545" s="750"/>
      <c r="E545" s="750" t="s">
        <v>184</v>
      </c>
      <c r="F545" s="750"/>
      <c r="G545" s="596"/>
      <c r="H545" s="165" t="s">
        <v>12</v>
      </c>
      <c r="I545" s="610"/>
      <c r="J545" s="610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597"/>
      <c r="R545" s="597"/>
      <c r="S545" s="597"/>
      <c r="T545" s="597"/>
      <c r="U545" s="597"/>
      <c r="V545" s="597"/>
      <c r="W545" s="597"/>
      <c r="X545" s="597"/>
      <c r="Y545" s="597"/>
      <c r="Z545" s="597"/>
    </row>
    <row r="546" spans="1:26" ht="18.75" hidden="1">
      <c r="A546" s="592"/>
      <c r="B546" s="600"/>
      <c r="C546" s="750"/>
      <c r="D546" s="750"/>
      <c r="E546" s="750" t="s">
        <v>185</v>
      </c>
      <c r="F546" s="750"/>
      <c r="G546" s="596"/>
      <c r="H546" s="165" t="s">
        <v>12</v>
      </c>
      <c r="I546" s="610"/>
      <c r="J546" s="610"/>
      <c r="K546" s="93"/>
      <c r="L546" s="93">
        <f t="shared" ca="1" si="239"/>
        <v>339323</v>
      </c>
      <c r="M546" s="93">
        <f t="shared" si="240"/>
        <v>0</v>
      </c>
      <c r="N546" s="93">
        <f t="shared" si="240"/>
        <v>26720</v>
      </c>
      <c r="O546" s="93">
        <f t="shared" ca="1" si="237"/>
        <v>7.874503054611683</v>
      </c>
      <c r="P546" s="93">
        <f t="shared" si="238"/>
        <v>0</v>
      </c>
      <c r="Q546" s="597"/>
      <c r="R546" s="597"/>
      <c r="S546" s="597"/>
      <c r="T546" s="597"/>
      <c r="U546" s="597"/>
      <c r="V546" s="597"/>
      <c r="W546" s="597"/>
      <c r="X546" s="597"/>
      <c r="Y546" s="597"/>
      <c r="Z546" s="597"/>
    </row>
    <row r="547" spans="1:26" ht="18.75">
      <c r="A547" s="590"/>
      <c r="B547" s="568"/>
      <c r="C547" s="754"/>
      <c r="D547" s="599" t="s">
        <v>20</v>
      </c>
      <c r="E547" s="754"/>
      <c r="F547" s="754"/>
      <c r="G547" s="189"/>
      <c r="H547" s="161" t="s">
        <v>12</v>
      </c>
      <c r="I547" s="184"/>
      <c r="J547" s="184"/>
      <c r="K547" s="163"/>
      <c r="L547" s="496">
        <f t="shared" ref="L547:N547" ca="1" si="241">L548+L549</f>
        <v>339323</v>
      </c>
      <c r="M547" s="496">
        <f t="shared" si="241"/>
        <v>0</v>
      </c>
      <c r="N547" s="496">
        <f t="shared" si="241"/>
        <v>26720</v>
      </c>
      <c r="O547" s="496">
        <f t="shared" ca="1" si="237"/>
        <v>7.874503054611683</v>
      </c>
      <c r="P547" s="496">
        <f t="shared" si="238"/>
        <v>0</v>
      </c>
      <c r="Q547" s="571"/>
      <c r="R547" s="571"/>
      <c r="S547" s="571"/>
      <c r="T547" s="571"/>
      <c r="U547" s="571"/>
      <c r="V547" s="571"/>
      <c r="W547" s="571"/>
      <c r="X547" s="571"/>
      <c r="Y547" s="571"/>
      <c r="Z547" s="571"/>
    </row>
    <row r="548" spans="1:26" ht="18.75" hidden="1">
      <c r="A548" s="592"/>
      <c r="B548" s="600"/>
      <c r="C548" s="750"/>
      <c r="D548" s="711"/>
      <c r="E548" s="750" t="s">
        <v>184</v>
      </c>
      <c r="F548" s="750"/>
      <c r="G548" s="596"/>
      <c r="H548" s="165" t="s">
        <v>12</v>
      </c>
      <c r="I548" s="610"/>
      <c r="J548" s="610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597"/>
      <c r="R548" s="597"/>
      <c r="S548" s="597"/>
      <c r="T548" s="597"/>
      <c r="U548" s="597"/>
      <c r="V548" s="597"/>
      <c r="W548" s="597"/>
      <c r="X548" s="597"/>
      <c r="Y548" s="597"/>
      <c r="Z548" s="597"/>
    </row>
    <row r="549" spans="1:26" ht="18.75" hidden="1">
      <c r="A549" s="592"/>
      <c r="B549" s="600"/>
      <c r="C549" s="750"/>
      <c r="D549" s="711"/>
      <c r="E549" s="750" t="s">
        <v>185</v>
      </c>
      <c r="F549" s="750"/>
      <c r="G549" s="596"/>
      <c r="H549" s="165" t="s">
        <v>12</v>
      </c>
      <c r="I549" s="610"/>
      <c r="J549" s="610"/>
      <c r="K549" s="93"/>
      <c r="L549" s="93">
        <f ca="1">IFERROR(__xludf.DUMMYFUNCTION("IMPORTRANGE(""https://docs.google.com/spreadsheets/d/1QqKyyYR6Q21VydFLVH3TRQUabQu_ym0Zz7PgGX0-kHA/edit?usp=sharing"",""แผน!HB53"")"),339323)</f>
        <v>339323</v>
      </c>
      <c r="M549" s="93">
        <v>0</v>
      </c>
      <c r="N549" s="93">
        <f>N550+N551+N552+N553+N554</f>
        <v>26720</v>
      </c>
      <c r="O549" s="93">
        <f t="shared" ca="1" si="237"/>
        <v>7.874503054611683</v>
      </c>
      <c r="P549" s="93">
        <f t="shared" si="238"/>
        <v>0</v>
      </c>
      <c r="Q549" s="597"/>
      <c r="R549" s="597"/>
      <c r="S549" s="597"/>
      <c r="T549" s="597"/>
      <c r="U549" s="597"/>
      <c r="V549" s="597"/>
      <c r="W549" s="597"/>
      <c r="X549" s="597"/>
      <c r="Y549" s="597"/>
      <c r="Z549" s="597"/>
    </row>
    <row r="550" spans="1:26" ht="18.75">
      <c r="A550" s="567"/>
      <c r="B550" s="568"/>
      <c r="C550" s="754"/>
      <c r="D550" s="754"/>
      <c r="E550" s="754"/>
      <c r="F550" s="754" t="s">
        <v>186</v>
      </c>
      <c r="G550" s="189"/>
      <c r="H550" s="161" t="s">
        <v>12</v>
      </c>
      <c r="I550" s="269"/>
      <c r="J550" s="269"/>
      <c r="K550" s="496"/>
      <c r="L550" s="496"/>
      <c r="M550" s="496"/>
      <c r="N550" s="817">
        <v>0</v>
      </c>
      <c r="O550" s="496"/>
      <c r="P550" s="496"/>
      <c r="Q550" s="571"/>
      <c r="R550" s="571"/>
      <c r="S550" s="571"/>
      <c r="T550" s="571"/>
      <c r="U550" s="571"/>
      <c r="V550" s="571"/>
      <c r="W550" s="571"/>
      <c r="X550" s="571"/>
      <c r="Y550" s="571"/>
      <c r="Z550" s="571"/>
    </row>
    <row r="551" spans="1:26" ht="18.75">
      <c r="A551" s="567"/>
      <c r="B551" s="568"/>
      <c r="C551" s="568"/>
      <c r="D551" s="568"/>
      <c r="E551" s="754"/>
      <c r="F551" s="754" t="s">
        <v>187</v>
      </c>
      <c r="G551" s="189"/>
      <c r="H551" s="161" t="s">
        <v>12</v>
      </c>
      <c r="I551" s="269"/>
      <c r="J551" s="269"/>
      <c r="K551" s="496"/>
      <c r="L551" s="496"/>
      <c r="M551" s="496"/>
      <c r="N551" s="817">
        <v>0</v>
      </c>
      <c r="O551" s="496"/>
      <c r="P551" s="496"/>
      <c r="Q551" s="571"/>
      <c r="R551" s="571"/>
      <c r="S551" s="571"/>
      <c r="T551" s="571"/>
      <c r="U551" s="571"/>
      <c r="V551" s="571"/>
      <c r="W551" s="571"/>
      <c r="X551" s="571"/>
      <c r="Y551" s="571"/>
      <c r="Z551" s="571"/>
    </row>
    <row r="552" spans="1:26" ht="18.75">
      <c r="A552" s="567"/>
      <c r="B552" s="568"/>
      <c r="C552" s="754"/>
      <c r="D552" s="754"/>
      <c r="E552" s="754"/>
      <c r="F552" s="754" t="s">
        <v>188</v>
      </c>
      <c r="G552" s="189"/>
      <c r="H552" s="161" t="s">
        <v>12</v>
      </c>
      <c r="I552" s="269"/>
      <c r="J552" s="269"/>
      <c r="K552" s="496"/>
      <c r="L552" s="496"/>
      <c r="M552" s="496"/>
      <c r="N552" s="817">
        <v>26000</v>
      </c>
      <c r="O552" s="496"/>
      <c r="P552" s="496"/>
      <c r="Q552" s="571"/>
      <c r="R552" s="571"/>
      <c r="S552" s="571"/>
      <c r="T552" s="571"/>
      <c r="U552" s="571"/>
      <c r="V552" s="571"/>
      <c r="W552" s="571"/>
      <c r="X552" s="571"/>
      <c r="Y552" s="571"/>
      <c r="Z552" s="571"/>
    </row>
    <row r="553" spans="1:26" ht="18.75">
      <c r="A553" s="567"/>
      <c r="B553" s="568"/>
      <c r="C553" s="568"/>
      <c r="D553" s="568"/>
      <c r="E553" s="754"/>
      <c r="F553" s="754" t="s">
        <v>189</v>
      </c>
      <c r="G553" s="189"/>
      <c r="H553" s="161" t="s">
        <v>12</v>
      </c>
      <c r="I553" s="269"/>
      <c r="J553" s="269"/>
      <c r="K553" s="496"/>
      <c r="L553" s="496"/>
      <c r="M553" s="496"/>
      <c r="N553" s="817">
        <v>720</v>
      </c>
      <c r="O553" s="496"/>
      <c r="P553" s="496"/>
      <c r="Q553" s="571"/>
      <c r="R553" s="571"/>
      <c r="S553" s="571"/>
      <c r="T553" s="571"/>
      <c r="U553" s="571"/>
      <c r="V553" s="571"/>
      <c r="W553" s="571"/>
      <c r="X553" s="571"/>
      <c r="Y553" s="571"/>
      <c r="Z553" s="571"/>
    </row>
    <row r="554" spans="1:26" ht="18.75">
      <c r="A554" s="567"/>
      <c r="B554" s="568"/>
      <c r="C554" s="568"/>
      <c r="D554" s="568"/>
      <c r="E554" s="754"/>
      <c r="F554" s="754" t="s">
        <v>233</v>
      </c>
      <c r="G554" s="189"/>
      <c r="H554" s="161" t="s">
        <v>12</v>
      </c>
      <c r="I554" s="269"/>
      <c r="J554" s="269"/>
      <c r="K554" s="496"/>
      <c r="L554" s="496"/>
      <c r="M554" s="496"/>
      <c r="N554" s="817">
        <v>0</v>
      </c>
      <c r="O554" s="496"/>
      <c r="P554" s="496"/>
      <c r="Q554" s="571"/>
      <c r="R554" s="571"/>
      <c r="S554" s="571"/>
      <c r="T554" s="571"/>
      <c r="U554" s="571"/>
      <c r="V554" s="571"/>
      <c r="W554" s="571"/>
      <c r="X554" s="571"/>
      <c r="Y554" s="571"/>
      <c r="Z554" s="571"/>
    </row>
    <row r="555" spans="1:26" ht="18.75">
      <c r="A555" s="590"/>
      <c r="B555" s="568"/>
      <c r="C555" s="568"/>
      <c r="D555" s="599" t="s">
        <v>21</v>
      </c>
      <c r="E555" s="754"/>
      <c r="F555" s="754"/>
      <c r="G555" s="189"/>
      <c r="H555" s="168" t="s">
        <v>12</v>
      </c>
      <c r="I555" s="184"/>
      <c r="J555" s="184"/>
      <c r="K555" s="163"/>
      <c r="L555" s="496">
        <f t="shared" ref="L555:N555" ca="1" si="242">L556+L557</f>
        <v>0</v>
      </c>
      <c r="M555" s="496">
        <f t="shared" si="242"/>
        <v>0</v>
      </c>
      <c r="N555" s="496">
        <f t="shared" si="242"/>
        <v>0</v>
      </c>
      <c r="O555" s="496">
        <f t="shared" ref="O555:O557" ca="1" si="243">IF(L555&gt;0,N555*100/L555,0)</f>
        <v>0</v>
      </c>
      <c r="P555" s="496">
        <f t="shared" ref="P555:P557" si="244">IF(M555&gt;0,N555*100/M555,0)</f>
        <v>0</v>
      </c>
      <c r="Q555" s="571"/>
      <c r="R555" s="571"/>
      <c r="S555" s="571"/>
      <c r="T555" s="571"/>
      <c r="U555" s="571"/>
      <c r="V555" s="571"/>
      <c r="W555" s="571"/>
      <c r="X555" s="571"/>
      <c r="Y555" s="571"/>
      <c r="Z555" s="571"/>
    </row>
    <row r="556" spans="1:26" ht="18.75" hidden="1">
      <c r="A556" s="592"/>
      <c r="B556" s="600"/>
      <c r="C556" s="600"/>
      <c r="D556" s="750"/>
      <c r="E556" s="750" t="s">
        <v>18</v>
      </c>
      <c r="F556" s="750"/>
      <c r="G556" s="596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597"/>
      <c r="R556" s="597"/>
      <c r="S556" s="597"/>
      <c r="T556" s="597"/>
      <c r="U556" s="597"/>
      <c r="V556" s="597"/>
      <c r="W556" s="597"/>
      <c r="X556" s="597"/>
      <c r="Y556" s="597"/>
      <c r="Z556" s="597"/>
    </row>
    <row r="557" spans="1:26" ht="18.75" hidden="1">
      <c r="A557" s="592"/>
      <c r="B557" s="600"/>
      <c r="C557" s="600"/>
      <c r="D557" s="750"/>
      <c r="E557" s="750" t="s">
        <v>19</v>
      </c>
      <c r="F557" s="750"/>
      <c r="G557" s="596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IFERROR(__xludf.DUMMYFUNCTION("IMPORTRANGE(""https://docs.google.com/spreadsheets/d/1QqKyyYR6Q21VydFLVH3TRQUabQu_ym0Zz7PgGX0-kHA/edit?usp=sharing"",""แผน!HF53"")"),0)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597"/>
      <c r="R557" s="597"/>
      <c r="S557" s="597"/>
      <c r="T557" s="597"/>
      <c r="U557" s="597"/>
      <c r="V557" s="597"/>
      <c r="W557" s="597"/>
      <c r="X557" s="597"/>
      <c r="Y557" s="597"/>
      <c r="Z557" s="597"/>
    </row>
    <row r="558" spans="1:26" ht="19.5">
      <c r="A558" s="601"/>
      <c r="B558" s="611"/>
      <c r="C558" s="568" t="s">
        <v>16</v>
      </c>
      <c r="D558" s="839" t="s">
        <v>38</v>
      </c>
      <c r="E558" s="752"/>
      <c r="F558" s="752"/>
      <c r="G558" s="606"/>
      <c r="H558" s="753"/>
      <c r="I558" s="184"/>
      <c r="J558" s="184"/>
      <c r="K558" s="163"/>
      <c r="L558" s="163"/>
      <c r="M558" s="163"/>
      <c r="N558" s="163"/>
      <c r="O558" s="163"/>
      <c r="P558" s="163"/>
      <c r="Q558" s="571"/>
      <c r="R558" s="571"/>
      <c r="S558" s="571"/>
      <c r="T558" s="571"/>
      <c r="U558" s="571"/>
      <c r="V558" s="571"/>
      <c r="W558" s="571"/>
      <c r="X558" s="571"/>
      <c r="Y558" s="571"/>
      <c r="Z558" s="571"/>
    </row>
    <row r="559" spans="1:26" ht="19.5">
      <c r="A559" s="685"/>
      <c r="B559" s="686" t="s">
        <v>234</v>
      </c>
      <c r="C559" s="687"/>
      <c r="D559" s="687"/>
      <c r="E559" s="666"/>
      <c r="F559" s="666"/>
      <c r="G559" s="667"/>
      <c r="H559" s="688" t="s">
        <v>46</v>
      </c>
      <c r="I559" s="699">
        <f t="shared" ref="I559:J559" ca="1" si="245">I576</f>
        <v>62938</v>
      </c>
      <c r="J559" s="699">
        <f t="shared" si="245"/>
        <v>0</v>
      </c>
      <c r="K559" s="670">
        <f t="shared" ref="K559:K561" ca="1" si="246">IF(I559&gt;0,J559*100/I559,0)</f>
        <v>0</v>
      </c>
      <c r="L559" s="671"/>
      <c r="M559" s="671"/>
      <c r="N559" s="671"/>
      <c r="O559" s="671"/>
      <c r="P559" s="671"/>
      <c r="Q559" s="571"/>
      <c r="R559" s="571"/>
      <c r="S559" s="571"/>
      <c r="T559" s="571"/>
      <c r="U559" s="571"/>
      <c r="V559" s="571"/>
      <c r="W559" s="571"/>
      <c r="X559" s="571"/>
      <c r="Y559" s="571"/>
      <c r="Z559" s="571"/>
    </row>
    <row r="560" spans="1:26" ht="19.5">
      <c r="A560" s="601"/>
      <c r="B560" s="611"/>
      <c r="C560" s="618" t="s">
        <v>235</v>
      </c>
      <c r="D560" s="611"/>
      <c r="E560" s="619"/>
      <c r="F560" s="619"/>
      <c r="G560" s="753"/>
      <c r="H560" s="758" t="s">
        <v>46</v>
      </c>
      <c r="I560" s="193">
        <f ca="1">IFERROR(__xludf.DUMMYFUNCTION("IMPORTRANGE(""https://docs.google.com/spreadsheets/d/1QqKyyYR6Q21VydFLVH3TRQUabQu_ym0Zz7PgGX0-kHA/edit?usp=sharing"",""แผน!HH53"")"),62938)</f>
        <v>62938</v>
      </c>
      <c r="J560" s="193">
        <f t="shared" ref="J560:J561" si="247">J562+J564+J566</f>
        <v>0</v>
      </c>
      <c r="K560" s="410">
        <f t="shared" ca="1" si="246"/>
        <v>0</v>
      </c>
      <c r="L560" s="163"/>
      <c r="M560" s="163"/>
      <c r="N560" s="163"/>
      <c r="O560" s="163"/>
      <c r="P560" s="163"/>
      <c r="Q560" s="571"/>
      <c r="R560" s="571"/>
      <c r="S560" s="571"/>
      <c r="T560" s="571"/>
      <c r="U560" s="571"/>
      <c r="V560" s="571"/>
      <c r="W560" s="571"/>
      <c r="X560" s="571"/>
      <c r="Y560" s="571"/>
      <c r="Z560" s="571"/>
    </row>
    <row r="561" spans="1:26" ht="19.5">
      <c r="A561" s="601"/>
      <c r="B561" s="611"/>
      <c r="C561" s="611"/>
      <c r="D561" s="619"/>
      <c r="E561" s="619"/>
      <c r="F561" s="619"/>
      <c r="G561" s="753"/>
      <c r="H561" s="758" t="s">
        <v>34</v>
      </c>
      <c r="I561" s="193">
        <f ca="1">IFERROR(__xludf.DUMMYFUNCTION("IMPORTRANGE(""https://docs.google.com/spreadsheets/d/1QqKyyYR6Q21VydFLVH3TRQUabQu_ym0Zz7PgGX0-kHA/edit?usp=sharing"",""แผน!HG53"")"),4165)</f>
        <v>4165</v>
      </c>
      <c r="J561" s="193">
        <f t="shared" si="247"/>
        <v>0</v>
      </c>
      <c r="K561" s="410">
        <f t="shared" ca="1" si="246"/>
        <v>0</v>
      </c>
      <c r="L561" s="163"/>
      <c r="M561" s="163"/>
      <c r="N561" s="163"/>
      <c r="O561" s="163"/>
      <c r="P561" s="163"/>
      <c r="Q561" s="571"/>
      <c r="R561" s="571"/>
      <c r="S561" s="571"/>
      <c r="T561" s="571"/>
      <c r="U561" s="571"/>
      <c r="V561" s="571"/>
      <c r="W561" s="571"/>
      <c r="X561" s="571"/>
      <c r="Y561" s="571"/>
      <c r="Z561" s="571"/>
    </row>
    <row r="562" spans="1:26" ht="18.75">
      <c r="A562" s="601"/>
      <c r="B562" s="611"/>
      <c r="C562" s="611"/>
      <c r="D562" s="619" t="s">
        <v>236</v>
      </c>
      <c r="E562" s="619"/>
      <c r="F562" s="619"/>
      <c r="G562" s="753"/>
      <c r="H562" s="755" t="s">
        <v>46</v>
      </c>
      <c r="I562" s="184"/>
      <c r="J562" s="214">
        <v>0</v>
      </c>
      <c r="K562" s="163"/>
      <c r="L562" s="163"/>
      <c r="M562" s="163"/>
      <c r="N562" s="163"/>
      <c r="O562" s="163"/>
      <c r="P562" s="163"/>
      <c r="Q562" s="571"/>
      <c r="R562" s="571"/>
      <c r="S562" s="571"/>
      <c r="T562" s="571"/>
      <c r="U562" s="571"/>
      <c r="V562" s="571"/>
      <c r="W562" s="571"/>
      <c r="X562" s="571"/>
      <c r="Y562" s="571"/>
      <c r="Z562" s="571"/>
    </row>
    <row r="563" spans="1:26" ht="18.75">
      <c r="A563" s="601"/>
      <c r="B563" s="611"/>
      <c r="C563" s="611"/>
      <c r="D563" s="611"/>
      <c r="E563" s="619"/>
      <c r="F563" s="619"/>
      <c r="G563" s="753"/>
      <c r="H563" s="755" t="s">
        <v>34</v>
      </c>
      <c r="I563" s="184"/>
      <c r="J563" s="214">
        <v>0</v>
      </c>
      <c r="K563" s="163"/>
      <c r="L563" s="163"/>
      <c r="M563" s="163"/>
      <c r="N563" s="163"/>
      <c r="O563" s="163"/>
      <c r="P563" s="163"/>
      <c r="Q563" s="571"/>
      <c r="R563" s="571"/>
      <c r="S563" s="571"/>
      <c r="T563" s="571"/>
      <c r="U563" s="571"/>
      <c r="V563" s="571"/>
      <c r="W563" s="571"/>
      <c r="X563" s="571"/>
      <c r="Y563" s="571"/>
      <c r="Z563" s="571"/>
    </row>
    <row r="564" spans="1:26" ht="18.75">
      <c r="A564" s="601"/>
      <c r="B564" s="611"/>
      <c r="C564" s="611"/>
      <c r="D564" s="619" t="s">
        <v>237</v>
      </c>
      <c r="E564" s="619"/>
      <c r="F564" s="619"/>
      <c r="G564" s="753"/>
      <c r="H564" s="755" t="s">
        <v>46</v>
      </c>
      <c r="I564" s="184"/>
      <c r="J564" s="214">
        <v>0</v>
      </c>
      <c r="K564" s="163"/>
      <c r="L564" s="163"/>
      <c r="M564" s="163"/>
      <c r="N564" s="163"/>
      <c r="O564" s="163"/>
      <c r="P564" s="163"/>
      <c r="Q564" s="571"/>
      <c r="R564" s="571"/>
      <c r="S564" s="571"/>
      <c r="T564" s="571"/>
      <c r="U564" s="571"/>
      <c r="V564" s="571"/>
      <c r="W564" s="571"/>
      <c r="X564" s="571"/>
      <c r="Y564" s="571"/>
      <c r="Z564" s="571"/>
    </row>
    <row r="565" spans="1:26" ht="18.75">
      <c r="A565" s="601"/>
      <c r="B565" s="611"/>
      <c r="C565" s="611"/>
      <c r="D565" s="619"/>
      <c r="E565" s="619"/>
      <c r="F565" s="619"/>
      <c r="G565" s="753"/>
      <c r="H565" s="755" t="s">
        <v>34</v>
      </c>
      <c r="I565" s="184"/>
      <c r="J565" s="214">
        <v>0</v>
      </c>
      <c r="K565" s="163"/>
      <c r="L565" s="163"/>
      <c r="M565" s="163"/>
      <c r="N565" s="163"/>
      <c r="O565" s="163"/>
      <c r="P565" s="163"/>
      <c r="Q565" s="571"/>
      <c r="R565" s="571"/>
      <c r="S565" s="571"/>
      <c r="T565" s="571"/>
      <c r="U565" s="571"/>
      <c r="V565" s="571"/>
      <c r="W565" s="571"/>
      <c r="X565" s="571"/>
      <c r="Y565" s="571"/>
      <c r="Z565" s="571"/>
    </row>
    <row r="566" spans="1:26" ht="18.75">
      <c r="A566" s="601"/>
      <c r="B566" s="611"/>
      <c r="C566" s="611"/>
      <c r="D566" s="619" t="s">
        <v>238</v>
      </c>
      <c r="E566" s="619"/>
      <c r="F566" s="619"/>
      <c r="G566" s="753"/>
      <c r="H566" s="755" t="s">
        <v>46</v>
      </c>
      <c r="I566" s="184"/>
      <c r="J566" s="214">
        <v>0</v>
      </c>
      <c r="K566" s="163"/>
      <c r="L566" s="163"/>
      <c r="M566" s="163"/>
      <c r="N566" s="163"/>
      <c r="O566" s="163"/>
      <c r="P566" s="163"/>
      <c r="Q566" s="571"/>
      <c r="R566" s="571"/>
      <c r="S566" s="571"/>
      <c r="T566" s="571"/>
      <c r="U566" s="571"/>
      <c r="V566" s="571"/>
      <c r="W566" s="571"/>
      <c r="X566" s="571"/>
      <c r="Y566" s="571"/>
      <c r="Z566" s="571"/>
    </row>
    <row r="567" spans="1:26" ht="18.75">
      <c r="A567" s="601"/>
      <c r="B567" s="611"/>
      <c r="C567" s="611"/>
      <c r="D567" s="619"/>
      <c r="E567" s="619"/>
      <c r="F567" s="619"/>
      <c r="G567" s="753"/>
      <c r="H567" s="755" t="s">
        <v>34</v>
      </c>
      <c r="I567" s="184"/>
      <c r="J567" s="214">
        <v>0</v>
      </c>
      <c r="K567" s="163"/>
      <c r="L567" s="163"/>
      <c r="M567" s="163"/>
      <c r="N567" s="163"/>
      <c r="O567" s="163"/>
      <c r="P567" s="163"/>
      <c r="Q567" s="571"/>
      <c r="R567" s="571"/>
      <c r="S567" s="571"/>
      <c r="T567" s="571"/>
      <c r="U567" s="571"/>
      <c r="V567" s="571"/>
      <c r="W567" s="571"/>
      <c r="X567" s="571"/>
      <c r="Y567" s="571"/>
      <c r="Z567" s="571"/>
    </row>
    <row r="568" spans="1:26" ht="19.5">
      <c r="A568" s="601"/>
      <c r="B568" s="611"/>
      <c r="C568" s="618" t="s">
        <v>239</v>
      </c>
      <c r="D568" s="619"/>
      <c r="E568" s="619"/>
      <c r="F568" s="619"/>
      <c r="G568" s="753"/>
      <c r="H568" s="758" t="s">
        <v>46</v>
      </c>
      <c r="I568" s="193">
        <f ca="1">IFERROR(__xludf.DUMMYFUNCTION("IMPORTRANGE(""https://docs.google.com/spreadsheets/d/1QqKyyYR6Q21VydFLVH3TRQUabQu_ym0Zz7PgGX0-kHA/edit?usp=sharing"",""แผน!HH53"")"),62938)</f>
        <v>62938</v>
      </c>
      <c r="J568" s="674">
        <f t="shared" ref="J568:J569" si="248">J570+J572+J574</f>
        <v>0</v>
      </c>
      <c r="K568" s="410">
        <f t="shared" ref="K568:K569" ca="1" si="249">IF(I568&gt;0,J568*100/I568,0)</f>
        <v>0</v>
      </c>
      <c r="L568" s="163"/>
      <c r="M568" s="163"/>
      <c r="N568" s="163"/>
      <c r="O568" s="163"/>
      <c r="P568" s="163"/>
      <c r="Q568" s="571"/>
      <c r="R568" s="571"/>
      <c r="S568" s="571"/>
      <c r="T568" s="571"/>
      <c r="U568" s="571"/>
      <c r="V568" s="571"/>
      <c r="W568" s="571"/>
      <c r="X568" s="571"/>
      <c r="Y568" s="571"/>
      <c r="Z568" s="571"/>
    </row>
    <row r="569" spans="1:26" ht="19.5">
      <c r="A569" s="601"/>
      <c r="B569" s="611"/>
      <c r="C569" s="611"/>
      <c r="D569" s="611"/>
      <c r="E569" s="619"/>
      <c r="F569" s="619"/>
      <c r="G569" s="753"/>
      <c r="H569" s="758" t="s">
        <v>34</v>
      </c>
      <c r="I569" s="193">
        <f ca="1">IFERROR(__xludf.DUMMYFUNCTION("IMPORTRANGE(""https://docs.google.com/spreadsheets/d/1QqKyyYR6Q21VydFLVH3TRQUabQu_ym0Zz7PgGX0-kHA/edit?usp=sharing"",""แผน!HG53"")"),4165)</f>
        <v>4165</v>
      </c>
      <c r="J569" s="674">
        <f t="shared" si="248"/>
        <v>0</v>
      </c>
      <c r="K569" s="410">
        <f t="shared" ca="1" si="249"/>
        <v>0</v>
      </c>
      <c r="L569" s="163"/>
      <c r="M569" s="163"/>
      <c r="N569" s="163"/>
      <c r="O569" s="163"/>
      <c r="P569" s="163"/>
      <c r="Q569" s="571"/>
      <c r="R569" s="571"/>
      <c r="S569" s="571"/>
      <c r="T569" s="571"/>
      <c r="U569" s="571"/>
      <c r="V569" s="571"/>
      <c r="W569" s="571"/>
      <c r="X569" s="571"/>
      <c r="Y569" s="571"/>
      <c r="Z569" s="571"/>
    </row>
    <row r="570" spans="1:26" ht="18.75">
      <c r="A570" s="601"/>
      <c r="B570" s="611"/>
      <c r="C570" s="611"/>
      <c r="D570" s="619" t="s">
        <v>240</v>
      </c>
      <c r="E570" s="611"/>
      <c r="F570" s="619"/>
      <c r="G570" s="753"/>
      <c r="H570" s="755" t="s">
        <v>46</v>
      </c>
      <c r="I570" s="184"/>
      <c r="J570" s="214">
        <v>0</v>
      </c>
      <c r="K570" s="163"/>
      <c r="L570" s="163"/>
      <c r="M570" s="163"/>
      <c r="N570" s="163"/>
      <c r="O570" s="163"/>
      <c r="P570" s="163"/>
      <c r="Q570" s="571"/>
      <c r="R570" s="571"/>
      <c r="S570" s="571"/>
      <c r="T570" s="571"/>
      <c r="U570" s="571"/>
      <c r="V570" s="571"/>
      <c r="W570" s="571"/>
      <c r="X570" s="571"/>
      <c r="Y570" s="571"/>
      <c r="Z570" s="571"/>
    </row>
    <row r="571" spans="1:26" ht="18.75">
      <c r="A571" s="601"/>
      <c r="B571" s="611"/>
      <c r="C571" s="611"/>
      <c r="D571" s="611"/>
      <c r="E571" s="619"/>
      <c r="F571" s="619"/>
      <c r="G571" s="753"/>
      <c r="H571" s="755" t="s">
        <v>34</v>
      </c>
      <c r="I571" s="184"/>
      <c r="J571" s="214">
        <v>0</v>
      </c>
      <c r="K571" s="163"/>
      <c r="L571" s="163"/>
      <c r="M571" s="163"/>
      <c r="N571" s="163"/>
      <c r="O571" s="163"/>
      <c r="P571" s="163"/>
      <c r="Q571" s="571"/>
      <c r="R571" s="571"/>
      <c r="S571" s="571"/>
      <c r="T571" s="571"/>
      <c r="U571" s="571"/>
      <c r="V571" s="571"/>
      <c r="W571" s="571"/>
      <c r="X571" s="571"/>
      <c r="Y571" s="571"/>
      <c r="Z571" s="571"/>
    </row>
    <row r="572" spans="1:26" ht="18.75">
      <c r="A572" s="601"/>
      <c r="B572" s="611"/>
      <c r="C572" s="611"/>
      <c r="D572" s="619" t="s">
        <v>241</v>
      </c>
      <c r="E572" s="619"/>
      <c r="F572" s="619"/>
      <c r="G572" s="753"/>
      <c r="H572" s="755" t="s">
        <v>46</v>
      </c>
      <c r="I572" s="184"/>
      <c r="J572" s="214">
        <v>0</v>
      </c>
      <c r="K572" s="163"/>
      <c r="L572" s="163"/>
      <c r="M572" s="163"/>
      <c r="N572" s="163"/>
      <c r="O572" s="163"/>
      <c r="P572" s="163"/>
      <c r="Q572" s="571"/>
      <c r="R572" s="571"/>
      <c r="S572" s="571"/>
      <c r="T572" s="571"/>
      <c r="U572" s="571"/>
      <c r="V572" s="571"/>
      <c r="W572" s="571"/>
      <c r="X572" s="571"/>
      <c r="Y572" s="571"/>
      <c r="Z572" s="571"/>
    </row>
    <row r="573" spans="1:26" ht="18.75">
      <c r="A573" s="601"/>
      <c r="B573" s="611"/>
      <c r="C573" s="611"/>
      <c r="D573" s="619"/>
      <c r="E573" s="619"/>
      <c r="F573" s="619"/>
      <c r="G573" s="753"/>
      <c r="H573" s="755" t="s">
        <v>34</v>
      </c>
      <c r="I573" s="184"/>
      <c r="J573" s="214">
        <v>0</v>
      </c>
      <c r="K573" s="163"/>
      <c r="L573" s="163"/>
      <c r="M573" s="163"/>
      <c r="N573" s="163"/>
      <c r="O573" s="163"/>
      <c r="P573" s="163"/>
      <c r="Q573" s="571"/>
      <c r="R573" s="571"/>
      <c r="S573" s="571"/>
      <c r="T573" s="571"/>
      <c r="U573" s="571"/>
      <c r="V573" s="571"/>
      <c r="W573" s="571"/>
      <c r="X573" s="571"/>
      <c r="Y573" s="571"/>
      <c r="Z573" s="571"/>
    </row>
    <row r="574" spans="1:26" ht="18.75">
      <c r="A574" s="601"/>
      <c r="B574" s="611"/>
      <c r="C574" s="611"/>
      <c r="D574" s="619" t="s">
        <v>242</v>
      </c>
      <c r="E574" s="619"/>
      <c r="F574" s="619"/>
      <c r="G574" s="753"/>
      <c r="H574" s="755" t="s">
        <v>46</v>
      </c>
      <c r="I574" s="184"/>
      <c r="J574" s="214">
        <v>0</v>
      </c>
      <c r="K574" s="163"/>
      <c r="L574" s="163"/>
      <c r="M574" s="163"/>
      <c r="N574" s="163"/>
      <c r="O574" s="163"/>
      <c r="P574" s="163"/>
      <c r="Q574" s="571"/>
      <c r="R574" s="571"/>
      <c r="S574" s="571"/>
      <c r="T574" s="571"/>
      <c r="U574" s="571"/>
      <c r="V574" s="571"/>
      <c r="W574" s="571"/>
      <c r="X574" s="571"/>
      <c r="Y574" s="571"/>
      <c r="Z574" s="571"/>
    </row>
    <row r="575" spans="1:26" ht="18.75">
      <c r="A575" s="601"/>
      <c r="B575" s="611"/>
      <c r="C575" s="611"/>
      <c r="D575" s="611"/>
      <c r="E575" s="619"/>
      <c r="F575" s="619"/>
      <c r="G575" s="753"/>
      <c r="H575" s="755" t="s">
        <v>34</v>
      </c>
      <c r="I575" s="184"/>
      <c r="J575" s="214">
        <v>0</v>
      </c>
      <c r="K575" s="163"/>
      <c r="L575" s="163"/>
      <c r="M575" s="163"/>
      <c r="N575" s="163"/>
      <c r="O575" s="163"/>
      <c r="P575" s="163"/>
      <c r="Q575" s="571"/>
      <c r="R575" s="571"/>
      <c r="S575" s="571"/>
      <c r="T575" s="571"/>
      <c r="U575" s="571"/>
      <c r="V575" s="571"/>
      <c r="W575" s="571"/>
      <c r="X575" s="571"/>
      <c r="Y575" s="571"/>
      <c r="Z575" s="571"/>
    </row>
    <row r="576" spans="1:26" ht="19.5">
      <c r="A576" s="601"/>
      <c r="B576" s="611"/>
      <c r="C576" s="618" t="s">
        <v>243</v>
      </c>
      <c r="D576" s="611"/>
      <c r="E576" s="611"/>
      <c r="F576" s="619"/>
      <c r="G576" s="753"/>
      <c r="H576" s="758" t="s">
        <v>46</v>
      </c>
      <c r="I576" s="193">
        <f ca="1">IFERROR(__xludf.DUMMYFUNCTION("IMPORTRANGE(""https://docs.google.com/spreadsheets/d/1QqKyyYR6Q21VydFLVH3TRQUabQu_ym0Zz7PgGX0-kHA/edit?usp=sharing"",""แผน!HH53"")"),62938)</f>
        <v>62938</v>
      </c>
      <c r="J576" s="674">
        <f t="shared" ref="J576:J577" si="250">J578+J580+J582+J588+J590</f>
        <v>0</v>
      </c>
      <c r="K576" s="410">
        <f t="shared" ref="K576:K577" ca="1" si="251">IF(I576&gt;0,J576*100/I576,0)</f>
        <v>0</v>
      </c>
      <c r="L576" s="163"/>
      <c r="M576" s="163"/>
      <c r="N576" s="163"/>
      <c r="O576" s="163"/>
      <c r="P576" s="163"/>
      <c r="Q576" s="571"/>
      <c r="R576" s="571"/>
      <c r="S576" s="571"/>
      <c r="T576" s="571"/>
      <c r="U576" s="571"/>
      <c r="V576" s="571"/>
      <c r="W576" s="571"/>
      <c r="X576" s="571"/>
      <c r="Y576" s="571"/>
      <c r="Z576" s="571"/>
    </row>
    <row r="577" spans="1:26" ht="19.5">
      <c r="A577" s="601"/>
      <c r="B577" s="611"/>
      <c r="C577" s="611"/>
      <c r="D577" s="611"/>
      <c r="E577" s="619"/>
      <c r="F577" s="619"/>
      <c r="G577" s="753"/>
      <c r="H577" s="758" t="s">
        <v>34</v>
      </c>
      <c r="I577" s="193">
        <f ca="1">IFERROR(__xludf.DUMMYFUNCTION("IMPORTRANGE(""https://docs.google.com/spreadsheets/d/1QqKyyYR6Q21VydFLVH3TRQUabQu_ym0Zz7PgGX0-kHA/edit?usp=sharing"",""แผน!HG53"")"),4165)</f>
        <v>4165</v>
      </c>
      <c r="J577" s="674">
        <f t="shared" si="250"/>
        <v>0</v>
      </c>
      <c r="K577" s="410">
        <f t="shared" ca="1" si="251"/>
        <v>0</v>
      </c>
      <c r="L577" s="163"/>
      <c r="M577" s="163"/>
      <c r="N577" s="163"/>
      <c r="O577" s="163"/>
      <c r="P577" s="163"/>
      <c r="Q577" s="571"/>
      <c r="R577" s="571"/>
      <c r="S577" s="571"/>
      <c r="T577" s="571"/>
      <c r="U577" s="571"/>
      <c r="V577" s="571"/>
      <c r="W577" s="571"/>
      <c r="X577" s="571"/>
      <c r="Y577" s="571"/>
      <c r="Z577" s="571"/>
    </row>
    <row r="578" spans="1:26" ht="18.75">
      <c r="A578" s="601"/>
      <c r="B578" s="611"/>
      <c r="C578" s="611"/>
      <c r="D578" s="619" t="s">
        <v>244</v>
      </c>
      <c r="E578" s="619"/>
      <c r="F578" s="619"/>
      <c r="G578" s="753"/>
      <c r="H578" s="755" t="s">
        <v>46</v>
      </c>
      <c r="I578" s="184"/>
      <c r="J578" s="214">
        <v>0</v>
      </c>
      <c r="K578" s="163"/>
      <c r="L578" s="163"/>
      <c r="M578" s="163"/>
      <c r="N578" s="163"/>
      <c r="O578" s="163"/>
      <c r="P578" s="163"/>
      <c r="Q578" s="571"/>
      <c r="R578" s="571"/>
      <c r="S578" s="571"/>
      <c r="T578" s="571"/>
      <c r="U578" s="571"/>
      <c r="V578" s="571"/>
      <c r="W578" s="571"/>
      <c r="X578" s="571"/>
      <c r="Y578" s="571"/>
      <c r="Z578" s="571"/>
    </row>
    <row r="579" spans="1:26" ht="18.75">
      <c r="A579" s="601"/>
      <c r="B579" s="611"/>
      <c r="C579" s="611"/>
      <c r="D579" s="611"/>
      <c r="E579" s="619"/>
      <c r="F579" s="619"/>
      <c r="G579" s="753"/>
      <c r="H579" s="755" t="s">
        <v>34</v>
      </c>
      <c r="I579" s="184"/>
      <c r="J579" s="214">
        <v>0</v>
      </c>
      <c r="K579" s="163"/>
      <c r="L579" s="163"/>
      <c r="M579" s="163"/>
      <c r="N579" s="163"/>
      <c r="O579" s="163"/>
      <c r="P579" s="163"/>
      <c r="Q579" s="571"/>
      <c r="R579" s="571"/>
      <c r="S579" s="571"/>
      <c r="T579" s="571"/>
      <c r="U579" s="571"/>
      <c r="V579" s="571"/>
      <c r="W579" s="571"/>
      <c r="X579" s="571"/>
      <c r="Y579" s="571"/>
      <c r="Z579" s="571"/>
    </row>
    <row r="580" spans="1:26" ht="18.75">
      <c r="A580" s="601"/>
      <c r="B580" s="611"/>
      <c r="C580" s="611"/>
      <c r="D580" s="619" t="s">
        <v>245</v>
      </c>
      <c r="E580" s="619"/>
      <c r="F580" s="619"/>
      <c r="G580" s="753"/>
      <c r="H580" s="755" t="s">
        <v>46</v>
      </c>
      <c r="I580" s="184"/>
      <c r="J580" s="214">
        <v>0</v>
      </c>
      <c r="K580" s="163"/>
      <c r="L580" s="163"/>
      <c r="M580" s="163"/>
      <c r="N580" s="163"/>
      <c r="O580" s="163"/>
      <c r="P580" s="163"/>
      <c r="Q580" s="571"/>
      <c r="R580" s="571"/>
      <c r="S580" s="571"/>
      <c r="T580" s="571"/>
      <c r="U580" s="571"/>
      <c r="V580" s="571"/>
      <c r="W580" s="571"/>
      <c r="X580" s="571"/>
      <c r="Y580" s="571"/>
      <c r="Z580" s="571"/>
    </row>
    <row r="581" spans="1:26" ht="18.75">
      <c r="A581" s="601"/>
      <c r="B581" s="611"/>
      <c r="C581" s="611"/>
      <c r="D581" s="611"/>
      <c r="E581" s="619"/>
      <c r="F581" s="619"/>
      <c r="G581" s="753"/>
      <c r="H581" s="755" t="s">
        <v>34</v>
      </c>
      <c r="I581" s="184"/>
      <c r="J581" s="214">
        <v>0</v>
      </c>
      <c r="K581" s="163"/>
      <c r="L581" s="163"/>
      <c r="M581" s="163"/>
      <c r="N581" s="163"/>
      <c r="O581" s="163"/>
      <c r="P581" s="163"/>
      <c r="Q581" s="571"/>
      <c r="R581" s="571"/>
      <c r="S581" s="571"/>
      <c r="T581" s="571"/>
      <c r="U581" s="571"/>
      <c r="V581" s="571"/>
      <c r="W581" s="571"/>
      <c r="X581" s="571"/>
      <c r="Y581" s="571"/>
      <c r="Z581" s="571"/>
    </row>
    <row r="582" spans="1:26" ht="19.5">
      <c r="A582" s="601"/>
      <c r="B582" s="611"/>
      <c r="C582" s="611"/>
      <c r="D582" s="619" t="s">
        <v>246</v>
      </c>
      <c r="E582" s="619"/>
      <c r="F582" s="619"/>
      <c r="G582" s="753"/>
      <c r="H582" s="755" t="s">
        <v>46</v>
      </c>
      <c r="I582" s="184"/>
      <c r="J582" s="674">
        <f t="shared" ref="J582:J583" si="252">J584+J586</f>
        <v>0</v>
      </c>
      <c r="K582" s="410"/>
      <c r="L582" s="163"/>
      <c r="M582" s="163"/>
      <c r="N582" s="163"/>
      <c r="O582" s="163"/>
      <c r="P582" s="163"/>
      <c r="Q582" s="571"/>
      <c r="R582" s="571"/>
      <c r="S582" s="571"/>
      <c r="T582" s="571"/>
      <c r="U582" s="571"/>
      <c r="V582" s="571"/>
      <c r="W582" s="571"/>
      <c r="X582" s="571"/>
      <c r="Y582" s="571"/>
      <c r="Z582" s="571"/>
    </row>
    <row r="583" spans="1:26" ht="19.5">
      <c r="A583" s="601"/>
      <c r="B583" s="611"/>
      <c r="C583" s="611"/>
      <c r="D583" s="611"/>
      <c r="E583" s="619"/>
      <c r="F583" s="619"/>
      <c r="G583" s="753"/>
      <c r="H583" s="755" t="s">
        <v>34</v>
      </c>
      <c r="I583" s="184"/>
      <c r="J583" s="674">
        <f t="shared" si="252"/>
        <v>0</v>
      </c>
      <c r="K583" s="410"/>
      <c r="L583" s="163"/>
      <c r="M583" s="163"/>
      <c r="N583" s="163"/>
      <c r="O583" s="163"/>
      <c r="P583" s="163"/>
      <c r="Q583" s="571"/>
      <c r="R583" s="571"/>
      <c r="S583" s="571"/>
      <c r="T583" s="571"/>
      <c r="U583" s="571"/>
      <c r="V583" s="571"/>
      <c r="W583" s="571"/>
      <c r="X583" s="571"/>
      <c r="Y583" s="571"/>
      <c r="Z583" s="571"/>
    </row>
    <row r="584" spans="1:26" ht="18.75">
      <c r="A584" s="601"/>
      <c r="B584" s="611"/>
      <c r="C584" s="611"/>
      <c r="D584" s="611"/>
      <c r="E584" s="619" t="s">
        <v>247</v>
      </c>
      <c r="F584" s="619"/>
      <c r="G584" s="753"/>
      <c r="H584" s="755" t="s">
        <v>46</v>
      </c>
      <c r="I584" s="184"/>
      <c r="J584" s="214">
        <v>0</v>
      </c>
      <c r="K584" s="163"/>
      <c r="L584" s="163"/>
      <c r="M584" s="163"/>
      <c r="N584" s="163"/>
      <c r="O584" s="163"/>
      <c r="P584" s="163"/>
      <c r="Q584" s="571"/>
      <c r="R584" s="571"/>
      <c r="S584" s="571"/>
      <c r="T584" s="571"/>
      <c r="U584" s="571"/>
      <c r="V584" s="571"/>
      <c r="W584" s="571"/>
      <c r="X584" s="571"/>
      <c r="Y584" s="571"/>
      <c r="Z584" s="571"/>
    </row>
    <row r="585" spans="1:26" ht="18.75">
      <c r="A585" s="601"/>
      <c r="B585" s="611"/>
      <c r="C585" s="611"/>
      <c r="D585" s="611"/>
      <c r="E585" s="619"/>
      <c r="F585" s="619"/>
      <c r="G585" s="753"/>
      <c r="H585" s="755" t="s">
        <v>34</v>
      </c>
      <c r="I585" s="184"/>
      <c r="J585" s="214">
        <v>0</v>
      </c>
      <c r="K585" s="163"/>
      <c r="L585" s="163"/>
      <c r="M585" s="163"/>
      <c r="N585" s="163"/>
      <c r="O585" s="163"/>
      <c r="P585" s="163"/>
      <c r="Q585" s="571"/>
      <c r="R585" s="571"/>
      <c r="S585" s="571"/>
      <c r="T585" s="571"/>
      <c r="U585" s="571"/>
      <c r="V585" s="571"/>
      <c r="W585" s="571"/>
      <c r="X585" s="571"/>
      <c r="Y585" s="571"/>
      <c r="Z585" s="571"/>
    </row>
    <row r="586" spans="1:26" ht="18.75">
      <c r="A586" s="601"/>
      <c r="B586" s="611"/>
      <c r="C586" s="611"/>
      <c r="D586" s="611"/>
      <c r="E586" s="619" t="s">
        <v>248</v>
      </c>
      <c r="F586" s="619"/>
      <c r="G586" s="753"/>
      <c r="H586" s="755" t="s">
        <v>46</v>
      </c>
      <c r="I586" s="184"/>
      <c r="J586" s="214">
        <v>0</v>
      </c>
      <c r="K586" s="163"/>
      <c r="L586" s="163"/>
      <c r="M586" s="163"/>
      <c r="N586" s="163"/>
      <c r="O586" s="163"/>
      <c r="P586" s="163"/>
      <c r="Q586" s="571"/>
      <c r="R586" s="571"/>
      <c r="S586" s="571"/>
      <c r="T586" s="571"/>
      <c r="U586" s="571"/>
      <c r="V586" s="571"/>
      <c r="W586" s="571"/>
      <c r="X586" s="571"/>
      <c r="Y586" s="571"/>
      <c r="Z586" s="571"/>
    </row>
    <row r="587" spans="1:26" ht="18.75">
      <c r="A587" s="601"/>
      <c r="B587" s="611"/>
      <c r="C587" s="611"/>
      <c r="D587" s="611"/>
      <c r="E587" s="611"/>
      <c r="F587" s="619"/>
      <c r="G587" s="753"/>
      <c r="H587" s="755" t="s">
        <v>34</v>
      </c>
      <c r="I587" s="184"/>
      <c r="J587" s="214">
        <v>0</v>
      </c>
      <c r="K587" s="163"/>
      <c r="L587" s="163"/>
      <c r="M587" s="163"/>
      <c r="N587" s="163"/>
      <c r="O587" s="163"/>
      <c r="P587" s="163"/>
      <c r="Q587" s="571"/>
      <c r="R587" s="571"/>
      <c r="S587" s="571"/>
      <c r="T587" s="571"/>
      <c r="U587" s="571"/>
      <c r="V587" s="571"/>
      <c r="W587" s="571"/>
      <c r="X587" s="571"/>
      <c r="Y587" s="571"/>
      <c r="Z587" s="571"/>
    </row>
    <row r="588" spans="1:26" ht="18.75">
      <c r="A588" s="601"/>
      <c r="B588" s="611"/>
      <c r="C588" s="611"/>
      <c r="D588" s="619" t="s">
        <v>249</v>
      </c>
      <c r="E588" s="619"/>
      <c r="F588" s="619"/>
      <c r="G588" s="753"/>
      <c r="H588" s="755" t="s">
        <v>46</v>
      </c>
      <c r="I588" s="184"/>
      <c r="J588" s="214">
        <v>0</v>
      </c>
      <c r="K588" s="163"/>
      <c r="L588" s="163"/>
      <c r="M588" s="163"/>
      <c r="N588" s="163"/>
      <c r="O588" s="163"/>
      <c r="P588" s="163"/>
      <c r="Q588" s="571"/>
      <c r="R588" s="571"/>
      <c r="S588" s="571"/>
      <c r="T588" s="571"/>
      <c r="U588" s="571"/>
      <c r="V588" s="571"/>
      <c r="W588" s="571"/>
      <c r="X588" s="571"/>
      <c r="Y588" s="571"/>
      <c r="Z588" s="571"/>
    </row>
    <row r="589" spans="1:26" ht="18.75">
      <c r="A589" s="601"/>
      <c r="B589" s="611"/>
      <c r="C589" s="611"/>
      <c r="D589" s="611"/>
      <c r="E589" s="611"/>
      <c r="F589" s="619"/>
      <c r="G589" s="753"/>
      <c r="H589" s="755" t="s">
        <v>34</v>
      </c>
      <c r="I589" s="184"/>
      <c r="J589" s="214">
        <v>0</v>
      </c>
      <c r="K589" s="163"/>
      <c r="L589" s="163"/>
      <c r="M589" s="163"/>
      <c r="N589" s="163"/>
      <c r="O589" s="163"/>
      <c r="P589" s="163"/>
      <c r="Q589" s="571"/>
      <c r="R589" s="571"/>
      <c r="S589" s="571"/>
      <c r="T589" s="571"/>
      <c r="U589" s="571"/>
      <c r="V589" s="571"/>
      <c r="W589" s="571"/>
      <c r="X589" s="571"/>
      <c r="Y589" s="571"/>
      <c r="Z589" s="571"/>
    </row>
    <row r="590" spans="1:26" ht="18.75">
      <c r="A590" s="601"/>
      <c r="B590" s="611"/>
      <c r="C590" s="611"/>
      <c r="D590" s="619" t="s">
        <v>250</v>
      </c>
      <c r="E590" s="619"/>
      <c r="F590" s="619"/>
      <c r="G590" s="753"/>
      <c r="H590" s="755" t="s">
        <v>46</v>
      </c>
      <c r="I590" s="184"/>
      <c r="J590" s="214">
        <v>0</v>
      </c>
      <c r="K590" s="163"/>
      <c r="L590" s="163"/>
      <c r="M590" s="163"/>
      <c r="N590" s="163"/>
      <c r="O590" s="163"/>
      <c r="P590" s="163"/>
      <c r="Q590" s="571"/>
      <c r="R590" s="571"/>
      <c r="S590" s="571"/>
      <c r="T590" s="571"/>
      <c r="U590" s="571"/>
      <c r="V590" s="571"/>
      <c r="W590" s="571"/>
      <c r="X590" s="571"/>
      <c r="Y590" s="571"/>
      <c r="Z590" s="571"/>
    </row>
    <row r="591" spans="1:26" ht="18.75">
      <c r="A591" s="689"/>
      <c r="B591" s="690"/>
      <c r="C591" s="690"/>
      <c r="D591" s="690"/>
      <c r="E591" s="571"/>
      <c r="F591" s="571"/>
      <c r="G591" s="691"/>
      <c r="H591" s="692" t="s">
        <v>34</v>
      </c>
      <c r="I591" s="693"/>
      <c r="J591" s="694">
        <v>0</v>
      </c>
      <c r="K591" s="695"/>
      <c r="L591" s="695"/>
      <c r="M591" s="695"/>
      <c r="N591" s="695"/>
      <c r="O591" s="695"/>
      <c r="P591" s="695"/>
      <c r="Q591" s="571"/>
      <c r="R591" s="571"/>
      <c r="S591" s="571"/>
      <c r="T591" s="571"/>
      <c r="U591" s="571"/>
      <c r="V591" s="571"/>
      <c r="W591" s="571"/>
      <c r="X591" s="571"/>
      <c r="Y591" s="571"/>
      <c r="Z591" s="571"/>
    </row>
    <row r="592" spans="1:26" ht="19.5" hidden="1">
      <c r="A592" s="685"/>
      <c r="B592" s="686" t="s">
        <v>251</v>
      </c>
      <c r="C592" s="687"/>
      <c r="D592" s="687"/>
      <c r="E592" s="666"/>
      <c r="F592" s="666"/>
      <c r="G592" s="667"/>
      <c r="H592" s="688" t="s">
        <v>46</v>
      </c>
      <c r="I592" s="699">
        <f t="shared" ref="I592:J592" ca="1" si="253">I593</f>
        <v>0</v>
      </c>
      <c r="J592" s="699">
        <f t="shared" si="253"/>
        <v>0</v>
      </c>
      <c r="K592" s="670">
        <f t="shared" ref="K592:K594" ca="1" si="254">IF(I592&gt;0,J592*100/I592,0)</f>
        <v>0</v>
      </c>
      <c r="L592" s="671"/>
      <c r="M592" s="671"/>
      <c r="N592" s="671"/>
      <c r="O592" s="671"/>
      <c r="P592" s="671"/>
      <c r="Q592" s="571"/>
      <c r="R592" s="571"/>
      <c r="S592" s="571"/>
      <c r="T592" s="571"/>
      <c r="U592" s="571"/>
      <c r="V592" s="571"/>
      <c r="W592" s="571"/>
      <c r="X592" s="571"/>
      <c r="Y592" s="571"/>
      <c r="Z592" s="571"/>
    </row>
    <row r="593" spans="1:26" ht="19.5" hidden="1">
      <c r="A593" s="601"/>
      <c r="B593" s="611"/>
      <c r="C593" s="618" t="s">
        <v>252</v>
      </c>
      <c r="D593" s="611"/>
      <c r="E593" s="611"/>
      <c r="F593" s="619"/>
      <c r="G593" s="753"/>
      <c r="H593" s="758" t="s">
        <v>46</v>
      </c>
      <c r="I593" s="193">
        <f ca="1">IFERROR(__xludf.DUMMYFUNCTION("IMPORTRANGE(""https://docs.google.com/spreadsheets/d/1QqKyyYR6Q21VydFLVH3TRQUabQu_ym0Zz7PgGX0-kHA/edit?usp=sharing"",""แผน!HJ53"")"),0)</f>
        <v>0</v>
      </c>
      <c r="J593" s="193">
        <f t="shared" ref="J593:J594" si="255">J595+J603+J609</f>
        <v>0</v>
      </c>
      <c r="K593" s="410">
        <f t="shared" ca="1" si="254"/>
        <v>0</v>
      </c>
      <c r="L593" s="163"/>
      <c r="M593" s="163"/>
      <c r="N593" s="163"/>
      <c r="O593" s="163"/>
      <c r="P593" s="163"/>
      <c r="Q593" s="571"/>
      <c r="R593" s="571"/>
      <c r="S593" s="571"/>
      <c r="T593" s="571"/>
      <c r="U593" s="571"/>
      <c r="V593" s="571"/>
      <c r="W593" s="571"/>
      <c r="X593" s="571"/>
      <c r="Y593" s="571"/>
      <c r="Z593" s="571"/>
    </row>
    <row r="594" spans="1:26" ht="19.5" hidden="1">
      <c r="A594" s="601"/>
      <c r="B594" s="611"/>
      <c r="C594" s="611"/>
      <c r="D594" s="611"/>
      <c r="E594" s="619"/>
      <c r="F594" s="619"/>
      <c r="G594" s="753"/>
      <c r="H594" s="758" t="s">
        <v>34</v>
      </c>
      <c r="I594" s="193">
        <f ca="1">IFERROR(__xludf.DUMMYFUNCTION("IMPORTRANGE(""https://docs.google.com/spreadsheets/d/1QqKyyYR6Q21VydFLVH3TRQUabQu_ym0Zz7PgGX0-kHA/edit?usp=sharing"",""แผน!HI53"")"),0)</f>
        <v>0</v>
      </c>
      <c r="J594" s="193">
        <f t="shared" si="255"/>
        <v>0</v>
      </c>
      <c r="K594" s="410">
        <f t="shared" ca="1" si="254"/>
        <v>0</v>
      </c>
      <c r="L594" s="163"/>
      <c r="M594" s="163"/>
      <c r="N594" s="163"/>
      <c r="O594" s="163"/>
      <c r="P594" s="163"/>
      <c r="Q594" s="571"/>
      <c r="R594" s="571"/>
      <c r="S594" s="571"/>
      <c r="T594" s="571"/>
      <c r="U594" s="571"/>
      <c r="V594" s="571"/>
      <c r="W594" s="571"/>
      <c r="X594" s="571"/>
      <c r="Y594" s="571"/>
      <c r="Z594" s="571"/>
    </row>
    <row r="595" spans="1:26" ht="18.75" hidden="1">
      <c r="A595" s="601"/>
      <c r="B595" s="611"/>
      <c r="C595" s="611" t="s">
        <v>253</v>
      </c>
      <c r="D595" s="611"/>
      <c r="E595" s="611"/>
      <c r="F595" s="619"/>
      <c r="G595" s="753"/>
      <c r="H595" s="755" t="s">
        <v>46</v>
      </c>
      <c r="I595" s="184"/>
      <c r="J595" s="184">
        <f t="shared" ref="J595:J596" si="256">J597+J599</f>
        <v>0</v>
      </c>
      <c r="K595" s="163"/>
      <c r="L595" s="163"/>
      <c r="M595" s="163"/>
      <c r="N595" s="163"/>
      <c r="O595" s="163"/>
      <c r="P595" s="163"/>
      <c r="Q595" s="571"/>
      <c r="R595" s="571"/>
      <c r="S595" s="571"/>
      <c r="T595" s="571"/>
      <c r="U595" s="571"/>
      <c r="V595" s="571"/>
      <c r="W595" s="571"/>
      <c r="X595" s="571"/>
      <c r="Y595" s="571"/>
      <c r="Z595" s="571"/>
    </row>
    <row r="596" spans="1:26" ht="18.75" hidden="1">
      <c r="A596" s="601"/>
      <c r="B596" s="611"/>
      <c r="C596" s="611"/>
      <c r="D596" s="611"/>
      <c r="E596" s="619"/>
      <c r="F596" s="619"/>
      <c r="G596" s="753"/>
      <c r="H596" s="755" t="s">
        <v>34</v>
      </c>
      <c r="I596" s="184"/>
      <c r="J596" s="184">
        <f t="shared" si="256"/>
        <v>0</v>
      </c>
      <c r="K596" s="163"/>
      <c r="L596" s="163"/>
      <c r="M596" s="163"/>
      <c r="N596" s="163"/>
      <c r="O596" s="163"/>
      <c r="P596" s="163"/>
      <c r="Q596" s="571"/>
      <c r="R596" s="571"/>
      <c r="S596" s="571"/>
      <c r="T596" s="571"/>
      <c r="U596" s="571"/>
      <c r="V596" s="571"/>
      <c r="W596" s="571"/>
      <c r="X596" s="571"/>
      <c r="Y596" s="571"/>
      <c r="Z596" s="571"/>
    </row>
    <row r="597" spans="1:26" ht="18.75" hidden="1">
      <c r="A597" s="601"/>
      <c r="B597" s="611"/>
      <c r="C597" s="611"/>
      <c r="D597" s="737" t="s">
        <v>254</v>
      </c>
      <c r="E597" s="619"/>
      <c r="F597" s="619"/>
      <c r="G597" s="753"/>
      <c r="H597" s="755" t="s">
        <v>46</v>
      </c>
      <c r="I597" s="184"/>
      <c r="J597" s="214">
        <v>0</v>
      </c>
      <c r="K597" s="163"/>
      <c r="L597" s="163"/>
      <c r="M597" s="163"/>
      <c r="N597" s="163"/>
      <c r="O597" s="163"/>
      <c r="P597" s="163"/>
      <c r="Q597" s="571"/>
      <c r="R597" s="571"/>
      <c r="S597" s="571"/>
      <c r="T597" s="571"/>
      <c r="U597" s="571"/>
      <c r="V597" s="571"/>
      <c r="W597" s="571"/>
      <c r="X597" s="571"/>
      <c r="Y597" s="571"/>
      <c r="Z597" s="571"/>
    </row>
    <row r="598" spans="1:26" ht="18.75" hidden="1">
      <c r="A598" s="601"/>
      <c r="B598" s="611"/>
      <c r="C598" s="611"/>
      <c r="D598" s="611"/>
      <c r="E598" s="619"/>
      <c r="F598" s="619"/>
      <c r="G598" s="753"/>
      <c r="H598" s="755" t="s">
        <v>34</v>
      </c>
      <c r="I598" s="269"/>
      <c r="J598" s="214">
        <v>0</v>
      </c>
      <c r="K598" s="163"/>
      <c r="L598" s="163"/>
      <c r="M598" s="163"/>
      <c r="N598" s="163"/>
      <c r="O598" s="163"/>
      <c r="P598" s="163"/>
      <c r="Q598" s="571"/>
      <c r="R598" s="571"/>
      <c r="S598" s="571"/>
      <c r="T598" s="571"/>
      <c r="U598" s="571"/>
      <c r="V598" s="571"/>
      <c r="W598" s="571"/>
      <c r="X598" s="571"/>
      <c r="Y598" s="571"/>
      <c r="Z598" s="571"/>
    </row>
    <row r="599" spans="1:26" ht="18.75" hidden="1">
      <c r="A599" s="601"/>
      <c r="B599" s="611"/>
      <c r="C599" s="611"/>
      <c r="D599" s="737" t="s">
        <v>255</v>
      </c>
      <c r="E599" s="619"/>
      <c r="F599" s="619"/>
      <c r="G599" s="753"/>
      <c r="H599" s="755" t="s">
        <v>46</v>
      </c>
      <c r="I599" s="269"/>
      <c r="J599" s="214">
        <v>0</v>
      </c>
      <c r="K599" s="163"/>
      <c r="L599" s="163"/>
      <c r="M599" s="163"/>
      <c r="N599" s="163"/>
      <c r="O599" s="163"/>
      <c r="P599" s="163"/>
      <c r="Q599" s="571"/>
      <c r="R599" s="571"/>
      <c r="S599" s="571"/>
      <c r="T599" s="571"/>
      <c r="U599" s="571"/>
      <c r="V599" s="571"/>
      <c r="W599" s="571"/>
      <c r="X599" s="571"/>
      <c r="Y599" s="571"/>
      <c r="Z599" s="571"/>
    </row>
    <row r="600" spans="1:26" ht="18.75" hidden="1">
      <c r="A600" s="601"/>
      <c r="B600" s="611"/>
      <c r="C600" s="611"/>
      <c r="D600" s="611"/>
      <c r="E600" s="619"/>
      <c r="F600" s="619"/>
      <c r="G600" s="753"/>
      <c r="H600" s="755" t="s">
        <v>34</v>
      </c>
      <c r="I600" s="269"/>
      <c r="J600" s="214">
        <v>0</v>
      </c>
      <c r="K600" s="163"/>
      <c r="L600" s="163"/>
      <c r="M600" s="163"/>
      <c r="N600" s="163"/>
      <c r="O600" s="163"/>
      <c r="P600" s="163"/>
      <c r="Q600" s="571"/>
      <c r="R600" s="571"/>
      <c r="S600" s="571"/>
      <c r="T600" s="571"/>
      <c r="U600" s="571"/>
      <c r="V600" s="571"/>
      <c r="W600" s="571"/>
      <c r="X600" s="571"/>
      <c r="Y600" s="571"/>
      <c r="Z600" s="571"/>
    </row>
    <row r="601" spans="1:26" ht="18.75" hidden="1">
      <c r="A601" s="601"/>
      <c r="B601" s="611"/>
      <c r="C601" s="611"/>
      <c r="D601" s="737" t="s">
        <v>256</v>
      </c>
      <c r="E601" s="619"/>
      <c r="F601" s="619"/>
      <c r="G601" s="753"/>
      <c r="H601" s="755" t="s">
        <v>46</v>
      </c>
      <c r="I601" s="269"/>
      <c r="J601" s="214">
        <v>0</v>
      </c>
      <c r="K601" s="163"/>
      <c r="L601" s="163"/>
      <c r="M601" s="163"/>
      <c r="N601" s="163"/>
      <c r="O601" s="163"/>
      <c r="P601" s="163"/>
      <c r="Q601" s="571"/>
      <c r="R601" s="571"/>
      <c r="S601" s="571"/>
      <c r="T601" s="571"/>
      <c r="U601" s="571"/>
      <c r="V601" s="571"/>
      <c r="W601" s="571"/>
      <c r="X601" s="571"/>
      <c r="Y601" s="571"/>
      <c r="Z601" s="571"/>
    </row>
    <row r="602" spans="1:26" ht="18.75" hidden="1">
      <c r="A602" s="601"/>
      <c r="B602" s="611"/>
      <c r="C602" s="611"/>
      <c r="D602" s="611"/>
      <c r="E602" s="619"/>
      <c r="F602" s="619"/>
      <c r="G602" s="753"/>
      <c r="H602" s="755" t="s">
        <v>34</v>
      </c>
      <c r="I602" s="269"/>
      <c r="J602" s="214">
        <v>0</v>
      </c>
      <c r="K602" s="163"/>
      <c r="L602" s="163"/>
      <c r="M602" s="163"/>
      <c r="N602" s="163"/>
      <c r="O602" s="163"/>
      <c r="P602" s="163"/>
      <c r="Q602" s="571"/>
      <c r="R602" s="571"/>
      <c r="S602" s="571"/>
      <c r="T602" s="571"/>
      <c r="U602" s="571"/>
      <c r="V602" s="571"/>
      <c r="W602" s="571"/>
      <c r="X602" s="571"/>
      <c r="Y602" s="571"/>
      <c r="Z602" s="571"/>
    </row>
    <row r="603" spans="1:26" ht="18.75" hidden="1">
      <c r="A603" s="601"/>
      <c r="B603" s="611"/>
      <c r="C603" s="696" t="s">
        <v>257</v>
      </c>
      <c r="D603" s="611"/>
      <c r="E603" s="611"/>
      <c r="F603" s="619"/>
      <c r="G603" s="753"/>
      <c r="H603" s="755" t="s">
        <v>46</v>
      </c>
      <c r="I603" s="269"/>
      <c r="J603" s="269">
        <f t="shared" ref="J603:J604" si="257">J605+J607</f>
        <v>0</v>
      </c>
      <c r="K603" s="163"/>
      <c r="L603" s="163"/>
      <c r="M603" s="163"/>
      <c r="N603" s="163"/>
      <c r="O603" s="163"/>
      <c r="P603" s="163"/>
      <c r="Q603" s="571"/>
      <c r="R603" s="571"/>
      <c r="S603" s="571"/>
      <c r="T603" s="571"/>
      <c r="U603" s="571"/>
      <c r="V603" s="571"/>
      <c r="W603" s="571"/>
      <c r="X603" s="571"/>
      <c r="Y603" s="571"/>
      <c r="Z603" s="571"/>
    </row>
    <row r="604" spans="1:26" ht="18.75" hidden="1">
      <c r="A604" s="601"/>
      <c r="B604" s="611"/>
      <c r="C604" s="611"/>
      <c r="D604" s="611"/>
      <c r="E604" s="619"/>
      <c r="F604" s="619"/>
      <c r="G604" s="753"/>
      <c r="H604" s="755" t="s">
        <v>34</v>
      </c>
      <c r="I604" s="269"/>
      <c r="J604" s="269">
        <f t="shared" si="257"/>
        <v>0</v>
      </c>
      <c r="K604" s="163"/>
      <c r="L604" s="163"/>
      <c r="M604" s="163"/>
      <c r="N604" s="163"/>
      <c r="O604" s="163"/>
      <c r="P604" s="163"/>
      <c r="Q604" s="571"/>
      <c r="R604" s="571"/>
      <c r="S604" s="571"/>
      <c r="T604" s="571"/>
      <c r="U604" s="571"/>
      <c r="V604" s="571"/>
      <c r="W604" s="571"/>
      <c r="X604" s="571"/>
      <c r="Y604" s="571"/>
      <c r="Z604" s="571"/>
    </row>
    <row r="605" spans="1:26" ht="18.75" hidden="1">
      <c r="A605" s="601"/>
      <c r="B605" s="611"/>
      <c r="C605" s="611"/>
      <c r="D605" s="696" t="s">
        <v>258</v>
      </c>
      <c r="E605" s="619"/>
      <c r="F605" s="619"/>
      <c r="G605" s="753"/>
      <c r="H605" s="755" t="s">
        <v>46</v>
      </c>
      <c r="I605" s="269"/>
      <c r="J605" s="214">
        <v>0</v>
      </c>
      <c r="K605" s="163"/>
      <c r="L605" s="163"/>
      <c r="M605" s="163"/>
      <c r="N605" s="163"/>
      <c r="O605" s="163"/>
      <c r="P605" s="163"/>
      <c r="Q605" s="571"/>
      <c r="R605" s="571"/>
      <c r="S605" s="571"/>
      <c r="T605" s="571"/>
      <c r="U605" s="571"/>
      <c r="V605" s="571"/>
      <c r="W605" s="571"/>
      <c r="X605" s="571"/>
      <c r="Y605" s="571"/>
      <c r="Z605" s="571"/>
    </row>
    <row r="606" spans="1:26" ht="18.75" hidden="1">
      <c r="A606" s="601"/>
      <c r="B606" s="611"/>
      <c r="C606" s="611"/>
      <c r="D606" s="611"/>
      <c r="E606" s="611"/>
      <c r="F606" s="619"/>
      <c r="G606" s="753"/>
      <c r="H606" s="755" t="s">
        <v>34</v>
      </c>
      <c r="I606" s="269"/>
      <c r="J606" s="214">
        <v>0</v>
      </c>
      <c r="K606" s="163"/>
      <c r="L606" s="163"/>
      <c r="M606" s="163"/>
      <c r="N606" s="163"/>
      <c r="O606" s="163"/>
      <c r="P606" s="163"/>
      <c r="Q606" s="571"/>
      <c r="R606" s="571"/>
      <c r="S606" s="571"/>
      <c r="T606" s="571"/>
      <c r="U606" s="571"/>
      <c r="V606" s="571"/>
      <c r="W606" s="571"/>
      <c r="X606" s="571"/>
      <c r="Y606" s="571"/>
      <c r="Z606" s="571"/>
    </row>
    <row r="607" spans="1:26" ht="18.75" hidden="1">
      <c r="A607" s="601"/>
      <c r="B607" s="611"/>
      <c r="C607" s="611"/>
      <c r="D607" s="696" t="s">
        <v>259</v>
      </c>
      <c r="E607" s="611"/>
      <c r="F607" s="619"/>
      <c r="G607" s="753"/>
      <c r="H607" s="755" t="s">
        <v>46</v>
      </c>
      <c r="I607" s="269"/>
      <c r="J607" s="214">
        <v>0</v>
      </c>
      <c r="K607" s="163"/>
      <c r="L607" s="163"/>
      <c r="M607" s="163"/>
      <c r="N607" s="163"/>
      <c r="O607" s="163"/>
      <c r="P607" s="163"/>
      <c r="Q607" s="571"/>
      <c r="R607" s="571"/>
      <c r="S607" s="571"/>
      <c r="T607" s="571"/>
      <c r="U607" s="571"/>
      <c r="V607" s="571"/>
      <c r="W607" s="571"/>
      <c r="X607" s="571"/>
      <c r="Y607" s="571"/>
      <c r="Z607" s="571"/>
    </row>
    <row r="608" spans="1:26" ht="18.75" hidden="1">
      <c r="A608" s="601"/>
      <c r="B608" s="611"/>
      <c r="C608" s="611"/>
      <c r="D608" s="611"/>
      <c r="E608" s="619"/>
      <c r="F608" s="619"/>
      <c r="G608" s="753"/>
      <c r="H608" s="755" t="s">
        <v>34</v>
      </c>
      <c r="I608" s="269"/>
      <c r="J608" s="214">
        <v>0</v>
      </c>
      <c r="K608" s="163"/>
      <c r="L608" s="163"/>
      <c r="M608" s="163"/>
      <c r="N608" s="163"/>
      <c r="O608" s="163"/>
      <c r="P608" s="163"/>
      <c r="Q608" s="571"/>
      <c r="R608" s="571"/>
      <c r="S608" s="571"/>
      <c r="T608" s="571"/>
      <c r="U608" s="571"/>
      <c r="V608" s="571"/>
      <c r="W608" s="571"/>
      <c r="X608" s="571"/>
      <c r="Y608" s="571"/>
      <c r="Z608" s="571"/>
    </row>
    <row r="609" spans="1:26" ht="18.75" hidden="1">
      <c r="A609" s="601"/>
      <c r="B609" s="611"/>
      <c r="C609" s="611" t="s">
        <v>260</v>
      </c>
      <c r="D609" s="611"/>
      <c r="E609" s="611"/>
      <c r="F609" s="619"/>
      <c r="G609" s="753"/>
      <c r="H609" s="755" t="s">
        <v>46</v>
      </c>
      <c r="I609" s="269"/>
      <c r="J609" s="214">
        <v>0</v>
      </c>
      <c r="K609" s="163"/>
      <c r="L609" s="163"/>
      <c r="M609" s="163"/>
      <c r="N609" s="163"/>
      <c r="O609" s="163"/>
      <c r="P609" s="163"/>
      <c r="Q609" s="571"/>
      <c r="R609" s="571"/>
      <c r="S609" s="571"/>
      <c r="T609" s="571"/>
      <c r="U609" s="571"/>
      <c r="V609" s="571"/>
      <c r="W609" s="571"/>
      <c r="X609" s="571"/>
      <c r="Y609" s="571"/>
      <c r="Z609" s="571"/>
    </row>
    <row r="610" spans="1:26" ht="18.75" hidden="1">
      <c r="A610" s="601"/>
      <c r="B610" s="611"/>
      <c r="C610" s="611"/>
      <c r="D610" s="611"/>
      <c r="E610" s="619"/>
      <c r="F610" s="619"/>
      <c r="G610" s="753"/>
      <c r="H610" s="755" t="s">
        <v>34</v>
      </c>
      <c r="I610" s="269"/>
      <c r="J610" s="214">
        <v>0</v>
      </c>
      <c r="K610" s="163"/>
      <c r="L610" s="163"/>
      <c r="M610" s="163"/>
      <c r="N610" s="163"/>
      <c r="O610" s="163"/>
      <c r="P610" s="163"/>
      <c r="Q610" s="571"/>
      <c r="R610" s="571"/>
      <c r="S610" s="571"/>
      <c r="T610" s="571"/>
      <c r="U610" s="571"/>
      <c r="V610" s="571"/>
      <c r="W610" s="571"/>
      <c r="X610" s="571"/>
      <c r="Y610" s="571"/>
      <c r="Z610" s="571"/>
    </row>
    <row r="611" spans="1:26" ht="19.5" hidden="1">
      <c r="A611" s="685"/>
      <c r="B611" s="697" t="s">
        <v>261</v>
      </c>
      <c r="C611" s="687"/>
      <c r="D611" s="687"/>
      <c r="E611" s="666"/>
      <c r="F611" s="666"/>
      <c r="G611" s="667"/>
      <c r="H611" s="698" t="s">
        <v>46</v>
      </c>
      <c r="I611" s="699">
        <v>0</v>
      </c>
      <c r="J611" s="699">
        <f>J614+J616</f>
        <v>0</v>
      </c>
      <c r="K611" s="670">
        <f t="shared" ref="K611:K613" si="258">IF(I611&gt;0,J611*100/I611,0)</f>
        <v>0</v>
      </c>
      <c r="L611" s="671"/>
      <c r="M611" s="671"/>
      <c r="N611" s="671"/>
      <c r="O611" s="671"/>
      <c r="P611" s="671"/>
      <c r="Q611" s="571"/>
      <c r="R611" s="571"/>
      <c r="S611" s="571"/>
      <c r="T611" s="571"/>
      <c r="U611" s="571"/>
      <c r="V611" s="571"/>
      <c r="W611" s="571"/>
      <c r="X611" s="571"/>
      <c r="Y611" s="571"/>
      <c r="Z611" s="571"/>
    </row>
    <row r="612" spans="1:26" ht="19.5" hidden="1">
      <c r="A612" s="700"/>
      <c r="B612" s="710"/>
      <c r="C612" s="702" t="s">
        <v>262</v>
      </c>
      <c r="D612" s="710"/>
      <c r="E612" s="710"/>
      <c r="F612" s="703"/>
      <c r="G612" s="704"/>
      <c r="H612" s="705" t="s">
        <v>46</v>
      </c>
      <c r="I612" s="707">
        <v>0</v>
      </c>
      <c r="J612" s="707">
        <f t="shared" ref="J612:J613" si="259">J614+J616</f>
        <v>0</v>
      </c>
      <c r="K612" s="708">
        <f t="shared" si="258"/>
        <v>0</v>
      </c>
      <c r="L612" s="709"/>
      <c r="M612" s="709"/>
      <c r="N612" s="709"/>
      <c r="O612" s="709"/>
      <c r="P612" s="709"/>
      <c r="Q612" s="597"/>
      <c r="R612" s="597"/>
      <c r="S612" s="597"/>
      <c r="T612" s="597"/>
      <c r="U612" s="597"/>
      <c r="V612" s="597"/>
      <c r="W612" s="597"/>
      <c r="X612" s="597"/>
      <c r="Y612" s="597"/>
      <c r="Z612" s="597"/>
    </row>
    <row r="613" spans="1:26" ht="19.5" hidden="1">
      <c r="A613" s="700"/>
      <c r="B613" s="710"/>
      <c r="C613" s="710" t="s">
        <v>263</v>
      </c>
      <c r="D613" s="710"/>
      <c r="E613" s="710"/>
      <c r="F613" s="703"/>
      <c r="G613" s="704"/>
      <c r="H613" s="705" t="s">
        <v>34</v>
      </c>
      <c r="I613" s="707">
        <v>0</v>
      </c>
      <c r="J613" s="707">
        <f t="shared" si="259"/>
        <v>0</v>
      </c>
      <c r="K613" s="708">
        <f t="shared" si="258"/>
        <v>0</v>
      </c>
      <c r="L613" s="709"/>
      <c r="M613" s="709"/>
      <c r="N613" s="709"/>
      <c r="O613" s="709"/>
      <c r="P613" s="709"/>
      <c r="Q613" s="597"/>
      <c r="R613" s="597"/>
      <c r="S613" s="597"/>
      <c r="T613" s="597"/>
      <c r="U613" s="597"/>
      <c r="V613" s="597"/>
      <c r="W613" s="597"/>
      <c r="X613" s="597"/>
      <c r="Y613" s="597"/>
      <c r="Z613" s="597"/>
    </row>
    <row r="614" spans="1:26" ht="18.75" hidden="1">
      <c r="A614" s="607"/>
      <c r="B614" s="609"/>
      <c r="C614" s="609"/>
      <c r="D614" s="711" t="s">
        <v>264</v>
      </c>
      <c r="E614" s="609"/>
      <c r="F614" s="711"/>
      <c r="G614" s="365"/>
      <c r="H614" s="369" t="s">
        <v>46</v>
      </c>
      <c r="I614" s="610"/>
      <c r="J614" s="610">
        <v>0</v>
      </c>
      <c r="K614" s="167"/>
      <c r="L614" s="167"/>
      <c r="M614" s="167"/>
      <c r="N614" s="167"/>
      <c r="O614" s="167"/>
      <c r="P614" s="167"/>
      <c r="Q614" s="597"/>
      <c r="R614" s="597"/>
      <c r="S614" s="597"/>
      <c r="T614" s="597"/>
      <c r="U614" s="597"/>
      <c r="V614" s="597"/>
      <c r="W614" s="597"/>
      <c r="X614" s="597"/>
      <c r="Y614" s="597"/>
      <c r="Z614" s="597"/>
    </row>
    <row r="615" spans="1:26" ht="18.75" hidden="1">
      <c r="A615" s="607"/>
      <c r="B615" s="609"/>
      <c r="C615" s="609"/>
      <c r="D615" s="609"/>
      <c r="E615" s="609"/>
      <c r="F615" s="711"/>
      <c r="G615" s="365"/>
      <c r="H615" s="369" t="s">
        <v>34</v>
      </c>
      <c r="I615" s="610"/>
      <c r="J615" s="610">
        <v>0</v>
      </c>
      <c r="K615" s="167"/>
      <c r="L615" s="167"/>
      <c r="M615" s="167"/>
      <c r="N615" s="167"/>
      <c r="O615" s="167"/>
      <c r="P615" s="167"/>
      <c r="Q615" s="597"/>
      <c r="R615" s="597"/>
      <c r="S615" s="597"/>
      <c r="T615" s="597"/>
      <c r="U615" s="597"/>
      <c r="V615" s="597"/>
      <c r="W615" s="597"/>
      <c r="X615" s="597"/>
      <c r="Y615" s="597"/>
      <c r="Z615" s="597"/>
    </row>
    <row r="616" spans="1:26" ht="18.75" hidden="1">
      <c r="A616" s="607"/>
      <c r="B616" s="609"/>
      <c r="C616" s="609"/>
      <c r="D616" s="712" t="s">
        <v>264</v>
      </c>
      <c r="E616" s="711"/>
      <c r="F616" s="711"/>
      <c r="G616" s="365"/>
      <c r="H616" s="369" t="s">
        <v>46</v>
      </c>
      <c r="I616" s="610"/>
      <c r="J616" s="610">
        <v>0</v>
      </c>
      <c r="K616" s="167"/>
      <c r="L616" s="167"/>
      <c r="M616" s="167"/>
      <c r="N616" s="167"/>
      <c r="O616" s="167"/>
      <c r="P616" s="167"/>
      <c r="Q616" s="597"/>
      <c r="R616" s="597"/>
      <c r="S616" s="597"/>
      <c r="T616" s="597"/>
      <c r="U616" s="597"/>
      <c r="V616" s="597"/>
      <c r="W616" s="597"/>
      <c r="X616" s="597"/>
      <c r="Y616" s="597"/>
      <c r="Z616" s="597"/>
    </row>
    <row r="617" spans="1:26" ht="18.75" hidden="1">
      <c r="A617" s="607"/>
      <c r="B617" s="609"/>
      <c r="C617" s="609"/>
      <c r="D617" s="609"/>
      <c r="E617" s="711"/>
      <c r="F617" s="711"/>
      <c r="G617" s="365"/>
      <c r="H617" s="369" t="s">
        <v>34</v>
      </c>
      <c r="I617" s="610"/>
      <c r="J617" s="610">
        <v>0</v>
      </c>
      <c r="K617" s="167"/>
      <c r="L617" s="167"/>
      <c r="M617" s="167"/>
      <c r="N617" s="167"/>
      <c r="O617" s="167"/>
      <c r="P617" s="167"/>
      <c r="Q617" s="597"/>
      <c r="R617" s="597"/>
      <c r="S617" s="597"/>
      <c r="T617" s="597"/>
      <c r="U617" s="597"/>
      <c r="V617" s="597"/>
      <c r="W617" s="597"/>
      <c r="X617" s="597"/>
      <c r="Y617" s="597"/>
      <c r="Z617" s="597"/>
    </row>
    <row r="618" spans="1:26" ht="18.75" hidden="1">
      <c r="A618" s="607"/>
      <c r="B618" s="609"/>
      <c r="C618" s="609"/>
      <c r="D618" s="712" t="s">
        <v>265</v>
      </c>
      <c r="E618" s="711"/>
      <c r="F618" s="711"/>
      <c r="G618" s="365"/>
      <c r="H618" s="369" t="s">
        <v>46</v>
      </c>
      <c r="I618" s="610"/>
      <c r="J618" s="610">
        <v>0</v>
      </c>
      <c r="K618" s="167"/>
      <c r="L618" s="167"/>
      <c r="M618" s="167"/>
      <c r="N618" s="167"/>
      <c r="O618" s="167"/>
      <c r="P618" s="167"/>
      <c r="Q618" s="597"/>
      <c r="R618" s="597"/>
      <c r="S618" s="597"/>
      <c r="T618" s="597"/>
      <c r="U618" s="597"/>
      <c r="V618" s="597"/>
      <c r="W618" s="597"/>
      <c r="X618" s="597"/>
      <c r="Y618" s="597"/>
      <c r="Z618" s="597"/>
    </row>
    <row r="619" spans="1:26" ht="18.75" hidden="1">
      <c r="A619" s="607"/>
      <c r="B619" s="609"/>
      <c r="C619" s="609"/>
      <c r="D619" s="609"/>
      <c r="E619" s="711"/>
      <c r="F619" s="711"/>
      <c r="G619" s="365"/>
      <c r="H619" s="369" t="s">
        <v>34</v>
      </c>
      <c r="I619" s="610"/>
      <c r="J619" s="610">
        <v>0</v>
      </c>
      <c r="K619" s="167"/>
      <c r="L619" s="167"/>
      <c r="M619" s="167"/>
      <c r="N619" s="167"/>
      <c r="O619" s="167"/>
      <c r="P619" s="167"/>
      <c r="Q619" s="597"/>
      <c r="R619" s="597"/>
      <c r="S619" s="597"/>
      <c r="T619" s="597"/>
      <c r="U619" s="597"/>
      <c r="V619" s="597"/>
      <c r="W619" s="597"/>
      <c r="X619" s="597"/>
      <c r="Y619" s="597"/>
      <c r="Z619" s="597"/>
    </row>
    <row r="620" spans="1:26" ht="19.5" hidden="1">
      <c r="A620" s="713"/>
      <c r="B620" s="722"/>
      <c r="C620" s="715" t="s">
        <v>266</v>
      </c>
      <c r="D620" s="722"/>
      <c r="E620" s="722"/>
      <c r="F620" s="716"/>
      <c r="G620" s="717"/>
      <c r="H620" s="718" t="s">
        <v>46</v>
      </c>
      <c r="I620" s="719">
        <f ca="1">IFERROR(__xludf.DUMMYFUNCTION("IMPORTRANGE(""https://docs.google.com/spreadsheets/d/1QqKyyYR6Q21VydFLVH3TRQUabQu_ym0Zz7PgGX0-kHA/edit?usp=sharing"",""แผน!HL53"")"),0)</f>
        <v>0</v>
      </c>
      <c r="J620" s="719">
        <f t="shared" ref="J620:J621" si="260">J622+J624+J626</f>
        <v>0</v>
      </c>
      <c r="K620" s="720">
        <f t="shared" ref="K620:K621" ca="1" si="261">IF(I620&gt;0,J620*100/I620,0)</f>
        <v>0</v>
      </c>
      <c r="L620" s="721"/>
      <c r="M620" s="721"/>
      <c r="N620" s="721"/>
      <c r="O620" s="721"/>
      <c r="P620" s="721"/>
      <c r="Q620" s="571"/>
      <c r="R620" s="571"/>
      <c r="S620" s="571"/>
      <c r="T620" s="571"/>
      <c r="U620" s="571"/>
      <c r="V620" s="571"/>
      <c r="W620" s="571"/>
      <c r="X620" s="571"/>
      <c r="Y620" s="571"/>
      <c r="Z620" s="571"/>
    </row>
    <row r="621" spans="1:26" ht="19.5" hidden="1">
      <c r="A621" s="713"/>
      <c r="B621" s="722"/>
      <c r="C621" s="722" t="s">
        <v>267</v>
      </c>
      <c r="D621" s="722"/>
      <c r="E621" s="722"/>
      <c r="F621" s="716"/>
      <c r="G621" s="717"/>
      <c r="H621" s="718" t="s">
        <v>34</v>
      </c>
      <c r="I621" s="719">
        <f ca="1">IFERROR(__xludf.DUMMYFUNCTION("IMPORTRANGE(""https://docs.google.com/spreadsheets/d/1QqKyyYR6Q21VydFLVH3TRQUabQu_ym0Zz7PgGX0-kHA/edit?usp=sharing"",""แผน!HK53"")"),0)</f>
        <v>0</v>
      </c>
      <c r="J621" s="719">
        <f t="shared" si="260"/>
        <v>0</v>
      </c>
      <c r="K621" s="720">
        <f t="shared" ca="1" si="261"/>
        <v>0</v>
      </c>
      <c r="L621" s="721"/>
      <c r="M621" s="721"/>
      <c r="N621" s="721"/>
      <c r="O621" s="721"/>
      <c r="P621" s="721"/>
      <c r="Q621" s="571"/>
      <c r="R621" s="571"/>
      <c r="S621" s="571"/>
      <c r="T621" s="571"/>
      <c r="U621" s="571"/>
      <c r="V621" s="571"/>
      <c r="W621" s="571"/>
      <c r="X621" s="571"/>
      <c r="Y621" s="571"/>
      <c r="Z621" s="571"/>
    </row>
    <row r="622" spans="1:26" ht="18.75" hidden="1">
      <c r="A622" s="601"/>
      <c r="B622" s="611"/>
      <c r="C622" s="611"/>
      <c r="D622" s="737" t="s">
        <v>268</v>
      </c>
      <c r="E622" s="619"/>
      <c r="F622" s="619"/>
      <c r="G622" s="753"/>
      <c r="H622" s="755" t="s">
        <v>46</v>
      </c>
      <c r="I622" s="269"/>
      <c r="J622" s="214">
        <v>0</v>
      </c>
      <c r="K622" s="163"/>
      <c r="L622" s="163"/>
      <c r="M622" s="163"/>
      <c r="N622" s="163"/>
      <c r="O622" s="163"/>
      <c r="P622" s="163"/>
      <c r="Q622" s="571"/>
      <c r="R622" s="571"/>
      <c r="S622" s="571"/>
      <c r="T622" s="571"/>
      <c r="U622" s="571"/>
      <c r="V622" s="571"/>
      <c r="W622" s="571"/>
      <c r="X622" s="571"/>
      <c r="Y622" s="571"/>
      <c r="Z622" s="571"/>
    </row>
    <row r="623" spans="1:26" ht="18.75" hidden="1">
      <c r="A623" s="601"/>
      <c r="B623" s="611"/>
      <c r="C623" s="611"/>
      <c r="D623" s="611"/>
      <c r="E623" s="619"/>
      <c r="F623" s="619"/>
      <c r="G623" s="753"/>
      <c r="H623" s="755" t="s">
        <v>34</v>
      </c>
      <c r="I623" s="269"/>
      <c r="J623" s="214">
        <v>0</v>
      </c>
      <c r="K623" s="163"/>
      <c r="L623" s="163"/>
      <c r="M623" s="163"/>
      <c r="N623" s="163"/>
      <c r="O623" s="163"/>
      <c r="P623" s="163"/>
      <c r="Q623" s="571"/>
      <c r="R623" s="571"/>
      <c r="S623" s="571"/>
      <c r="T623" s="571"/>
      <c r="U623" s="571"/>
      <c r="V623" s="571"/>
      <c r="W623" s="571"/>
      <c r="X623" s="571"/>
      <c r="Y623" s="571"/>
      <c r="Z623" s="571"/>
    </row>
    <row r="624" spans="1:26" ht="18.75" hidden="1">
      <c r="A624" s="601"/>
      <c r="B624" s="611"/>
      <c r="C624" s="611"/>
      <c r="D624" s="737" t="s">
        <v>264</v>
      </c>
      <c r="E624" s="619"/>
      <c r="F624" s="619"/>
      <c r="G624" s="753"/>
      <c r="H624" s="755" t="s">
        <v>46</v>
      </c>
      <c r="I624" s="269"/>
      <c r="J624" s="214">
        <v>0</v>
      </c>
      <c r="K624" s="163"/>
      <c r="L624" s="163"/>
      <c r="M624" s="163"/>
      <c r="N624" s="163"/>
      <c r="O624" s="163"/>
      <c r="P624" s="163"/>
      <c r="Q624" s="571"/>
      <c r="R624" s="571"/>
      <c r="S624" s="571"/>
      <c r="T624" s="571"/>
      <c r="U624" s="571"/>
      <c r="V624" s="571"/>
      <c r="W624" s="571"/>
      <c r="X624" s="571"/>
      <c r="Y624" s="571"/>
      <c r="Z624" s="571"/>
    </row>
    <row r="625" spans="1:26" ht="18.75" hidden="1">
      <c r="A625" s="601"/>
      <c r="B625" s="611"/>
      <c r="C625" s="611"/>
      <c r="D625" s="611"/>
      <c r="E625" s="619"/>
      <c r="F625" s="619"/>
      <c r="G625" s="753"/>
      <c r="H625" s="755" t="s">
        <v>34</v>
      </c>
      <c r="I625" s="269"/>
      <c r="J625" s="214">
        <v>0</v>
      </c>
      <c r="K625" s="163"/>
      <c r="L625" s="163"/>
      <c r="M625" s="163"/>
      <c r="N625" s="163"/>
      <c r="O625" s="163"/>
      <c r="P625" s="163"/>
      <c r="Q625" s="571"/>
      <c r="R625" s="571"/>
      <c r="S625" s="571"/>
      <c r="T625" s="571"/>
      <c r="U625" s="571"/>
      <c r="V625" s="571"/>
      <c r="W625" s="571"/>
      <c r="X625" s="571"/>
      <c r="Y625" s="571"/>
      <c r="Z625" s="571"/>
    </row>
    <row r="626" spans="1:26" ht="18.75" hidden="1">
      <c r="A626" s="601"/>
      <c r="B626" s="611"/>
      <c r="C626" s="611"/>
      <c r="D626" s="737" t="s">
        <v>269</v>
      </c>
      <c r="E626" s="619"/>
      <c r="F626" s="619"/>
      <c r="G626" s="753"/>
      <c r="H626" s="755" t="s">
        <v>46</v>
      </c>
      <c r="I626" s="269"/>
      <c r="J626" s="214">
        <v>0</v>
      </c>
      <c r="K626" s="163"/>
      <c r="L626" s="163"/>
      <c r="M626" s="163"/>
      <c r="N626" s="163"/>
      <c r="O626" s="163"/>
      <c r="P626" s="163"/>
      <c r="Q626" s="571"/>
      <c r="R626" s="571"/>
      <c r="S626" s="571"/>
      <c r="T626" s="571"/>
      <c r="U626" s="571"/>
      <c r="V626" s="571"/>
      <c r="W626" s="571"/>
      <c r="X626" s="571"/>
      <c r="Y626" s="571"/>
      <c r="Z626" s="571"/>
    </row>
    <row r="627" spans="1:26" ht="18.75" hidden="1">
      <c r="A627" s="723"/>
      <c r="B627" s="724"/>
      <c r="C627" s="724"/>
      <c r="D627" s="724"/>
      <c r="E627" s="725"/>
      <c r="F627" s="725"/>
      <c r="G627" s="726"/>
      <c r="H627" s="421" t="s">
        <v>34</v>
      </c>
      <c r="I627" s="499"/>
      <c r="J627" s="423">
        <v>0</v>
      </c>
      <c r="K627" s="384"/>
      <c r="L627" s="384"/>
      <c r="M627" s="384"/>
      <c r="N627" s="384"/>
      <c r="O627" s="384"/>
      <c r="P627" s="384"/>
      <c r="Q627" s="571"/>
      <c r="R627" s="571"/>
      <c r="S627" s="571"/>
      <c r="T627" s="571"/>
      <c r="U627" s="571"/>
      <c r="V627" s="571"/>
      <c r="W627" s="571"/>
      <c r="X627" s="571"/>
      <c r="Y627" s="571"/>
      <c r="Z627" s="571"/>
    </row>
    <row r="628" spans="1:26" ht="19.5">
      <c r="A628" s="727">
        <v>7</v>
      </c>
      <c r="B628" s="728" t="s">
        <v>270</v>
      </c>
      <c r="C628" s="729"/>
      <c r="D628" s="729"/>
      <c r="E628" s="729"/>
      <c r="F628" s="729"/>
      <c r="G628" s="730"/>
      <c r="H628" s="731" t="s">
        <v>35</v>
      </c>
      <c r="I628" s="732">
        <f t="shared" ref="I628:J628" ca="1" si="262">I651</f>
        <v>70</v>
      </c>
      <c r="J628" s="732">
        <f t="shared" ca="1" si="262"/>
        <v>0</v>
      </c>
      <c r="K628" s="733">
        <f ca="1">IF(I628&gt;0,J628*100/I628,0)</f>
        <v>0</v>
      </c>
      <c r="L628" s="734"/>
      <c r="M628" s="734"/>
      <c r="N628" s="734"/>
      <c r="O628" s="734"/>
      <c r="P628" s="734"/>
      <c r="Q628" s="571"/>
      <c r="R628" s="571"/>
      <c r="S628" s="571"/>
      <c r="T628" s="571"/>
      <c r="U628" s="571"/>
      <c r="V628" s="571"/>
      <c r="W628" s="571"/>
      <c r="X628" s="571"/>
      <c r="Y628" s="571"/>
      <c r="Z628" s="571"/>
    </row>
    <row r="629" spans="1:26" ht="19.5">
      <c r="A629" s="590"/>
      <c r="B629" s="754"/>
      <c r="C629" s="754" t="s">
        <v>16</v>
      </c>
      <c r="D629" s="863" t="s">
        <v>17</v>
      </c>
      <c r="E629" s="857"/>
      <c r="F629" s="857"/>
      <c r="G629" s="189"/>
      <c r="H629" s="591" t="s">
        <v>12</v>
      </c>
      <c r="I629" s="269"/>
      <c r="J629" s="269"/>
      <c r="K629" s="496"/>
      <c r="L629" s="195">
        <f t="shared" ref="L629:N629" ca="1" si="263">L630+L631</f>
        <v>380400</v>
      </c>
      <c r="M629" s="195">
        <f t="shared" si="263"/>
        <v>0</v>
      </c>
      <c r="N629" s="195">
        <f t="shared" si="263"/>
        <v>26000</v>
      </c>
      <c r="O629" s="195">
        <f t="shared" ref="O629:O634" ca="1" si="264">IF(L629&gt;0,N629*100/L629,0)</f>
        <v>6.8349106203995795</v>
      </c>
      <c r="P629" s="195">
        <f t="shared" ref="P629:P634" si="265">IF(M629&gt;0,N629*100/M629,0)</f>
        <v>0</v>
      </c>
      <c r="Q629" s="571"/>
      <c r="R629" s="571"/>
      <c r="S629" s="571"/>
      <c r="T629" s="571"/>
      <c r="U629" s="571"/>
      <c r="V629" s="571"/>
      <c r="W629" s="571"/>
      <c r="X629" s="571"/>
      <c r="Y629" s="571"/>
      <c r="Z629" s="571"/>
    </row>
    <row r="630" spans="1:26" ht="18.75" hidden="1">
      <c r="A630" s="592"/>
      <c r="B630" s="750"/>
      <c r="C630" s="750"/>
      <c r="D630" s="711"/>
      <c r="E630" s="750" t="s">
        <v>184</v>
      </c>
      <c r="F630" s="750"/>
      <c r="G630" s="596"/>
      <c r="H630" s="165" t="s">
        <v>12</v>
      </c>
      <c r="I630" s="610"/>
      <c r="J630" s="610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597"/>
      <c r="R630" s="597"/>
      <c r="S630" s="597"/>
      <c r="T630" s="597"/>
      <c r="U630" s="597"/>
      <c r="V630" s="597"/>
      <c r="W630" s="597"/>
      <c r="X630" s="597"/>
      <c r="Y630" s="597"/>
      <c r="Z630" s="597"/>
    </row>
    <row r="631" spans="1:26" ht="18.75" hidden="1">
      <c r="A631" s="592"/>
      <c r="B631" s="600"/>
      <c r="C631" s="750"/>
      <c r="D631" s="711"/>
      <c r="E631" s="750" t="s">
        <v>185</v>
      </c>
      <c r="F631" s="750"/>
      <c r="G631" s="596"/>
      <c r="H631" s="165" t="s">
        <v>12</v>
      </c>
      <c r="I631" s="610"/>
      <c r="J631" s="610"/>
      <c r="K631" s="93"/>
      <c r="L631" s="93">
        <f t="shared" ca="1" si="266"/>
        <v>380400</v>
      </c>
      <c r="M631" s="93">
        <f t="shared" si="266"/>
        <v>0</v>
      </c>
      <c r="N631" s="93">
        <f t="shared" si="266"/>
        <v>26000</v>
      </c>
      <c r="O631" s="93">
        <f t="shared" ca="1" si="264"/>
        <v>6.8349106203995795</v>
      </c>
      <c r="P631" s="93">
        <f t="shared" si="265"/>
        <v>0</v>
      </c>
      <c r="Q631" s="597"/>
      <c r="R631" s="597"/>
      <c r="S631" s="597"/>
      <c r="T631" s="597"/>
      <c r="U631" s="597"/>
      <c r="V631" s="597"/>
      <c r="W631" s="597"/>
      <c r="X631" s="597"/>
      <c r="Y631" s="597"/>
      <c r="Z631" s="597"/>
    </row>
    <row r="632" spans="1:26" ht="18.75">
      <c r="A632" s="590"/>
      <c r="B632" s="568"/>
      <c r="C632" s="754"/>
      <c r="D632" s="599" t="s">
        <v>20</v>
      </c>
      <c r="E632" s="754"/>
      <c r="F632" s="754"/>
      <c r="G632" s="189"/>
      <c r="H632" s="161" t="s">
        <v>12</v>
      </c>
      <c r="I632" s="184"/>
      <c r="J632" s="184"/>
      <c r="K632" s="163"/>
      <c r="L632" s="496">
        <f t="shared" ref="L632:N632" ca="1" si="267">L633+L634</f>
        <v>380400</v>
      </c>
      <c r="M632" s="496">
        <f t="shared" si="267"/>
        <v>0</v>
      </c>
      <c r="N632" s="496">
        <f t="shared" si="267"/>
        <v>26000</v>
      </c>
      <c r="O632" s="496">
        <f t="shared" ca="1" si="264"/>
        <v>6.8349106203995795</v>
      </c>
      <c r="P632" s="496">
        <f t="shared" si="265"/>
        <v>0</v>
      </c>
      <c r="Q632" s="571"/>
      <c r="R632" s="571"/>
      <c r="S632" s="571"/>
      <c r="T632" s="571"/>
      <c r="U632" s="571"/>
      <c r="V632" s="571"/>
      <c r="W632" s="571"/>
      <c r="X632" s="571"/>
      <c r="Y632" s="571"/>
      <c r="Z632" s="571"/>
    </row>
    <row r="633" spans="1:26" ht="18.75" hidden="1">
      <c r="A633" s="592"/>
      <c r="B633" s="600"/>
      <c r="C633" s="750"/>
      <c r="D633" s="711"/>
      <c r="E633" s="750" t="s">
        <v>184</v>
      </c>
      <c r="F633" s="750"/>
      <c r="G633" s="596"/>
      <c r="H633" s="165" t="s">
        <v>12</v>
      </c>
      <c r="I633" s="610"/>
      <c r="J633" s="610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597"/>
      <c r="R633" s="597"/>
      <c r="S633" s="597"/>
      <c r="T633" s="597"/>
      <c r="U633" s="597"/>
      <c r="V633" s="597"/>
      <c r="W633" s="597"/>
      <c r="X633" s="597"/>
      <c r="Y633" s="597"/>
      <c r="Z633" s="597"/>
    </row>
    <row r="634" spans="1:26" ht="18.75" hidden="1">
      <c r="A634" s="592"/>
      <c r="B634" s="600"/>
      <c r="C634" s="750"/>
      <c r="D634" s="711"/>
      <c r="E634" s="750" t="s">
        <v>185</v>
      </c>
      <c r="F634" s="750"/>
      <c r="G634" s="596"/>
      <c r="H634" s="165" t="s">
        <v>12</v>
      </c>
      <c r="I634" s="610"/>
      <c r="J634" s="610"/>
      <c r="K634" s="93"/>
      <c r="L634" s="93">
        <f ca="1">IFERROR(__xludf.DUMMYFUNCTION("IMPORTRANGE(""https://docs.google.com/spreadsheets/d/1QqKyyYR6Q21VydFLVH3TRQUabQu_ym0Zz7PgGX0-kHA/edit?usp=sharing"",""แผน!HN53"")"),380400)</f>
        <v>380400</v>
      </c>
      <c r="M634" s="93">
        <v>0</v>
      </c>
      <c r="N634" s="93">
        <f>N635+N636+N637+N638</f>
        <v>26000</v>
      </c>
      <c r="O634" s="93">
        <f t="shared" ca="1" si="264"/>
        <v>6.8349106203995795</v>
      </c>
      <c r="P634" s="93">
        <f t="shared" si="265"/>
        <v>0</v>
      </c>
      <c r="Q634" s="597"/>
      <c r="R634" s="597"/>
      <c r="S634" s="597"/>
      <c r="T634" s="597"/>
      <c r="U634" s="597"/>
      <c r="V634" s="597"/>
      <c r="W634" s="597"/>
      <c r="X634" s="597"/>
      <c r="Y634" s="597"/>
      <c r="Z634" s="597"/>
    </row>
    <row r="635" spans="1:26" ht="18.75">
      <c r="A635" s="567"/>
      <c r="B635" s="568"/>
      <c r="C635" s="754"/>
      <c r="D635" s="754"/>
      <c r="E635" s="754"/>
      <c r="F635" s="754" t="s">
        <v>186</v>
      </c>
      <c r="G635" s="189"/>
      <c r="H635" s="161" t="s">
        <v>12</v>
      </c>
      <c r="I635" s="269"/>
      <c r="J635" s="269"/>
      <c r="K635" s="496"/>
      <c r="L635" s="496"/>
      <c r="M635" s="496"/>
      <c r="N635" s="817">
        <v>0</v>
      </c>
      <c r="O635" s="496"/>
      <c r="P635" s="496"/>
      <c r="Q635" s="571"/>
      <c r="R635" s="571"/>
      <c r="S635" s="571"/>
      <c r="T635" s="571"/>
      <c r="U635" s="571"/>
      <c r="V635" s="571"/>
      <c r="W635" s="571"/>
      <c r="X635" s="571"/>
      <c r="Y635" s="571"/>
      <c r="Z635" s="571"/>
    </row>
    <row r="636" spans="1:26" ht="18.75">
      <c r="A636" s="567"/>
      <c r="B636" s="568"/>
      <c r="C636" s="754"/>
      <c r="D636" s="754"/>
      <c r="E636" s="754"/>
      <c r="F636" s="754" t="s">
        <v>187</v>
      </c>
      <c r="G636" s="189"/>
      <c r="H636" s="161" t="s">
        <v>12</v>
      </c>
      <c r="I636" s="269"/>
      <c r="J636" s="269"/>
      <c r="K636" s="496"/>
      <c r="L636" s="496"/>
      <c r="M636" s="496"/>
      <c r="N636" s="817">
        <v>0</v>
      </c>
      <c r="O636" s="496"/>
      <c r="P636" s="496"/>
      <c r="Q636" s="571"/>
      <c r="R636" s="571"/>
      <c r="S636" s="571"/>
      <c r="T636" s="571"/>
      <c r="U636" s="571"/>
      <c r="V636" s="571"/>
      <c r="W636" s="571"/>
      <c r="X636" s="571"/>
      <c r="Y636" s="571"/>
      <c r="Z636" s="571"/>
    </row>
    <row r="637" spans="1:26" ht="18.75">
      <c r="A637" s="567"/>
      <c r="B637" s="568"/>
      <c r="C637" s="754"/>
      <c r="D637" s="754"/>
      <c r="E637" s="754"/>
      <c r="F637" s="754" t="s">
        <v>188</v>
      </c>
      <c r="G637" s="189"/>
      <c r="H637" s="161" t="s">
        <v>12</v>
      </c>
      <c r="I637" s="269"/>
      <c r="J637" s="269"/>
      <c r="K637" s="496"/>
      <c r="L637" s="496"/>
      <c r="M637" s="496"/>
      <c r="N637" s="817">
        <v>26000</v>
      </c>
      <c r="O637" s="496"/>
      <c r="P637" s="496"/>
      <c r="Q637" s="571"/>
      <c r="R637" s="571"/>
      <c r="S637" s="571"/>
      <c r="T637" s="571"/>
      <c r="U637" s="571"/>
      <c r="V637" s="571"/>
      <c r="W637" s="571"/>
      <c r="X637" s="571"/>
      <c r="Y637" s="571"/>
      <c r="Z637" s="571"/>
    </row>
    <row r="638" spans="1:26" ht="18.75">
      <c r="A638" s="567"/>
      <c r="B638" s="568"/>
      <c r="C638" s="754"/>
      <c r="D638" s="754"/>
      <c r="E638" s="754"/>
      <c r="F638" s="754" t="s">
        <v>189</v>
      </c>
      <c r="G638" s="189"/>
      <c r="H638" s="161" t="s">
        <v>12</v>
      </c>
      <c r="I638" s="269"/>
      <c r="J638" s="269"/>
      <c r="K638" s="496"/>
      <c r="L638" s="496"/>
      <c r="M638" s="496"/>
      <c r="N638" s="817">
        <v>0</v>
      </c>
      <c r="O638" s="496"/>
      <c r="P638" s="496"/>
      <c r="Q638" s="571"/>
      <c r="R638" s="571"/>
      <c r="S638" s="571"/>
      <c r="T638" s="571"/>
      <c r="U638" s="571"/>
      <c r="V638" s="571"/>
      <c r="W638" s="571"/>
      <c r="X638" s="571"/>
      <c r="Y638" s="571"/>
      <c r="Z638" s="571"/>
    </row>
    <row r="639" spans="1:26" ht="18.75">
      <c r="A639" s="590"/>
      <c r="B639" s="568"/>
      <c r="C639" s="754"/>
      <c r="D639" s="599" t="s">
        <v>21</v>
      </c>
      <c r="E639" s="754"/>
      <c r="F639" s="754"/>
      <c r="G639" s="189"/>
      <c r="H639" s="168" t="s">
        <v>12</v>
      </c>
      <c r="I639" s="184"/>
      <c r="J639" s="184"/>
      <c r="K639" s="163"/>
      <c r="L639" s="496">
        <f t="shared" ref="L639:N639" ca="1" si="268">L640+L641</f>
        <v>0</v>
      </c>
      <c r="M639" s="496">
        <f t="shared" si="268"/>
        <v>0</v>
      </c>
      <c r="N639" s="496">
        <f t="shared" si="268"/>
        <v>0</v>
      </c>
      <c r="O639" s="496">
        <f t="shared" ref="O639:O641" ca="1" si="269">IF(L639&gt;0,N639*100/L639,0)</f>
        <v>0</v>
      </c>
      <c r="P639" s="496">
        <f t="shared" ref="P639:P641" si="270">IF(M639&gt;0,N639*100/M639,0)</f>
        <v>0</v>
      </c>
      <c r="Q639" s="571"/>
      <c r="R639" s="571"/>
      <c r="S639" s="571"/>
      <c r="T639" s="571"/>
      <c r="U639" s="571"/>
      <c r="V639" s="571"/>
      <c r="W639" s="571"/>
      <c r="X639" s="571"/>
      <c r="Y639" s="571"/>
      <c r="Z639" s="571"/>
    </row>
    <row r="640" spans="1:26" ht="18.75" hidden="1">
      <c r="A640" s="592"/>
      <c r="B640" s="600"/>
      <c r="C640" s="750"/>
      <c r="D640" s="750"/>
      <c r="E640" s="750" t="s">
        <v>18</v>
      </c>
      <c r="F640" s="750"/>
      <c r="G640" s="596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597"/>
      <c r="R640" s="597"/>
      <c r="S640" s="597"/>
      <c r="T640" s="597"/>
      <c r="U640" s="597"/>
      <c r="V640" s="597"/>
      <c r="W640" s="597"/>
      <c r="X640" s="597"/>
      <c r="Y640" s="597"/>
      <c r="Z640" s="597"/>
    </row>
    <row r="641" spans="1:26" ht="18.75" hidden="1">
      <c r="A641" s="592"/>
      <c r="B641" s="600"/>
      <c r="C641" s="750"/>
      <c r="D641" s="750"/>
      <c r="E641" s="750" t="s">
        <v>19</v>
      </c>
      <c r="F641" s="750"/>
      <c r="G641" s="596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IFERROR(__xludf.DUMMYFUNCTION("IMPORTRANGE(""https://docs.google.com/spreadsheets/d/1QqKyyYR6Q21VydFLVH3TRQUabQu_ym0Zz7PgGX0-kHA/edit?usp=sharing"",""แผน!HQ53"")"),0)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597"/>
      <c r="R641" s="597"/>
      <c r="S641" s="597"/>
      <c r="T641" s="597"/>
      <c r="U641" s="597"/>
      <c r="V641" s="597"/>
      <c r="W641" s="597"/>
      <c r="X641" s="597"/>
      <c r="Y641" s="597"/>
      <c r="Z641" s="597"/>
    </row>
    <row r="642" spans="1:26" ht="19.5">
      <c r="A642" s="601"/>
      <c r="B642" s="611"/>
      <c r="C642" s="754" t="s">
        <v>16</v>
      </c>
      <c r="D642" s="839" t="s">
        <v>38</v>
      </c>
      <c r="E642" s="752"/>
      <c r="F642" s="752"/>
      <c r="G642" s="606"/>
      <c r="H642" s="753"/>
      <c r="I642" s="184"/>
      <c r="J642" s="184"/>
      <c r="K642" s="163"/>
      <c r="L642" s="163"/>
      <c r="M642" s="163"/>
      <c r="N642" s="163"/>
      <c r="O642" s="163"/>
      <c r="P642" s="163"/>
      <c r="Q642" s="571"/>
      <c r="R642" s="571"/>
      <c r="S642" s="571"/>
      <c r="T642" s="571"/>
      <c r="U642" s="571"/>
      <c r="V642" s="571"/>
      <c r="W642" s="571"/>
      <c r="X642" s="571"/>
      <c r="Y642" s="571"/>
      <c r="Z642" s="571"/>
    </row>
    <row r="643" spans="1:26" ht="18.75">
      <c r="A643" s="735"/>
      <c r="B643" s="568"/>
      <c r="C643" s="754"/>
      <c r="D643" s="619"/>
      <c r="E643" s="737" t="s">
        <v>271</v>
      </c>
      <c r="F643" s="619"/>
      <c r="G643" s="753"/>
      <c r="H643" s="755" t="s">
        <v>272</v>
      </c>
      <c r="I643" s="269">
        <f ca="1">IFERROR(__xludf.DUMMYFUNCTION("IMPORTRANGE(""https://docs.google.com/spreadsheets/d/1QqKyyYR6Q21VydFLVH3TRQUabQu_ym0Zz7PgGX0-kHA/edit?usp=sharing"",""แผน!HR53"")"),2)</f>
        <v>2</v>
      </c>
      <c r="J643" s="214">
        <v>0</v>
      </c>
      <c r="K643" s="163">
        <f t="shared" ref="K643:K652" ca="1" si="271">IF(I643&gt;0,J643*100/I643,0)</f>
        <v>0</v>
      </c>
      <c r="L643" s="163"/>
      <c r="M643" s="163"/>
      <c r="N643" s="496"/>
      <c r="O643" s="163"/>
      <c r="P643" s="163"/>
      <c r="Q643" s="571"/>
      <c r="R643" s="571"/>
      <c r="S643" s="571"/>
      <c r="T643" s="571"/>
      <c r="U643" s="571"/>
      <c r="V643" s="571"/>
      <c r="W643" s="571"/>
      <c r="X643" s="571"/>
      <c r="Y643" s="571"/>
      <c r="Z643" s="571"/>
    </row>
    <row r="644" spans="1:26" ht="18.75">
      <c r="A644" s="735"/>
      <c r="B644" s="568"/>
      <c r="C644" s="754"/>
      <c r="D644" s="619"/>
      <c r="E644" s="737" t="s">
        <v>273</v>
      </c>
      <c r="F644" s="619"/>
      <c r="G644" s="753"/>
      <c r="H644" s="755" t="s">
        <v>274</v>
      </c>
      <c r="I644" s="269">
        <f ca="1">IFERROR(__xludf.DUMMYFUNCTION("IMPORTRANGE(""https://docs.google.com/spreadsheets/d/1QqKyyYR6Q21VydFLVH3TRQUabQu_ym0Zz7PgGX0-kHA/edit?usp=sharing"",""แผน!HR53"")"),2)</f>
        <v>2</v>
      </c>
      <c r="J644" s="214">
        <v>0</v>
      </c>
      <c r="K644" s="163">
        <f t="shared" ca="1" si="271"/>
        <v>0</v>
      </c>
      <c r="L644" s="163"/>
      <c r="M644" s="163"/>
      <c r="N644" s="496"/>
      <c r="O644" s="163"/>
      <c r="P644" s="163"/>
      <c r="Q644" s="571"/>
      <c r="R644" s="571"/>
      <c r="S644" s="571"/>
      <c r="T644" s="571"/>
      <c r="U644" s="571"/>
      <c r="V644" s="571"/>
      <c r="W644" s="571"/>
      <c r="X644" s="571"/>
      <c r="Y644" s="571"/>
      <c r="Z644" s="571"/>
    </row>
    <row r="645" spans="1:26" ht="18.75">
      <c r="A645" s="735"/>
      <c r="B645" s="568"/>
      <c r="C645" s="754"/>
      <c r="D645" s="619"/>
      <c r="E645" s="737" t="s">
        <v>275</v>
      </c>
      <c r="F645" s="619"/>
      <c r="G645" s="753"/>
      <c r="H645" s="755" t="s">
        <v>34</v>
      </c>
      <c r="I645" s="269">
        <v>0</v>
      </c>
      <c r="J645" s="269">
        <f ca="1">IFERROR(__xludf.DUMMYFUNCTION("IMPORTRANGE(""https://docs.google.com/spreadsheets/d/1XWAQStnk-4SwqDmLtmXYiTMKHgktTP8We1SCoS47DrQ/edit?usp=sharing"",""จัดที่ดิน!AS53"")"),0)</f>
        <v>0</v>
      </c>
      <c r="K645" s="163">
        <f t="shared" si="271"/>
        <v>0</v>
      </c>
      <c r="L645" s="163"/>
      <c r="M645" s="163"/>
      <c r="N645" s="496"/>
      <c r="O645" s="163"/>
      <c r="P645" s="163"/>
      <c r="Q645" s="571"/>
      <c r="R645" s="571"/>
      <c r="S645" s="571"/>
      <c r="T645" s="571"/>
      <c r="U645" s="571"/>
      <c r="V645" s="571"/>
      <c r="W645" s="571"/>
      <c r="X645" s="571"/>
      <c r="Y645" s="571"/>
      <c r="Z645" s="571"/>
    </row>
    <row r="646" spans="1:26" ht="18.75">
      <c r="A646" s="735"/>
      <c r="B646" s="568"/>
      <c r="C646" s="754"/>
      <c r="D646" s="619"/>
      <c r="E646" s="619"/>
      <c r="F646" s="619"/>
      <c r="G646" s="753"/>
      <c r="H646" s="755" t="s">
        <v>46</v>
      </c>
      <c r="I646" s="269">
        <v>0</v>
      </c>
      <c r="J646" s="269">
        <f ca="1">IFERROR(__xludf.DUMMYFUNCTION("IMPORTRANGE(""https://docs.google.com/spreadsheets/d/1XWAQStnk-4SwqDmLtmXYiTMKHgktTP8We1SCoS47DrQ/edit?usp=sharing"",""จัดที่ดิน!AT53"")"),0)</f>
        <v>0</v>
      </c>
      <c r="K646" s="496">
        <f t="shared" si="271"/>
        <v>0</v>
      </c>
      <c r="L646" s="163"/>
      <c r="M646" s="163"/>
      <c r="N646" s="496"/>
      <c r="O646" s="163"/>
      <c r="P646" s="163"/>
      <c r="Q646" s="571"/>
      <c r="R646" s="571"/>
      <c r="S646" s="571"/>
      <c r="T646" s="571"/>
      <c r="U646" s="571"/>
      <c r="V646" s="571"/>
      <c r="W646" s="571"/>
      <c r="X646" s="571"/>
      <c r="Y646" s="571"/>
      <c r="Z646" s="571"/>
    </row>
    <row r="647" spans="1:26" ht="18.75">
      <c r="A647" s="735"/>
      <c r="B647" s="568"/>
      <c r="C647" s="754"/>
      <c r="D647" s="619"/>
      <c r="E647" s="737" t="s">
        <v>162</v>
      </c>
      <c r="F647" s="619"/>
      <c r="G647" s="753"/>
      <c r="H647" s="755" t="s">
        <v>35</v>
      </c>
      <c r="I647" s="269">
        <f ca="1">IFERROR(__xludf.DUMMYFUNCTION("IMPORTRANGE(""https://docs.google.com/spreadsheets/d/1QqKyyYR6Q21VydFLVH3TRQUabQu_ym0Zz7PgGX0-kHA/edit?usp=sharing"",""แผน!HS53"")"),70)</f>
        <v>70</v>
      </c>
      <c r="J647" s="269">
        <f ca="1">IFERROR(__xludf.DUMMYFUNCTION("IMPORTRANGE(""https://docs.google.com/spreadsheets/d/1XWAQStnk-4SwqDmLtmXYiTMKHgktTP8We1SCoS47DrQ/edit?usp=sharing"",""จัดที่ดิน!AU53"")"),0)</f>
        <v>0</v>
      </c>
      <c r="K647" s="163">
        <f t="shared" ca="1" si="271"/>
        <v>0</v>
      </c>
      <c r="L647" s="163"/>
      <c r="M647" s="163"/>
      <c r="N647" s="163"/>
      <c r="O647" s="163"/>
      <c r="P647" s="163"/>
      <c r="Q647" s="571"/>
      <c r="R647" s="571"/>
      <c r="S647" s="571"/>
      <c r="T647" s="571"/>
      <c r="U647" s="571"/>
      <c r="V647" s="571"/>
      <c r="W647" s="571"/>
      <c r="X647" s="571"/>
      <c r="Y647" s="571"/>
      <c r="Z647" s="571"/>
    </row>
    <row r="648" spans="1:26" ht="18.75">
      <c r="A648" s="735"/>
      <c r="B648" s="568"/>
      <c r="C648" s="754"/>
      <c r="D648" s="619"/>
      <c r="E648" s="619"/>
      <c r="F648" s="619"/>
      <c r="G648" s="753"/>
      <c r="H648" s="755" t="s">
        <v>46</v>
      </c>
      <c r="I648" s="269">
        <v>0</v>
      </c>
      <c r="J648" s="269">
        <f ca="1">IFERROR(__xludf.DUMMYFUNCTION("IMPORTRANGE(""https://docs.google.com/spreadsheets/d/1XWAQStnk-4SwqDmLtmXYiTMKHgktTP8We1SCoS47DrQ/edit?usp=sharing"",""จัดที่ดิน!AV53"")"),0)</f>
        <v>0</v>
      </c>
      <c r="K648" s="496">
        <f t="shared" si="271"/>
        <v>0</v>
      </c>
      <c r="L648" s="163"/>
      <c r="M648" s="163"/>
      <c r="N648" s="163"/>
      <c r="O648" s="163"/>
      <c r="P648" s="163"/>
      <c r="Q648" s="571"/>
      <c r="R648" s="571"/>
      <c r="S648" s="571"/>
      <c r="T648" s="571"/>
      <c r="U648" s="571"/>
      <c r="V648" s="571"/>
      <c r="W648" s="571"/>
      <c r="X648" s="571"/>
      <c r="Y648" s="571"/>
      <c r="Z648" s="571"/>
    </row>
    <row r="649" spans="1:26" ht="18.75">
      <c r="A649" s="735"/>
      <c r="B649" s="568"/>
      <c r="C649" s="754"/>
      <c r="D649" s="619"/>
      <c r="E649" s="737" t="s">
        <v>276</v>
      </c>
      <c r="F649" s="619"/>
      <c r="G649" s="753"/>
      <c r="H649" s="755" t="s">
        <v>35</v>
      </c>
      <c r="I649" s="269">
        <f ca="1">IFERROR(__xludf.DUMMYFUNCTION("IMPORTRANGE(""https://docs.google.com/spreadsheets/d/1QqKyyYR6Q21VydFLVH3TRQUabQu_ym0Zz7PgGX0-kHA/edit?usp=sharing"",""แผน!HS53"")"),70)</f>
        <v>70</v>
      </c>
      <c r="J649" s="269">
        <f ca="1">IFERROR(__xludf.DUMMYFUNCTION("IMPORTRANGE(""https://docs.google.com/spreadsheets/d/1XWAQStnk-4SwqDmLtmXYiTMKHgktTP8We1SCoS47DrQ/edit?usp=sharing"",""จัดที่ดิน!AW53"")"),0)</f>
        <v>0</v>
      </c>
      <c r="K649" s="163">
        <f t="shared" ca="1" si="271"/>
        <v>0</v>
      </c>
      <c r="L649" s="163"/>
      <c r="M649" s="163"/>
      <c r="N649" s="163"/>
      <c r="O649" s="163"/>
      <c r="P649" s="163"/>
      <c r="Q649" s="571"/>
      <c r="R649" s="571"/>
      <c r="S649" s="571"/>
      <c r="T649" s="571"/>
      <c r="U649" s="571"/>
      <c r="V649" s="571"/>
      <c r="W649" s="571"/>
      <c r="X649" s="571"/>
      <c r="Y649" s="571"/>
      <c r="Z649" s="571"/>
    </row>
    <row r="650" spans="1:26" ht="18.75">
      <c r="A650" s="735"/>
      <c r="B650" s="568"/>
      <c r="C650" s="754"/>
      <c r="D650" s="619"/>
      <c r="E650" s="619"/>
      <c r="F650" s="619"/>
      <c r="G650" s="753"/>
      <c r="H650" s="755" t="s">
        <v>46</v>
      </c>
      <c r="I650" s="269">
        <v>0</v>
      </c>
      <c r="J650" s="269">
        <f ca="1">IFERROR(__xludf.DUMMYFUNCTION("IMPORTRANGE(""https://docs.google.com/spreadsheets/d/1XWAQStnk-4SwqDmLtmXYiTMKHgktTP8We1SCoS47DrQ/edit?usp=sharing"",""จัดที่ดิน!AX53"")"),0)</f>
        <v>0</v>
      </c>
      <c r="K650" s="496">
        <f t="shared" si="271"/>
        <v>0</v>
      </c>
      <c r="L650" s="163"/>
      <c r="M650" s="163"/>
      <c r="N650" s="163"/>
      <c r="O650" s="163"/>
      <c r="P650" s="163"/>
      <c r="Q650" s="571"/>
      <c r="R650" s="571"/>
      <c r="S650" s="571"/>
      <c r="T650" s="571"/>
      <c r="U650" s="571"/>
      <c r="V650" s="571"/>
      <c r="W650" s="571"/>
      <c r="X650" s="571"/>
      <c r="Y650" s="571"/>
      <c r="Z650" s="571"/>
    </row>
    <row r="651" spans="1:26" ht="18.75">
      <c r="A651" s="735"/>
      <c r="B651" s="568"/>
      <c r="C651" s="754"/>
      <c r="D651" s="619"/>
      <c r="E651" s="737" t="s">
        <v>277</v>
      </c>
      <c r="F651" s="619"/>
      <c r="G651" s="753"/>
      <c r="H651" s="755" t="s">
        <v>35</v>
      </c>
      <c r="I651" s="269">
        <f ca="1">IFERROR(__xludf.DUMMYFUNCTION("IMPORTRANGE(""https://docs.google.com/spreadsheets/d/1QqKyyYR6Q21VydFLVH3TRQUabQu_ym0Zz7PgGX0-kHA/edit?usp=sharing"",""แผน!HS53"")"),70)</f>
        <v>70</v>
      </c>
      <c r="J651" s="269">
        <f ca="1">IFERROR(__xludf.DUMMYFUNCTION("IMPORTRANGE(""https://docs.google.com/spreadsheets/d/1XWAQStnk-4SwqDmLtmXYiTMKHgktTP8We1SCoS47DrQ/edit?usp=sharing"",""จัดที่ดิน!AY53"")"),0)</f>
        <v>0</v>
      </c>
      <c r="K651" s="163">
        <f t="shared" ca="1" si="271"/>
        <v>0</v>
      </c>
      <c r="L651" s="163"/>
      <c r="M651" s="163"/>
      <c r="N651" s="163"/>
      <c r="O651" s="163"/>
      <c r="P651" s="163"/>
      <c r="Q651" s="571"/>
      <c r="R651" s="571"/>
      <c r="S651" s="571"/>
      <c r="T651" s="571"/>
      <c r="U651" s="571"/>
      <c r="V651" s="571"/>
      <c r="W651" s="571"/>
      <c r="X651" s="571"/>
      <c r="Y651" s="571"/>
      <c r="Z651" s="571"/>
    </row>
    <row r="652" spans="1:26" ht="18.75">
      <c r="A652" s="738"/>
      <c r="B652" s="739"/>
      <c r="C652" s="740"/>
      <c r="D652" s="725"/>
      <c r="E652" s="725"/>
      <c r="F652" s="725"/>
      <c r="G652" s="726"/>
      <c r="H652" s="498" t="s">
        <v>46</v>
      </c>
      <c r="I652" s="499">
        <v>0</v>
      </c>
      <c r="J652" s="499">
        <f ca="1">IFERROR(__xludf.DUMMYFUNCTION("IMPORTRANGE(""https://docs.google.com/spreadsheets/d/1XWAQStnk-4SwqDmLtmXYiTMKHgktTP8We1SCoS47DrQ/edit?usp=sharing"",""จัดที่ดิน!AZ53"")"),0)</f>
        <v>0</v>
      </c>
      <c r="K652" s="500">
        <f t="shared" si="271"/>
        <v>0</v>
      </c>
      <c r="L652" s="384"/>
      <c r="M652" s="384"/>
      <c r="N652" s="384"/>
      <c r="O652" s="384"/>
      <c r="P652" s="384"/>
      <c r="Q652" s="571"/>
      <c r="R652" s="571"/>
      <c r="S652" s="571"/>
      <c r="T652" s="571"/>
      <c r="U652" s="571"/>
      <c r="V652" s="571"/>
      <c r="W652" s="571"/>
      <c r="X652" s="571"/>
      <c r="Y652" s="571"/>
      <c r="Z652" s="571"/>
    </row>
    <row r="653" spans="1:26" ht="19.5">
      <c r="A653" s="741">
        <v>8</v>
      </c>
      <c r="B653" s="728" t="s">
        <v>278</v>
      </c>
      <c r="C653" s="729"/>
      <c r="D653" s="729"/>
      <c r="E653" s="729"/>
      <c r="F653" s="729"/>
      <c r="G653" s="730"/>
      <c r="H653" s="730"/>
      <c r="I653" s="742"/>
      <c r="J653" s="742"/>
      <c r="K653" s="734"/>
      <c r="L653" s="734"/>
      <c r="M653" s="734"/>
      <c r="N653" s="734"/>
      <c r="O653" s="734"/>
      <c r="P653" s="734"/>
      <c r="Q653" s="571"/>
      <c r="R653" s="571"/>
      <c r="S653" s="571"/>
      <c r="T653" s="571"/>
      <c r="U653" s="571"/>
      <c r="V653" s="571"/>
      <c r="W653" s="571"/>
      <c r="X653" s="571"/>
      <c r="Y653" s="571"/>
      <c r="Z653" s="571"/>
    </row>
    <row r="654" spans="1:26" ht="19.5">
      <c r="A654" s="666"/>
      <c r="B654" s="665" t="s">
        <v>279</v>
      </c>
      <c r="C654" s="666"/>
      <c r="D654" s="666"/>
      <c r="E654" s="666"/>
      <c r="F654" s="666"/>
      <c r="G654" s="667"/>
      <c r="H654" s="698" t="s">
        <v>46</v>
      </c>
      <c r="I654" s="699">
        <f t="shared" ref="I654:J654" ca="1" si="272">I669</f>
        <v>200</v>
      </c>
      <c r="J654" s="699">
        <f t="shared" si="272"/>
        <v>0</v>
      </c>
      <c r="K654" s="670">
        <f ca="1">IF(I654&gt;0,J654*100/I654,0)</f>
        <v>0</v>
      </c>
      <c r="L654" s="671"/>
      <c r="M654" s="671"/>
      <c r="N654" s="671"/>
      <c r="O654" s="671"/>
      <c r="P654" s="671"/>
      <c r="Q654" s="571"/>
      <c r="R654" s="571"/>
      <c r="S654" s="571"/>
      <c r="T654" s="571"/>
      <c r="U654" s="571"/>
      <c r="V654" s="571"/>
      <c r="W654" s="571"/>
      <c r="X654" s="571"/>
      <c r="Y654" s="571"/>
      <c r="Z654" s="571"/>
    </row>
    <row r="655" spans="1:26" ht="19.5">
      <c r="A655" s="590"/>
      <c r="B655" s="754"/>
      <c r="C655" s="754" t="s">
        <v>16</v>
      </c>
      <c r="D655" s="863" t="s">
        <v>17</v>
      </c>
      <c r="E655" s="857"/>
      <c r="F655" s="857"/>
      <c r="G655" s="189"/>
      <c r="H655" s="591" t="s">
        <v>12</v>
      </c>
      <c r="I655" s="269"/>
      <c r="J655" s="269"/>
      <c r="K655" s="496"/>
      <c r="L655" s="195">
        <f t="shared" ref="L655:N655" ca="1" si="273">L656+L657</f>
        <v>20000</v>
      </c>
      <c r="M655" s="195">
        <f t="shared" si="273"/>
        <v>0</v>
      </c>
      <c r="N655" s="195">
        <f t="shared" si="273"/>
        <v>320</v>
      </c>
      <c r="O655" s="195">
        <f t="shared" ref="O655:O660" ca="1" si="274">IF(L655&gt;0,N655*100/L655,0)</f>
        <v>1.6</v>
      </c>
      <c r="P655" s="195">
        <f t="shared" ref="P655:P660" si="275">IF(M655&gt;0,N655*100/M655,0)</f>
        <v>0</v>
      </c>
      <c r="Q655" s="571"/>
      <c r="R655" s="571"/>
      <c r="S655" s="571"/>
      <c r="T655" s="571"/>
      <c r="U655" s="571"/>
      <c r="V655" s="571"/>
      <c r="W655" s="571"/>
      <c r="X655" s="571"/>
      <c r="Y655" s="571"/>
      <c r="Z655" s="571"/>
    </row>
    <row r="656" spans="1:26" ht="18.75" hidden="1">
      <c r="A656" s="592"/>
      <c r="B656" s="750"/>
      <c r="C656" s="750"/>
      <c r="D656" s="711"/>
      <c r="E656" s="750" t="s">
        <v>184</v>
      </c>
      <c r="F656" s="750"/>
      <c r="G656" s="596"/>
      <c r="H656" s="165" t="s">
        <v>12</v>
      </c>
      <c r="I656" s="610"/>
      <c r="J656" s="610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597"/>
      <c r="R656" s="597"/>
      <c r="S656" s="597"/>
      <c r="T656" s="597"/>
      <c r="U656" s="597"/>
      <c r="V656" s="597"/>
      <c r="W656" s="597"/>
      <c r="X656" s="597"/>
      <c r="Y656" s="597"/>
      <c r="Z656" s="597"/>
    </row>
    <row r="657" spans="1:26" ht="18.75" hidden="1">
      <c r="A657" s="592"/>
      <c r="B657" s="600"/>
      <c r="C657" s="750"/>
      <c r="D657" s="711"/>
      <c r="E657" s="750" t="s">
        <v>185</v>
      </c>
      <c r="F657" s="750"/>
      <c r="G657" s="596"/>
      <c r="H657" s="165" t="s">
        <v>12</v>
      </c>
      <c r="I657" s="610"/>
      <c r="J657" s="610"/>
      <c r="K657" s="93"/>
      <c r="L657" s="93">
        <f t="shared" ca="1" si="276"/>
        <v>20000</v>
      </c>
      <c r="M657" s="93">
        <f t="shared" si="276"/>
        <v>0</v>
      </c>
      <c r="N657" s="93">
        <f t="shared" si="276"/>
        <v>320</v>
      </c>
      <c r="O657" s="93">
        <f t="shared" ca="1" si="274"/>
        <v>1.6</v>
      </c>
      <c r="P657" s="93">
        <f t="shared" si="275"/>
        <v>0</v>
      </c>
      <c r="Q657" s="597"/>
      <c r="R657" s="597"/>
      <c r="S657" s="597"/>
      <c r="T657" s="597"/>
      <c r="U657" s="597"/>
      <c r="V657" s="597"/>
      <c r="W657" s="597"/>
      <c r="X657" s="597"/>
      <c r="Y657" s="597"/>
      <c r="Z657" s="597"/>
    </row>
    <row r="658" spans="1:26" ht="18.75">
      <c r="A658" s="590"/>
      <c r="B658" s="568"/>
      <c r="C658" s="754"/>
      <c r="D658" s="599" t="s">
        <v>20</v>
      </c>
      <c r="E658" s="754"/>
      <c r="F658" s="754"/>
      <c r="G658" s="189"/>
      <c r="H658" s="161" t="s">
        <v>12</v>
      </c>
      <c r="I658" s="184"/>
      <c r="J658" s="184"/>
      <c r="K658" s="163"/>
      <c r="L658" s="496">
        <f t="shared" ref="L658:N658" ca="1" si="277">L659+L660</f>
        <v>20000</v>
      </c>
      <c r="M658" s="496">
        <f t="shared" si="277"/>
        <v>0</v>
      </c>
      <c r="N658" s="496">
        <f t="shared" si="277"/>
        <v>320</v>
      </c>
      <c r="O658" s="496">
        <f t="shared" ca="1" si="274"/>
        <v>1.6</v>
      </c>
      <c r="P658" s="496">
        <f t="shared" si="275"/>
        <v>0</v>
      </c>
      <c r="Q658" s="571"/>
      <c r="R658" s="571"/>
      <c r="S658" s="571"/>
      <c r="T658" s="571"/>
      <c r="U658" s="571"/>
      <c r="V658" s="571"/>
      <c r="W658" s="571"/>
      <c r="X658" s="571"/>
      <c r="Y658" s="571"/>
      <c r="Z658" s="571"/>
    </row>
    <row r="659" spans="1:26" ht="18.75" hidden="1">
      <c r="A659" s="592"/>
      <c r="B659" s="600"/>
      <c r="C659" s="750"/>
      <c r="D659" s="711"/>
      <c r="E659" s="750" t="s">
        <v>184</v>
      </c>
      <c r="F659" s="750"/>
      <c r="G659" s="596"/>
      <c r="H659" s="165" t="s">
        <v>12</v>
      </c>
      <c r="I659" s="610"/>
      <c r="J659" s="610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597"/>
      <c r="R659" s="597"/>
      <c r="S659" s="597"/>
      <c r="T659" s="597"/>
      <c r="U659" s="597"/>
      <c r="V659" s="597"/>
      <c r="W659" s="597"/>
      <c r="X659" s="597"/>
      <c r="Y659" s="597"/>
      <c r="Z659" s="597"/>
    </row>
    <row r="660" spans="1:26" ht="18.75" hidden="1">
      <c r="A660" s="592"/>
      <c r="B660" s="600"/>
      <c r="C660" s="750"/>
      <c r="D660" s="711"/>
      <c r="E660" s="750" t="s">
        <v>185</v>
      </c>
      <c r="F660" s="750"/>
      <c r="G660" s="596"/>
      <c r="H660" s="165" t="s">
        <v>12</v>
      </c>
      <c r="I660" s="610"/>
      <c r="J660" s="610"/>
      <c r="K660" s="93"/>
      <c r="L660" s="93">
        <f ca="1">IFERROR(__xludf.DUMMYFUNCTION("IMPORTRANGE(""https://docs.google.com/spreadsheets/d/1QqKyyYR6Q21VydFLVH3TRQUabQu_ym0Zz7PgGX0-kHA/edit?usp=sharing"",""แผน!HV53"")"),20000)</f>
        <v>20000</v>
      </c>
      <c r="M660" s="93">
        <v>0</v>
      </c>
      <c r="N660" s="93">
        <f>N661+N662+N663+N664</f>
        <v>320</v>
      </c>
      <c r="O660" s="93">
        <f t="shared" ca="1" si="274"/>
        <v>1.6</v>
      </c>
      <c r="P660" s="93">
        <f t="shared" si="275"/>
        <v>0</v>
      </c>
      <c r="Q660" s="597"/>
      <c r="R660" s="597"/>
      <c r="S660" s="597"/>
      <c r="T660" s="597"/>
      <c r="U660" s="597"/>
      <c r="V660" s="597"/>
      <c r="W660" s="597"/>
      <c r="X660" s="597"/>
      <c r="Y660" s="597"/>
      <c r="Z660" s="597"/>
    </row>
    <row r="661" spans="1:26" ht="18.75">
      <c r="A661" s="567"/>
      <c r="B661" s="568"/>
      <c r="C661" s="754"/>
      <c r="D661" s="754"/>
      <c r="E661" s="754"/>
      <c r="F661" s="754" t="s">
        <v>186</v>
      </c>
      <c r="G661" s="189"/>
      <c r="H661" s="161" t="s">
        <v>12</v>
      </c>
      <c r="I661" s="269"/>
      <c r="J661" s="269"/>
      <c r="K661" s="496"/>
      <c r="L661" s="496"/>
      <c r="M661" s="496"/>
      <c r="N661" s="817">
        <v>0</v>
      </c>
      <c r="O661" s="496"/>
      <c r="P661" s="496"/>
      <c r="Q661" s="571"/>
      <c r="R661" s="571"/>
      <c r="S661" s="571"/>
      <c r="T661" s="571"/>
      <c r="U661" s="571"/>
      <c r="V661" s="571"/>
      <c r="W661" s="571"/>
      <c r="X661" s="571"/>
      <c r="Y661" s="571"/>
      <c r="Z661" s="571"/>
    </row>
    <row r="662" spans="1:26" ht="18.75">
      <c r="A662" s="567"/>
      <c r="B662" s="568"/>
      <c r="C662" s="754"/>
      <c r="D662" s="754"/>
      <c r="E662" s="754"/>
      <c r="F662" s="754" t="s">
        <v>187</v>
      </c>
      <c r="G662" s="189"/>
      <c r="H662" s="161" t="s">
        <v>12</v>
      </c>
      <c r="I662" s="269"/>
      <c r="J662" s="269"/>
      <c r="K662" s="496"/>
      <c r="L662" s="496"/>
      <c r="M662" s="496"/>
      <c r="N662" s="817">
        <v>0</v>
      </c>
      <c r="O662" s="496"/>
      <c r="P662" s="496"/>
      <c r="Q662" s="571"/>
      <c r="R662" s="571"/>
      <c r="S662" s="571"/>
      <c r="T662" s="571"/>
      <c r="U662" s="571"/>
      <c r="V662" s="571"/>
      <c r="W662" s="571"/>
      <c r="X662" s="571"/>
      <c r="Y662" s="571"/>
      <c r="Z662" s="571"/>
    </row>
    <row r="663" spans="1:26" ht="18.75">
      <c r="A663" s="567"/>
      <c r="B663" s="568"/>
      <c r="C663" s="568"/>
      <c r="D663" s="754"/>
      <c r="E663" s="754"/>
      <c r="F663" s="754" t="s">
        <v>188</v>
      </c>
      <c r="G663" s="189"/>
      <c r="H663" s="161" t="s">
        <v>12</v>
      </c>
      <c r="I663" s="269"/>
      <c r="J663" s="269"/>
      <c r="K663" s="496"/>
      <c r="L663" s="496"/>
      <c r="M663" s="496"/>
      <c r="N663" s="817">
        <v>0</v>
      </c>
      <c r="O663" s="496"/>
      <c r="P663" s="496"/>
      <c r="Q663" s="571"/>
      <c r="R663" s="571"/>
      <c r="S663" s="571"/>
      <c r="T663" s="571"/>
      <c r="U663" s="571"/>
      <c r="V663" s="571"/>
      <c r="W663" s="571"/>
      <c r="X663" s="571"/>
      <c r="Y663" s="571"/>
      <c r="Z663" s="571"/>
    </row>
    <row r="664" spans="1:26" ht="18.75">
      <c r="A664" s="567"/>
      <c r="B664" s="568"/>
      <c r="C664" s="568"/>
      <c r="D664" s="568"/>
      <c r="E664" s="754"/>
      <c r="F664" s="754" t="s">
        <v>189</v>
      </c>
      <c r="G664" s="189"/>
      <c r="H664" s="161" t="s">
        <v>12</v>
      </c>
      <c r="I664" s="269"/>
      <c r="J664" s="269"/>
      <c r="K664" s="496"/>
      <c r="L664" s="496"/>
      <c r="M664" s="496"/>
      <c r="N664" s="817">
        <v>320</v>
      </c>
      <c r="O664" s="496"/>
      <c r="P664" s="496"/>
      <c r="Q664" s="571"/>
      <c r="R664" s="571"/>
      <c r="S664" s="571"/>
      <c r="T664" s="571"/>
      <c r="U664" s="571"/>
      <c r="V664" s="571"/>
      <c r="W664" s="571"/>
      <c r="X664" s="571"/>
      <c r="Y664" s="571"/>
      <c r="Z664" s="571"/>
    </row>
    <row r="665" spans="1:26" ht="18.75">
      <c r="A665" s="590"/>
      <c r="B665" s="568"/>
      <c r="C665" s="568"/>
      <c r="D665" s="599" t="s">
        <v>21</v>
      </c>
      <c r="E665" s="754"/>
      <c r="F665" s="754"/>
      <c r="G665" s="189"/>
      <c r="H665" s="168" t="s">
        <v>12</v>
      </c>
      <c r="I665" s="184"/>
      <c r="J665" s="184"/>
      <c r="K665" s="163"/>
      <c r="L665" s="496">
        <f t="shared" ref="L665:N665" si="278">L666+L667</f>
        <v>0</v>
      </c>
      <c r="M665" s="496">
        <f t="shared" si="278"/>
        <v>0</v>
      </c>
      <c r="N665" s="496">
        <f t="shared" si="278"/>
        <v>0</v>
      </c>
      <c r="O665" s="496">
        <f t="shared" ref="O665:O667" si="279">IF(L665&gt;0,N665*100/L665,0)</f>
        <v>0</v>
      </c>
      <c r="P665" s="496">
        <f t="shared" ref="P665:P667" si="280">IF(M665&gt;0,N665*100/M665,0)</f>
        <v>0</v>
      </c>
      <c r="Q665" s="571"/>
      <c r="R665" s="571"/>
      <c r="S665" s="571"/>
      <c r="T665" s="571"/>
      <c r="U665" s="571"/>
      <c r="V665" s="571"/>
      <c r="W665" s="571"/>
      <c r="X665" s="571"/>
      <c r="Y665" s="571"/>
      <c r="Z665" s="571"/>
    </row>
    <row r="666" spans="1:26" ht="18.75" hidden="1">
      <c r="A666" s="592"/>
      <c r="B666" s="600"/>
      <c r="C666" s="600"/>
      <c r="D666" s="600"/>
      <c r="E666" s="750" t="s">
        <v>18</v>
      </c>
      <c r="F666" s="750"/>
      <c r="G666" s="596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597"/>
      <c r="R666" s="597"/>
      <c r="S666" s="597"/>
      <c r="T666" s="597"/>
      <c r="U666" s="597"/>
      <c r="V666" s="597"/>
      <c r="W666" s="597"/>
      <c r="X666" s="597"/>
      <c r="Y666" s="597"/>
      <c r="Z666" s="597"/>
    </row>
    <row r="667" spans="1:26" ht="18.75" hidden="1">
      <c r="A667" s="592"/>
      <c r="B667" s="600"/>
      <c r="C667" s="600"/>
      <c r="D667" s="600"/>
      <c r="E667" s="750" t="s">
        <v>19</v>
      </c>
      <c r="F667" s="750"/>
      <c r="G667" s="596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597"/>
      <c r="R667" s="597"/>
      <c r="S667" s="597"/>
      <c r="T667" s="597"/>
      <c r="U667" s="597"/>
      <c r="V667" s="597"/>
      <c r="W667" s="597"/>
      <c r="X667" s="597"/>
      <c r="Y667" s="597"/>
      <c r="Z667" s="597"/>
    </row>
    <row r="668" spans="1:26" ht="19.5">
      <c r="A668" s="601"/>
      <c r="B668" s="611"/>
      <c r="C668" s="568" t="s">
        <v>16</v>
      </c>
      <c r="D668" s="836" t="s">
        <v>38</v>
      </c>
      <c r="E668" s="752"/>
      <c r="F668" s="752"/>
      <c r="G668" s="606"/>
      <c r="H668" s="753"/>
      <c r="I668" s="184"/>
      <c r="J668" s="184"/>
      <c r="K668" s="163"/>
      <c r="L668" s="163"/>
      <c r="M668" s="163"/>
      <c r="N668" s="163"/>
      <c r="O668" s="163"/>
      <c r="P668" s="163"/>
      <c r="Q668" s="571"/>
      <c r="R668" s="571"/>
      <c r="S668" s="571"/>
      <c r="T668" s="571"/>
      <c r="U668" s="571"/>
      <c r="V668" s="571"/>
      <c r="W668" s="571"/>
      <c r="X668" s="571"/>
      <c r="Y668" s="571"/>
      <c r="Z668" s="571"/>
    </row>
    <row r="669" spans="1:26" ht="19.5">
      <c r="A669" s="601"/>
      <c r="B669" s="611"/>
      <c r="C669" s="611"/>
      <c r="D669" s="611" t="s">
        <v>280</v>
      </c>
      <c r="E669" s="619"/>
      <c r="F669" s="619"/>
      <c r="G669" s="753"/>
      <c r="H669" s="758" t="s">
        <v>46</v>
      </c>
      <c r="I669" s="674">
        <f ca="1">IFERROR(__xludf.DUMMYFUNCTION("IMPORTRANGE(""https://docs.google.com/spreadsheets/d/1QqKyyYR6Q21VydFLVH3TRQUabQu_ym0Zz7PgGX0-kHA/edit?usp=sharing"",""แผน!IA53"")"),200)</f>
        <v>200</v>
      </c>
      <c r="J669" s="674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1"/>
      <c r="R669" s="571"/>
      <c r="S669" s="571"/>
      <c r="T669" s="571"/>
      <c r="U669" s="571"/>
      <c r="V669" s="571"/>
      <c r="W669" s="571"/>
      <c r="X669" s="571"/>
      <c r="Y669" s="571"/>
      <c r="Z669" s="571"/>
    </row>
    <row r="670" spans="1:26" ht="18.75">
      <c r="A670" s="601"/>
      <c r="B670" s="611"/>
      <c r="C670" s="611"/>
      <c r="D670" s="611"/>
      <c r="E670" s="619" t="s">
        <v>281</v>
      </c>
      <c r="F670" s="619"/>
      <c r="G670" s="753"/>
      <c r="H670" s="755" t="s">
        <v>69</v>
      </c>
      <c r="I670" s="269">
        <f ca="1">IFERROR(__xludf.DUMMYFUNCTION("IMPORTRANGE(""https://docs.google.com/spreadsheets/d/1QqKyyYR6Q21VydFLVH3TRQUabQu_ym0Zz7PgGX0-kHA/edit?usp=sharing"",""แผน!HZ53"")"),5)</f>
        <v>5</v>
      </c>
      <c r="J670" s="214">
        <v>0</v>
      </c>
      <c r="K670" s="496">
        <f ca="1">IF(I670&gt;0,(J670*100)/I670,0)</f>
        <v>0</v>
      </c>
      <c r="L670" s="163"/>
      <c r="M670" s="163"/>
      <c r="N670" s="163"/>
      <c r="O670" s="163"/>
      <c r="P670" s="163"/>
      <c r="Q670" s="571"/>
      <c r="R670" s="571"/>
      <c r="S670" s="571"/>
      <c r="T670" s="571"/>
      <c r="U670" s="571"/>
      <c r="V670" s="571"/>
      <c r="W670" s="571"/>
      <c r="X670" s="571"/>
      <c r="Y670" s="571"/>
      <c r="Z670" s="571"/>
    </row>
    <row r="671" spans="1:26" ht="18.75">
      <c r="A671" s="601"/>
      <c r="B671" s="611"/>
      <c r="C671" s="611"/>
      <c r="D671" s="611"/>
      <c r="E671" s="619" t="s">
        <v>282</v>
      </c>
      <c r="F671" s="619"/>
      <c r="G671" s="753"/>
      <c r="H671" s="755" t="s">
        <v>69</v>
      </c>
      <c r="I671" s="269">
        <f ca="1">IFERROR(__xludf.DUMMYFUNCTION("IMPORTRANGE(""https://docs.google.com/spreadsheets/d/1QqKyyYR6Q21VydFLVH3TRQUabQu_ym0Zz7PgGX0-kHA/edit?usp=sharing"",""แผน!HZ53"")"),5)</f>
        <v>5</v>
      </c>
      <c r="J671" s="214">
        <v>0</v>
      </c>
      <c r="K671" s="496">
        <f ca="1">IF(I$671&gt;0,J671*100/I$671,0)</f>
        <v>0</v>
      </c>
      <c r="L671" s="163"/>
      <c r="M671" s="163"/>
      <c r="N671" s="163"/>
      <c r="O671" s="163"/>
      <c r="P671" s="163"/>
      <c r="Q671" s="571"/>
      <c r="R671" s="571"/>
      <c r="S671" s="571"/>
      <c r="T671" s="571"/>
      <c r="U671" s="571"/>
      <c r="V671" s="571"/>
      <c r="W671" s="571"/>
      <c r="X671" s="571"/>
      <c r="Y671" s="571"/>
      <c r="Z671" s="571"/>
    </row>
    <row r="672" spans="1:26" ht="18.75">
      <c r="A672" s="601"/>
      <c r="B672" s="611"/>
      <c r="C672" s="611"/>
      <c r="D672" s="611"/>
      <c r="E672" s="619" t="s">
        <v>283</v>
      </c>
      <c r="F672" s="619"/>
      <c r="G672" s="753"/>
      <c r="H672" s="755" t="s">
        <v>46</v>
      </c>
      <c r="I672" s="269"/>
      <c r="J672" s="214">
        <v>0</v>
      </c>
      <c r="K672" s="496">
        <f t="shared" ref="K672:K675" ca="1" si="281">IF(I$669&gt;0,J672*100/I$669,0)</f>
        <v>0</v>
      </c>
      <c r="L672" s="163"/>
      <c r="M672" s="163"/>
      <c r="N672" s="163"/>
      <c r="O672" s="163"/>
      <c r="P672" s="163"/>
      <c r="Q672" s="571"/>
      <c r="R672" s="571"/>
      <c r="S672" s="571"/>
      <c r="T672" s="571"/>
      <c r="U672" s="571"/>
      <c r="V672" s="571"/>
      <c r="W672" s="571"/>
      <c r="X672" s="571"/>
      <c r="Y672" s="571"/>
      <c r="Z672" s="571"/>
    </row>
    <row r="673" spans="1:26" ht="18.75">
      <c r="A673" s="601"/>
      <c r="B673" s="611"/>
      <c r="C673" s="611"/>
      <c r="D673" s="611"/>
      <c r="E673" s="619" t="s">
        <v>284</v>
      </c>
      <c r="F673" s="619"/>
      <c r="G673" s="753"/>
      <c r="H673" s="755" t="s">
        <v>46</v>
      </c>
      <c r="I673" s="269"/>
      <c r="J673" s="214">
        <v>0</v>
      </c>
      <c r="K673" s="496">
        <f t="shared" ca="1" si="281"/>
        <v>0</v>
      </c>
      <c r="L673" s="163"/>
      <c r="M673" s="163"/>
      <c r="N673" s="163"/>
      <c r="O673" s="163"/>
      <c r="P673" s="163"/>
      <c r="Q673" s="571"/>
      <c r="R673" s="571"/>
      <c r="S673" s="571"/>
      <c r="T673" s="571"/>
      <c r="U673" s="571"/>
      <c r="V673" s="571"/>
      <c r="W673" s="571"/>
      <c r="X673" s="571"/>
      <c r="Y673" s="571"/>
      <c r="Z673" s="571"/>
    </row>
    <row r="674" spans="1:26" ht="18.75">
      <c r="A674" s="601"/>
      <c r="B674" s="611"/>
      <c r="C674" s="611"/>
      <c r="D674" s="611"/>
      <c r="E674" s="619" t="s">
        <v>285</v>
      </c>
      <c r="F674" s="619"/>
      <c r="G674" s="753"/>
      <c r="H674" s="755" t="s">
        <v>46</v>
      </c>
      <c r="I674" s="269"/>
      <c r="J674" s="214">
        <v>0</v>
      </c>
      <c r="K674" s="496">
        <f t="shared" ca="1" si="281"/>
        <v>0</v>
      </c>
      <c r="L674" s="163"/>
      <c r="M674" s="163"/>
      <c r="N674" s="163"/>
      <c r="O674" s="163"/>
      <c r="P674" s="163"/>
      <c r="Q674" s="571"/>
      <c r="R674" s="571"/>
      <c r="S674" s="571"/>
      <c r="T674" s="571"/>
      <c r="U674" s="571"/>
      <c r="V674" s="571"/>
      <c r="W674" s="571"/>
      <c r="X674" s="571"/>
      <c r="Y674" s="571"/>
      <c r="Z674" s="571"/>
    </row>
    <row r="675" spans="1:26" ht="19.5">
      <c r="A675" s="601"/>
      <c r="B675" s="611"/>
      <c r="C675" s="611"/>
      <c r="D675" s="611"/>
      <c r="E675" s="619" t="s">
        <v>286</v>
      </c>
      <c r="F675" s="619"/>
      <c r="G675" s="753"/>
      <c r="H675" s="755" t="s">
        <v>46</v>
      </c>
      <c r="I675" s="269"/>
      <c r="J675" s="674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71"/>
      <c r="R675" s="571"/>
      <c r="S675" s="571"/>
      <c r="T675" s="571"/>
      <c r="U675" s="571"/>
      <c r="V675" s="571"/>
      <c r="W675" s="571"/>
      <c r="X675" s="571"/>
      <c r="Y675" s="571"/>
      <c r="Z675" s="571"/>
    </row>
    <row r="676" spans="1:26" ht="18.75">
      <c r="A676" s="601"/>
      <c r="B676" s="611"/>
      <c r="C676" s="611"/>
      <c r="D676" s="611"/>
      <c r="E676" s="619"/>
      <c r="F676" s="619" t="s">
        <v>287</v>
      </c>
      <c r="G676" s="753"/>
      <c r="H676" s="755" t="s">
        <v>46</v>
      </c>
      <c r="I676" s="269"/>
      <c r="J676" s="214">
        <v>0</v>
      </c>
      <c r="K676" s="496"/>
      <c r="L676" s="163"/>
      <c r="M676" s="163"/>
      <c r="N676" s="163"/>
      <c r="O676" s="163"/>
      <c r="P676" s="163"/>
      <c r="Q676" s="571"/>
      <c r="R676" s="571"/>
      <c r="S676" s="571"/>
      <c r="T676" s="571"/>
      <c r="U676" s="571"/>
      <c r="V676" s="571"/>
      <c r="W676" s="571"/>
      <c r="X676" s="571"/>
      <c r="Y676" s="571"/>
      <c r="Z676" s="571"/>
    </row>
    <row r="677" spans="1:26" ht="18.75">
      <c r="A677" s="601"/>
      <c r="B677" s="611"/>
      <c r="C677" s="611"/>
      <c r="D677" s="611"/>
      <c r="E677" s="619"/>
      <c r="F677" s="619" t="s">
        <v>288</v>
      </c>
      <c r="G677" s="753"/>
      <c r="H677" s="755" t="s">
        <v>46</v>
      </c>
      <c r="I677" s="269"/>
      <c r="J677" s="214">
        <v>0</v>
      </c>
      <c r="K677" s="496"/>
      <c r="L677" s="163"/>
      <c r="M677" s="163"/>
      <c r="N677" s="163"/>
      <c r="O677" s="163"/>
      <c r="P677" s="163"/>
      <c r="Q677" s="571"/>
      <c r="R677" s="571"/>
      <c r="S677" s="571"/>
      <c r="T677" s="571"/>
      <c r="U677" s="571"/>
      <c r="V677" s="571"/>
      <c r="W677" s="571"/>
      <c r="X677" s="571"/>
      <c r="Y677" s="571"/>
      <c r="Z677" s="571"/>
    </row>
    <row r="678" spans="1:26" ht="19.5">
      <c r="A678" s="601"/>
      <c r="B678" s="611"/>
      <c r="C678" s="611"/>
      <c r="D678" s="611" t="s">
        <v>289</v>
      </c>
      <c r="E678" s="619"/>
      <c r="F678" s="619"/>
      <c r="G678" s="753"/>
      <c r="H678" s="755" t="s">
        <v>46</v>
      </c>
      <c r="I678" s="674">
        <f ca="1">IFERROR(__xludf.DUMMYFUNCTION("IMPORTRANGE(""https://docs.google.com/spreadsheets/d/1QqKyyYR6Q21VydFLVH3TRQUabQu_ym0Zz7PgGX0-kHA/edit?usp=sharing"",""แผน!IB53"")"),0)</f>
        <v>0</v>
      </c>
      <c r="J678" s="674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1"/>
      <c r="R678" s="571"/>
      <c r="S678" s="571"/>
      <c r="T678" s="571"/>
      <c r="U678" s="571"/>
      <c r="V678" s="571"/>
      <c r="W678" s="571"/>
      <c r="X678" s="571"/>
      <c r="Y678" s="571"/>
      <c r="Z678" s="571"/>
    </row>
    <row r="679" spans="1:26" ht="18.75">
      <c r="A679" s="601"/>
      <c r="B679" s="611"/>
      <c r="C679" s="611"/>
      <c r="D679" s="611"/>
      <c r="E679" s="619" t="s">
        <v>290</v>
      </c>
      <c r="F679" s="619"/>
      <c r="G679" s="753"/>
      <c r="H679" s="755" t="s">
        <v>46</v>
      </c>
      <c r="I679" s="269"/>
      <c r="J679" s="269">
        <f>J680+J681</f>
        <v>0</v>
      </c>
      <c r="K679" s="496"/>
      <c r="L679" s="163"/>
      <c r="M679" s="163"/>
      <c r="N679" s="163"/>
      <c r="O679" s="163"/>
      <c r="P679" s="163"/>
      <c r="Q679" s="571"/>
      <c r="R679" s="571"/>
      <c r="S679" s="571"/>
      <c r="T679" s="571"/>
      <c r="U679" s="571"/>
      <c r="V679" s="571"/>
      <c r="W679" s="571"/>
      <c r="X679" s="571"/>
      <c r="Y679" s="571"/>
      <c r="Z679" s="571"/>
    </row>
    <row r="680" spans="1:26" ht="18.75">
      <c r="A680" s="601"/>
      <c r="B680" s="611"/>
      <c r="C680" s="611"/>
      <c r="D680" s="611"/>
      <c r="E680" s="619"/>
      <c r="F680" s="619" t="s">
        <v>287</v>
      </c>
      <c r="G680" s="753"/>
      <c r="H680" s="755" t="s">
        <v>46</v>
      </c>
      <c r="I680" s="269"/>
      <c r="J680" s="214">
        <v>0</v>
      </c>
      <c r="K680" s="496"/>
      <c r="L680" s="163"/>
      <c r="M680" s="163"/>
      <c r="N680" s="163"/>
      <c r="O680" s="163"/>
      <c r="P680" s="163"/>
      <c r="Q680" s="571"/>
      <c r="R680" s="571"/>
      <c r="S680" s="571"/>
      <c r="T680" s="571"/>
      <c r="U680" s="571"/>
      <c r="V680" s="571"/>
      <c r="W680" s="571"/>
      <c r="X680" s="571"/>
      <c r="Y680" s="571"/>
      <c r="Z680" s="571"/>
    </row>
    <row r="681" spans="1:26" ht="18.75">
      <c r="A681" s="601"/>
      <c r="B681" s="611"/>
      <c r="C681" s="611"/>
      <c r="D681" s="611"/>
      <c r="E681" s="619"/>
      <c r="F681" s="619" t="s">
        <v>288</v>
      </c>
      <c r="G681" s="753"/>
      <c r="H681" s="755" t="s">
        <v>46</v>
      </c>
      <c r="I681" s="269"/>
      <c r="J681" s="214">
        <v>0</v>
      </c>
      <c r="K681" s="496"/>
      <c r="L681" s="163"/>
      <c r="M681" s="163"/>
      <c r="N681" s="163"/>
      <c r="O681" s="163"/>
      <c r="P681" s="163"/>
      <c r="Q681" s="571"/>
      <c r="R681" s="571"/>
      <c r="S681" s="571"/>
      <c r="T681" s="571"/>
      <c r="U681" s="571"/>
      <c r="V681" s="571"/>
      <c r="W681" s="571"/>
      <c r="X681" s="571"/>
      <c r="Y681" s="571"/>
      <c r="Z681" s="571"/>
    </row>
    <row r="682" spans="1:26" ht="18.75">
      <c r="A682" s="601"/>
      <c r="B682" s="611"/>
      <c r="C682" s="611"/>
      <c r="D682" s="611"/>
      <c r="E682" s="619" t="s">
        <v>291</v>
      </c>
      <c r="F682" s="619"/>
      <c r="G682" s="753"/>
      <c r="H682" s="755" t="s">
        <v>46</v>
      </c>
      <c r="I682" s="269"/>
      <c r="J682" s="214">
        <v>0</v>
      </c>
      <c r="K682" s="496"/>
      <c r="L682" s="163"/>
      <c r="M682" s="163"/>
      <c r="N682" s="163"/>
      <c r="O682" s="163"/>
      <c r="P682" s="163"/>
      <c r="Q682" s="571"/>
      <c r="R682" s="571"/>
      <c r="S682" s="571"/>
      <c r="T682" s="571"/>
      <c r="U682" s="571"/>
      <c r="V682" s="571"/>
      <c r="W682" s="571"/>
      <c r="X682" s="571"/>
      <c r="Y682" s="571"/>
      <c r="Z682" s="571"/>
    </row>
    <row r="683" spans="1:26" ht="18.75">
      <c r="A683" s="601"/>
      <c r="B683" s="611"/>
      <c r="C683" s="611"/>
      <c r="D683" s="611"/>
      <c r="E683" s="619"/>
      <c r="F683" s="619" t="s">
        <v>292</v>
      </c>
      <c r="G683" s="753"/>
      <c r="H683" s="755" t="s">
        <v>46</v>
      </c>
      <c r="I683" s="269"/>
      <c r="J683" s="214">
        <v>0</v>
      </c>
      <c r="K683" s="496"/>
      <c r="L683" s="163"/>
      <c r="M683" s="163"/>
      <c r="N683" s="163"/>
      <c r="O683" s="163"/>
      <c r="P683" s="163"/>
      <c r="Q683" s="571"/>
      <c r="R683" s="571"/>
      <c r="S683" s="571"/>
      <c r="T683" s="571"/>
      <c r="U683" s="571"/>
      <c r="V683" s="571"/>
      <c r="W683" s="571"/>
      <c r="X683" s="571"/>
      <c r="Y683" s="571"/>
      <c r="Z683" s="571"/>
    </row>
    <row r="684" spans="1:26" ht="19.5">
      <c r="A684" s="744"/>
      <c r="B684" s="745" t="s">
        <v>293</v>
      </c>
      <c r="C684" s="744"/>
      <c r="D684" s="744"/>
      <c r="E684" s="744"/>
      <c r="F684" s="744"/>
      <c r="G684" s="746"/>
      <c r="H684" s="746"/>
      <c r="I684" s="747"/>
      <c r="J684" s="747"/>
      <c r="K684" s="748"/>
      <c r="L684" s="748"/>
      <c r="M684" s="748"/>
      <c r="N684" s="748"/>
      <c r="O684" s="748"/>
      <c r="P684" s="748"/>
      <c r="Q684" s="571"/>
      <c r="R684" s="571"/>
      <c r="S684" s="571"/>
      <c r="T684" s="571"/>
      <c r="U684" s="571"/>
      <c r="V684" s="571"/>
      <c r="W684" s="571"/>
      <c r="X684" s="571"/>
      <c r="Y684" s="571"/>
      <c r="Z684" s="571"/>
    </row>
    <row r="685" spans="1:26" ht="19.5">
      <c r="A685" s="590"/>
      <c r="B685" s="754"/>
      <c r="C685" s="754" t="s">
        <v>16</v>
      </c>
      <c r="D685" s="863" t="s">
        <v>17</v>
      </c>
      <c r="E685" s="857"/>
      <c r="F685" s="857"/>
      <c r="G685" s="189"/>
      <c r="H685" s="591" t="s">
        <v>12</v>
      </c>
      <c r="I685" s="269"/>
      <c r="J685" s="269"/>
      <c r="K685" s="496"/>
      <c r="L685" s="195">
        <f t="shared" ref="L685:N685" ca="1" si="282">L686+L687</f>
        <v>6600</v>
      </c>
      <c r="M685" s="195">
        <f t="shared" si="282"/>
        <v>0</v>
      </c>
      <c r="N685" s="195">
        <f t="shared" si="282"/>
        <v>0</v>
      </c>
      <c r="O685" s="195">
        <f t="shared" ref="O685:O688" ca="1" si="283">IF(L685&gt;0,N685*100/L685,0)</f>
        <v>0</v>
      </c>
      <c r="P685" s="195">
        <f t="shared" ref="P685:P688" si="284">IF(M685&gt;0,N685*100/M685,0)</f>
        <v>0</v>
      </c>
      <c r="Q685" s="571"/>
      <c r="R685" s="571"/>
      <c r="S685" s="571"/>
      <c r="T685" s="571"/>
      <c r="U685" s="571"/>
      <c r="V685" s="571"/>
      <c r="W685" s="571"/>
      <c r="X685" s="571"/>
      <c r="Y685" s="571"/>
      <c r="Z685" s="571"/>
    </row>
    <row r="686" spans="1:26" ht="18.75" hidden="1">
      <c r="A686" s="592"/>
      <c r="B686" s="750"/>
      <c r="C686" s="750"/>
      <c r="D686" s="711"/>
      <c r="E686" s="750" t="s">
        <v>184</v>
      </c>
      <c r="F686" s="750"/>
      <c r="G686" s="596"/>
      <c r="H686" s="165" t="s">
        <v>12</v>
      </c>
      <c r="I686" s="610"/>
      <c r="J686" s="610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597"/>
      <c r="R686" s="597"/>
      <c r="S686" s="597"/>
      <c r="T686" s="597"/>
      <c r="U686" s="597"/>
      <c r="V686" s="597"/>
      <c r="W686" s="597"/>
      <c r="X686" s="597"/>
      <c r="Y686" s="597"/>
      <c r="Z686" s="597"/>
    </row>
    <row r="687" spans="1:26" ht="18.75" hidden="1">
      <c r="A687" s="592"/>
      <c r="B687" s="600"/>
      <c r="C687" s="750"/>
      <c r="D687" s="711"/>
      <c r="E687" s="750" t="s">
        <v>185</v>
      </c>
      <c r="F687" s="750"/>
      <c r="G687" s="596"/>
      <c r="H687" s="165" t="s">
        <v>12</v>
      </c>
      <c r="I687" s="610"/>
      <c r="J687" s="610"/>
      <c r="K687" s="93"/>
      <c r="L687" s="93">
        <f t="shared" ca="1" si="285"/>
        <v>6600</v>
      </c>
      <c r="M687" s="93">
        <f t="shared" si="285"/>
        <v>0</v>
      </c>
      <c r="N687" s="93">
        <f t="shared" si="285"/>
        <v>0</v>
      </c>
      <c r="O687" s="93">
        <f t="shared" ca="1" si="283"/>
        <v>0</v>
      </c>
      <c r="P687" s="93">
        <f t="shared" si="284"/>
        <v>0</v>
      </c>
      <c r="Q687" s="597"/>
      <c r="R687" s="597"/>
      <c r="S687" s="597"/>
      <c r="T687" s="597"/>
      <c r="U687" s="597"/>
      <c r="V687" s="597"/>
      <c r="W687" s="597"/>
      <c r="X687" s="597"/>
      <c r="Y687" s="597"/>
      <c r="Z687" s="597"/>
    </row>
    <row r="688" spans="1:26" ht="18.75">
      <c r="A688" s="590"/>
      <c r="B688" s="568"/>
      <c r="C688" s="754"/>
      <c r="D688" s="599" t="s">
        <v>20</v>
      </c>
      <c r="E688" s="754"/>
      <c r="F688" s="754"/>
      <c r="G688" s="189"/>
      <c r="H688" s="161" t="s">
        <v>12</v>
      </c>
      <c r="I688" s="184"/>
      <c r="J688" s="184"/>
      <c r="K688" s="163"/>
      <c r="L688" s="496">
        <f t="shared" ref="L688:N688" ca="1" si="286">L689+L690</f>
        <v>6600</v>
      </c>
      <c r="M688" s="496">
        <f t="shared" si="286"/>
        <v>0</v>
      </c>
      <c r="N688" s="496">
        <f t="shared" si="286"/>
        <v>0</v>
      </c>
      <c r="O688" s="496">
        <f t="shared" ca="1" si="283"/>
        <v>0</v>
      </c>
      <c r="P688" s="496">
        <f t="shared" si="284"/>
        <v>0</v>
      </c>
      <c r="Q688" s="571"/>
      <c r="R688" s="571"/>
      <c r="S688" s="571"/>
      <c r="T688" s="571"/>
      <c r="U688" s="571"/>
      <c r="V688" s="571"/>
      <c r="W688" s="571"/>
      <c r="X688" s="571"/>
      <c r="Y688" s="571"/>
      <c r="Z688" s="571"/>
    </row>
    <row r="689" spans="1:26" ht="18.75" hidden="1">
      <c r="A689" s="592"/>
      <c r="B689" s="600"/>
      <c r="C689" s="750"/>
      <c r="D689" s="711"/>
      <c r="E689" s="750" t="s">
        <v>184</v>
      </c>
      <c r="F689" s="750"/>
      <c r="G689" s="596"/>
      <c r="H689" s="165" t="s">
        <v>12</v>
      </c>
      <c r="I689" s="610"/>
      <c r="J689" s="610"/>
      <c r="K689" s="93"/>
      <c r="L689" s="93">
        <v>0</v>
      </c>
      <c r="M689" s="93">
        <v>0</v>
      </c>
      <c r="N689" s="93">
        <v>0</v>
      </c>
      <c r="O689" s="93"/>
      <c r="P689" s="93"/>
      <c r="Q689" s="597"/>
      <c r="R689" s="597"/>
      <c r="S689" s="597"/>
      <c r="T689" s="597"/>
      <c r="U689" s="597"/>
      <c r="V689" s="597"/>
      <c r="W689" s="597"/>
      <c r="X689" s="597"/>
      <c r="Y689" s="597"/>
      <c r="Z689" s="597"/>
    </row>
    <row r="690" spans="1:26" ht="18.75" hidden="1">
      <c r="A690" s="592"/>
      <c r="B690" s="600"/>
      <c r="C690" s="750"/>
      <c r="D690" s="711"/>
      <c r="E690" s="750" t="s">
        <v>185</v>
      </c>
      <c r="F690" s="750"/>
      <c r="G690" s="596"/>
      <c r="H690" s="165" t="s">
        <v>12</v>
      </c>
      <c r="I690" s="610"/>
      <c r="J690" s="610"/>
      <c r="K690" s="93"/>
      <c r="L690" s="93">
        <f ca="1">IFERROR(__xludf.DUMMYFUNCTION("IMPORTRANGE(""https://docs.google.com/spreadsheets/d/1QqKyyYR6Q21VydFLVH3TRQUabQu_ym0Zz7PgGX0-kHA/edit?usp=sharing"",""แผน!HW53"")"),6600)</f>
        <v>6600</v>
      </c>
      <c r="M690" s="93">
        <v>0</v>
      </c>
      <c r="N690" s="93">
        <f>N691+N692+N693+N694</f>
        <v>0</v>
      </c>
      <c r="O690" s="93">
        <f ca="1">IF(L690&gt;0,N690*100/L690,0)</f>
        <v>0</v>
      </c>
      <c r="P690" s="93">
        <f>IF(M690&gt;0,N690*100/M690,0)</f>
        <v>0</v>
      </c>
      <c r="Q690" s="597"/>
      <c r="R690" s="597"/>
      <c r="S690" s="597"/>
      <c r="T690" s="597"/>
      <c r="U690" s="597"/>
      <c r="V690" s="597"/>
      <c r="W690" s="597"/>
      <c r="X690" s="597"/>
      <c r="Y690" s="597"/>
      <c r="Z690" s="597"/>
    </row>
    <row r="691" spans="1:26" ht="18.75">
      <c r="A691" s="567"/>
      <c r="B691" s="568"/>
      <c r="C691" s="754"/>
      <c r="D691" s="754"/>
      <c r="E691" s="754"/>
      <c r="F691" s="754" t="s">
        <v>186</v>
      </c>
      <c r="G691" s="189"/>
      <c r="H691" s="161" t="s">
        <v>12</v>
      </c>
      <c r="I691" s="269"/>
      <c r="J691" s="269"/>
      <c r="K691" s="496"/>
      <c r="L691" s="496"/>
      <c r="M691" s="496"/>
      <c r="N691" s="817">
        <v>0</v>
      </c>
      <c r="O691" s="496"/>
      <c r="P691" s="496"/>
      <c r="Q691" s="571"/>
      <c r="R691" s="571"/>
      <c r="S691" s="571"/>
      <c r="T691" s="571"/>
      <c r="U691" s="571"/>
      <c r="V691" s="571"/>
      <c r="W691" s="571"/>
      <c r="X691" s="571"/>
      <c r="Y691" s="571"/>
      <c r="Z691" s="571"/>
    </row>
    <row r="692" spans="1:26" ht="18.75">
      <c r="A692" s="567"/>
      <c r="B692" s="568"/>
      <c r="C692" s="754"/>
      <c r="D692" s="754"/>
      <c r="E692" s="754"/>
      <c r="F692" s="754" t="s">
        <v>187</v>
      </c>
      <c r="G692" s="189"/>
      <c r="H692" s="161" t="s">
        <v>12</v>
      </c>
      <c r="I692" s="269"/>
      <c r="J692" s="269"/>
      <c r="K692" s="496"/>
      <c r="L692" s="496"/>
      <c r="M692" s="496"/>
      <c r="N692" s="817">
        <v>0</v>
      </c>
      <c r="O692" s="496"/>
      <c r="P692" s="496"/>
      <c r="Q692" s="571"/>
      <c r="R692" s="571"/>
      <c r="S692" s="571"/>
      <c r="T692" s="571"/>
      <c r="U692" s="571"/>
      <c r="V692" s="571"/>
      <c r="W692" s="571"/>
      <c r="X692" s="571"/>
      <c r="Y692" s="571"/>
      <c r="Z692" s="571"/>
    </row>
    <row r="693" spans="1:26" ht="18.75">
      <c r="A693" s="567"/>
      <c r="B693" s="568"/>
      <c r="C693" s="754"/>
      <c r="D693" s="754"/>
      <c r="E693" s="754"/>
      <c r="F693" s="754" t="s">
        <v>188</v>
      </c>
      <c r="G693" s="189"/>
      <c r="H693" s="161" t="s">
        <v>12</v>
      </c>
      <c r="I693" s="269"/>
      <c r="J693" s="269"/>
      <c r="K693" s="496"/>
      <c r="L693" s="496"/>
      <c r="M693" s="496"/>
      <c r="N693" s="817">
        <v>0</v>
      </c>
      <c r="O693" s="496"/>
      <c r="P693" s="496"/>
      <c r="Q693" s="571"/>
      <c r="R693" s="571"/>
      <c r="S693" s="571"/>
      <c r="T693" s="571"/>
      <c r="U693" s="571"/>
      <c r="V693" s="571"/>
      <c r="W693" s="571"/>
      <c r="X693" s="571"/>
      <c r="Y693" s="571"/>
      <c r="Z693" s="571"/>
    </row>
    <row r="694" spans="1:26" ht="18.75">
      <c r="A694" s="567"/>
      <c r="B694" s="568"/>
      <c r="C694" s="754"/>
      <c r="D694" s="754"/>
      <c r="E694" s="754"/>
      <c r="F694" s="754" t="s">
        <v>189</v>
      </c>
      <c r="G694" s="189"/>
      <c r="H694" s="161" t="s">
        <v>12</v>
      </c>
      <c r="I694" s="269"/>
      <c r="J694" s="269"/>
      <c r="K694" s="496"/>
      <c r="L694" s="496"/>
      <c r="M694" s="496"/>
      <c r="N694" s="817">
        <v>0</v>
      </c>
      <c r="O694" s="496"/>
      <c r="P694" s="496"/>
      <c r="Q694" s="571"/>
      <c r="R694" s="571"/>
      <c r="S694" s="571"/>
      <c r="T694" s="571"/>
      <c r="U694" s="571"/>
      <c r="V694" s="571"/>
      <c r="W694" s="571"/>
      <c r="X694" s="571"/>
      <c r="Y694" s="571"/>
      <c r="Z694" s="571"/>
    </row>
    <row r="695" spans="1:26" ht="18.75">
      <c r="A695" s="590"/>
      <c r="B695" s="568"/>
      <c r="C695" s="754"/>
      <c r="D695" s="599" t="s">
        <v>21</v>
      </c>
      <c r="E695" s="754"/>
      <c r="F695" s="754"/>
      <c r="G695" s="189"/>
      <c r="H695" s="168" t="s">
        <v>12</v>
      </c>
      <c r="I695" s="184"/>
      <c r="J695" s="184"/>
      <c r="K695" s="163"/>
      <c r="L695" s="496">
        <f t="shared" ref="L695:N695" si="287">L696+L697</f>
        <v>0</v>
      </c>
      <c r="M695" s="496">
        <f t="shared" si="287"/>
        <v>0</v>
      </c>
      <c r="N695" s="496">
        <f t="shared" si="287"/>
        <v>0</v>
      </c>
      <c r="O695" s="496">
        <f t="shared" ref="O695:O697" si="288">IF(L695&gt;0,N695*100/L695,0)</f>
        <v>0</v>
      </c>
      <c r="P695" s="496">
        <f t="shared" ref="P695:P697" si="289">IF(M695&gt;0,N695*100/M695,0)</f>
        <v>0</v>
      </c>
      <c r="Q695" s="571"/>
      <c r="R695" s="571"/>
      <c r="S695" s="571"/>
      <c r="T695" s="571"/>
      <c r="U695" s="571"/>
      <c r="V695" s="571"/>
      <c r="W695" s="571"/>
      <c r="X695" s="571"/>
      <c r="Y695" s="571"/>
      <c r="Z695" s="571"/>
    </row>
    <row r="696" spans="1:26" ht="18.75" hidden="1">
      <c r="A696" s="592"/>
      <c r="B696" s="600"/>
      <c r="C696" s="750"/>
      <c r="D696" s="750"/>
      <c r="E696" s="750" t="s">
        <v>18</v>
      </c>
      <c r="F696" s="750"/>
      <c r="G696" s="596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597"/>
      <c r="R696" s="597"/>
      <c r="S696" s="597"/>
      <c r="T696" s="597"/>
      <c r="U696" s="597"/>
      <c r="V696" s="597"/>
      <c r="W696" s="597"/>
      <c r="X696" s="597"/>
      <c r="Y696" s="597"/>
      <c r="Z696" s="597"/>
    </row>
    <row r="697" spans="1:26" ht="18.75" hidden="1">
      <c r="A697" s="592"/>
      <c r="B697" s="600"/>
      <c r="C697" s="750"/>
      <c r="D697" s="750"/>
      <c r="E697" s="750" t="s">
        <v>19</v>
      </c>
      <c r="F697" s="750"/>
      <c r="G697" s="596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597"/>
      <c r="R697" s="597"/>
      <c r="S697" s="597"/>
      <c r="T697" s="597"/>
      <c r="U697" s="597"/>
      <c r="V697" s="597"/>
      <c r="W697" s="597"/>
      <c r="X697" s="597"/>
      <c r="Y697" s="597"/>
      <c r="Z697" s="597"/>
    </row>
    <row r="698" spans="1:26" ht="19.5">
      <c r="A698" s="601"/>
      <c r="B698" s="611"/>
      <c r="C698" s="754" t="s">
        <v>16</v>
      </c>
      <c r="D698" s="840" t="s">
        <v>38</v>
      </c>
      <c r="E698" s="752"/>
      <c r="F698" s="752"/>
      <c r="G698" s="606"/>
      <c r="H698" s="753"/>
      <c r="I698" s="184"/>
      <c r="J698" s="184"/>
      <c r="K698" s="163"/>
      <c r="L698" s="163"/>
      <c r="M698" s="163"/>
      <c r="N698" s="163"/>
      <c r="O698" s="163"/>
      <c r="P698" s="163"/>
      <c r="Q698" s="571"/>
      <c r="R698" s="571"/>
      <c r="S698" s="571"/>
      <c r="T698" s="571"/>
      <c r="U698" s="571"/>
      <c r="V698" s="571"/>
      <c r="W698" s="571"/>
      <c r="X698" s="571"/>
      <c r="Y698" s="571"/>
      <c r="Z698" s="571"/>
    </row>
    <row r="699" spans="1:26" ht="18.75">
      <c r="A699" s="735"/>
      <c r="B699" s="754"/>
      <c r="C699" s="754"/>
      <c r="D699" s="754" t="s">
        <v>294</v>
      </c>
      <c r="E699" s="754"/>
      <c r="F699" s="754"/>
      <c r="G699" s="189"/>
      <c r="H699" s="755" t="s">
        <v>46</v>
      </c>
      <c r="I699" s="756">
        <f ca="1">IFERROR(__xludf.DUMMYFUNCTION("IMPORTRANGE(""https://docs.google.com/spreadsheets/d/1QqKyyYR6Q21VydFLVH3TRQUabQu_ym0Zz7PgGX0-kHA/edit?usp=sharing"",""แผน!IC53"")"),0)</f>
        <v>0</v>
      </c>
      <c r="J699" s="269">
        <f ca="1">IFERROR(__xludf.DUMMYFUNCTION("IMPORTRANGE(""https://docs.google.com/spreadsheets/d/1XWAQStnk-4SwqDmLtmXYiTMKHgktTP8We1SCoS47DrQ/edit?usp=sharing"",""จัดที่ดิน!BB53"")"),0)</f>
        <v>0</v>
      </c>
      <c r="K699" s="496">
        <f t="shared" ref="K699:K701" ca="1" si="290">IF(I699&gt;0,J699*100/I699,0)</f>
        <v>0</v>
      </c>
      <c r="L699" s="496"/>
      <c r="M699" s="189"/>
      <c r="N699" s="757"/>
      <c r="O699" s="496"/>
      <c r="P699" s="496"/>
      <c r="Q699" s="571"/>
      <c r="R699" s="571"/>
      <c r="S699" s="571"/>
      <c r="T699" s="571"/>
      <c r="U699" s="571"/>
      <c r="V699" s="571"/>
      <c r="W699" s="571"/>
      <c r="X699" s="571"/>
      <c r="Y699" s="571"/>
      <c r="Z699" s="571"/>
    </row>
    <row r="700" spans="1:26" ht="18.75">
      <c r="A700" s="735"/>
      <c r="B700" s="754"/>
      <c r="C700" s="754"/>
      <c r="D700" s="754" t="s">
        <v>295</v>
      </c>
      <c r="E700" s="754"/>
      <c r="F700" s="754"/>
      <c r="G700" s="189"/>
      <c r="H700" s="755" t="s">
        <v>35</v>
      </c>
      <c r="I700" s="756">
        <f ca="1">IFERROR(__xludf.DUMMYFUNCTION("IMPORTRANGE(""https://docs.google.com/spreadsheets/d/1QqKyyYR6Q21VydFLVH3TRQUabQu_ym0Zz7PgGX0-kHA/edit?usp=sharing"",""แผน!ID53"")"),0)</f>
        <v>0</v>
      </c>
      <c r="J700" s="269">
        <f ca="1">IFERROR(__xludf.DUMMYFUNCTION("IMPORTRANGE(""https://docs.google.com/spreadsheets/d/1XWAQStnk-4SwqDmLtmXYiTMKHgktTP8We1SCoS47DrQ/edit?usp=sharing"",""จัดที่ดิน!BD53"")"),0)</f>
        <v>0</v>
      </c>
      <c r="K700" s="496">
        <f t="shared" ca="1" si="290"/>
        <v>0</v>
      </c>
      <c r="L700" s="496"/>
      <c r="M700" s="189"/>
      <c r="N700" s="757"/>
      <c r="O700" s="496"/>
      <c r="P700" s="496"/>
      <c r="Q700" s="571"/>
      <c r="R700" s="571"/>
      <c r="S700" s="571"/>
      <c r="T700" s="571"/>
      <c r="U700" s="571"/>
      <c r="V700" s="571"/>
      <c r="W700" s="571"/>
      <c r="X700" s="571"/>
      <c r="Y700" s="571"/>
      <c r="Z700" s="571"/>
    </row>
    <row r="701" spans="1:26" ht="19.5">
      <c r="A701" s="735"/>
      <c r="B701" s="754"/>
      <c r="C701" s="754"/>
      <c r="D701" s="754" t="s">
        <v>296</v>
      </c>
      <c r="E701" s="754"/>
      <c r="F701" s="754"/>
      <c r="G701" s="189"/>
      <c r="H701" s="758" t="s">
        <v>46</v>
      </c>
      <c r="I701" s="759">
        <f ca="1">IFERROR(__xludf.DUMMYFUNCTION("IMPORTRANGE(""https://docs.google.com/spreadsheets/d/1QqKyyYR6Q21VydFLVH3TRQUabQu_ym0Zz7PgGX0-kHA/edit?usp=sharing"",""แผน!IE53"")"),0)</f>
        <v>0</v>
      </c>
      <c r="J701" s="674">
        <f>J704+J707</f>
        <v>0</v>
      </c>
      <c r="K701" s="195">
        <f t="shared" ca="1" si="290"/>
        <v>0</v>
      </c>
      <c r="L701" s="496"/>
      <c r="M701" s="189"/>
      <c r="N701" s="757"/>
      <c r="O701" s="496"/>
      <c r="P701" s="496"/>
      <c r="Q701" s="571"/>
      <c r="R701" s="571"/>
      <c r="S701" s="571"/>
      <c r="T701" s="571"/>
      <c r="U701" s="571"/>
      <c r="V701" s="571"/>
      <c r="W701" s="571"/>
      <c r="X701" s="571"/>
      <c r="Y701" s="571"/>
      <c r="Z701" s="571"/>
    </row>
    <row r="702" spans="1:26" ht="18.75">
      <c r="A702" s="735"/>
      <c r="B702" s="754"/>
      <c r="C702" s="754"/>
      <c r="D702" s="754"/>
      <c r="E702" s="754" t="s">
        <v>297</v>
      </c>
      <c r="F702" s="754"/>
      <c r="G702" s="189"/>
      <c r="H702" s="755" t="s">
        <v>35</v>
      </c>
      <c r="I702" s="756"/>
      <c r="J702" s="214">
        <v>0</v>
      </c>
      <c r="K702" s="496"/>
      <c r="L702" s="496"/>
      <c r="M702" s="189"/>
      <c r="N702" s="757"/>
      <c r="O702" s="496"/>
      <c r="P702" s="496"/>
      <c r="Q702" s="571"/>
      <c r="R702" s="571"/>
      <c r="S702" s="571"/>
      <c r="T702" s="571"/>
      <c r="U702" s="571"/>
      <c r="V702" s="571"/>
      <c r="W702" s="571"/>
      <c r="X702" s="571"/>
      <c r="Y702" s="571"/>
      <c r="Z702" s="571"/>
    </row>
    <row r="703" spans="1:26" ht="18.75">
      <c r="A703" s="735"/>
      <c r="B703" s="754"/>
      <c r="C703" s="754"/>
      <c r="D703" s="754"/>
      <c r="E703" s="754"/>
      <c r="F703" s="754"/>
      <c r="G703" s="189"/>
      <c r="H703" s="755" t="s">
        <v>34</v>
      </c>
      <c r="I703" s="756"/>
      <c r="J703" s="214">
        <v>0</v>
      </c>
      <c r="K703" s="496"/>
      <c r="L703" s="496"/>
      <c r="M703" s="189"/>
      <c r="N703" s="757"/>
      <c r="O703" s="496"/>
      <c r="P703" s="496"/>
      <c r="Q703" s="571"/>
      <c r="R703" s="571"/>
      <c r="S703" s="571"/>
      <c r="T703" s="571"/>
      <c r="U703" s="571"/>
      <c r="V703" s="571"/>
      <c r="W703" s="571"/>
      <c r="X703" s="571"/>
      <c r="Y703" s="571"/>
      <c r="Z703" s="571"/>
    </row>
    <row r="704" spans="1:26" ht="18.75">
      <c r="A704" s="735"/>
      <c r="B704" s="754"/>
      <c r="C704" s="754"/>
      <c r="D704" s="754"/>
      <c r="E704" s="754"/>
      <c r="F704" s="754"/>
      <c r="G704" s="189"/>
      <c r="H704" s="755" t="s">
        <v>46</v>
      </c>
      <c r="I704" s="756">
        <f ca="1">IFERROR(__xludf.DUMMYFUNCTION("IMPORTRANGE(""https://docs.google.com/spreadsheets/d/1QqKyyYR6Q21VydFLVH3TRQUabQu_ym0Zz7PgGX0-kHA/edit?usp=sharing"",""แผน!IF53"")"),0)</f>
        <v>0</v>
      </c>
      <c r="J704" s="214">
        <v>0</v>
      </c>
      <c r="K704" s="496"/>
      <c r="L704" s="496"/>
      <c r="M704" s="189"/>
      <c r="N704" s="757"/>
      <c r="O704" s="496"/>
      <c r="P704" s="496"/>
      <c r="Q704" s="571"/>
      <c r="R704" s="571"/>
      <c r="S704" s="571"/>
      <c r="T704" s="571"/>
      <c r="U704" s="571"/>
      <c r="V704" s="571"/>
      <c r="W704" s="571"/>
      <c r="X704" s="571"/>
      <c r="Y704" s="571"/>
      <c r="Z704" s="571"/>
    </row>
    <row r="705" spans="1:26" ht="18.75">
      <c r="A705" s="735"/>
      <c r="B705" s="754"/>
      <c r="C705" s="754"/>
      <c r="D705" s="754"/>
      <c r="E705" s="754" t="s">
        <v>298</v>
      </c>
      <c r="F705" s="754"/>
      <c r="G705" s="189"/>
      <c r="H705" s="755" t="s">
        <v>35</v>
      </c>
      <c r="I705" s="756"/>
      <c r="J705" s="214">
        <v>0</v>
      </c>
      <c r="K705" s="496"/>
      <c r="L705" s="496"/>
      <c r="M705" s="189"/>
      <c r="N705" s="757"/>
      <c r="O705" s="496"/>
      <c r="P705" s="496"/>
      <c r="Q705" s="571"/>
      <c r="R705" s="571"/>
      <c r="S705" s="571"/>
      <c r="T705" s="571"/>
      <c r="U705" s="571"/>
      <c r="V705" s="571"/>
      <c r="W705" s="571"/>
      <c r="X705" s="571"/>
      <c r="Y705" s="571"/>
      <c r="Z705" s="571"/>
    </row>
    <row r="706" spans="1:26" ht="18.75">
      <c r="A706" s="735"/>
      <c r="B706" s="754"/>
      <c r="C706" s="754"/>
      <c r="D706" s="754"/>
      <c r="E706" s="754"/>
      <c r="F706" s="754"/>
      <c r="G706" s="189"/>
      <c r="H706" s="755" t="s">
        <v>34</v>
      </c>
      <c r="I706" s="756"/>
      <c r="J706" s="214">
        <v>0</v>
      </c>
      <c r="K706" s="496"/>
      <c r="L706" s="496"/>
      <c r="M706" s="189"/>
      <c r="N706" s="757"/>
      <c r="O706" s="496"/>
      <c r="P706" s="496"/>
      <c r="Q706" s="571"/>
      <c r="R706" s="571"/>
      <c r="S706" s="571"/>
      <c r="T706" s="571"/>
      <c r="U706" s="571"/>
      <c r="V706" s="571"/>
      <c r="W706" s="571"/>
      <c r="X706" s="571"/>
      <c r="Y706" s="571"/>
      <c r="Z706" s="571"/>
    </row>
    <row r="707" spans="1:26" ht="18.75">
      <c r="A707" s="735"/>
      <c r="B707" s="754"/>
      <c r="C707" s="754"/>
      <c r="D707" s="754"/>
      <c r="E707" s="754"/>
      <c r="F707" s="754"/>
      <c r="G707" s="189"/>
      <c r="H707" s="755" t="s">
        <v>46</v>
      </c>
      <c r="I707" s="756">
        <f ca="1">IFERROR(__xludf.DUMMYFUNCTION("IMPORTRANGE(""https://docs.google.com/spreadsheets/d/1QqKyyYR6Q21VydFLVH3TRQUabQu_ym0Zz7PgGX0-kHA/edit?usp=sharing"",""แผน!IG53"")"),0)</f>
        <v>0</v>
      </c>
      <c r="J707" s="214">
        <v>0</v>
      </c>
      <c r="K707" s="496"/>
      <c r="L707" s="496"/>
      <c r="M707" s="189"/>
      <c r="N707" s="757"/>
      <c r="O707" s="496"/>
      <c r="P707" s="496"/>
      <c r="Q707" s="571"/>
      <c r="R707" s="571"/>
      <c r="S707" s="571"/>
      <c r="T707" s="571"/>
      <c r="U707" s="571"/>
      <c r="V707" s="571"/>
      <c r="W707" s="571"/>
      <c r="X707" s="571"/>
      <c r="Y707" s="571"/>
      <c r="Z707" s="571"/>
    </row>
    <row r="708" spans="1:26" ht="19.5">
      <c r="A708" s="735"/>
      <c r="B708" s="754"/>
      <c r="C708" s="754"/>
      <c r="D708" s="760" t="s">
        <v>299</v>
      </c>
      <c r="E708" s="754"/>
      <c r="F708" s="754"/>
      <c r="G708" s="189"/>
      <c r="H708" s="758" t="s">
        <v>46</v>
      </c>
      <c r="I708" s="759">
        <f ca="1">IFERROR(__xludf.DUMMYFUNCTION("IMPORTRANGE(""https://docs.google.com/spreadsheets/d/1QqKyyYR6Q21VydFLVH3TRQUabQu_ym0Zz7PgGX0-kHA/edit?usp=sharing"",""แผน!IH53"")"),0)</f>
        <v>0</v>
      </c>
      <c r="J708" s="674">
        <f>J714+J717</f>
        <v>0</v>
      </c>
      <c r="K708" s="195">
        <f ca="1">IF(I708&gt;0,J708*100/I708,0)</f>
        <v>0</v>
      </c>
      <c r="L708" s="496"/>
      <c r="M708" s="189"/>
      <c r="N708" s="757"/>
      <c r="O708" s="496"/>
      <c r="P708" s="496"/>
      <c r="Q708" s="571"/>
      <c r="R708" s="571"/>
      <c r="S708" s="571"/>
      <c r="T708" s="571"/>
      <c r="U708" s="571"/>
      <c r="V708" s="571"/>
      <c r="W708" s="571"/>
      <c r="X708" s="571"/>
      <c r="Y708" s="571"/>
      <c r="Z708" s="571"/>
    </row>
    <row r="709" spans="1:26" ht="18.75">
      <c r="A709" s="735"/>
      <c r="B709" s="754"/>
      <c r="C709" s="754"/>
      <c r="D709" s="754"/>
      <c r="E709" s="754" t="s">
        <v>300</v>
      </c>
      <c r="F709" s="754"/>
      <c r="G709" s="189"/>
      <c r="H709" s="755" t="s">
        <v>34</v>
      </c>
      <c r="I709" s="756"/>
      <c r="J709" s="214">
        <v>0</v>
      </c>
      <c r="K709" s="496"/>
      <c r="L709" s="757"/>
      <c r="M709" s="189"/>
      <c r="N709" s="757"/>
      <c r="O709" s="496"/>
      <c r="P709" s="496"/>
      <c r="Q709" s="571"/>
      <c r="R709" s="571"/>
      <c r="S709" s="571"/>
      <c r="T709" s="571"/>
      <c r="U709" s="571"/>
      <c r="V709" s="571"/>
      <c r="W709" s="571"/>
      <c r="X709" s="571"/>
      <c r="Y709" s="571"/>
      <c r="Z709" s="571"/>
    </row>
    <row r="710" spans="1:26" ht="18.75">
      <c r="A710" s="735"/>
      <c r="B710" s="754"/>
      <c r="C710" s="754"/>
      <c r="D710" s="754"/>
      <c r="E710" s="754"/>
      <c r="F710" s="754"/>
      <c r="G710" s="189"/>
      <c r="H710" s="755" t="s">
        <v>46</v>
      </c>
      <c r="I710" s="756"/>
      <c r="J710" s="214">
        <v>0</v>
      </c>
      <c r="K710" s="496"/>
      <c r="L710" s="757"/>
      <c r="M710" s="189"/>
      <c r="N710" s="757"/>
      <c r="O710" s="496"/>
      <c r="P710" s="496"/>
      <c r="Q710" s="571"/>
      <c r="R710" s="571"/>
      <c r="S710" s="571"/>
      <c r="T710" s="571"/>
      <c r="U710" s="571"/>
      <c r="V710" s="571"/>
      <c r="W710" s="571"/>
      <c r="X710" s="571"/>
      <c r="Y710" s="571"/>
      <c r="Z710" s="571"/>
    </row>
    <row r="711" spans="1:26" ht="18.75">
      <c r="A711" s="735"/>
      <c r="B711" s="754"/>
      <c r="C711" s="754"/>
      <c r="D711" s="754"/>
      <c r="E711" s="754" t="s">
        <v>301</v>
      </c>
      <c r="F711" s="754"/>
      <c r="G711" s="189"/>
      <c r="H711" s="753"/>
      <c r="I711" s="756"/>
      <c r="J711" s="269"/>
      <c r="K711" s="496"/>
      <c r="L711" s="757"/>
      <c r="M711" s="189"/>
      <c r="N711" s="757"/>
      <c r="O711" s="496"/>
      <c r="P711" s="496"/>
      <c r="Q711" s="571"/>
      <c r="R711" s="571"/>
      <c r="S711" s="571"/>
      <c r="T711" s="571"/>
      <c r="U711" s="571"/>
      <c r="V711" s="571"/>
      <c r="W711" s="571"/>
      <c r="X711" s="571"/>
      <c r="Y711" s="571"/>
      <c r="Z711" s="571"/>
    </row>
    <row r="712" spans="1:26" ht="18.75">
      <c r="A712" s="735"/>
      <c r="B712" s="754"/>
      <c r="C712" s="754"/>
      <c r="D712" s="754"/>
      <c r="E712" s="754"/>
      <c r="F712" s="754" t="s">
        <v>302</v>
      </c>
      <c r="G712" s="189"/>
      <c r="H712" s="755" t="s">
        <v>35</v>
      </c>
      <c r="I712" s="756"/>
      <c r="J712" s="214">
        <v>0</v>
      </c>
      <c r="K712" s="496"/>
      <c r="L712" s="757"/>
      <c r="M712" s="189"/>
      <c r="N712" s="757"/>
      <c r="O712" s="496"/>
      <c r="P712" s="496"/>
      <c r="Q712" s="571"/>
      <c r="R712" s="571"/>
      <c r="S712" s="571"/>
      <c r="T712" s="571"/>
      <c r="U712" s="571"/>
      <c r="V712" s="571"/>
      <c r="W712" s="571"/>
      <c r="X712" s="571"/>
      <c r="Y712" s="571"/>
      <c r="Z712" s="571"/>
    </row>
    <row r="713" spans="1:26" ht="18.75">
      <c r="A713" s="735"/>
      <c r="B713" s="754"/>
      <c r="C713" s="754"/>
      <c r="D713" s="754"/>
      <c r="E713" s="754"/>
      <c r="F713" s="754"/>
      <c r="G713" s="189"/>
      <c r="H713" s="755" t="s">
        <v>34</v>
      </c>
      <c r="I713" s="756"/>
      <c r="J713" s="214">
        <v>0</v>
      </c>
      <c r="K713" s="496"/>
      <c r="L713" s="757"/>
      <c r="M713" s="189"/>
      <c r="N713" s="757"/>
      <c r="O713" s="496"/>
      <c r="P713" s="496"/>
      <c r="Q713" s="571"/>
      <c r="R713" s="571"/>
      <c r="S713" s="571"/>
      <c r="T713" s="571"/>
      <c r="U713" s="571"/>
      <c r="V713" s="571"/>
      <c r="W713" s="571"/>
      <c r="X713" s="571"/>
      <c r="Y713" s="571"/>
      <c r="Z713" s="571"/>
    </row>
    <row r="714" spans="1:26" ht="18.75">
      <c r="A714" s="735"/>
      <c r="B714" s="754"/>
      <c r="C714" s="754"/>
      <c r="D714" s="754"/>
      <c r="E714" s="754"/>
      <c r="F714" s="754"/>
      <c r="G714" s="189"/>
      <c r="H714" s="755" t="s">
        <v>46</v>
      </c>
      <c r="I714" s="756"/>
      <c r="J714" s="214">
        <v>0</v>
      </c>
      <c r="K714" s="496"/>
      <c r="L714" s="757"/>
      <c r="M714" s="189"/>
      <c r="N714" s="757"/>
      <c r="O714" s="496"/>
      <c r="P714" s="496"/>
      <c r="Q714" s="571"/>
      <c r="R714" s="571"/>
      <c r="S714" s="571"/>
      <c r="T714" s="571"/>
      <c r="U714" s="571"/>
      <c r="V714" s="571"/>
      <c r="W714" s="571"/>
      <c r="X714" s="571"/>
      <c r="Y714" s="571"/>
      <c r="Z714" s="571"/>
    </row>
    <row r="715" spans="1:26" ht="18.75">
      <c r="A715" s="735"/>
      <c r="B715" s="754"/>
      <c r="C715" s="754"/>
      <c r="D715" s="754"/>
      <c r="E715" s="754"/>
      <c r="F715" s="754" t="s">
        <v>303</v>
      </c>
      <c r="G715" s="189"/>
      <c r="H715" s="755" t="s">
        <v>35</v>
      </c>
      <c r="I715" s="756"/>
      <c r="J715" s="214">
        <v>0</v>
      </c>
      <c r="K715" s="496"/>
      <c r="L715" s="757"/>
      <c r="M715" s="189"/>
      <c r="N715" s="757"/>
      <c r="O715" s="496"/>
      <c r="P715" s="496"/>
      <c r="Q715" s="571"/>
      <c r="R715" s="571"/>
      <c r="S715" s="571"/>
      <c r="T715" s="571"/>
      <c r="U715" s="571"/>
      <c r="V715" s="571"/>
      <c r="W715" s="571"/>
      <c r="X715" s="571"/>
      <c r="Y715" s="571"/>
      <c r="Z715" s="571"/>
    </row>
    <row r="716" spans="1:26" ht="18.75">
      <c r="A716" s="735"/>
      <c r="B716" s="754"/>
      <c r="C716" s="754"/>
      <c r="D716" s="754"/>
      <c r="E716" s="754"/>
      <c r="F716" s="754"/>
      <c r="G716" s="189"/>
      <c r="H716" s="755" t="s">
        <v>34</v>
      </c>
      <c r="I716" s="756"/>
      <c r="J716" s="214">
        <v>0</v>
      </c>
      <c r="K716" s="496"/>
      <c r="L716" s="757"/>
      <c r="M716" s="189"/>
      <c r="N716" s="757"/>
      <c r="O716" s="496"/>
      <c r="P716" s="496"/>
      <c r="Q716" s="571"/>
      <c r="R716" s="571"/>
      <c r="S716" s="571"/>
      <c r="T716" s="571"/>
      <c r="U716" s="571"/>
      <c r="V716" s="571"/>
      <c r="W716" s="571"/>
      <c r="X716" s="571"/>
      <c r="Y716" s="571"/>
      <c r="Z716" s="571"/>
    </row>
    <row r="717" spans="1:26" ht="18.75">
      <c r="A717" s="735"/>
      <c r="B717" s="754"/>
      <c r="C717" s="754"/>
      <c r="D717" s="754"/>
      <c r="E717" s="754"/>
      <c r="F717" s="754"/>
      <c r="G717" s="189"/>
      <c r="H717" s="755" t="s">
        <v>46</v>
      </c>
      <c r="I717" s="756"/>
      <c r="J717" s="214">
        <v>0</v>
      </c>
      <c r="K717" s="496"/>
      <c r="L717" s="757"/>
      <c r="M717" s="189"/>
      <c r="N717" s="757"/>
      <c r="O717" s="496"/>
      <c r="P717" s="496"/>
      <c r="Q717" s="571"/>
      <c r="R717" s="571"/>
      <c r="S717" s="571"/>
      <c r="T717" s="571"/>
      <c r="U717" s="571"/>
      <c r="V717" s="571"/>
      <c r="W717" s="571"/>
      <c r="X717" s="571"/>
      <c r="Y717" s="571"/>
      <c r="Z717" s="571"/>
    </row>
    <row r="718" spans="1:26" ht="18.75">
      <c r="A718" s="735"/>
      <c r="B718" s="754"/>
      <c r="C718" s="754"/>
      <c r="D718" s="754" t="s">
        <v>304</v>
      </c>
      <c r="E718" s="754"/>
      <c r="F718" s="754"/>
      <c r="G718" s="189"/>
      <c r="H718" s="755" t="s">
        <v>35</v>
      </c>
      <c r="I718" s="756"/>
      <c r="J718" s="269">
        <f ca="1">IFERROR(__xludf.DUMMYFUNCTION("IMPORTRANGE(""https://docs.google.com/spreadsheets/d/1XWAQStnk-4SwqDmLtmXYiTMKHgktTP8We1SCoS47DrQ/edit?usp=sharing"",""จัดที่ดิน!BF53"")"),0)</f>
        <v>0</v>
      </c>
      <c r="K718" s="496"/>
      <c r="L718" s="496"/>
      <c r="M718" s="189"/>
      <c r="N718" s="757"/>
      <c r="O718" s="496"/>
      <c r="P718" s="496"/>
      <c r="Q718" s="571"/>
      <c r="R718" s="571"/>
      <c r="S718" s="571"/>
      <c r="T718" s="571"/>
      <c r="U718" s="571"/>
      <c r="V718" s="571"/>
      <c r="W718" s="571"/>
      <c r="X718" s="571"/>
      <c r="Y718" s="571"/>
      <c r="Z718" s="571"/>
    </row>
    <row r="719" spans="1:26" ht="18.75">
      <c r="A719" s="735"/>
      <c r="B719" s="754"/>
      <c r="C719" s="754"/>
      <c r="D719" s="754"/>
      <c r="E719" s="754"/>
      <c r="F719" s="754"/>
      <c r="G719" s="189"/>
      <c r="H719" s="755" t="s">
        <v>34</v>
      </c>
      <c r="I719" s="756"/>
      <c r="J719" s="269">
        <f ca="1">IFERROR(__xludf.DUMMYFUNCTION("IMPORTRANGE(""https://docs.google.com/spreadsheets/d/1XWAQStnk-4SwqDmLtmXYiTMKHgktTP8We1SCoS47DrQ/edit?usp=sharing"",""จัดที่ดิน!BG53"")"),0)</f>
        <v>0</v>
      </c>
      <c r="K719" s="496"/>
      <c r="L719" s="757"/>
      <c r="M719" s="189"/>
      <c r="N719" s="757"/>
      <c r="O719" s="496"/>
      <c r="P719" s="496"/>
      <c r="Q719" s="571"/>
      <c r="R719" s="571"/>
      <c r="S719" s="571"/>
      <c r="T719" s="571"/>
      <c r="U719" s="571"/>
      <c r="V719" s="571"/>
      <c r="W719" s="571"/>
      <c r="X719" s="571"/>
      <c r="Y719" s="571"/>
      <c r="Z719" s="571"/>
    </row>
    <row r="720" spans="1:26" ht="18.75">
      <c r="A720" s="735"/>
      <c r="B720" s="754"/>
      <c r="C720" s="754"/>
      <c r="D720" s="754"/>
      <c r="E720" s="754"/>
      <c r="F720" s="754"/>
      <c r="G720" s="189"/>
      <c r="H720" s="755" t="s">
        <v>46</v>
      </c>
      <c r="I720" s="756">
        <f ca="1">IFERROR(__xludf.DUMMYFUNCTION("IMPORTRANGE(""https://docs.google.com/spreadsheets/d/1QqKyyYR6Q21VydFLVH3TRQUabQu_ym0Zz7PgGX0-kHA/edit?usp=sharing"",""แผน!II53"")"),0)</f>
        <v>0</v>
      </c>
      <c r="J720" s="269">
        <f ca="1">IFERROR(__xludf.DUMMYFUNCTION("IMPORTRANGE(""https://docs.google.com/spreadsheets/d/1XWAQStnk-4SwqDmLtmXYiTMKHgktTP8We1SCoS47DrQ/edit?usp=sharing"",""จัดที่ดิน!BH53"")"),0)</f>
        <v>0</v>
      </c>
      <c r="K720" s="496">
        <f t="shared" ref="K720:K723" ca="1" si="291">IF(I720&gt;0,J720*100/I720,0)</f>
        <v>0</v>
      </c>
      <c r="L720" s="757"/>
      <c r="M720" s="189"/>
      <c r="N720" s="757"/>
      <c r="O720" s="496"/>
      <c r="P720" s="496"/>
      <c r="Q720" s="571"/>
      <c r="R720" s="571"/>
      <c r="S720" s="571"/>
      <c r="T720" s="571"/>
      <c r="U720" s="571"/>
      <c r="V720" s="571"/>
      <c r="W720" s="571"/>
      <c r="X720" s="571"/>
      <c r="Y720" s="571"/>
      <c r="Z720" s="571"/>
    </row>
    <row r="721" spans="1:26" ht="19.5">
      <c r="A721" s="735"/>
      <c r="B721" s="754"/>
      <c r="C721" s="754"/>
      <c r="D721" s="754" t="s">
        <v>305</v>
      </c>
      <c r="E721" s="754"/>
      <c r="F721" s="754"/>
      <c r="G721" s="189"/>
      <c r="H721" s="758" t="s">
        <v>35</v>
      </c>
      <c r="I721" s="759">
        <f ca="1">IFERROR(__xludf.DUMMYFUNCTION("IMPORTRANGE(""https://docs.google.com/spreadsheets/d/1QqKyyYR6Q21VydFLVH3TRQUabQu_ym0Zz7PgGX0-kHA/edit?usp=sharing"",""แผน!IJ53"")"),5)</f>
        <v>5</v>
      </c>
      <c r="J721" s="674">
        <f ca="1">J723+J726</f>
        <v>0</v>
      </c>
      <c r="K721" s="195">
        <f t="shared" ca="1" si="291"/>
        <v>0</v>
      </c>
      <c r="L721" s="757"/>
      <c r="M721" s="189"/>
      <c r="N721" s="757"/>
      <c r="O721" s="496"/>
      <c r="P721" s="496"/>
      <c r="Q721" s="571"/>
      <c r="R721" s="571"/>
      <c r="S721" s="571"/>
      <c r="T721" s="571"/>
      <c r="U721" s="571"/>
      <c r="V721" s="571"/>
      <c r="W721" s="571"/>
      <c r="X721" s="571"/>
      <c r="Y721" s="571"/>
      <c r="Z721" s="571"/>
    </row>
    <row r="722" spans="1:26" ht="19.5">
      <c r="A722" s="735"/>
      <c r="B722" s="754"/>
      <c r="C722" s="754"/>
      <c r="D722" s="754"/>
      <c r="E722" s="754"/>
      <c r="F722" s="754"/>
      <c r="G722" s="189"/>
      <c r="H722" s="758" t="s">
        <v>46</v>
      </c>
      <c r="I722" s="759">
        <f ca="1">IFERROR(__xludf.DUMMYFUNCTION("IMPORTRANGE(""https://docs.google.com/spreadsheets/d/1QqKyyYR6Q21VydFLVH3TRQUabQu_ym0Zz7PgGX0-kHA/edit?usp=sharing"",""แผน!IK53"")"),50)</f>
        <v>50</v>
      </c>
      <c r="J722" s="674">
        <f ca="1">J725+J728</f>
        <v>0</v>
      </c>
      <c r="K722" s="195">
        <f t="shared" ca="1" si="291"/>
        <v>0</v>
      </c>
      <c r="L722" s="496"/>
      <c r="M722" s="189"/>
      <c r="N722" s="757"/>
      <c r="O722" s="496"/>
      <c r="P722" s="496"/>
      <c r="Q722" s="571"/>
      <c r="R722" s="571"/>
      <c r="S722" s="571"/>
      <c r="T722" s="571"/>
      <c r="U722" s="571"/>
      <c r="V722" s="571"/>
      <c r="W722" s="571"/>
      <c r="X722" s="571"/>
      <c r="Y722" s="571"/>
      <c r="Z722" s="571"/>
    </row>
    <row r="723" spans="1:26" ht="18.75">
      <c r="A723" s="735"/>
      <c r="B723" s="754"/>
      <c r="C723" s="754"/>
      <c r="D723" s="754"/>
      <c r="E723" s="754" t="s">
        <v>306</v>
      </c>
      <c r="F723" s="754"/>
      <c r="G723" s="189"/>
      <c r="H723" s="755" t="s">
        <v>35</v>
      </c>
      <c r="I723" s="756">
        <f ca="1">IFERROR(__xludf.DUMMYFUNCTION("IMPORTRANGE(""https://docs.google.com/spreadsheets/d/1QqKyyYR6Q21VydFLVH3TRQUabQu_ym0Zz7PgGX0-kHA/edit?usp=sharing"",""แผน!IL53"")"),5)</f>
        <v>5</v>
      </c>
      <c r="J723" s="269">
        <f ca="1">IFERROR(__xludf.DUMMYFUNCTION("IMPORTRANGE(""https://docs.google.com/spreadsheets/d/1XWAQStnk-4SwqDmLtmXYiTMKHgktTP8We1SCoS47DrQ/edit?usp=sharing"",""จัดที่ดิน!BM53"")"),0)</f>
        <v>0</v>
      </c>
      <c r="K723" s="496">
        <f t="shared" ca="1" si="291"/>
        <v>0</v>
      </c>
      <c r="L723" s="496"/>
      <c r="M723" s="189"/>
      <c r="N723" s="757"/>
      <c r="O723" s="496"/>
      <c r="P723" s="496"/>
      <c r="Q723" s="571"/>
      <c r="R723" s="571"/>
      <c r="S723" s="571"/>
      <c r="T723" s="571"/>
      <c r="U723" s="571"/>
      <c r="V723" s="571"/>
      <c r="W723" s="571"/>
      <c r="X723" s="571"/>
      <c r="Y723" s="571"/>
      <c r="Z723" s="571"/>
    </row>
    <row r="724" spans="1:26" ht="18.75">
      <c r="A724" s="735"/>
      <c r="B724" s="754"/>
      <c r="C724" s="754"/>
      <c r="D724" s="754"/>
      <c r="E724" s="754"/>
      <c r="F724" s="754"/>
      <c r="G724" s="189"/>
      <c r="H724" s="755" t="s">
        <v>34</v>
      </c>
      <c r="I724" s="756"/>
      <c r="J724" s="269">
        <f ca="1">IFERROR(__xludf.DUMMYFUNCTION("IMPORTRANGE(""https://docs.google.com/spreadsheets/d/1XWAQStnk-4SwqDmLtmXYiTMKHgktTP8We1SCoS47DrQ/edit?usp=sharing"",""จัดที่ดิน!BN53"")"),0)</f>
        <v>0</v>
      </c>
      <c r="K724" s="496"/>
      <c r="L724" s="757"/>
      <c r="M724" s="189"/>
      <c r="N724" s="757"/>
      <c r="O724" s="496"/>
      <c r="P724" s="496"/>
      <c r="Q724" s="571"/>
      <c r="R724" s="571"/>
      <c r="S724" s="571"/>
      <c r="T724" s="571"/>
      <c r="U724" s="571"/>
      <c r="V724" s="571"/>
      <c r="W724" s="571"/>
      <c r="X724" s="571"/>
      <c r="Y724" s="571"/>
      <c r="Z724" s="571"/>
    </row>
    <row r="725" spans="1:26" ht="18.75">
      <c r="A725" s="735"/>
      <c r="B725" s="754"/>
      <c r="C725" s="754"/>
      <c r="D725" s="754"/>
      <c r="E725" s="754"/>
      <c r="F725" s="754"/>
      <c r="G725" s="189"/>
      <c r="H725" s="755" t="s">
        <v>46</v>
      </c>
      <c r="I725" s="756">
        <f ca="1">IFERROR(__xludf.DUMMYFUNCTION("IMPORTRANGE(""https://docs.google.com/spreadsheets/d/1QqKyyYR6Q21VydFLVH3TRQUabQu_ym0Zz7PgGX0-kHA/edit?usp=sharing"",""แผน!IM53"")"),50)</f>
        <v>50</v>
      </c>
      <c r="J725" s="269">
        <f ca="1">IFERROR(__xludf.DUMMYFUNCTION("IMPORTRANGE(""https://docs.google.com/spreadsheets/d/1XWAQStnk-4SwqDmLtmXYiTMKHgktTP8We1SCoS47DrQ/edit?usp=sharing"",""จัดที่ดิน!BO53"")"),0)</f>
        <v>0</v>
      </c>
      <c r="K725" s="496">
        <f t="shared" ref="K725:K726" ca="1" si="292">IF(I725&gt;0,J725*100/I725,0)</f>
        <v>0</v>
      </c>
      <c r="L725" s="757"/>
      <c r="M725" s="189"/>
      <c r="N725" s="757"/>
      <c r="O725" s="496"/>
      <c r="P725" s="496"/>
      <c r="Q725" s="571"/>
      <c r="R725" s="571"/>
      <c r="S725" s="571"/>
      <c r="T725" s="571"/>
      <c r="U725" s="571"/>
      <c r="V725" s="571"/>
      <c r="W725" s="571"/>
      <c r="X725" s="571"/>
      <c r="Y725" s="571"/>
      <c r="Z725" s="571"/>
    </row>
    <row r="726" spans="1:26" ht="18.75">
      <c r="A726" s="735"/>
      <c r="B726" s="754"/>
      <c r="C726" s="754"/>
      <c r="D726" s="754"/>
      <c r="E726" s="754" t="s">
        <v>307</v>
      </c>
      <c r="F726" s="754"/>
      <c r="G726" s="189"/>
      <c r="H726" s="755" t="s">
        <v>35</v>
      </c>
      <c r="I726" s="756">
        <f ca="1">IFERROR(__xludf.DUMMYFUNCTION("IMPORTRANGE(""https://docs.google.com/spreadsheets/d/1QqKyyYR6Q21VydFLVH3TRQUabQu_ym0Zz7PgGX0-kHA/edit?usp=sharing"",""แผน!IN53"")"),0)</f>
        <v>0</v>
      </c>
      <c r="J726" s="269">
        <f ca="1">IFERROR(__xludf.DUMMYFUNCTION("IMPORTRANGE(""https://docs.google.com/spreadsheets/d/1XWAQStnk-4SwqDmLtmXYiTMKHgktTP8We1SCoS47DrQ/edit?usp=sharing"",""จัดที่ดิน!BR53"")"),0)</f>
        <v>0</v>
      </c>
      <c r="K726" s="496">
        <f t="shared" ca="1" si="292"/>
        <v>0</v>
      </c>
      <c r="L726" s="496"/>
      <c r="M726" s="189"/>
      <c r="N726" s="757"/>
      <c r="O726" s="496"/>
      <c r="P726" s="496"/>
      <c r="Q726" s="571"/>
      <c r="R726" s="571"/>
      <c r="S726" s="571"/>
      <c r="T726" s="571"/>
      <c r="U726" s="571"/>
      <c r="V726" s="571"/>
      <c r="W726" s="571"/>
      <c r="X726" s="571"/>
      <c r="Y726" s="571"/>
      <c r="Z726" s="571"/>
    </row>
    <row r="727" spans="1:26" ht="18.75">
      <c r="A727" s="735"/>
      <c r="B727" s="754"/>
      <c r="C727" s="754"/>
      <c r="D727" s="754"/>
      <c r="E727" s="754"/>
      <c r="F727" s="754"/>
      <c r="G727" s="189"/>
      <c r="H727" s="755" t="s">
        <v>34</v>
      </c>
      <c r="I727" s="756"/>
      <c r="J727" s="269">
        <f ca="1">IFERROR(__xludf.DUMMYFUNCTION("IMPORTRANGE(""https://docs.google.com/spreadsheets/d/1XWAQStnk-4SwqDmLtmXYiTMKHgktTP8We1SCoS47DrQ/edit?usp=sharing"",""จัดที่ดิน!BS53"")"),0)</f>
        <v>0</v>
      </c>
      <c r="K727" s="496"/>
      <c r="L727" s="757"/>
      <c r="M727" s="189"/>
      <c r="N727" s="757"/>
      <c r="O727" s="496"/>
      <c r="P727" s="496"/>
      <c r="Q727" s="571"/>
      <c r="R727" s="571"/>
      <c r="S727" s="571"/>
      <c r="T727" s="571"/>
      <c r="U727" s="571"/>
      <c r="V727" s="571"/>
      <c r="W727" s="571"/>
      <c r="X727" s="571"/>
      <c r="Y727" s="571"/>
      <c r="Z727" s="571"/>
    </row>
    <row r="728" spans="1:26" ht="18.75">
      <c r="A728" s="735"/>
      <c r="B728" s="754"/>
      <c r="C728" s="754"/>
      <c r="D728" s="754"/>
      <c r="E728" s="754"/>
      <c r="F728" s="754"/>
      <c r="G728" s="189"/>
      <c r="H728" s="755" t="s">
        <v>46</v>
      </c>
      <c r="I728" s="756">
        <f ca="1">IFERROR(__xludf.DUMMYFUNCTION("IMPORTRANGE(""https://docs.google.com/spreadsheets/d/1QqKyyYR6Q21VydFLVH3TRQUabQu_ym0Zz7PgGX0-kHA/edit?usp=sharing"",""แผน!IO53"")"),0)</f>
        <v>0</v>
      </c>
      <c r="J728" s="269">
        <f ca="1">IFERROR(__xludf.DUMMYFUNCTION("IMPORTRANGE(""https://docs.google.com/spreadsheets/d/1XWAQStnk-4SwqDmLtmXYiTMKHgktTP8We1SCoS47DrQ/edit?usp=sharing"",""จัดที่ดิน!BT53"")"),0)</f>
        <v>0</v>
      </c>
      <c r="K728" s="496">
        <f t="shared" ref="K728:K729" ca="1" si="293">IF(I728&gt;0,J728*100/I728,0)</f>
        <v>0</v>
      </c>
      <c r="L728" s="757"/>
      <c r="M728" s="189"/>
      <c r="N728" s="757"/>
      <c r="O728" s="496"/>
      <c r="P728" s="496"/>
      <c r="Q728" s="571"/>
      <c r="R728" s="571"/>
      <c r="S728" s="571"/>
      <c r="T728" s="571"/>
      <c r="U728" s="571"/>
      <c r="V728" s="571"/>
      <c r="W728" s="571"/>
      <c r="X728" s="571"/>
      <c r="Y728" s="571"/>
      <c r="Z728" s="571"/>
    </row>
    <row r="729" spans="1:26" ht="19.5">
      <c r="A729" s="735"/>
      <c r="B729" s="754"/>
      <c r="C729" s="754"/>
      <c r="D729" s="754" t="s">
        <v>308</v>
      </c>
      <c r="E729" s="754"/>
      <c r="F729" s="754"/>
      <c r="G729" s="189"/>
      <c r="H729" s="758" t="s">
        <v>46</v>
      </c>
      <c r="I729" s="759">
        <f ca="1">IFERROR(__xludf.DUMMYFUNCTION("IMPORTRANGE(""https://docs.google.com/spreadsheets/d/1QqKyyYR6Q21VydFLVH3TRQUabQu_ym0Zz7PgGX0-kHA/edit?usp=sharing"",""แผน!IP53"")"),50)</f>
        <v>50</v>
      </c>
      <c r="J729" s="674">
        <f>J732+J735</f>
        <v>0</v>
      </c>
      <c r="K729" s="195">
        <f t="shared" ca="1" si="293"/>
        <v>0</v>
      </c>
      <c r="L729" s="496"/>
      <c r="M729" s="189"/>
      <c r="N729" s="757"/>
      <c r="O729" s="496"/>
      <c r="P729" s="496"/>
      <c r="Q729" s="571"/>
      <c r="R729" s="571"/>
      <c r="S729" s="571"/>
      <c r="T729" s="571"/>
      <c r="U729" s="571"/>
      <c r="V729" s="571"/>
      <c r="W729" s="571"/>
      <c r="X729" s="571"/>
      <c r="Y729" s="571"/>
      <c r="Z729" s="571"/>
    </row>
    <row r="730" spans="1:26" ht="18.75">
      <c r="A730" s="735"/>
      <c r="B730" s="754"/>
      <c r="C730" s="754"/>
      <c r="D730" s="754"/>
      <c r="E730" s="754" t="s">
        <v>309</v>
      </c>
      <c r="F730" s="754"/>
      <c r="G730" s="189"/>
      <c r="H730" s="755" t="s">
        <v>35</v>
      </c>
      <c r="I730" s="756"/>
      <c r="J730" s="214">
        <v>0</v>
      </c>
      <c r="K730" s="496"/>
      <c r="L730" s="757"/>
      <c r="M730" s="496"/>
      <c r="N730" s="757"/>
      <c r="O730" s="496"/>
      <c r="P730" s="496"/>
      <c r="Q730" s="571"/>
      <c r="R730" s="571"/>
      <c r="S730" s="571"/>
      <c r="T730" s="571"/>
      <c r="U730" s="571"/>
      <c r="V730" s="571"/>
      <c r="W730" s="571"/>
      <c r="X730" s="571"/>
      <c r="Y730" s="571"/>
      <c r="Z730" s="571"/>
    </row>
    <row r="731" spans="1:26" ht="18.75">
      <c r="A731" s="735"/>
      <c r="B731" s="754"/>
      <c r="C731" s="754"/>
      <c r="D731" s="754"/>
      <c r="E731" s="754"/>
      <c r="F731" s="754"/>
      <c r="G731" s="189"/>
      <c r="H731" s="755" t="s">
        <v>34</v>
      </c>
      <c r="I731" s="756"/>
      <c r="J731" s="214">
        <v>0</v>
      </c>
      <c r="K731" s="496"/>
      <c r="L731" s="757"/>
      <c r="M731" s="496"/>
      <c r="N731" s="757"/>
      <c r="O731" s="496"/>
      <c r="P731" s="496"/>
      <c r="Q731" s="571"/>
      <c r="R731" s="571"/>
      <c r="S731" s="571"/>
      <c r="T731" s="571"/>
      <c r="U731" s="571"/>
      <c r="V731" s="571"/>
      <c r="W731" s="571"/>
      <c r="X731" s="571"/>
      <c r="Y731" s="571"/>
      <c r="Z731" s="571"/>
    </row>
    <row r="732" spans="1:26" ht="18.75">
      <c r="A732" s="735"/>
      <c r="B732" s="754"/>
      <c r="C732" s="754"/>
      <c r="D732" s="754"/>
      <c r="E732" s="754"/>
      <c r="F732" s="754"/>
      <c r="G732" s="189"/>
      <c r="H732" s="755" t="s">
        <v>46</v>
      </c>
      <c r="I732" s="756"/>
      <c r="J732" s="214">
        <v>0</v>
      </c>
      <c r="K732" s="496"/>
      <c r="L732" s="757"/>
      <c r="M732" s="496"/>
      <c r="N732" s="757"/>
      <c r="O732" s="496"/>
      <c r="P732" s="496"/>
      <c r="Q732" s="571"/>
      <c r="R732" s="571"/>
      <c r="S732" s="571"/>
      <c r="T732" s="571"/>
      <c r="U732" s="571"/>
      <c r="V732" s="571"/>
      <c r="W732" s="571"/>
      <c r="X732" s="571"/>
      <c r="Y732" s="571"/>
      <c r="Z732" s="571"/>
    </row>
    <row r="733" spans="1:26" ht="18.75">
      <c r="A733" s="735"/>
      <c r="B733" s="754"/>
      <c r="C733" s="754"/>
      <c r="D733" s="754"/>
      <c r="E733" s="754" t="s">
        <v>310</v>
      </c>
      <c r="F733" s="754"/>
      <c r="G733" s="189"/>
      <c r="H733" s="755" t="s">
        <v>35</v>
      </c>
      <c r="I733" s="756"/>
      <c r="J733" s="214">
        <v>0</v>
      </c>
      <c r="K733" s="496"/>
      <c r="L733" s="757"/>
      <c r="M733" s="496"/>
      <c r="N733" s="757"/>
      <c r="O733" s="496"/>
      <c r="P733" s="496"/>
      <c r="Q733" s="571"/>
      <c r="R733" s="571"/>
      <c r="S733" s="571"/>
      <c r="T733" s="571"/>
      <c r="U733" s="571"/>
      <c r="V733" s="571"/>
      <c r="W733" s="571"/>
      <c r="X733" s="571"/>
      <c r="Y733" s="571"/>
      <c r="Z733" s="571"/>
    </row>
    <row r="734" spans="1:26" ht="18.75">
      <c r="A734" s="735"/>
      <c r="B734" s="754"/>
      <c r="C734" s="754"/>
      <c r="D734" s="754"/>
      <c r="E734" s="754"/>
      <c r="F734" s="754"/>
      <c r="G734" s="189"/>
      <c r="H734" s="755" t="s">
        <v>34</v>
      </c>
      <c r="I734" s="756"/>
      <c r="J734" s="214">
        <v>0</v>
      </c>
      <c r="K734" s="496"/>
      <c r="L734" s="757"/>
      <c r="M734" s="496"/>
      <c r="N734" s="757"/>
      <c r="O734" s="496"/>
      <c r="P734" s="496"/>
      <c r="Q734" s="571"/>
      <c r="R734" s="571"/>
      <c r="S734" s="571"/>
      <c r="T734" s="571"/>
      <c r="U734" s="571"/>
      <c r="V734" s="571"/>
      <c r="W734" s="571"/>
      <c r="X734" s="571"/>
      <c r="Y734" s="571"/>
      <c r="Z734" s="571"/>
    </row>
    <row r="735" spans="1:26" ht="19.5">
      <c r="A735" s="761"/>
      <c r="B735" s="762" t="s">
        <v>311</v>
      </c>
      <c r="C735" s="725"/>
      <c r="D735" s="725"/>
      <c r="E735" s="725"/>
      <c r="F735" s="725"/>
      <c r="G735" s="726"/>
      <c r="H735" s="421" t="s">
        <v>46</v>
      </c>
      <c r="I735" s="763"/>
      <c r="J735" s="423">
        <v>0</v>
      </c>
      <c r="K735" s="500"/>
      <c r="L735" s="764"/>
      <c r="M735" s="500"/>
      <c r="N735" s="764"/>
      <c r="O735" s="500"/>
      <c r="P735" s="500"/>
      <c r="Q735" s="571"/>
      <c r="R735" s="571"/>
      <c r="S735" s="571"/>
      <c r="T735" s="571"/>
      <c r="U735" s="571"/>
      <c r="V735" s="571"/>
      <c r="W735" s="571"/>
      <c r="X735" s="571"/>
      <c r="Y735" s="571"/>
      <c r="Z735" s="571"/>
    </row>
    <row r="736" spans="1:26" ht="19.5" hidden="1">
      <c r="A736" s="765">
        <v>9</v>
      </c>
      <c r="B736" s="766" t="s">
        <v>312</v>
      </c>
      <c r="C736" s="767"/>
      <c r="D736" s="767"/>
      <c r="E736" s="767"/>
      <c r="F736" s="767"/>
      <c r="G736" s="768"/>
      <c r="H736" s="769" t="s">
        <v>46</v>
      </c>
      <c r="I736" s="770"/>
      <c r="J736" s="770">
        <f>J751</f>
        <v>0</v>
      </c>
      <c r="K736" s="771">
        <f>IF(I736&gt;0,J736*100/I736,0)</f>
        <v>0</v>
      </c>
      <c r="L736" s="772"/>
      <c r="M736" s="772"/>
      <c r="N736" s="772"/>
      <c r="O736" s="772"/>
      <c r="P736" s="772"/>
      <c r="Q736" s="597"/>
      <c r="R736" s="597"/>
      <c r="S736" s="597"/>
      <c r="T736" s="597"/>
      <c r="U736" s="597"/>
      <c r="V736" s="597"/>
      <c r="W736" s="597"/>
      <c r="X736" s="597"/>
      <c r="Y736" s="597"/>
      <c r="Z736" s="597"/>
    </row>
    <row r="737" spans="1:26" ht="19.5" hidden="1">
      <c r="A737" s="592"/>
      <c r="B737" s="750"/>
      <c r="C737" s="750" t="s">
        <v>16</v>
      </c>
      <c r="D737" s="864" t="s">
        <v>17</v>
      </c>
      <c r="E737" s="857"/>
      <c r="F737" s="857"/>
      <c r="G737" s="596"/>
      <c r="H737" s="639" t="s">
        <v>12</v>
      </c>
      <c r="I737" s="610"/>
      <c r="J737" s="610"/>
      <c r="K737" s="93"/>
      <c r="L737" s="640">
        <f t="shared" ref="L737:N737" si="294">L738+L739</f>
        <v>0</v>
      </c>
      <c r="M737" s="640">
        <f t="shared" si="294"/>
        <v>0</v>
      </c>
      <c r="N737" s="640">
        <f t="shared" si="294"/>
        <v>0</v>
      </c>
      <c r="O737" s="640">
        <f t="shared" ref="O737:O742" si="295">IF(L737&gt;0,N737*100/L737,0)</f>
        <v>0</v>
      </c>
      <c r="P737" s="640">
        <f t="shared" ref="P737:P742" si="296">IF(M737&gt;0,N737*100/M737,0)</f>
        <v>0</v>
      </c>
      <c r="Q737" s="597"/>
      <c r="R737" s="597"/>
      <c r="S737" s="597"/>
      <c r="T737" s="597"/>
      <c r="U737" s="597"/>
      <c r="V737" s="597"/>
      <c r="W737" s="597"/>
      <c r="X737" s="597"/>
      <c r="Y737" s="597"/>
      <c r="Z737" s="597"/>
    </row>
    <row r="738" spans="1:26" ht="18.75" hidden="1">
      <c r="A738" s="592"/>
      <c r="B738" s="750"/>
      <c r="C738" s="750"/>
      <c r="D738" s="711"/>
      <c r="E738" s="750" t="s">
        <v>184</v>
      </c>
      <c r="F738" s="750"/>
      <c r="G738" s="596"/>
      <c r="H738" s="165" t="s">
        <v>12</v>
      </c>
      <c r="I738" s="610"/>
      <c r="J738" s="610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597"/>
      <c r="R738" s="597"/>
      <c r="S738" s="597"/>
      <c r="T738" s="597"/>
      <c r="U738" s="597"/>
      <c r="V738" s="597"/>
      <c r="W738" s="597"/>
      <c r="X738" s="597"/>
      <c r="Y738" s="597"/>
      <c r="Z738" s="597"/>
    </row>
    <row r="739" spans="1:26" ht="18.75" hidden="1">
      <c r="A739" s="592"/>
      <c r="B739" s="600"/>
      <c r="C739" s="750"/>
      <c r="D739" s="711"/>
      <c r="E739" s="750" t="s">
        <v>185</v>
      </c>
      <c r="F739" s="750"/>
      <c r="G739" s="596"/>
      <c r="H739" s="165" t="s">
        <v>12</v>
      </c>
      <c r="I739" s="610"/>
      <c r="J739" s="610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597"/>
      <c r="R739" s="597"/>
      <c r="S739" s="597"/>
      <c r="T739" s="597"/>
      <c r="U739" s="597"/>
      <c r="V739" s="597"/>
      <c r="W739" s="597"/>
      <c r="X739" s="597"/>
      <c r="Y739" s="597"/>
      <c r="Z739" s="597"/>
    </row>
    <row r="740" spans="1:26" ht="19.5" hidden="1">
      <c r="A740" s="592"/>
      <c r="B740" s="600"/>
      <c r="C740" s="750"/>
      <c r="D740" s="638" t="s">
        <v>20</v>
      </c>
      <c r="E740" s="750"/>
      <c r="F740" s="750"/>
      <c r="G740" s="596"/>
      <c r="H740" s="639" t="s">
        <v>12</v>
      </c>
      <c r="I740" s="166"/>
      <c r="J740" s="166"/>
      <c r="K740" s="167"/>
      <c r="L740" s="640">
        <f t="shared" ref="L740:N740" si="298">L741+L742</f>
        <v>0</v>
      </c>
      <c r="M740" s="640">
        <f t="shared" si="298"/>
        <v>0</v>
      </c>
      <c r="N740" s="640">
        <f t="shared" si="298"/>
        <v>0</v>
      </c>
      <c r="O740" s="640">
        <f t="shared" si="295"/>
        <v>0</v>
      </c>
      <c r="P740" s="640">
        <f t="shared" si="296"/>
        <v>0</v>
      </c>
      <c r="Q740" s="597"/>
      <c r="R740" s="597"/>
      <c r="S740" s="597"/>
      <c r="T740" s="597"/>
      <c r="U740" s="597"/>
      <c r="V740" s="597"/>
      <c r="W740" s="597"/>
      <c r="X740" s="597"/>
      <c r="Y740" s="597"/>
      <c r="Z740" s="597"/>
    </row>
    <row r="741" spans="1:26" ht="18.75" hidden="1">
      <c r="A741" s="592"/>
      <c r="B741" s="600"/>
      <c r="C741" s="750"/>
      <c r="D741" s="711"/>
      <c r="E741" s="750" t="s">
        <v>184</v>
      </c>
      <c r="F741" s="750"/>
      <c r="G741" s="596"/>
      <c r="H741" s="165" t="s">
        <v>12</v>
      </c>
      <c r="I741" s="610"/>
      <c r="J741" s="610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597"/>
      <c r="R741" s="597"/>
      <c r="S741" s="597"/>
      <c r="T741" s="597"/>
      <c r="U741" s="597"/>
      <c r="V741" s="597"/>
      <c r="W741" s="597"/>
      <c r="X741" s="597"/>
      <c r="Y741" s="597"/>
      <c r="Z741" s="597"/>
    </row>
    <row r="742" spans="1:26" ht="18.75" hidden="1">
      <c r="A742" s="592"/>
      <c r="B742" s="600"/>
      <c r="C742" s="750"/>
      <c r="D742" s="711"/>
      <c r="E742" s="750" t="s">
        <v>185</v>
      </c>
      <c r="F742" s="750"/>
      <c r="G742" s="596"/>
      <c r="H742" s="165" t="s">
        <v>12</v>
      </c>
      <c r="I742" s="610"/>
      <c r="J742" s="610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597"/>
      <c r="R742" s="597"/>
      <c r="S742" s="597"/>
      <c r="T742" s="597"/>
      <c r="U742" s="597"/>
      <c r="V742" s="597"/>
      <c r="W742" s="597"/>
      <c r="X742" s="597"/>
      <c r="Y742" s="597"/>
      <c r="Z742" s="597"/>
    </row>
    <row r="743" spans="1:26" ht="18.75" hidden="1">
      <c r="A743" s="642"/>
      <c r="B743" s="600"/>
      <c r="C743" s="750"/>
      <c r="D743" s="750"/>
      <c r="E743" s="750"/>
      <c r="F743" s="750" t="s">
        <v>186</v>
      </c>
      <c r="G743" s="596"/>
      <c r="H743" s="165" t="s">
        <v>12</v>
      </c>
      <c r="I743" s="610"/>
      <c r="J743" s="610"/>
      <c r="K743" s="93"/>
      <c r="L743" s="93"/>
      <c r="M743" s="93"/>
      <c r="N743" s="93"/>
      <c r="O743" s="93"/>
      <c r="P743" s="93"/>
      <c r="Q743" s="597"/>
      <c r="R743" s="597"/>
      <c r="S743" s="597"/>
      <c r="T743" s="597"/>
      <c r="U743" s="597"/>
      <c r="V743" s="597"/>
      <c r="W743" s="597"/>
      <c r="X743" s="597"/>
      <c r="Y743" s="597"/>
      <c r="Z743" s="597"/>
    </row>
    <row r="744" spans="1:26" ht="18.75" hidden="1">
      <c r="A744" s="642"/>
      <c r="B744" s="600"/>
      <c r="C744" s="750"/>
      <c r="D744" s="750"/>
      <c r="E744" s="750"/>
      <c r="F744" s="750" t="s">
        <v>187</v>
      </c>
      <c r="G744" s="596"/>
      <c r="H744" s="165" t="s">
        <v>12</v>
      </c>
      <c r="I744" s="610"/>
      <c r="J744" s="610"/>
      <c r="K744" s="93"/>
      <c r="L744" s="93"/>
      <c r="M744" s="93"/>
      <c r="N744" s="93"/>
      <c r="O744" s="93"/>
      <c r="P744" s="93"/>
      <c r="Q744" s="597"/>
      <c r="R744" s="597"/>
      <c r="S744" s="597"/>
      <c r="T744" s="597"/>
      <c r="U744" s="597"/>
      <c r="V744" s="597"/>
      <c r="W744" s="597"/>
      <c r="X744" s="597"/>
      <c r="Y744" s="597"/>
      <c r="Z744" s="597"/>
    </row>
    <row r="745" spans="1:26" ht="18.75" hidden="1">
      <c r="A745" s="642"/>
      <c r="B745" s="600"/>
      <c r="C745" s="750"/>
      <c r="D745" s="750"/>
      <c r="E745" s="750"/>
      <c r="F745" s="750" t="s">
        <v>188</v>
      </c>
      <c r="G745" s="596"/>
      <c r="H745" s="165" t="s">
        <v>12</v>
      </c>
      <c r="I745" s="610"/>
      <c r="J745" s="610"/>
      <c r="K745" s="93"/>
      <c r="L745" s="93"/>
      <c r="M745" s="93"/>
      <c r="N745" s="93"/>
      <c r="O745" s="93"/>
      <c r="P745" s="93"/>
      <c r="Q745" s="597"/>
      <c r="R745" s="597"/>
      <c r="S745" s="597"/>
      <c r="T745" s="597"/>
      <c r="U745" s="597"/>
      <c r="V745" s="597"/>
      <c r="W745" s="597"/>
      <c r="X745" s="597"/>
      <c r="Y745" s="597"/>
      <c r="Z745" s="597"/>
    </row>
    <row r="746" spans="1:26" ht="18.75" hidden="1">
      <c r="A746" s="642"/>
      <c r="B746" s="600"/>
      <c r="C746" s="750"/>
      <c r="D746" s="750"/>
      <c r="E746" s="750"/>
      <c r="F746" s="750" t="s">
        <v>189</v>
      </c>
      <c r="G746" s="596"/>
      <c r="H746" s="165" t="s">
        <v>12</v>
      </c>
      <c r="I746" s="610"/>
      <c r="J746" s="610"/>
      <c r="K746" s="93"/>
      <c r="L746" s="93"/>
      <c r="M746" s="93"/>
      <c r="N746" s="93"/>
      <c r="O746" s="93"/>
      <c r="P746" s="93"/>
      <c r="Q746" s="597"/>
      <c r="R746" s="597"/>
      <c r="S746" s="597"/>
      <c r="T746" s="597"/>
      <c r="U746" s="597"/>
      <c r="V746" s="597"/>
      <c r="W746" s="597"/>
      <c r="X746" s="597"/>
      <c r="Y746" s="597"/>
      <c r="Z746" s="597"/>
    </row>
    <row r="747" spans="1:26" ht="19.5" hidden="1">
      <c r="A747" s="592"/>
      <c r="B747" s="600"/>
      <c r="C747" s="750"/>
      <c r="D747" s="638" t="s">
        <v>21</v>
      </c>
      <c r="E747" s="750"/>
      <c r="F747" s="750"/>
      <c r="G747" s="596"/>
      <c r="H747" s="774" t="s">
        <v>12</v>
      </c>
      <c r="I747" s="166"/>
      <c r="J747" s="166"/>
      <c r="K747" s="167"/>
      <c r="L747" s="640">
        <f t="shared" ref="L747:N747" si="299">L748+L749</f>
        <v>0</v>
      </c>
      <c r="M747" s="640">
        <f t="shared" si="299"/>
        <v>0</v>
      </c>
      <c r="N747" s="640">
        <f t="shared" si="299"/>
        <v>0</v>
      </c>
      <c r="O747" s="640">
        <f t="shared" ref="O747:O749" si="300">IF(L747&gt;0,N747*100/L747,0)</f>
        <v>0</v>
      </c>
      <c r="P747" s="640">
        <f t="shared" ref="P747:P749" si="301">IF(M747&gt;0,N747*100/M747,0)</f>
        <v>0</v>
      </c>
      <c r="Q747" s="597"/>
      <c r="R747" s="597"/>
      <c r="S747" s="597"/>
      <c r="T747" s="597"/>
      <c r="U747" s="597"/>
      <c r="V747" s="597"/>
      <c r="W747" s="597"/>
      <c r="X747" s="597"/>
      <c r="Y747" s="597"/>
      <c r="Z747" s="597"/>
    </row>
    <row r="748" spans="1:26" ht="18.75" hidden="1">
      <c r="A748" s="592"/>
      <c r="B748" s="600"/>
      <c r="C748" s="750"/>
      <c r="D748" s="750"/>
      <c r="E748" s="750" t="s">
        <v>18</v>
      </c>
      <c r="F748" s="750"/>
      <c r="G748" s="596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597"/>
      <c r="R748" s="597"/>
      <c r="S748" s="597"/>
      <c r="T748" s="597"/>
      <c r="U748" s="597"/>
      <c r="V748" s="597"/>
      <c r="W748" s="597"/>
      <c r="X748" s="597"/>
      <c r="Y748" s="597"/>
      <c r="Z748" s="597"/>
    </row>
    <row r="749" spans="1:26" ht="18.75" hidden="1">
      <c r="A749" s="592"/>
      <c r="B749" s="600"/>
      <c r="C749" s="750"/>
      <c r="D749" s="750"/>
      <c r="E749" s="750" t="s">
        <v>19</v>
      </c>
      <c r="F749" s="750"/>
      <c r="G749" s="596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597"/>
      <c r="R749" s="597"/>
      <c r="S749" s="597"/>
      <c r="T749" s="597"/>
      <c r="U749" s="597"/>
      <c r="V749" s="597"/>
      <c r="W749" s="597"/>
      <c r="X749" s="597"/>
      <c r="Y749" s="597"/>
      <c r="Z749" s="597"/>
    </row>
    <row r="750" spans="1:26" ht="19.5" hidden="1">
      <c r="A750" s="607"/>
      <c r="B750" s="609"/>
      <c r="C750" s="750" t="s">
        <v>16</v>
      </c>
      <c r="D750" s="841" t="s">
        <v>38</v>
      </c>
      <c r="E750" s="644"/>
      <c r="F750" s="644"/>
      <c r="G750" s="645"/>
      <c r="H750" s="365"/>
      <c r="I750" s="166"/>
      <c r="J750" s="166"/>
      <c r="K750" s="167"/>
      <c r="L750" s="167"/>
      <c r="M750" s="167"/>
      <c r="N750" s="167"/>
      <c r="O750" s="167"/>
      <c r="P750" s="167"/>
      <c r="Q750" s="597"/>
      <c r="R750" s="597"/>
      <c r="S750" s="597"/>
      <c r="T750" s="597"/>
      <c r="U750" s="597"/>
      <c r="V750" s="597"/>
      <c r="W750" s="597"/>
      <c r="X750" s="597"/>
      <c r="Y750" s="597"/>
      <c r="Z750" s="597"/>
    </row>
    <row r="751" spans="1:26" ht="18.75" hidden="1">
      <c r="A751" s="642"/>
      <c r="B751" s="600"/>
      <c r="C751" s="750"/>
      <c r="D751" s="750"/>
      <c r="E751" s="750" t="s">
        <v>313</v>
      </c>
      <c r="F751" s="750"/>
      <c r="G751" s="596"/>
      <c r="H751" s="165" t="s">
        <v>46</v>
      </c>
      <c r="I751" s="610"/>
      <c r="J751" s="610"/>
      <c r="K751" s="93"/>
      <c r="L751" s="93"/>
      <c r="M751" s="93"/>
      <c r="N751" s="93"/>
      <c r="O751" s="93"/>
      <c r="P751" s="93"/>
      <c r="Q751" s="597"/>
      <c r="R751" s="597"/>
      <c r="S751" s="597"/>
      <c r="T751" s="597"/>
      <c r="U751" s="597"/>
      <c r="V751" s="597"/>
      <c r="W751" s="597"/>
      <c r="X751" s="597"/>
      <c r="Y751" s="597"/>
      <c r="Z751" s="597"/>
    </row>
    <row r="752" spans="1:26" ht="18.75" hidden="1">
      <c r="A752" s="642"/>
      <c r="B752" s="600"/>
      <c r="C752" s="750"/>
      <c r="D752" s="750"/>
      <c r="E752" s="750"/>
      <c r="F752" s="750"/>
      <c r="G752" s="596"/>
      <c r="H752" s="165" t="s">
        <v>314</v>
      </c>
      <c r="I752" s="610"/>
      <c r="J752" s="610"/>
      <c r="K752" s="93"/>
      <c r="L752" s="93"/>
      <c r="M752" s="93"/>
      <c r="N752" s="93"/>
      <c r="O752" s="93"/>
      <c r="P752" s="93"/>
      <c r="Q752" s="597"/>
      <c r="R752" s="597"/>
      <c r="S752" s="597"/>
      <c r="T752" s="597"/>
      <c r="U752" s="597"/>
      <c r="V752" s="597"/>
      <c r="W752" s="597"/>
      <c r="X752" s="597"/>
      <c r="Y752" s="597"/>
      <c r="Z752" s="597"/>
    </row>
    <row r="753" spans="1:26" ht="19.5" hidden="1">
      <c r="A753" s="776">
        <v>10</v>
      </c>
      <c r="B753" s="777" t="s">
        <v>315</v>
      </c>
      <c r="C753" s="778"/>
      <c r="D753" s="778"/>
      <c r="E753" s="778"/>
      <c r="F753" s="778"/>
      <c r="G753" s="779"/>
      <c r="H753" s="780" t="s">
        <v>46</v>
      </c>
      <c r="I753" s="781"/>
      <c r="J753" s="781">
        <f>J768</f>
        <v>0</v>
      </c>
      <c r="K753" s="782">
        <f>IF(I753&gt;0,J753*100/I753,0)</f>
        <v>0</v>
      </c>
      <c r="L753" s="783"/>
      <c r="M753" s="783"/>
      <c r="N753" s="783"/>
      <c r="O753" s="783"/>
      <c r="P753" s="783"/>
      <c r="Q753" s="597"/>
      <c r="R753" s="597"/>
      <c r="S753" s="597"/>
      <c r="T753" s="597"/>
      <c r="U753" s="597"/>
      <c r="V753" s="597"/>
      <c r="W753" s="597"/>
      <c r="X753" s="597"/>
      <c r="Y753" s="597"/>
      <c r="Z753" s="597"/>
    </row>
    <row r="754" spans="1:26" ht="19.5" hidden="1">
      <c r="A754" s="592"/>
      <c r="B754" s="750"/>
      <c r="C754" s="750" t="s">
        <v>16</v>
      </c>
      <c r="D754" s="864" t="s">
        <v>17</v>
      </c>
      <c r="E754" s="857"/>
      <c r="F754" s="857"/>
      <c r="G754" s="596"/>
      <c r="H754" s="639" t="s">
        <v>12</v>
      </c>
      <c r="I754" s="610"/>
      <c r="J754" s="610"/>
      <c r="K754" s="93"/>
      <c r="L754" s="640">
        <f t="shared" ref="L754:N754" si="302">L755+L756</f>
        <v>0</v>
      </c>
      <c r="M754" s="640">
        <f t="shared" si="302"/>
        <v>0</v>
      </c>
      <c r="N754" s="640">
        <f t="shared" si="302"/>
        <v>0</v>
      </c>
      <c r="O754" s="640">
        <f t="shared" ref="O754:O759" si="303">IF(L754&gt;0,N754*100/L754,0)</f>
        <v>0</v>
      </c>
      <c r="P754" s="640">
        <f t="shared" ref="P754:P759" si="304">IF(M754&gt;0,N754*100/M754,0)</f>
        <v>0</v>
      </c>
      <c r="Q754" s="597"/>
      <c r="R754" s="597"/>
      <c r="S754" s="597"/>
      <c r="T754" s="597"/>
      <c r="U754" s="597"/>
      <c r="V754" s="597"/>
      <c r="W754" s="597"/>
      <c r="X754" s="597"/>
      <c r="Y754" s="597"/>
      <c r="Z754" s="597"/>
    </row>
    <row r="755" spans="1:26" ht="18.75" hidden="1">
      <c r="A755" s="592"/>
      <c r="B755" s="750"/>
      <c r="C755" s="750"/>
      <c r="D755" s="711"/>
      <c r="E755" s="750" t="s">
        <v>184</v>
      </c>
      <c r="F755" s="750"/>
      <c r="G755" s="596"/>
      <c r="H755" s="165" t="s">
        <v>12</v>
      </c>
      <c r="I755" s="610"/>
      <c r="J755" s="610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597"/>
      <c r="R755" s="597"/>
      <c r="S755" s="597"/>
      <c r="T755" s="597"/>
      <c r="U755" s="597"/>
      <c r="V755" s="597"/>
      <c r="W755" s="597"/>
      <c r="X755" s="597"/>
      <c r="Y755" s="597"/>
      <c r="Z755" s="597"/>
    </row>
    <row r="756" spans="1:26" ht="18.75" hidden="1">
      <c r="A756" s="592"/>
      <c r="B756" s="600"/>
      <c r="C756" s="750"/>
      <c r="D756" s="711"/>
      <c r="E756" s="750" t="s">
        <v>185</v>
      </c>
      <c r="F756" s="750"/>
      <c r="G756" s="596"/>
      <c r="H756" s="165" t="s">
        <v>12</v>
      </c>
      <c r="I756" s="610"/>
      <c r="J756" s="610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597"/>
      <c r="R756" s="597"/>
      <c r="S756" s="597"/>
      <c r="T756" s="597"/>
      <c r="U756" s="597"/>
      <c r="V756" s="597"/>
      <c r="W756" s="597"/>
      <c r="X756" s="597"/>
      <c r="Y756" s="597"/>
      <c r="Z756" s="597"/>
    </row>
    <row r="757" spans="1:26" ht="19.5" hidden="1">
      <c r="A757" s="592"/>
      <c r="B757" s="600"/>
      <c r="C757" s="750"/>
      <c r="D757" s="638" t="s">
        <v>20</v>
      </c>
      <c r="E757" s="750"/>
      <c r="F757" s="750"/>
      <c r="G757" s="596"/>
      <c r="H757" s="639" t="s">
        <v>12</v>
      </c>
      <c r="I757" s="166"/>
      <c r="J757" s="166"/>
      <c r="K757" s="167"/>
      <c r="L757" s="640">
        <f t="shared" ref="L757:N757" si="306">L758+L759</f>
        <v>0</v>
      </c>
      <c r="M757" s="640">
        <f t="shared" si="306"/>
        <v>0</v>
      </c>
      <c r="N757" s="640">
        <f t="shared" si="306"/>
        <v>0</v>
      </c>
      <c r="O757" s="640">
        <f t="shared" si="303"/>
        <v>0</v>
      </c>
      <c r="P757" s="640">
        <f t="shared" si="304"/>
        <v>0</v>
      </c>
      <c r="Q757" s="597"/>
      <c r="R757" s="597"/>
      <c r="S757" s="597"/>
      <c r="T757" s="597"/>
      <c r="U757" s="597"/>
      <c r="V757" s="597"/>
      <c r="W757" s="597"/>
      <c r="X757" s="597"/>
      <c r="Y757" s="597"/>
      <c r="Z757" s="597"/>
    </row>
    <row r="758" spans="1:26" ht="18.75" hidden="1">
      <c r="A758" s="592"/>
      <c r="B758" s="600"/>
      <c r="C758" s="750"/>
      <c r="D758" s="711"/>
      <c r="E758" s="750" t="s">
        <v>184</v>
      </c>
      <c r="F758" s="750"/>
      <c r="G758" s="596"/>
      <c r="H758" s="165" t="s">
        <v>12</v>
      </c>
      <c r="I758" s="610"/>
      <c r="J758" s="610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597"/>
      <c r="R758" s="597"/>
      <c r="S758" s="597"/>
      <c r="T758" s="597"/>
      <c r="U758" s="597"/>
      <c r="V758" s="597"/>
      <c r="W758" s="597"/>
      <c r="X758" s="597"/>
      <c r="Y758" s="597"/>
      <c r="Z758" s="597"/>
    </row>
    <row r="759" spans="1:26" ht="18.75" hidden="1">
      <c r="A759" s="592"/>
      <c r="B759" s="600"/>
      <c r="C759" s="750"/>
      <c r="D759" s="711"/>
      <c r="E759" s="750" t="s">
        <v>185</v>
      </c>
      <c r="F759" s="750"/>
      <c r="G759" s="596"/>
      <c r="H759" s="165" t="s">
        <v>12</v>
      </c>
      <c r="I759" s="610"/>
      <c r="J759" s="610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597"/>
      <c r="R759" s="597"/>
      <c r="S759" s="597"/>
      <c r="T759" s="597"/>
      <c r="U759" s="597"/>
      <c r="V759" s="597"/>
      <c r="W759" s="597"/>
      <c r="X759" s="597"/>
      <c r="Y759" s="597"/>
      <c r="Z759" s="597"/>
    </row>
    <row r="760" spans="1:26" ht="18.75" hidden="1">
      <c r="A760" s="642"/>
      <c r="B760" s="600"/>
      <c r="C760" s="750"/>
      <c r="D760" s="750"/>
      <c r="E760" s="750"/>
      <c r="F760" s="750" t="s">
        <v>186</v>
      </c>
      <c r="G760" s="596"/>
      <c r="H760" s="165" t="s">
        <v>12</v>
      </c>
      <c r="I760" s="610"/>
      <c r="J760" s="610"/>
      <c r="K760" s="93"/>
      <c r="L760" s="93"/>
      <c r="M760" s="93"/>
      <c r="N760" s="93"/>
      <c r="O760" s="93"/>
      <c r="P760" s="93"/>
      <c r="Q760" s="597"/>
      <c r="R760" s="597"/>
      <c r="S760" s="597"/>
      <c r="T760" s="597"/>
      <c r="U760" s="597"/>
      <c r="V760" s="597"/>
      <c r="W760" s="597"/>
      <c r="X760" s="597"/>
      <c r="Y760" s="597"/>
      <c r="Z760" s="597"/>
    </row>
    <row r="761" spans="1:26" ht="18.75" hidden="1">
      <c r="A761" s="642"/>
      <c r="B761" s="600"/>
      <c r="C761" s="750"/>
      <c r="D761" s="750"/>
      <c r="E761" s="750"/>
      <c r="F761" s="750" t="s">
        <v>187</v>
      </c>
      <c r="G761" s="596"/>
      <c r="H761" s="165" t="s">
        <v>12</v>
      </c>
      <c r="I761" s="610"/>
      <c r="J761" s="610"/>
      <c r="K761" s="93"/>
      <c r="L761" s="93"/>
      <c r="M761" s="93"/>
      <c r="N761" s="93"/>
      <c r="O761" s="93"/>
      <c r="P761" s="93"/>
      <c r="Q761" s="597"/>
      <c r="R761" s="597"/>
      <c r="S761" s="597"/>
      <c r="T761" s="597"/>
      <c r="U761" s="597"/>
      <c r="V761" s="597"/>
      <c r="W761" s="597"/>
      <c r="X761" s="597"/>
      <c r="Y761" s="597"/>
      <c r="Z761" s="597"/>
    </row>
    <row r="762" spans="1:26" ht="18.75" hidden="1">
      <c r="A762" s="642"/>
      <c r="B762" s="600"/>
      <c r="C762" s="750"/>
      <c r="D762" s="750"/>
      <c r="E762" s="750"/>
      <c r="F762" s="750" t="s">
        <v>188</v>
      </c>
      <c r="G762" s="596"/>
      <c r="H762" s="165" t="s">
        <v>12</v>
      </c>
      <c r="I762" s="610"/>
      <c r="J762" s="610"/>
      <c r="K762" s="93"/>
      <c r="L762" s="93"/>
      <c r="M762" s="93"/>
      <c r="N762" s="93"/>
      <c r="O762" s="93"/>
      <c r="P762" s="93"/>
      <c r="Q762" s="597"/>
      <c r="R762" s="597"/>
      <c r="S762" s="597"/>
      <c r="T762" s="597"/>
      <c r="U762" s="597"/>
      <c r="V762" s="597"/>
      <c r="W762" s="597"/>
      <c r="X762" s="597"/>
      <c r="Y762" s="597"/>
      <c r="Z762" s="597"/>
    </row>
    <row r="763" spans="1:26" ht="18.75" hidden="1">
      <c r="A763" s="642"/>
      <c r="B763" s="600"/>
      <c r="C763" s="750"/>
      <c r="D763" s="750"/>
      <c r="E763" s="750"/>
      <c r="F763" s="750" t="s">
        <v>189</v>
      </c>
      <c r="G763" s="596"/>
      <c r="H763" s="165" t="s">
        <v>12</v>
      </c>
      <c r="I763" s="610"/>
      <c r="J763" s="610"/>
      <c r="K763" s="93"/>
      <c r="L763" s="93"/>
      <c r="M763" s="93"/>
      <c r="N763" s="93"/>
      <c r="O763" s="93"/>
      <c r="P763" s="93"/>
      <c r="Q763" s="597"/>
      <c r="R763" s="597"/>
      <c r="S763" s="597"/>
      <c r="T763" s="597"/>
      <c r="U763" s="597"/>
      <c r="V763" s="597"/>
      <c r="W763" s="597"/>
      <c r="X763" s="597"/>
      <c r="Y763" s="597"/>
      <c r="Z763" s="597"/>
    </row>
    <row r="764" spans="1:26" ht="19.5" hidden="1">
      <c r="A764" s="592"/>
      <c r="B764" s="600"/>
      <c r="C764" s="750"/>
      <c r="D764" s="638" t="s">
        <v>21</v>
      </c>
      <c r="E764" s="750"/>
      <c r="F764" s="750"/>
      <c r="G764" s="596"/>
      <c r="H764" s="774" t="s">
        <v>12</v>
      </c>
      <c r="I764" s="166"/>
      <c r="J764" s="166"/>
      <c r="K764" s="167"/>
      <c r="L764" s="640">
        <f t="shared" ref="L764:N764" si="307">L765+L766</f>
        <v>0</v>
      </c>
      <c r="M764" s="640">
        <f t="shared" si="307"/>
        <v>0</v>
      </c>
      <c r="N764" s="640">
        <f t="shared" si="307"/>
        <v>0</v>
      </c>
      <c r="O764" s="640">
        <f t="shared" ref="O764:O766" si="308">IF(L764&gt;0,N764*100/L764,0)</f>
        <v>0</v>
      </c>
      <c r="P764" s="640">
        <f t="shared" ref="P764:P766" si="309">IF(M764&gt;0,N764*100/M764,0)</f>
        <v>0</v>
      </c>
      <c r="Q764" s="597"/>
      <c r="R764" s="597"/>
      <c r="S764" s="597"/>
      <c r="T764" s="597"/>
      <c r="U764" s="597"/>
      <c r="V764" s="597"/>
      <c r="W764" s="597"/>
      <c r="X764" s="597"/>
      <c r="Y764" s="597"/>
      <c r="Z764" s="597"/>
    </row>
    <row r="765" spans="1:26" ht="18.75" hidden="1">
      <c r="A765" s="592"/>
      <c r="B765" s="600"/>
      <c r="C765" s="750"/>
      <c r="D765" s="750"/>
      <c r="E765" s="750" t="s">
        <v>18</v>
      </c>
      <c r="F765" s="750"/>
      <c r="G765" s="596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597"/>
      <c r="R765" s="597"/>
      <c r="S765" s="597"/>
      <c r="T765" s="597"/>
      <c r="U765" s="597"/>
      <c r="V765" s="597"/>
      <c r="W765" s="597"/>
      <c r="X765" s="597"/>
      <c r="Y765" s="597"/>
      <c r="Z765" s="597"/>
    </row>
    <row r="766" spans="1:26" ht="18.75" hidden="1">
      <c r="A766" s="592"/>
      <c r="B766" s="600"/>
      <c r="C766" s="750"/>
      <c r="D766" s="750"/>
      <c r="E766" s="750" t="s">
        <v>19</v>
      </c>
      <c r="F766" s="750"/>
      <c r="G766" s="596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597"/>
      <c r="R766" s="597"/>
      <c r="S766" s="597"/>
      <c r="T766" s="597"/>
      <c r="U766" s="597"/>
      <c r="V766" s="597"/>
      <c r="W766" s="597"/>
      <c r="X766" s="597"/>
      <c r="Y766" s="597"/>
      <c r="Z766" s="597"/>
    </row>
    <row r="767" spans="1:26" ht="19.5" hidden="1">
      <c r="A767" s="607"/>
      <c r="B767" s="609"/>
      <c r="C767" s="750" t="s">
        <v>16</v>
      </c>
      <c r="D767" s="841" t="s">
        <v>38</v>
      </c>
      <c r="E767" s="644"/>
      <c r="F767" s="644"/>
      <c r="G767" s="645"/>
      <c r="H767" s="365"/>
      <c r="I767" s="166"/>
      <c r="J767" s="166"/>
      <c r="K767" s="167"/>
      <c r="L767" s="167"/>
      <c r="M767" s="167"/>
      <c r="N767" s="167"/>
      <c r="O767" s="167"/>
      <c r="P767" s="167"/>
      <c r="Q767" s="597"/>
      <c r="R767" s="597"/>
      <c r="S767" s="597"/>
      <c r="T767" s="597"/>
      <c r="U767" s="597"/>
      <c r="V767" s="597"/>
      <c r="W767" s="597"/>
      <c r="X767" s="597"/>
      <c r="Y767" s="597"/>
      <c r="Z767" s="597"/>
    </row>
    <row r="768" spans="1:26" ht="18.75" hidden="1">
      <c r="A768" s="642"/>
      <c r="B768" s="600"/>
      <c r="C768" s="750"/>
      <c r="D768" s="750"/>
      <c r="E768" s="750" t="s">
        <v>316</v>
      </c>
      <c r="F768" s="750"/>
      <c r="G768" s="596"/>
      <c r="H768" s="165" t="s">
        <v>46</v>
      </c>
      <c r="I768" s="610"/>
      <c r="J768" s="610"/>
      <c r="K768" s="93"/>
      <c r="L768" s="93"/>
      <c r="M768" s="93"/>
      <c r="N768" s="93"/>
      <c r="O768" s="93"/>
      <c r="P768" s="93"/>
      <c r="Q768" s="597"/>
      <c r="R768" s="597"/>
      <c r="S768" s="597"/>
      <c r="T768" s="597"/>
      <c r="U768" s="597"/>
      <c r="V768" s="597"/>
      <c r="W768" s="597"/>
      <c r="X768" s="597"/>
      <c r="Y768" s="597"/>
      <c r="Z768" s="597"/>
    </row>
    <row r="769" spans="1:26" ht="19.5" hidden="1">
      <c r="A769" s="784">
        <v>11</v>
      </c>
      <c r="B769" s="785" t="s">
        <v>317</v>
      </c>
      <c r="C769" s="786"/>
      <c r="D769" s="786"/>
      <c r="E769" s="786"/>
      <c r="F769" s="786"/>
      <c r="G769" s="787"/>
      <c r="H769" s="788" t="s">
        <v>46</v>
      </c>
      <c r="I769" s="789"/>
      <c r="J769" s="789">
        <f>J784</f>
        <v>0</v>
      </c>
      <c r="K769" s="790">
        <f>IF(I769&gt;0,J769*100/I769,0)</f>
        <v>0</v>
      </c>
      <c r="L769" s="791"/>
      <c r="M769" s="791"/>
      <c r="N769" s="791"/>
      <c r="O769" s="791"/>
      <c r="P769" s="791"/>
      <c r="Q769" s="597"/>
      <c r="R769" s="597"/>
      <c r="S769" s="597"/>
      <c r="T769" s="597"/>
      <c r="U769" s="597"/>
      <c r="V769" s="597"/>
      <c r="W769" s="597"/>
      <c r="X769" s="597"/>
      <c r="Y769" s="597"/>
      <c r="Z769" s="597"/>
    </row>
    <row r="770" spans="1:26" ht="19.5" hidden="1">
      <c r="A770" s="592"/>
      <c r="B770" s="750"/>
      <c r="C770" s="750" t="s">
        <v>16</v>
      </c>
      <c r="D770" s="864" t="s">
        <v>17</v>
      </c>
      <c r="E770" s="857"/>
      <c r="F770" s="857"/>
      <c r="G770" s="596"/>
      <c r="H770" s="639" t="s">
        <v>12</v>
      </c>
      <c r="I770" s="610"/>
      <c r="J770" s="610"/>
      <c r="K770" s="93"/>
      <c r="L770" s="640">
        <f t="shared" ref="L770:N770" si="310">L771+L772</f>
        <v>0</v>
      </c>
      <c r="M770" s="640">
        <f t="shared" si="310"/>
        <v>0</v>
      </c>
      <c r="N770" s="640">
        <f t="shared" si="310"/>
        <v>0</v>
      </c>
      <c r="O770" s="640">
        <f t="shared" ref="O770:O775" si="311">IF(L770&gt;0,N770*100/L770,0)</f>
        <v>0</v>
      </c>
      <c r="P770" s="640">
        <f t="shared" ref="P770:P775" si="312">IF(M770&gt;0,N770*100/M770,0)</f>
        <v>0</v>
      </c>
      <c r="Q770" s="597"/>
      <c r="R770" s="597"/>
      <c r="S770" s="597"/>
      <c r="T770" s="597"/>
      <c r="U770" s="597"/>
      <c r="V770" s="597"/>
      <c r="W770" s="597"/>
      <c r="X770" s="597"/>
      <c r="Y770" s="597"/>
      <c r="Z770" s="597"/>
    </row>
    <row r="771" spans="1:26" ht="18.75" hidden="1">
      <c r="A771" s="592"/>
      <c r="B771" s="750"/>
      <c r="C771" s="750"/>
      <c r="D771" s="711"/>
      <c r="E771" s="750" t="s">
        <v>184</v>
      </c>
      <c r="F771" s="750"/>
      <c r="G771" s="596"/>
      <c r="H771" s="165" t="s">
        <v>12</v>
      </c>
      <c r="I771" s="610"/>
      <c r="J771" s="610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597"/>
      <c r="R771" s="597"/>
      <c r="S771" s="597"/>
      <c r="T771" s="597"/>
      <c r="U771" s="597"/>
      <c r="V771" s="597"/>
      <c r="W771" s="597"/>
      <c r="X771" s="597"/>
      <c r="Y771" s="597"/>
      <c r="Z771" s="597"/>
    </row>
    <row r="772" spans="1:26" ht="18.75" hidden="1">
      <c r="A772" s="592"/>
      <c r="B772" s="600"/>
      <c r="C772" s="750"/>
      <c r="D772" s="711"/>
      <c r="E772" s="750" t="s">
        <v>185</v>
      </c>
      <c r="F772" s="750"/>
      <c r="G772" s="596"/>
      <c r="H772" s="165" t="s">
        <v>12</v>
      </c>
      <c r="I772" s="610"/>
      <c r="J772" s="610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597"/>
      <c r="R772" s="597"/>
      <c r="S772" s="597"/>
      <c r="T772" s="597"/>
      <c r="U772" s="597"/>
      <c r="V772" s="597"/>
      <c r="W772" s="597"/>
      <c r="X772" s="597"/>
      <c r="Y772" s="597"/>
      <c r="Z772" s="597"/>
    </row>
    <row r="773" spans="1:26" ht="19.5" hidden="1">
      <c r="A773" s="592"/>
      <c r="B773" s="600"/>
      <c r="C773" s="750"/>
      <c r="D773" s="638" t="s">
        <v>20</v>
      </c>
      <c r="E773" s="750"/>
      <c r="F773" s="750"/>
      <c r="G773" s="596"/>
      <c r="H773" s="639" t="s">
        <v>12</v>
      </c>
      <c r="I773" s="166"/>
      <c r="J773" s="166"/>
      <c r="K773" s="167"/>
      <c r="L773" s="640">
        <f t="shared" ref="L773:N773" si="314">L774+L775</f>
        <v>0</v>
      </c>
      <c r="M773" s="640">
        <f t="shared" si="314"/>
        <v>0</v>
      </c>
      <c r="N773" s="640">
        <f t="shared" si="314"/>
        <v>0</v>
      </c>
      <c r="O773" s="640">
        <f t="shared" si="311"/>
        <v>0</v>
      </c>
      <c r="P773" s="640">
        <f t="shared" si="312"/>
        <v>0</v>
      </c>
      <c r="Q773" s="597"/>
      <c r="R773" s="597"/>
      <c r="S773" s="597"/>
      <c r="T773" s="597"/>
      <c r="U773" s="597"/>
      <c r="V773" s="597"/>
      <c r="W773" s="597"/>
      <c r="X773" s="597"/>
      <c r="Y773" s="597"/>
      <c r="Z773" s="597"/>
    </row>
    <row r="774" spans="1:26" ht="18.75" hidden="1">
      <c r="A774" s="592"/>
      <c r="B774" s="600"/>
      <c r="C774" s="750"/>
      <c r="D774" s="711"/>
      <c r="E774" s="750" t="s">
        <v>184</v>
      </c>
      <c r="F774" s="750"/>
      <c r="G774" s="596"/>
      <c r="H774" s="165" t="s">
        <v>12</v>
      </c>
      <c r="I774" s="610"/>
      <c r="J774" s="610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597"/>
      <c r="R774" s="597"/>
      <c r="S774" s="597"/>
      <c r="T774" s="597"/>
      <c r="U774" s="597"/>
      <c r="V774" s="597"/>
      <c r="W774" s="597"/>
      <c r="X774" s="597"/>
      <c r="Y774" s="597"/>
      <c r="Z774" s="597"/>
    </row>
    <row r="775" spans="1:26" ht="18.75" hidden="1">
      <c r="A775" s="592"/>
      <c r="B775" s="600"/>
      <c r="C775" s="750"/>
      <c r="D775" s="711"/>
      <c r="E775" s="750" t="s">
        <v>185</v>
      </c>
      <c r="F775" s="750"/>
      <c r="G775" s="596"/>
      <c r="H775" s="165" t="s">
        <v>12</v>
      </c>
      <c r="I775" s="610"/>
      <c r="J775" s="610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597"/>
      <c r="R775" s="597"/>
      <c r="S775" s="597"/>
      <c r="T775" s="597"/>
      <c r="U775" s="597"/>
      <c r="V775" s="597"/>
      <c r="W775" s="597"/>
      <c r="X775" s="597"/>
      <c r="Y775" s="597"/>
      <c r="Z775" s="597"/>
    </row>
    <row r="776" spans="1:26" ht="18.75" hidden="1">
      <c r="A776" s="642"/>
      <c r="B776" s="600"/>
      <c r="C776" s="750"/>
      <c r="D776" s="750"/>
      <c r="E776" s="750"/>
      <c r="F776" s="750" t="s">
        <v>186</v>
      </c>
      <c r="G776" s="596"/>
      <c r="H776" s="165" t="s">
        <v>12</v>
      </c>
      <c r="I776" s="610"/>
      <c r="J776" s="610"/>
      <c r="K776" s="93"/>
      <c r="L776" s="93"/>
      <c r="M776" s="93"/>
      <c r="N776" s="93"/>
      <c r="O776" s="93"/>
      <c r="P776" s="93"/>
      <c r="Q776" s="597"/>
      <c r="R776" s="597"/>
      <c r="S776" s="597"/>
      <c r="T776" s="597"/>
      <c r="U776" s="597"/>
      <c r="V776" s="597"/>
      <c r="W776" s="597"/>
      <c r="X776" s="597"/>
      <c r="Y776" s="597"/>
      <c r="Z776" s="597"/>
    </row>
    <row r="777" spans="1:26" ht="18.75" hidden="1">
      <c r="A777" s="642"/>
      <c r="B777" s="600"/>
      <c r="C777" s="750"/>
      <c r="D777" s="750"/>
      <c r="E777" s="750"/>
      <c r="F777" s="750" t="s">
        <v>187</v>
      </c>
      <c r="G777" s="596"/>
      <c r="H777" s="165" t="s">
        <v>12</v>
      </c>
      <c r="I777" s="610"/>
      <c r="J777" s="610"/>
      <c r="K777" s="93"/>
      <c r="L777" s="93"/>
      <c r="M777" s="93"/>
      <c r="N777" s="93"/>
      <c r="O777" s="93"/>
      <c r="P777" s="93"/>
      <c r="Q777" s="597"/>
      <c r="R777" s="597"/>
      <c r="S777" s="597"/>
      <c r="T777" s="597"/>
      <c r="U777" s="597"/>
      <c r="V777" s="597"/>
      <c r="W777" s="597"/>
      <c r="X777" s="597"/>
      <c r="Y777" s="597"/>
      <c r="Z777" s="597"/>
    </row>
    <row r="778" spans="1:26" ht="18.75" hidden="1">
      <c r="A778" s="642"/>
      <c r="B778" s="600"/>
      <c r="C778" s="750"/>
      <c r="D778" s="750"/>
      <c r="E778" s="750"/>
      <c r="F778" s="750" t="s">
        <v>188</v>
      </c>
      <c r="G778" s="596"/>
      <c r="H778" s="165" t="s">
        <v>12</v>
      </c>
      <c r="I778" s="610"/>
      <c r="J778" s="610"/>
      <c r="K778" s="93"/>
      <c r="L778" s="93"/>
      <c r="M778" s="93"/>
      <c r="N778" s="93"/>
      <c r="O778" s="93"/>
      <c r="P778" s="93"/>
      <c r="Q778" s="597"/>
      <c r="R778" s="597"/>
      <c r="S778" s="597"/>
      <c r="T778" s="597"/>
      <c r="U778" s="597"/>
      <c r="V778" s="597"/>
      <c r="W778" s="597"/>
      <c r="X778" s="597"/>
      <c r="Y778" s="597"/>
      <c r="Z778" s="597"/>
    </row>
    <row r="779" spans="1:26" ht="18.75" hidden="1">
      <c r="A779" s="642"/>
      <c r="B779" s="600"/>
      <c r="C779" s="750"/>
      <c r="D779" s="750"/>
      <c r="E779" s="750"/>
      <c r="F779" s="750" t="s">
        <v>189</v>
      </c>
      <c r="G779" s="596"/>
      <c r="H779" s="165" t="s">
        <v>12</v>
      </c>
      <c r="I779" s="610"/>
      <c r="J779" s="610"/>
      <c r="K779" s="93"/>
      <c r="L779" s="93"/>
      <c r="M779" s="93"/>
      <c r="N779" s="93"/>
      <c r="O779" s="93"/>
      <c r="P779" s="93"/>
      <c r="Q779" s="597"/>
      <c r="R779" s="597"/>
      <c r="S779" s="597"/>
      <c r="T779" s="597"/>
      <c r="U779" s="597"/>
      <c r="V779" s="597"/>
      <c r="W779" s="597"/>
      <c r="X779" s="597"/>
      <c r="Y779" s="597"/>
      <c r="Z779" s="597"/>
    </row>
    <row r="780" spans="1:26" ht="19.5" hidden="1">
      <c r="A780" s="592"/>
      <c r="B780" s="600"/>
      <c r="C780" s="750"/>
      <c r="D780" s="638" t="s">
        <v>21</v>
      </c>
      <c r="E780" s="750"/>
      <c r="F780" s="750"/>
      <c r="G780" s="596"/>
      <c r="H780" s="774" t="s">
        <v>12</v>
      </c>
      <c r="I780" s="166"/>
      <c r="J780" s="166"/>
      <c r="K780" s="167"/>
      <c r="L780" s="640">
        <f t="shared" ref="L780:N780" si="315">L781+L782</f>
        <v>0</v>
      </c>
      <c r="M780" s="640">
        <f t="shared" si="315"/>
        <v>0</v>
      </c>
      <c r="N780" s="640">
        <f t="shared" si="315"/>
        <v>0</v>
      </c>
      <c r="O780" s="640">
        <f t="shared" ref="O780:O782" si="316">IF(L780&gt;0,N780*100/L780,0)</f>
        <v>0</v>
      </c>
      <c r="P780" s="640">
        <f t="shared" ref="P780:P782" si="317">IF(M780&gt;0,N780*100/M780,0)</f>
        <v>0</v>
      </c>
      <c r="Q780" s="597"/>
      <c r="R780" s="597"/>
      <c r="S780" s="597"/>
      <c r="T780" s="597"/>
      <c r="U780" s="597"/>
      <c r="V780" s="597"/>
      <c r="W780" s="597"/>
      <c r="X780" s="597"/>
      <c r="Y780" s="597"/>
      <c r="Z780" s="597"/>
    </row>
    <row r="781" spans="1:26" ht="18.75" hidden="1">
      <c r="A781" s="592"/>
      <c r="B781" s="600"/>
      <c r="C781" s="750"/>
      <c r="D781" s="750"/>
      <c r="E781" s="750" t="s">
        <v>18</v>
      </c>
      <c r="F781" s="750"/>
      <c r="G781" s="596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597"/>
      <c r="R781" s="597"/>
      <c r="S781" s="597"/>
      <c r="T781" s="597"/>
      <c r="U781" s="597"/>
      <c r="V781" s="597"/>
      <c r="W781" s="597"/>
      <c r="X781" s="597"/>
      <c r="Y781" s="597"/>
      <c r="Z781" s="597"/>
    </row>
    <row r="782" spans="1:26" ht="18.75" hidden="1">
      <c r="A782" s="592"/>
      <c r="B782" s="600"/>
      <c r="C782" s="750"/>
      <c r="D782" s="750"/>
      <c r="E782" s="750" t="s">
        <v>19</v>
      </c>
      <c r="F782" s="750"/>
      <c r="G782" s="596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597"/>
      <c r="R782" s="597"/>
      <c r="S782" s="597"/>
      <c r="T782" s="597"/>
      <c r="U782" s="597"/>
      <c r="V782" s="597"/>
      <c r="W782" s="597"/>
      <c r="X782" s="597"/>
      <c r="Y782" s="597"/>
      <c r="Z782" s="597"/>
    </row>
    <row r="783" spans="1:26" ht="19.5" hidden="1">
      <c r="A783" s="607"/>
      <c r="B783" s="609"/>
      <c r="C783" s="750" t="s">
        <v>16</v>
      </c>
      <c r="D783" s="841" t="s">
        <v>38</v>
      </c>
      <c r="E783" s="644"/>
      <c r="F783" s="644"/>
      <c r="G783" s="645"/>
      <c r="H783" s="792"/>
      <c r="I783" s="166"/>
      <c r="J783" s="166"/>
      <c r="K783" s="167"/>
      <c r="L783" s="167"/>
      <c r="M783" s="167"/>
      <c r="N783" s="167"/>
      <c r="O783" s="167"/>
      <c r="P783" s="167"/>
      <c r="Q783" s="597"/>
      <c r="R783" s="597"/>
      <c r="S783" s="597"/>
      <c r="T783" s="597"/>
      <c r="U783" s="597"/>
      <c r="V783" s="597"/>
      <c r="W783" s="597"/>
      <c r="X783" s="597"/>
      <c r="Y783" s="597"/>
      <c r="Z783" s="597"/>
    </row>
    <row r="784" spans="1:26" ht="18.75" hidden="1">
      <c r="A784" s="642"/>
      <c r="B784" s="600"/>
      <c r="C784" s="750"/>
      <c r="D784" s="750"/>
      <c r="E784" s="750" t="s">
        <v>318</v>
      </c>
      <c r="F784" s="750"/>
      <c r="G784" s="596"/>
      <c r="H784" s="165" t="s">
        <v>46</v>
      </c>
      <c r="I784" s="610"/>
      <c r="J784" s="610"/>
      <c r="K784" s="93"/>
      <c r="L784" s="93"/>
      <c r="M784" s="93"/>
      <c r="N784" s="93"/>
      <c r="O784" s="93"/>
      <c r="P784" s="93"/>
      <c r="Q784" s="597"/>
      <c r="R784" s="597"/>
      <c r="S784" s="597"/>
      <c r="T784" s="597"/>
      <c r="U784" s="597"/>
      <c r="V784" s="597"/>
      <c r="W784" s="597"/>
      <c r="X784" s="597"/>
      <c r="Y784" s="597"/>
      <c r="Z784" s="597"/>
    </row>
    <row r="785" spans="1:26" ht="19.5" hidden="1">
      <c r="A785" s="793">
        <v>12</v>
      </c>
      <c r="B785" s="794" t="s">
        <v>319</v>
      </c>
      <c r="C785" s="795"/>
      <c r="D785" s="795"/>
      <c r="E785" s="795"/>
      <c r="F785" s="795"/>
      <c r="G785" s="796"/>
      <c r="H785" s="797" t="s">
        <v>46</v>
      </c>
      <c r="I785" s="798">
        <f t="shared" ref="I785:J785" ca="1" si="318">I800</f>
        <v>0</v>
      </c>
      <c r="J785" s="799">
        <f t="shared" ca="1" si="318"/>
        <v>0</v>
      </c>
      <c r="K785" s="800">
        <f ca="1">IF(I785&gt;0,J785*100/I785,0)</f>
        <v>0</v>
      </c>
      <c r="L785" s="801"/>
      <c r="M785" s="801"/>
      <c r="N785" s="801"/>
      <c r="O785" s="801"/>
      <c r="P785" s="801"/>
      <c r="Q785" s="571"/>
      <c r="R785" s="571"/>
      <c r="S785" s="571"/>
      <c r="T785" s="571"/>
      <c r="U785" s="571"/>
      <c r="V785" s="571"/>
      <c r="W785" s="571"/>
      <c r="X785" s="571"/>
      <c r="Y785" s="571"/>
      <c r="Z785" s="571"/>
    </row>
    <row r="786" spans="1:26" ht="19.5" hidden="1">
      <c r="A786" s="590"/>
      <c r="B786" s="568"/>
      <c r="C786" s="754" t="s">
        <v>16</v>
      </c>
      <c r="D786" s="863" t="s">
        <v>17</v>
      </c>
      <c r="E786" s="857"/>
      <c r="F786" s="857"/>
      <c r="G786" s="189"/>
      <c r="H786" s="591" t="s">
        <v>12</v>
      </c>
      <c r="I786" s="269"/>
      <c r="J786" s="269"/>
      <c r="K786" s="496"/>
      <c r="L786" s="195">
        <f t="shared" ref="L786:N786" ca="1" si="319">L787+L788</f>
        <v>0</v>
      </c>
      <c r="M786" s="195">
        <f t="shared" si="319"/>
        <v>0</v>
      </c>
      <c r="N786" s="195">
        <f t="shared" si="319"/>
        <v>0</v>
      </c>
      <c r="O786" s="195">
        <f t="shared" ref="O786:O791" ca="1" si="320">IF(L786&gt;0,N786*100/L786,0)</f>
        <v>0</v>
      </c>
      <c r="P786" s="195">
        <f t="shared" ref="P786:P791" si="321">IF(M786&gt;0,N786*100/M786,0)</f>
        <v>0</v>
      </c>
      <c r="Q786" s="571"/>
      <c r="R786" s="571"/>
      <c r="S786" s="571"/>
      <c r="T786" s="571"/>
      <c r="U786" s="571"/>
      <c r="V786" s="571"/>
      <c r="W786" s="571"/>
      <c r="X786" s="571"/>
      <c r="Y786" s="571"/>
      <c r="Z786" s="571"/>
    </row>
    <row r="787" spans="1:26" ht="18.75" hidden="1">
      <c r="A787" s="592"/>
      <c r="B787" s="600"/>
      <c r="C787" s="750"/>
      <c r="D787" s="711"/>
      <c r="E787" s="750" t="s">
        <v>184</v>
      </c>
      <c r="F787" s="750"/>
      <c r="G787" s="596"/>
      <c r="H787" s="165" t="s">
        <v>12</v>
      </c>
      <c r="I787" s="610"/>
      <c r="J787" s="610"/>
      <c r="K787" s="93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597"/>
      <c r="R787" s="597"/>
      <c r="S787" s="597"/>
      <c r="T787" s="597"/>
      <c r="U787" s="597"/>
      <c r="V787" s="597"/>
      <c r="W787" s="597"/>
      <c r="X787" s="597"/>
      <c r="Y787" s="597"/>
      <c r="Z787" s="597"/>
    </row>
    <row r="788" spans="1:26" ht="18.75" hidden="1">
      <c r="A788" s="592"/>
      <c r="B788" s="600"/>
      <c r="C788" s="600"/>
      <c r="D788" s="609"/>
      <c r="E788" s="750" t="s">
        <v>185</v>
      </c>
      <c r="F788" s="750"/>
      <c r="G788" s="596"/>
      <c r="H788" s="165" t="s">
        <v>12</v>
      </c>
      <c r="I788" s="610"/>
      <c r="J788" s="610"/>
      <c r="K788" s="93"/>
      <c r="L788" s="93">
        <f t="shared" ca="1" si="322"/>
        <v>0</v>
      </c>
      <c r="M788" s="93">
        <f t="shared" si="322"/>
        <v>0</v>
      </c>
      <c r="N788" s="93">
        <f t="shared" si="322"/>
        <v>0</v>
      </c>
      <c r="O788" s="93">
        <f t="shared" ca="1" si="320"/>
        <v>0</v>
      </c>
      <c r="P788" s="93">
        <f t="shared" si="321"/>
        <v>0</v>
      </c>
      <c r="Q788" s="597"/>
      <c r="R788" s="597"/>
      <c r="S788" s="597"/>
      <c r="T788" s="597"/>
      <c r="U788" s="597"/>
      <c r="V788" s="597"/>
      <c r="W788" s="597"/>
      <c r="X788" s="597"/>
      <c r="Y788" s="597"/>
      <c r="Z788" s="597"/>
    </row>
    <row r="789" spans="1:26" ht="18.75" hidden="1">
      <c r="A789" s="590"/>
      <c r="B789" s="568"/>
      <c r="C789" s="568"/>
      <c r="D789" s="599" t="s">
        <v>20</v>
      </c>
      <c r="E789" s="754"/>
      <c r="F789" s="754"/>
      <c r="G789" s="189"/>
      <c r="H789" s="161" t="s">
        <v>12</v>
      </c>
      <c r="I789" s="184"/>
      <c r="J789" s="184"/>
      <c r="K789" s="163"/>
      <c r="L789" s="496">
        <f t="shared" ref="L789:N789" ca="1" si="323">L790+L791</f>
        <v>0</v>
      </c>
      <c r="M789" s="496">
        <f t="shared" si="323"/>
        <v>0</v>
      </c>
      <c r="N789" s="496">
        <f t="shared" si="323"/>
        <v>0</v>
      </c>
      <c r="O789" s="496">
        <f t="shared" ca="1" si="320"/>
        <v>0</v>
      </c>
      <c r="P789" s="496">
        <f t="shared" si="321"/>
        <v>0</v>
      </c>
      <c r="Q789" s="571"/>
      <c r="R789" s="571"/>
      <c r="S789" s="571"/>
      <c r="T789" s="571"/>
      <c r="U789" s="571"/>
      <c r="V789" s="571"/>
      <c r="W789" s="571"/>
      <c r="X789" s="571"/>
      <c r="Y789" s="571"/>
      <c r="Z789" s="571"/>
    </row>
    <row r="790" spans="1:26" ht="18.75" hidden="1">
      <c r="A790" s="592"/>
      <c r="B790" s="600"/>
      <c r="C790" s="600"/>
      <c r="D790" s="609"/>
      <c r="E790" s="750" t="s">
        <v>184</v>
      </c>
      <c r="F790" s="750"/>
      <c r="G790" s="596"/>
      <c r="H790" s="165" t="s">
        <v>12</v>
      </c>
      <c r="I790" s="610"/>
      <c r="J790" s="610"/>
      <c r="K790" s="93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597"/>
      <c r="R790" s="597"/>
      <c r="S790" s="597"/>
      <c r="T790" s="597"/>
      <c r="U790" s="597"/>
      <c r="V790" s="597"/>
      <c r="W790" s="597"/>
      <c r="X790" s="597"/>
      <c r="Y790" s="597"/>
      <c r="Z790" s="597"/>
    </row>
    <row r="791" spans="1:26" ht="18.75" hidden="1">
      <c r="A791" s="592"/>
      <c r="B791" s="600"/>
      <c r="C791" s="600"/>
      <c r="D791" s="609"/>
      <c r="E791" s="750" t="s">
        <v>185</v>
      </c>
      <c r="F791" s="750"/>
      <c r="G791" s="596"/>
      <c r="H791" s="165" t="s">
        <v>12</v>
      </c>
      <c r="I791" s="610"/>
      <c r="J791" s="610"/>
      <c r="K791" s="93"/>
      <c r="L791" s="93">
        <f ca="1">IFERROR(__xludf.DUMMYFUNCTION("IMPORTRANGE(""https://docs.google.com/spreadsheets/d/1QqKyyYR6Q21VydFLVH3TRQUabQu_ym0Zz7PgGX0-kHA/edit?usp=sharing"",""แผน!JJ53"")"),0)</f>
        <v>0</v>
      </c>
      <c r="M791" s="93">
        <v>0</v>
      </c>
      <c r="N791" s="93">
        <f>N792+N793+N794+N795</f>
        <v>0</v>
      </c>
      <c r="O791" s="93">
        <f t="shared" ca="1" si="320"/>
        <v>0</v>
      </c>
      <c r="P791" s="93">
        <f t="shared" si="321"/>
        <v>0</v>
      </c>
      <c r="Q791" s="597"/>
      <c r="R791" s="597"/>
      <c r="S791" s="597"/>
      <c r="T791" s="597"/>
      <c r="U791" s="597"/>
      <c r="V791" s="597"/>
      <c r="W791" s="597"/>
      <c r="X791" s="597"/>
      <c r="Y791" s="597"/>
      <c r="Z791" s="597"/>
    </row>
    <row r="792" spans="1:26" ht="18.75" hidden="1">
      <c r="A792" s="567"/>
      <c r="B792" s="568"/>
      <c r="C792" s="754"/>
      <c r="D792" s="754"/>
      <c r="E792" s="754"/>
      <c r="F792" s="754" t="s">
        <v>186</v>
      </c>
      <c r="G792" s="189"/>
      <c r="H792" s="161" t="s">
        <v>12</v>
      </c>
      <c r="I792" s="269"/>
      <c r="J792" s="269"/>
      <c r="K792" s="496"/>
      <c r="L792" s="496"/>
      <c r="M792" s="496"/>
      <c r="N792" s="817">
        <v>0</v>
      </c>
      <c r="O792" s="496"/>
      <c r="P792" s="496"/>
      <c r="Q792" s="571"/>
      <c r="R792" s="571"/>
      <c r="S792" s="571"/>
      <c r="T792" s="571"/>
      <c r="U792" s="571"/>
      <c r="V792" s="571"/>
      <c r="W792" s="571"/>
      <c r="X792" s="571"/>
      <c r="Y792" s="571"/>
      <c r="Z792" s="571"/>
    </row>
    <row r="793" spans="1:26" ht="18.75" hidden="1">
      <c r="A793" s="567"/>
      <c r="B793" s="568"/>
      <c r="C793" s="754"/>
      <c r="D793" s="754"/>
      <c r="E793" s="754"/>
      <c r="F793" s="754" t="s">
        <v>187</v>
      </c>
      <c r="G793" s="189"/>
      <c r="H793" s="161" t="s">
        <v>12</v>
      </c>
      <c r="I793" s="269"/>
      <c r="J793" s="269"/>
      <c r="K793" s="496"/>
      <c r="L793" s="496"/>
      <c r="M793" s="496"/>
      <c r="N793" s="817">
        <v>0</v>
      </c>
      <c r="O793" s="496"/>
      <c r="P793" s="496"/>
      <c r="Q793" s="571"/>
      <c r="R793" s="571"/>
      <c r="S793" s="571"/>
      <c r="T793" s="571"/>
      <c r="U793" s="571"/>
      <c r="V793" s="571"/>
      <c r="W793" s="571"/>
      <c r="X793" s="571"/>
      <c r="Y793" s="571"/>
      <c r="Z793" s="571"/>
    </row>
    <row r="794" spans="1:26" ht="18.75" hidden="1">
      <c r="A794" s="567"/>
      <c r="B794" s="568"/>
      <c r="C794" s="754"/>
      <c r="D794" s="754"/>
      <c r="E794" s="754"/>
      <c r="F794" s="754" t="s">
        <v>188</v>
      </c>
      <c r="G794" s="189"/>
      <c r="H794" s="161" t="s">
        <v>12</v>
      </c>
      <c r="I794" s="269"/>
      <c r="J794" s="269"/>
      <c r="K794" s="496"/>
      <c r="L794" s="496"/>
      <c r="M794" s="496"/>
      <c r="N794" s="817">
        <v>0</v>
      </c>
      <c r="O794" s="496"/>
      <c r="P794" s="496"/>
      <c r="Q794" s="571"/>
      <c r="R794" s="571"/>
      <c r="S794" s="571"/>
      <c r="T794" s="571"/>
      <c r="U794" s="571"/>
      <c r="V794" s="571"/>
      <c r="W794" s="571"/>
      <c r="X794" s="571"/>
      <c r="Y794" s="571"/>
      <c r="Z794" s="571"/>
    </row>
    <row r="795" spans="1:26" ht="18.75" hidden="1">
      <c r="A795" s="567"/>
      <c r="B795" s="568"/>
      <c r="C795" s="754"/>
      <c r="D795" s="754"/>
      <c r="E795" s="754"/>
      <c r="F795" s="754" t="s">
        <v>189</v>
      </c>
      <c r="G795" s="189"/>
      <c r="H795" s="161" t="s">
        <v>12</v>
      </c>
      <c r="I795" s="269"/>
      <c r="J795" s="269"/>
      <c r="K795" s="496"/>
      <c r="L795" s="496"/>
      <c r="M795" s="496"/>
      <c r="N795" s="817">
        <v>0</v>
      </c>
      <c r="O795" s="496"/>
      <c r="P795" s="496"/>
      <c r="Q795" s="571"/>
      <c r="R795" s="571"/>
      <c r="S795" s="571"/>
      <c r="T795" s="571"/>
      <c r="U795" s="571"/>
      <c r="V795" s="571"/>
      <c r="W795" s="571"/>
      <c r="X795" s="571"/>
      <c r="Y795" s="571"/>
      <c r="Z795" s="571"/>
    </row>
    <row r="796" spans="1:26" ht="18.75" hidden="1">
      <c r="A796" s="590"/>
      <c r="B796" s="568"/>
      <c r="C796" s="754"/>
      <c r="D796" s="599" t="s">
        <v>21</v>
      </c>
      <c r="E796" s="754"/>
      <c r="F796" s="754"/>
      <c r="G796" s="189"/>
      <c r="H796" s="168" t="s">
        <v>12</v>
      </c>
      <c r="I796" s="184"/>
      <c r="J796" s="184"/>
      <c r="K796" s="163"/>
      <c r="L796" s="496">
        <f t="shared" ref="L796:N796" si="324">L797+L798</f>
        <v>0</v>
      </c>
      <c r="M796" s="496">
        <f t="shared" si="324"/>
        <v>0</v>
      </c>
      <c r="N796" s="496">
        <f t="shared" si="324"/>
        <v>0</v>
      </c>
      <c r="O796" s="496">
        <f t="shared" ref="O796:O798" si="325">IF(L796&gt;0,N796*100/L796,0)</f>
        <v>0</v>
      </c>
      <c r="P796" s="496">
        <f t="shared" ref="P796:P798" si="326">IF(M796&gt;0,N796*100/M796,0)</f>
        <v>0</v>
      </c>
      <c r="Q796" s="571"/>
      <c r="R796" s="571"/>
      <c r="S796" s="571"/>
      <c r="T796" s="571"/>
      <c r="U796" s="571"/>
      <c r="V796" s="571"/>
      <c r="W796" s="571"/>
      <c r="X796" s="571"/>
      <c r="Y796" s="571"/>
      <c r="Z796" s="571"/>
    </row>
    <row r="797" spans="1:26" ht="18.75" hidden="1">
      <c r="A797" s="592"/>
      <c r="B797" s="600"/>
      <c r="C797" s="750"/>
      <c r="D797" s="750"/>
      <c r="E797" s="750" t="s">
        <v>18</v>
      </c>
      <c r="F797" s="750"/>
      <c r="G797" s="596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597"/>
      <c r="R797" s="597"/>
      <c r="S797" s="597"/>
      <c r="T797" s="597"/>
      <c r="U797" s="597"/>
      <c r="V797" s="597"/>
      <c r="W797" s="597"/>
      <c r="X797" s="597"/>
      <c r="Y797" s="597"/>
      <c r="Z797" s="597"/>
    </row>
    <row r="798" spans="1:26" ht="18.75" hidden="1">
      <c r="A798" s="592"/>
      <c r="B798" s="600"/>
      <c r="C798" s="750"/>
      <c r="D798" s="750"/>
      <c r="E798" s="750" t="s">
        <v>19</v>
      </c>
      <c r="F798" s="750"/>
      <c r="G798" s="596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597"/>
      <c r="R798" s="597"/>
      <c r="S798" s="597"/>
      <c r="T798" s="597"/>
      <c r="U798" s="597"/>
      <c r="V798" s="597"/>
      <c r="W798" s="597"/>
      <c r="X798" s="597"/>
      <c r="Y798" s="597"/>
      <c r="Z798" s="597"/>
    </row>
    <row r="799" spans="1:26" ht="19.5" hidden="1">
      <c r="A799" s="601"/>
      <c r="B799" s="611"/>
      <c r="C799" s="754" t="s">
        <v>16</v>
      </c>
      <c r="D799" s="840" t="s">
        <v>38</v>
      </c>
      <c r="E799" s="752"/>
      <c r="F799" s="752"/>
      <c r="G799" s="606"/>
      <c r="H799" s="802"/>
      <c r="I799" s="184"/>
      <c r="J799" s="184"/>
      <c r="K799" s="163"/>
      <c r="L799" s="163"/>
      <c r="M799" s="163"/>
      <c r="N799" s="163"/>
      <c r="O799" s="163"/>
      <c r="P799" s="163"/>
      <c r="Q799" s="571"/>
      <c r="R799" s="571"/>
      <c r="S799" s="571"/>
      <c r="T799" s="571"/>
      <c r="U799" s="571"/>
      <c r="V799" s="571"/>
      <c r="W799" s="571"/>
      <c r="X799" s="571"/>
      <c r="Y799" s="571"/>
      <c r="Z799" s="571"/>
    </row>
    <row r="800" spans="1:26" ht="18.75" hidden="1">
      <c r="A800" s="601"/>
      <c r="B800" s="611"/>
      <c r="C800" s="611"/>
      <c r="D800" s="611"/>
      <c r="E800" s="619"/>
      <c r="F800" s="619" t="s">
        <v>320</v>
      </c>
      <c r="G800" s="753"/>
      <c r="H800" s="185" t="s">
        <v>46</v>
      </c>
      <c r="I800" s="184">
        <f ca="1">IFERROR(__xludf.DUMMYFUNCTION("IMPORTRANGE(""https://docs.google.com/spreadsheets/d/1QqKyyYR6Q21VydFLVH3TRQUabQu_ym0Zz7PgGX0-kHA/edit?usp=sharing"",""แผน!JN53"")"),0)</f>
        <v>0</v>
      </c>
      <c r="J800" s="184">
        <f ca="1">IFERROR(__xludf.DUMMYFUNCTION("IMPORTRANGE(""https://docs.google.com/spreadsheets/d/1MaWodYyGHDf7siQLGxnXhG4mBNTNIuy296niS2xXulU/edit?usp=sharing"",""RTK!H53"")"),0)</f>
        <v>0</v>
      </c>
      <c r="K800" s="496">
        <f ca="1">IF(I800&gt;0,J800*100/I800,0)</f>
        <v>0</v>
      </c>
      <c r="L800" s="496"/>
      <c r="M800" s="496"/>
      <c r="N800" s="496"/>
      <c r="O800" s="163"/>
      <c r="P800" s="163"/>
      <c r="Q800" s="571"/>
      <c r="R800" s="571"/>
      <c r="S800" s="571"/>
      <c r="T800" s="571"/>
      <c r="U800" s="571"/>
      <c r="V800" s="571"/>
      <c r="W800" s="571"/>
      <c r="X800" s="571"/>
      <c r="Y800" s="571"/>
      <c r="Z800" s="571"/>
    </row>
    <row r="801" spans="1:26" ht="18.75" hidden="1">
      <c r="A801" s="601"/>
      <c r="B801" s="611"/>
      <c r="C801" s="611"/>
      <c r="D801" s="611"/>
      <c r="E801" s="619"/>
      <c r="F801" s="619"/>
      <c r="G801" s="753"/>
      <c r="H801" s="161" t="s">
        <v>34</v>
      </c>
      <c r="I801" s="184"/>
      <c r="J801" s="269">
        <f ca="1">IFERROR(__xludf.DUMMYFUNCTION("IMPORTRANGE(""https://docs.google.com/spreadsheets/d/1MaWodYyGHDf7siQLGxnXhG4mBNTNIuy296niS2xXulU/edit?usp=sharing"",""RTK!I53"")"),0)</f>
        <v>0</v>
      </c>
      <c r="K801" s="496"/>
      <c r="L801" s="496"/>
      <c r="M801" s="496"/>
      <c r="N801" s="496"/>
      <c r="O801" s="163"/>
      <c r="P801" s="163"/>
      <c r="Q801" s="571"/>
      <c r="R801" s="571"/>
      <c r="S801" s="571"/>
      <c r="T801" s="571"/>
      <c r="U801" s="571"/>
      <c r="V801" s="571"/>
      <c r="W801" s="571"/>
      <c r="X801" s="571"/>
      <c r="Y801" s="571"/>
      <c r="Z801" s="571"/>
    </row>
    <row r="802" spans="1:26" ht="18.75" hidden="1">
      <c r="A802" s="607"/>
      <c r="B802" s="609"/>
      <c r="C802" s="609"/>
      <c r="D802" s="609"/>
      <c r="E802" s="711"/>
      <c r="F802" s="711" t="s">
        <v>321</v>
      </c>
      <c r="G802" s="365"/>
      <c r="H802" s="646" t="s">
        <v>46</v>
      </c>
      <c r="I802" s="166"/>
      <c r="J802" s="610"/>
      <c r="K802" s="167">
        <f>IF(I802&gt;0,J802*100/I802,0)</f>
        <v>0</v>
      </c>
      <c r="L802" s="167"/>
      <c r="M802" s="167"/>
      <c r="N802" s="167"/>
      <c r="O802" s="167"/>
      <c r="P802" s="167"/>
      <c r="Q802" s="597"/>
      <c r="R802" s="597"/>
      <c r="S802" s="597"/>
      <c r="T802" s="597"/>
      <c r="U802" s="597"/>
      <c r="V802" s="597"/>
      <c r="W802" s="597"/>
      <c r="X802" s="597"/>
      <c r="Y802" s="597"/>
      <c r="Z802" s="597"/>
    </row>
    <row r="803" spans="1:26" ht="18.75" hidden="1">
      <c r="A803" s="607"/>
      <c r="B803" s="609"/>
      <c r="C803" s="609"/>
      <c r="D803" s="609"/>
      <c r="E803" s="711"/>
      <c r="F803" s="711"/>
      <c r="G803" s="365"/>
      <c r="H803" s="646" t="s">
        <v>34</v>
      </c>
      <c r="I803" s="166"/>
      <c r="J803" s="610"/>
      <c r="K803" s="167"/>
      <c r="L803" s="167"/>
      <c r="M803" s="167"/>
      <c r="N803" s="167"/>
      <c r="O803" s="167"/>
      <c r="P803" s="167"/>
      <c r="Q803" s="597"/>
      <c r="R803" s="597"/>
      <c r="S803" s="597"/>
      <c r="T803" s="597"/>
      <c r="U803" s="597"/>
      <c r="V803" s="597"/>
      <c r="W803" s="597"/>
      <c r="X803" s="597"/>
      <c r="Y803" s="597"/>
      <c r="Z803" s="597"/>
    </row>
    <row r="804" spans="1:26" ht="19.5" hidden="1">
      <c r="A804" s="784">
        <v>13</v>
      </c>
      <c r="B804" s="785" t="s">
        <v>322</v>
      </c>
      <c r="C804" s="786"/>
      <c r="D804" s="803"/>
      <c r="E804" s="786"/>
      <c r="F804" s="786"/>
      <c r="G804" s="787"/>
      <c r="H804" s="788" t="s">
        <v>46</v>
      </c>
      <c r="I804" s="789"/>
      <c r="J804" s="789">
        <f>J819</f>
        <v>0</v>
      </c>
      <c r="K804" s="790">
        <f>IF(I804&gt;0,J804*100/I804,0)</f>
        <v>0</v>
      </c>
      <c r="L804" s="791"/>
      <c r="M804" s="791"/>
      <c r="N804" s="791"/>
      <c r="O804" s="791"/>
      <c r="P804" s="791"/>
      <c r="Q804" s="597"/>
      <c r="R804" s="597"/>
      <c r="S804" s="597"/>
      <c r="T804" s="597"/>
      <c r="U804" s="597"/>
      <c r="V804" s="597"/>
      <c r="W804" s="597"/>
      <c r="X804" s="597"/>
      <c r="Y804" s="597"/>
      <c r="Z804" s="597"/>
    </row>
    <row r="805" spans="1:26" ht="19.5" hidden="1">
      <c r="A805" s="592"/>
      <c r="B805" s="750"/>
      <c r="C805" s="750" t="s">
        <v>16</v>
      </c>
      <c r="D805" s="864" t="s">
        <v>17</v>
      </c>
      <c r="E805" s="857"/>
      <c r="F805" s="857"/>
      <c r="G805" s="596"/>
      <c r="H805" s="639" t="s">
        <v>12</v>
      </c>
      <c r="I805" s="610"/>
      <c r="J805" s="610"/>
      <c r="K805" s="93"/>
      <c r="L805" s="640">
        <f t="shared" ref="L805:N805" si="327">L806+L807</f>
        <v>0</v>
      </c>
      <c r="M805" s="640">
        <f t="shared" si="327"/>
        <v>0</v>
      </c>
      <c r="N805" s="640">
        <f t="shared" si="327"/>
        <v>0</v>
      </c>
      <c r="O805" s="640">
        <f t="shared" ref="O805:O810" si="328">IF(L805&gt;0,N805*100/L805,0)</f>
        <v>0</v>
      </c>
      <c r="P805" s="640">
        <f t="shared" ref="P805:P810" si="329">IF(M805&gt;0,N805*100/M805,0)</f>
        <v>0</v>
      </c>
      <c r="Q805" s="597"/>
      <c r="R805" s="597"/>
      <c r="S805" s="597"/>
      <c r="T805" s="597"/>
      <c r="U805" s="597"/>
      <c r="V805" s="597"/>
      <c r="W805" s="597"/>
      <c r="X805" s="597"/>
      <c r="Y805" s="597"/>
      <c r="Z805" s="597"/>
    </row>
    <row r="806" spans="1:26" ht="18.75" hidden="1">
      <c r="A806" s="592"/>
      <c r="B806" s="750"/>
      <c r="C806" s="750"/>
      <c r="D806" s="609"/>
      <c r="E806" s="750" t="s">
        <v>184</v>
      </c>
      <c r="F806" s="750"/>
      <c r="G806" s="596"/>
      <c r="H806" s="165" t="s">
        <v>12</v>
      </c>
      <c r="I806" s="610"/>
      <c r="J806" s="610"/>
      <c r="K806" s="93"/>
      <c r="L806" s="93">
        <f t="shared" ref="L806:N807" si="330">L809+L816</f>
        <v>0</v>
      </c>
      <c r="M806" s="93">
        <f t="shared" si="330"/>
        <v>0</v>
      </c>
      <c r="N806" s="93">
        <f t="shared" si="330"/>
        <v>0</v>
      </c>
      <c r="O806" s="93">
        <f t="shared" si="328"/>
        <v>0</v>
      </c>
      <c r="P806" s="93">
        <f t="shared" si="329"/>
        <v>0</v>
      </c>
      <c r="Q806" s="597"/>
      <c r="R806" s="597"/>
      <c r="S806" s="597"/>
      <c r="T806" s="597"/>
      <c r="U806" s="597"/>
      <c r="V806" s="597"/>
      <c r="W806" s="597"/>
      <c r="X806" s="597"/>
      <c r="Y806" s="597"/>
      <c r="Z806" s="597"/>
    </row>
    <row r="807" spans="1:26" ht="18.75" hidden="1">
      <c r="A807" s="592"/>
      <c r="B807" s="750"/>
      <c r="C807" s="750"/>
      <c r="D807" s="609"/>
      <c r="E807" s="750" t="s">
        <v>185</v>
      </c>
      <c r="F807" s="750"/>
      <c r="G807" s="596"/>
      <c r="H807" s="165" t="s">
        <v>12</v>
      </c>
      <c r="I807" s="610"/>
      <c r="J807" s="610"/>
      <c r="K807" s="93"/>
      <c r="L807" s="93">
        <f t="shared" si="330"/>
        <v>0</v>
      </c>
      <c r="M807" s="93">
        <f t="shared" si="330"/>
        <v>0</v>
      </c>
      <c r="N807" s="93">
        <f t="shared" si="330"/>
        <v>0</v>
      </c>
      <c r="O807" s="93">
        <f t="shared" si="328"/>
        <v>0</v>
      </c>
      <c r="P807" s="93">
        <f t="shared" si="329"/>
        <v>0</v>
      </c>
      <c r="Q807" s="597"/>
      <c r="R807" s="597"/>
      <c r="S807" s="597"/>
      <c r="T807" s="597"/>
      <c r="U807" s="597"/>
      <c r="V807" s="597"/>
      <c r="W807" s="597"/>
      <c r="X807" s="597"/>
      <c r="Y807" s="597"/>
      <c r="Z807" s="597"/>
    </row>
    <row r="808" spans="1:26" ht="19.5" hidden="1">
      <c r="A808" s="592"/>
      <c r="B808" s="600"/>
      <c r="C808" s="750"/>
      <c r="D808" s="869" t="s">
        <v>20</v>
      </c>
      <c r="E808" s="857"/>
      <c r="F808" s="857"/>
      <c r="G808" s="596"/>
      <c r="H808" s="639" t="s">
        <v>12</v>
      </c>
      <c r="I808" s="166"/>
      <c r="J808" s="166"/>
      <c r="K808" s="167"/>
      <c r="L808" s="640">
        <f t="shared" ref="L808:N808" si="331">L809+L810</f>
        <v>0</v>
      </c>
      <c r="M808" s="640">
        <f t="shared" si="331"/>
        <v>0</v>
      </c>
      <c r="N808" s="640">
        <f t="shared" si="331"/>
        <v>0</v>
      </c>
      <c r="O808" s="640">
        <f t="shared" si="328"/>
        <v>0</v>
      </c>
      <c r="P808" s="640">
        <f t="shared" si="329"/>
        <v>0</v>
      </c>
      <c r="Q808" s="597"/>
      <c r="R808" s="597"/>
      <c r="S808" s="597"/>
      <c r="T808" s="597"/>
      <c r="U808" s="597"/>
      <c r="V808" s="597"/>
      <c r="W808" s="597"/>
      <c r="X808" s="597"/>
      <c r="Y808" s="597"/>
      <c r="Z808" s="597"/>
    </row>
    <row r="809" spans="1:26" ht="18.75" hidden="1">
      <c r="A809" s="592"/>
      <c r="B809" s="750"/>
      <c r="C809" s="750"/>
      <c r="D809" s="609"/>
      <c r="E809" s="750" t="s">
        <v>184</v>
      </c>
      <c r="F809" s="750"/>
      <c r="G809" s="596"/>
      <c r="H809" s="165" t="s">
        <v>12</v>
      </c>
      <c r="I809" s="610"/>
      <c r="J809" s="610"/>
      <c r="K809" s="93"/>
      <c r="L809" s="93">
        <v>0</v>
      </c>
      <c r="M809" s="93">
        <v>0</v>
      </c>
      <c r="N809" s="93">
        <v>0</v>
      </c>
      <c r="O809" s="93">
        <f t="shared" si="328"/>
        <v>0</v>
      </c>
      <c r="P809" s="93">
        <f t="shared" si="329"/>
        <v>0</v>
      </c>
      <c r="Q809" s="597"/>
      <c r="R809" s="597"/>
      <c r="S809" s="597"/>
      <c r="T809" s="597"/>
      <c r="U809" s="597"/>
      <c r="V809" s="597"/>
      <c r="W809" s="597"/>
      <c r="X809" s="597"/>
      <c r="Y809" s="597"/>
      <c r="Z809" s="597"/>
    </row>
    <row r="810" spans="1:26" ht="18.75" hidden="1">
      <c r="A810" s="592"/>
      <c r="B810" s="750"/>
      <c r="C810" s="750"/>
      <c r="D810" s="609"/>
      <c r="E810" s="750" t="s">
        <v>185</v>
      </c>
      <c r="F810" s="750"/>
      <c r="G810" s="596"/>
      <c r="H810" s="165" t="s">
        <v>12</v>
      </c>
      <c r="I810" s="610"/>
      <c r="J810" s="610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8"/>
        <v>0</v>
      </c>
      <c r="P810" s="93">
        <f t="shared" si="329"/>
        <v>0</v>
      </c>
      <c r="Q810" s="597"/>
      <c r="R810" s="597"/>
      <c r="S810" s="597"/>
      <c r="T810" s="597"/>
      <c r="U810" s="597"/>
      <c r="V810" s="597"/>
      <c r="W810" s="597"/>
      <c r="X810" s="597"/>
      <c r="Y810" s="597"/>
      <c r="Z810" s="597"/>
    </row>
    <row r="811" spans="1:26" ht="18.75" hidden="1">
      <c r="A811" s="642"/>
      <c r="B811" s="600"/>
      <c r="C811" s="750"/>
      <c r="D811" s="600"/>
      <c r="E811" s="750"/>
      <c r="F811" s="750" t="s">
        <v>186</v>
      </c>
      <c r="G811" s="596"/>
      <c r="H811" s="165" t="s">
        <v>12</v>
      </c>
      <c r="I811" s="610"/>
      <c r="J811" s="610"/>
      <c r="K811" s="93"/>
      <c r="L811" s="93"/>
      <c r="M811" s="93"/>
      <c r="N811" s="93"/>
      <c r="O811" s="93"/>
      <c r="P811" s="93"/>
      <c r="Q811" s="597"/>
      <c r="R811" s="597"/>
      <c r="S811" s="597"/>
      <c r="T811" s="597"/>
      <c r="U811" s="597"/>
      <c r="V811" s="597"/>
      <c r="W811" s="597"/>
      <c r="X811" s="597"/>
      <c r="Y811" s="597"/>
      <c r="Z811" s="597"/>
    </row>
    <row r="812" spans="1:26" ht="18.75" hidden="1">
      <c r="A812" s="642"/>
      <c r="B812" s="600"/>
      <c r="C812" s="750"/>
      <c r="D812" s="600"/>
      <c r="E812" s="750"/>
      <c r="F812" s="750" t="s">
        <v>187</v>
      </c>
      <c r="G812" s="596"/>
      <c r="H812" s="165" t="s">
        <v>12</v>
      </c>
      <c r="I812" s="610"/>
      <c r="J812" s="610"/>
      <c r="K812" s="93"/>
      <c r="L812" s="93"/>
      <c r="M812" s="93"/>
      <c r="N812" s="93"/>
      <c r="O812" s="93"/>
      <c r="P812" s="93"/>
      <c r="Q812" s="597"/>
      <c r="R812" s="597"/>
      <c r="S812" s="597"/>
      <c r="T812" s="597"/>
      <c r="U812" s="597"/>
      <c r="V812" s="597"/>
      <c r="W812" s="597"/>
      <c r="X812" s="597"/>
      <c r="Y812" s="597"/>
      <c r="Z812" s="597"/>
    </row>
    <row r="813" spans="1:26" ht="18.75" hidden="1">
      <c r="A813" s="642"/>
      <c r="B813" s="600"/>
      <c r="C813" s="750"/>
      <c r="D813" s="600"/>
      <c r="E813" s="750"/>
      <c r="F813" s="750" t="s">
        <v>188</v>
      </c>
      <c r="G813" s="596"/>
      <c r="H813" s="165" t="s">
        <v>12</v>
      </c>
      <c r="I813" s="610"/>
      <c r="J813" s="610"/>
      <c r="K813" s="93"/>
      <c r="L813" s="93"/>
      <c r="M813" s="93"/>
      <c r="N813" s="93"/>
      <c r="O813" s="93"/>
      <c r="P813" s="93"/>
      <c r="Q813" s="597"/>
      <c r="R813" s="597"/>
      <c r="S813" s="597"/>
      <c r="T813" s="597"/>
      <c r="U813" s="597"/>
      <c r="V813" s="597"/>
      <c r="W813" s="597"/>
      <c r="X813" s="597"/>
      <c r="Y813" s="597"/>
      <c r="Z813" s="597"/>
    </row>
    <row r="814" spans="1:26" ht="18.75" hidden="1">
      <c r="A814" s="642"/>
      <c r="B814" s="600"/>
      <c r="C814" s="750"/>
      <c r="D814" s="600"/>
      <c r="E814" s="750"/>
      <c r="F814" s="750" t="s">
        <v>189</v>
      </c>
      <c r="G814" s="596"/>
      <c r="H814" s="165" t="s">
        <v>12</v>
      </c>
      <c r="I814" s="610"/>
      <c r="J814" s="610"/>
      <c r="K814" s="93"/>
      <c r="L814" s="93"/>
      <c r="M814" s="93"/>
      <c r="N814" s="93"/>
      <c r="O814" s="93"/>
      <c r="P814" s="93"/>
      <c r="Q814" s="597"/>
      <c r="R814" s="597"/>
      <c r="S814" s="597"/>
      <c r="T814" s="597"/>
      <c r="U814" s="597"/>
      <c r="V814" s="597"/>
      <c r="W814" s="597"/>
      <c r="X814" s="597"/>
      <c r="Y814" s="597"/>
      <c r="Z814" s="597"/>
    </row>
    <row r="815" spans="1:26" ht="19.5" hidden="1">
      <c r="A815" s="592"/>
      <c r="B815" s="600"/>
      <c r="C815" s="750"/>
      <c r="D815" s="869" t="s">
        <v>21</v>
      </c>
      <c r="E815" s="857"/>
      <c r="F815" s="857"/>
      <c r="G815" s="596"/>
      <c r="H815" s="774" t="s">
        <v>12</v>
      </c>
      <c r="I815" s="166"/>
      <c r="J815" s="166"/>
      <c r="K815" s="167"/>
      <c r="L815" s="640">
        <f t="shared" ref="L815:N815" si="332">L816+L817</f>
        <v>0</v>
      </c>
      <c r="M815" s="640">
        <f t="shared" si="332"/>
        <v>0</v>
      </c>
      <c r="N815" s="640">
        <f t="shared" si="332"/>
        <v>0</v>
      </c>
      <c r="O815" s="640">
        <f t="shared" ref="O815:O817" si="333">IF(L815&gt;0,N815*100/L815,0)</f>
        <v>0</v>
      </c>
      <c r="P815" s="640">
        <f t="shared" ref="P815:P817" si="334">IF(M815&gt;0,N815*100/M815,0)</f>
        <v>0</v>
      </c>
      <c r="Q815" s="597"/>
      <c r="R815" s="597"/>
      <c r="S815" s="597"/>
      <c r="T815" s="597"/>
      <c r="U815" s="597"/>
      <c r="V815" s="597"/>
      <c r="W815" s="597"/>
      <c r="X815" s="597"/>
      <c r="Y815" s="597"/>
      <c r="Z815" s="597"/>
    </row>
    <row r="816" spans="1:26" ht="18.75" hidden="1">
      <c r="A816" s="592"/>
      <c r="B816" s="600"/>
      <c r="C816" s="750"/>
      <c r="D816" s="600"/>
      <c r="E816" s="750" t="s">
        <v>18</v>
      </c>
      <c r="F816" s="750"/>
      <c r="G816" s="596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3"/>
        <v>0</v>
      </c>
      <c r="P816" s="93">
        <f t="shared" si="334"/>
        <v>0</v>
      </c>
      <c r="Q816" s="597"/>
      <c r="R816" s="597"/>
      <c r="S816" s="597"/>
      <c r="T816" s="597"/>
      <c r="U816" s="597"/>
      <c r="V816" s="597"/>
      <c r="W816" s="597"/>
      <c r="X816" s="597"/>
      <c r="Y816" s="597"/>
      <c r="Z816" s="597"/>
    </row>
    <row r="817" spans="1:26" ht="18.75" hidden="1">
      <c r="A817" s="592"/>
      <c r="B817" s="600"/>
      <c r="C817" s="750"/>
      <c r="D817" s="600"/>
      <c r="E817" s="750" t="s">
        <v>19</v>
      </c>
      <c r="F817" s="750"/>
      <c r="G817" s="596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3"/>
        <v>0</v>
      </c>
      <c r="P817" s="93">
        <f t="shared" si="334"/>
        <v>0</v>
      </c>
      <c r="Q817" s="597"/>
      <c r="R817" s="597"/>
      <c r="S817" s="597"/>
      <c r="T817" s="597"/>
      <c r="U817" s="597"/>
      <c r="V817" s="597"/>
      <c r="W817" s="597"/>
      <c r="X817" s="597"/>
      <c r="Y817" s="597"/>
      <c r="Z817" s="597"/>
    </row>
    <row r="818" spans="1:26" ht="19.5" hidden="1">
      <c r="A818" s="607"/>
      <c r="B818" s="609"/>
      <c r="C818" s="750" t="s">
        <v>16</v>
      </c>
      <c r="D818" s="842" t="s">
        <v>38</v>
      </c>
      <c r="E818" s="644"/>
      <c r="F818" s="644"/>
      <c r="G818" s="645"/>
      <c r="H818" s="365"/>
      <c r="I818" s="166"/>
      <c r="J818" s="166"/>
      <c r="K818" s="167"/>
      <c r="L818" s="167"/>
      <c r="M818" s="167"/>
      <c r="N818" s="167"/>
      <c r="O818" s="167"/>
      <c r="P818" s="167"/>
      <c r="Q818" s="597"/>
      <c r="R818" s="597"/>
      <c r="S818" s="597"/>
      <c r="T818" s="597"/>
      <c r="U818" s="597"/>
      <c r="V818" s="597"/>
      <c r="W818" s="597"/>
      <c r="X818" s="597"/>
      <c r="Y818" s="597"/>
      <c r="Z818" s="597"/>
    </row>
    <row r="819" spans="1:26" ht="19.5" hidden="1" thickBot="1">
      <c r="A819" s="805"/>
      <c r="B819" s="806"/>
      <c r="C819" s="808"/>
      <c r="D819" s="806"/>
      <c r="E819" s="808" t="s">
        <v>323</v>
      </c>
      <c r="F819" s="808"/>
      <c r="G819" s="809"/>
      <c r="H819" s="810" t="s">
        <v>46</v>
      </c>
      <c r="I819" s="811"/>
      <c r="J819" s="811"/>
      <c r="K819" s="812"/>
      <c r="L819" s="812"/>
      <c r="M819" s="812"/>
      <c r="N819" s="812"/>
      <c r="O819" s="812"/>
      <c r="P819" s="812"/>
      <c r="Q819" s="597"/>
      <c r="R819" s="597"/>
      <c r="S819" s="597"/>
      <c r="T819" s="597"/>
      <c r="U819" s="597"/>
      <c r="V819" s="597"/>
      <c r="W819" s="597"/>
      <c r="X819" s="597"/>
      <c r="Y819" s="597"/>
      <c r="Z819" s="597"/>
    </row>
    <row r="820" spans="1:26" ht="19.5">
      <c r="A820" s="813" t="s">
        <v>331</v>
      </c>
      <c r="B820" s="814"/>
      <c r="C820" s="814"/>
      <c r="D820" s="815"/>
      <c r="E820" s="814"/>
      <c r="F820" s="814"/>
      <c r="G820" s="816"/>
      <c r="H820" s="816"/>
      <c r="I820" s="214"/>
      <c r="J820" s="214"/>
      <c r="K820" s="817"/>
      <c r="L820" s="817"/>
      <c r="M820" s="817"/>
      <c r="N820" s="817"/>
      <c r="O820" s="817"/>
      <c r="P820" s="817"/>
      <c r="Q820" s="571"/>
      <c r="R820" s="571"/>
      <c r="S820" s="571"/>
      <c r="T820" s="571"/>
      <c r="U820" s="571"/>
      <c r="V820" s="571"/>
      <c r="W820" s="571"/>
      <c r="X820" s="571"/>
      <c r="Y820" s="571"/>
      <c r="Z820" s="571"/>
    </row>
    <row r="821" spans="1:26" ht="18.75">
      <c r="A821" s="735"/>
      <c r="B821" s="754" t="s">
        <v>325</v>
      </c>
      <c r="C821" s="754"/>
      <c r="D821" s="568"/>
      <c r="E821" s="754"/>
      <c r="F821" s="754"/>
      <c r="G821" s="189"/>
      <c r="H821" s="616" t="s">
        <v>12</v>
      </c>
      <c r="I821" s="269">
        <f ca="1">IFERROR(__xludf.DUMMYFUNCTION("IMPORTRANGE(""https://docs.google.com/spreadsheets/d/19vJNZY_5yjcGF2XGBMNZRCAIB0Kwfpjp8YEOfu-bneM/edit?usp=sharing"",""งานกองทุน!D53"")"),2102599.73)</f>
        <v>2102599.73</v>
      </c>
      <c r="J821" s="269">
        <f ca="1">IFERROR(__xludf.DUMMYFUNCTION("IMPORTRANGE(""https://docs.google.com/spreadsheets/d/19vJNZY_5yjcGF2XGBMNZRCAIB0Kwfpjp8YEOfu-bneM/edit?usp=sharing"",""งานกองทุน!F53"")"),0)</f>
        <v>0</v>
      </c>
      <c r="K821" s="496">
        <f t="shared" ref="K821:K828" ca="1" si="335">IF(I821&gt;0,J821*100/I821,0)</f>
        <v>0</v>
      </c>
      <c r="L821" s="496"/>
      <c r="M821" s="496"/>
      <c r="N821" s="496"/>
      <c r="O821" s="496"/>
      <c r="P821" s="496"/>
      <c r="Q821" s="571"/>
      <c r="R821" s="571"/>
      <c r="S821" s="571"/>
      <c r="T821" s="571"/>
      <c r="U821" s="571"/>
      <c r="V821" s="571"/>
      <c r="W821" s="571"/>
      <c r="X821" s="571"/>
      <c r="Y821" s="571"/>
      <c r="Z821" s="571"/>
    </row>
    <row r="822" spans="1:26" ht="18.75">
      <c r="A822" s="735"/>
      <c r="B822" s="754"/>
      <c r="C822" s="754"/>
      <c r="D822" s="568"/>
      <c r="E822" s="754"/>
      <c r="F822" s="754"/>
      <c r="G822" s="189"/>
      <c r="H822" s="616" t="s">
        <v>35</v>
      </c>
      <c r="I822" s="269">
        <f ca="1">IFERROR(__xludf.DUMMYFUNCTION("IMPORTRANGE(""https://docs.google.com/spreadsheets/d/19vJNZY_5yjcGF2XGBMNZRCAIB0Kwfpjp8YEOfu-bneM/edit?usp=sharing"",""งานกองทุน!C53"")"),71)</f>
        <v>71</v>
      </c>
      <c r="J822" s="269">
        <f ca="1">IFERROR(__xludf.DUMMYFUNCTION("IMPORTRANGE(""https://docs.google.com/spreadsheets/d/19vJNZY_5yjcGF2XGBMNZRCAIB0Kwfpjp8YEOfu-bneM/edit?usp=sharing"",""งานกองทุน!E53"")"),0)</f>
        <v>0</v>
      </c>
      <c r="K822" s="496">
        <f t="shared" ca="1" si="335"/>
        <v>0</v>
      </c>
      <c r="L822" s="496"/>
      <c r="M822" s="496"/>
      <c r="N822" s="496"/>
      <c r="O822" s="496"/>
      <c r="P822" s="496"/>
      <c r="Q822" s="571"/>
      <c r="R822" s="571"/>
      <c r="S822" s="571"/>
      <c r="T822" s="571"/>
      <c r="U822" s="571"/>
      <c r="V822" s="571"/>
      <c r="W822" s="571"/>
      <c r="X822" s="571"/>
      <c r="Y822" s="571"/>
      <c r="Z822" s="571"/>
    </row>
    <row r="823" spans="1:26" ht="18.75">
      <c r="A823" s="735"/>
      <c r="B823" s="754" t="s">
        <v>326</v>
      </c>
      <c r="C823" s="754"/>
      <c r="D823" s="568"/>
      <c r="E823" s="754"/>
      <c r="F823" s="754"/>
      <c r="G823" s="189"/>
      <c r="H823" s="616" t="s">
        <v>12</v>
      </c>
      <c r="I823" s="269">
        <f ca="1">IFERROR(__xludf.DUMMYFUNCTION("IMPORTRANGE(""https://docs.google.com/spreadsheets/d/19vJNZY_5yjcGF2XGBMNZRCAIB0Kwfpjp8YEOfu-bneM/edit?usp=sharing"",""งานกองทุน!I53"")"),19541153.13)</f>
        <v>19541153.129999999</v>
      </c>
      <c r="J823" s="269">
        <f ca="1">IFERROR(__xludf.DUMMYFUNCTION("IMPORTRANGE(""https://docs.google.com/spreadsheets/d/19vJNZY_5yjcGF2XGBMNZRCAIB0Kwfpjp8YEOfu-bneM/edit?usp=sharing"",""งานกองทุน!K53"")"),172264.62)</f>
        <v>172264.62</v>
      </c>
      <c r="K823" s="496">
        <f t="shared" ca="1" si="335"/>
        <v>0.88154787414021973</v>
      </c>
      <c r="L823" s="496"/>
      <c r="M823" s="496"/>
      <c r="N823" s="496"/>
      <c r="O823" s="496"/>
      <c r="P823" s="496"/>
      <c r="Q823" s="571"/>
      <c r="R823" s="571"/>
      <c r="S823" s="571"/>
      <c r="T823" s="571"/>
      <c r="U823" s="571"/>
      <c r="V823" s="571"/>
      <c r="W823" s="571"/>
      <c r="X823" s="571"/>
      <c r="Y823" s="571"/>
      <c r="Z823" s="571"/>
    </row>
    <row r="824" spans="1:26" ht="18.75">
      <c r="A824" s="735"/>
      <c r="B824" s="754"/>
      <c r="C824" s="754"/>
      <c r="D824" s="568"/>
      <c r="E824" s="754"/>
      <c r="F824" s="754"/>
      <c r="G824" s="189"/>
      <c r="H824" s="616" t="s">
        <v>35</v>
      </c>
      <c r="I824" s="269">
        <f ca="1">IFERROR(__xludf.DUMMYFUNCTION("IMPORTRANGE(""https://docs.google.com/spreadsheets/d/19vJNZY_5yjcGF2XGBMNZRCAIB0Kwfpjp8YEOfu-bneM/edit?usp=sharing"",""งานกองทุน!H53"")"),669)</f>
        <v>669</v>
      </c>
      <c r="J824" s="269">
        <f ca="1">IFERROR(__xludf.DUMMYFUNCTION("IMPORTRANGE(""https://docs.google.com/spreadsheets/d/19vJNZY_5yjcGF2XGBMNZRCAIB0Kwfpjp8YEOfu-bneM/edit?usp=sharing"",""งานกองทุน!J53"")"),17)</f>
        <v>17</v>
      </c>
      <c r="K824" s="496">
        <f t="shared" ca="1" si="335"/>
        <v>2.5411061285500747</v>
      </c>
      <c r="L824" s="496"/>
      <c r="M824" s="496"/>
      <c r="N824" s="496"/>
      <c r="O824" s="496"/>
      <c r="P824" s="496"/>
      <c r="Q824" s="571"/>
      <c r="R824" s="571"/>
      <c r="S824" s="571"/>
      <c r="T824" s="571"/>
      <c r="U824" s="571"/>
      <c r="V824" s="571"/>
      <c r="W824" s="571"/>
      <c r="X824" s="571"/>
      <c r="Y824" s="571"/>
      <c r="Z824" s="571"/>
    </row>
    <row r="825" spans="1:26" ht="18.75">
      <c r="A825" s="735"/>
      <c r="B825" s="754" t="s">
        <v>327</v>
      </c>
      <c r="C825" s="754"/>
      <c r="D825" s="568"/>
      <c r="E825" s="754"/>
      <c r="F825" s="754"/>
      <c r="G825" s="189"/>
      <c r="H825" s="616" t="s">
        <v>12</v>
      </c>
      <c r="I825" s="269">
        <f ca="1">IFERROR(__xludf.DUMMYFUNCTION("IMPORTRANGE(""https://docs.google.com/spreadsheets/d/19vJNZY_5yjcGF2XGBMNZRCAIB0Kwfpjp8YEOfu-bneM/edit?usp=sharing"",""งานกองทุน!N53"")"),403908.17)</f>
        <v>403908.17</v>
      </c>
      <c r="J825" s="269">
        <f ca="1">IFERROR(__xludf.DUMMYFUNCTION("IMPORTRANGE(""https://docs.google.com/spreadsheets/d/19vJNZY_5yjcGF2XGBMNZRCAIB0Kwfpjp8YEOfu-bneM/edit?usp=sharing"",""งานกองทุน!P53"")"),15500)</f>
        <v>15500</v>
      </c>
      <c r="K825" s="496">
        <f t="shared" ca="1" si="335"/>
        <v>3.837505936064626</v>
      </c>
      <c r="L825" s="496"/>
      <c r="M825" s="496"/>
      <c r="N825" s="496"/>
      <c r="O825" s="496"/>
      <c r="P825" s="496"/>
      <c r="Q825" s="571"/>
      <c r="R825" s="571"/>
      <c r="S825" s="571"/>
      <c r="T825" s="571"/>
      <c r="U825" s="571"/>
      <c r="V825" s="571"/>
      <c r="W825" s="571"/>
      <c r="X825" s="571"/>
      <c r="Y825" s="571"/>
      <c r="Z825" s="571"/>
    </row>
    <row r="826" spans="1:26" ht="18.75">
      <c r="A826" s="735"/>
      <c r="B826" s="754"/>
      <c r="C826" s="754"/>
      <c r="D826" s="568"/>
      <c r="E826" s="754"/>
      <c r="F826" s="754"/>
      <c r="G826" s="189"/>
      <c r="H826" s="616" t="s">
        <v>35</v>
      </c>
      <c r="I826" s="269">
        <f ca="1">IFERROR(__xludf.DUMMYFUNCTION("IMPORTRANGE(""https://docs.google.com/spreadsheets/d/19vJNZY_5yjcGF2XGBMNZRCAIB0Kwfpjp8YEOfu-bneM/edit?usp=sharing"",""งานกองทุน!M53"")"),114)</f>
        <v>114</v>
      </c>
      <c r="J826" s="269">
        <f ca="1">IFERROR(__xludf.DUMMYFUNCTION("IMPORTRANGE(""https://docs.google.com/spreadsheets/d/19vJNZY_5yjcGF2XGBMNZRCAIB0Kwfpjp8YEOfu-bneM/edit?usp=sharing"",""งานกองทุน!O53"")"),1)</f>
        <v>1</v>
      </c>
      <c r="K826" s="496">
        <f t="shared" ca="1" si="335"/>
        <v>0.8771929824561403</v>
      </c>
      <c r="L826" s="496"/>
      <c r="M826" s="496"/>
      <c r="N826" s="496"/>
      <c r="O826" s="496"/>
      <c r="P826" s="496"/>
      <c r="Q826" s="571"/>
      <c r="R826" s="571"/>
      <c r="S826" s="571"/>
      <c r="T826" s="571"/>
      <c r="U826" s="571"/>
      <c r="V826" s="571"/>
      <c r="W826" s="571"/>
      <c r="X826" s="571"/>
      <c r="Y826" s="571"/>
      <c r="Z826" s="571"/>
    </row>
    <row r="827" spans="1:26" ht="18.75">
      <c r="A827" s="735"/>
      <c r="B827" s="754" t="s">
        <v>328</v>
      </c>
      <c r="C827" s="754"/>
      <c r="D827" s="568"/>
      <c r="E827" s="754"/>
      <c r="F827" s="754"/>
      <c r="G827" s="189"/>
      <c r="H827" s="616" t="s">
        <v>12</v>
      </c>
      <c r="I827" s="269">
        <f ca="1">IFERROR(__xludf.DUMMYFUNCTION("IMPORTRANGE(""https://docs.google.com/spreadsheets/d/19vJNZY_5yjcGF2XGBMNZRCAIB0Kwfpjp8YEOfu-bneM/edit?usp=sharing"",""งานกองทุน!S53"")"),4050000)</f>
        <v>4050000</v>
      </c>
      <c r="J827" s="269">
        <f ca="1">IFERROR(__xludf.DUMMYFUNCTION("IMPORTRANGE(""https://docs.google.com/spreadsheets/d/19vJNZY_5yjcGF2XGBMNZRCAIB0Kwfpjp8YEOfu-bneM/edit?usp=sharing"",""งานกองทุน!U53"")"),0)</f>
        <v>0</v>
      </c>
      <c r="K827" s="496">
        <f t="shared" ca="1" si="335"/>
        <v>0</v>
      </c>
      <c r="L827" s="496"/>
      <c r="M827" s="496"/>
      <c r="N827" s="496"/>
      <c r="O827" s="496"/>
      <c r="P827" s="496"/>
      <c r="Q827" s="571"/>
      <c r="R827" s="571"/>
      <c r="S827" s="571"/>
      <c r="T827" s="571"/>
      <c r="U827" s="571"/>
      <c r="V827" s="571"/>
      <c r="W827" s="571"/>
      <c r="X827" s="571"/>
      <c r="Y827" s="571"/>
      <c r="Z827" s="571"/>
    </row>
    <row r="828" spans="1:26" ht="18.75">
      <c r="A828" s="738"/>
      <c r="B828" s="740"/>
      <c r="C828" s="740"/>
      <c r="D828" s="739"/>
      <c r="E828" s="740"/>
      <c r="F828" s="740"/>
      <c r="G828" s="818"/>
      <c r="H828" s="819" t="s">
        <v>35</v>
      </c>
      <c r="I828" s="499">
        <f ca="1">IFERROR(__xludf.DUMMYFUNCTION("IMPORTRANGE(""https://docs.google.com/spreadsheets/d/19vJNZY_5yjcGF2XGBMNZRCAIB0Kwfpjp8YEOfu-bneM/edit?usp=sharing"",""งานกองทุน!R53"")"),162)</f>
        <v>162</v>
      </c>
      <c r="J828" s="499">
        <f ca="1">IFERROR(__xludf.DUMMYFUNCTION("IMPORTRANGE(""https://docs.google.com/spreadsheets/d/19vJNZY_5yjcGF2XGBMNZRCAIB0Kwfpjp8YEOfu-bneM/edit?usp=sharing"",""งานกองทุน!T53"")"),0)</f>
        <v>0</v>
      </c>
      <c r="K828" s="500">
        <f t="shared" ca="1" si="335"/>
        <v>0</v>
      </c>
      <c r="L828" s="500"/>
      <c r="M828" s="500"/>
      <c r="N828" s="500"/>
      <c r="O828" s="500"/>
      <c r="P828" s="500"/>
      <c r="Q828" s="571"/>
      <c r="R828" s="571"/>
      <c r="S828" s="571"/>
      <c r="T828" s="571"/>
      <c r="U828" s="571"/>
      <c r="V828" s="571"/>
      <c r="W828" s="571"/>
      <c r="X828" s="571"/>
      <c r="Y828" s="571"/>
      <c r="Z828" s="571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544:F544"/>
    <mergeCell ref="A7:G7"/>
    <mergeCell ref="A17:G17"/>
    <mergeCell ref="A27:G27"/>
    <mergeCell ref="B40:G40"/>
    <mergeCell ref="A50:G50"/>
    <mergeCell ref="B51:G51"/>
    <mergeCell ref="D419:F419"/>
    <mergeCell ref="D444:F444"/>
    <mergeCell ref="D467:F467"/>
    <mergeCell ref="D502:F502"/>
    <mergeCell ref="D523:F523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 gridLines="1"/>
  <pageMargins left="0.23622047244094491" right="0.23622047244094491" top="0.74803149606299213" bottom="0.74803149606299213" header="0" footer="0"/>
  <pageSetup paperSize="9" scale="42" fitToHeight="0" pageOrder="overThenDown" orientation="portrait" cellComments="atEnd" r:id="rId1"/>
  <headerFooter>
    <oddFooter>&amp;Cหน้า &amp;P/&amp;N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721285-5436-4A58-B469-2BCA7E258DB6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activeCell="A2" sqref="A2:P2"/>
      <selection pane="bottomLeft" activeCell="A2" sqref="A2:P2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9" width="14.42578125" bestFit="1" customWidth="1"/>
    <col min="10" max="10" width="11.28515625" bestFit="1" customWidth="1"/>
    <col min="11" max="11" width="12.5703125" customWidth="1"/>
    <col min="12" max="13" width="21.28515625" bestFit="1" customWidth="1"/>
    <col min="14" max="14" width="18.7109375" bestFit="1" customWidth="1"/>
    <col min="15" max="16" width="17.5703125" customWidth="1"/>
  </cols>
  <sheetData>
    <row r="1" spans="1:26" ht="19.5">
      <c r="A1" s="844" t="s">
        <v>0</v>
      </c>
      <c r="B1" s="845"/>
      <c r="C1" s="845"/>
      <c r="D1" s="845"/>
      <c r="E1" s="845"/>
      <c r="F1" s="845"/>
      <c r="G1" s="845"/>
      <c r="H1" s="845"/>
      <c r="I1" s="845"/>
      <c r="J1" s="845"/>
      <c r="K1" s="845"/>
      <c r="L1" s="845"/>
      <c r="M1" s="845"/>
      <c r="N1" s="845"/>
      <c r="O1" s="845"/>
      <c r="P1" s="845"/>
    </row>
    <row r="2" spans="1:26" ht="19.5">
      <c r="A2" s="844" t="s">
        <v>357</v>
      </c>
      <c r="B2" s="845"/>
      <c r="C2" s="845"/>
      <c r="D2" s="845"/>
      <c r="E2" s="845"/>
      <c r="F2" s="845"/>
      <c r="G2" s="845"/>
      <c r="H2" s="845"/>
      <c r="I2" s="845"/>
      <c r="J2" s="845"/>
      <c r="K2" s="845"/>
      <c r="L2" s="845"/>
      <c r="M2" s="845"/>
      <c r="N2" s="845"/>
      <c r="O2" s="845"/>
      <c r="P2" s="845"/>
    </row>
    <row r="3" spans="1:26" ht="19.5">
      <c r="A3" s="844" t="s">
        <v>347</v>
      </c>
      <c r="B3" s="845"/>
      <c r="C3" s="845"/>
      <c r="D3" s="845"/>
      <c r="E3" s="845"/>
      <c r="F3" s="845"/>
      <c r="G3" s="845"/>
      <c r="H3" s="845"/>
      <c r="I3" s="845"/>
      <c r="J3" s="845"/>
      <c r="K3" s="845"/>
      <c r="L3" s="845"/>
      <c r="M3" s="845"/>
      <c r="N3" s="845"/>
      <c r="O3" s="845"/>
      <c r="P3" s="845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52" t="s">
        <v>2</v>
      </c>
      <c r="B5" s="845"/>
      <c r="C5" s="845"/>
      <c r="D5" s="845"/>
      <c r="E5" s="845"/>
      <c r="F5" s="845"/>
      <c r="G5" s="853"/>
      <c r="H5" s="846" t="s">
        <v>3</v>
      </c>
      <c r="I5" s="848" t="s">
        <v>4</v>
      </c>
      <c r="J5" s="849"/>
      <c r="K5" s="847"/>
      <c r="L5" s="850" t="s">
        <v>5</v>
      </c>
      <c r="M5" s="847"/>
      <c r="N5" s="851" t="s">
        <v>6</v>
      </c>
      <c r="O5" s="849"/>
      <c r="P5" s="847"/>
    </row>
    <row r="6" spans="1:26" ht="39">
      <c r="A6" s="854"/>
      <c r="B6" s="849"/>
      <c r="C6" s="849"/>
      <c r="D6" s="849"/>
      <c r="E6" s="849"/>
      <c r="F6" s="849"/>
      <c r="G6" s="847"/>
      <c r="H6" s="847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55" t="s">
        <v>15</v>
      </c>
      <c r="B7" s="849"/>
      <c r="C7" s="849"/>
      <c r="D7" s="849"/>
      <c r="E7" s="849"/>
      <c r="F7" s="849"/>
      <c r="G7" s="847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2142725</v>
      </c>
      <c r="M8" s="22">
        <f t="shared" ca="1" si="0"/>
        <v>1041435</v>
      </c>
      <c r="N8" s="22">
        <f t="shared" ca="1" si="0"/>
        <v>764970.55999999994</v>
      </c>
      <c r="O8" s="22">
        <f t="shared" ref="O8:O16" ca="1" si="1">IF(L8&gt;0,N8*100/L8,0)</f>
        <v>35.70082768437387</v>
      </c>
      <c r="P8" s="22">
        <f t="shared" ref="P8:P16" ca="1" si="2">IF(M8&gt;0,N8*100/M8,0)</f>
        <v>73.453509820584102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2142725</v>
      </c>
      <c r="M10" s="30">
        <f t="shared" ca="1" si="3"/>
        <v>1041435</v>
      </c>
      <c r="N10" s="30">
        <f t="shared" ca="1" si="3"/>
        <v>764970.55999999994</v>
      </c>
      <c r="O10" s="30">
        <f t="shared" ca="1" si="1"/>
        <v>35.70082768437387</v>
      </c>
      <c r="P10" s="30">
        <f t="shared" ca="1" si="2"/>
        <v>73.453509820584102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16" t="s">
        <v>12</v>
      </c>
      <c r="I11" s="269"/>
      <c r="J11" s="269"/>
      <c r="K11" s="496"/>
      <c r="L11" s="496">
        <f t="shared" ref="L11:N11" ca="1" si="4">L12+L13</f>
        <v>2089925</v>
      </c>
      <c r="M11" s="496">
        <f t="shared" ca="1" si="4"/>
        <v>989395</v>
      </c>
      <c r="N11" s="496">
        <f t="shared" ca="1" si="4"/>
        <v>712930.55999999994</v>
      </c>
      <c r="O11" s="496">
        <f t="shared" ca="1" si="1"/>
        <v>34.112734189025922</v>
      </c>
      <c r="P11" s="496">
        <f t="shared" ca="1" si="2"/>
        <v>72.057222848306282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2" t="s">
        <v>18</v>
      </c>
      <c r="F12" s="40"/>
      <c r="G12" s="42"/>
      <c r="H12" s="43" t="s">
        <v>12</v>
      </c>
      <c r="I12" s="610"/>
      <c r="J12" s="610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2" t="s">
        <v>19</v>
      </c>
      <c r="F13" s="40"/>
      <c r="G13" s="42"/>
      <c r="H13" s="43" t="s">
        <v>12</v>
      </c>
      <c r="I13" s="610"/>
      <c r="J13" s="610"/>
      <c r="K13" s="93"/>
      <c r="L13" s="93">
        <f t="shared" ca="1" si="5"/>
        <v>2089925</v>
      </c>
      <c r="M13" s="93">
        <f t="shared" ca="1" si="5"/>
        <v>989395</v>
      </c>
      <c r="N13" s="93">
        <f t="shared" ca="1" si="5"/>
        <v>712930.55999999994</v>
      </c>
      <c r="O13" s="93">
        <f t="shared" ca="1" si="1"/>
        <v>34.112734189025922</v>
      </c>
      <c r="P13" s="93">
        <f t="shared" ca="1" si="2"/>
        <v>72.057222848306282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16" t="s">
        <v>12</v>
      </c>
      <c r="I14" s="269"/>
      <c r="J14" s="269"/>
      <c r="K14" s="496"/>
      <c r="L14" s="496">
        <f t="shared" ref="L14:N14" ca="1" si="6">L15+L16</f>
        <v>52800</v>
      </c>
      <c r="M14" s="496">
        <f t="shared" ca="1" si="6"/>
        <v>52040</v>
      </c>
      <c r="N14" s="496">
        <f t="shared" ca="1" si="6"/>
        <v>52040</v>
      </c>
      <c r="O14" s="496">
        <f t="shared" ca="1" si="1"/>
        <v>98.560606060606062</v>
      </c>
      <c r="P14" s="496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2" t="s">
        <v>18</v>
      </c>
      <c r="F15" s="40"/>
      <c r="G15" s="42"/>
      <c r="H15" s="43" t="s">
        <v>12</v>
      </c>
      <c r="I15" s="610"/>
      <c r="J15" s="610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52800</v>
      </c>
      <c r="M16" s="52">
        <f t="shared" ca="1" si="7"/>
        <v>52040</v>
      </c>
      <c r="N16" s="52">
        <f t="shared" ca="1" si="7"/>
        <v>52040</v>
      </c>
      <c r="O16" s="52">
        <f t="shared" ca="1" si="1"/>
        <v>98.560606060606062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55" t="s">
        <v>22</v>
      </c>
      <c r="B17" s="849"/>
      <c r="C17" s="849"/>
      <c r="D17" s="849"/>
      <c r="E17" s="849"/>
      <c r="F17" s="849"/>
      <c r="G17" s="847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2008525</v>
      </c>
      <c r="M18" s="22">
        <f t="shared" ca="1" si="8"/>
        <v>1041435</v>
      </c>
      <c r="N18" s="22">
        <f t="shared" ca="1" si="8"/>
        <v>722167.55999999994</v>
      </c>
      <c r="O18" s="22">
        <f t="shared" ref="O18:O26" ca="1" si="9">IF(L18&gt;0,N18*100/L18,0)</f>
        <v>35.955119303966839</v>
      </c>
      <c r="P18" s="22">
        <f t="shared" ref="P18:P26" ca="1" si="10">IF(M18&gt;0,N18*100/M18,0)</f>
        <v>69.343507756124964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2008525</v>
      </c>
      <c r="M20" s="30">
        <f t="shared" ca="1" si="11"/>
        <v>1041435</v>
      </c>
      <c r="N20" s="30">
        <f t="shared" ca="1" si="11"/>
        <v>722167.55999999994</v>
      </c>
      <c r="O20" s="30">
        <f t="shared" ca="1" si="9"/>
        <v>35.955119303966839</v>
      </c>
      <c r="P20" s="30">
        <f t="shared" ca="1" si="10"/>
        <v>69.343507756124964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16" t="s">
        <v>12</v>
      </c>
      <c r="I21" s="269"/>
      <c r="J21" s="269"/>
      <c r="K21" s="496"/>
      <c r="L21" s="496">
        <f t="shared" ref="L21:N21" ca="1" si="12">L22+L23</f>
        <v>1955725</v>
      </c>
      <c r="M21" s="496">
        <f t="shared" ca="1" si="12"/>
        <v>989395</v>
      </c>
      <c r="N21" s="496">
        <f t="shared" ca="1" si="12"/>
        <v>670127.55999999994</v>
      </c>
      <c r="O21" s="496">
        <f t="shared" ca="1" si="9"/>
        <v>34.264917613672672</v>
      </c>
      <c r="P21" s="496">
        <f t="shared" ca="1" si="10"/>
        <v>67.73104371863613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2" t="s">
        <v>18</v>
      </c>
      <c r="F22" s="40"/>
      <c r="G22" s="42"/>
      <c r="H22" s="43" t="s">
        <v>12</v>
      </c>
      <c r="I22" s="610"/>
      <c r="J22" s="610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2" t="s">
        <v>19</v>
      </c>
      <c r="F23" s="40"/>
      <c r="G23" s="42"/>
      <c r="H23" s="43" t="s">
        <v>12</v>
      </c>
      <c r="I23" s="610"/>
      <c r="J23" s="610"/>
      <c r="K23" s="93"/>
      <c r="L23" s="93">
        <f t="shared" ca="1" si="13"/>
        <v>1955725</v>
      </c>
      <c r="M23" s="93">
        <f t="shared" ca="1" si="13"/>
        <v>989395</v>
      </c>
      <c r="N23" s="93">
        <f t="shared" ca="1" si="13"/>
        <v>670127.55999999994</v>
      </c>
      <c r="O23" s="93">
        <f t="shared" ca="1" si="9"/>
        <v>34.264917613672672</v>
      </c>
      <c r="P23" s="93">
        <f t="shared" ca="1" si="10"/>
        <v>67.73104371863613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16" t="s">
        <v>12</v>
      </c>
      <c r="I24" s="269"/>
      <c r="J24" s="269"/>
      <c r="K24" s="496"/>
      <c r="L24" s="496">
        <f t="shared" ref="L24:N24" ca="1" si="14">L25+L26</f>
        <v>52800</v>
      </c>
      <c r="M24" s="496">
        <f t="shared" ca="1" si="14"/>
        <v>52040</v>
      </c>
      <c r="N24" s="496">
        <f t="shared" ca="1" si="14"/>
        <v>52040</v>
      </c>
      <c r="O24" s="496">
        <f t="shared" ca="1" si="9"/>
        <v>98.560606060606062</v>
      </c>
      <c r="P24" s="496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2" t="s">
        <v>18</v>
      </c>
      <c r="F25" s="40"/>
      <c r="G25" s="42"/>
      <c r="H25" s="43" t="s">
        <v>12</v>
      </c>
      <c r="I25" s="610"/>
      <c r="J25" s="610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52800</v>
      </c>
      <c r="M26" s="52">
        <f t="shared" ca="1" si="15"/>
        <v>52040</v>
      </c>
      <c r="N26" s="52">
        <f t="shared" ca="1" si="15"/>
        <v>52040</v>
      </c>
      <c r="O26" s="52">
        <f t="shared" ca="1" si="9"/>
        <v>98.560606060606062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55" t="s">
        <v>23</v>
      </c>
      <c r="B27" s="849"/>
      <c r="C27" s="849"/>
      <c r="D27" s="849"/>
      <c r="E27" s="849"/>
      <c r="F27" s="849"/>
      <c r="G27" s="847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134200</v>
      </c>
      <c r="M28" s="22">
        <f t="shared" si="16"/>
        <v>0</v>
      </c>
      <c r="N28" s="22">
        <f t="shared" si="16"/>
        <v>42803</v>
      </c>
      <c r="O28" s="22">
        <f t="shared" ref="O28:O37" ca="1" si="17">IF(L28&gt;0,N28*100/L28,0)</f>
        <v>31.894932935916543</v>
      </c>
      <c r="P28" s="22">
        <f t="shared" ref="P28:P37" si="18">IF(M28&gt;0,N28*100/M28,0)</f>
        <v>0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134200</v>
      </c>
      <c r="M30" s="30">
        <f t="shared" si="19"/>
        <v>0</v>
      </c>
      <c r="N30" s="30">
        <f t="shared" si="19"/>
        <v>42803</v>
      </c>
      <c r="O30" s="30">
        <f t="shared" ca="1" si="17"/>
        <v>31.894932935916543</v>
      </c>
      <c r="P30" s="30">
        <f t="shared" si="18"/>
        <v>0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16" t="s">
        <v>12</v>
      </c>
      <c r="I31" s="269"/>
      <c r="J31" s="269"/>
      <c r="K31" s="496"/>
      <c r="L31" s="496">
        <f t="shared" ref="L31:N31" ca="1" si="20">L32+L33</f>
        <v>134200</v>
      </c>
      <c r="M31" s="496">
        <f t="shared" si="20"/>
        <v>0</v>
      </c>
      <c r="N31" s="496">
        <f t="shared" si="20"/>
        <v>42803</v>
      </c>
      <c r="O31" s="496">
        <f t="shared" ca="1" si="17"/>
        <v>31.894932935916543</v>
      </c>
      <c r="P31" s="496">
        <f t="shared" si="18"/>
        <v>0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2" t="s">
        <v>18</v>
      </c>
      <c r="F32" s="40"/>
      <c r="G32" s="42"/>
      <c r="H32" s="43" t="s">
        <v>12</v>
      </c>
      <c r="I32" s="610"/>
      <c r="J32" s="610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2" t="s">
        <v>19</v>
      </c>
      <c r="F33" s="40"/>
      <c r="G33" s="42"/>
      <c r="H33" s="43" t="s">
        <v>12</v>
      </c>
      <c r="I33" s="610"/>
      <c r="J33" s="610"/>
      <c r="K33" s="93"/>
      <c r="L33" s="93">
        <f t="shared" ca="1" si="21"/>
        <v>134200</v>
      </c>
      <c r="M33" s="93">
        <f t="shared" si="21"/>
        <v>0</v>
      </c>
      <c r="N33" s="93">
        <f t="shared" si="21"/>
        <v>42803</v>
      </c>
      <c r="O33" s="93">
        <f t="shared" ca="1" si="17"/>
        <v>31.894932935916543</v>
      </c>
      <c r="P33" s="93">
        <f t="shared" si="18"/>
        <v>0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16" t="s">
        <v>12</v>
      </c>
      <c r="I34" s="269"/>
      <c r="J34" s="269"/>
      <c r="K34" s="496"/>
      <c r="L34" s="496">
        <f t="shared" ref="L34:N34" ca="1" si="22">L35+L36</f>
        <v>0</v>
      </c>
      <c r="M34" s="496">
        <f t="shared" si="22"/>
        <v>0</v>
      </c>
      <c r="N34" s="496">
        <f t="shared" si="22"/>
        <v>0</v>
      </c>
      <c r="O34" s="496">
        <f t="shared" ca="1" si="17"/>
        <v>0</v>
      </c>
      <c r="P34" s="496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2" t="s">
        <v>18</v>
      </c>
      <c r="F35" s="40"/>
      <c r="G35" s="42"/>
      <c r="H35" s="43" t="s">
        <v>12</v>
      </c>
      <c r="I35" s="610"/>
      <c r="J35" s="610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53" t="s">
        <v>24</v>
      </c>
      <c r="B37" s="54"/>
      <c r="C37" s="54"/>
      <c r="D37" s="54"/>
      <c r="E37" s="54"/>
      <c r="F37" s="54"/>
      <c r="G37" s="55"/>
      <c r="H37" s="56"/>
      <c r="I37" s="423"/>
      <c r="J37" s="423"/>
      <c r="K37" s="58"/>
      <c r="L37" s="59">
        <f t="shared" ref="L37:N37" ca="1" si="24">L41+L53+L66+L88+L119+L132+L149+L165+L181+L261+L277+L298+L315+L328+L345+L389+L402</f>
        <v>2008525</v>
      </c>
      <c r="M37" s="59">
        <f t="shared" ca="1" si="24"/>
        <v>1041435</v>
      </c>
      <c r="N37" s="59">
        <f t="shared" ca="1" si="24"/>
        <v>722167.55999999994</v>
      </c>
      <c r="O37" s="59">
        <f t="shared" ca="1" si="17"/>
        <v>35.955119303966839</v>
      </c>
      <c r="P37" s="59">
        <f t="shared" ca="1" si="18"/>
        <v>69.343507756124964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56" t="s">
        <v>27</v>
      </c>
      <c r="C40" s="857"/>
      <c r="D40" s="857"/>
      <c r="E40" s="857"/>
      <c r="F40" s="857"/>
      <c r="G40" s="858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20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302700</v>
      </c>
      <c r="M41" s="85">
        <f t="shared" ca="1" si="25"/>
        <v>157200</v>
      </c>
      <c r="N41" s="85">
        <f t="shared" ca="1" si="25"/>
        <v>82870</v>
      </c>
      <c r="O41" s="85">
        <f t="shared" ref="O41:O49" ca="1" si="26">IF(L41&gt;0,N41*100/L41,0)</f>
        <v>27.376940865543443</v>
      </c>
      <c r="P41" s="85">
        <f t="shared" ref="P41:P49" ca="1" si="27">IF(M41&gt;0,N41*100/M41,0)</f>
        <v>52.716284987277355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302700</v>
      </c>
      <c r="M43" s="92">
        <f t="shared" ca="1" si="28"/>
        <v>157200</v>
      </c>
      <c r="N43" s="92">
        <f t="shared" ca="1" si="28"/>
        <v>82870</v>
      </c>
      <c r="O43" s="92">
        <f t="shared" ca="1" si="26"/>
        <v>27.376940865543443</v>
      </c>
      <c r="P43" s="92">
        <f t="shared" ca="1" si="27"/>
        <v>52.716284987277355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16" t="s">
        <v>12</v>
      </c>
      <c r="I44" s="269"/>
      <c r="J44" s="269"/>
      <c r="K44" s="496"/>
      <c r="L44" s="496">
        <f t="shared" ref="L44:N44" ca="1" si="29">L45+L46</f>
        <v>302700</v>
      </c>
      <c r="M44" s="496">
        <f t="shared" ca="1" si="29"/>
        <v>157200</v>
      </c>
      <c r="N44" s="496">
        <f t="shared" ca="1" si="29"/>
        <v>82870</v>
      </c>
      <c r="O44" s="496">
        <f t="shared" ca="1" si="26"/>
        <v>27.376940865543443</v>
      </c>
      <c r="P44" s="496">
        <f t="shared" ca="1" si="27"/>
        <v>52.716284987277355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2" t="s">
        <v>18</v>
      </c>
      <c r="F45" s="40"/>
      <c r="G45" s="42"/>
      <c r="H45" s="43" t="s">
        <v>12</v>
      </c>
      <c r="I45" s="610"/>
      <c r="J45" s="610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2" t="s">
        <v>19</v>
      </c>
      <c r="F46" s="40"/>
      <c r="G46" s="42"/>
      <c r="H46" s="43" t="s">
        <v>12</v>
      </c>
      <c r="I46" s="610"/>
      <c r="J46" s="610"/>
      <c r="K46" s="93"/>
      <c r="L46" s="93">
        <f ca="1">IFERROR(__xludf.DUMMYFUNCTION("IMPORTRANGE(""https://docs.google.com/spreadsheets/d/1MeEWN-I1oV_STSDYn1IFDPWt_1FKiwhDph83XaGc0o0/edit?usp=sharing"",""งบพรบ!M71"")"),302700)</f>
        <v>302700</v>
      </c>
      <c r="M46" s="93">
        <f ca="1">IFERROR(__xludf.DUMMYFUNCTION("IMPORTRANGE(""https://docs.google.com/spreadsheets/d/1MeEWN-I1oV_STSDYn1IFDPWt_1FKiwhDph83XaGc0o0/edit?usp=sharing"",""งบพรบ!R71"")"),157200)</f>
        <v>157200</v>
      </c>
      <c r="N46" s="93">
        <f ca="1">IFERROR(__xludf.DUMMYFUNCTION("IMPORTRANGE(""https://docs.google.com/spreadsheets/d/1MeEWN-I1oV_STSDYn1IFDPWt_1FKiwhDph83XaGc0o0/edit?usp=sharing"",""งบพรบ!T71"")"),82870)</f>
        <v>82870</v>
      </c>
      <c r="O46" s="93">
        <f t="shared" ca="1" si="26"/>
        <v>27.376940865543443</v>
      </c>
      <c r="P46" s="93">
        <f t="shared" ca="1" si="27"/>
        <v>52.716284987277355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16" t="s">
        <v>12</v>
      </c>
      <c r="I47" s="269"/>
      <c r="J47" s="269"/>
      <c r="K47" s="496"/>
      <c r="L47" s="496">
        <f t="shared" ref="L47:N47" ca="1" si="30">L48+L49</f>
        <v>0</v>
      </c>
      <c r="M47" s="496">
        <f t="shared" ca="1" si="30"/>
        <v>0</v>
      </c>
      <c r="N47" s="496">
        <f t="shared" ca="1" si="30"/>
        <v>0</v>
      </c>
      <c r="O47" s="496">
        <f t="shared" ca="1" si="26"/>
        <v>0</v>
      </c>
      <c r="P47" s="496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2" t="s">
        <v>18</v>
      </c>
      <c r="F48" s="40"/>
      <c r="G48" s="42"/>
      <c r="H48" s="43" t="s">
        <v>12</v>
      </c>
      <c r="I48" s="610"/>
      <c r="J48" s="610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IFERROR(__xludf.DUMMYFUNCTION("IMPORTRANGE(""https://docs.google.com/spreadsheets/d/1MeEWN-I1oV_STSDYn1IFDPWt_1FKiwhDph83XaGc0o0/edit?usp=sharing"",""งบพรบ!P71"")"),0)</f>
        <v>0</v>
      </c>
      <c r="M49" s="52">
        <f ca="1">IFERROR(__xludf.DUMMYFUNCTION("IMPORTRANGE(""https://docs.google.com/spreadsheets/d/1MeEWN-I1oV_STSDYn1IFDPWt_1FKiwhDph83XaGc0o0/edit?usp=sharing"",""งบพรบ!S71"")"),0)</f>
        <v>0</v>
      </c>
      <c r="N49" s="52">
        <f ca="1">IFERROR(__xludf.DUMMYFUNCTION("IMPORTRANGE(""https://docs.google.com/spreadsheets/d/1MeEWN-I1oV_STSDYn1IFDPWt_1FKiwhDph83XaGc0o0/edit?usp=sharing"",""งบพรบ!U71"")"),0)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59" t="s">
        <v>28</v>
      </c>
      <c r="B50" s="849"/>
      <c r="C50" s="849"/>
      <c r="D50" s="849"/>
      <c r="E50" s="849"/>
      <c r="F50" s="849"/>
      <c r="G50" s="847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60" t="s">
        <v>29</v>
      </c>
      <c r="C51" s="857"/>
      <c r="D51" s="857"/>
      <c r="E51" s="857"/>
      <c r="F51" s="857"/>
      <c r="G51" s="858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21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887900</v>
      </c>
      <c r="M53" s="116">
        <f t="shared" ca="1" si="31"/>
        <v>443950</v>
      </c>
      <c r="N53" s="116">
        <f t="shared" ca="1" si="31"/>
        <v>363849.87</v>
      </c>
      <c r="O53" s="116">
        <f t="shared" ref="O53:O61" ca="1" si="32">IF(L53&gt;0,N53*100/L53,0)</f>
        <v>40.978699177835345</v>
      </c>
      <c r="P53" s="116">
        <f t="shared" ref="P53:P61" ca="1" si="33">IF(M53&gt;0,N53*100/M53,0)</f>
        <v>81.957398355670691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887900</v>
      </c>
      <c r="M55" s="123">
        <f t="shared" ca="1" si="34"/>
        <v>443950</v>
      </c>
      <c r="N55" s="123">
        <f t="shared" ca="1" si="34"/>
        <v>363849.87</v>
      </c>
      <c r="O55" s="123">
        <f t="shared" ca="1" si="32"/>
        <v>40.978699177835345</v>
      </c>
      <c r="P55" s="123">
        <f t="shared" ca="1" si="33"/>
        <v>81.957398355670691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16" t="s">
        <v>12</v>
      </c>
      <c r="I56" s="269"/>
      <c r="J56" s="269"/>
      <c r="K56" s="496"/>
      <c r="L56" s="496">
        <f t="shared" ref="L56:N56" ca="1" si="35">L57+L58</f>
        <v>887900</v>
      </c>
      <c r="M56" s="496">
        <f t="shared" ca="1" si="35"/>
        <v>443950</v>
      </c>
      <c r="N56" s="496">
        <f t="shared" ca="1" si="35"/>
        <v>363849.87</v>
      </c>
      <c r="O56" s="496">
        <f t="shared" ca="1" si="32"/>
        <v>40.978699177835345</v>
      </c>
      <c r="P56" s="496">
        <f t="shared" ca="1" si="33"/>
        <v>81.957398355670691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2" t="s">
        <v>18</v>
      </c>
      <c r="F57" s="40"/>
      <c r="G57" s="42"/>
      <c r="H57" s="43" t="s">
        <v>12</v>
      </c>
      <c r="I57" s="610"/>
      <c r="J57" s="610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2" t="s">
        <v>19</v>
      </c>
      <c r="F58" s="40"/>
      <c r="G58" s="42"/>
      <c r="H58" s="43" t="s">
        <v>12</v>
      </c>
      <c r="I58" s="610"/>
      <c r="J58" s="610"/>
      <c r="K58" s="93"/>
      <c r="L58" s="93">
        <f ca="1">IFERROR(__xludf.DUMMYFUNCTION("IMPORTRANGE(""https://docs.google.com/spreadsheets/d/1MeEWN-I1oV_STSDYn1IFDPWt_1FKiwhDph83XaGc0o0/edit?usp=sharing"",""งบพรบ!W71"")"),887900)</f>
        <v>887900</v>
      </c>
      <c r="M58" s="93">
        <f ca="1">IFERROR(__xludf.DUMMYFUNCTION("IMPORTRANGE(""https://docs.google.com/spreadsheets/d/1MeEWN-I1oV_STSDYn1IFDPWt_1FKiwhDph83XaGc0o0/edit?usp=sharing"",""งบพรบ!AB71"")"),443950)</f>
        <v>443950</v>
      </c>
      <c r="N58" s="93">
        <f ca="1">IFERROR(__xludf.DUMMYFUNCTION("IMPORTRANGE(""https://docs.google.com/spreadsheets/d/1MeEWN-I1oV_STSDYn1IFDPWt_1FKiwhDph83XaGc0o0/edit?usp=sharing"",""งบพรบ!AD71"")"),363849.87)</f>
        <v>363849.87</v>
      </c>
      <c r="O58" s="93">
        <f t="shared" ca="1" si="32"/>
        <v>40.978699177835345</v>
      </c>
      <c r="P58" s="93">
        <f t="shared" ca="1" si="33"/>
        <v>81.957398355670691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16" t="s">
        <v>12</v>
      </c>
      <c r="I59" s="269"/>
      <c r="J59" s="269"/>
      <c r="K59" s="496"/>
      <c r="L59" s="496">
        <f t="shared" ref="L59:N59" ca="1" si="36">L60+L61</f>
        <v>0</v>
      </c>
      <c r="M59" s="496">
        <f t="shared" ca="1" si="36"/>
        <v>0</v>
      </c>
      <c r="N59" s="496">
        <f t="shared" ca="1" si="36"/>
        <v>0</v>
      </c>
      <c r="O59" s="496">
        <f t="shared" ca="1" si="32"/>
        <v>0</v>
      </c>
      <c r="P59" s="496">
        <f t="shared" ca="1" si="33"/>
        <v>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2" t="s">
        <v>18</v>
      </c>
      <c r="F60" s="40"/>
      <c r="G60" s="42"/>
      <c r="H60" s="43" t="s">
        <v>12</v>
      </c>
      <c r="I60" s="610"/>
      <c r="J60" s="610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IFERROR(__xludf.DUMMYFUNCTION("IMPORTRANGE(""https://docs.google.com/spreadsheets/d/1MeEWN-I1oV_STSDYn1IFDPWt_1FKiwhDph83XaGc0o0/edit?usp=sharing"",""งบพรบ!Z71"")"),0)</f>
        <v>0</v>
      </c>
      <c r="M61" s="52">
        <f ca="1">IFERROR(__xludf.DUMMYFUNCTION("IMPORTRANGE(""https://docs.google.com/spreadsheets/d/1MeEWN-I1oV_STSDYn1IFDPWt_1FKiwhDph83XaGc0o0/edit?usp=sharing"",""งบพรบ!AC71"")"),0)</f>
        <v>0</v>
      </c>
      <c r="N61" s="52">
        <f ca="1">IFERROR(__xludf.DUMMYFUNCTION("IMPORTRANGE(""https://docs.google.com/spreadsheets/d/1MeEWN-I1oV_STSDYn1IFDPWt_1FKiwhDph83XaGc0o0/edit?usp=sharing"",""งบพรบ!AE71"")"),0)</f>
        <v>0</v>
      </c>
      <c r="O61" s="52">
        <f t="shared" ca="1" si="32"/>
        <v>0</v>
      </c>
      <c r="P61" s="52">
        <f t="shared" ca="1" si="33"/>
        <v>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 hidden="1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 hidden="1">
      <c r="A64" s="138"/>
      <c r="B64" s="208" t="s">
        <v>33</v>
      </c>
      <c r="C64" s="140"/>
      <c r="D64" s="141"/>
      <c r="E64" s="140"/>
      <c r="F64" s="140"/>
      <c r="G64" s="142"/>
      <c r="H64" s="143" t="s">
        <v>34</v>
      </c>
      <c r="I64" s="144">
        <f t="shared" ref="I64:J65" ca="1" si="37">I76</f>
        <v>0</v>
      </c>
      <c r="J64" s="144">
        <f t="shared" si="37"/>
        <v>0</v>
      </c>
      <c r="K64" s="145">
        <f t="shared" ref="K64:K65" ca="1" si="38">IF(I64&gt;0,J64*100/I64,0)</f>
        <v>0</v>
      </c>
      <c r="L64" s="146"/>
      <c r="M64" s="146"/>
      <c r="N64" s="146"/>
      <c r="O64" s="146"/>
      <c r="P64" s="146"/>
    </row>
    <row r="65" spans="1:26" ht="19.5" hidden="1">
      <c r="A65" s="138"/>
      <c r="B65" s="140"/>
      <c r="C65" s="140"/>
      <c r="D65" s="141"/>
      <c r="E65" s="140"/>
      <c r="F65" s="140"/>
      <c r="G65" s="142"/>
      <c r="H65" s="143" t="s">
        <v>35</v>
      </c>
      <c r="I65" s="144">
        <f t="shared" ca="1" si="37"/>
        <v>0</v>
      </c>
      <c r="J65" s="144">
        <f t="shared" si="37"/>
        <v>0</v>
      </c>
      <c r="K65" s="145">
        <f t="shared" ca="1" si="38"/>
        <v>0</v>
      </c>
      <c r="L65" s="146"/>
      <c r="M65" s="146"/>
      <c r="N65" s="146"/>
      <c r="O65" s="146"/>
      <c r="P65" s="146"/>
    </row>
    <row r="66" spans="1:26" ht="19.5" hidden="1">
      <c r="A66" s="147"/>
      <c r="B66" s="148"/>
      <c r="C66" s="149" t="s">
        <v>16</v>
      </c>
      <c r="D66" s="822" t="s">
        <v>17</v>
      </c>
      <c r="E66" s="148"/>
      <c r="F66" s="148"/>
      <c r="G66" s="151"/>
      <c r="H66" s="152" t="s">
        <v>12</v>
      </c>
      <c r="I66" s="419"/>
      <c r="J66" s="419"/>
      <c r="K66" s="154"/>
      <c r="L66" s="155">
        <f t="shared" ref="L66:N66" ca="1" si="39">L67+L68</f>
        <v>0</v>
      </c>
      <c r="M66" s="155">
        <f t="shared" ca="1" si="39"/>
        <v>0</v>
      </c>
      <c r="N66" s="155">
        <f t="shared" ca="1" si="39"/>
        <v>0</v>
      </c>
      <c r="O66" s="155">
        <f t="shared" ref="O66:O74" ca="1" si="40">IF(L66&gt;0,N66*100/L66,0)</f>
        <v>0</v>
      </c>
      <c r="P66" s="155">
        <f t="shared" ref="P66:P74" ca="1" si="41">IF(M66&gt;0,N66*100/M66,0)</f>
        <v>0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2" t="s">
        <v>18</v>
      </c>
      <c r="F67" s="40"/>
      <c r="G67" s="157"/>
      <c r="H67" s="158" t="s">
        <v>12</v>
      </c>
      <c r="I67" s="610"/>
      <c r="J67" s="610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2" t="s">
        <v>19</v>
      </c>
      <c r="F68" s="40"/>
      <c r="G68" s="157"/>
      <c r="H68" s="158" t="s">
        <v>12</v>
      </c>
      <c r="I68" s="610"/>
      <c r="J68" s="610"/>
      <c r="K68" s="93"/>
      <c r="L68" s="93">
        <f t="shared" ca="1" si="42"/>
        <v>0</v>
      </c>
      <c r="M68" s="93">
        <f t="shared" ca="1" si="42"/>
        <v>0</v>
      </c>
      <c r="N68" s="93">
        <f t="shared" ca="1" si="42"/>
        <v>0</v>
      </c>
      <c r="O68" s="93">
        <f t="shared" ca="1" si="40"/>
        <v>0</v>
      </c>
      <c r="P68" s="93">
        <f t="shared" ca="1" si="41"/>
        <v>0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 hidden="1">
      <c r="A69" s="159"/>
      <c r="B69" s="33"/>
      <c r="C69" s="281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6">
        <f t="shared" ref="L69:N69" ca="1" si="43">L70+L71</f>
        <v>0</v>
      </c>
      <c r="M69" s="496">
        <f t="shared" ca="1" si="43"/>
        <v>0</v>
      </c>
      <c r="N69" s="496">
        <f t="shared" ca="1" si="43"/>
        <v>0</v>
      </c>
      <c r="O69" s="496">
        <f t="shared" ca="1" si="40"/>
        <v>0</v>
      </c>
      <c r="P69" s="496">
        <f t="shared" ca="1" si="41"/>
        <v>0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2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2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IFERROR(__xludf.DUMMYFUNCTION("IMPORTRANGE(""https://docs.google.com/spreadsheets/d/1MeEWN-I1oV_STSDYn1IFDPWt_1FKiwhDph83XaGc0o0/edit?usp=sharing"",""งบพรบ!AG71"")"),0)</f>
        <v>0</v>
      </c>
      <c r="M71" s="93">
        <f ca="1">IFERROR(__xludf.DUMMYFUNCTION("IMPORTRANGE(""https://docs.google.com/spreadsheets/d/1MeEWN-I1oV_STSDYn1IFDPWt_1FKiwhDph83XaGc0o0/edit?usp=sharing"",""งบพรบ!AL71"")"),0)</f>
        <v>0</v>
      </c>
      <c r="N71" s="93">
        <f ca="1">IFERROR(__xludf.DUMMYFUNCTION("IMPORTRANGE(""https://docs.google.com/spreadsheets/d/1MeEWN-I1oV_STSDYn1IFDPWt_1FKiwhDph83XaGc0o0/edit?usp=sharing"",""งบพรบ!AN71"")"),0)</f>
        <v>0</v>
      </c>
      <c r="O71" s="93">
        <f t="shared" ca="1" si="40"/>
        <v>0</v>
      </c>
      <c r="P71" s="93">
        <f t="shared" ca="1" si="41"/>
        <v>0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 hidden="1">
      <c r="A72" s="159"/>
      <c r="B72" s="33"/>
      <c r="C72" s="281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6">
        <f t="shared" ref="L72:N72" ca="1" si="44">L73+L74</f>
        <v>0</v>
      </c>
      <c r="M72" s="496">
        <f t="shared" ca="1" si="44"/>
        <v>0</v>
      </c>
      <c r="N72" s="496">
        <f t="shared" ca="1" si="44"/>
        <v>0</v>
      </c>
      <c r="O72" s="496">
        <f t="shared" ca="1" si="40"/>
        <v>0</v>
      </c>
      <c r="P72" s="496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2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2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IFERROR(__xludf.DUMMYFUNCTION("IMPORTRANGE(""https://docs.google.com/spreadsheets/d/1MeEWN-I1oV_STSDYn1IFDPWt_1FKiwhDph83XaGc0o0/edit?usp=sharing"",""งบพรบ!AJ71"")"),0)</f>
        <v>0</v>
      </c>
      <c r="M74" s="93">
        <f ca="1">IFERROR(__xludf.DUMMYFUNCTION("IMPORTRANGE(""https://docs.google.com/spreadsheets/d/1MeEWN-I1oV_STSDYn1IFDPWt_1FKiwhDph83XaGc0o0/edit?usp=sharing"",""งบพรบ!AM71"")"),0)</f>
        <v>0</v>
      </c>
      <c r="N74" s="93">
        <f ca="1">IFERROR(__xludf.DUMMYFUNCTION("IMPORTRANGE(""https://docs.google.com/spreadsheets/d/1MeEWN-I1oV_STSDYn1IFDPWt_1FKiwhDph83XaGc0o0/edit?usp=sharing"",""งบพรบ!AO71"")"),0)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 hidden="1">
      <c r="A75" s="170"/>
      <c r="B75" s="171"/>
      <c r="C75" s="164" t="s">
        <v>16</v>
      </c>
      <c r="D75" s="823" t="s">
        <v>38</v>
      </c>
      <c r="E75" s="173"/>
      <c r="F75" s="173"/>
      <c r="G75" s="174"/>
      <c r="H75" s="753"/>
      <c r="I75" s="184"/>
      <c r="J75" s="184"/>
      <c r="K75" s="163"/>
      <c r="L75" s="163"/>
      <c r="M75" s="163"/>
      <c r="N75" s="163"/>
      <c r="O75" s="163"/>
      <c r="P75" s="163"/>
    </row>
    <row r="76" spans="1:26" ht="19.5" hidden="1">
      <c r="A76" s="170"/>
      <c r="B76" s="171"/>
      <c r="C76" s="171"/>
      <c r="D76" s="176" t="s">
        <v>39</v>
      </c>
      <c r="E76" s="446"/>
      <c r="F76" s="178"/>
      <c r="G76" s="179"/>
      <c r="H76" s="180" t="s">
        <v>34</v>
      </c>
      <c r="I76" s="269">
        <f t="shared" ref="I76:J77" ca="1" si="45">I78+I80+I82</f>
        <v>0</v>
      </c>
      <c r="J76" s="269">
        <f t="shared" si="45"/>
        <v>0</v>
      </c>
      <c r="K76" s="163">
        <f t="shared" ref="K76:K84" ca="1" si="46">IF(I76&gt;0,J76*100/I76,0)</f>
        <v>0</v>
      </c>
      <c r="L76" s="163"/>
      <c r="M76" s="163"/>
      <c r="N76" s="163"/>
      <c r="O76" s="163"/>
      <c r="P76" s="163"/>
    </row>
    <row r="77" spans="1:26" ht="19.5" hidden="1">
      <c r="A77" s="170"/>
      <c r="B77" s="171"/>
      <c r="C77" s="171"/>
      <c r="D77" s="171"/>
      <c r="E77" s="178"/>
      <c r="F77" s="178"/>
      <c r="G77" s="179"/>
      <c r="H77" s="180" t="s">
        <v>35</v>
      </c>
      <c r="I77" s="269">
        <f t="shared" ca="1" si="45"/>
        <v>0</v>
      </c>
      <c r="J77" s="269">
        <f t="shared" si="45"/>
        <v>0</v>
      </c>
      <c r="K77" s="163">
        <f t="shared" ca="1" si="46"/>
        <v>0</v>
      </c>
      <c r="L77" s="163"/>
      <c r="M77" s="163"/>
      <c r="N77" s="163"/>
      <c r="O77" s="163"/>
      <c r="P77" s="163"/>
    </row>
    <row r="78" spans="1:26" ht="18.75" hidden="1">
      <c r="A78" s="170"/>
      <c r="B78" s="171"/>
      <c r="C78" s="171"/>
      <c r="D78" s="171"/>
      <c r="E78" s="446" t="s">
        <v>40</v>
      </c>
      <c r="F78" s="446"/>
      <c r="G78" s="179"/>
      <c r="H78" s="755" t="s">
        <v>34</v>
      </c>
      <c r="I78" s="184">
        <f ca="1">IFERROR(__xludf.DUMMYFUNCTION("IMPORTRANGE(""https://docs.google.com/spreadsheets/d/1QqKyyYR6Q21VydFLVH3TRQUabQu_ym0Zz7PgGX0-kHA/edit?usp=sharing"",""แผน!H71"")"),0)</f>
        <v>0</v>
      </c>
      <c r="J78" s="214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 hidden="1">
      <c r="A79" s="170"/>
      <c r="B79" s="171"/>
      <c r="C79" s="171"/>
      <c r="D79" s="171"/>
      <c r="E79" s="178"/>
      <c r="F79" s="178"/>
      <c r="G79" s="179"/>
      <c r="H79" s="755" t="s">
        <v>35</v>
      </c>
      <c r="I79" s="184">
        <f ca="1">IFERROR(__xludf.DUMMYFUNCTION("IMPORTRANGE(""https://docs.google.com/spreadsheets/d/1QqKyyYR6Q21VydFLVH3TRQUabQu_ym0Zz7PgGX0-kHA/edit?usp=sharing"",""แผน!I71"")"),0)</f>
        <v>0</v>
      </c>
      <c r="J79" s="214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 hidden="1">
      <c r="A80" s="170"/>
      <c r="B80" s="171"/>
      <c r="C80" s="171"/>
      <c r="D80" s="171"/>
      <c r="E80" s="446" t="s">
        <v>41</v>
      </c>
      <c r="F80" s="446"/>
      <c r="G80" s="179"/>
      <c r="H80" s="755" t="s">
        <v>34</v>
      </c>
      <c r="I80" s="184">
        <f ca="1">IFERROR(__xludf.DUMMYFUNCTION("IMPORTRANGE(""https://docs.google.com/spreadsheets/d/1QqKyyYR6Q21VydFLVH3TRQUabQu_ym0Zz7PgGX0-kHA/edit?usp=sharing"",""แผน!F71"")"),0)</f>
        <v>0</v>
      </c>
      <c r="J80" s="214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 hidden="1">
      <c r="A81" s="170"/>
      <c r="B81" s="171"/>
      <c r="C81" s="171"/>
      <c r="D81" s="171"/>
      <c r="E81" s="178"/>
      <c r="F81" s="178"/>
      <c r="G81" s="179"/>
      <c r="H81" s="755" t="s">
        <v>35</v>
      </c>
      <c r="I81" s="184">
        <f ca="1">IFERROR(__xludf.DUMMYFUNCTION("IMPORTRANGE(""https://docs.google.com/spreadsheets/d/1QqKyyYR6Q21VydFLVH3TRQUabQu_ym0Zz7PgGX0-kHA/edit?usp=sharing"",""แผน!G71"")"),0)</f>
        <v>0</v>
      </c>
      <c r="J81" s="214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 hidden="1">
      <c r="A82" s="170"/>
      <c r="B82" s="171"/>
      <c r="C82" s="171"/>
      <c r="D82" s="171"/>
      <c r="E82" s="446" t="s">
        <v>42</v>
      </c>
      <c r="F82" s="446"/>
      <c r="G82" s="179"/>
      <c r="H82" s="755" t="s">
        <v>34</v>
      </c>
      <c r="I82" s="184">
        <f ca="1">IFERROR(__xludf.DUMMYFUNCTION("IMPORTRANGE(""https://docs.google.com/spreadsheets/d/1QqKyyYR6Q21VydFLVH3TRQUabQu_ym0Zz7PgGX0-kHA/edit?usp=sharing"",""แผน!D71"")"),0)</f>
        <v>0</v>
      </c>
      <c r="J82" s="214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 hidden="1">
      <c r="A83" s="170"/>
      <c r="B83" s="171"/>
      <c r="C83" s="171"/>
      <c r="D83" s="171"/>
      <c r="E83" s="178"/>
      <c r="F83" s="178"/>
      <c r="G83" s="179"/>
      <c r="H83" s="755" t="s">
        <v>35</v>
      </c>
      <c r="I83" s="184">
        <f ca="1">IFERROR(__xludf.DUMMYFUNCTION("IMPORTRANGE(""https://docs.google.com/spreadsheets/d/1QqKyyYR6Q21VydFLVH3TRQUabQu_ym0Zz7PgGX0-kHA/edit?usp=sharing"",""แผน!E71"")"),0)</f>
        <v>0</v>
      </c>
      <c r="J83" s="214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 hidden="1">
      <c r="A84" s="170"/>
      <c r="B84" s="171"/>
      <c r="C84" s="171"/>
      <c r="D84" s="176" t="s">
        <v>43</v>
      </c>
      <c r="E84" s="446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IFERROR(__xludf.DUMMYFUNCTION("IMPORTRANGE(""https://docs.google.com/spreadsheets/d/1QqKyyYR6Q21VydFLVH3TRQUabQu_ym0Zz7PgGX0-kHA/edit?usp=sharing"",""แผน!J71"")"),0)</f>
        <v>0</v>
      </c>
      <c r="J84" s="214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8" t="s">
        <v>45</v>
      </c>
      <c r="C86" s="140"/>
      <c r="D86" s="141"/>
      <c r="E86" s="140"/>
      <c r="F86" s="140"/>
      <c r="G86" s="142"/>
      <c r="H86" s="143" t="s">
        <v>46</v>
      </c>
      <c r="I86" s="144">
        <f t="shared" ref="I86:J87" ca="1" si="47">I98</f>
        <v>0</v>
      </c>
      <c r="J86" s="144">
        <f t="shared" si="47"/>
        <v>0</v>
      </c>
      <c r="K86" s="145">
        <f t="shared" ref="K86:K87" ca="1" si="48">IF(I86&gt;0,J86*100/I86,0)</f>
        <v>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143" t="s">
        <v>35</v>
      </c>
      <c r="I87" s="144">
        <f t="shared" ca="1" si="47"/>
        <v>0</v>
      </c>
      <c r="J87" s="144">
        <f t="shared" si="47"/>
        <v>0</v>
      </c>
      <c r="K87" s="145">
        <f t="shared" ca="1" si="48"/>
        <v>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22" t="s">
        <v>17</v>
      </c>
      <c r="E88" s="148"/>
      <c r="F88" s="148"/>
      <c r="G88" s="151"/>
      <c r="H88" s="152" t="s">
        <v>12</v>
      </c>
      <c r="I88" s="419"/>
      <c r="J88" s="419"/>
      <c r="K88" s="154"/>
      <c r="L88" s="155">
        <f t="shared" ref="L88:N88" ca="1" si="49">L89+L90</f>
        <v>174500</v>
      </c>
      <c r="M88" s="155">
        <f t="shared" ca="1" si="49"/>
        <v>99400</v>
      </c>
      <c r="N88" s="155">
        <f t="shared" ca="1" si="49"/>
        <v>71197.36</v>
      </c>
      <c r="O88" s="155">
        <f t="shared" ref="O88:O96" ca="1" si="50">IF(L88&gt;0,N88*100/L88,0)</f>
        <v>40.800779369627506</v>
      </c>
      <c r="P88" s="155">
        <f t="shared" ref="P88:P96" ca="1" si="51">IF(M88&gt;0,N88*100/M88,0)</f>
        <v>71.627122736418514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2" t="s">
        <v>18</v>
      </c>
      <c r="F89" s="40"/>
      <c r="G89" s="157"/>
      <c r="H89" s="158" t="s">
        <v>12</v>
      </c>
      <c r="I89" s="610"/>
      <c r="J89" s="610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2" t="s">
        <v>19</v>
      </c>
      <c r="F90" s="40"/>
      <c r="G90" s="157"/>
      <c r="H90" s="158" t="s">
        <v>12</v>
      </c>
      <c r="I90" s="610"/>
      <c r="J90" s="610"/>
      <c r="K90" s="93"/>
      <c r="L90" s="93">
        <f t="shared" ca="1" si="52"/>
        <v>174500</v>
      </c>
      <c r="M90" s="93">
        <f t="shared" ca="1" si="52"/>
        <v>99400</v>
      </c>
      <c r="N90" s="93">
        <f t="shared" ca="1" si="52"/>
        <v>71197.36</v>
      </c>
      <c r="O90" s="93">
        <f t="shared" ca="1" si="50"/>
        <v>40.800779369627506</v>
      </c>
      <c r="P90" s="93">
        <f t="shared" ca="1" si="51"/>
        <v>71.627122736418514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1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6">
        <f t="shared" ref="L91:N91" ca="1" si="53">L92+L93</f>
        <v>174500</v>
      </c>
      <c r="M91" s="496">
        <f t="shared" ca="1" si="53"/>
        <v>99400</v>
      </c>
      <c r="N91" s="496">
        <f t="shared" ca="1" si="53"/>
        <v>71197.36</v>
      </c>
      <c r="O91" s="496">
        <f t="shared" ca="1" si="50"/>
        <v>40.800779369627506</v>
      </c>
      <c r="P91" s="496">
        <f t="shared" ca="1" si="51"/>
        <v>71.627122736418514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2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2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IFERROR(__xludf.DUMMYFUNCTION("IMPORTRANGE(""https://docs.google.com/spreadsheets/d/1MeEWN-I1oV_STSDYn1IFDPWt_1FKiwhDph83XaGc0o0/edit?usp=sharing"",""งบพรบ!AQ71"")"),174500)</f>
        <v>174500</v>
      </c>
      <c r="M93" s="93">
        <f ca="1">IFERROR(__xludf.DUMMYFUNCTION("IMPORTRANGE(""https://docs.google.com/spreadsheets/d/1MeEWN-I1oV_STSDYn1IFDPWt_1FKiwhDph83XaGc0o0/edit?usp=sharing"",""งบพรบ!AV71"")"),99400)</f>
        <v>99400</v>
      </c>
      <c r="N93" s="93">
        <f ca="1">IFERROR(__xludf.DUMMYFUNCTION("IMPORTRANGE(""https://docs.google.com/spreadsheets/d/1MeEWN-I1oV_STSDYn1IFDPWt_1FKiwhDph83XaGc0o0/edit?usp=sharing"",""งบพรบ!AX71"")"),71197.36)</f>
        <v>71197.36</v>
      </c>
      <c r="O93" s="93">
        <f t="shared" ca="1" si="50"/>
        <v>40.800779369627506</v>
      </c>
      <c r="P93" s="93">
        <f t="shared" ca="1" si="51"/>
        <v>71.627122736418514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1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6">
        <f t="shared" ref="L94:N94" ca="1" si="54">L95+L96</f>
        <v>0</v>
      </c>
      <c r="M94" s="496">
        <f t="shared" ca="1" si="54"/>
        <v>0</v>
      </c>
      <c r="N94" s="496">
        <f t="shared" ca="1" si="54"/>
        <v>0</v>
      </c>
      <c r="O94" s="496">
        <f t="shared" ca="1" si="50"/>
        <v>0</v>
      </c>
      <c r="P94" s="496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2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2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IFERROR(__xludf.DUMMYFUNCTION("IMPORTRANGE(""https://docs.google.com/spreadsheets/d/1MeEWN-I1oV_STSDYn1IFDPWt_1FKiwhDph83XaGc0o0/edit?usp=sharing"",""งบพรบ!AT71"")"),0)</f>
        <v>0</v>
      </c>
      <c r="M96" s="93">
        <f ca="1">IFERROR(__xludf.DUMMYFUNCTION("IMPORTRANGE(""https://docs.google.com/spreadsheets/d/1MeEWN-I1oV_STSDYn1IFDPWt_1FKiwhDph83XaGc0o0/edit?usp=sharing"",""งบพรบ!AW71"")"),0)</f>
        <v>0</v>
      </c>
      <c r="N96" s="93">
        <f ca="1">IFERROR(__xludf.DUMMYFUNCTION("IMPORTRANGE(""https://docs.google.com/spreadsheets/d/1MeEWN-I1oV_STSDYn1IFDPWt_1FKiwhDph83XaGc0o0/edit?usp=sharing"",""งบพรบ!AY71"")"),0)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23" t="s">
        <v>38</v>
      </c>
      <c r="E97" s="173"/>
      <c r="F97" s="173"/>
      <c r="G97" s="174"/>
      <c r="H97" s="753"/>
      <c r="I97" s="184"/>
      <c r="J97" s="269"/>
      <c r="K97" s="496"/>
      <c r="L97" s="496"/>
      <c r="M97" s="496"/>
      <c r="N97" s="496"/>
      <c r="O97" s="163"/>
      <c r="P97" s="163"/>
    </row>
    <row r="98" spans="1:16" ht="18.75">
      <c r="A98" s="170"/>
      <c r="B98" s="171"/>
      <c r="C98" s="171"/>
      <c r="D98" s="446" t="s">
        <v>47</v>
      </c>
      <c r="E98" s="446"/>
      <c r="F98" s="178"/>
      <c r="G98" s="179"/>
      <c r="H98" s="616" t="s">
        <v>46</v>
      </c>
      <c r="I98" s="269">
        <f ca="1">IFERROR(__xludf.DUMMYFUNCTION("IMPORTRANGE(""https://docs.google.com/spreadsheets/d/1QqKyyYR6Q21VydFLVH3TRQUabQu_ym0Zz7PgGX0-kHA/edit?usp=sharing"",""แผน!K71"")"),0)</f>
        <v>0</v>
      </c>
      <c r="J98" s="269">
        <f>J102</f>
        <v>0</v>
      </c>
      <c r="K98" s="496">
        <f t="shared" ref="K98:K100" ca="1" si="55">IF(I98&gt;0,J98*100/I98,0)</f>
        <v>0</v>
      </c>
      <c r="L98" s="496"/>
      <c r="M98" s="496"/>
      <c r="N98" s="496"/>
      <c r="O98" s="163"/>
      <c r="P98" s="163"/>
    </row>
    <row r="99" spans="1:16" ht="18.75">
      <c r="A99" s="170"/>
      <c r="B99" s="171"/>
      <c r="C99" s="171"/>
      <c r="D99" s="446" t="s">
        <v>48</v>
      </c>
      <c r="E99" s="446"/>
      <c r="F99" s="178"/>
      <c r="G99" s="179"/>
      <c r="H99" s="616" t="s">
        <v>35</v>
      </c>
      <c r="I99" s="269">
        <f ca="1">IFERROR(__xludf.DUMMYFUNCTION("IMPORTRANGE(""https://docs.google.com/spreadsheets/d/1QqKyyYR6Q21VydFLVH3TRQUabQu_ym0Zz7PgGX0-kHA/edit?usp=sharing"",""แผน!L71"")"),0)</f>
        <v>0</v>
      </c>
      <c r="J99" s="269">
        <f>J104</f>
        <v>0</v>
      </c>
      <c r="K99" s="496">
        <f t="shared" ca="1" si="55"/>
        <v>0</v>
      </c>
      <c r="L99" s="496"/>
      <c r="M99" s="496"/>
      <c r="N99" s="496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16" t="s">
        <v>49</v>
      </c>
      <c r="I100" s="269">
        <f ca="1">IFERROR(__xludf.DUMMYFUNCTION("IMPORTRANGE(""https://docs.google.com/spreadsheets/d/1QqKyyYR6Q21VydFLVH3TRQUabQu_ym0Zz7PgGX0-kHA/edit?usp=sharing"",""แผน!M71"")"),1)</f>
        <v>1</v>
      </c>
      <c r="J100" s="269">
        <f>J107+J110</f>
        <v>1</v>
      </c>
      <c r="K100" s="496">
        <f t="shared" ca="1" si="55"/>
        <v>100</v>
      </c>
      <c r="L100" s="496"/>
      <c r="M100" s="496"/>
      <c r="N100" s="496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16"/>
      <c r="I101" s="269"/>
      <c r="J101" s="269"/>
      <c r="K101" s="496"/>
      <c r="L101" s="496"/>
      <c r="M101" s="496"/>
      <c r="N101" s="496"/>
      <c r="O101" s="163"/>
      <c r="P101" s="163"/>
    </row>
    <row r="102" spans="1:16" ht="18.75">
      <c r="A102" s="170"/>
      <c r="B102" s="171"/>
      <c r="C102" s="171"/>
      <c r="D102" s="178"/>
      <c r="E102" s="619" t="s">
        <v>47</v>
      </c>
      <c r="F102" s="178"/>
      <c r="G102" s="179"/>
      <c r="H102" s="616" t="s">
        <v>46</v>
      </c>
      <c r="I102" s="269">
        <f ca="1">IFERROR(__xludf.DUMMYFUNCTION("IMPORTRANGE(""https://docs.google.com/spreadsheets/d/1QqKyyYR6Q21VydFLVH3TRQUabQu_ym0Zz7PgGX0-kHA/edit?usp=sharing"",""แผน!N71"")"),0)</f>
        <v>0</v>
      </c>
      <c r="J102" s="214">
        <v>0</v>
      </c>
      <c r="K102" s="496">
        <f t="shared" ref="K102:K104" ca="1" si="56">IF(I102&gt;0,J102*100/I102,0)</f>
        <v>0</v>
      </c>
      <c r="L102" s="496"/>
      <c r="M102" s="496"/>
      <c r="N102" s="496"/>
      <c r="O102" s="163"/>
      <c r="P102" s="163"/>
    </row>
    <row r="103" spans="1:16" ht="19.5">
      <c r="A103" s="170"/>
      <c r="B103" s="171"/>
      <c r="C103" s="171"/>
      <c r="D103" s="178"/>
      <c r="E103" s="446" t="s">
        <v>51</v>
      </c>
      <c r="F103" s="178"/>
      <c r="G103" s="179"/>
      <c r="H103" s="616" t="s">
        <v>35</v>
      </c>
      <c r="I103" s="269">
        <f ca="1">IFERROR(__xludf.DUMMYFUNCTION("IMPORTRANGE(""https://docs.google.com/spreadsheets/d/1QqKyyYR6Q21VydFLVH3TRQUabQu_ym0Zz7PgGX0-kHA/edit?usp=sharing"",""แผน!O71"")"),0)</f>
        <v>0</v>
      </c>
      <c r="J103" s="214">
        <v>0</v>
      </c>
      <c r="K103" s="496">
        <f t="shared" ca="1" si="56"/>
        <v>0</v>
      </c>
      <c r="L103" s="496"/>
      <c r="M103" s="496"/>
      <c r="N103" s="496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16" t="s">
        <v>35</v>
      </c>
      <c r="I104" s="269">
        <f ca="1">IFERROR(__xludf.DUMMYFUNCTION("IMPORTRANGE(""https://docs.google.com/spreadsheets/d/1QqKyyYR6Q21VydFLVH3TRQUabQu_ym0Zz7PgGX0-kHA/edit?usp=sharing"",""แผน!O71"")"),0)</f>
        <v>0</v>
      </c>
      <c r="J104" s="214">
        <v>0</v>
      </c>
      <c r="K104" s="496">
        <f t="shared" ca="1" si="56"/>
        <v>0</v>
      </c>
      <c r="L104" s="496"/>
      <c r="M104" s="496"/>
      <c r="N104" s="496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69"/>
      <c r="J105" s="269"/>
      <c r="K105" s="496"/>
      <c r="L105" s="496"/>
      <c r="M105" s="496"/>
      <c r="N105" s="496"/>
      <c r="O105" s="163"/>
      <c r="P105" s="163"/>
    </row>
    <row r="106" spans="1:16" ht="19.5">
      <c r="A106" s="170"/>
      <c r="B106" s="171"/>
      <c r="C106" s="171"/>
      <c r="D106" s="178"/>
      <c r="E106" s="446" t="s">
        <v>54</v>
      </c>
      <c r="F106" s="178"/>
      <c r="G106" s="179"/>
      <c r="H106" s="616" t="s">
        <v>49</v>
      </c>
      <c r="I106" s="269">
        <f ca="1">IFERROR(__xludf.DUMMYFUNCTION("IMPORTRANGE(""https://docs.google.com/spreadsheets/d/1QqKyyYR6Q21VydFLVH3TRQUabQu_ym0Zz7PgGX0-kHA/edit?usp=sharing"",""แผน!P71"")"),0)</f>
        <v>0</v>
      </c>
      <c r="J106" s="214">
        <v>0</v>
      </c>
      <c r="K106" s="496">
        <f t="shared" ref="K106:K107" ca="1" si="57">IF(I106&gt;0,J106*100/I106,0)</f>
        <v>0</v>
      </c>
      <c r="L106" s="496"/>
      <c r="M106" s="496"/>
      <c r="N106" s="496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16" t="s">
        <v>49</v>
      </c>
      <c r="I107" s="269">
        <f ca="1">IFERROR(__xludf.DUMMYFUNCTION("IMPORTRANGE(""https://docs.google.com/spreadsheets/d/1QqKyyYR6Q21VydFLVH3TRQUabQu_ym0Zz7PgGX0-kHA/edit?usp=sharing"",""แผน!P71"")"),0)</f>
        <v>0</v>
      </c>
      <c r="J107" s="214">
        <v>0</v>
      </c>
      <c r="K107" s="496">
        <f t="shared" ca="1" si="57"/>
        <v>0</v>
      </c>
      <c r="L107" s="496"/>
      <c r="M107" s="496"/>
      <c r="N107" s="496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69"/>
      <c r="J108" s="269"/>
      <c r="K108" s="496"/>
      <c r="L108" s="496"/>
      <c r="M108" s="496"/>
      <c r="N108" s="496"/>
      <c r="O108" s="163"/>
      <c r="P108" s="163"/>
    </row>
    <row r="109" spans="1:16" ht="19.5">
      <c r="A109" s="170"/>
      <c r="B109" s="171"/>
      <c r="C109" s="171"/>
      <c r="D109" s="178"/>
      <c r="E109" s="446" t="s">
        <v>57</v>
      </c>
      <c r="F109" s="178"/>
      <c r="G109" s="179"/>
      <c r="H109" s="616" t="s">
        <v>49</v>
      </c>
      <c r="I109" s="269">
        <f ca="1">IFERROR(__xludf.DUMMYFUNCTION("IMPORTRANGE(""https://docs.google.com/spreadsheets/d/1QqKyyYR6Q21VydFLVH3TRQUabQu_ym0Zz7PgGX0-kHA/edit?usp=sharing"",""แผน!Q71"")"),1)</f>
        <v>1</v>
      </c>
      <c r="J109" s="214">
        <v>1</v>
      </c>
      <c r="K109" s="496">
        <f t="shared" ref="K109:K116" ca="1" si="58">IF(I109&gt;0,J109*100/I109,0)</f>
        <v>100</v>
      </c>
      <c r="L109" s="496"/>
      <c r="M109" s="496"/>
      <c r="N109" s="496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16" t="s">
        <v>49</v>
      </c>
      <c r="I110" s="269">
        <f ca="1">IFERROR(__xludf.DUMMYFUNCTION("IMPORTRANGE(""https://docs.google.com/spreadsheets/d/1QqKyyYR6Q21VydFLVH3TRQUabQu_ym0Zz7PgGX0-kHA/edit?usp=sharing"",""แผน!Q71"")"),1)</f>
        <v>1</v>
      </c>
      <c r="J110" s="214">
        <v>1</v>
      </c>
      <c r="K110" s="496">
        <f t="shared" ca="1" si="58"/>
        <v>100</v>
      </c>
      <c r="L110" s="496"/>
      <c r="M110" s="496"/>
      <c r="N110" s="496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58" t="s">
        <v>35</v>
      </c>
      <c r="I111" s="193">
        <f ca="1">IFERROR(__xludf.DUMMYFUNCTION("IMPORTRANGE(""https://docs.google.com/spreadsheets/d/1QqKyyYR6Q21VydFLVH3TRQUabQu_ym0Zz7PgGX0-kHA/edit?usp=sharing"",""แผน!R71"")"),0)</f>
        <v>0</v>
      </c>
      <c r="J111" s="674">
        <f>J114</f>
        <v>0</v>
      </c>
      <c r="K111" s="195">
        <f t="shared" ca="1" si="58"/>
        <v>0</v>
      </c>
      <c r="L111" s="496"/>
      <c r="M111" s="496"/>
      <c r="N111" s="496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1</v>
      </c>
      <c r="J112" s="674">
        <f t="shared" si="59"/>
        <v>0</v>
      </c>
      <c r="K112" s="195">
        <f t="shared" ca="1" si="58"/>
        <v>0</v>
      </c>
      <c r="L112" s="496"/>
      <c r="M112" s="496"/>
      <c r="N112" s="496"/>
      <c r="O112" s="163"/>
      <c r="P112" s="163"/>
    </row>
    <row r="113" spans="1:26" ht="19.5">
      <c r="A113" s="170"/>
      <c r="B113" s="171"/>
      <c r="C113" s="171"/>
      <c r="D113" s="171"/>
      <c r="E113" s="525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IFERROR(__xludf.DUMMYFUNCTION("IMPORTRANGE(""https://docs.google.com/spreadsheets/d/1QqKyyYR6Q21VydFLVH3TRQUabQu_ym0Zz7PgGX0-kHA/edit?usp=sharing"",""แผน!R71"")"),0)</f>
        <v>0</v>
      </c>
      <c r="J113" s="214">
        <v>0</v>
      </c>
      <c r="K113" s="496">
        <f t="shared" ca="1" si="58"/>
        <v>0</v>
      </c>
      <c r="L113" s="496"/>
      <c r="M113" s="496"/>
      <c r="N113" s="496"/>
      <c r="O113" s="163"/>
      <c r="P113" s="163"/>
    </row>
    <row r="114" spans="1:26" ht="19.5">
      <c r="A114" s="170"/>
      <c r="B114" s="171"/>
      <c r="C114" s="171"/>
      <c r="D114" s="171"/>
      <c r="E114" s="446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IFERROR(__xludf.DUMMYFUNCTION("IMPORTRANGE(""https://docs.google.com/spreadsheets/d/1QqKyyYR6Q21VydFLVH3TRQUabQu_ym0Zz7PgGX0-kHA/edit?usp=sharing"",""แผน!R71"")"),0)</f>
        <v>0</v>
      </c>
      <c r="J114" s="214">
        <v>0</v>
      </c>
      <c r="K114" s="496">
        <f t="shared" ca="1" si="58"/>
        <v>0</v>
      </c>
      <c r="L114" s="496"/>
      <c r="M114" s="496"/>
      <c r="N114" s="496"/>
      <c r="O114" s="163"/>
      <c r="P114" s="163"/>
    </row>
    <row r="115" spans="1:26" ht="18.75">
      <c r="A115" s="170"/>
      <c r="B115" s="171"/>
      <c r="C115" s="171"/>
      <c r="D115" s="171"/>
      <c r="E115" s="446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IFERROR(__xludf.DUMMYFUNCTION("IMPORTRANGE(""https://docs.google.com/spreadsheets/d/1QqKyyYR6Q21VydFLVH3TRQUabQu_ym0Zz7PgGX0-kHA/edit?usp=sharing"",""แผน!S71"")"),0)</f>
        <v>0</v>
      </c>
      <c r="J115" s="214">
        <v>0</v>
      </c>
      <c r="K115" s="496">
        <f t="shared" ca="1" si="58"/>
        <v>0</v>
      </c>
      <c r="L115" s="496"/>
      <c r="M115" s="496"/>
      <c r="N115" s="496"/>
      <c r="O115" s="163"/>
      <c r="P115" s="163"/>
    </row>
    <row r="116" spans="1:26" ht="18.75">
      <c r="A116" s="170"/>
      <c r="B116" s="171"/>
      <c r="C116" s="171"/>
      <c r="D116" s="171"/>
      <c r="E116" s="446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IFERROR(__xludf.DUMMYFUNCTION("IMPORTRANGE(""https://docs.google.com/spreadsheets/d/1QqKyyYR6Q21VydFLVH3TRQUabQu_ym0Zz7PgGX0-kHA/edit?usp=sharing"",""แผน!T71"")"),1)</f>
        <v>1</v>
      </c>
      <c r="J116" s="214">
        <v>0</v>
      </c>
      <c r="K116" s="496">
        <f t="shared" ca="1" si="58"/>
        <v>0</v>
      </c>
      <c r="L116" s="496"/>
      <c r="M116" s="496"/>
      <c r="N116" s="496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8" t="s">
        <v>65</v>
      </c>
      <c r="C118" s="204"/>
      <c r="D118" s="141"/>
      <c r="E118" s="140"/>
      <c r="F118" s="140"/>
      <c r="G118" s="142"/>
      <c r="H118" s="143"/>
      <c r="I118" s="205"/>
      <c r="J118" s="205"/>
      <c r="K118" s="146"/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22" t="s">
        <v>17</v>
      </c>
      <c r="E119" s="148"/>
      <c r="F119" s="148"/>
      <c r="G119" s="151"/>
      <c r="H119" s="152" t="s">
        <v>12</v>
      </c>
      <c r="I119" s="419"/>
      <c r="J119" s="419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2" t="s">
        <v>18</v>
      </c>
      <c r="F120" s="40"/>
      <c r="G120" s="157"/>
      <c r="H120" s="158" t="s">
        <v>12</v>
      </c>
      <c r="I120" s="610"/>
      <c r="J120" s="610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2" t="s">
        <v>19</v>
      </c>
      <c r="F121" s="40"/>
      <c r="G121" s="157"/>
      <c r="H121" s="158" t="s">
        <v>12</v>
      </c>
      <c r="I121" s="610"/>
      <c r="J121" s="610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1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6">
        <f t="shared" ref="L122:N122" ca="1" si="64">L123+L124</f>
        <v>0</v>
      </c>
      <c r="M122" s="496">
        <f t="shared" ca="1" si="64"/>
        <v>0</v>
      </c>
      <c r="N122" s="496">
        <f t="shared" ca="1" si="64"/>
        <v>0</v>
      </c>
      <c r="O122" s="496">
        <f t="shared" ca="1" si="61"/>
        <v>0</v>
      </c>
      <c r="P122" s="496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2"/>
      <c r="D123" s="40"/>
      <c r="E123" s="222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2"/>
      <c r="D124" s="40"/>
      <c r="E124" s="222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IFERROR(__xludf.DUMMYFUNCTION("IMPORTRANGE(""https://docs.google.com/spreadsheets/d/1MeEWN-I1oV_STSDYn1IFDPWt_1FKiwhDph83XaGc0o0/edit?usp=sharing"",""งบพรบ!BA71"")"),0)</f>
        <v>0</v>
      </c>
      <c r="M124" s="93">
        <f ca="1">IFERROR(__xludf.DUMMYFUNCTION("IMPORTRANGE(""https://docs.google.com/spreadsheets/d/1MeEWN-I1oV_STSDYn1IFDPWt_1FKiwhDph83XaGc0o0/edit?usp=sharing"",""งบพรบ!BF71"")"),0)</f>
        <v>0</v>
      </c>
      <c r="N124" s="93">
        <f ca="1">IFERROR(__xludf.DUMMYFUNCTION("IMPORTRANGE(""https://docs.google.com/spreadsheets/d/1MeEWN-I1oV_STSDYn1IFDPWt_1FKiwhDph83XaGc0o0/edit?usp=sharing"",""งบพรบ!BH71"")"),0)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1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6">
        <f t="shared" ref="L125:N125" ca="1" si="65">L126+L127</f>
        <v>0</v>
      </c>
      <c r="M125" s="496">
        <f t="shared" ca="1" si="65"/>
        <v>0</v>
      </c>
      <c r="N125" s="496">
        <f t="shared" ca="1" si="65"/>
        <v>0</v>
      </c>
      <c r="O125" s="496">
        <f t="shared" ca="1" si="61"/>
        <v>0</v>
      </c>
      <c r="P125" s="496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2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2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IFERROR(__xludf.DUMMYFUNCTION("IMPORTRANGE(""https://docs.google.com/spreadsheets/d/1MeEWN-I1oV_STSDYn1IFDPWt_1FKiwhDph83XaGc0o0/edit?usp=sharing"",""งบพรบ!BD71"")"),0)</f>
        <v>0</v>
      </c>
      <c r="M127" s="93">
        <f ca="1">IFERROR(__xludf.DUMMYFUNCTION("IMPORTRANGE(""https://docs.google.com/spreadsheets/d/1MeEWN-I1oV_STSDYn1IFDPWt_1FKiwhDph83XaGc0o0/edit?usp=sharing"",""งบพรบ!BG71"")"),0)</f>
        <v>0</v>
      </c>
      <c r="N127" s="93">
        <f ca="1">IFERROR(__xludf.DUMMYFUNCTION("IMPORTRANGE(""https://docs.google.com/spreadsheets/d/1MeEWN-I1oV_STSDYn1IFDPWt_1FKiwhDph83XaGc0o0/edit?usp=sharing"",""งบพรบ!BI71"")"),0)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66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8" t="s">
        <v>67</v>
      </c>
      <c r="C129" s="204"/>
      <c r="D129" s="141"/>
      <c r="E129" s="140"/>
      <c r="F129" s="140"/>
      <c r="G129" s="140"/>
      <c r="H129" s="207"/>
      <c r="I129" s="205"/>
      <c r="J129" s="205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8"/>
      <c r="C130" s="209" t="s">
        <v>68</v>
      </c>
      <c r="D130" s="141"/>
      <c r="E130" s="140"/>
      <c r="F130" s="140"/>
      <c r="G130" s="142"/>
      <c r="H130" s="143" t="s">
        <v>69</v>
      </c>
      <c r="I130" s="144">
        <f t="shared" ref="I130:J130" ca="1" si="66">I146</f>
        <v>0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8"/>
      <c r="C131" s="209" t="s">
        <v>70</v>
      </c>
      <c r="D131" s="141"/>
      <c r="E131" s="140"/>
      <c r="F131" s="140"/>
      <c r="G131" s="142"/>
      <c r="H131" s="143" t="s">
        <v>35</v>
      </c>
      <c r="I131" s="144">
        <f t="shared" ref="I131:J131" ca="1" si="68">I143</f>
        <v>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822" t="s">
        <v>17</v>
      </c>
      <c r="E132" s="148"/>
      <c r="F132" s="148"/>
      <c r="G132" s="151"/>
      <c r="H132" s="152" t="s">
        <v>12</v>
      </c>
      <c r="I132" s="419"/>
      <c r="J132" s="419"/>
      <c r="K132" s="154"/>
      <c r="L132" s="155">
        <f t="shared" ref="L132:N132" ca="1" si="69">L133+L134</f>
        <v>0</v>
      </c>
      <c r="M132" s="155">
        <f t="shared" ca="1" si="69"/>
        <v>0</v>
      </c>
      <c r="N132" s="155">
        <f t="shared" ca="1" si="69"/>
        <v>0</v>
      </c>
      <c r="O132" s="155">
        <f t="shared" ref="O132:O140" ca="1" si="70">IF(L132&gt;0,N132*100/L132,0)</f>
        <v>0</v>
      </c>
      <c r="P132" s="155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2" t="s">
        <v>18</v>
      </c>
      <c r="F133" s="40"/>
      <c r="G133" s="157"/>
      <c r="H133" s="158" t="s">
        <v>12</v>
      </c>
      <c r="I133" s="610"/>
      <c r="J133" s="610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2" t="s">
        <v>19</v>
      </c>
      <c r="F134" s="40"/>
      <c r="G134" s="157"/>
      <c r="H134" s="158" t="s">
        <v>12</v>
      </c>
      <c r="I134" s="610"/>
      <c r="J134" s="610"/>
      <c r="K134" s="93"/>
      <c r="L134" s="93">
        <f t="shared" ca="1" si="72"/>
        <v>0</v>
      </c>
      <c r="M134" s="93">
        <f t="shared" ca="1" si="72"/>
        <v>0</v>
      </c>
      <c r="N134" s="93">
        <f t="shared" ca="1" si="72"/>
        <v>0</v>
      </c>
      <c r="O134" s="93">
        <f t="shared" ca="1" si="70"/>
        <v>0</v>
      </c>
      <c r="P134" s="93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1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6">
        <f t="shared" ref="L135:N135" ca="1" si="73">L136+L137</f>
        <v>0</v>
      </c>
      <c r="M135" s="496">
        <f t="shared" ca="1" si="73"/>
        <v>0</v>
      </c>
      <c r="N135" s="496">
        <f t="shared" ca="1" si="73"/>
        <v>0</v>
      </c>
      <c r="O135" s="496">
        <f t="shared" ca="1" si="70"/>
        <v>0</v>
      </c>
      <c r="P135" s="496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2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2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IFERROR(__xludf.DUMMYFUNCTION("IMPORTRANGE(""https://docs.google.com/spreadsheets/d/1MeEWN-I1oV_STSDYn1IFDPWt_1FKiwhDph83XaGc0o0/edit?usp=sharing"",""งบพรบ!BK71"")"),0)</f>
        <v>0</v>
      </c>
      <c r="M137" s="93">
        <f ca="1">IFERROR(__xludf.DUMMYFUNCTION("IMPORTRANGE(""https://docs.google.com/spreadsheets/d/1MeEWN-I1oV_STSDYn1IFDPWt_1FKiwhDph83XaGc0o0/edit?usp=sharing"",""งบพรบ!BP71"")"),0)</f>
        <v>0</v>
      </c>
      <c r="N137" s="93">
        <f ca="1">IFERROR(__xludf.DUMMYFUNCTION("IMPORTRANGE(""https://docs.google.com/spreadsheets/d/1MeEWN-I1oV_STSDYn1IFDPWt_1FKiwhDph83XaGc0o0/edit?usp=sharing"",""งบพรบ!BR71"")"),0)</f>
        <v>0</v>
      </c>
      <c r="O137" s="93">
        <f t="shared" ca="1" si="70"/>
        <v>0</v>
      </c>
      <c r="P137" s="93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1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6">
        <f t="shared" ref="L138:N138" ca="1" si="74">L139+L140</f>
        <v>0</v>
      </c>
      <c r="M138" s="496">
        <f t="shared" ca="1" si="74"/>
        <v>0</v>
      </c>
      <c r="N138" s="496">
        <f t="shared" ca="1" si="74"/>
        <v>0</v>
      </c>
      <c r="O138" s="496">
        <f t="shared" ca="1" si="70"/>
        <v>0</v>
      </c>
      <c r="P138" s="496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2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2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IFERROR(__xludf.DUMMYFUNCTION("IMPORTRANGE(""https://docs.google.com/spreadsheets/d/1MeEWN-I1oV_STSDYn1IFDPWt_1FKiwhDph83XaGc0o0/edit?usp=sharing"",""งบพรบ!BN71"")"),0)</f>
        <v>0</v>
      </c>
      <c r="M140" s="93">
        <f ca="1">IFERROR(__xludf.DUMMYFUNCTION("IMPORTRANGE(""https://docs.google.com/spreadsheets/d/1MeEWN-I1oV_STSDYn1IFDPWt_1FKiwhDph83XaGc0o0/edit?usp=sharing"",""งบพรบ!BQ71"")"),0)</f>
        <v>0</v>
      </c>
      <c r="N140" s="93">
        <f ca="1">IFERROR(__xludf.DUMMYFUNCTION("IMPORTRANGE(""https://docs.google.com/spreadsheets/d/1MeEWN-I1oV_STSDYn1IFDPWt_1FKiwhDph83XaGc0o0/edit?usp=sharing"",""งบพรบ!BS71"")"),0)</f>
        <v>0</v>
      </c>
      <c r="O140" s="93">
        <f t="shared" ca="1" si="70"/>
        <v>0</v>
      </c>
      <c r="P140" s="93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823" t="s">
        <v>38</v>
      </c>
      <c r="E141" s="173"/>
      <c r="F141" s="173"/>
      <c r="G141" s="174"/>
      <c r="H141" s="168"/>
      <c r="I141" s="269"/>
      <c r="J141" s="269"/>
      <c r="K141" s="496"/>
      <c r="L141" s="496"/>
      <c r="M141" s="496"/>
      <c r="N141" s="496"/>
      <c r="O141" s="496"/>
      <c r="P141" s="496"/>
    </row>
    <row r="142" spans="1:26" ht="19.5" hidden="1">
      <c r="A142" s="159"/>
      <c r="B142" s="33"/>
      <c r="C142" s="210"/>
      <c r="D142" s="281" t="s">
        <v>71</v>
      </c>
      <c r="E142" s="34"/>
      <c r="F142" s="33"/>
      <c r="G142" s="213"/>
      <c r="H142" s="168"/>
      <c r="I142" s="269"/>
      <c r="J142" s="214">
        <v>0</v>
      </c>
      <c r="K142" s="496"/>
      <c r="L142" s="496"/>
      <c r="M142" s="496"/>
      <c r="N142" s="496"/>
      <c r="O142" s="496"/>
      <c r="P142" s="496"/>
    </row>
    <row r="143" spans="1:26" ht="19.5" hidden="1">
      <c r="A143" s="159"/>
      <c r="B143" s="33"/>
      <c r="C143" s="210"/>
      <c r="D143" s="281" t="s">
        <v>72</v>
      </c>
      <c r="E143" s="34"/>
      <c r="F143" s="33"/>
      <c r="G143" s="213"/>
      <c r="H143" s="168" t="s">
        <v>35</v>
      </c>
      <c r="I143" s="269">
        <f ca="1">I145</f>
        <v>0</v>
      </c>
      <c r="J143" s="269">
        <f ca="1">IF(AND(J144&gt;=I144,J145&gt;=I145),J145,0)</f>
        <v>0</v>
      </c>
      <c r="K143" s="496">
        <f t="shared" ref="K143:K146" ca="1" si="75">IF(I143&gt;0,J143*100/I143,0)</f>
        <v>0</v>
      </c>
      <c r="L143" s="496"/>
      <c r="M143" s="496"/>
      <c r="N143" s="496"/>
      <c r="O143" s="496"/>
      <c r="P143" s="496"/>
    </row>
    <row r="144" spans="1:26" ht="19.5" hidden="1">
      <c r="A144" s="159"/>
      <c r="B144" s="33"/>
      <c r="C144" s="210"/>
      <c r="D144" s="178"/>
      <c r="E144" s="281" t="s">
        <v>73</v>
      </c>
      <c r="F144" s="33"/>
      <c r="G144" s="213"/>
      <c r="H144" s="168" t="s">
        <v>35</v>
      </c>
      <c r="I144" s="269">
        <f ca="1">IFERROR(__xludf.DUMMYFUNCTION("IMPORTRANGE(""https://docs.google.com/spreadsheets/d/1QqKyyYR6Q21VydFLVH3TRQUabQu_ym0Zz7PgGX0-kHA/edit?usp=sharing"",""แผน!U71"")"),0)</f>
        <v>0</v>
      </c>
      <c r="J144" s="214">
        <v>0</v>
      </c>
      <c r="K144" s="496">
        <f t="shared" ca="1" si="75"/>
        <v>0</v>
      </c>
      <c r="L144" s="496"/>
      <c r="M144" s="496"/>
      <c r="N144" s="496"/>
      <c r="O144" s="496"/>
      <c r="P144" s="496"/>
    </row>
    <row r="145" spans="1:26" ht="19.5" hidden="1">
      <c r="A145" s="159"/>
      <c r="B145" s="33"/>
      <c r="C145" s="210"/>
      <c r="D145" s="178"/>
      <c r="E145" s="281" t="s">
        <v>74</v>
      </c>
      <c r="F145" s="33"/>
      <c r="G145" s="213"/>
      <c r="H145" s="168" t="s">
        <v>35</v>
      </c>
      <c r="I145" s="269">
        <f ca="1">IFERROR(__xludf.DUMMYFUNCTION("IMPORTRANGE(""https://docs.google.com/spreadsheets/d/1QqKyyYR6Q21VydFLVH3TRQUabQu_ym0Zz7PgGX0-kHA/edit?usp=sharing"",""แผน!V71"")"),0)</f>
        <v>0</v>
      </c>
      <c r="J145" s="214">
        <v>0</v>
      </c>
      <c r="K145" s="496">
        <f t="shared" ca="1" si="75"/>
        <v>0</v>
      </c>
      <c r="L145" s="496"/>
      <c r="M145" s="496"/>
      <c r="N145" s="496"/>
      <c r="O145" s="496"/>
      <c r="P145" s="496"/>
    </row>
    <row r="146" spans="1:26" ht="19.5" hidden="1">
      <c r="A146" s="159"/>
      <c r="B146" s="33"/>
      <c r="C146" s="210"/>
      <c r="D146" s="281" t="s">
        <v>75</v>
      </c>
      <c r="E146" s="34"/>
      <c r="F146" s="33"/>
      <c r="G146" s="213"/>
      <c r="H146" s="168" t="s">
        <v>69</v>
      </c>
      <c r="I146" s="269">
        <f ca="1">IFERROR(__xludf.DUMMYFUNCTION("IMPORTRANGE(""https://docs.google.com/spreadsheets/d/1QqKyyYR6Q21VydFLVH3TRQUabQu_ym0Zz7PgGX0-kHA/edit?usp=sharing"",""แผน!W71"")"),0)</f>
        <v>0</v>
      </c>
      <c r="J146" s="214">
        <v>0</v>
      </c>
      <c r="K146" s="496">
        <f t="shared" ca="1" si="75"/>
        <v>0</v>
      </c>
      <c r="L146" s="496"/>
      <c r="M146" s="496"/>
      <c r="N146" s="496"/>
      <c r="O146" s="496"/>
      <c r="P146" s="496"/>
    </row>
    <row r="147" spans="1:26" ht="19.5" hidden="1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 hidden="1">
      <c r="A148" s="216"/>
      <c r="B148" s="208" t="s">
        <v>77</v>
      </c>
      <c r="C148" s="208"/>
      <c r="D148" s="208"/>
      <c r="E148" s="824"/>
      <c r="F148" s="218"/>
      <c r="G148" s="219"/>
      <c r="H148" s="220" t="s">
        <v>35</v>
      </c>
      <c r="I148" s="144">
        <f t="shared" ref="I148:J148" ca="1" si="76">I159</f>
        <v>0</v>
      </c>
      <c r="J148" s="144">
        <f t="shared" si="76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1"/>
      <c r="R148" s="221"/>
      <c r="S148" s="221"/>
      <c r="T148" s="221"/>
      <c r="U148" s="221"/>
      <c r="V148" s="221"/>
      <c r="W148" s="221"/>
      <c r="X148" s="221"/>
      <c r="Y148" s="221"/>
      <c r="Z148" s="221"/>
    </row>
    <row r="149" spans="1:26" ht="19.5" hidden="1">
      <c r="A149" s="147"/>
      <c r="B149" s="148"/>
      <c r="C149" s="149" t="s">
        <v>16</v>
      </c>
      <c r="D149" s="822" t="s">
        <v>17</v>
      </c>
      <c r="E149" s="148"/>
      <c r="F149" s="148"/>
      <c r="G149" s="151"/>
      <c r="H149" s="152" t="s">
        <v>12</v>
      </c>
      <c r="I149" s="419"/>
      <c r="J149" s="419"/>
      <c r="K149" s="154"/>
      <c r="L149" s="155">
        <f t="shared" ref="L149:N149" ca="1" si="77">L150+L151</f>
        <v>0</v>
      </c>
      <c r="M149" s="155">
        <f t="shared" ca="1" si="77"/>
        <v>0</v>
      </c>
      <c r="N149" s="155">
        <f t="shared" ca="1" si="77"/>
        <v>0</v>
      </c>
      <c r="O149" s="155">
        <f t="shared" ref="O149:O157" ca="1" si="78">IF(L149&gt;0,N149*100/L149,0)</f>
        <v>0</v>
      </c>
      <c r="P149" s="155">
        <f t="shared" ref="P149:P157" ca="1" si="79">IF(M149&gt;0,N149*100/M149,0)</f>
        <v>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2" t="s">
        <v>18</v>
      </c>
      <c r="F150" s="40"/>
      <c r="G150" s="157"/>
      <c r="H150" s="158" t="s">
        <v>12</v>
      </c>
      <c r="I150" s="610"/>
      <c r="J150" s="610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2" t="s">
        <v>19</v>
      </c>
      <c r="F151" s="40"/>
      <c r="G151" s="157"/>
      <c r="H151" s="158" t="s">
        <v>12</v>
      </c>
      <c r="I151" s="610"/>
      <c r="J151" s="610"/>
      <c r="K151" s="93"/>
      <c r="L151" s="93">
        <f t="shared" ca="1" si="80"/>
        <v>0</v>
      </c>
      <c r="M151" s="93">
        <f t="shared" ca="1" si="80"/>
        <v>0</v>
      </c>
      <c r="N151" s="93">
        <f t="shared" ca="1" si="80"/>
        <v>0</v>
      </c>
      <c r="O151" s="93">
        <f t="shared" ca="1" si="78"/>
        <v>0</v>
      </c>
      <c r="P151" s="93">
        <f t="shared" ca="1" si="79"/>
        <v>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 hidden="1">
      <c r="A152" s="159"/>
      <c r="B152" s="33"/>
      <c r="C152" s="281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6">
        <f t="shared" ref="L152:N152" ca="1" si="81">L153+L154</f>
        <v>0</v>
      </c>
      <c r="M152" s="496">
        <f t="shared" ca="1" si="81"/>
        <v>0</v>
      </c>
      <c r="N152" s="496">
        <f t="shared" ca="1" si="81"/>
        <v>0</v>
      </c>
      <c r="O152" s="496">
        <f t="shared" ca="1" si="78"/>
        <v>0</v>
      </c>
      <c r="P152" s="496">
        <f t="shared" ca="1" si="79"/>
        <v>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2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2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IFERROR(__xludf.DUMMYFUNCTION("IMPORTRANGE(""https://docs.google.com/spreadsheets/d/1MeEWN-I1oV_STSDYn1IFDPWt_1FKiwhDph83XaGc0o0/edit?usp=sharing"",""งบพรบ!BU71"")"),0)</f>
        <v>0</v>
      </c>
      <c r="M154" s="93">
        <f ca="1">IFERROR(__xludf.DUMMYFUNCTION("IMPORTRANGE(""https://docs.google.com/spreadsheets/d/1MeEWN-I1oV_STSDYn1IFDPWt_1FKiwhDph83XaGc0o0/edit?usp=sharing"",""งบพรบ!BZ71"")"),0)</f>
        <v>0</v>
      </c>
      <c r="N154" s="93">
        <f ca="1">IFERROR(__xludf.DUMMYFUNCTION("IMPORTRANGE(""https://docs.google.com/spreadsheets/d/1MeEWN-I1oV_STSDYn1IFDPWt_1FKiwhDph83XaGc0o0/edit?usp=sharing"",""งบพรบ!CB71"")"),0)</f>
        <v>0</v>
      </c>
      <c r="O154" s="93">
        <f t="shared" ca="1" si="78"/>
        <v>0</v>
      </c>
      <c r="P154" s="93">
        <f t="shared" ca="1" si="79"/>
        <v>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 hidden="1">
      <c r="A155" s="159"/>
      <c r="B155" s="33"/>
      <c r="C155" s="281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6">
        <f t="shared" ref="L155:N155" ca="1" si="82">L156+L157</f>
        <v>0</v>
      </c>
      <c r="M155" s="496">
        <f t="shared" ca="1" si="82"/>
        <v>0</v>
      </c>
      <c r="N155" s="496">
        <f t="shared" ca="1" si="82"/>
        <v>0</v>
      </c>
      <c r="O155" s="496">
        <f t="shared" ca="1" si="78"/>
        <v>0</v>
      </c>
      <c r="P155" s="496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2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2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IFERROR(__xludf.DUMMYFUNCTION("IMPORTRANGE(""https://docs.google.com/spreadsheets/d/1MeEWN-I1oV_STSDYn1IFDPWt_1FKiwhDph83XaGc0o0/edit?usp=sharing"",""งบพรบ!BX71"")"),0)</f>
        <v>0</v>
      </c>
      <c r="M157" s="93">
        <f ca="1">IFERROR(__xludf.DUMMYFUNCTION("IMPORTRANGE(""https://docs.google.com/spreadsheets/d/1MeEWN-I1oV_STSDYn1IFDPWt_1FKiwhDph83XaGc0o0/edit?usp=sharing"",""งบพรบ!CA71"")"),0)</f>
        <v>0</v>
      </c>
      <c r="N157" s="93">
        <f ca="1">IFERROR(__xludf.DUMMYFUNCTION("IMPORTRANGE(""https://docs.google.com/spreadsheets/d/1MeEWN-I1oV_STSDYn1IFDPWt_1FKiwhDph83XaGc0o0/edit?usp=sharing"",""งบพรบ!CC71"")"),0)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 hidden="1">
      <c r="A158" s="170"/>
      <c r="B158" s="171"/>
      <c r="C158" s="164" t="s">
        <v>16</v>
      </c>
      <c r="D158" s="823" t="s">
        <v>38</v>
      </c>
      <c r="E158" s="173"/>
      <c r="F158" s="173"/>
      <c r="G158" s="174"/>
      <c r="H158" s="168"/>
      <c r="I158" s="269"/>
      <c r="J158" s="269"/>
      <c r="K158" s="496"/>
      <c r="L158" s="496"/>
      <c r="M158" s="496"/>
      <c r="N158" s="496"/>
      <c r="O158" s="496"/>
      <c r="P158" s="496"/>
    </row>
    <row r="159" spans="1:26" ht="19.5" hidden="1">
      <c r="A159" s="159"/>
      <c r="B159" s="33"/>
      <c r="C159" s="210"/>
      <c r="D159" s="281" t="s">
        <v>78</v>
      </c>
      <c r="E159" s="34"/>
      <c r="F159" s="33"/>
      <c r="G159" s="213"/>
      <c r="H159" s="168" t="s">
        <v>35</v>
      </c>
      <c r="I159" s="269">
        <f ca="1">IFERROR(__xludf.DUMMYFUNCTION("IMPORTRANGE(""https://docs.google.com/spreadsheets/d/1QqKyyYR6Q21VydFLVH3TRQUabQu_ym0Zz7PgGX0-kHA/edit?usp=sharing"",""แผน!X71"")"),0)</f>
        <v>0</v>
      </c>
      <c r="J159" s="214">
        <v>0</v>
      </c>
      <c r="K159" s="496">
        <f ca="1">IF(I159&gt;0,J159*100/I159,0)</f>
        <v>0</v>
      </c>
      <c r="L159" s="496"/>
      <c r="M159" s="496"/>
      <c r="N159" s="496"/>
      <c r="O159" s="496"/>
      <c r="P159" s="496"/>
    </row>
    <row r="160" spans="1:26" ht="19.5" hidden="1">
      <c r="A160" s="156"/>
      <c r="B160" s="40"/>
      <c r="C160" s="164"/>
      <c r="D160" s="222" t="s">
        <v>79</v>
      </c>
      <c r="E160" s="223"/>
      <c r="F160" s="40"/>
      <c r="G160" s="157"/>
      <c r="H160" s="169" t="s">
        <v>35</v>
      </c>
      <c r="I160" s="610"/>
      <c r="J160" s="610"/>
      <c r="K160" s="93"/>
      <c r="L160" s="93"/>
      <c r="M160" s="93"/>
      <c r="N160" s="93"/>
      <c r="O160" s="93"/>
      <c r="P160" s="93"/>
      <c r="Q160" s="224"/>
      <c r="R160" s="224"/>
      <c r="S160" s="224"/>
      <c r="T160" s="224"/>
      <c r="U160" s="224"/>
      <c r="V160" s="224"/>
      <c r="W160" s="224"/>
      <c r="X160" s="224"/>
      <c r="Y160" s="224"/>
      <c r="Z160" s="224"/>
    </row>
    <row r="161" spans="1:26" ht="19.5" hidden="1">
      <c r="A161" s="225"/>
      <c r="B161" s="226"/>
      <c r="C161" s="227"/>
      <c r="D161" s="228" t="s">
        <v>80</v>
      </c>
      <c r="E161" s="825"/>
      <c r="F161" s="226"/>
      <c r="G161" s="230"/>
      <c r="H161" s="231" t="s">
        <v>35</v>
      </c>
      <c r="I161" s="232"/>
      <c r="J161" s="232"/>
      <c r="K161" s="233"/>
      <c r="L161" s="233"/>
      <c r="M161" s="233"/>
      <c r="N161" s="233"/>
      <c r="O161" s="233"/>
      <c r="P161" s="233"/>
      <c r="Q161" s="224"/>
      <c r="R161" s="224"/>
      <c r="S161" s="224"/>
      <c r="T161" s="224"/>
      <c r="U161" s="224"/>
      <c r="V161" s="224"/>
      <c r="W161" s="224"/>
      <c r="X161" s="224"/>
      <c r="Y161" s="224"/>
      <c r="Z161" s="224"/>
    </row>
    <row r="162" spans="1:26" ht="19.5">
      <c r="A162" s="234" t="s">
        <v>81</v>
      </c>
      <c r="B162" s="235"/>
      <c r="C162" s="235"/>
      <c r="D162" s="235"/>
      <c r="E162" s="236"/>
      <c r="F162" s="236"/>
      <c r="G162" s="237"/>
      <c r="H162" s="238"/>
      <c r="I162" s="239"/>
      <c r="J162" s="239"/>
      <c r="K162" s="240"/>
      <c r="L162" s="240"/>
      <c r="M162" s="240"/>
      <c r="N162" s="240"/>
      <c r="O162" s="240"/>
      <c r="P162" s="240"/>
    </row>
    <row r="163" spans="1:26" ht="19.5">
      <c r="A163" s="241" t="s">
        <v>82</v>
      </c>
      <c r="B163" s="242"/>
      <c r="C163" s="242"/>
      <c r="D163" s="243"/>
      <c r="E163" s="243"/>
      <c r="F163" s="243"/>
      <c r="G163" s="244"/>
      <c r="H163" s="245"/>
      <c r="I163" s="246"/>
      <c r="J163" s="246"/>
      <c r="K163" s="247"/>
      <c r="L163" s="247"/>
      <c r="M163" s="247"/>
      <c r="N163" s="247"/>
      <c r="O163" s="247"/>
      <c r="P163" s="247"/>
    </row>
    <row r="164" spans="1:26" ht="19.5">
      <c r="A164" s="248"/>
      <c r="B164" s="249" t="s">
        <v>83</v>
      </c>
      <c r="C164" s="250"/>
      <c r="D164" s="173"/>
      <c r="E164" s="173"/>
      <c r="F164" s="173"/>
      <c r="G164" s="174"/>
      <c r="H164" s="251" t="s">
        <v>35</v>
      </c>
      <c r="I164" s="252">
        <f t="shared" ref="I164:J164" ca="1" si="83">I174+I177</f>
        <v>11</v>
      </c>
      <c r="J164" s="252">
        <f t="shared" si="83"/>
        <v>11</v>
      </c>
      <c r="K164" s="253">
        <f ca="1">IF(I164&gt;0,J164*100/I164,0)</f>
        <v>100</v>
      </c>
      <c r="L164" s="254"/>
      <c r="M164" s="254"/>
      <c r="N164" s="254"/>
      <c r="O164" s="254"/>
      <c r="P164" s="254"/>
    </row>
    <row r="165" spans="1:26" ht="19.5">
      <c r="A165" s="147"/>
      <c r="B165" s="148"/>
      <c r="C165" s="149" t="s">
        <v>16</v>
      </c>
      <c r="D165" s="822" t="s">
        <v>17</v>
      </c>
      <c r="E165" s="148"/>
      <c r="F165" s="148"/>
      <c r="G165" s="151"/>
      <c r="H165" s="152" t="s">
        <v>12</v>
      </c>
      <c r="I165" s="419"/>
      <c r="J165" s="419"/>
      <c r="K165" s="154"/>
      <c r="L165" s="155">
        <f t="shared" ref="L165:N165" ca="1" si="84">L166+L167</f>
        <v>22055</v>
      </c>
      <c r="M165" s="155">
        <f t="shared" ca="1" si="84"/>
        <v>22055</v>
      </c>
      <c r="N165" s="155">
        <f t="shared" ca="1" si="84"/>
        <v>22055</v>
      </c>
      <c r="O165" s="155">
        <f t="shared" ref="O165:O173" ca="1" si="85">IF(L165&gt;0,N165*100/L165,0)</f>
        <v>100</v>
      </c>
      <c r="P165" s="155">
        <f t="shared" ref="P165:P173" ca="1" si="86">IF(M165&gt;0,N165*100/M165,0)</f>
        <v>100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2" t="s">
        <v>18</v>
      </c>
      <c r="F166" s="40"/>
      <c r="G166" s="157"/>
      <c r="H166" s="158" t="s">
        <v>12</v>
      </c>
      <c r="I166" s="610"/>
      <c r="J166" s="610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2" t="s">
        <v>19</v>
      </c>
      <c r="F167" s="40"/>
      <c r="G167" s="157"/>
      <c r="H167" s="158" t="s">
        <v>12</v>
      </c>
      <c r="I167" s="610"/>
      <c r="J167" s="610"/>
      <c r="K167" s="93"/>
      <c r="L167" s="93">
        <f t="shared" ca="1" si="87"/>
        <v>22055</v>
      </c>
      <c r="M167" s="93">
        <f t="shared" ca="1" si="87"/>
        <v>22055</v>
      </c>
      <c r="N167" s="93">
        <f t="shared" ca="1" si="87"/>
        <v>22055</v>
      </c>
      <c r="O167" s="93">
        <f t="shared" ca="1" si="85"/>
        <v>100</v>
      </c>
      <c r="P167" s="93">
        <f t="shared" ca="1" si="86"/>
        <v>100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1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6">
        <f t="shared" ref="L168:N168" ca="1" si="88">L169+L170</f>
        <v>22055</v>
      </c>
      <c r="M168" s="496">
        <f t="shared" ca="1" si="88"/>
        <v>22055</v>
      </c>
      <c r="N168" s="496">
        <f t="shared" ca="1" si="88"/>
        <v>22055</v>
      </c>
      <c r="O168" s="496">
        <f t="shared" ca="1" si="85"/>
        <v>100</v>
      </c>
      <c r="P168" s="496">
        <f t="shared" ca="1" si="86"/>
        <v>100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2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2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IFERROR(__xludf.DUMMYFUNCTION("IMPORTRANGE(""https://docs.google.com/spreadsheets/d/1MeEWN-I1oV_STSDYn1IFDPWt_1FKiwhDph83XaGc0o0/edit?usp=sharing"",""งบพรบ!CE71"")"),22055)</f>
        <v>22055</v>
      </c>
      <c r="M170" s="93">
        <f ca="1">IFERROR(__xludf.DUMMYFUNCTION("IMPORTRANGE(""https://docs.google.com/spreadsheets/d/1MeEWN-I1oV_STSDYn1IFDPWt_1FKiwhDph83XaGc0o0/edit?usp=sharing"",""งบพรบ!CJ71"")"),22055)</f>
        <v>22055</v>
      </c>
      <c r="N170" s="93">
        <f ca="1">IFERROR(__xludf.DUMMYFUNCTION("IMPORTRANGE(""https://docs.google.com/spreadsheets/d/1MeEWN-I1oV_STSDYn1IFDPWt_1FKiwhDph83XaGc0o0/edit?usp=sharing"",""งบพรบ!CL71"")"),22055)</f>
        <v>22055</v>
      </c>
      <c r="O170" s="93">
        <f t="shared" ca="1" si="85"/>
        <v>100</v>
      </c>
      <c r="P170" s="93">
        <f t="shared" ca="1" si="86"/>
        <v>100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1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6">
        <f t="shared" ref="L171:N171" ca="1" si="89">L172+L173</f>
        <v>0</v>
      </c>
      <c r="M171" s="496">
        <f t="shared" ca="1" si="89"/>
        <v>0</v>
      </c>
      <c r="N171" s="496">
        <f t="shared" ca="1" si="89"/>
        <v>0</v>
      </c>
      <c r="O171" s="496">
        <f t="shared" ca="1" si="85"/>
        <v>0</v>
      </c>
      <c r="P171" s="496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2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2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IFERROR(__xludf.DUMMYFUNCTION("IMPORTRANGE(""https://docs.google.com/spreadsheets/d/1MeEWN-I1oV_STSDYn1IFDPWt_1FKiwhDph83XaGc0o0/edit?usp=sharing"",""งบพรบ!CH71"")"),0)</f>
        <v>0</v>
      </c>
      <c r="M173" s="93">
        <f ca="1">IFERROR(__xludf.DUMMYFUNCTION("IMPORTRANGE(""https://docs.google.com/spreadsheets/d/1MeEWN-I1oV_STSDYn1IFDPWt_1FKiwhDph83XaGc0o0/edit?usp=sharing"",""งบพรบ!CK71"")"),0)</f>
        <v>0</v>
      </c>
      <c r="N173" s="93">
        <f ca="1">IFERROR(__xludf.DUMMYFUNCTION("IMPORTRANGE(""https://docs.google.com/spreadsheets/d/1MeEWN-I1oV_STSDYn1IFDPWt_1FKiwhDph83XaGc0o0/edit?usp=sharing"",""งบพรบ!CM71"")"),0)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5"/>
      <c r="B174" s="256"/>
      <c r="C174" s="257" t="s">
        <v>84</v>
      </c>
      <c r="D174" s="256"/>
      <c r="E174" s="256"/>
      <c r="F174" s="256"/>
      <c r="G174" s="258"/>
      <c r="H174" s="259" t="s">
        <v>35</v>
      </c>
      <c r="I174" s="260">
        <f t="shared" ref="I174:J174" ca="1" si="90">I176</f>
        <v>11</v>
      </c>
      <c r="J174" s="260">
        <f t="shared" si="90"/>
        <v>11</v>
      </c>
      <c r="K174" s="261">
        <f ca="1">IF(I174&gt;0,J174*100/I174,0)</f>
        <v>100</v>
      </c>
      <c r="L174" s="261"/>
      <c r="M174" s="261"/>
      <c r="N174" s="261"/>
      <c r="O174" s="261"/>
      <c r="P174" s="261"/>
    </row>
    <row r="175" spans="1:26" ht="19.5">
      <c r="A175" s="170"/>
      <c r="B175" s="171"/>
      <c r="C175" s="164" t="s">
        <v>16</v>
      </c>
      <c r="D175" s="823" t="s">
        <v>38</v>
      </c>
      <c r="E175" s="173"/>
      <c r="F175" s="173"/>
      <c r="G175" s="174"/>
      <c r="H175" s="753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37" t="s">
        <v>85</v>
      </c>
      <c r="E176" s="178"/>
      <c r="F176" s="178"/>
      <c r="G176" s="179"/>
      <c r="H176" s="616" t="s">
        <v>35</v>
      </c>
      <c r="I176" s="269">
        <f ca="1">IFERROR(__xludf.DUMMYFUNCTION("IMPORTRANGE(""https://docs.google.com/spreadsheets/d/1QqKyyYR6Q21VydFLVH3TRQUabQu_ym0Zz7PgGX0-kHA/edit?usp=sharing"",""แผน!Y71"")"),11)</f>
        <v>11</v>
      </c>
      <c r="J176" s="214">
        <v>11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5"/>
      <c r="B177" s="263"/>
      <c r="C177" s="264" t="s">
        <v>86</v>
      </c>
      <c r="D177" s="263"/>
      <c r="E177" s="256"/>
      <c r="F177" s="256"/>
      <c r="G177" s="258"/>
      <c r="H177" s="265" t="s">
        <v>35</v>
      </c>
      <c r="I177" s="260"/>
      <c r="J177" s="260">
        <f>J179</f>
        <v>0</v>
      </c>
      <c r="K177" s="261"/>
      <c r="L177" s="261"/>
      <c r="M177" s="261"/>
      <c r="N177" s="261"/>
      <c r="O177" s="261"/>
      <c r="P177" s="261"/>
    </row>
    <row r="178" spans="1:26" ht="19.5" hidden="1">
      <c r="A178" s="170"/>
      <c r="B178" s="171"/>
      <c r="C178" s="164" t="s">
        <v>16</v>
      </c>
      <c r="D178" s="266" t="s">
        <v>38</v>
      </c>
      <c r="E178" s="173"/>
      <c r="F178" s="173"/>
      <c r="G178" s="174"/>
      <c r="H178" s="753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3" t="s">
        <v>87</v>
      </c>
      <c r="E179" s="178"/>
      <c r="F179" s="366"/>
      <c r="G179" s="179"/>
      <c r="H179" s="43" t="s">
        <v>35</v>
      </c>
      <c r="I179" s="269"/>
      <c r="J179" s="269"/>
      <c r="K179" s="163"/>
      <c r="L179" s="163"/>
      <c r="M179" s="163"/>
      <c r="N179" s="163"/>
      <c r="O179" s="163"/>
      <c r="P179" s="163"/>
    </row>
    <row r="180" spans="1:26" ht="19.5">
      <c r="A180" s="248"/>
      <c r="B180" s="249" t="s">
        <v>88</v>
      </c>
      <c r="C180" s="250"/>
      <c r="D180" s="173"/>
      <c r="E180" s="173"/>
      <c r="F180" s="173"/>
      <c r="G180" s="174"/>
      <c r="H180" s="251" t="s">
        <v>35</v>
      </c>
      <c r="I180" s="252">
        <f t="shared" ref="I180:J180" ca="1" si="91">I225+I226</f>
        <v>0</v>
      </c>
      <c r="J180" s="252">
        <f t="shared" si="91"/>
        <v>0</v>
      </c>
      <c r="K180" s="253">
        <f ca="1">IF(I180&gt;0,J180*100/I180,0)</f>
        <v>0</v>
      </c>
      <c r="L180" s="254"/>
      <c r="M180" s="254"/>
      <c r="N180" s="254"/>
      <c r="O180" s="254"/>
      <c r="P180" s="254"/>
    </row>
    <row r="181" spans="1:26" ht="19.5">
      <c r="A181" s="147"/>
      <c r="B181" s="148"/>
      <c r="C181" s="149" t="s">
        <v>16</v>
      </c>
      <c r="D181" s="822" t="s">
        <v>17</v>
      </c>
      <c r="E181" s="148"/>
      <c r="F181" s="148"/>
      <c r="G181" s="151"/>
      <c r="H181" s="152" t="s">
        <v>12</v>
      </c>
      <c r="I181" s="419"/>
      <c r="J181" s="419"/>
      <c r="K181" s="154"/>
      <c r="L181" s="155">
        <f t="shared" ref="L181:N181" ca="1" si="92">L182+L183</f>
        <v>12500</v>
      </c>
      <c r="M181" s="155">
        <f t="shared" ca="1" si="92"/>
        <v>3000</v>
      </c>
      <c r="N181" s="155">
        <f t="shared" ca="1" si="92"/>
        <v>1472</v>
      </c>
      <c r="O181" s="155">
        <f t="shared" ref="O181:O189" ca="1" si="93">IF(L181&gt;0,N181*100/L181,0)</f>
        <v>11.776</v>
      </c>
      <c r="P181" s="155">
        <f t="shared" ref="P181:P189" ca="1" si="94">IF(M181&gt;0,N181*100/M181,0)</f>
        <v>49.06666666666667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2" t="s">
        <v>18</v>
      </c>
      <c r="F182" s="40"/>
      <c r="G182" s="157"/>
      <c r="H182" s="158" t="s">
        <v>12</v>
      </c>
      <c r="I182" s="610"/>
      <c r="J182" s="610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2" t="s">
        <v>19</v>
      </c>
      <c r="F183" s="40"/>
      <c r="G183" s="157"/>
      <c r="H183" s="158" t="s">
        <v>12</v>
      </c>
      <c r="I183" s="610"/>
      <c r="J183" s="610"/>
      <c r="K183" s="93"/>
      <c r="L183" s="93">
        <f t="shared" ca="1" si="95"/>
        <v>12500</v>
      </c>
      <c r="M183" s="93">
        <f t="shared" ca="1" si="95"/>
        <v>3000</v>
      </c>
      <c r="N183" s="93">
        <f t="shared" ca="1" si="95"/>
        <v>1472</v>
      </c>
      <c r="O183" s="93">
        <f t="shared" ca="1" si="93"/>
        <v>11.776</v>
      </c>
      <c r="P183" s="93">
        <f t="shared" ca="1" si="94"/>
        <v>49.06666666666667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1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6">
        <f t="shared" ref="L184:N184" ca="1" si="96">L185+L186</f>
        <v>12500</v>
      </c>
      <c r="M184" s="496">
        <f t="shared" ca="1" si="96"/>
        <v>3000</v>
      </c>
      <c r="N184" s="496">
        <f t="shared" ca="1" si="96"/>
        <v>1472</v>
      </c>
      <c r="O184" s="496">
        <f t="shared" ca="1" si="93"/>
        <v>11.776</v>
      </c>
      <c r="P184" s="496">
        <f t="shared" ca="1" si="94"/>
        <v>49.06666666666667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2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2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IFERROR(__xludf.DUMMYFUNCTION("IMPORTRANGE(""https://docs.google.com/spreadsheets/d/1MeEWN-I1oV_STSDYn1IFDPWt_1FKiwhDph83XaGc0o0/edit?usp=sharing"",""งบพรบ!CO71"")"),12500)</f>
        <v>12500</v>
      </c>
      <c r="M186" s="93">
        <f ca="1">IFERROR(__xludf.DUMMYFUNCTION("IMPORTRANGE(""https://docs.google.com/spreadsheets/d/1MeEWN-I1oV_STSDYn1IFDPWt_1FKiwhDph83XaGc0o0/edit?usp=sharing"",""งบพรบ!CT71"")"),3000)</f>
        <v>3000</v>
      </c>
      <c r="N186" s="93">
        <f ca="1">IFERROR(__xludf.DUMMYFUNCTION("IMPORTRANGE(""https://docs.google.com/spreadsheets/d/1MeEWN-I1oV_STSDYn1IFDPWt_1FKiwhDph83XaGc0o0/edit?usp=sharing"",""งบพรบ!CV71"")"),1472)</f>
        <v>1472</v>
      </c>
      <c r="O186" s="93">
        <f t="shared" ca="1" si="93"/>
        <v>11.776</v>
      </c>
      <c r="P186" s="93">
        <f t="shared" ca="1" si="94"/>
        <v>49.06666666666667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1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6">
        <f t="shared" ref="L187:N187" ca="1" si="97">L188+L189</f>
        <v>0</v>
      </c>
      <c r="M187" s="496">
        <f t="shared" ca="1" si="97"/>
        <v>0</v>
      </c>
      <c r="N187" s="496">
        <f t="shared" ca="1" si="97"/>
        <v>0</v>
      </c>
      <c r="O187" s="496">
        <f t="shared" ca="1" si="93"/>
        <v>0</v>
      </c>
      <c r="P187" s="496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2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2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IFERROR(__xludf.DUMMYFUNCTION("IMPORTRANGE(""https://docs.google.com/spreadsheets/d/1MeEWN-I1oV_STSDYn1IFDPWt_1FKiwhDph83XaGc0o0/edit?usp=sharing"",""งบพรบ!CR71"")"),0)</f>
        <v>0</v>
      </c>
      <c r="M189" s="93">
        <f ca="1">IFERROR(__xludf.DUMMYFUNCTION("IMPORTRANGE(""https://docs.google.com/spreadsheets/d/1MeEWN-I1oV_STSDYn1IFDPWt_1FKiwhDph83XaGc0o0/edit?usp=sharing"",""งบพรบ!CU71"")"),0)</f>
        <v>0</v>
      </c>
      <c r="N189" s="93">
        <f ca="1">IFERROR(__xludf.DUMMYFUNCTION("IMPORTRANGE(""https://docs.google.com/spreadsheets/d/1MeEWN-I1oV_STSDYn1IFDPWt_1FKiwhDph83XaGc0o0/edit?usp=sharing"",""งบพรบ!CW71"")"),0)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5"/>
      <c r="B190" s="263"/>
      <c r="C190" s="270" t="s">
        <v>89</v>
      </c>
      <c r="D190" s="256"/>
      <c r="E190" s="256"/>
      <c r="F190" s="256"/>
      <c r="G190" s="258"/>
      <c r="H190" s="259" t="s">
        <v>90</v>
      </c>
      <c r="I190" s="271">
        <f t="shared" ref="I190:J190" ca="1" si="98">I193</f>
        <v>4</v>
      </c>
      <c r="J190" s="271">
        <f t="shared" si="98"/>
        <v>1</v>
      </c>
      <c r="K190" s="272">
        <f ca="1">IF(I190&gt;0,J190*100/I190,0)</f>
        <v>25</v>
      </c>
      <c r="L190" s="261"/>
      <c r="M190" s="261"/>
      <c r="N190" s="261"/>
      <c r="O190" s="261"/>
      <c r="P190" s="261"/>
    </row>
    <row r="191" spans="1:26" ht="19.5">
      <c r="A191" s="147"/>
      <c r="B191" s="148"/>
      <c r="C191" s="149" t="s">
        <v>16</v>
      </c>
      <c r="D191" s="826" t="s">
        <v>17</v>
      </c>
      <c r="E191" s="148"/>
      <c r="F191" s="148"/>
      <c r="G191" s="151"/>
      <c r="H191" s="274" t="s">
        <v>12</v>
      </c>
      <c r="I191" s="419"/>
      <c r="J191" s="419"/>
      <c r="K191" s="154"/>
      <c r="L191" s="155">
        <f ca="1">IFERROR(__xludf.DUMMYFUNCTION("IMPORTRANGE(""https://docs.google.com/spreadsheets/d/1QqKyyYR6Q21VydFLVH3TRQUabQu_ym0Zz7PgGX0-kHA/edit?usp=sharing"",""แผน!Z71"")"),6000)</f>
        <v>6000</v>
      </c>
      <c r="M191" s="155"/>
      <c r="N191" s="275">
        <v>1472</v>
      </c>
      <c r="O191" s="155">
        <f ca="1">IF(L191&gt;0,N191*100/L191,0)</f>
        <v>24.533333333333335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0" t="s">
        <v>16</v>
      </c>
      <c r="D192" s="823" t="s">
        <v>38</v>
      </c>
      <c r="E192" s="173"/>
      <c r="F192" s="173"/>
      <c r="G192" s="174"/>
      <c r="H192" s="753"/>
      <c r="I192" s="269"/>
      <c r="J192" s="269"/>
      <c r="K192" s="496"/>
      <c r="L192" s="496"/>
      <c r="M192" s="496"/>
      <c r="N192" s="496"/>
      <c r="O192" s="496"/>
      <c r="P192" s="496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6" t="s">
        <v>91</v>
      </c>
      <c r="E193" s="178"/>
      <c r="F193" s="178"/>
      <c r="G193" s="179"/>
      <c r="H193" s="755" t="s">
        <v>90</v>
      </c>
      <c r="I193" s="269">
        <f ca="1">IFERROR(__xludf.DUMMYFUNCTION("IMPORTRANGE(""https://docs.google.com/spreadsheets/d/1QqKyyYR6Q21VydFLVH3TRQUabQu_ym0Zz7PgGX0-kHA/edit?usp=sharing"",""แผน!AC71"")"),4)</f>
        <v>4</v>
      </c>
      <c r="J193" s="214">
        <v>1</v>
      </c>
      <c r="K193" s="496">
        <f ca="1">IF(I193&gt;0,J193*100/I193,0)</f>
        <v>25</v>
      </c>
      <c r="L193" s="496"/>
      <c r="M193" s="496"/>
      <c r="N193" s="496"/>
      <c r="O193" s="496"/>
      <c r="P193" s="496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6" t="s">
        <v>92</v>
      </c>
      <c r="E194" s="178"/>
      <c r="F194" s="178"/>
      <c r="G194" s="179"/>
      <c r="H194" s="276" t="s">
        <v>35</v>
      </c>
      <c r="I194" s="269"/>
      <c r="J194" s="269">
        <f>J195+J196</f>
        <v>40</v>
      </c>
      <c r="K194" s="496"/>
      <c r="L194" s="496"/>
      <c r="M194" s="496"/>
      <c r="N194" s="496"/>
      <c r="O194" s="496"/>
      <c r="P194" s="496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6" t="s">
        <v>93</v>
      </c>
      <c r="F195" s="178"/>
      <c r="G195" s="179"/>
      <c r="H195" s="276" t="s">
        <v>35</v>
      </c>
      <c r="I195" s="269"/>
      <c r="J195" s="214">
        <v>40</v>
      </c>
      <c r="K195" s="496"/>
      <c r="L195" s="496"/>
      <c r="M195" s="496"/>
      <c r="N195" s="496"/>
      <c r="O195" s="496"/>
      <c r="P195" s="496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6" t="s">
        <v>94</v>
      </c>
      <c r="F196" s="178"/>
      <c r="G196" s="179"/>
      <c r="H196" s="276" t="s">
        <v>35</v>
      </c>
      <c r="I196" s="269"/>
      <c r="J196" s="214">
        <v>0</v>
      </c>
      <c r="K196" s="496"/>
      <c r="L196" s="496"/>
      <c r="M196" s="496"/>
      <c r="N196" s="496"/>
      <c r="O196" s="496"/>
      <c r="P196" s="496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 hidden="1">
      <c r="A197" s="255"/>
      <c r="B197" s="263"/>
      <c r="C197" s="270" t="s">
        <v>95</v>
      </c>
      <c r="D197" s="256"/>
      <c r="E197" s="256"/>
      <c r="F197" s="256"/>
      <c r="G197" s="258"/>
      <c r="H197" s="277" t="s">
        <v>96</v>
      </c>
      <c r="I197" s="271">
        <f t="shared" ref="I197:J197" ca="1" si="99">I204</f>
        <v>0</v>
      </c>
      <c r="J197" s="271">
        <f t="shared" si="99"/>
        <v>0</v>
      </c>
      <c r="K197" s="272">
        <f ca="1">IF(I197&gt;0,J197*100/I197,0)</f>
        <v>0</v>
      </c>
      <c r="L197" s="261"/>
      <c r="M197" s="261"/>
      <c r="N197" s="261"/>
      <c r="O197" s="261"/>
      <c r="P197" s="261"/>
    </row>
    <row r="198" spans="1:26" ht="19.5" hidden="1">
      <c r="A198" s="147"/>
      <c r="B198" s="148"/>
      <c r="C198" s="149" t="s">
        <v>16</v>
      </c>
      <c r="D198" s="826" t="s">
        <v>17</v>
      </c>
      <c r="E198" s="148"/>
      <c r="F198" s="148"/>
      <c r="G198" s="151"/>
      <c r="H198" s="274" t="s">
        <v>12</v>
      </c>
      <c r="I198" s="418"/>
      <c r="J198" s="418"/>
      <c r="K198" s="279"/>
      <c r="L198" s="155">
        <f ca="1">L199+L200+L201+L202</f>
        <v>0</v>
      </c>
      <c r="M198" s="155"/>
      <c r="N198" s="155">
        <f>N199+N200+N201+N202</f>
        <v>0</v>
      </c>
      <c r="O198" s="155">
        <f ca="1">IF(L198&gt;0,N198*100/L198,0)</f>
        <v>0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 hidden="1">
      <c r="A199" s="159"/>
      <c r="B199" s="280"/>
      <c r="C199" s="33"/>
      <c r="D199" s="281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6">
        <f ca="1">IFERROR(__xludf.DUMMYFUNCTION("IMPORTRANGE(""https://docs.google.com/spreadsheets/d/1QqKyyYR6Q21VydFLVH3TRQUabQu_ym0Zz7PgGX0-kHA/edit?usp=sharing"",""แผน!AE71"")"),0)</f>
        <v>0</v>
      </c>
      <c r="M199" s="496"/>
      <c r="N199" s="817">
        <v>0</v>
      </c>
      <c r="O199" s="496"/>
      <c r="P199" s="496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 hidden="1">
      <c r="A200" s="284"/>
      <c r="B200" s="280"/>
      <c r="C200" s="210"/>
      <c r="D200" s="281" t="s">
        <v>98</v>
      </c>
      <c r="E200" s="33"/>
      <c r="F200" s="33"/>
      <c r="G200" s="35"/>
      <c r="H200" s="616" t="s">
        <v>12</v>
      </c>
      <c r="I200" s="269"/>
      <c r="J200" s="269"/>
      <c r="K200" s="496"/>
      <c r="L200" s="496">
        <f ca="1">IFERROR(__xludf.DUMMYFUNCTION("IMPORTRANGE(""https://docs.google.com/spreadsheets/d/1QqKyyYR6Q21VydFLVH3TRQUabQu_ym0Zz7PgGX0-kHA/edit?usp=sharing"",""แผน!AF71"")"),0)</f>
        <v>0</v>
      </c>
      <c r="M200" s="496"/>
      <c r="N200" s="817">
        <v>0</v>
      </c>
      <c r="O200" s="496"/>
      <c r="P200" s="496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 hidden="1">
      <c r="A201" s="284"/>
      <c r="B201" s="280"/>
      <c r="C201" s="210"/>
      <c r="D201" s="281" t="s">
        <v>99</v>
      </c>
      <c r="E201" s="33"/>
      <c r="F201" s="33"/>
      <c r="G201" s="35"/>
      <c r="H201" s="616" t="s">
        <v>12</v>
      </c>
      <c r="I201" s="269"/>
      <c r="J201" s="269"/>
      <c r="K201" s="496"/>
      <c r="L201" s="496">
        <f ca="1">IFERROR(__xludf.DUMMYFUNCTION("IMPORTRANGE(""https://docs.google.com/spreadsheets/d/1QqKyyYR6Q21VydFLVH3TRQUabQu_ym0Zz7PgGX0-kHA/edit?usp=sharing"",""แผน!AG71"")"),0)</f>
        <v>0</v>
      </c>
      <c r="M201" s="496"/>
      <c r="N201" s="817">
        <v>0</v>
      </c>
      <c r="O201" s="496"/>
      <c r="P201" s="496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 hidden="1">
      <c r="A202" s="284"/>
      <c r="B202" s="280"/>
      <c r="C202" s="210"/>
      <c r="D202" s="281" t="s">
        <v>100</v>
      </c>
      <c r="E202" s="33"/>
      <c r="F202" s="33"/>
      <c r="G202" s="35"/>
      <c r="H202" s="616" t="s">
        <v>12</v>
      </c>
      <c r="I202" s="269"/>
      <c r="J202" s="269"/>
      <c r="K202" s="496"/>
      <c r="L202" s="496">
        <f ca="1">IFERROR(__xludf.DUMMYFUNCTION("IMPORTRANGE(""https://docs.google.com/spreadsheets/d/1QqKyyYR6Q21VydFLVH3TRQUabQu_ym0Zz7PgGX0-kHA/edit?usp=sharing"",""แผน!AH71"")"),0)</f>
        <v>0</v>
      </c>
      <c r="M202" s="496"/>
      <c r="N202" s="817">
        <v>0</v>
      </c>
      <c r="O202" s="496"/>
      <c r="P202" s="496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 hidden="1">
      <c r="A203" s="170"/>
      <c r="B203" s="171"/>
      <c r="C203" s="210" t="s">
        <v>16</v>
      </c>
      <c r="D203" s="823" t="s">
        <v>38</v>
      </c>
      <c r="E203" s="173"/>
      <c r="F203" s="173"/>
      <c r="G203" s="174"/>
      <c r="H203" s="753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 hidden="1">
      <c r="A204" s="170"/>
      <c r="B204" s="171"/>
      <c r="C204" s="171"/>
      <c r="D204" s="176" t="s">
        <v>101</v>
      </c>
      <c r="E204" s="178"/>
      <c r="F204" s="178"/>
      <c r="G204" s="179"/>
      <c r="H204" s="753" t="s">
        <v>96</v>
      </c>
      <c r="I204" s="269">
        <f ca="1">IFERROR(__xludf.DUMMYFUNCTION("IMPORTRANGE(""https://docs.google.com/spreadsheets/d/1QqKyyYR6Q21VydFLVH3TRQUabQu_ym0Zz7PgGX0-kHA/edit?usp=sharing"",""แผน!AI71"")"),0)</f>
        <v>0</v>
      </c>
      <c r="J204" s="214">
        <v>0</v>
      </c>
      <c r="K204" s="163">
        <f ca="1">IF(I204&gt;0,J204*100/I204,0)</f>
        <v>0</v>
      </c>
      <c r="L204" s="496"/>
      <c r="M204" s="496"/>
      <c r="N204" s="496"/>
      <c r="O204" s="496"/>
      <c r="P204" s="496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 hidden="1">
      <c r="A205" s="170"/>
      <c r="B205" s="171"/>
      <c r="C205" s="171"/>
      <c r="D205" s="446" t="s">
        <v>59</v>
      </c>
      <c r="E205" s="178"/>
      <c r="F205" s="178"/>
      <c r="G205" s="179"/>
      <c r="H205" s="753"/>
      <c r="I205" s="269"/>
      <c r="J205" s="269"/>
      <c r="K205" s="163"/>
      <c r="L205" s="496"/>
      <c r="M205" s="496"/>
      <c r="N205" s="496"/>
      <c r="O205" s="496"/>
      <c r="P205" s="496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 hidden="1">
      <c r="A206" s="170"/>
      <c r="B206" s="171"/>
      <c r="C206" s="171"/>
      <c r="D206" s="178"/>
      <c r="E206" s="446" t="s">
        <v>343</v>
      </c>
      <c r="F206" s="178"/>
      <c r="G206" s="179"/>
      <c r="H206" s="753" t="s">
        <v>96</v>
      </c>
      <c r="I206" s="269"/>
      <c r="J206" s="214">
        <v>0</v>
      </c>
      <c r="K206" s="163"/>
      <c r="L206" s="496"/>
      <c r="M206" s="496"/>
      <c r="N206" s="496"/>
      <c r="O206" s="496"/>
      <c r="P206" s="496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 hidden="1">
      <c r="A207" s="170"/>
      <c r="B207" s="171"/>
      <c r="C207" s="171"/>
      <c r="D207" s="446"/>
      <c r="E207" s="446" t="s">
        <v>344</v>
      </c>
      <c r="F207" s="178"/>
      <c r="G207" s="179"/>
      <c r="H207" s="755" t="s">
        <v>69</v>
      </c>
      <c r="I207" s="269"/>
      <c r="J207" s="214">
        <v>0</v>
      </c>
      <c r="K207" s="163"/>
      <c r="L207" s="496"/>
      <c r="M207" s="496"/>
      <c r="N207" s="496"/>
      <c r="O207" s="496"/>
      <c r="P207" s="496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 hidden="1">
      <c r="A208" s="255"/>
      <c r="B208" s="263"/>
      <c r="C208" s="270" t="s">
        <v>105</v>
      </c>
      <c r="D208" s="256"/>
      <c r="E208" s="256"/>
      <c r="F208" s="291"/>
      <c r="G208" s="258"/>
      <c r="H208" s="277" t="s">
        <v>96</v>
      </c>
      <c r="I208" s="271">
        <f t="shared" ref="I208:J208" ca="1" si="100">I215</f>
        <v>0</v>
      </c>
      <c r="J208" s="271">
        <f t="shared" si="100"/>
        <v>0</v>
      </c>
      <c r="K208" s="272">
        <f ca="1">IF(I208&gt;0,J208*100/I208,0)</f>
        <v>0</v>
      </c>
      <c r="L208" s="261"/>
      <c r="M208" s="261"/>
      <c r="N208" s="261"/>
      <c r="O208" s="261"/>
      <c r="P208" s="261"/>
    </row>
    <row r="209" spans="1:26" ht="19.5" hidden="1">
      <c r="A209" s="147"/>
      <c r="B209" s="148"/>
      <c r="C209" s="149" t="s">
        <v>16</v>
      </c>
      <c r="D209" s="826" t="s">
        <v>17</v>
      </c>
      <c r="E209" s="148"/>
      <c r="F209" s="148"/>
      <c r="G209" s="151"/>
      <c r="H209" s="274" t="s">
        <v>12</v>
      </c>
      <c r="I209" s="418"/>
      <c r="J209" s="418"/>
      <c r="K209" s="279"/>
      <c r="L209" s="155">
        <f ca="1">L210+L211+L212</f>
        <v>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 hidden="1">
      <c r="A210" s="159"/>
      <c r="B210" s="280"/>
      <c r="C210" s="33"/>
      <c r="D210" s="281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6">
        <f ca="1">IFERROR(__xludf.DUMMYFUNCTION("IMPORTRANGE(""https://docs.google.com/spreadsheets/d/1QqKyyYR6Q21VydFLVH3TRQUabQu_ym0Zz7PgGX0-kHA/edit?usp=sharing"",""แผน!AK71"")"),0)</f>
        <v>0</v>
      </c>
      <c r="M210" s="496"/>
      <c r="N210" s="817">
        <v>0</v>
      </c>
      <c r="O210" s="496"/>
      <c r="P210" s="496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 hidden="1">
      <c r="A211" s="284"/>
      <c r="B211" s="280"/>
      <c r="C211" s="292"/>
      <c r="D211" s="281" t="s">
        <v>99</v>
      </c>
      <c r="E211" s="33"/>
      <c r="F211" s="33"/>
      <c r="G211" s="35"/>
      <c r="H211" s="161" t="s">
        <v>12</v>
      </c>
      <c r="I211" s="269"/>
      <c r="J211" s="269"/>
      <c r="K211" s="496"/>
      <c r="L211" s="496">
        <f ca="1">IFERROR(__xludf.DUMMYFUNCTION("IMPORTRANGE(""https://docs.google.com/spreadsheets/d/1QqKyyYR6Q21VydFLVH3TRQUabQu_ym0Zz7PgGX0-kHA/edit?usp=sharing"",""แผน!AL71"")"),0)</f>
        <v>0</v>
      </c>
      <c r="M211" s="496"/>
      <c r="N211" s="817">
        <v>0</v>
      </c>
      <c r="O211" s="496"/>
      <c r="P211" s="496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 hidden="1">
      <c r="A212" s="284"/>
      <c r="B212" s="280"/>
      <c r="C212" s="292"/>
      <c r="D212" s="281" t="s">
        <v>98</v>
      </c>
      <c r="E212" s="33"/>
      <c r="F212" s="33"/>
      <c r="G212" s="35"/>
      <c r="H212" s="161" t="s">
        <v>12</v>
      </c>
      <c r="I212" s="269"/>
      <c r="J212" s="269"/>
      <c r="K212" s="496"/>
      <c r="L212" s="496">
        <f ca="1">IFERROR(__xludf.DUMMYFUNCTION("IMPORTRANGE(""https://docs.google.com/spreadsheets/d/1QqKyyYR6Q21VydFLVH3TRQUabQu_ym0Zz7PgGX0-kHA/edit?usp=sharing"",""แผน!AM71"")"),0)</f>
        <v>0</v>
      </c>
      <c r="M212" s="496"/>
      <c r="N212" s="817">
        <v>0</v>
      </c>
      <c r="O212" s="496"/>
      <c r="P212" s="496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 hidden="1">
      <c r="A213" s="170"/>
      <c r="B213" s="171"/>
      <c r="C213" s="292" t="s">
        <v>16</v>
      </c>
      <c r="D213" s="823" t="s">
        <v>38</v>
      </c>
      <c r="E213" s="173"/>
      <c r="F213" s="173"/>
      <c r="G213" s="174"/>
      <c r="H213" s="753"/>
      <c r="I213" s="184"/>
      <c r="J213" s="269"/>
      <c r="K213" s="496"/>
      <c r="L213" s="496"/>
      <c r="M213" s="496"/>
      <c r="N213" s="496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 hidden="1">
      <c r="A214" s="170"/>
      <c r="B214" s="171"/>
      <c r="C214" s="171"/>
      <c r="D214" s="176" t="s">
        <v>106</v>
      </c>
      <c r="E214" s="178"/>
      <c r="F214" s="178"/>
      <c r="G214" s="179"/>
      <c r="H214" s="753" t="s">
        <v>96</v>
      </c>
      <c r="I214" s="269">
        <f ca="1">IFERROR(__xludf.DUMMYFUNCTION("IMPORTRANGE(""https://docs.google.com/spreadsheets/d/1QqKyyYR6Q21VydFLVH3TRQUabQu_ym0Zz7PgGX0-kHA/edit?usp=sharing"",""แผน!AN71"")"),0)</f>
        <v>0</v>
      </c>
      <c r="J214" s="214">
        <v>0</v>
      </c>
      <c r="K214" s="496">
        <f t="shared" ref="K214:K216" ca="1" si="101">IF(I214&gt;0,J214*100/I214,0)</f>
        <v>0</v>
      </c>
      <c r="L214" s="496"/>
      <c r="M214" s="496"/>
      <c r="N214" s="496"/>
      <c r="O214" s="496"/>
      <c r="P214" s="496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 hidden="1">
      <c r="A215" s="170"/>
      <c r="B215" s="171"/>
      <c r="C215" s="171"/>
      <c r="D215" s="176" t="s">
        <v>107</v>
      </c>
      <c r="E215" s="178"/>
      <c r="F215" s="178"/>
      <c r="G215" s="179"/>
      <c r="H215" s="753" t="s">
        <v>96</v>
      </c>
      <c r="I215" s="269">
        <f ca="1">IFERROR(__xludf.DUMMYFUNCTION("IMPORTRANGE(""https://docs.google.com/spreadsheets/d/1QqKyyYR6Q21VydFLVH3TRQUabQu_ym0Zz7PgGX0-kHA/edit?usp=sharing"",""แผน!AN71"")"),0)</f>
        <v>0</v>
      </c>
      <c r="J215" s="214">
        <v>0</v>
      </c>
      <c r="K215" s="496">
        <f t="shared" ca="1" si="101"/>
        <v>0</v>
      </c>
      <c r="L215" s="496"/>
      <c r="M215" s="496"/>
      <c r="N215" s="496"/>
      <c r="O215" s="496"/>
      <c r="P215" s="496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5"/>
      <c r="B216" s="263"/>
      <c r="C216" s="270" t="s">
        <v>108</v>
      </c>
      <c r="D216" s="256"/>
      <c r="E216" s="256"/>
      <c r="F216" s="291"/>
      <c r="G216" s="258"/>
      <c r="H216" s="259" t="s">
        <v>109</v>
      </c>
      <c r="I216" s="271">
        <f t="shared" ref="I216:J216" ca="1" si="102">I224</f>
        <v>10000</v>
      </c>
      <c r="J216" s="271">
        <f t="shared" si="102"/>
        <v>0</v>
      </c>
      <c r="K216" s="272">
        <f t="shared" ca="1" si="101"/>
        <v>0</v>
      </c>
      <c r="L216" s="261"/>
      <c r="M216" s="261"/>
      <c r="N216" s="261"/>
      <c r="O216" s="261"/>
      <c r="P216" s="261"/>
    </row>
    <row r="217" spans="1:26" ht="19.5">
      <c r="A217" s="147"/>
      <c r="B217" s="148"/>
      <c r="C217" s="149" t="s">
        <v>16</v>
      </c>
      <c r="D217" s="826" t="s">
        <v>17</v>
      </c>
      <c r="E217" s="148"/>
      <c r="F217" s="148"/>
      <c r="G217" s="151"/>
      <c r="H217" s="274" t="s">
        <v>12</v>
      </c>
      <c r="I217" s="418"/>
      <c r="J217" s="418"/>
      <c r="K217" s="279"/>
      <c r="L217" s="155">
        <f ca="1">L218+L219+L220</f>
        <v>6500</v>
      </c>
      <c r="M217" s="155"/>
      <c r="N217" s="155">
        <f>N218+N219+N220</f>
        <v>0</v>
      </c>
      <c r="O217" s="155">
        <f ca="1">IF(L217&gt;0,N217*100/L217,0)</f>
        <v>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0"/>
      <c r="C218" s="33"/>
      <c r="D218" s="281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6">
        <f ca="1">IFERROR(__xludf.DUMMYFUNCTION("IMPORTRANGE(""https://docs.google.com/spreadsheets/d/1QqKyyYR6Q21VydFLVH3TRQUabQu_ym0Zz7PgGX0-kHA/edit?usp=sharing"",""แผน!AP71"")"),3000)</f>
        <v>3000</v>
      </c>
      <c r="M218" s="496"/>
      <c r="N218" s="817">
        <v>0</v>
      </c>
      <c r="O218" s="496"/>
      <c r="P218" s="496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4"/>
      <c r="B219" s="280"/>
      <c r="C219" s="292"/>
      <c r="D219" s="281" t="s">
        <v>110</v>
      </c>
      <c r="E219" s="33"/>
      <c r="F219" s="33"/>
      <c r="G219" s="35"/>
      <c r="H219" s="161" t="s">
        <v>12</v>
      </c>
      <c r="I219" s="269"/>
      <c r="J219" s="269"/>
      <c r="K219" s="496"/>
      <c r="L219" s="496">
        <f ca="1">IFERROR(__xludf.DUMMYFUNCTION("IMPORTRANGE(""https://docs.google.com/spreadsheets/d/1QqKyyYR6Q21VydFLVH3TRQUabQu_ym0Zz7PgGX0-kHA/edit?usp=sharing"",""แผน!AQ71"")"),3500)</f>
        <v>3500</v>
      </c>
      <c r="M219" s="496"/>
      <c r="N219" s="817">
        <v>0</v>
      </c>
      <c r="O219" s="496"/>
      <c r="P219" s="496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0"/>
      <c r="C220" s="292"/>
      <c r="D220" s="281" t="s">
        <v>98</v>
      </c>
      <c r="E220" s="33"/>
      <c r="F220" s="33"/>
      <c r="G220" s="35"/>
      <c r="H220" s="161" t="s">
        <v>12</v>
      </c>
      <c r="I220" s="269"/>
      <c r="J220" s="269"/>
      <c r="K220" s="496"/>
      <c r="L220" s="496">
        <f ca="1">IFERROR(__xludf.DUMMYFUNCTION("IMPORTRANGE(""https://docs.google.com/spreadsheets/d/1QqKyyYR6Q21VydFLVH3TRQUabQu_ym0Zz7PgGX0-kHA/edit?usp=sharing"",""แผน!AR71"")"),0)</f>
        <v>0</v>
      </c>
      <c r="M220" s="496"/>
      <c r="N220" s="817">
        <v>0</v>
      </c>
      <c r="O220" s="496"/>
      <c r="P220" s="496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70"/>
      <c r="B221" s="171"/>
      <c r="C221" s="292" t="s">
        <v>16</v>
      </c>
      <c r="D221" s="823" t="s">
        <v>38</v>
      </c>
      <c r="E221" s="173"/>
      <c r="F221" s="173"/>
      <c r="G221" s="174"/>
      <c r="H221" s="753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1" t="s">
        <v>111</v>
      </c>
      <c r="E222" s="178"/>
      <c r="F222" s="178"/>
      <c r="G222" s="179"/>
      <c r="H222" s="753"/>
      <c r="I222" s="269"/>
      <c r="J222" s="269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55" t="s">
        <v>109</v>
      </c>
      <c r="I223" s="269">
        <f ca="1">IFERROR(__xludf.DUMMYFUNCTION("IMPORTRANGE(""https://docs.google.com/spreadsheets/d/1QqKyyYR6Q21VydFLVH3TRQUabQu_ym0Zz7PgGX0-kHA/edit?usp=sharing"",""แผน!AT71"")"),10000)</f>
        <v>10000</v>
      </c>
      <c r="J223" s="214">
        <v>0</v>
      </c>
      <c r="K223" s="163">
        <f t="shared" ref="K223:K226" ca="1" si="103">IF(I223&gt;0,J223*100/I223,0)</f>
        <v>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55" t="s">
        <v>109</v>
      </c>
      <c r="I224" s="269">
        <f ca="1">IFERROR(__xludf.DUMMYFUNCTION("IMPORTRANGE(""https://docs.google.com/spreadsheets/d/1QqKyyYR6Q21VydFLVH3TRQUabQu_ym0Zz7PgGX0-kHA/edit?usp=sharing"",""แผน!AT71"")"),10000)</f>
        <v>10000</v>
      </c>
      <c r="J224" s="214">
        <v>0</v>
      </c>
      <c r="K224" s="163">
        <f t="shared" ca="1" si="103"/>
        <v>0</v>
      </c>
      <c r="L224" s="496"/>
      <c r="M224" s="496"/>
      <c r="N224" s="496"/>
      <c r="O224" s="496"/>
      <c r="P224" s="496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1" t="s">
        <v>114</v>
      </c>
      <c r="E225" s="178"/>
      <c r="F225" s="178"/>
      <c r="G225" s="179"/>
      <c r="H225" s="755" t="s">
        <v>35</v>
      </c>
      <c r="I225" s="269">
        <f ca="1">IFERROR(__xludf.DUMMYFUNCTION("IMPORTRANGE(""https://docs.google.com/spreadsheets/d/1QqKyyYR6Q21VydFLVH3TRQUabQu_ym0Zz7PgGX0-kHA/edit?usp=sharing"",""แผน!AS71"")"),0)</f>
        <v>0</v>
      </c>
      <c r="J225" s="214">
        <v>0</v>
      </c>
      <c r="K225" s="163">
        <f t="shared" ca="1" si="103"/>
        <v>0</v>
      </c>
      <c r="L225" s="496"/>
      <c r="M225" s="496"/>
      <c r="N225" s="496"/>
      <c r="O225" s="496"/>
      <c r="P225" s="496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5"/>
      <c r="B226" s="263"/>
      <c r="C226" s="341" t="s">
        <v>115</v>
      </c>
      <c r="D226" s="256"/>
      <c r="E226" s="256"/>
      <c r="F226" s="256"/>
      <c r="G226" s="258"/>
      <c r="H226" s="265" t="s">
        <v>35</v>
      </c>
      <c r="I226" s="344">
        <f t="shared" ref="I226:J226" ca="1" si="104">I237+I248</f>
        <v>0</v>
      </c>
      <c r="J226" s="344">
        <f t="shared" si="104"/>
        <v>0</v>
      </c>
      <c r="K226" s="345">
        <f t="shared" ca="1" si="103"/>
        <v>0</v>
      </c>
      <c r="L226" s="261"/>
      <c r="M226" s="261"/>
      <c r="N226" s="261"/>
      <c r="O226" s="261"/>
      <c r="P226" s="261"/>
    </row>
    <row r="227" spans="1:26" ht="19.5" hidden="1">
      <c r="A227" s="347"/>
      <c r="B227" s="348"/>
      <c r="C227" s="349" t="s">
        <v>16</v>
      </c>
      <c r="D227" s="827" t="s">
        <v>17</v>
      </c>
      <c r="E227" s="348"/>
      <c r="F227" s="348"/>
      <c r="G227" s="351"/>
      <c r="H227" s="352" t="s">
        <v>12</v>
      </c>
      <c r="I227" s="353"/>
      <c r="J227" s="353"/>
      <c r="K227" s="354"/>
      <c r="L227" s="355">
        <f t="shared" ref="L227:L231" ca="1" si="105">L238+L249</f>
        <v>0</v>
      </c>
      <c r="M227" s="355"/>
      <c r="N227" s="355">
        <f t="shared" ref="N227:N231" si="106">N238+N249</f>
        <v>0</v>
      </c>
      <c r="O227" s="828"/>
      <c r="P227" s="828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6"/>
      <c r="C228" s="40"/>
      <c r="D228" s="222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5"/>
        <v>0</v>
      </c>
      <c r="M228" s="93"/>
      <c r="N228" s="93">
        <f t="shared" si="106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8"/>
      <c r="B229" s="356"/>
      <c r="C229" s="359"/>
      <c r="D229" s="222" t="s">
        <v>98</v>
      </c>
      <c r="E229" s="40"/>
      <c r="F229" s="40"/>
      <c r="G229" s="42"/>
      <c r="H229" s="165" t="s">
        <v>12</v>
      </c>
      <c r="I229" s="610"/>
      <c r="J229" s="610"/>
      <c r="K229" s="93"/>
      <c r="L229" s="93">
        <f t="shared" ca="1" si="105"/>
        <v>0</v>
      </c>
      <c r="M229" s="93"/>
      <c r="N229" s="93">
        <f t="shared" si="106"/>
        <v>0</v>
      </c>
      <c r="O229" s="93"/>
      <c r="P229" s="93"/>
      <c r="Q229" s="360"/>
      <c r="R229" s="360"/>
      <c r="S229" s="360"/>
      <c r="T229" s="360"/>
      <c r="U229" s="360"/>
      <c r="V229" s="360"/>
      <c r="W229" s="360"/>
      <c r="X229" s="360"/>
      <c r="Y229" s="360"/>
      <c r="Z229" s="360"/>
    </row>
    <row r="230" spans="1:26" ht="19.5" hidden="1">
      <c r="A230" s="358"/>
      <c r="B230" s="356"/>
      <c r="C230" s="359"/>
      <c r="D230" s="222" t="s">
        <v>116</v>
      </c>
      <c r="E230" s="40"/>
      <c r="F230" s="40"/>
      <c r="G230" s="42"/>
      <c r="H230" s="165" t="s">
        <v>12</v>
      </c>
      <c r="I230" s="610"/>
      <c r="J230" s="610"/>
      <c r="K230" s="93"/>
      <c r="L230" s="93">
        <f t="shared" ca="1" si="105"/>
        <v>0</v>
      </c>
      <c r="M230" s="93"/>
      <c r="N230" s="93">
        <f t="shared" si="106"/>
        <v>0</v>
      </c>
      <c r="O230" s="93"/>
      <c r="P230" s="93"/>
      <c r="Q230" s="360"/>
      <c r="R230" s="360"/>
      <c r="S230" s="360"/>
      <c r="T230" s="360"/>
      <c r="U230" s="360"/>
      <c r="V230" s="360"/>
      <c r="W230" s="360"/>
      <c r="X230" s="360"/>
      <c r="Y230" s="360"/>
      <c r="Z230" s="360"/>
    </row>
    <row r="231" spans="1:26" ht="19.5" hidden="1">
      <c r="A231" s="358"/>
      <c r="B231" s="356"/>
      <c r="C231" s="359"/>
      <c r="D231" s="222" t="s">
        <v>100</v>
      </c>
      <c r="E231" s="40"/>
      <c r="F231" s="40"/>
      <c r="G231" s="42"/>
      <c r="H231" s="165" t="s">
        <v>12</v>
      </c>
      <c r="I231" s="610"/>
      <c r="J231" s="610"/>
      <c r="K231" s="93"/>
      <c r="L231" s="93">
        <f t="shared" ca="1" si="105"/>
        <v>0</v>
      </c>
      <c r="M231" s="93"/>
      <c r="N231" s="93">
        <f t="shared" si="106"/>
        <v>0</v>
      </c>
      <c r="O231" s="93"/>
      <c r="P231" s="93"/>
      <c r="Q231" s="360"/>
      <c r="R231" s="360"/>
      <c r="S231" s="360"/>
      <c r="T231" s="360"/>
      <c r="U231" s="360"/>
      <c r="V231" s="360"/>
      <c r="W231" s="360"/>
      <c r="X231" s="360"/>
      <c r="Y231" s="360"/>
      <c r="Z231" s="360"/>
    </row>
    <row r="232" spans="1:26" ht="19.5" hidden="1">
      <c r="A232" s="361"/>
      <c r="B232" s="362"/>
      <c r="C232" s="359" t="s">
        <v>16</v>
      </c>
      <c r="D232" s="266" t="s">
        <v>38</v>
      </c>
      <c r="E232" s="363"/>
      <c r="F232" s="363"/>
      <c r="G232" s="364"/>
      <c r="H232" s="365"/>
      <c r="I232" s="166"/>
      <c r="J232" s="610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1"/>
      <c r="B233" s="362"/>
      <c r="C233" s="362"/>
      <c r="D233" s="366" t="s">
        <v>117</v>
      </c>
      <c r="E233" s="372"/>
      <c r="F233" s="372"/>
      <c r="G233" s="368"/>
      <c r="H233" s="369" t="s">
        <v>35</v>
      </c>
      <c r="I233" s="610">
        <f t="shared" ref="I233:J233" ca="1" si="107">I244+I255</f>
        <v>0</v>
      </c>
      <c r="J233" s="610">
        <f t="shared" si="107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1"/>
      <c r="B234" s="362"/>
      <c r="C234" s="362"/>
      <c r="D234" s="371" t="s">
        <v>43</v>
      </c>
      <c r="E234" s="372"/>
      <c r="F234" s="372"/>
      <c r="G234" s="368"/>
      <c r="H234" s="369"/>
      <c r="I234" s="610"/>
      <c r="J234" s="610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1"/>
      <c r="B235" s="362"/>
      <c r="C235" s="362"/>
      <c r="D235" s="362"/>
      <c r="E235" s="373" t="s">
        <v>118</v>
      </c>
      <c r="F235" s="372"/>
      <c r="G235" s="368"/>
      <c r="H235" s="369" t="s">
        <v>35</v>
      </c>
      <c r="I235" s="610">
        <f t="shared" ref="I235:J236" si="108">I246+I257</f>
        <v>0</v>
      </c>
      <c r="J235" s="610">
        <f t="shared" si="108"/>
        <v>0</v>
      </c>
      <c r="K235" s="93">
        <f t="shared" ref="K235:K237" si="109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1"/>
      <c r="B236" s="362"/>
      <c r="C236" s="362"/>
      <c r="D236" s="362"/>
      <c r="E236" s="373" t="s">
        <v>119</v>
      </c>
      <c r="F236" s="372"/>
      <c r="G236" s="368"/>
      <c r="H236" s="369" t="s">
        <v>69</v>
      </c>
      <c r="I236" s="610">
        <f t="shared" si="108"/>
        <v>0</v>
      </c>
      <c r="J236" s="610">
        <f t="shared" si="108"/>
        <v>0</v>
      </c>
      <c r="K236" s="93">
        <f t="shared" si="109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5"/>
      <c r="B237" s="263"/>
      <c r="C237" s="270" t="s">
        <v>120</v>
      </c>
      <c r="D237" s="256"/>
      <c r="E237" s="256"/>
      <c r="F237" s="256"/>
      <c r="G237" s="258"/>
      <c r="H237" s="259" t="s">
        <v>35</v>
      </c>
      <c r="I237" s="271">
        <f t="shared" ref="I237:J237" ca="1" si="110">I244</f>
        <v>0</v>
      </c>
      <c r="J237" s="271">
        <f t="shared" si="110"/>
        <v>0</v>
      </c>
      <c r="K237" s="272">
        <f t="shared" ca="1" si="109"/>
        <v>0</v>
      </c>
      <c r="L237" s="261"/>
      <c r="M237" s="261"/>
      <c r="N237" s="261"/>
      <c r="O237" s="261"/>
      <c r="P237" s="261"/>
    </row>
    <row r="238" spans="1:26" ht="19.5" hidden="1">
      <c r="A238" s="147"/>
      <c r="B238" s="148"/>
      <c r="C238" s="149" t="s">
        <v>16</v>
      </c>
      <c r="D238" s="822" t="s">
        <v>17</v>
      </c>
      <c r="E238" s="148"/>
      <c r="F238" s="148"/>
      <c r="G238" s="151"/>
      <c r="H238" s="274" t="s">
        <v>12</v>
      </c>
      <c r="I238" s="418"/>
      <c r="J238" s="418"/>
      <c r="K238" s="279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4"/>
      <c r="B239" s="315"/>
      <c r="C239" s="316"/>
      <c r="D239" s="324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282">
        <f ca="1">IFERROR(__xludf.DUMMYFUNCTION("IMPORTRANGE(""https://docs.google.com/spreadsheets/d/1QqKyyYR6Q21VydFLVH3TRQUabQu_ym0Zz7PgGX0-kHA/edit?usp=sharing"",""แผน!AV71"")"),0)</f>
        <v>0</v>
      </c>
      <c r="M239" s="282"/>
      <c r="N239" s="829">
        <v>0</v>
      </c>
      <c r="O239" s="282"/>
      <c r="P239" s="28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 hidden="1">
      <c r="A240" s="322"/>
      <c r="B240" s="315"/>
      <c r="C240" s="323"/>
      <c r="D240" s="324" t="s">
        <v>98</v>
      </c>
      <c r="E240" s="316"/>
      <c r="F240" s="316"/>
      <c r="G240" s="318"/>
      <c r="H240" s="319" t="s">
        <v>12</v>
      </c>
      <c r="I240" s="325"/>
      <c r="J240" s="325"/>
      <c r="K240" s="282"/>
      <c r="L240" s="282">
        <f ca="1">IFERROR(__xludf.DUMMYFUNCTION("IMPORTRANGE(""https://docs.google.com/spreadsheets/d/1QqKyyYR6Q21VydFLVH3TRQUabQu_ym0Zz7PgGX0-kHA/edit?usp=sharing"",""แผน!AW71"")"),0)</f>
        <v>0</v>
      </c>
      <c r="M240" s="282"/>
      <c r="N240" s="829">
        <v>0</v>
      </c>
      <c r="O240" s="282"/>
      <c r="P240" s="282"/>
      <c r="Q240" s="326"/>
      <c r="R240" s="326"/>
      <c r="S240" s="326"/>
      <c r="T240" s="326"/>
      <c r="U240" s="326"/>
      <c r="V240" s="326"/>
      <c r="W240" s="326"/>
      <c r="X240" s="326"/>
      <c r="Y240" s="326"/>
      <c r="Z240" s="326"/>
    </row>
    <row r="241" spans="1:26" ht="19.5" hidden="1">
      <c r="A241" s="322"/>
      <c r="B241" s="315"/>
      <c r="C241" s="323"/>
      <c r="D241" s="324" t="s">
        <v>116</v>
      </c>
      <c r="E241" s="316"/>
      <c r="F241" s="316"/>
      <c r="G241" s="318"/>
      <c r="H241" s="319" t="s">
        <v>12</v>
      </c>
      <c r="I241" s="325"/>
      <c r="J241" s="325"/>
      <c r="K241" s="282"/>
      <c r="L241" s="282">
        <f ca="1">IFERROR(__xludf.DUMMYFUNCTION("IMPORTRANGE(""https://docs.google.com/spreadsheets/d/1QqKyyYR6Q21VydFLVH3TRQUabQu_ym0Zz7PgGX0-kHA/edit?usp=sharing"",""แผน!AX71"")"),0)</f>
        <v>0</v>
      </c>
      <c r="M241" s="282"/>
      <c r="N241" s="829">
        <v>0</v>
      </c>
      <c r="O241" s="282"/>
      <c r="P241" s="282"/>
      <c r="Q241" s="326"/>
      <c r="R241" s="326"/>
      <c r="S241" s="326"/>
      <c r="T241" s="326"/>
      <c r="U241" s="326"/>
      <c r="V241" s="326"/>
      <c r="W241" s="326"/>
      <c r="X241" s="326"/>
      <c r="Y241" s="326"/>
      <c r="Z241" s="326"/>
    </row>
    <row r="242" spans="1:26" ht="19.5" hidden="1">
      <c r="A242" s="322"/>
      <c r="B242" s="315"/>
      <c r="C242" s="323"/>
      <c r="D242" s="324" t="s">
        <v>100</v>
      </c>
      <c r="E242" s="316"/>
      <c r="F242" s="316"/>
      <c r="G242" s="318"/>
      <c r="H242" s="319" t="s">
        <v>12</v>
      </c>
      <c r="I242" s="325"/>
      <c r="J242" s="325"/>
      <c r="K242" s="282"/>
      <c r="L242" s="282">
        <f ca="1">IFERROR(__xludf.DUMMYFUNCTION("IMPORTRANGE(""https://docs.google.com/spreadsheets/d/1QqKyyYR6Q21VydFLVH3TRQUabQu_ym0Zz7PgGX0-kHA/edit?usp=sharing"",""แผน!AY71"")"),0)</f>
        <v>0</v>
      </c>
      <c r="M242" s="282"/>
      <c r="N242" s="829">
        <v>0</v>
      </c>
      <c r="O242" s="282"/>
      <c r="P242" s="282"/>
      <c r="Q242" s="326"/>
      <c r="R242" s="326"/>
      <c r="S242" s="326"/>
      <c r="T242" s="326"/>
      <c r="U242" s="326"/>
      <c r="V242" s="326"/>
      <c r="W242" s="326"/>
      <c r="X242" s="326"/>
      <c r="Y242" s="326"/>
      <c r="Z242" s="326"/>
    </row>
    <row r="243" spans="1:26" ht="19.5" hidden="1">
      <c r="A243" s="170"/>
      <c r="B243" s="171"/>
      <c r="C243" s="292" t="s">
        <v>16</v>
      </c>
      <c r="D243" s="823" t="s">
        <v>38</v>
      </c>
      <c r="E243" s="173"/>
      <c r="F243" s="173"/>
      <c r="G243" s="174"/>
      <c r="H243" s="753"/>
      <c r="I243" s="184"/>
      <c r="J243" s="269"/>
      <c r="K243" s="496"/>
      <c r="L243" s="496"/>
      <c r="M243" s="496"/>
      <c r="N243" s="496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46" t="s">
        <v>117</v>
      </c>
      <c r="E244" s="178"/>
      <c r="F244" s="178"/>
      <c r="G244" s="179"/>
      <c r="H244" s="755" t="s">
        <v>35</v>
      </c>
      <c r="I244" s="269">
        <f ca="1">IFERROR(__xludf.DUMMYFUNCTION("IMPORTRANGE(""https://docs.google.com/spreadsheets/d/1QqKyyYR6Q21VydFLVH3TRQUabQu_ym0Zz7PgGX0-kHA/edit?usp=sharing"",""แผน!BE71"")"),0)</f>
        <v>0</v>
      </c>
      <c r="J244" s="214">
        <v>0</v>
      </c>
      <c r="K244" s="496">
        <f ca="1">IF(I244&gt;0,J244*100/I244,0)</f>
        <v>0</v>
      </c>
      <c r="L244" s="496"/>
      <c r="M244" s="496"/>
      <c r="N244" s="496"/>
      <c r="O244" s="496"/>
      <c r="P244" s="496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830" t="s">
        <v>43</v>
      </c>
      <c r="E245" s="178"/>
      <c r="F245" s="178"/>
      <c r="G245" s="179"/>
      <c r="H245" s="755"/>
      <c r="I245" s="269"/>
      <c r="J245" s="269"/>
      <c r="K245" s="496"/>
      <c r="L245" s="496"/>
      <c r="M245" s="496"/>
      <c r="N245" s="496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176" t="s">
        <v>118</v>
      </c>
      <c r="F246" s="178"/>
      <c r="G246" s="179"/>
      <c r="H246" s="755" t="s">
        <v>35</v>
      </c>
      <c r="I246" s="269"/>
      <c r="J246" s="214">
        <v>0</v>
      </c>
      <c r="K246" s="496">
        <f t="shared" ref="K246:K248" si="111">IF(I246&gt;0,J246*100/I246,0)</f>
        <v>0</v>
      </c>
      <c r="L246" s="496"/>
      <c r="M246" s="496"/>
      <c r="N246" s="496"/>
      <c r="O246" s="496"/>
      <c r="P246" s="496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176" t="s">
        <v>119</v>
      </c>
      <c r="F247" s="178"/>
      <c r="G247" s="179"/>
      <c r="H247" s="755" t="s">
        <v>69</v>
      </c>
      <c r="I247" s="269"/>
      <c r="J247" s="214">
        <v>0</v>
      </c>
      <c r="K247" s="496">
        <f t="shared" si="111"/>
        <v>0</v>
      </c>
      <c r="L247" s="496"/>
      <c r="M247" s="496"/>
      <c r="N247" s="496"/>
      <c r="O247" s="496"/>
      <c r="P247" s="496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5"/>
      <c r="B248" s="263"/>
      <c r="C248" s="270" t="s">
        <v>121</v>
      </c>
      <c r="D248" s="256"/>
      <c r="E248" s="256"/>
      <c r="F248" s="256"/>
      <c r="G248" s="258"/>
      <c r="H248" s="259" t="s">
        <v>35</v>
      </c>
      <c r="I248" s="271">
        <f t="shared" ref="I248:J248" ca="1" si="112">I255</f>
        <v>0</v>
      </c>
      <c r="J248" s="271">
        <f t="shared" si="112"/>
        <v>0</v>
      </c>
      <c r="K248" s="272">
        <f t="shared" ca="1" si="111"/>
        <v>0</v>
      </c>
      <c r="L248" s="261"/>
      <c r="M248" s="261"/>
      <c r="N248" s="261"/>
      <c r="O248" s="261"/>
      <c r="P248" s="261"/>
    </row>
    <row r="249" spans="1:26" ht="19.5" hidden="1">
      <c r="A249" s="147"/>
      <c r="B249" s="148"/>
      <c r="C249" s="149" t="s">
        <v>16</v>
      </c>
      <c r="D249" s="826" t="s">
        <v>17</v>
      </c>
      <c r="E249" s="148"/>
      <c r="F249" s="148"/>
      <c r="G249" s="151"/>
      <c r="H249" s="274" t="s">
        <v>12</v>
      </c>
      <c r="I249" s="418"/>
      <c r="J249" s="418"/>
      <c r="K249" s="279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4"/>
      <c r="B250" s="315"/>
      <c r="C250" s="316"/>
      <c r="D250" s="324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282">
        <f ca="1">IFERROR(__xludf.DUMMYFUNCTION("IMPORTRANGE(""https://docs.google.com/spreadsheets/d/1QqKyyYR6Q21VydFLVH3TRQUabQu_ym0Zz7PgGX0-kHA/edit?usp=sharing"",""แผน!AZ71"")"),0)</f>
        <v>0</v>
      </c>
      <c r="M250" s="282"/>
      <c r="N250" s="829">
        <v>0</v>
      </c>
      <c r="O250" s="282"/>
      <c r="P250" s="282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9.5" hidden="1">
      <c r="A251" s="322"/>
      <c r="B251" s="315"/>
      <c r="C251" s="323"/>
      <c r="D251" s="324" t="s">
        <v>98</v>
      </c>
      <c r="E251" s="316"/>
      <c r="F251" s="316"/>
      <c r="G251" s="318"/>
      <c r="H251" s="319" t="s">
        <v>12</v>
      </c>
      <c r="I251" s="325"/>
      <c r="J251" s="325"/>
      <c r="K251" s="282"/>
      <c r="L251" s="282">
        <f ca="1">IFERROR(__xludf.DUMMYFUNCTION("IMPORTRANGE(""https://docs.google.com/spreadsheets/d/1QqKyyYR6Q21VydFLVH3TRQUabQu_ym0Zz7PgGX0-kHA/edit?usp=sharing"",""แผน!BA71"")"),0)</f>
        <v>0</v>
      </c>
      <c r="M251" s="282"/>
      <c r="N251" s="829">
        <v>0</v>
      </c>
      <c r="O251" s="282"/>
      <c r="P251" s="282"/>
      <c r="Q251" s="326"/>
      <c r="R251" s="326"/>
      <c r="S251" s="326"/>
      <c r="T251" s="326"/>
      <c r="U251" s="326"/>
      <c r="V251" s="326"/>
      <c r="W251" s="326"/>
      <c r="X251" s="326"/>
      <c r="Y251" s="326"/>
      <c r="Z251" s="326"/>
    </row>
    <row r="252" spans="1:26" ht="19.5" hidden="1">
      <c r="A252" s="322"/>
      <c r="B252" s="315"/>
      <c r="C252" s="323"/>
      <c r="D252" s="324" t="s">
        <v>116</v>
      </c>
      <c r="E252" s="316"/>
      <c r="F252" s="316"/>
      <c r="G252" s="318"/>
      <c r="H252" s="319" t="s">
        <v>12</v>
      </c>
      <c r="I252" s="325"/>
      <c r="J252" s="325"/>
      <c r="K252" s="282"/>
      <c r="L252" s="282">
        <f ca="1">IFERROR(__xludf.DUMMYFUNCTION("IMPORTRANGE(""https://docs.google.com/spreadsheets/d/1QqKyyYR6Q21VydFLVH3TRQUabQu_ym0Zz7PgGX0-kHA/edit?usp=sharing"",""แผน!BB71"")"),0)</f>
        <v>0</v>
      </c>
      <c r="M252" s="282"/>
      <c r="N252" s="829">
        <v>0</v>
      </c>
      <c r="O252" s="282"/>
      <c r="P252" s="282"/>
      <c r="Q252" s="326"/>
      <c r="R252" s="326"/>
      <c r="S252" s="326"/>
      <c r="T252" s="326"/>
      <c r="U252" s="326"/>
      <c r="V252" s="326"/>
      <c r="W252" s="326"/>
      <c r="X252" s="326"/>
      <c r="Y252" s="326"/>
      <c r="Z252" s="326"/>
    </row>
    <row r="253" spans="1:26" ht="19.5" hidden="1">
      <c r="A253" s="322"/>
      <c r="B253" s="315"/>
      <c r="C253" s="323"/>
      <c r="D253" s="324" t="s">
        <v>100</v>
      </c>
      <c r="E253" s="316"/>
      <c r="F253" s="316"/>
      <c r="G253" s="318"/>
      <c r="H253" s="319" t="s">
        <v>12</v>
      </c>
      <c r="I253" s="325"/>
      <c r="J253" s="325"/>
      <c r="K253" s="282"/>
      <c r="L253" s="282">
        <f ca="1">IFERROR(__xludf.DUMMYFUNCTION("IMPORTRANGE(""https://docs.google.com/spreadsheets/d/1QqKyyYR6Q21VydFLVH3TRQUabQu_ym0Zz7PgGX0-kHA/edit?usp=sharing"",""แผน!BC71"")"),0)</f>
        <v>0</v>
      </c>
      <c r="M253" s="282"/>
      <c r="N253" s="829">
        <v>0</v>
      </c>
      <c r="O253" s="282"/>
      <c r="P253" s="282"/>
      <c r="Q253" s="326"/>
      <c r="R253" s="326"/>
      <c r="S253" s="326"/>
      <c r="T253" s="326"/>
      <c r="U253" s="326"/>
      <c r="V253" s="326"/>
      <c r="W253" s="326"/>
      <c r="X253" s="326"/>
      <c r="Y253" s="326"/>
      <c r="Z253" s="326"/>
    </row>
    <row r="254" spans="1:26" ht="19.5" hidden="1">
      <c r="A254" s="170"/>
      <c r="B254" s="171"/>
      <c r="C254" s="292" t="s">
        <v>16</v>
      </c>
      <c r="D254" s="823" t="s">
        <v>38</v>
      </c>
      <c r="E254" s="173"/>
      <c r="F254" s="173"/>
      <c r="G254" s="174"/>
      <c r="H254" s="753"/>
      <c r="I254" s="184"/>
      <c r="J254" s="269"/>
      <c r="K254" s="496"/>
      <c r="L254" s="496"/>
      <c r="M254" s="496"/>
      <c r="N254" s="496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6" t="s">
        <v>117</v>
      </c>
      <c r="E255" s="178"/>
      <c r="F255" s="178"/>
      <c r="G255" s="179"/>
      <c r="H255" s="755" t="s">
        <v>35</v>
      </c>
      <c r="I255" s="269">
        <f ca="1">IFERROR(__xludf.DUMMYFUNCTION("IMPORTRANGE(""https://docs.google.com/spreadsheets/d/1QqKyyYR6Q21VydFLVH3TRQUabQu_ym0Zz7PgGX0-kHA/edit?usp=sharing"",""แผน!BF71"")"),0)</f>
        <v>0</v>
      </c>
      <c r="J255" s="214">
        <v>0</v>
      </c>
      <c r="K255" s="496">
        <f ca="1">IF(I255&gt;0,J255*100/I255,0)</f>
        <v>0</v>
      </c>
      <c r="L255" s="496"/>
      <c r="M255" s="496"/>
      <c r="N255" s="496"/>
      <c r="O255" s="496"/>
      <c r="P255" s="496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30" t="s">
        <v>43</v>
      </c>
      <c r="E256" s="178"/>
      <c r="F256" s="178"/>
      <c r="G256" s="179"/>
      <c r="H256" s="755"/>
      <c r="I256" s="269"/>
      <c r="J256" s="269"/>
      <c r="K256" s="496"/>
      <c r="L256" s="496"/>
      <c r="M256" s="496"/>
      <c r="N256" s="496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55" t="s">
        <v>35</v>
      </c>
      <c r="I257" s="269"/>
      <c r="J257" s="214">
        <v>0</v>
      </c>
      <c r="K257" s="496">
        <f t="shared" ref="K257:K258" si="113">IF(I257&gt;0,J257*100/I257,0)</f>
        <v>0</v>
      </c>
      <c r="L257" s="496"/>
      <c r="M257" s="496"/>
      <c r="N257" s="496"/>
      <c r="O257" s="496"/>
      <c r="P257" s="496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55" t="s">
        <v>69</v>
      </c>
      <c r="I258" s="269"/>
      <c r="J258" s="214">
        <v>0</v>
      </c>
      <c r="K258" s="496">
        <f t="shared" si="113"/>
        <v>0</v>
      </c>
      <c r="L258" s="496"/>
      <c r="M258" s="496"/>
      <c r="N258" s="496"/>
      <c r="O258" s="496"/>
      <c r="P258" s="496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1" t="s">
        <v>122</v>
      </c>
      <c r="B259" s="242"/>
      <c r="C259" s="242"/>
      <c r="D259" s="243"/>
      <c r="E259" s="243"/>
      <c r="F259" s="243"/>
      <c r="G259" s="244"/>
      <c r="H259" s="245"/>
      <c r="I259" s="246"/>
      <c r="J259" s="246"/>
      <c r="K259" s="247"/>
      <c r="L259" s="247"/>
      <c r="M259" s="247"/>
      <c r="N259" s="247"/>
      <c r="O259" s="247"/>
      <c r="P259" s="247"/>
    </row>
    <row r="260" spans="1:26" ht="19.5">
      <c r="A260" s="248"/>
      <c r="B260" s="249" t="s">
        <v>123</v>
      </c>
      <c r="C260" s="250"/>
      <c r="D260" s="173"/>
      <c r="E260" s="173"/>
      <c r="F260" s="173"/>
      <c r="G260" s="174"/>
      <c r="H260" s="251" t="s">
        <v>35</v>
      </c>
      <c r="I260" s="252">
        <f t="shared" ref="I260:J260" ca="1" si="114">I271</f>
        <v>10</v>
      </c>
      <c r="J260" s="252">
        <f t="shared" si="114"/>
        <v>0</v>
      </c>
      <c r="K260" s="253">
        <f ca="1">IF(I260&gt;0,J260*100/I260,0)</f>
        <v>0</v>
      </c>
      <c r="L260" s="254"/>
      <c r="M260" s="254"/>
      <c r="N260" s="254"/>
      <c r="O260" s="254"/>
      <c r="P260" s="254"/>
    </row>
    <row r="261" spans="1:26" ht="19.5">
      <c r="A261" s="147"/>
      <c r="B261" s="148"/>
      <c r="C261" s="149" t="s">
        <v>16</v>
      </c>
      <c r="D261" s="822" t="s">
        <v>17</v>
      </c>
      <c r="E261" s="148"/>
      <c r="F261" s="148"/>
      <c r="G261" s="151"/>
      <c r="H261" s="152" t="s">
        <v>12</v>
      </c>
      <c r="I261" s="419"/>
      <c r="J261" s="419"/>
      <c r="K261" s="154"/>
      <c r="L261" s="155">
        <f t="shared" ref="L261:N261" ca="1" si="115">L262+L263</f>
        <v>158500</v>
      </c>
      <c r="M261" s="155">
        <f t="shared" ca="1" si="115"/>
        <v>65000</v>
      </c>
      <c r="N261" s="155">
        <f t="shared" ca="1" si="115"/>
        <v>35533.33</v>
      </c>
      <c r="O261" s="155">
        <f t="shared" ref="O261:O269" ca="1" si="116">IF(L261&gt;0,N261*100/L261,0)</f>
        <v>22.418504731861198</v>
      </c>
      <c r="P261" s="155">
        <f t="shared" ref="P261:P269" ca="1" si="117">IF(M261&gt;0,N261*100/M261,0)</f>
        <v>54.66666153846154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2" t="s">
        <v>18</v>
      </c>
      <c r="F262" s="40"/>
      <c r="G262" s="157"/>
      <c r="H262" s="158" t="s">
        <v>12</v>
      </c>
      <c r="I262" s="610"/>
      <c r="J262" s="610"/>
      <c r="K262" s="93"/>
      <c r="L262" s="93">
        <f t="shared" ref="L262:N263" si="118">L265+L268</f>
        <v>0</v>
      </c>
      <c r="M262" s="93">
        <f t="shared" si="118"/>
        <v>0</v>
      </c>
      <c r="N262" s="93">
        <f t="shared" si="118"/>
        <v>0</v>
      </c>
      <c r="O262" s="93">
        <f t="shared" si="116"/>
        <v>0</v>
      </c>
      <c r="P262" s="93">
        <f t="shared" si="117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2" t="s">
        <v>19</v>
      </c>
      <c r="F263" s="40"/>
      <c r="G263" s="157"/>
      <c r="H263" s="158" t="s">
        <v>12</v>
      </c>
      <c r="I263" s="610"/>
      <c r="J263" s="610"/>
      <c r="K263" s="93"/>
      <c r="L263" s="93">
        <f t="shared" ca="1" si="118"/>
        <v>158500</v>
      </c>
      <c r="M263" s="93">
        <f t="shared" ca="1" si="118"/>
        <v>65000</v>
      </c>
      <c r="N263" s="93">
        <f t="shared" ca="1" si="118"/>
        <v>35533.33</v>
      </c>
      <c r="O263" s="93">
        <f t="shared" ca="1" si="116"/>
        <v>22.418504731861198</v>
      </c>
      <c r="P263" s="93">
        <f t="shared" ca="1" si="117"/>
        <v>54.66666153846154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1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6">
        <f t="shared" ref="L264:N264" ca="1" si="119">L265+L266</f>
        <v>158500</v>
      </c>
      <c r="M264" s="496">
        <f t="shared" ca="1" si="119"/>
        <v>65000</v>
      </c>
      <c r="N264" s="496">
        <f t="shared" ca="1" si="119"/>
        <v>35533.33</v>
      </c>
      <c r="O264" s="496">
        <f t="shared" ca="1" si="116"/>
        <v>22.418504731861198</v>
      </c>
      <c r="P264" s="496">
        <f t="shared" ca="1" si="117"/>
        <v>54.66666153846154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2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6"/>
        <v>0</v>
      </c>
      <c r="P265" s="93">
        <f t="shared" si="117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2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IFERROR(__xludf.DUMMYFUNCTION("IMPORTRANGE(""https://docs.google.com/spreadsheets/d/1MeEWN-I1oV_STSDYn1IFDPWt_1FKiwhDph83XaGc0o0/edit?usp=sharing"",""งบพรบ!CY71"")"),158500)</f>
        <v>158500</v>
      </c>
      <c r="M266" s="93">
        <f ca="1">IFERROR(__xludf.DUMMYFUNCTION("IMPORTRANGE(""https://docs.google.com/spreadsheets/d/1MeEWN-I1oV_STSDYn1IFDPWt_1FKiwhDph83XaGc0o0/edit?usp=sharing"",""งบพรบ!DD71"")"),65000)</f>
        <v>65000</v>
      </c>
      <c r="N266" s="93">
        <f ca="1">IFERROR(__xludf.DUMMYFUNCTION("IMPORTRANGE(""https://docs.google.com/spreadsheets/d/1MeEWN-I1oV_STSDYn1IFDPWt_1FKiwhDph83XaGc0o0/edit?usp=sharing"",""งบพรบ!DF71"")"),35533.33)</f>
        <v>35533.33</v>
      </c>
      <c r="O266" s="93">
        <f t="shared" ca="1" si="116"/>
        <v>22.418504731861198</v>
      </c>
      <c r="P266" s="93">
        <f t="shared" ca="1" si="117"/>
        <v>54.66666153846154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1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6">
        <f t="shared" ref="L267:N267" ca="1" si="120">L268+L269</f>
        <v>0</v>
      </c>
      <c r="M267" s="496">
        <f t="shared" ca="1" si="120"/>
        <v>0</v>
      </c>
      <c r="N267" s="496">
        <f t="shared" ca="1" si="120"/>
        <v>0</v>
      </c>
      <c r="O267" s="496">
        <f t="shared" ca="1" si="116"/>
        <v>0</v>
      </c>
      <c r="P267" s="496">
        <f t="shared" ca="1" si="117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2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6"/>
        <v>0</v>
      </c>
      <c r="P268" s="93">
        <f t="shared" si="117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2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IFERROR(__xludf.DUMMYFUNCTION("IMPORTRANGE(""https://docs.google.com/spreadsheets/d/1MeEWN-I1oV_STSDYn1IFDPWt_1FKiwhDph83XaGc0o0/edit?usp=sharing"",""งบพรบ!DB71"")"),0)</f>
        <v>0</v>
      </c>
      <c r="M269" s="93">
        <f ca="1">IFERROR(__xludf.DUMMYFUNCTION("IMPORTRANGE(""https://docs.google.com/spreadsheets/d/1MeEWN-I1oV_STSDYn1IFDPWt_1FKiwhDph83XaGc0o0/edit?usp=sharing"",""งบพรบ!DE71"")"),0)</f>
        <v>0</v>
      </c>
      <c r="N269" s="93">
        <f ca="1">IFERROR(__xludf.DUMMYFUNCTION("IMPORTRANGE(""https://docs.google.com/spreadsheets/d/1MeEWN-I1oV_STSDYn1IFDPWt_1FKiwhDph83XaGc0o0/edit?usp=sharing"",""งบพรบ!DG71"")"),0)</f>
        <v>0</v>
      </c>
      <c r="O269" s="93">
        <f t="shared" ca="1" si="116"/>
        <v>0</v>
      </c>
      <c r="P269" s="93">
        <f t="shared" ca="1" si="117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1" t="s">
        <v>16</v>
      </c>
      <c r="D270" s="823" t="s">
        <v>38</v>
      </c>
      <c r="E270" s="173"/>
      <c r="F270" s="173"/>
      <c r="G270" s="174"/>
      <c r="H270" s="753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5" t="s">
        <v>124</v>
      </c>
      <c r="E271" s="178"/>
      <c r="F271" s="366"/>
      <c r="G271" s="179"/>
      <c r="H271" s="376" t="s">
        <v>35</v>
      </c>
      <c r="I271" s="269">
        <f ca="1">IFERROR(__xludf.DUMMYFUNCTION("IMPORTRANGE(""https://docs.google.com/spreadsheets/d/1QqKyyYR6Q21VydFLVH3TRQUabQu_ym0Zz7PgGX0-kHA/edit?usp=sharing"",""แผน!EA71"")"),10)</f>
        <v>10</v>
      </c>
      <c r="J271" s="214">
        <v>0</v>
      </c>
      <c r="K271" s="163">
        <f ca="1">IF(I271&gt;0,J271*100/I271,0)</f>
        <v>0</v>
      </c>
      <c r="L271" s="163"/>
      <c r="M271" s="163"/>
      <c r="N271" s="163"/>
      <c r="O271" s="163"/>
      <c r="P271" s="163"/>
    </row>
    <row r="272" spans="1:26" ht="18.75" hidden="1">
      <c r="A272" s="377"/>
      <c r="B272" s="378"/>
      <c r="C272" s="378"/>
      <c r="D272" s="379" t="s">
        <v>125</v>
      </c>
      <c r="E272" s="380"/>
      <c r="F272" s="380"/>
      <c r="G272" s="381"/>
      <c r="H272" s="50" t="s">
        <v>35</v>
      </c>
      <c r="I272" s="499">
        <v>0</v>
      </c>
      <c r="J272" s="499">
        <v>0</v>
      </c>
      <c r="K272" s="384">
        <v>0</v>
      </c>
      <c r="L272" s="384"/>
      <c r="M272" s="384"/>
      <c r="N272" s="384"/>
      <c r="O272" s="384"/>
      <c r="P272" s="384"/>
    </row>
    <row r="273" spans="1:26" ht="19.5">
      <c r="A273" s="385" t="s">
        <v>126</v>
      </c>
      <c r="B273" s="386"/>
      <c r="C273" s="386"/>
      <c r="D273" s="386"/>
      <c r="E273" s="387"/>
      <c r="F273" s="387"/>
      <c r="G273" s="388"/>
      <c r="H273" s="389"/>
      <c r="I273" s="390"/>
      <c r="J273" s="390"/>
      <c r="K273" s="391"/>
      <c r="L273" s="391"/>
      <c r="M273" s="391"/>
      <c r="N273" s="391"/>
      <c r="O273" s="391"/>
      <c r="P273" s="391"/>
    </row>
    <row r="274" spans="1:26" ht="19.5" hidden="1">
      <c r="A274" s="392" t="s">
        <v>127</v>
      </c>
      <c r="B274" s="393"/>
      <c r="C274" s="394"/>
      <c r="D274" s="393"/>
      <c r="E274" s="393"/>
      <c r="F274" s="393"/>
      <c r="G274" s="393"/>
      <c r="H274" s="395"/>
      <c r="I274" s="396"/>
      <c r="J274" s="397"/>
      <c r="K274" s="398"/>
      <c r="L274" s="398"/>
      <c r="M274" s="398"/>
      <c r="N274" s="398"/>
      <c r="O274" s="398"/>
      <c r="P274" s="398"/>
    </row>
    <row r="275" spans="1:26" ht="19.5" hidden="1">
      <c r="A275" s="399"/>
      <c r="B275" s="408" t="s">
        <v>128</v>
      </c>
      <c r="C275" s="401"/>
      <c r="D275" s="402"/>
      <c r="E275" s="401"/>
      <c r="F275" s="401"/>
      <c r="G275" s="403"/>
      <c r="H275" s="404" t="s">
        <v>35</v>
      </c>
      <c r="I275" s="405">
        <f t="shared" ref="I275:J275" ca="1" si="121">I288</f>
        <v>0</v>
      </c>
      <c r="J275" s="405">
        <f t="shared" ca="1" si="121"/>
        <v>0</v>
      </c>
      <c r="K275" s="406">
        <f t="shared" ref="K275:K276" ca="1" si="122">IF(I275&gt;0,J275*100/I275,0)</f>
        <v>0</v>
      </c>
      <c r="L275" s="407"/>
      <c r="M275" s="407"/>
      <c r="N275" s="407"/>
      <c r="O275" s="407"/>
      <c r="P275" s="407"/>
    </row>
    <row r="276" spans="1:26" ht="19.5" hidden="1">
      <c r="A276" s="399"/>
      <c r="B276" s="408"/>
      <c r="C276" s="401"/>
      <c r="D276" s="402"/>
      <c r="E276" s="401"/>
      <c r="F276" s="401"/>
      <c r="G276" s="403"/>
      <c r="H276" s="404" t="s">
        <v>46</v>
      </c>
      <c r="I276" s="831">
        <f t="shared" ref="I276:J276" ca="1" si="123">I287</f>
        <v>0</v>
      </c>
      <c r="J276" s="831">
        <f t="shared" si="123"/>
        <v>0</v>
      </c>
      <c r="K276" s="407">
        <f t="shared" ca="1" si="122"/>
        <v>0</v>
      </c>
      <c r="L276" s="407"/>
      <c r="M276" s="407"/>
      <c r="N276" s="407"/>
      <c r="O276" s="407"/>
      <c r="P276" s="407"/>
    </row>
    <row r="277" spans="1:26" ht="19.5" hidden="1">
      <c r="A277" s="147"/>
      <c r="B277" s="148"/>
      <c r="C277" s="149" t="s">
        <v>16</v>
      </c>
      <c r="D277" s="822" t="s">
        <v>17</v>
      </c>
      <c r="E277" s="148"/>
      <c r="F277" s="148"/>
      <c r="G277" s="151"/>
      <c r="H277" s="152" t="s">
        <v>12</v>
      </c>
      <c r="I277" s="419"/>
      <c r="J277" s="419"/>
      <c r="K277" s="154"/>
      <c r="L277" s="155">
        <f t="shared" ref="L277:N277" ca="1" si="124">L278+L279</f>
        <v>0</v>
      </c>
      <c r="M277" s="155">
        <f t="shared" ca="1" si="124"/>
        <v>0</v>
      </c>
      <c r="N277" s="155">
        <f t="shared" ca="1" si="124"/>
        <v>0</v>
      </c>
      <c r="O277" s="155">
        <f t="shared" ref="O277:O285" ca="1" si="125">IF(L277&gt;0,N277*100/L277,0)</f>
        <v>0</v>
      </c>
      <c r="P277" s="155">
        <f t="shared" ref="P277:P285" ca="1" si="126">IF(M277&gt;0,N277*100/M277,0)</f>
        <v>0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2" t="s">
        <v>18</v>
      </c>
      <c r="F278" s="40"/>
      <c r="G278" s="157"/>
      <c r="H278" s="158" t="s">
        <v>12</v>
      </c>
      <c r="I278" s="610"/>
      <c r="J278" s="610"/>
      <c r="K278" s="93"/>
      <c r="L278" s="93">
        <f t="shared" ref="L278:N279" si="127">L281+L284</f>
        <v>0</v>
      </c>
      <c r="M278" s="93">
        <f t="shared" si="127"/>
        <v>0</v>
      </c>
      <c r="N278" s="93">
        <f t="shared" si="127"/>
        <v>0</v>
      </c>
      <c r="O278" s="93">
        <f t="shared" si="125"/>
        <v>0</v>
      </c>
      <c r="P278" s="93">
        <f t="shared" si="126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2" t="s">
        <v>19</v>
      </c>
      <c r="F279" s="40"/>
      <c r="G279" s="157"/>
      <c r="H279" s="158" t="s">
        <v>12</v>
      </c>
      <c r="I279" s="610"/>
      <c r="J279" s="610"/>
      <c r="K279" s="93"/>
      <c r="L279" s="93">
        <f t="shared" ca="1" si="127"/>
        <v>0</v>
      </c>
      <c r="M279" s="93">
        <f t="shared" ca="1" si="127"/>
        <v>0</v>
      </c>
      <c r="N279" s="93">
        <f t="shared" ca="1" si="127"/>
        <v>0</v>
      </c>
      <c r="O279" s="93">
        <f t="shared" ca="1" si="125"/>
        <v>0</v>
      </c>
      <c r="P279" s="93">
        <f t="shared" ca="1" si="126"/>
        <v>0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 hidden="1">
      <c r="A280" s="159"/>
      <c r="B280" s="33"/>
      <c r="C280" s="281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6">
        <f t="shared" ref="L280:N280" ca="1" si="128">L281+L282</f>
        <v>0</v>
      </c>
      <c r="M280" s="496">
        <f t="shared" ca="1" si="128"/>
        <v>0</v>
      </c>
      <c r="N280" s="496">
        <f t="shared" ca="1" si="128"/>
        <v>0</v>
      </c>
      <c r="O280" s="496">
        <f t="shared" ca="1" si="125"/>
        <v>0</v>
      </c>
      <c r="P280" s="496">
        <f t="shared" ca="1" si="126"/>
        <v>0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2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5"/>
        <v>0</v>
      </c>
      <c r="P281" s="93">
        <f t="shared" si="126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2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IFERROR(__xludf.DUMMYFUNCTION("IMPORTRANGE(""https://docs.google.com/spreadsheets/d/1MeEWN-I1oV_STSDYn1IFDPWt_1FKiwhDph83XaGc0o0/edit?usp=sharing"",""งบพรบ!DI71"")"),0)</f>
        <v>0</v>
      </c>
      <c r="M282" s="93">
        <f ca="1">IFERROR(__xludf.DUMMYFUNCTION("IMPORTRANGE(""https://docs.google.com/spreadsheets/d/1MeEWN-I1oV_STSDYn1IFDPWt_1FKiwhDph83XaGc0o0/edit?usp=sharing"",""งบพรบ!DN71"")"),0)</f>
        <v>0</v>
      </c>
      <c r="N282" s="93">
        <f ca="1">IFERROR(__xludf.DUMMYFUNCTION("IMPORTRANGE(""https://docs.google.com/spreadsheets/d/1MeEWN-I1oV_STSDYn1IFDPWt_1FKiwhDph83XaGc0o0/edit?usp=sharing"",""งบพรบ!DP71"")"),0)</f>
        <v>0</v>
      </c>
      <c r="O282" s="93">
        <f t="shared" ca="1" si="125"/>
        <v>0</v>
      </c>
      <c r="P282" s="93">
        <f t="shared" ca="1" si="126"/>
        <v>0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 hidden="1">
      <c r="A283" s="159"/>
      <c r="B283" s="33"/>
      <c r="C283" s="281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6">
        <f t="shared" ref="L283:N283" ca="1" si="129">L284+L285</f>
        <v>0</v>
      </c>
      <c r="M283" s="496">
        <f t="shared" ca="1" si="129"/>
        <v>0</v>
      </c>
      <c r="N283" s="496">
        <f t="shared" ca="1" si="129"/>
        <v>0</v>
      </c>
      <c r="O283" s="496">
        <f t="shared" ca="1" si="125"/>
        <v>0</v>
      </c>
      <c r="P283" s="496">
        <f t="shared" ca="1" si="126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2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5"/>
        <v>0</v>
      </c>
      <c r="P284" s="93">
        <f t="shared" si="126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2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IFERROR(__xludf.DUMMYFUNCTION("IMPORTRANGE(""https://docs.google.com/spreadsheets/d/1MeEWN-I1oV_STSDYn1IFDPWt_1FKiwhDph83XaGc0o0/edit?usp=sharing"",""งบพรบ!DL71"")"),0)</f>
        <v>0</v>
      </c>
      <c r="M285" s="93">
        <f ca="1">IFERROR(__xludf.DUMMYFUNCTION("IMPORTRANGE(""https://docs.google.com/spreadsheets/d/1MeEWN-I1oV_STSDYn1IFDPWt_1FKiwhDph83XaGc0o0/edit?usp=sharing"",""งบพรบ!DO71"")"),0)</f>
        <v>0</v>
      </c>
      <c r="N285" s="93">
        <f ca="1">IFERROR(__xludf.DUMMYFUNCTION("IMPORTRANGE(""https://docs.google.com/spreadsheets/d/1MeEWN-I1oV_STSDYn1IFDPWt_1FKiwhDph83XaGc0o0/edit?usp=sharing"",""งบพรบ!DQ71"")"),0)</f>
        <v>0</v>
      </c>
      <c r="O285" s="93">
        <f t="shared" ca="1" si="125"/>
        <v>0</v>
      </c>
      <c r="P285" s="93">
        <f t="shared" ca="1" si="126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 hidden="1">
      <c r="A286" s="170"/>
      <c r="B286" s="171"/>
      <c r="C286" s="164" t="s">
        <v>16</v>
      </c>
      <c r="D286" s="823" t="s">
        <v>38</v>
      </c>
      <c r="E286" s="173"/>
      <c r="F286" s="173"/>
      <c r="G286" s="174"/>
      <c r="H286" s="753"/>
      <c r="I286" s="184"/>
      <c r="J286" s="184"/>
      <c r="K286" s="163"/>
      <c r="L286" s="163"/>
      <c r="M286" s="163"/>
      <c r="N286" s="163"/>
      <c r="O286" s="163"/>
      <c r="P286" s="163"/>
    </row>
    <row r="287" spans="1:26" ht="18.75" hidden="1">
      <c r="A287" s="170"/>
      <c r="B287" s="171"/>
      <c r="C287" s="171"/>
      <c r="D287" s="619" t="s">
        <v>129</v>
      </c>
      <c r="E287" s="171"/>
      <c r="F287" s="178"/>
      <c r="G287" s="179"/>
      <c r="H287" s="185" t="s">
        <v>46</v>
      </c>
      <c r="I287" s="269">
        <f ca="1">IFERROR(__xludf.DUMMYFUNCTION("IMPORTRANGE(""https://docs.google.com/spreadsheets/d/1QqKyyYR6Q21VydFLVH3TRQUabQu_ym0Zz7PgGX0-kHA/edit?usp=sharing"",""แผน!EC71"")"),0)</f>
        <v>0</v>
      </c>
      <c r="J287" s="269">
        <v>0</v>
      </c>
      <c r="K287" s="163">
        <f t="shared" ref="K287:K288" ca="1" si="130">IF(I287&gt;0,J287*100/I287,0)</f>
        <v>0</v>
      </c>
      <c r="L287" s="163"/>
      <c r="M287" s="163"/>
      <c r="N287" s="163"/>
      <c r="O287" s="163"/>
      <c r="P287" s="163"/>
    </row>
    <row r="288" spans="1:26" ht="19.5" hidden="1">
      <c r="A288" s="170"/>
      <c r="B288" s="171"/>
      <c r="C288" s="171"/>
      <c r="D288" s="619" t="s">
        <v>130</v>
      </c>
      <c r="E288" s="171"/>
      <c r="F288" s="178"/>
      <c r="G288" s="179"/>
      <c r="H288" s="180" t="s">
        <v>35</v>
      </c>
      <c r="I288" s="674">
        <f ca="1">IFERROR(__xludf.DUMMYFUNCTION("IMPORTRANGE(""https://docs.google.com/spreadsheets/d/1QqKyyYR6Q21VydFLVH3TRQUabQu_ym0Zz7PgGX0-kHA/edit?usp=sharing"",""แผน!EB71"")"),0)</f>
        <v>0</v>
      </c>
      <c r="J288" s="674">
        <f ca="1">IF(AND(J291&gt;=I288,J294&gt;=I288),J294,0)</f>
        <v>0</v>
      </c>
      <c r="K288" s="410">
        <f t="shared" ca="1" si="130"/>
        <v>0</v>
      </c>
      <c r="L288" s="163"/>
      <c r="M288" s="163"/>
      <c r="N288" s="163"/>
      <c r="O288" s="163"/>
      <c r="P288" s="163"/>
    </row>
    <row r="289" spans="1:26" ht="19.5" hidden="1">
      <c r="A289" s="170"/>
      <c r="B289" s="171"/>
      <c r="C289" s="171"/>
      <c r="D289" s="411"/>
      <c r="E289" s="412" t="s">
        <v>131</v>
      </c>
      <c r="F289" s="178"/>
      <c r="G289" s="179"/>
      <c r="H289" s="755"/>
      <c r="I289" s="184"/>
      <c r="J289" s="269"/>
      <c r="K289" s="163"/>
      <c r="L289" s="163"/>
      <c r="M289" s="163"/>
      <c r="N289" s="163"/>
      <c r="O289" s="163"/>
      <c r="P289" s="163"/>
    </row>
    <row r="290" spans="1:26" ht="19.5" hidden="1">
      <c r="A290" s="170"/>
      <c r="B290" s="171"/>
      <c r="C290" s="171"/>
      <c r="D290" s="411"/>
      <c r="E290" s="619" t="s">
        <v>132</v>
      </c>
      <c r="F290" s="178"/>
      <c r="G290" s="179"/>
      <c r="H290" s="755" t="s">
        <v>35</v>
      </c>
      <c r="I290" s="184">
        <f ca="1">IFERROR(__xludf.DUMMYFUNCTION("IMPORTRANGE(""https://docs.google.com/spreadsheets/d/1QqKyyYR6Q21VydFLVH3TRQUabQu_ym0Zz7PgGX0-kHA/edit?usp=sharing"",""แผน!EB71"")"),0)</f>
        <v>0</v>
      </c>
      <c r="J290" s="214">
        <v>0</v>
      </c>
      <c r="K290" s="163">
        <f t="shared" ref="K290:K291" ca="1" si="131">IF(I290&gt;0,J290*100/I290,0)</f>
        <v>0</v>
      </c>
      <c r="L290" s="163"/>
      <c r="M290" s="163"/>
      <c r="N290" s="163"/>
      <c r="O290" s="163"/>
      <c r="P290" s="163"/>
    </row>
    <row r="291" spans="1:26" ht="19.5" hidden="1">
      <c r="A291" s="170"/>
      <c r="B291" s="171"/>
      <c r="C291" s="171"/>
      <c r="D291" s="178"/>
      <c r="E291" s="619" t="s">
        <v>333</v>
      </c>
      <c r="F291" s="178"/>
      <c r="G291" s="179"/>
      <c r="H291" s="755" t="s">
        <v>35</v>
      </c>
      <c r="I291" s="184">
        <f ca="1">IFERROR(__xludf.DUMMYFUNCTION("IMPORTRANGE(""https://docs.google.com/spreadsheets/d/1QqKyyYR6Q21VydFLVH3TRQUabQu_ym0Zz7PgGX0-kHA/edit?usp=sharing"",""แผน!EB71"")"),0)</f>
        <v>0</v>
      </c>
      <c r="J291" s="214">
        <v>0</v>
      </c>
      <c r="K291" s="163">
        <f t="shared" ca="1" si="131"/>
        <v>0</v>
      </c>
      <c r="L291" s="163"/>
      <c r="M291" s="163"/>
      <c r="N291" s="163"/>
      <c r="O291" s="163"/>
      <c r="P291" s="163"/>
    </row>
    <row r="292" spans="1:26" ht="19.5" hidden="1">
      <c r="A292" s="413"/>
      <c r="B292" s="414"/>
      <c r="C292" s="414"/>
      <c r="D292" s="415"/>
      <c r="E292" s="416" t="s">
        <v>134</v>
      </c>
      <c r="F292" s="287"/>
      <c r="G292" s="288"/>
      <c r="H292" s="417"/>
      <c r="I292" s="418"/>
      <c r="J292" s="419"/>
      <c r="K292" s="279"/>
      <c r="L292" s="279"/>
      <c r="M292" s="279"/>
      <c r="N292" s="279"/>
      <c r="O292" s="279"/>
      <c r="P292" s="279"/>
    </row>
    <row r="293" spans="1:26" ht="19.5" hidden="1">
      <c r="A293" s="170"/>
      <c r="B293" s="171"/>
      <c r="C293" s="171"/>
      <c r="D293" s="411"/>
      <c r="E293" s="619" t="s">
        <v>132</v>
      </c>
      <c r="F293" s="178"/>
      <c r="G293" s="179"/>
      <c r="H293" s="755" t="s">
        <v>35</v>
      </c>
      <c r="I293" s="184">
        <f ca="1">IFERROR(__xludf.DUMMYFUNCTION("IMPORTRANGE(""https://docs.google.com/spreadsheets/d/1QqKyyYR6Q21VydFLVH3TRQUabQu_ym0Zz7PgGX0-kHA/edit?usp=sharing"",""แผน!EB71"")"),0)</f>
        <v>0</v>
      </c>
      <c r="J293" s="214">
        <v>0</v>
      </c>
      <c r="K293" s="163">
        <f t="shared" ref="K293:K294" ca="1" si="132">IF(I293&gt;0,J293*100/I293,0)</f>
        <v>0</v>
      </c>
      <c r="L293" s="163"/>
      <c r="M293" s="163"/>
      <c r="N293" s="163"/>
      <c r="O293" s="163"/>
      <c r="P293" s="163"/>
    </row>
    <row r="294" spans="1:26" ht="19.5" hidden="1">
      <c r="A294" s="377"/>
      <c r="B294" s="378"/>
      <c r="C294" s="378"/>
      <c r="D294" s="380"/>
      <c r="E294" s="725" t="s">
        <v>333</v>
      </c>
      <c r="F294" s="380"/>
      <c r="G294" s="381"/>
      <c r="H294" s="421" t="s">
        <v>35</v>
      </c>
      <c r="I294" s="422">
        <f ca="1">IFERROR(__xludf.DUMMYFUNCTION("IMPORTRANGE(""https://docs.google.com/spreadsheets/d/1QqKyyYR6Q21VydFLVH3TRQUabQu_ym0Zz7PgGX0-kHA/edit?usp=sharing"",""แผน!EB71"")"),0)</f>
        <v>0</v>
      </c>
      <c r="J294" s="423">
        <v>0</v>
      </c>
      <c r="K294" s="384">
        <f t="shared" ca="1" si="132"/>
        <v>0</v>
      </c>
      <c r="L294" s="384"/>
      <c r="M294" s="384"/>
      <c r="N294" s="384"/>
      <c r="O294" s="384"/>
      <c r="P294" s="384"/>
    </row>
    <row r="295" spans="1:26" ht="19.5" hidden="1">
      <c r="A295" s="424" t="s">
        <v>137</v>
      </c>
      <c r="B295" s="425"/>
      <c r="C295" s="425"/>
      <c r="D295" s="425"/>
      <c r="E295" s="426"/>
      <c r="F295" s="426"/>
      <c r="G295" s="427"/>
      <c r="H295" s="428"/>
      <c r="I295" s="429"/>
      <c r="J295" s="429"/>
      <c r="K295" s="430"/>
      <c r="L295" s="430"/>
      <c r="M295" s="430"/>
      <c r="N295" s="430"/>
      <c r="O295" s="430"/>
      <c r="P295" s="430"/>
    </row>
    <row r="296" spans="1:26" ht="19.5" hidden="1">
      <c r="A296" s="431" t="s">
        <v>138</v>
      </c>
      <c r="B296" s="432"/>
      <c r="C296" s="432"/>
      <c r="D296" s="433"/>
      <c r="E296" s="433"/>
      <c r="F296" s="433"/>
      <c r="G296" s="434"/>
      <c r="H296" s="435"/>
      <c r="I296" s="436"/>
      <c r="J296" s="436"/>
      <c r="K296" s="437"/>
      <c r="L296" s="437"/>
      <c r="M296" s="437"/>
      <c r="N296" s="437"/>
      <c r="O296" s="437"/>
      <c r="P296" s="437"/>
    </row>
    <row r="297" spans="1:26" ht="19.5" hidden="1">
      <c r="A297" s="438"/>
      <c r="B297" s="439" t="s">
        <v>139</v>
      </c>
      <c r="C297" s="440"/>
      <c r="D297" s="440"/>
      <c r="E297" s="440"/>
      <c r="F297" s="440"/>
      <c r="G297" s="441"/>
      <c r="H297" s="442" t="s">
        <v>35</v>
      </c>
      <c r="I297" s="443">
        <f t="shared" ref="I297:J297" ca="1" si="133">I309</f>
        <v>0</v>
      </c>
      <c r="J297" s="443">
        <f t="shared" si="133"/>
        <v>0</v>
      </c>
      <c r="K297" s="444">
        <f ca="1">IF(I297&gt;0,J297*100/I297,0)</f>
        <v>0</v>
      </c>
      <c r="L297" s="445"/>
      <c r="M297" s="445"/>
      <c r="N297" s="445"/>
      <c r="O297" s="445"/>
      <c r="P297" s="445"/>
    </row>
    <row r="298" spans="1:26" ht="19.5" hidden="1">
      <c r="A298" s="147"/>
      <c r="B298" s="148"/>
      <c r="C298" s="149" t="s">
        <v>16</v>
      </c>
      <c r="D298" s="822" t="s">
        <v>17</v>
      </c>
      <c r="E298" s="148"/>
      <c r="F298" s="148"/>
      <c r="G298" s="151"/>
      <c r="H298" s="152" t="s">
        <v>12</v>
      </c>
      <c r="I298" s="419"/>
      <c r="J298" s="419"/>
      <c r="K298" s="154"/>
      <c r="L298" s="155">
        <f t="shared" ref="L298:N298" ca="1" si="134">L299+L300</f>
        <v>0</v>
      </c>
      <c r="M298" s="155">
        <f t="shared" ca="1" si="134"/>
        <v>0</v>
      </c>
      <c r="N298" s="155">
        <f t="shared" ca="1" si="134"/>
        <v>0</v>
      </c>
      <c r="O298" s="155">
        <f t="shared" ref="O298:O306" ca="1" si="135">IF(L298&gt;0,N298*100/L298,0)</f>
        <v>0</v>
      </c>
      <c r="P298" s="155">
        <f t="shared" ref="P298:P306" ca="1" si="136">IF(M298&gt;0,N298*100/M298,0)</f>
        <v>0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2" t="s">
        <v>18</v>
      </c>
      <c r="F299" s="40"/>
      <c r="G299" s="157"/>
      <c r="H299" s="158" t="s">
        <v>12</v>
      </c>
      <c r="I299" s="610"/>
      <c r="J299" s="610"/>
      <c r="K299" s="93"/>
      <c r="L299" s="93">
        <f t="shared" ref="L299:N300" si="137">L302+L305</f>
        <v>0</v>
      </c>
      <c r="M299" s="93">
        <f t="shared" si="137"/>
        <v>0</v>
      </c>
      <c r="N299" s="93">
        <f t="shared" si="137"/>
        <v>0</v>
      </c>
      <c r="O299" s="93">
        <f t="shared" si="135"/>
        <v>0</v>
      </c>
      <c r="P299" s="93">
        <f t="shared" si="136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2" t="s">
        <v>19</v>
      </c>
      <c r="F300" s="40"/>
      <c r="G300" s="157"/>
      <c r="H300" s="158" t="s">
        <v>12</v>
      </c>
      <c r="I300" s="610"/>
      <c r="J300" s="610"/>
      <c r="K300" s="93"/>
      <c r="L300" s="93">
        <f t="shared" ca="1" si="137"/>
        <v>0</v>
      </c>
      <c r="M300" s="93">
        <f t="shared" ca="1" si="137"/>
        <v>0</v>
      </c>
      <c r="N300" s="93">
        <f t="shared" ca="1" si="137"/>
        <v>0</v>
      </c>
      <c r="O300" s="93">
        <f t="shared" ca="1" si="135"/>
        <v>0</v>
      </c>
      <c r="P300" s="93">
        <f t="shared" ca="1" si="136"/>
        <v>0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 hidden="1">
      <c r="A301" s="159"/>
      <c r="B301" s="33"/>
      <c r="C301" s="281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6">
        <f t="shared" ref="L301:N301" ca="1" si="138">L302+L303</f>
        <v>0</v>
      </c>
      <c r="M301" s="496">
        <f t="shared" ca="1" si="138"/>
        <v>0</v>
      </c>
      <c r="N301" s="496">
        <f t="shared" ca="1" si="138"/>
        <v>0</v>
      </c>
      <c r="O301" s="496">
        <f t="shared" ca="1" si="135"/>
        <v>0</v>
      </c>
      <c r="P301" s="496">
        <f t="shared" ca="1" si="136"/>
        <v>0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2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5"/>
        <v>0</v>
      </c>
      <c r="P302" s="93">
        <f t="shared" si="136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2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IFERROR(__xludf.DUMMYFUNCTION("IMPORTRANGE(""https://docs.google.com/spreadsheets/d/1MeEWN-I1oV_STSDYn1IFDPWt_1FKiwhDph83XaGc0o0/edit?usp=sharing"",""งบพรบ!DS71"")"),0)</f>
        <v>0</v>
      </c>
      <c r="M303" s="93">
        <f ca="1">IFERROR(__xludf.DUMMYFUNCTION("IMPORTRANGE(""https://docs.google.com/spreadsheets/d/1MeEWN-I1oV_STSDYn1IFDPWt_1FKiwhDph83XaGc0o0/edit?usp=sharing"",""งบพรบ!DX71"")"),0)</f>
        <v>0</v>
      </c>
      <c r="N303" s="93">
        <f ca="1">IFERROR(__xludf.DUMMYFUNCTION("IMPORTRANGE(""https://docs.google.com/spreadsheets/d/1MeEWN-I1oV_STSDYn1IFDPWt_1FKiwhDph83XaGc0o0/edit?usp=sharing"",""งบพรบ!DZ71"")"),0)</f>
        <v>0</v>
      </c>
      <c r="O303" s="93">
        <f t="shared" ca="1" si="135"/>
        <v>0</v>
      </c>
      <c r="P303" s="93">
        <f t="shared" ca="1" si="136"/>
        <v>0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 hidden="1">
      <c r="A304" s="159"/>
      <c r="B304" s="33"/>
      <c r="C304" s="281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6">
        <f t="shared" ref="L304:N304" ca="1" si="139">L305+L306</f>
        <v>0</v>
      </c>
      <c r="M304" s="496">
        <f t="shared" ca="1" si="139"/>
        <v>0</v>
      </c>
      <c r="N304" s="496">
        <f t="shared" ca="1" si="139"/>
        <v>0</v>
      </c>
      <c r="O304" s="496">
        <f t="shared" ca="1" si="135"/>
        <v>0</v>
      </c>
      <c r="P304" s="496">
        <f t="shared" ca="1" si="136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2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5"/>
        <v>0</v>
      </c>
      <c r="P305" s="93">
        <f t="shared" si="136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2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IFERROR(__xludf.DUMMYFUNCTION("IMPORTRANGE(""https://docs.google.com/spreadsheets/d/1MeEWN-I1oV_STSDYn1IFDPWt_1FKiwhDph83XaGc0o0/edit?usp=sharing"",""งบพรบ!DV71"")"),0)</f>
        <v>0</v>
      </c>
      <c r="M306" s="93">
        <f ca="1">IFERROR(__xludf.DUMMYFUNCTION("IMPORTRANGE(""https://docs.google.com/spreadsheets/d/1MeEWN-I1oV_STSDYn1IFDPWt_1FKiwhDph83XaGc0o0/edit?usp=sharing"",""งบพรบ!DY71"")"),0)</f>
        <v>0</v>
      </c>
      <c r="N306" s="93">
        <f ca="1">IFERROR(__xludf.DUMMYFUNCTION("IMPORTRANGE(""https://docs.google.com/spreadsheets/d/1MeEWN-I1oV_STSDYn1IFDPWt_1FKiwhDph83XaGc0o0/edit?usp=sharing"",""งบพรบ!EA71"")"),0)</f>
        <v>0</v>
      </c>
      <c r="O306" s="93">
        <f t="shared" ca="1" si="135"/>
        <v>0</v>
      </c>
      <c r="P306" s="93">
        <f t="shared" ca="1" si="136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 hidden="1">
      <c r="A307" s="170"/>
      <c r="B307" s="171"/>
      <c r="C307" s="164" t="s">
        <v>16</v>
      </c>
      <c r="D307" s="823" t="s">
        <v>38</v>
      </c>
      <c r="E307" s="173"/>
      <c r="F307" s="173"/>
      <c r="G307" s="174"/>
      <c r="H307" s="753"/>
      <c r="I307" s="269"/>
      <c r="J307" s="269"/>
      <c r="K307" s="496"/>
      <c r="L307" s="496"/>
      <c r="M307" s="496"/>
      <c r="N307" s="496"/>
      <c r="O307" s="496"/>
      <c r="P307" s="496"/>
    </row>
    <row r="308" spans="1:26" ht="18.75" hidden="1">
      <c r="A308" s="170"/>
      <c r="B308" s="171"/>
      <c r="C308" s="171"/>
      <c r="D308" s="446" t="s">
        <v>140</v>
      </c>
      <c r="E308" s="446"/>
      <c r="F308" s="446"/>
      <c r="G308" s="179"/>
      <c r="H308" s="755"/>
      <c r="I308" s="269"/>
      <c r="J308" s="214">
        <v>0</v>
      </c>
      <c r="K308" s="496"/>
      <c r="L308" s="496"/>
      <c r="M308" s="496"/>
      <c r="N308" s="496"/>
      <c r="O308" s="496"/>
      <c r="P308" s="496"/>
    </row>
    <row r="309" spans="1:26" ht="18.75" hidden="1">
      <c r="A309" s="170"/>
      <c r="B309" s="171"/>
      <c r="C309" s="171"/>
      <c r="D309" s="446" t="s">
        <v>141</v>
      </c>
      <c r="E309" s="446"/>
      <c r="F309" s="446"/>
      <c r="G309" s="179"/>
      <c r="H309" s="755" t="s">
        <v>35</v>
      </c>
      <c r="I309" s="269">
        <f ca="1">IFERROR(__xludf.DUMMYFUNCTION("IMPORTRANGE(""https://docs.google.com/spreadsheets/d/1QqKyyYR6Q21VydFLVH3TRQUabQu_ym0Zz7PgGX0-kHA/edit?usp=sharing"",""แผน!ED71"")"),0)</f>
        <v>0</v>
      </c>
      <c r="J309" s="214">
        <v>0</v>
      </c>
      <c r="K309" s="496">
        <f t="shared" ref="K309:K312" ca="1" si="140">IF(I309&gt;0,J309*100/I309,0)</f>
        <v>0</v>
      </c>
      <c r="L309" s="496"/>
      <c r="M309" s="496"/>
      <c r="N309" s="496"/>
      <c r="O309" s="496"/>
      <c r="P309" s="496"/>
    </row>
    <row r="310" spans="1:26" ht="18.75" hidden="1">
      <c r="A310" s="170"/>
      <c r="B310" s="171"/>
      <c r="C310" s="171"/>
      <c r="D310" s="446" t="s">
        <v>142</v>
      </c>
      <c r="E310" s="446"/>
      <c r="F310" s="446"/>
      <c r="G310" s="179"/>
      <c r="H310" s="755" t="s">
        <v>35</v>
      </c>
      <c r="I310" s="269">
        <f ca="1">IFERROR(__xludf.DUMMYFUNCTION("IMPORTRANGE(""https://docs.google.com/spreadsheets/d/1QqKyyYR6Q21VydFLVH3TRQUabQu_ym0Zz7PgGX0-kHA/edit?usp=sharing"",""แผน!ED71"")"),0)</f>
        <v>0</v>
      </c>
      <c r="J310" s="214">
        <v>0</v>
      </c>
      <c r="K310" s="496">
        <f t="shared" ca="1" si="140"/>
        <v>0</v>
      </c>
      <c r="L310" s="496"/>
      <c r="M310" s="496"/>
      <c r="N310" s="496"/>
      <c r="O310" s="496"/>
      <c r="P310" s="496"/>
    </row>
    <row r="311" spans="1:26" ht="18.75" hidden="1">
      <c r="A311" s="170"/>
      <c r="B311" s="171"/>
      <c r="C311" s="171"/>
      <c r="D311" s="446" t="s">
        <v>59</v>
      </c>
      <c r="E311" s="446"/>
      <c r="F311" s="446"/>
      <c r="G311" s="179"/>
      <c r="H311" s="755" t="s">
        <v>35</v>
      </c>
      <c r="I311" s="269">
        <f ca="1">IFERROR(__xludf.DUMMYFUNCTION("IMPORTRANGE(""https://docs.google.com/spreadsheets/d/1QqKyyYR6Q21VydFLVH3TRQUabQu_ym0Zz7PgGX0-kHA/edit?usp=sharing"",""แผน!ED71"")"),0)</f>
        <v>0</v>
      </c>
      <c r="J311" s="214">
        <v>0</v>
      </c>
      <c r="K311" s="496">
        <f t="shared" ca="1" si="140"/>
        <v>0</v>
      </c>
      <c r="L311" s="496"/>
      <c r="M311" s="496"/>
      <c r="N311" s="496"/>
      <c r="O311" s="496"/>
      <c r="P311" s="496"/>
    </row>
    <row r="312" spans="1:26" ht="18.75" hidden="1">
      <c r="A312" s="170"/>
      <c r="B312" s="171"/>
      <c r="C312" s="171"/>
      <c r="D312" s="446" t="s">
        <v>143</v>
      </c>
      <c r="E312" s="446"/>
      <c r="F312" s="446"/>
      <c r="G312" s="179"/>
      <c r="H312" s="755" t="s">
        <v>35</v>
      </c>
      <c r="I312" s="269">
        <f ca="1">IFERROR(__xludf.DUMMYFUNCTION("IMPORTRANGE(""https://docs.google.com/spreadsheets/d/1QqKyyYR6Q21VydFLVH3TRQUabQu_ym0Zz7PgGX0-kHA/edit?usp=sharing"",""แผน!EE71"")"),0)</f>
        <v>0</v>
      </c>
      <c r="J312" s="214">
        <v>0</v>
      </c>
      <c r="K312" s="496">
        <f t="shared" ca="1" si="140"/>
        <v>0</v>
      </c>
      <c r="L312" s="496"/>
      <c r="M312" s="496"/>
      <c r="N312" s="496"/>
      <c r="O312" s="496"/>
      <c r="P312" s="496"/>
    </row>
    <row r="313" spans="1:26" ht="19.5" hidden="1">
      <c r="A313" s="431" t="s">
        <v>144</v>
      </c>
      <c r="B313" s="432"/>
      <c r="C313" s="432"/>
      <c r="D313" s="433"/>
      <c r="E313" s="432"/>
      <c r="F313" s="432"/>
      <c r="G313" s="432"/>
      <c r="H313" s="448"/>
      <c r="I313" s="436"/>
      <c r="J313" s="436"/>
      <c r="K313" s="437"/>
      <c r="L313" s="437"/>
      <c r="M313" s="437"/>
      <c r="N313" s="437"/>
      <c r="O313" s="437"/>
      <c r="P313" s="437"/>
    </row>
    <row r="314" spans="1:26" ht="19.5" hidden="1">
      <c r="A314" s="449"/>
      <c r="B314" s="439" t="s">
        <v>145</v>
      </c>
      <c r="C314" s="450"/>
      <c r="D314" s="451"/>
      <c r="E314" s="440"/>
      <c r="F314" s="440"/>
      <c r="G314" s="441"/>
      <c r="H314" s="442" t="s">
        <v>146</v>
      </c>
      <c r="I314" s="443">
        <f t="shared" ref="I314:J314" ca="1" si="141">I325</f>
        <v>0</v>
      </c>
      <c r="J314" s="443">
        <f t="shared" si="141"/>
        <v>0</v>
      </c>
      <c r="K314" s="444">
        <f ca="1">IF(I314&gt;0,J314*100/I314,0)</f>
        <v>0</v>
      </c>
      <c r="L314" s="445"/>
      <c r="M314" s="445"/>
      <c r="N314" s="445"/>
      <c r="O314" s="445"/>
      <c r="P314" s="445"/>
    </row>
    <row r="315" spans="1:26" ht="19.5" hidden="1">
      <c r="A315" s="147"/>
      <c r="B315" s="148"/>
      <c r="C315" s="149" t="s">
        <v>16</v>
      </c>
      <c r="D315" s="822" t="s">
        <v>17</v>
      </c>
      <c r="E315" s="148"/>
      <c r="F315" s="148"/>
      <c r="G315" s="151"/>
      <c r="H315" s="152" t="s">
        <v>12</v>
      </c>
      <c r="I315" s="419"/>
      <c r="J315" s="419"/>
      <c r="K315" s="154"/>
      <c r="L315" s="155">
        <f t="shared" ref="L315:N315" ca="1" si="142">L316+L317</f>
        <v>0</v>
      </c>
      <c r="M315" s="155">
        <f t="shared" ca="1" si="142"/>
        <v>0</v>
      </c>
      <c r="N315" s="155">
        <f t="shared" ca="1" si="142"/>
        <v>0</v>
      </c>
      <c r="O315" s="155">
        <f t="shared" ref="O315:O323" ca="1" si="143">IF(L315&gt;0,N315*100/L315,0)</f>
        <v>0</v>
      </c>
      <c r="P315" s="155">
        <f t="shared" ref="P315:P323" ca="1" si="144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2" t="s">
        <v>18</v>
      </c>
      <c r="F316" s="40"/>
      <c r="G316" s="157"/>
      <c r="H316" s="158" t="s">
        <v>12</v>
      </c>
      <c r="I316" s="610"/>
      <c r="J316" s="610"/>
      <c r="K316" s="93"/>
      <c r="L316" s="93">
        <f t="shared" ref="L316:N317" si="145">L319+L322</f>
        <v>0</v>
      </c>
      <c r="M316" s="93">
        <f t="shared" si="145"/>
        <v>0</v>
      </c>
      <c r="N316" s="93">
        <f t="shared" si="145"/>
        <v>0</v>
      </c>
      <c r="O316" s="93">
        <f t="shared" si="143"/>
        <v>0</v>
      </c>
      <c r="P316" s="93">
        <f t="shared" si="144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2" t="s">
        <v>19</v>
      </c>
      <c r="F317" s="40"/>
      <c r="G317" s="157"/>
      <c r="H317" s="158" t="s">
        <v>12</v>
      </c>
      <c r="I317" s="610"/>
      <c r="J317" s="610"/>
      <c r="K317" s="93"/>
      <c r="L317" s="93">
        <f t="shared" ca="1" si="145"/>
        <v>0</v>
      </c>
      <c r="M317" s="93">
        <f t="shared" ca="1" si="145"/>
        <v>0</v>
      </c>
      <c r="N317" s="93">
        <f t="shared" ca="1" si="145"/>
        <v>0</v>
      </c>
      <c r="O317" s="93">
        <f t="shared" ca="1" si="143"/>
        <v>0</v>
      </c>
      <c r="P317" s="93">
        <f t="shared" ca="1" si="144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1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6">
        <f t="shared" ref="L318:N318" ca="1" si="146">L319+L320</f>
        <v>0</v>
      </c>
      <c r="M318" s="496">
        <f t="shared" ca="1" si="146"/>
        <v>0</v>
      </c>
      <c r="N318" s="496">
        <f t="shared" ca="1" si="146"/>
        <v>0</v>
      </c>
      <c r="O318" s="496">
        <f t="shared" ca="1" si="143"/>
        <v>0</v>
      </c>
      <c r="P318" s="496">
        <f t="shared" ca="1" si="144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2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3"/>
        <v>0</v>
      </c>
      <c r="P319" s="93">
        <f t="shared" si="144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2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IFERROR(__xludf.DUMMYFUNCTION("IMPORTRANGE(""https://docs.google.com/spreadsheets/d/1MeEWN-I1oV_STSDYn1IFDPWt_1FKiwhDph83XaGc0o0/edit?usp=sharing"",""งบพรบ!EC71"")"),0)</f>
        <v>0</v>
      </c>
      <c r="M320" s="93">
        <f ca="1">IFERROR(__xludf.DUMMYFUNCTION("IMPORTRANGE(""https://docs.google.com/spreadsheets/d/1MeEWN-I1oV_STSDYn1IFDPWt_1FKiwhDph83XaGc0o0/edit?usp=sharing"",""งบพรบ!EH71"")"),0)</f>
        <v>0</v>
      </c>
      <c r="N320" s="93">
        <f ca="1">IFERROR(__xludf.DUMMYFUNCTION("IMPORTRANGE(""https://docs.google.com/spreadsheets/d/1MeEWN-I1oV_STSDYn1IFDPWt_1FKiwhDph83XaGc0o0/edit?usp=sharing"",""งบพรบ!EJ71"")"),0)</f>
        <v>0</v>
      </c>
      <c r="O320" s="93">
        <f t="shared" ca="1" si="143"/>
        <v>0</v>
      </c>
      <c r="P320" s="93">
        <f t="shared" ca="1" si="144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1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6">
        <f t="shared" ref="L321:N321" ca="1" si="147">L322+L323</f>
        <v>0</v>
      </c>
      <c r="M321" s="496">
        <f t="shared" ca="1" si="147"/>
        <v>0</v>
      </c>
      <c r="N321" s="496">
        <f t="shared" ca="1" si="147"/>
        <v>0</v>
      </c>
      <c r="O321" s="496">
        <f t="shared" ca="1" si="143"/>
        <v>0</v>
      </c>
      <c r="P321" s="496">
        <f t="shared" ca="1" si="144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2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3"/>
        <v>0</v>
      </c>
      <c r="P322" s="93">
        <f t="shared" si="144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2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IFERROR(__xludf.DUMMYFUNCTION("IMPORTRANGE(""https://docs.google.com/spreadsheets/d/1MeEWN-I1oV_STSDYn1IFDPWt_1FKiwhDph83XaGc0o0/edit?usp=sharing"",""งบพรบ!EF71"")"),0)</f>
        <v>0</v>
      </c>
      <c r="M323" s="93">
        <f ca="1">IFERROR(__xludf.DUMMYFUNCTION("IMPORTRANGE(""https://docs.google.com/spreadsheets/d/1MeEWN-I1oV_STSDYn1IFDPWt_1FKiwhDph83XaGc0o0/edit?usp=sharing"",""งบพรบ!EI71"")"),0)</f>
        <v>0</v>
      </c>
      <c r="N323" s="93">
        <f ca="1">IFERROR(__xludf.DUMMYFUNCTION("IMPORTRANGE(""https://docs.google.com/spreadsheets/d/1MeEWN-I1oV_STSDYn1IFDPWt_1FKiwhDph83XaGc0o0/edit?usp=sharing"",""งบพรบ!EK71"")"),0)</f>
        <v>0</v>
      </c>
      <c r="O323" s="93">
        <f t="shared" ca="1" si="143"/>
        <v>0</v>
      </c>
      <c r="P323" s="93">
        <f t="shared" ca="1" si="144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23" t="s">
        <v>38</v>
      </c>
      <c r="E324" s="173"/>
      <c r="F324" s="173"/>
      <c r="G324" s="174"/>
      <c r="H324" s="753"/>
      <c r="I324" s="184"/>
      <c r="J324" s="269"/>
      <c r="K324" s="496"/>
      <c r="L324" s="496"/>
      <c r="M324" s="496"/>
      <c r="N324" s="496"/>
      <c r="O324" s="163"/>
      <c r="P324" s="163"/>
    </row>
    <row r="325" spans="1:26" ht="18.75" hidden="1">
      <c r="A325" s="170"/>
      <c r="B325" s="171"/>
      <c r="C325" s="171"/>
      <c r="D325" s="176" t="s">
        <v>147</v>
      </c>
      <c r="E325" s="178"/>
      <c r="F325" s="446"/>
      <c r="G325" s="179"/>
      <c r="H325" s="616" t="s">
        <v>146</v>
      </c>
      <c r="I325" s="269">
        <f ca="1">IFERROR(__xludf.DUMMYFUNCTION("IMPORTRANGE(""https://docs.google.com/spreadsheets/d/1QqKyyYR6Q21VydFLVH3TRQUabQu_ym0Zz7PgGX0-kHA/edit?usp=sharing"",""แผน!EF71"")"),0)</f>
        <v>0</v>
      </c>
      <c r="J325" s="214">
        <v>0</v>
      </c>
      <c r="K325" s="496">
        <f ca="1">IF(I325&gt;0,J325*100/I325,0)</f>
        <v>0</v>
      </c>
      <c r="L325" s="496"/>
      <c r="M325" s="496"/>
      <c r="N325" s="496"/>
      <c r="O325" s="163"/>
      <c r="P325" s="163"/>
    </row>
    <row r="326" spans="1:26" ht="19.5">
      <c r="A326" s="431" t="s">
        <v>148</v>
      </c>
      <c r="B326" s="432"/>
      <c r="C326" s="432"/>
      <c r="D326" s="433"/>
      <c r="E326" s="432"/>
      <c r="F326" s="432"/>
      <c r="G326" s="432"/>
      <c r="H326" s="448"/>
      <c r="I326" s="436"/>
      <c r="J326" s="436"/>
      <c r="K326" s="437"/>
      <c r="L326" s="437"/>
      <c r="M326" s="437"/>
      <c r="N326" s="437"/>
      <c r="O326" s="437"/>
      <c r="P326" s="437"/>
    </row>
    <row r="327" spans="1:26" ht="19.5">
      <c r="A327" s="438"/>
      <c r="B327" s="439" t="s">
        <v>149</v>
      </c>
      <c r="C327" s="451"/>
      <c r="D327" s="440"/>
      <c r="E327" s="440"/>
      <c r="F327" s="440"/>
      <c r="G327" s="441"/>
      <c r="H327" s="442" t="s">
        <v>35</v>
      </c>
      <c r="I327" s="443">
        <f ca="1">IFERROR(__xludf.DUMMYFUNCTION("IMPORTRANGE(""https://docs.google.com/spreadsheets/d/1QqKyyYR6Q21VydFLVH3TRQUabQu_ym0Zz7PgGX0-kHA/edit?usp=sharing"",""แผน!EG71"")"),50)</f>
        <v>50</v>
      </c>
      <c r="J327" s="443">
        <f ca="1">J338+J341+J342+J343</f>
        <v>2</v>
      </c>
      <c r="K327" s="444">
        <f ca="1">IF(I327&gt;0,J327*100/I327,0)</f>
        <v>4</v>
      </c>
      <c r="L327" s="445"/>
      <c r="M327" s="445"/>
      <c r="N327" s="445"/>
      <c r="O327" s="445"/>
      <c r="P327" s="445"/>
    </row>
    <row r="328" spans="1:26" ht="19.5">
      <c r="A328" s="147"/>
      <c r="B328" s="148"/>
      <c r="C328" s="149" t="s">
        <v>16</v>
      </c>
      <c r="D328" s="822" t="s">
        <v>17</v>
      </c>
      <c r="E328" s="148"/>
      <c r="F328" s="148"/>
      <c r="G328" s="151"/>
      <c r="H328" s="152" t="s">
        <v>12</v>
      </c>
      <c r="I328" s="419"/>
      <c r="J328" s="419"/>
      <c r="K328" s="154"/>
      <c r="L328" s="155">
        <f t="shared" ref="L328:N328" ca="1" si="148">L329+L330</f>
        <v>353600</v>
      </c>
      <c r="M328" s="155">
        <f t="shared" ca="1" si="148"/>
        <v>176800</v>
      </c>
      <c r="N328" s="155">
        <f t="shared" ca="1" si="148"/>
        <v>93150</v>
      </c>
      <c r="O328" s="155">
        <f t="shared" ref="O328:O336" ca="1" si="149">IF(L328&gt;0,N328*100/L328,0)</f>
        <v>26.343325791855204</v>
      </c>
      <c r="P328" s="155">
        <f t="shared" ref="P328:P336" ca="1" si="150">IF(M328&gt;0,N328*100/M328,0)</f>
        <v>52.686651583710407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2" t="s">
        <v>18</v>
      </c>
      <c r="F329" s="40"/>
      <c r="G329" s="157"/>
      <c r="H329" s="158" t="s">
        <v>12</v>
      </c>
      <c r="I329" s="610"/>
      <c r="J329" s="610"/>
      <c r="K329" s="93"/>
      <c r="L329" s="93">
        <f t="shared" ref="L329:N330" si="151">L332+L335</f>
        <v>0</v>
      </c>
      <c r="M329" s="93">
        <f t="shared" si="151"/>
        <v>0</v>
      </c>
      <c r="N329" s="93">
        <f t="shared" si="151"/>
        <v>0</v>
      </c>
      <c r="O329" s="93">
        <f t="shared" si="149"/>
        <v>0</v>
      </c>
      <c r="P329" s="93">
        <f t="shared" si="150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2" t="s">
        <v>19</v>
      </c>
      <c r="F330" s="40"/>
      <c r="G330" s="157"/>
      <c r="H330" s="158" t="s">
        <v>12</v>
      </c>
      <c r="I330" s="610"/>
      <c r="J330" s="610"/>
      <c r="K330" s="93"/>
      <c r="L330" s="93">
        <f t="shared" ca="1" si="151"/>
        <v>353600</v>
      </c>
      <c r="M330" s="93">
        <f t="shared" ca="1" si="151"/>
        <v>176800</v>
      </c>
      <c r="N330" s="93">
        <f t="shared" ca="1" si="151"/>
        <v>93150</v>
      </c>
      <c r="O330" s="93">
        <f t="shared" ca="1" si="149"/>
        <v>26.343325791855204</v>
      </c>
      <c r="P330" s="93">
        <f t="shared" ca="1" si="150"/>
        <v>52.686651583710407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1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6">
        <f t="shared" ref="L331:N331" ca="1" si="152">L332+L333</f>
        <v>353600</v>
      </c>
      <c r="M331" s="496">
        <f t="shared" ca="1" si="152"/>
        <v>176800</v>
      </c>
      <c r="N331" s="496">
        <f t="shared" ca="1" si="152"/>
        <v>93150</v>
      </c>
      <c r="O331" s="496">
        <f t="shared" ca="1" si="149"/>
        <v>26.343325791855204</v>
      </c>
      <c r="P331" s="496">
        <f t="shared" ca="1" si="150"/>
        <v>52.686651583710407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2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49"/>
        <v>0</v>
      </c>
      <c r="P332" s="93">
        <f t="shared" si="150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2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IFERROR(__xludf.DUMMYFUNCTION("IMPORTRANGE(""https://docs.google.com/spreadsheets/d/1MeEWN-I1oV_STSDYn1IFDPWt_1FKiwhDph83XaGc0o0/edit?usp=sharing"",""งบพรบ!EM71"")"),353600)</f>
        <v>353600</v>
      </c>
      <c r="M333" s="93">
        <f ca="1">IFERROR(__xludf.DUMMYFUNCTION("IMPORTRANGE(""https://docs.google.com/spreadsheets/d/1MeEWN-I1oV_STSDYn1IFDPWt_1FKiwhDph83XaGc0o0/edit?usp=sharing"",""งบพรบ!ER71"")"),176800)</f>
        <v>176800</v>
      </c>
      <c r="N333" s="93">
        <f ca="1">IFERROR(__xludf.DUMMYFUNCTION("IMPORTRANGE(""https://docs.google.com/spreadsheets/d/1MeEWN-I1oV_STSDYn1IFDPWt_1FKiwhDph83XaGc0o0/edit?usp=sharing"",""งบพรบ!ET71"")"),93150)</f>
        <v>93150</v>
      </c>
      <c r="O333" s="93">
        <f t="shared" ca="1" si="149"/>
        <v>26.343325791855204</v>
      </c>
      <c r="P333" s="93">
        <f t="shared" ca="1" si="150"/>
        <v>52.686651583710407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1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6">
        <f t="shared" ref="L334:N334" ca="1" si="153">L335+L336</f>
        <v>0</v>
      </c>
      <c r="M334" s="496">
        <f t="shared" ca="1" si="153"/>
        <v>0</v>
      </c>
      <c r="N334" s="496">
        <f t="shared" ca="1" si="153"/>
        <v>0</v>
      </c>
      <c r="O334" s="496">
        <f t="shared" ca="1" si="149"/>
        <v>0</v>
      </c>
      <c r="P334" s="496">
        <f t="shared" ca="1" si="150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2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49"/>
        <v>0</v>
      </c>
      <c r="P335" s="93">
        <f t="shared" si="150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2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IFERROR(__xludf.DUMMYFUNCTION("IMPORTRANGE(""https://docs.google.com/spreadsheets/d/1MeEWN-I1oV_STSDYn1IFDPWt_1FKiwhDph83XaGc0o0/edit?usp=sharing"",""งบพรบ!EP71"")"),0)</f>
        <v>0</v>
      </c>
      <c r="M336" s="93">
        <f ca="1">IFERROR(__xludf.DUMMYFUNCTION("IMPORTRANGE(""https://docs.google.com/spreadsheets/d/1MeEWN-I1oV_STSDYn1IFDPWt_1FKiwhDph83XaGc0o0/edit?usp=sharing"",""งบพรบ!ES71"")"),0)</f>
        <v>0</v>
      </c>
      <c r="N336" s="93">
        <f ca="1">IFERROR(__xludf.DUMMYFUNCTION("IMPORTRANGE(""https://docs.google.com/spreadsheets/d/1MeEWN-I1oV_STSDYn1IFDPWt_1FKiwhDph83XaGc0o0/edit?usp=sharing"",""งบพรบ!EU71"")"),0)</f>
        <v>0</v>
      </c>
      <c r="O336" s="93">
        <f t="shared" ca="1" si="149"/>
        <v>0</v>
      </c>
      <c r="P336" s="93">
        <f t="shared" ca="1" si="150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23" t="s">
        <v>38</v>
      </c>
      <c r="E337" s="173"/>
      <c r="F337" s="173"/>
      <c r="G337" s="174"/>
      <c r="H337" s="753"/>
      <c r="I337" s="184"/>
      <c r="J337" s="269"/>
      <c r="K337" s="496"/>
      <c r="L337" s="496"/>
      <c r="M337" s="496"/>
      <c r="N337" s="496"/>
      <c r="O337" s="163"/>
      <c r="P337" s="163"/>
    </row>
    <row r="338" spans="1:26" ht="18.75">
      <c r="A338" s="284"/>
      <c r="B338" s="33"/>
      <c r="C338" s="280"/>
      <c r="D338" s="446" t="s">
        <v>150</v>
      </c>
      <c r="E338" s="171"/>
      <c r="F338" s="33"/>
      <c r="G338" s="35"/>
      <c r="H338" s="276" t="s">
        <v>35</v>
      </c>
      <c r="I338" s="269">
        <f ca="1">IFERROR(__xludf.DUMMYFUNCTION("IMPORTRANGE(""https://docs.google.com/spreadsheets/d/1QqKyyYR6Q21VydFLVH3TRQUabQu_ym0Zz7PgGX0-kHA/edit?usp=sharing"",""แผน!EG71"")"),50)</f>
        <v>50</v>
      </c>
      <c r="J338" s="269">
        <f ca="1">IFERROR(__xludf.DUMMYFUNCTION("IMPORTRANGE(""https://docs.google.com/spreadsheets/d/1kVcqe37tkHyjCSG3S0O1AXqVkqjo8mSIZil3BcpIysc/edit?usp=sharing"",""ศูนย์!D71"")"),2)</f>
        <v>2</v>
      </c>
      <c r="K338" s="496">
        <f ca="1">IF(I338&gt;0,J338*100/I338,0)</f>
        <v>4</v>
      </c>
      <c r="L338" s="496"/>
      <c r="M338" s="496"/>
      <c r="N338" s="496"/>
      <c r="O338" s="496"/>
      <c r="P338" s="496"/>
    </row>
    <row r="339" spans="1:26" ht="18.75">
      <c r="A339" s="284"/>
      <c r="B339" s="33"/>
      <c r="C339" s="280"/>
      <c r="D339" s="446" t="s">
        <v>151</v>
      </c>
      <c r="E339" s="171"/>
      <c r="F339" s="33"/>
      <c r="G339" s="35"/>
      <c r="H339" s="276"/>
      <c r="I339" s="269"/>
      <c r="J339" s="269"/>
      <c r="K339" s="496"/>
      <c r="L339" s="496"/>
      <c r="M339" s="496"/>
      <c r="N339" s="496"/>
      <c r="O339" s="496"/>
      <c r="P339" s="496"/>
    </row>
    <row r="340" spans="1:26" ht="18.75">
      <c r="A340" s="284"/>
      <c r="B340" s="33"/>
      <c r="C340" s="280"/>
      <c r="D340" s="178"/>
      <c r="E340" s="446" t="s">
        <v>152</v>
      </c>
      <c r="F340" s="33"/>
      <c r="G340" s="35"/>
      <c r="H340" s="276" t="s">
        <v>153</v>
      </c>
      <c r="I340" s="269">
        <f ca="1">IFERROR(__xludf.DUMMYFUNCTION("IMPORTRANGE(""https://docs.google.com/spreadsheets/d/1QqKyyYR6Q21VydFLVH3TRQUabQu_ym0Zz7PgGX0-kHA/edit?usp=sharing"",""แผน!EH71"")"),2)</f>
        <v>2</v>
      </c>
      <c r="J340" s="269">
        <f ca="1">IFERROR(__xludf.DUMMYFUNCTION("IMPORTRANGE(""https://docs.google.com/spreadsheets/d/1kVcqe37tkHyjCSG3S0O1AXqVkqjo8mSIZil3BcpIysc/edit?usp=sharing"",""ศูนย์!E71"")"),0)</f>
        <v>0</v>
      </c>
      <c r="K340" s="496">
        <f ca="1">IF(I340&gt;0,J340*100/I340,0)</f>
        <v>0</v>
      </c>
      <c r="L340" s="496"/>
      <c r="M340" s="496"/>
      <c r="N340" s="496"/>
      <c r="O340" s="496"/>
      <c r="P340" s="496"/>
    </row>
    <row r="341" spans="1:26" ht="18.75">
      <c r="A341" s="284"/>
      <c r="B341" s="33"/>
      <c r="C341" s="280"/>
      <c r="D341" s="178"/>
      <c r="E341" s="446" t="s">
        <v>154</v>
      </c>
      <c r="F341" s="33"/>
      <c r="G341" s="35"/>
      <c r="H341" s="276" t="s">
        <v>35</v>
      </c>
      <c r="I341" s="269"/>
      <c r="J341" s="269">
        <f ca="1">IFERROR(__xludf.DUMMYFUNCTION("IMPORTRANGE(""https://docs.google.com/spreadsheets/d/1kVcqe37tkHyjCSG3S0O1AXqVkqjo8mSIZil3BcpIysc/edit?usp=sharing"",""ศูนย์!F71"")"),0)</f>
        <v>0</v>
      </c>
      <c r="K341" s="496"/>
      <c r="L341" s="496"/>
      <c r="M341" s="496"/>
      <c r="N341" s="496"/>
      <c r="O341" s="496"/>
      <c r="P341" s="496"/>
    </row>
    <row r="342" spans="1:26" ht="18.75">
      <c r="A342" s="284"/>
      <c r="B342" s="33"/>
      <c r="C342" s="280"/>
      <c r="D342" s="446" t="s">
        <v>155</v>
      </c>
      <c r="E342" s="178"/>
      <c r="F342" s="178"/>
      <c r="G342" s="35"/>
      <c r="H342" s="276" t="s">
        <v>35</v>
      </c>
      <c r="I342" s="269"/>
      <c r="J342" s="269">
        <f ca="1">IFERROR(__xludf.DUMMYFUNCTION("IMPORTRANGE(""https://docs.google.com/spreadsheets/d/1kVcqe37tkHyjCSG3S0O1AXqVkqjo8mSIZil3BcpIysc/edit?usp=sharing"",""ศูนย์!G71"")"),0)</f>
        <v>0</v>
      </c>
      <c r="K342" s="496"/>
      <c r="L342" s="496"/>
      <c r="M342" s="496"/>
      <c r="N342" s="496"/>
      <c r="O342" s="496"/>
      <c r="P342" s="496"/>
    </row>
    <row r="343" spans="1:26" ht="18.75">
      <c r="A343" s="284"/>
      <c r="B343" s="33"/>
      <c r="C343" s="280"/>
      <c r="D343" s="446" t="s">
        <v>156</v>
      </c>
      <c r="E343" s="178"/>
      <c r="F343" s="178"/>
      <c r="G343" s="35"/>
      <c r="H343" s="276" t="s">
        <v>35</v>
      </c>
      <c r="I343" s="269"/>
      <c r="J343" s="269">
        <f ca="1">IFERROR(__xludf.DUMMYFUNCTION("IMPORTRANGE(""https://docs.google.com/spreadsheets/d/1kVcqe37tkHyjCSG3S0O1AXqVkqjo8mSIZil3BcpIysc/edit?usp=sharing"",""ศูนย์!H71"")"),0)</f>
        <v>0</v>
      </c>
      <c r="K343" s="496"/>
      <c r="L343" s="496"/>
      <c r="M343" s="496"/>
      <c r="N343" s="496"/>
      <c r="O343" s="496"/>
      <c r="P343" s="496"/>
    </row>
    <row r="344" spans="1:26" ht="19.5">
      <c r="A344" s="438"/>
      <c r="B344" s="439" t="s">
        <v>157</v>
      </c>
      <c r="C344" s="451"/>
      <c r="D344" s="440"/>
      <c r="E344" s="440"/>
      <c r="F344" s="440"/>
      <c r="G344" s="441"/>
      <c r="H344" s="442"/>
      <c r="I344" s="452"/>
      <c r="J344" s="452"/>
      <c r="K344" s="445"/>
      <c r="L344" s="445"/>
      <c r="M344" s="445"/>
      <c r="N344" s="445"/>
      <c r="O344" s="445"/>
      <c r="P344" s="445"/>
    </row>
    <row r="345" spans="1:26" ht="19.5">
      <c r="A345" s="147"/>
      <c r="B345" s="148"/>
      <c r="C345" s="149" t="s">
        <v>16</v>
      </c>
      <c r="D345" s="822" t="s">
        <v>17</v>
      </c>
      <c r="E345" s="148"/>
      <c r="F345" s="148"/>
      <c r="G345" s="151"/>
      <c r="H345" s="152" t="s">
        <v>12</v>
      </c>
      <c r="I345" s="419"/>
      <c r="J345" s="419"/>
      <c r="K345" s="154"/>
      <c r="L345" s="155">
        <f t="shared" ref="L345:N345" ca="1" si="154">L346+L347</f>
        <v>96770</v>
      </c>
      <c r="M345" s="155">
        <f t="shared" ca="1" si="154"/>
        <v>74030</v>
      </c>
      <c r="N345" s="155">
        <f t="shared" ca="1" si="154"/>
        <v>52040</v>
      </c>
      <c r="O345" s="155">
        <f t="shared" ref="O345:O353" ca="1" si="155">IF(L345&gt;0,N345*100/L345,0)</f>
        <v>53.776997003203469</v>
      </c>
      <c r="P345" s="155">
        <f t="shared" ref="P345:P353" ca="1" si="156">IF(M345&gt;0,N345*100/M345,0)</f>
        <v>70.295826016479808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2" t="s">
        <v>18</v>
      </c>
      <c r="F346" s="40"/>
      <c r="G346" s="157"/>
      <c r="H346" s="158" t="s">
        <v>12</v>
      </c>
      <c r="I346" s="610"/>
      <c r="J346" s="610"/>
      <c r="K346" s="93"/>
      <c r="L346" s="93">
        <f t="shared" ref="L346:N347" si="157">L349+L352</f>
        <v>0</v>
      </c>
      <c r="M346" s="93">
        <f t="shared" si="157"/>
        <v>0</v>
      </c>
      <c r="N346" s="93">
        <f t="shared" si="157"/>
        <v>0</v>
      </c>
      <c r="O346" s="93">
        <f t="shared" si="155"/>
        <v>0</v>
      </c>
      <c r="P346" s="93">
        <f t="shared" si="156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2" t="s">
        <v>19</v>
      </c>
      <c r="F347" s="40"/>
      <c r="G347" s="157"/>
      <c r="H347" s="158" t="s">
        <v>12</v>
      </c>
      <c r="I347" s="610"/>
      <c r="J347" s="610"/>
      <c r="K347" s="93"/>
      <c r="L347" s="93">
        <f t="shared" ca="1" si="157"/>
        <v>96770</v>
      </c>
      <c r="M347" s="93">
        <f t="shared" ca="1" si="157"/>
        <v>74030</v>
      </c>
      <c r="N347" s="93">
        <f t="shared" ca="1" si="157"/>
        <v>52040</v>
      </c>
      <c r="O347" s="93">
        <f t="shared" ca="1" si="155"/>
        <v>53.776997003203469</v>
      </c>
      <c r="P347" s="93">
        <f t="shared" ca="1" si="156"/>
        <v>70.295826016479808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1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6">
        <f t="shared" ref="L348:N348" ca="1" si="158">L349+L350</f>
        <v>43970</v>
      </c>
      <c r="M348" s="496">
        <f t="shared" ca="1" si="158"/>
        <v>21990</v>
      </c>
      <c r="N348" s="496">
        <f t="shared" ca="1" si="158"/>
        <v>0</v>
      </c>
      <c r="O348" s="496">
        <f t="shared" ca="1" si="155"/>
        <v>0</v>
      </c>
      <c r="P348" s="496">
        <f t="shared" ca="1" si="156"/>
        <v>0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2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5"/>
        <v>0</v>
      </c>
      <c r="P349" s="93">
        <f t="shared" si="156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2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IFERROR(__xludf.DUMMYFUNCTION("IMPORTRANGE(""https://docs.google.com/spreadsheets/d/1MeEWN-I1oV_STSDYn1IFDPWt_1FKiwhDph83XaGc0o0/edit?usp=sharing"",""งบพรบ!EW71"")"),43970)</f>
        <v>43970</v>
      </c>
      <c r="M350" s="93">
        <f ca="1">IFERROR(__xludf.DUMMYFUNCTION("IMPORTRANGE(""https://docs.google.com/spreadsheets/d/1MeEWN-I1oV_STSDYn1IFDPWt_1FKiwhDph83XaGc0o0/edit?usp=sharing"",""งบพรบ!FB71"")"),21990)</f>
        <v>21990</v>
      </c>
      <c r="N350" s="93">
        <f ca="1">IFERROR(__xludf.DUMMYFUNCTION("IMPORTRANGE(""https://docs.google.com/spreadsheets/d/1MeEWN-I1oV_STSDYn1IFDPWt_1FKiwhDph83XaGc0o0/edit?usp=sharing"",""งบพรบ!FD71"")"),0)</f>
        <v>0</v>
      </c>
      <c r="O350" s="93">
        <f t="shared" ca="1" si="155"/>
        <v>0</v>
      </c>
      <c r="P350" s="93">
        <f t="shared" ca="1" si="156"/>
        <v>0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1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6">
        <f t="shared" ref="L351:N351" ca="1" si="159">L352+L353</f>
        <v>52800</v>
      </c>
      <c r="M351" s="496">
        <f t="shared" ca="1" si="159"/>
        <v>52040</v>
      </c>
      <c r="N351" s="496">
        <f t="shared" ca="1" si="159"/>
        <v>52040</v>
      </c>
      <c r="O351" s="496">
        <f t="shared" ca="1" si="155"/>
        <v>98.560606060606062</v>
      </c>
      <c r="P351" s="496">
        <f t="shared" ca="1" si="156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2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5"/>
        <v>0</v>
      </c>
      <c r="P352" s="93">
        <f t="shared" si="156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2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IFERROR(__xludf.DUMMYFUNCTION("IMPORTRANGE(""https://docs.google.com/spreadsheets/d/1MeEWN-I1oV_STSDYn1IFDPWt_1FKiwhDph83XaGc0o0/edit?usp=sharing"",""งบพรบ!EZ71"")"),52800)</f>
        <v>52800</v>
      </c>
      <c r="M353" s="93">
        <f ca="1">IFERROR(__xludf.DUMMYFUNCTION("IMPORTRANGE(""https://docs.google.com/spreadsheets/d/1MeEWN-I1oV_STSDYn1IFDPWt_1FKiwhDph83XaGc0o0/edit?usp=sharing"",""งบพรบ!FC71"")"),52040)</f>
        <v>52040</v>
      </c>
      <c r="N353" s="93">
        <f ca="1">IFERROR(__xludf.DUMMYFUNCTION("IMPORTRANGE(""https://docs.google.com/spreadsheets/d/1MeEWN-I1oV_STSDYn1IFDPWt_1FKiwhDph83XaGc0o0/edit?usp=sharing"",""งบพรบ!FE71"")"),52040)</f>
        <v>52040</v>
      </c>
      <c r="O353" s="93">
        <f t="shared" ca="1" si="155"/>
        <v>98.560606060606062</v>
      </c>
      <c r="P353" s="93">
        <f t="shared" ca="1" si="156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 hidden="1">
      <c r="A354" s="255"/>
      <c r="B354" s="263"/>
      <c r="C354" s="256"/>
      <c r="D354" s="832" t="s">
        <v>158</v>
      </c>
      <c r="E354" s="256"/>
      <c r="F354" s="256"/>
      <c r="G354" s="258"/>
      <c r="H354" s="454"/>
      <c r="I354" s="260"/>
      <c r="J354" s="260"/>
      <c r="K354" s="261"/>
      <c r="L354" s="261"/>
      <c r="M354" s="261"/>
      <c r="N354" s="261"/>
      <c r="O354" s="261"/>
      <c r="P354" s="261"/>
    </row>
    <row r="355" spans="1:26" ht="19.5" hidden="1">
      <c r="A355" s="455"/>
      <c r="B355" s="456"/>
      <c r="C355" s="457"/>
      <c r="D355" s="833" t="s">
        <v>159</v>
      </c>
      <c r="E355" s="459"/>
      <c r="F355" s="459"/>
      <c r="G355" s="460"/>
      <c r="H355" s="461" t="s">
        <v>35</v>
      </c>
      <c r="I355" s="463">
        <f ca="1">IFERROR(__xludf.DUMMYFUNCTION("IMPORTRANGE(""https://docs.google.com/spreadsheets/d/1QqKyyYR6Q21VydFLVH3TRQUabQu_ym0Zz7PgGX0-kHA/edit?usp=sharing"",""แผน!EP71"")"),0)</f>
        <v>0</v>
      </c>
      <c r="J355" s="463">
        <f ca="1">J362</f>
        <v>0</v>
      </c>
      <c r="K355" s="464">
        <f ca="1">IF(I355&gt;0,J355*100/I355,0)</f>
        <v>0</v>
      </c>
      <c r="L355" s="465"/>
      <c r="M355" s="465"/>
      <c r="N355" s="465"/>
      <c r="O355" s="465"/>
      <c r="P355" s="465"/>
    </row>
    <row r="356" spans="1:26" ht="19.5" hidden="1">
      <c r="A356" s="455"/>
      <c r="B356" s="456"/>
      <c r="C356" s="457"/>
      <c r="D356" s="466" t="s">
        <v>160</v>
      </c>
      <c r="E356" s="459"/>
      <c r="F356" s="459"/>
      <c r="G356" s="460"/>
      <c r="H356" s="467"/>
      <c r="I356" s="468"/>
      <c r="J356" s="468"/>
      <c r="K356" s="465"/>
      <c r="L356" s="465"/>
      <c r="M356" s="465"/>
      <c r="N356" s="465"/>
      <c r="O356" s="465"/>
      <c r="P356" s="465"/>
    </row>
    <row r="357" spans="1:26" ht="19.5" hidden="1">
      <c r="A357" s="170"/>
      <c r="B357" s="171"/>
      <c r="C357" s="164" t="s">
        <v>16</v>
      </c>
      <c r="D357" s="823" t="s">
        <v>38</v>
      </c>
      <c r="E357" s="173"/>
      <c r="F357" s="173"/>
      <c r="G357" s="174"/>
      <c r="H357" s="753"/>
      <c r="I357" s="269"/>
      <c r="J357" s="269"/>
      <c r="K357" s="496"/>
      <c r="L357" s="163"/>
      <c r="M357" s="163"/>
      <c r="N357" s="163"/>
      <c r="O357" s="163"/>
      <c r="P357" s="163"/>
    </row>
    <row r="358" spans="1:26" ht="18.75" hidden="1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69">
        <v>0</v>
      </c>
      <c r="J358" s="269">
        <f ca="1">IFERROR(__xludf.DUMMYFUNCTION("IMPORTRANGE(""https://docs.google.com/spreadsheets/d/1XWAQStnk-4SwqDmLtmXYiTMKHgktTP8We1SCoS47DrQ/edit?usp=sharing"",""จัดที่ดิน!W71"")"),0)</f>
        <v>0</v>
      </c>
      <c r="K358" s="496">
        <f t="shared" ref="K358:K365" si="160">IF(I358&gt;0,J358*100/I358,0)</f>
        <v>0</v>
      </c>
      <c r="L358" s="163"/>
      <c r="M358" s="163"/>
      <c r="N358" s="163"/>
      <c r="O358" s="163"/>
      <c r="P358" s="163"/>
    </row>
    <row r="359" spans="1:26" ht="18.75" hidden="1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69">
        <f ca="1">IFERROR(__xludf.DUMMYFUNCTION("IMPORTRANGE(""https://docs.google.com/spreadsheets/d/1QqKyyYR6Q21VydFLVH3TRQUabQu_ym0Zz7PgGX0-kHA/edit?usp=sharing"",""แผน!EO71"")"),0)</f>
        <v>0</v>
      </c>
      <c r="J359" s="269">
        <f ca="1">IFERROR(__xludf.DUMMYFUNCTION("IMPORTRANGE(""https://docs.google.com/spreadsheets/d/1XWAQStnk-4SwqDmLtmXYiTMKHgktTP8We1SCoS47DrQ/edit?usp=sharing"",""จัดที่ดิน!X71"")"),0)</f>
        <v>0</v>
      </c>
      <c r="K359" s="496">
        <f t="shared" ca="1" si="160"/>
        <v>0</v>
      </c>
      <c r="L359" s="163"/>
      <c r="M359" s="163"/>
      <c r="N359" s="163"/>
      <c r="O359" s="163"/>
      <c r="P359" s="163"/>
    </row>
    <row r="360" spans="1:26" ht="18.75" hidden="1">
      <c r="A360" s="170"/>
      <c r="B360" s="178"/>
      <c r="C360" s="171"/>
      <c r="D360" s="178"/>
      <c r="E360" s="176" t="s">
        <v>162</v>
      </c>
      <c r="F360" s="178"/>
      <c r="G360" s="179"/>
      <c r="H360" s="755" t="s">
        <v>35</v>
      </c>
      <c r="I360" s="269">
        <f ca="1">IFERROR(__xludf.DUMMYFUNCTION("IMPORTRANGE(""https://docs.google.com/spreadsheets/d/1QqKyyYR6Q21VydFLVH3TRQUabQu_ym0Zz7PgGX0-kHA/edit?usp=sharing"",""แผน!EP71"")"),0)</f>
        <v>0</v>
      </c>
      <c r="J360" s="269">
        <f ca="1">IFERROR(__xludf.DUMMYFUNCTION("IMPORTRANGE(""https://docs.google.com/spreadsheets/d/1XWAQStnk-4SwqDmLtmXYiTMKHgktTP8We1SCoS47DrQ/edit?usp=sharing"",""จัดที่ดิน!Y71"")"),0)</f>
        <v>0</v>
      </c>
      <c r="K360" s="496">
        <f t="shared" ca="1" si="160"/>
        <v>0</v>
      </c>
      <c r="L360" s="163"/>
      <c r="M360" s="163"/>
      <c r="N360" s="163"/>
      <c r="O360" s="163"/>
      <c r="P360" s="163"/>
    </row>
    <row r="361" spans="1:26" ht="18.75" hidden="1">
      <c r="A361" s="170"/>
      <c r="B361" s="178"/>
      <c r="C361" s="171"/>
      <c r="D361" s="178"/>
      <c r="E361" s="178"/>
      <c r="F361" s="178"/>
      <c r="G361" s="179"/>
      <c r="H361" s="755" t="s">
        <v>46</v>
      </c>
      <c r="I361" s="269">
        <v>0</v>
      </c>
      <c r="J361" s="269">
        <f ca="1">IFERROR(__xludf.DUMMYFUNCTION("IMPORTRANGE(""https://docs.google.com/spreadsheets/d/1XWAQStnk-4SwqDmLtmXYiTMKHgktTP8We1SCoS47DrQ/edit?usp=sharing"",""จัดที่ดิน!Z71"")"),0)</f>
        <v>0</v>
      </c>
      <c r="K361" s="496">
        <f t="shared" si="160"/>
        <v>0</v>
      </c>
      <c r="L361" s="163"/>
      <c r="M361" s="163"/>
      <c r="N361" s="163"/>
      <c r="O361" s="163"/>
      <c r="P361" s="163"/>
    </row>
    <row r="362" spans="1:26" ht="18.75" hidden="1">
      <c r="A362" s="170"/>
      <c r="B362" s="178"/>
      <c r="C362" s="171"/>
      <c r="D362" s="178"/>
      <c r="E362" s="176" t="s">
        <v>163</v>
      </c>
      <c r="F362" s="178"/>
      <c r="G362" s="179"/>
      <c r="H362" s="755" t="s">
        <v>35</v>
      </c>
      <c r="I362" s="269">
        <f ca="1">IFERROR(__xludf.DUMMYFUNCTION("IMPORTRANGE(""https://docs.google.com/spreadsheets/d/1QqKyyYR6Q21VydFLVH3TRQUabQu_ym0Zz7PgGX0-kHA/edit?usp=sharing"",""แผน!EP71"")"),0)</f>
        <v>0</v>
      </c>
      <c r="J362" s="269">
        <f ca="1">IFERROR(__xludf.DUMMYFUNCTION("IMPORTRANGE(""https://docs.google.com/spreadsheets/d/1XWAQStnk-4SwqDmLtmXYiTMKHgktTP8We1SCoS47DrQ/edit?usp=sharing"",""จัดที่ดิน!AA71"")"),0)</f>
        <v>0</v>
      </c>
      <c r="K362" s="496">
        <f t="shared" ca="1" si="160"/>
        <v>0</v>
      </c>
      <c r="L362" s="163"/>
      <c r="M362" s="163"/>
      <c r="N362" s="163"/>
      <c r="O362" s="163"/>
      <c r="P362" s="163"/>
    </row>
    <row r="363" spans="1:26" ht="18.75" hidden="1">
      <c r="A363" s="469" t="s">
        <v>164</v>
      </c>
      <c r="B363" s="178"/>
      <c r="C363" s="171"/>
      <c r="D363" s="178"/>
      <c r="E363" s="446"/>
      <c r="F363" s="178"/>
      <c r="G363" s="179"/>
      <c r="H363" s="755" t="s">
        <v>46</v>
      </c>
      <c r="I363" s="269">
        <v>0</v>
      </c>
      <c r="J363" s="269">
        <f ca="1">IFERROR(__xludf.DUMMYFUNCTION("IMPORTRANGE(""https://docs.google.com/spreadsheets/d/1XWAQStnk-4SwqDmLtmXYiTMKHgktTP8We1SCoS47DrQ/edit?usp=sharing"",""จัดที่ดิน!AB71"")"),0)</f>
        <v>0</v>
      </c>
      <c r="K363" s="496">
        <f t="shared" si="160"/>
        <v>0</v>
      </c>
      <c r="L363" s="163"/>
      <c r="M363" s="163"/>
      <c r="N363" s="163"/>
      <c r="O363" s="163"/>
      <c r="P363" s="163"/>
    </row>
    <row r="364" spans="1:26" ht="19.5" hidden="1">
      <c r="A364" s="470"/>
      <c r="B364" s="471"/>
      <c r="C364" s="472"/>
      <c r="D364" s="473" t="s">
        <v>165</v>
      </c>
      <c r="E364" s="474"/>
      <c r="F364" s="474"/>
      <c r="G364" s="475"/>
      <c r="H364" s="476" t="s">
        <v>35</v>
      </c>
      <c r="I364" s="477">
        <f t="shared" ref="I364:J364" ca="1" si="161">I365+I374</f>
        <v>0</v>
      </c>
      <c r="J364" s="477">
        <f t="shared" ca="1" si="161"/>
        <v>0</v>
      </c>
      <c r="K364" s="478">
        <f t="shared" ca="1" si="160"/>
        <v>0</v>
      </c>
      <c r="L364" s="479"/>
      <c r="M364" s="479"/>
      <c r="N364" s="479"/>
      <c r="O364" s="479"/>
      <c r="P364" s="479"/>
      <c r="Q364" s="480"/>
      <c r="R364" s="480"/>
      <c r="S364" s="480"/>
      <c r="T364" s="480"/>
      <c r="U364" s="480"/>
      <c r="V364" s="480"/>
      <c r="W364" s="480"/>
      <c r="X364" s="480"/>
      <c r="Y364" s="480"/>
      <c r="Z364" s="480"/>
    </row>
    <row r="365" spans="1:26" ht="19.5" hidden="1">
      <c r="A365" s="481"/>
      <c r="B365" s="482"/>
      <c r="C365" s="484"/>
      <c r="D365" s="484" t="s">
        <v>166</v>
      </c>
      <c r="E365" s="485"/>
      <c r="F365" s="485"/>
      <c r="G365" s="486"/>
      <c r="H365" s="487" t="s">
        <v>35</v>
      </c>
      <c r="I365" s="489">
        <f ca="1">IFERROR(__xludf.DUMMYFUNCTION("IMPORTRANGE(""https://docs.google.com/spreadsheets/d/1QqKyyYR6Q21VydFLVH3TRQUabQu_ym0Zz7PgGX0-kHA/edit?usp=sharing"",""แผน!EJ71"")"),0)</f>
        <v>0</v>
      </c>
      <c r="J365" s="489">
        <f ca="1">J372</f>
        <v>0</v>
      </c>
      <c r="K365" s="490">
        <f t="shared" ca="1" si="160"/>
        <v>0</v>
      </c>
      <c r="L365" s="491"/>
      <c r="M365" s="491"/>
      <c r="N365" s="491"/>
      <c r="O365" s="491"/>
      <c r="P365" s="491"/>
      <c r="Q365" s="480"/>
      <c r="R365" s="480"/>
      <c r="S365" s="480"/>
      <c r="T365" s="480"/>
      <c r="U365" s="480"/>
      <c r="V365" s="480"/>
      <c r="W365" s="480"/>
      <c r="X365" s="480"/>
      <c r="Y365" s="480"/>
      <c r="Z365" s="480"/>
    </row>
    <row r="366" spans="1:26" ht="19.5" hidden="1">
      <c r="A366" s="481"/>
      <c r="B366" s="482"/>
      <c r="C366" s="484"/>
      <c r="D366" s="492" t="s">
        <v>167</v>
      </c>
      <c r="E366" s="485"/>
      <c r="F366" s="485"/>
      <c r="G366" s="486"/>
      <c r="H366" s="493"/>
      <c r="I366" s="494"/>
      <c r="J366" s="494"/>
      <c r="K366" s="491"/>
      <c r="L366" s="491"/>
      <c r="M366" s="491"/>
      <c r="N366" s="491"/>
      <c r="O366" s="491"/>
      <c r="P366" s="491"/>
      <c r="Q366" s="480"/>
      <c r="R366" s="480"/>
      <c r="S366" s="480"/>
      <c r="T366" s="480"/>
      <c r="U366" s="480"/>
      <c r="V366" s="480"/>
      <c r="W366" s="480"/>
      <c r="X366" s="480"/>
      <c r="Y366" s="480"/>
      <c r="Z366" s="480"/>
    </row>
    <row r="367" spans="1:26" ht="19.5" hidden="1">
      <c r="A367" s="170"/>
      <c r="B367" s="171"/>
      <c r="C367" s="164" t="s">
        <v>16</v>
      </c>
      <c r="D367" s="823" t="s">
        <v>38</v>
      </c>
      <c r="E367" s="173"/>
      <c r="F367" s="173"/>
      <c r="G367" s="174"/>
      <c r="H367" s="753"/>
      <c r="I367" s="269"/>
      <c r="J367" s="269"/>
      <c r="K367" s="496"/>
      <c r="L367" s="163"/>
      <c r="M367" s="163"/>
      <c r="N367" s="163"/>
      <c r="O367" s="163"/>
      <c r="P367" s="163"/>
    </row>
    <row r="368" spans="1:26" ht="18.75" hidden="1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69">
        <v>0</v>
      </c>
      <c r="J368" s="269">
        <f ca="1">IFERROR(__xludf.DUMMYFUNCTION("IMPORTRANGE(""https://docs.google.com/spreadsheets/d/1XWAQStnk-4SwqDmLtmXYiTMKHgktTP8We1SCoS47DrQ/edit?usp=sharing"",""จัดที่ดิน!E71"")"),0)</f>
        <v>0</v>
      </c>
      <c r="K368" s="496">
        <f t="shared" ref="K368:K374" si="162">IF(I368&gt;0,J368*100/I368,0)</f>
        <v>0</v>
      </c>
      <c r="L368" s="163"/>
      <c r="M368" s="163"/>
      <c r="N368" s="163"/>
      <c r="O368" s="163"/>
      <c r="P368" s="163"/>
    </row>
    <row r="369" spans="1:26" ht="18.75" hidden="1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69">
        <f ca="1">IFERROR(__xludf.DUMMYFUNCTION("IMPORTRANGE(""https://docs.google.com/spreadsheets/d/1QqKyyYR6Q21VydFLVH3TRQUabQu_ym0Zz7PgGX0-kHA/edit?usp=sharing"",""แผน!EI71"")"),0)</f>
        <v>0</v>
      </c>
      <c r="J369" s="269">
        <f ca="1">IFERROR(__xludf.DUMMYFUNCTION("IMPORTRANGE(""https://docs.google.com/spreadsheets/d/1XWAQStnk-4SwqDmLtmXYiTMKHgktTP8We1SCoS47DrQ/edit?usp=sharing"",""จัดที่ดิน!F71"")"),0)</f>
        <v>0</v>
      </c>
      <c r="K369" s="496">
        <f t="shared" ca="1" si="162"/>
        <v>0</v>
      </c>
      <c r="L369" s="163"/>
      <c r="M369" s="163"/>
      <c r="N369" s="163"/>
      <c r="O369" s="163"/>
      <c r="P369" s="163"/>
    </row>
    <row r="370" spans="1:26" ht="18.75" hidden="1">
      <c r="A370" s="170"/>
      <c r="B370" s="178"/>
      <c r="C370" s="171"/>
      <c r="D370" s="178"/>
      <c r="E370" s="176" t="s">
        <v>162</v>
      </c>
      <c r="F370" s="178"/>
      <c r="G370" s="179"/>
      <c r="H370" s="755" t="s">
        <v>35</v>
      </c>
      <c r="I370" s="269">
        <f ca="1">IFERROR(__xludf.DUMMYFUNCTION("IMPORTRANGE(""https://docs.google.com/spreadsheets/d/1QqKyyYR6Q21VydFLVH3TRQUabQu_ym0Zz7PgGX0-kHA/edit?usp=sharing"",""แผน!EJ71"")"),0)</f>
        <v>0</v>
      </c>
      <c r="J370" s="269">
        <f ca="1">IFERROR(__xludf.DUMMYFUNCTION("IMPORTRANGE(""https://docs.google.com/spreadsheets/d/1XWAQStnk-4SwqDmLtmXYiTMKHgktTP8We1SCoS47DrQ/edit?usp=sharing"",""จัดที่ดิน!G71"")"),0)</f>
        <v>0</v>
      </c>
      <c r="K370" s="496">
        <f t="shared" ca="1" si="162"/>
        <v>0</v>
      </c>
      <c r="L370" s="163"/>
      <c r="M370" s="163"/>
      <c r="N370" s="163"/>
      <c r="O370" s="163"/>
      <c r="P370" s="163"/>
    </row>
    <row r="371" spans="1:26" ht="18.75" hidden="1">
      <c r="A371" s="170"/>
      <c r="B371" s="178"/>
      <c r="C371" s="171"/>
      <c r="D371" s="178"/>
      <c r="E371" s="178"/>
      <c r="F371" s="178"/>
      <c r="G371" s="179"/>
      <c r="H371" s="755" t="s">
        <v>46</v>
      </c>
      <c r="I371" s="269">
        <v>0</v>
      </c>
      <c r="J371" s="269">
        <f ca="1">IFERROR(__xludf.DUMMYFUNCTION("IMPORTRANGE(""https://docs.google.com/spreadsheets/d/1XWAQStnk-4SwqDmLtmXYiTMKHgktTP8We1SCoS47DrQ/edit?usp=sharing"",""จัดที่ดิน!H71"")"),0)</f>
        <v>0</v>
      </c>
      <c r="K371" s="496">
        <f t="shared" si="162"/>
        <v>0</v>
      </c>
      <c r="L371" s="163"/>
      <c r="M371" s="163"/>
      <c r="N371" s="163"/>
      <c r="O371" s="163"/>
      <c r="P371" s="163"/>
    </row>
    <row r="372" spans="1:26" ht="18.75" hidden="1">
      <c r="A372" s="170"/>
      <c r="B372" s="178"/>
      <c r="C372" s="171"/>
      <c r="D372" s="178"/>
      <c r="E372" s="176" t="s">
        <v>163</v>
      </c>
      <c r="F372" s="178"/>
      <c r="G372" s="179"/>
      <c r="H372" s="755" t="s">
        <v>35</v>
      </c>
      <c r="I372" s="269">
        <f ca="1">IFERROR(__xludf.DUMMYFUNCTION("IMPORTRANGE(""https://docs.google.com/spreadsheets/d/1QqKyyYR6Q21VydFLVH3TRQUabQu_ym0Zz7PgGX0-kHA/edit?usp=sharing"",""แผน!EJ71"")"),0)</f>
        <v>0</v>
      </c>
      <c r="J372" s="269">
        <f ca="1">IFERROR(__xludf.DUMMYFUNCTION("IMPORTRANGE(""https://docs.google.com/spreadsheets/d/1XWAQStnk-4SwqDmLtmXYiTMKHgktTP8We1SCoS47DrQ/edit?usp=sharing"",""จัดที่ดิน!I71"")"),0)</f>
        <v>0</v>
      </c>
      <c r="K372" s="496">
        <f t="shared" ca="1" si="162"/>
        <v>0</v>
      </c>
      <c r="L372" s="163"/>
      <c r="M372" s="163"/>
      <c r="N372" s="163"/>
      <c r="O372" s="163"/>
      <c r="P372" s="163"/>
    </row>
    <row r="373" spans="1:26" ht="18.75" hidden="1">
      <c r="A373" s="469" t="s">
        <v>164</v>
      </c>
      <c r="B373" s="178"/>
      <c r="C373" s="171"/>
      <c r="D373" s="178"/>
      <c r="E373" s="446"/>
      <c r="F373" s="178"/>
      <c r="G373" s="179"/>
      <c r="H373" s="755" t="s">
        <v>46</v>
      </c>
      <c r="I373" s="269">
        <v>0</v>
      </c>
      <c r="J373" s="269">
        <f ca="1">IFERROR(__xludf.DUMMYFUNCTION("IMPORTRANGE(""https://docs.google.com/spreadsheets/d/1XWAQStnk-4SwqDmLtmXYiTMKHgktTP8We1SCoS47DrQ/edit?usp=sharing"",""จัดที่ดิน!J71"")"),0)</f>
        <v>0</v>
      </c>
      <c r="K373" s="496">
        <f t="shared" si="162"/>
        <v>0</v>
      </c>
      <c r="L373" s="163"/>
      <c r="M373" s="163"/>
      <c r="N373" s="163"/>
      <c r="O373" s="163"/>
      <c r="P373" s="163"/>
    </row>
    <row r="374" spans="1:26" ht="19.5" hidden="1">
      <c r="A374" s="481"/>
      <c r="B374" s="482"/>
      <c r="C374" s="484"/>
      <c r="D374" s="484" t="s">
        <v>168</v>
      </c>
      <c r="E374" s="485"/>
      <c r="F374" s="485"/>
      <c r="G374" s="486"/>
      <c r="H374" s="487" t="s">
        <v>35</v>
      </c>
      <c r="I374" s="495">
        <f ca="1">IFERROR(__xludf.DUMMYFUNCTION("IMPORTRANGE(""https://docs.google.com/spreadsheets/d/1QqKyyYR6Q21VydFLVH3TRQUabQu_ym0Zz7PgGX0-kHA/edit?usp=sharing"",""แผน!EU71"")"),0)</f>
        <v>0</v>
      </c>
      <c r="J374" s="489">
        <f ca="1">J381</f>
        <v>0</v>
      </c>
      <c r="K374" s="490">
        <f t="shared" ca="1" si="162"/>
        <v>0</v>
      </c>
      <c r="L374" s="491"/>
      <c r="M374" s="491"/>
      <c r="N374" s="491"/>
      <c r="O374" s="491"/>
      <c r="P374" s="491"/>
      <c r="Q374" s="480"/>
      <c r="R374" s="480"/>
      <c r="S374" s="480"/>
      <c r="T374" s="480"/>
      <c r="U374" s="480"/>
      <c r="V374" s="480"/>
      <c r="W374" s="480"/>
      <c r="X374" s="480"/>
      <c r="Y374" s="480"/>
      <c r="Z374" s="480"/>
    </row>
    <row r="375" spans="1:26" ht="19.5" hidden="1">
      <c r="A375" s="481"/>
      <c r="B375" s="482"/>
      <c r="C375" s="484"/>
      <c r="D375" s="492" t="s">
        <v>169</v>
      </c>
      <c r="E375" s="485"/>
      <c r="F375" s="485"/>
      <c r="G375" s="486"/>
      <c r="H375" s="493"/>
      <c r="I375" s="494"/>
      <c r="J375" s="494"/>
      <c r="K375" s="491"/>
      <c r="L375" s="491"/>
      <c r="M375" s="491"/>
      <c r="N375" s="491"/>
      <c r="O375" s="491"/>
      <c r="P375" s="491"/>
      <c r="Q375" s="480"/>
      <c r="R375" s="480"/>
      <c r="S375" s="480"/>
      <c r="T375" s="480"/>
      <c r="U375" s="480"/>
      <c r="V375" s="480"/>
      <c r="W375" s="480"/>
      <c r="X375" s="480"/>
      <c r="Y375" s="480"/>
      <c r="Z375" s="480"/>
    </row>
    <row r="376" spans="1:26" ht="19.5" hidden="1">
      <c r="A376" s="170"/>
      <c r="B376" s="171"/>
      <c r="C376" s="164" t="s">
        <v>16</v>
      </c>
      <c r="D376" s="823" t="s">
        <v>38</v>
      </c>
      <c r="E376" s="173"/>
      <c r="F376" s="173"/>
      <c r="G376" s="174"/>
      <c r="H376" s="753"/>
      <c r="I376" s="269"/>
      <c r="J376" s="269"/>
      <c r="K376" s="496"/>
      <c r="L376" s="163"/>
      <c r="M376" s="163"/>
      <c r="N376" s="163"/>
      <c r="O376" s="163"/>
      <c r="P376" s="163"/>
    </row>
    <row r="377" spans="1:26" ht="18.75" hidden="1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69">
        <v>0</v>
      </c>
      <c r="J377" s="269">
        <f ca="1">IFERROR(__xludf.DUMMYFUNCTION("IMPORTRANGE(""https://docs.google.com/spreadsheets/d/1XWAQStnk-4SwqDmLtmXYiTMKHgktTP8We1SCoS47DrQ/edit?usp=sharing"",""จัดที่ดิน!AH71"")"),0)</f>
        <v>0</v>
      </c>
      <c r="K377" s="496">
        <f t="shared" ref="K377:K382" si="163">IF(I377&gt;0,J377*100/I377,0)</f>
        <v>0</v>
      </c>
      <c r="L377" s="163"/>
      <c r="M377" s="163"/>
      <c r="N377" s="163"/>
      <c r="O377" s="163"/>
      <c r="P377" s="163"/>
    </row>
    <row r="378" spans="1:26" ht="18.75" hidden="1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69">
        <f ca="1">IFERROR(__xludf.DUMMYFUNCTION("IMPORTRANGE(""https://docs.google.com/spreadsheets/d/1QqKyyYR6Q21VydFLVH3TRQUabQu_ym0Zz7PgGX0-kHA/edit?usp=sharing"",""แผน!ET71"")"),0)</f>
        <v>0</v>
      </c>
      <c r="J378" s="269">
        <f ca="1">IFERROR(__xludf.DUMMYFUNCTION("IMPORTRANGE(""https://docs.google.com/spreadsheets/d/1XWAQStnk-4SwqDmLtmXYiTMKHgktTP8We1SCoS47DrQ/edit?usp=sharing"",""จัดที่ดิน!AI71"")"),0)</f>
        <v>0</v>
      </c>
      <c r="K378" s="496">
        <f t="shared" ca="1" si="163"/>
        <v>0</v>
      </c>
      <c r="L378" s="163"/>
      <c r="M378" s="163"/>
      <c r="N378" s="163"/>
      <c r="O378" s="163"/>
      <c r="P378" s="163"/>
    </row>
    <row r="379" spans="1:26" ht="18.75" hidden="1">
      <c r="A379" s="170"/>
      <c r="B379" s="178"/>
      <c r="C379" s="171"/>
      <c r="D379" s="178"/>
      <c r="E379" s="176" t="s">
        <v>162</v>
      </c>
      <c r="F379" s="178"/>
      <c r="G379" s="179"/>
      <c r="H379" s="755" t="s">
        <v>35</v>
      </c>
      <c r="I379" s="269">
        <f ca="1">IFERROR(__xludf.DUMMYFUNCTION("IMPORTRANGE(""https://docs.google.com/spreadsheets/d/1QqKyyYR6Q21VydFLVH3TRQUabQu_ym0Zz7PgGX0-kHA/edit?usp=sharing"",""แผน!EU71"")"),0)</f>
        <v>0</v>
      </c>
      <c r="J379" s="269">
        <f ca="1">IFERROR(__xludf.DUMMYFUNCTION("IMPORTRANGE(""https://docs.google.com/spreadsheets/d/1XWAQStnk-4SwqDmLtmXYiTMKHgktTP8We1SCoS47DrQ/edit?usp=sharing"",""จัดที่ดิน!AJ71"")"),0)</f>
        <v>0</v>
      </c>
      <c r="K379" s="496">
        <f t="shared" ca="1" si="163"/>
        <v>0</v>
      </c>
      <c r="L379" s="163"/>
      <c r="M379" s="163"/>
      <c r="N379" s="163"/>
      <c r="O379" s="163"/>
      <c r="P379" s="163"/>
    </row>
    <row r="380" spans="1:26" ht="18.75" hidden="1">
      <c r="A380" s="170"/>
      <c r="B380" s="178"/>
      <c r="C380" s="171"/>
      <c r="D380" s="178"/>
      <c r="E380" s="178"/>
      <c r="F380" s="178"/>
      <c r="G380" s="179"/>
      <c r="H380" s="755" t="s">
        <v>46</v>
      </c>
      <c r="I380" s="269">
        <v>0</v>
      </c>
      <c r="J380" s="269">
        <f ca="1">IFERROR(__xludf.DUMMYFUNCTION("IMPORTRANGE(""https://docs.google.com/spreadsheets/d/1XWAQStnk-4SwqDmLtmXYiTMKHgktTP8We1SCoS47DrQ/edit?usp=sharing"",""จัดที่ดิน!AK71"")"),0)</f>
        <v>0</v>
      </c>
      <c r="K380" s="496">
        <f t="shared" si="163"/>
        <v>0</v>
      </c>
      <c r="L380" s="163"/>
      <c r="M380" s="163"/>
      <c r="N380" s="163"/>
      <c r="O380" s="163"/>
      <c r="P380" s="163"/>
    </row>
    <row r="381" spans="1:26" ht="18.75" hidden="1">
      <c r="A381" s="170"/>
      <c r="B381" s="178"/>
      <c r="C381" s="171"/>
      <c r="D381" s="178"/>
      <c r="E381" s="176" t="s">
        <v>163</v>
      </c>
      <c r="F381" s="178"/>
      <c r="G381" s="179"/>
      <c r="H381" s="755" t="s">
        <v>35</v>
      </c>
      <c r="I381" s="269">
        <f ca="1">IFERROR(__xludf.DUMMYFUNCTION("IMPORTRANGE(""https://docs.google.com/spreadsheets/d/1QqKyyYR6Q21VydFLVH3TRQUabQu_ym0Zz7PgGX0-kHA/edit?usp=sharing"",""แผน!EU71"")"),0)</f>
        <v>0</v>
      </c>
      <c r="J381" s="269">
        <f ca="1">IFERROR(__xludf.DUMMYFUNCTION("IMPORTRANGE(""https://docs.google.com/spreadsheets/d/1XWAQStnk-4SwqDmLtmXYiTMKHgktTP8We1SCoS47DrQ/edit?usp=sharing"",""จัดที่ดิน!AL71"")"),0)</f>
        <v>0</v>
      </c>
      <c r="K381" s="496">
        <f t="shared" ca="1" si="163"/>
        <v>0</v>
      </c>
      <c r="L381" s="163"/>
      <c r="M381" s="163"/>
      <c r="N381" s="163"/>
      <c r="O381" s="163"/>
      <c r="P381" s="163"/>
    </row>
    <row r="382" spans="1:26" ht="18.75" hidden="1">
      <c r="A382" s="469" t="s">
        <v>164</v>
      </c>
      <c r="B382" s="178"/>
      <c r="C382" s="171"/>
      <c r="D382" s="178"/>
      <c r="E382" s="446"/>
      <c r="F382" s="178"/>
      <c r="G382" s="179"/>
      <c r="H382" s="755" t="s">
        <v>46</v>
      </c>
      <c r="I382" s="269">
        <v>0</v>
      </c>
      <c r="J382" s="269">
        <f ca="1">IFERROR(__xludf.DUMMYFUNCTION("IMPORTRANGE(""https://docs.google.com/spreadsheets/d/1XWAQStnk-4SwqDmLtmXYiTMKHgktTP8We1SCoS47DrQ/edit?usp=sharing"",""จัดที่ดิน!AM71"")"),0)</f>
        <v>0</v>
      </c>
      <c r="K382" s="496">
        <f t="shared" si="163"/>
        <v>0</v>
      </c>
      <c r="L382" s="163"/>
      <c r="M382" s="163"/>
      <c r="N382" s="163"/>
      <c r="O382" s="163"/>
      <c r="P382" s="163"/>
    </row>
    <row r="383" spans="1:26" ht="19.5" hidden="1">
      <c r="A383" s="255"/>
      <c r="B383" s="263"/>
      <c r="C383" s="256"/>
      <c r="D383" s="832" t="s">
        <v>170</v>
      </c>
      <c r="E383" s="256"/>
      <c r="F383" s="256"/>
      <c r="G383" s="258"/>
      <c r="H383" s="454"/>
      <c r="I383" s="260"/>
      <c r="J383" s="260"/>
      <c r="K383" s="261"/>
      <c r="L383" s="261"/>
      <c r="M383" s="261"/>
      <c r="N383" s="261"/>
      <c r="O383" s="261"/>
      <c r="P383" s="261"/>
    </row>
    <row r="384" spans="1:26" ht="19.5" hidden="1">
      <c r="A384" s="170"/>
      <c r="B384" s="171"/>
      <c r="C384" s="33" t="s">
        <v>16</v>
      </c>
      <c r="D384" s="823" t="s">
        <v>38</v>
      </c>
      <c r="E384" s="173"/>
      <c r="F384" s="173"/>
      <c r="G384" s="174"/>
      <c r="H384" s="753"/>
      <c r="I384" s="269"/>
      <c r="J384" s="269"/>
      <c r="K384" s="496"/>
      <c r="L384" s="163"/>
      <c r="M384" s="163"/>
      <c r="N384" s="163"/>
      <c r="O384" s="163"/>
      <c r="P384" s="163"/>
    </row>
    <row r="385" spans="1:26" ht="18.75" hidden="1">
      <c r="A385" s="377"/>
      <c r="B385" s="380"/>
      <c r="C385" s="378"/>
      <c r="D385" s="380"/>
      <c r="E385" s="497" t="s">
        <v>163</v>
      </c>
      <c r="F385" s="380"/>
      <c r="G385" s="381"/>
      <c r="H385" s="498" t="s">
        <v>35</v>
      </c>
      <c r="I385" s="499">
        <f ca="1">IFERROR(__xludf.DUMMYFUNCTION("IMPORTRANGE(""https://docs.google.com/spreadsheets/d/1QqKyyYR6Q21VydFLVH3TRQUabQu_ym0Zz7PgGX0-kHA/edit?usp=sharing"",""แผน!EW71"")"),0)</f>
        <v>0</v>
      </c>
      <c r="J385" s="499">
        <f ca="1">IFERROR(__xludf.DUMMYFUNCTION("IMPORTRANGE(""https://docs.google.com/spreadsheets/d/1XWAQStnk-4SwqDmLtmXYiTMKHgktTP8We1SCoS47DrQ/edit?usp=sharing"",""จัดที่ดิน!AP71"")"),0)</f>
        <v>0</v>
      </c>
      <c r="K385" s="500">
        <f ca="1">IF(I385&gt;0,J385*100/I385,0)</f>
        <v>0</v>
      </c>
      <c r="L385" s="384"/>
      <c r="M385" s="384"/>
      <c r="N385" s="384"/>
      <c r="O385" s="384"/>
      <c r="P385" s="384"/>
    </row>
    <row r="386" spans="1:26" ht="19.5" hidden="1">
      <c r="A386" s="501" t="s">
        <v>171</v>
      </c>
      <c r="B386" s="502"/>
      <c r="C386" s="502"/>
      <c r="D386" s="502"/>
      <c r="E386" s="503"/>
      <c r="F386" s="503"/>
      <c r="G386" s="504"/>
      <c r="H386" s="505"/>
      <c r="I386" s="506"/>
      <c r="J386" s="506"/>
      <c r="K386" s="507"/>
      <c r="L386" s="507"/>
      <c r="M386" s="507"/>
      <c r="N386" s="507"/>
      <c r="O386" s="507"/>
      <c r="P386" s="507"/>
    </row>
    <row r="387" spans="1:26" ht="19.5" hidden="1">
      <c r="A387" s="508" t="s">
        <v>172</v>
      </c>
      <c r="B387" s="509"/>
      <c r="C387" s="509"/>
      <c r="D387" s="510"/>
      <c r="E387" s="509"/>
      <c r="F387" s="509"/>
      <c r="G387" s="509"/>
      <c r="H387" s="511"/>
      <c r="I387" s="512"/>
      <c r="J387" s="512"/>
      <c r="K387" s="513"/>
      <c r="L387" s="513"/>
      <c r="M387" s="513"/>
      <c r="N387" s="513"/>
      <c r="O387" s="513"/>
      <c r="P387" s="513"/>
    </row>
    <row r="388" spans="1:26" ht="19.5" hidden="1">
      <c r="A388" s="514"/>
      <c r="B388" s="515" t="s">
        <v>173</v>
      </c>
      <c r="C388" s="516"/>
      <c r="D388" s="517"/>
      <c r="E388" s="517"/>
      <c r="F388" s="517"/>
      <c r="G388" s="518"/>
      <c r="H388" s="519" t="s">
        <v>69</v>
      </c>
      <c r="I388" s="520">
        <f t="shared" ref="I388:J388" si="164">I400</f>
        <v>0</v>
      </c>
      <c r="J388" s="520">
        <f t="shared" si="164"/>
        <v>0</v>
      </c>
      <c r="K388" s="521">
        <f>IF(I388&gt;0,J388*100/I388,0)</f>
        <v>0</v>
      </c>
      <c r="L388" s="522"/>
      <c r="M388" s="522"/>
      <c r="N388" s="522"/>
      <c r="O388" s="522"/>
      <c r="P388" s="522"/>
    </row>
    <row r="389" spans="1:26" ht="19.5" hidden="1">
      <c r="A389" s="147"/>
      <c r="B389" s="148"/>
      <c r="C389" s="149" t="s">
        <v>16</v>
      </c>
      <c r="D389" s="822" t="s">
        <v>17</v>
      </c>
      <c r="E389" s="148"/>
      <c r="F389" s="148"/>
      <c r="G389" s="151"/>
      <c r="H389" s="152" t="s">
        <v>12</v>
      </c>
      <c r="I389" s="419"/>
      <c r="J389" s="419"/>
      <c r="K389" s="154"/>
      <c r="L389" s="155">
        <f t="shared" ref="L389:N389" ca="1" si="165">L390+L391</f>
        <v>0</v>
      </c>
      <c r="M389" s="155">
        <f t="shared" ca="1" si="165"/>
        <v>0</v>
      </c>
      <c r="N389" s="155">
        <f t="shared" ca="1" si="165"/>
        <v>0</v>
      </c>
      <c r="O389" s="155">
        <f t="shared" ref="O389:O397" ca="1" si="166">IF(L389&gt;0,N389*100/L389,0)</f>
        <v>0</v>
      </c>
      <c r="P389" s="155">
        <f t="shared" ref="P389:P397" ca="1" si="167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2" t="s">
        <v>18</v>
      </c>
      <c r="F390" s="40"/>
      <c r="G390" s="157"/>
      <c r="H390" s="158" t="s">
        <v>12</v>
      </c>
      <c r="I390" s="610"/>
      <c r="J390" s="610"/>
      <c r="K390" s="93"/>
      <c r="L390" s="93">
        <f t="shared" ref="L390:N391" si="168">L393+L396</f>
        <v>0</v>
      </c>
      <c r="M390" s="93">
        <f t="shared" si="168"/>
        <v>0</v>
      </c>
      <c r="N390" s="93">
        <f t="shared" si="168"/>
        <v>0</v>
      </c>
      <c r="O390" s="93">
        <f t="shared" si="166"/>
        <v>0</v>
      </c>
      <c r="P390" s="93">
        <f t="shared" si="167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2" t="s">
        <v>19</v>
      </c>
      <c r="F391" s="40"/>
      <c r="G391" s="157"/>
      <c r="H391" s="158" t="s">
        <v>12</v>
      </c>
      <c r="I391" s="610"/>
      <c r="J391" s="610"/>
      <c r="K391" s="93"/>
      <c r="L391" s="93">
        <f t="shared" ca="1" si="168"/>
        <v>0</v>
      </c>
      <c r="M391" s="93">
        <f t="shared" ca="1" si="168"/>
        <v>0</v>
      </c>
      <c r="N391" s="93">
        <f t="shared" ca="1" si="168"/>
        <v>0</v>
      </c>
      <c r="O391" s="93">
        <f t="shared" ca="1" si="166"/>
        <v>0</v>
      </c>
      <c r="P391" s="93">
        <f t="shared" ca="1" si="167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1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6">
        <f t="shared" ref="L392:N392" ca="1" si="169">L393+L394</f>
        <v>0</v>
      </c>
      <c r="M392" s="496">
        <f t="shared" ca="1" si="169"/>
        <v>0</v>
      </c>
      <c r="N392" s="496">
        <f t="shared" ca="1" si="169"/>
        <v>0</v>
      </c>
      <c r="O392" s="496">
        <f t="shared" ca="1" si="166"/>
        <v>0</v>
      </c>
      <c r="P392" s="496">
        <f t="shared" ca="1" si="167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2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6"/>
        <v>0</v>
      </c>
      <c r="P393" s="93">
        <f t="shared" si="167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2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IFERROR(__xludf.DUMMYFUNCTION("IMPORTRANGE(""https://docs.google.com/spreadsheets/d/1MeEWN-I1oV_STSDYn1IFDPWt_1FKiwhDph83XaGc0o0/edit?usp=sharing"",""งบพรบ!FG71"")"),0)</f>
        <v>0</v>
      </c>
      <c r="M394" s="93">
        <f ca="1">IFERROR(__xludf.DUMMYFUNCTION("IMPORTRANGE(""https://docs.google.com/spreadsheets/d/1MeEWN-I1oV_STSDYn1IFDPWt_1FKiwhDph83XaGc0o0/edit?usp=sharing"",""งบพรบ!FL71"")"),0)</f>
        <v>0</v>
      </c>
      <c r="N394" s="93">
        <f ca="1">IFERROR(__xludf.DUMMYFUNCTION("IMPORTRANGE(""https://docs.google.com/spreadsheets/d/1MeEWN-I1oV_STSDYn1IFDPWt_1FKiwhDph83XaGc0o0/edit?usp=sharing"",""งบพรบ!FN71"")"),0)</f>
        <v>0</v>
      </c>
      <c r="O394" s="93">
        <f t="shared" ca="1" si="166"/>
        <v>0</v>
      </c>
      <c r="P394" s="93">
        <f t="shared" ca="1" si="167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1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6">
        <f t="shared" ref="L395:N395" ca="1" si="170">L396+L397</f>
        <v>0</v>
      </c>
      <c r="M395" s="496">
        <f t="shared" ca="1" si="170"/>
        <v>0</v>
      </c>
      <c r="N395" s="496">
        <f t="shared" ca="1" si="170"/>
        <v>0</v>
      </c>
      <c r="O395" s="496">
        <f t="shared" ca="1" si="166"/>
        <v>0</v>
      </c>
      <c r="P395" s="496">
        <f t="shared" ca="1" si="167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2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6"/>
        <v>0</v>
      </c>
      <c r="P396" s="93">
        <f t="shared" si="167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2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IFERROR(__xludf.DUMMYFUNCTION("IMPORTRANGE(""https://docs.google.com/spreadsheets/d/1MeEWN-I1oV_STSDYn1IFDPWt_1FKiwhDph83XaGc0o0/edit?usp=sharing"",""งบพรบ!FJ71"")"),0)</f>
        <v>0</v>
      </c>
      <c r="M397" s="93">
        <f ca="1">IFERROR(__xludf.DUMMYFUNCTION("IMPORTRANGE(""https://docs.google.com/spreadsheets/d/1MeEWN-I1oV_STSDYn1IFDPWt_1FKiwhDph83XaGc0o0/edit?usp=sharing"",""งบพรบ!FM71"")"),0)</f>
        <v>0</v>
      </c>
      <c r="N397" s="93">
        <f ca="1">IFERROR(__xludf.DUMMYFUNCTION("IMPORTRANGE(""https://docs.google.com/spreadsheets/d/1MeEWN-I1oV_STSDYn1IFDPWt_1FKiwhDph83XaGc0o0/edit?usp=sharing"",""งบพรบ!FO71"")"),0)</f>
        <v>0</v>
      </c>
      <c r="O397" s="93">
        <f t="shared" ca="1" si="166"/>
        <v>0</v>
      </c>
      <c r="P397" s="93">
        <f t="shared" ca="1" si="167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23" t="s">
        <v>38</v>
      </c>
      <c r="E398" s="173"/>
      <c r="F398" s="173"/>
      <c r="G398" s="174"/>
      <c r="H398" s="753"/>
      <c r="I398" s="184"/>
      <c r="J398" s="269"/>
      <c r="K398" s="496"/>
      <c r="L398" s="496"/>
      <c r="M398" s="496"/>
      <c r="N398" s="496"/>
      <c r="O398" s="163"/>
      <c r="P398" s="163"/>
    </row>
    <row r="399" spans="1:26" ht="18.75" hidden="1">
      <c r="A399" s="523"/>
      <c r="B399" s="148"/>
      <c r="C399" s="524"/>
      <c r="D399" s="525" t="s">
        <v>174</v>
      </c>
      <c r="E399" s="414"/>
      <c r="F399" s="148"/>
      <c r="G399" s="151"/>
      <c r="H399" s="526" t="s">
        <v>9</v>
      </c>
      <c r="I399" s="269">
        <v>0</v>
      </c>
      <c r="J399" s="214">
        <v>0</v>
      </c>
      <c r="K399" s="496">
        <f t="shared" ref="K399:K401" si="171">IF(I399&gt;0,J399*100/I399,0)</f>
        <v>0</v>
      </c>
      <c r="L399" s="527"/>
      <c r="M399" s="527"/>
      <c r="N399" s="527"/>
      <c r="O399" s="527"/>
      <c r="P399" s="527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4"/>
      <c r="B400" s="33"/>
      <c r="C400" s="280"/>
      <c r="D400" s="446" t="s">
        <v>175</v>
      </c>
      <c r="E400" s="171"/>
      <c r="F400" s="33"/>
      <c r="G400" s="35"/>
      <c r="H400" s="276" t="s">
        <v>69</v>
      </c>
      <c r="I400" s="269">
        <v>0</v>
      </c>
      <c r="J400" s="214">
        <v>0</v>
      </c>
      <c r="K400" s="496">
        <f t="shared" si="171"/>
        <v>0</v>
      </c>
      <c r="L400" s="496"/>
      <c r="M400" s="496"/>
      <c r="N400" s="496"/>
      <c r="O400" s="496"/>
      <c r="P400" s="496"/>
    </row>
    <row r="401" spans="1:26" ht="19.5" hidden="1">
      <c r="A401" s="514"/>
      <c r="B401" s="515" t="s">
        <v>176</v>
      </c>
      <c r="C401" s="516"/>
      <c r="D401" s="517"/>
      <c r="E401" s="517"/>
      <c r="F401" s="517"/>
      <c r="G401" s="518"/>
      <c r="H401" s="519" t="s">
        <v>69</v>
      </c>
      <c r="I401" s="520">
        <f t="shared" ref="I401:J401" si="172">I412</f>
        <v>0</v>
      </c>
      <c r="J401" s="520">
        <f t="shared" si="172"/>
        <v>0</v>
      </c>
      <c r="K401" s="521">
        <f t="shared" si="171"/>
        <v>0</v>
      </c>
      <c r="L401" s="522"/>
      <c r="M401" s="522"/>
      <c r="N401" s="522"/>
      <c r="O401" s="522"/>
      <c r="P401" s="522"/>
    </row>
    <row r="402" spans="1:26" ht="19.5" hidden="1">
      <c r="A402" s="147"/>
      <c r="B402" s="148"/>
      <c r="C402" s="149" t="s">
        <v>16</v>
      </c>
      <c r="D402" s="822" t="s">
        <v>17</v>
      </c>
      <c r="E402" s="148"/>
      <c r="F402" s="148"/>
      <c r="G402" s="151"/>
      <c r="H402" s="152" t="s">
        <v>12</v>
      </c>
      <c r="I402" s="419"/>
      <c r="J402" s="419"/>
      <c r="K402" s="154"/>
      <c r="L402" s="155">
        <f t="shared" ref="L402:N402" ca="1" si="173">L403+L404</f>
        <v>0</v>
      </c>
      <c r="M402" s="155">
        <f t="shared" ca="1" si="173"/>
        <v>0</v>
      </c>
      <c r="N402" s="155">
        <f t="shared" ca="1" si="173"/>
        <v>0</v>
      </c>
      <c r="O402" s="155">
        <f t="shared" ref="O402:O410" ca="1" si="174">IF(L402&gt;0,N402*100/L402,0)</f>
        <v>0</v>
      </c>
      <c r="P402" s="155">
        <f t="shared" ref="P402:P410" ca="1" si="175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2" t="s">
        <v>18</v>
      </c>
      <c r="F403" s="40"/>
      <c r="G403" s="157"/>
      <c r="H403" s="158" t="s">
        <v>12</v>
      </c>
      <c r="I403" s="610"/>
      <c r="J403" s="610"/>
      <c r="K403" s="93"/>
      <c r="L403" s="93">
        <f t="shared" ref="L403:N404" si="176">L406+L409</f>
        <v>0</v>
      </c>
      <c r="M403" s="93">
        <f t="shared" si="176"/>
        <v>0</v>
      </c>
      <c r="N403" s="93">
        <f t="shared" si="176"/>
        <v>0</v>
      </c>
      <c r="O403" s="93">
        <f t="shared" si="174"/>
        <v>0</v>
      </c>
      <c r="P403" s="93">
        <f t="shared" si="175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2" t="s">
        <v>19</v>
      </c>
      <c r="F404" s="40"/>
      <c r="G404" s="157"/>
      <c r="H404" s="158" t="s">
        <v>12</v>
      </c>
      <c r="I404" s="610"/>
      <c r="J404" s="610"/>
      <c r="K404" s="93"/>
      <c r="L404" s="93">
        <f t="shared" ca="1" si="176"/>
        <v>0</v>
      </c>
      <c r="M404" s="93">
        <f t="shared" ca="1" si="176"/>
        <v>0</v>
      </c>
      <c r="N404" s="93">
        <f t="shared" ca="1" si="176"/>
        <v>0</v>
      </c>
      <c r="O404" s="93">
        <f t="shared" ca="1" si="174"/>
        <v>0</v>
      </c>
      <c r="P404" s="93">
        <f t="shared" ca="1" si="175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1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6">
        <f t="shared" ref="L405:N405" ca="1" si="177">L406+L407</f>
        <v>0</v>
      </c>
      <c r="M405" s="496">
        <f t="shared" ca="1" si="177"/>
        <v>0</v>
      </c>
      <c r="N405" s="496">
        <f t="shared" ca="1" si="177"/>
        <v>0</v>
      </c>
      <c r="O405" s="496">
        <f t="shared" ca="1" si="174"/>
        <v>0</v>
      </c>
      <c r="P405" s="496">
        <f t="shared" ca="1" si="175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2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4"/>
        <v>0</v>
      </c>
      <c r="P406" s="93">
        <f t="shared" si="175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2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IFERROR(__xludf.DUMMYFUNCTION("IMPORTRANGE(""https://docs.google.com/spreadsheets/d/1MeEWN-I1oV_STSDYn1IFDPWt_1FKiwhDph83XaGc0o0/edit?usp=sharing"",""งบพรบ!FQ71"")"),0)</f>
        <v>0</v>
      </c>
      <c r="M407" s="93">
        <f ca="1">IFERROR(__xludf.DUMMYFUNCTION("IMPORTRANGE(""https://docs.google.com/spreadsheets/d/1MeEWN-I1oV_STSDYn1IFDPWt_1FKiwhDph83XaGc0o0/edit?usp=sharing"",""งบพรบ!FV71"")"),0)</f>
        <v>0</v>
      </c>
      <c r="N407" s="93">
        <f ca="1">IFERROR(__xludf.DUMMYFUNCTION("IMPORTRANGE(""https://docs.google.com/spreadsheets/d/1MeEWN-I1oV_STSDYn1IFDPWt_1FKiwhDph83XaGc0o0/edit?usp=sharing"",""งบพรบ!FX71"")"),0)</f>
        <v>0</v>
      </c>
      <c r="O407" s="93">
        <f t="shared" ca="1" si="174"/>
        <v>0</v>
      </c>
      <c r="P407" s="93">
        <f t="shared" ca="1" si="175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1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6">
        <f t="shared" ref="L408:N408" ca="1" si="178">L409+L410</f>
        <v>0</v>
      </c>
      <c r="M408" s="496">
        <f t="shared" ca="1" si="178"/>
        <v>0</v>
      </c>
      <c r="N408" s="496">
        <f t="shared" ca="1" si="178"/>
        <v>0</v>
      </c>
      <c r="O408" s="496">
        <f t="shared" ca="1" si="174"/>
        <v>0</v>
      </c>
      <c r="P408" s="496">
        <f t="shared" ca="1" si="175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2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4"/>
        <v>0</v>
      </c>
      <c r="P409" s="93">
        <f t="shared" si="175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2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IFERROR(__xludf.DUMMYFUNCTION("IMPORTRANGE(""https://docs.google.com/spreadsheets/d/1MeEWN-I1oV_STSDYn1IFDPWt_1FKiwhDph83XaGc0o0/edit?usp=sharing"",""งบพรบ!FT71"")"),0)</f>
        <v>0</v>
      </c>
      <c r="M410" s="93">
        <f ca="1">IFERROR(__xludf.DUMMYFUNCTION("IMPORTRANGE(""https://docs.google.com/spreadsheets/d/1MeEWN-I1oV_STSDYn1IFDPWt_1FKiwhDph83XaGc0o0/edit?usp=sharing"",""งบพรบ!FW71"")"),0)</f>
        <v>0</v>
      </c>
      <c r="N410" s="93">
        <f ca="1">IFERROR(__xludf.DUMMYFUNCTION("IMPORTRANGE(""https://docs.google.com/spreadsheets/d/1MeEWN-I1oV_STSDYn1IFDPWt_1FKiwhDph83XaGc0o0/edit?usp=sharing"",""งบพรบ!FY71"")"),0)</f>
        <v>0</v>
      </c>
      <c r="O410" s="93">
        <f t="shared" ca="1" si="174"/>
        <v>0</v>
      </c>
      <c r="P410" s="93">
        <f t="shared" ca="1" si="175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34" t="s">
        <v>38</v>
      </c>
      <c r="E411" s="529"/>
      <c r="F411" s="529"/>
      <c r="G411" s="530"/>
      <c r="H411" s="753"/>
      <c r="I411" s="269"/>
      <c r="J411" s="269"/>
      <c r="K411" s="496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6" t="s">
        <v>177</v>
      </c>
      <c r="E412" s="178"/>
      <c r="F412" s="178"/>
      <c r="G412" s="179"/>
      <c r="H412" s="531" t="s">
        <v>69</v>
      </c>
      <c r="I412" s="269">
        <v>0</v>
      </c>
      <c r="J412" s="214">
        <v>0</v>
      </c>
      <c r="K412" s="496">
        <f t="shared" ref="K412:K413" si="179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2"/>
      <c r="B413" s="533"/>
      <c r="C413" s="533"/>
      <c r="D413" s="534" t="s">
        <v>178</v>
      </c>
      <c r="E413" s="533"/>
      <c r="F413" s="533"/>
      <c r="G413" s="535"/>
      <c r="H413" s="536" t="s">
        <v>179</v>
      </c>
      <c r="I413" s="537">
        <v>0</v>
      </c>
      <c r="J413" s="538">
        <v>0</v>
      </c>
      <c r="K413" s="539">
        <f t="shared" si="179"/>
        <v>0</v>
      </c>
      <c r="L413" s="540"/>
      <c r="M413" s="540"/>
      <c r="N413" s="540"/>
      <c r="O413" s="540"/>
      <c r="P413" s="540"/>
    </row>
    <row r="414" spans="1:26" ht="19.5">
      <c r="A414" s="541" t="s">
        <v>180</v>
      </c>
      <c r="B414" s="542"/>
      <c r="C414" s="542"/>
      <c r="D414" s="542"/>
      <c r="E414" s="542"/>
      <c r="F414" s="542"/>
      <c r="G414" s="543"/>
      <c r="H414" s="544"/>
      <c r="I414" s="545"/>
      <c r="J414" s="545"/>
      <c r="K414" s="546"/>
      <c r="L414" s="547">
        <f t="shared" ref="L414:N414" ca="1" si="180">L419+L444+L467+L502+L523+L544+L629+L655+L685+L737+L754+L770+L786+L805</f>
        <v>134200</v>
      </c>
      <c r="M414" s="547">
        <f t="shared" si="180"/>
        <v>0</v>
      </c>
      <c r="N414" s="547">
        <f t="shared" si="180"/>
        <v>42803</v>
      </c>
      <c r="O414" s="547">
        <f ca="1">IF(L414&gt;0,N414*100/L414,0)</f>
        <v>31.894932935916543</v>
      </c>
      <c r="P414" s="547">
        <f>IF(M414&gt;0,N414*100/M414,0)</f>
        <v>0</v>
      </c>
    </row>
    <row r="415" spans="1:26" ht="19.5">
      <c r="A415" s="548" t="s">
        <v>181</v>
      </c>
      <c r="B415" s="549"/>
      <c r="C415" s="549"/>
      <c r="D415" s="549"/>
      <c r="E415" s="549"/>
      <c r="F415" s="549"/>
      <c r="G415" s="549"/>
      <c r="H415" s="550"/>
      <c r="I415" s="551"/>
      <c r="J415" s="551"/>
      <c r="K415" s="552"/>
      <c r="L415" s="553"/>
      <c r="M415" s="553"/>
      <c r="N415" s="553"/>
      <c r="O415" s="553"/>
      <c r="P415" s="553"/>
    </row>
    <row r="416" spans="1:26" ht="19.5">
      <c r="A416" s="548" t="s">
        <v>182</v>
      </c>
      <c r="B416" s="549"/>
      <c r="C416" s="549"/>
      <c r="D416" s="549"/>
      <c r="E416" s="549"/>
      <c r="F416" s="549"/>
      <c r="G416" s="554"/>
      <c r="H416" s="555"/>
      <c r="I416" s="556"/>
      <c r="J416" s="556"/>
      <c r="K416" s="553"/>
      <c r="L416" s="553"/>
      <c r="M416" s="553"/>
      <c r="N416" s="553"/>
      <c r="O416" s="553"/>
      <c r="P416" s="553"/>
    </row>
    <row r="417" spans="1:26" ht="39">
      <c r="A417" s="557">
        <v>1</v>
      </c>
      <c r="B417" s="559" t="s">
        <v>183</v>
      </c>
      <c r="C417" s="559"/>
      <c r="D417" s="560"/>
      <c r="E417" s="560"/>
      <c r="F417" s="560"/>
      <c r="G417" s="561"/>
      <c r="H417" s="562" t="s">
        <v>35</v>
      </c>
      <c r="I417" s="563">
        <f t="shared" ref="I417:J418" ca="1" si="181">I433</f>
        <v>10</v>
      </c>
      <c r="J417" s="563">
        <f t="shared" ca="1" si="181"/>
        <v>10</v>
      </c>
      <c r="K417" s="564">
        <f t="shared" ref="K417:K418" ca="1" si="182">IF(I417&gt;0,J417*100/I417,0)</f>
        <v>100</v>
      </c>
      <c r="L417" s="565"/>
      <c r="M417" s="565"/>
      <c r="N417" s="565"/>
      <c r="O417" s="565"/>
      <c r="P417" s="565"/>
    </row>
    <row r="418" spans="1:26" ht="19.5">
      <c r="A418" s="566"/>
      <c r="B418" s="557"/>
      <c r="C418" s="559"/>
      <c r="D418" s="560"/>
      <c r="E418" s="560"/>
      <c r="F418" s="560"/>
      <c r="G418" s="561"/>
      <c r="H418" s="562" t="s">
        <v>49</v>
      </c>
      <c r="I418" s="563">
        <f t="shared" ca="1" si="181"/>
        <v>1</v>
      </c>
      <c r="J418" s="563">
        <f t="shared" si="181"/>
        <v>1</v>
      </c>
      <c r="K418" s="564">
        <f t="shared" ca="1" si="182"/>
        <v>100</v>
      </c>
      <c r="L418" s="565"/>
      <c r="M418" s="565"/>
      <c r="N418" s="565"/>
      <c r="O418" s="565"/>
      <c r="P418" s="565"/>
    </row>
    <row r="419" spans="1:26" ht="19.5">
      <c r="A419" s="147"/>
      <c r="B419" s="148"/>
      <c r="C419" s="148" t="s">
        <v>16</v>
      </c>
      <c r="D419" s="868" t="s">
        <v>17</v>
      </c>
      <c r="E419" s="862"/>
      <c r="F419" s="862"/>
      <c r="G419" s="151"/>
      <c r="H419" s="274" t="s">
        <v>12</v>
      </c>
      <c r="I419" s="419"/>
      <c r="J419" s="419"/>
      <c r="K419" s="154"/>
      <c r="L419" s="155">
        <f t="shared" ref="L419:N419" ca="1" si="183">L420+L421</f>
        <v>54560</v>
      </c>
      <c r="M419" s="155">
        <f t="shared" si="183"/>
        <v>0</v>
      </c>
      <c r="N419" s="155">
        <f t="shared" si="183"/>
        <v>35903</v>
      </c>
      <c r="O419" s="155">
        <f t="shared" ref="O419:O424" ca="1" si="184">IF(L419&gt;0,N419*100/L419,0)</f>
        <v>65.804618768328439</v>
      </c>
      <c r="P419" s="155">
        <f t="shared" ref="P419:P424" si="185">IF(M419&gt;0,N419*100/M419,0)</f>
        <v>0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2"/>
      <c r="E420" s="222" t="s">
        <v>184</v>
      </c>
      <c r="F420" s="40"/>
      <c r="G420" s="157"/>
      <c r="H420" s="165" t="s">
        <v>12</v>
      </c>
      <c r="I420" s="610"/>
      <c r="J420" s="610"/>
      <c r="K420" s="93"/>
      <c r="L420" s="93">
        <f t="shared" ref="L420:N421" si="186">L423+L430</f>
        <v>0</v>
      </c>
      <c r="M420" s="93">
        <f t="shared" si="186"/>
        <v>0</v>
      </c>
      <c r="N420" s="93">
        <f t="shared" si="186"/>
        <v>0</v>
      </c>
      <c r="O420" s="93">
        <f t="shared" si="184"/>
        <v>0</v>
      </c>
      <c r="P420" s="93">
        <f t="shared" si="185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2"/>
      <c r="E421" s="222" t="s">
        <v>185</v>
      </c>
      <c r="F421" s="40"/>
      <c r="G421" s="157"/>
      <c r="H421" s="165" t="s">
        <v>12</v>
      </c>
      <c r="I421" s="610"/>
      <c r="J421" s="610"/>
      <c r="K421" s="93"/>
      <c r="L421" s="93">
        <f t="shared" ca="1" si="186"/>
        <v>54560</v>
      </c>
      <c r="M421" s="93">
        <f t="shared" si="186"/>
        <v>0</v>
      </c>
      <c r="N421" s="93">
        <f t="shared" si="186"/>
        <v>35903</v>
      </c>
      <c r="O421" s="93">
        <f t="shared" ca="1" si="184"/>
        <v>65.804618768328439</v>
      </c>
      <c r="P421" s="93">
        <f t="shared" si="185"/>
        <v>0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0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6">
        <f t="shared" ref="L422:N422" ca="1" si="187">L423+L424</f>
        <v>54560</v>
      </c>
      <c r="M422" s="496">
        <f t="shared" si="187"/>
        <v>0</v>
      </c>
      <c r="N422" s="496">
        <f t="shared" si="187"/>
        <v>35903</v>
      </c>
      <c r="O422" s="496">
        <f t="shared" ca="1" si="184"/>
        <v>65.804618768328439</v>
      </c>
      <c r="P422" s="496">
        <f t="shared" si="185"/>
        <v>0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2"/>
      <c r="E423" s="222" t="s">
        <v>184</v>
      </c>
      <c r="F423" s="40"/>
      <c r="G423" s="157"/>
      <c r="H423" s="165" t="s">
        <v>12</v>
      </c>
      <c r="I423" s="610"/>
      <c r="J423" s="610"/>
      <c r="K423" s="93"/>
      <c r="L423" s="93">
        <v>0</v>
      </c>
      <c r="M423" s="93">
        <v>0</v>
      </c>
      <c r="N423" s="93">
        <v>0</v>
      </c>
      <c r="O423" s="93">
        <f t="shared" si="184"/>
        <v>0</v>
      </c>
      <c r="P423" s="93">
        <f t="shared" si="185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2"/>
      <c r="E424" s="222" t="s">
        <v>185</v>
      </c>
      <c r="F424" s="40"/>
      <c r="G424" s="157"/>
      <c r="H424" s="165" t="s">
        <v>12</v>
      </c>
      <c r="I424" s="610"/>
      <c r="J424" s="610"/>
      <c r="K424" s="93"/>
      <c r="L424" s="93">
        <f ca="1">IFERROR(__xludf.DUMMYFUNCTION("IMPORTRANGE(""https://docs.google.com/spreadsheets/d/1QqKyyYR6Q21VydFLVH3TRQUabQu_ym0Zz7PgGX0-kHA/edit?usp=sharing"",""แผน!EY71"")"),54560)</f>
        <v>54560</v>
      </c>
      <c r="M424" s="93">
        <v>0</v>
      </c>
      <c r="N424" s="93">
        <f>N425+N426+N427+N428</f>
        <v>35903</v>
      </c>
      <c r="O424" s="93">
        <f t="shared" ca="1" si="184"/>
        <v>65.804618768328439</v>
      </c>
      <c r="P424" s="93">
        <f t="shared" si="185"/>
        <v>0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67"/>
      <c r="B425" s="568"/>
      <c r="C425" s="754"/>
      <c r="D425" s="754"/>
      <c r="E425" s="754"/>
      <c r="F425" s="754" t="s">
        <v>186</v>
      </c>
      <c r="G425" s="189"/>
      <c r="H425" s="161" t="s">
        <v>12</v>
      </c>
      <c r="I425" s="269"/>
      <c r="J425" s="269"/>
      <c r="K425" s="496"/>
      <c r="L425" s="496"/>
      <c r="M425" s="496"/>
      <c r="N425" s="817">
        <v>25390</v>
      </c>
      <c r="O425" s="496"/>
      <c r="P425" s="496"/>
      <c r="Q425" s="571"/>
      <c r="R425" s="571"/>
      <c r="S425" s="571"/>
      <c r="T425" s="571"/>
      <c r="U425" s="571"/>
      <c r="V425" s="571"/>
      <c r="W425" s="571"/>
      <c r="X425" s="571"/>
      <c r="Y425" s="571"/>
      <c r="Z425" s="571"/>
    </row>
    <row r="426" spans="1:26" ht="18.75">
      <c r="A426" s="567"/>
      <c r="B426" s="568"/>
      <c r="C426" s="754"/>
      <c r="D426" s="754"/>
      <c r="E426" s="754"/>
      <c r="F426" s="754" t="s">
        <v>187</v>
      </c>
      <c r="G426" s="189"/>
      <c r="H426" s="161" t="s">
        <v>12</v>
      </c>
      <c r="I426" s="269"/>
      <c r="J426" s="269"/>
      <c r="K426" s="496"/>
      <c r="L426" s="496"/>
      <c r="M426" s="496"/>
      <c r="N426" s="817">
        <v>0</v>
      </c>
      <c r="O426" s="496"/>
      <c r="P426" s="496"/>
      <c r="Q426" s="571"/>
      <c r="R426" s="571"/>
      <c r="S426" s="571"/>
      <c r="T426" s="571"/>
      <c r="U426" s="571"/>
      <c r="V426" s="571"/>
      <c r="W426" s="571"/>
      <c r="X426" s="571"/>
      <c r="Y426" s="571"/>
      <c r="Z426" s="571"/>
    </row>
    <row r="427" spans="1:26" ht="18.75">
      <c r="A427" s="567"/>
      <c r="B427" s="568"/>
      <c r="C427" s="754"/>
      <c r="D427" s="754"/>
      <c r="E427" s="754"/>
      <c r="F427" s="754" t="s">
        <v>188</v>
      </c>
      <c r="G427" s="189"/>
      <c r="H427" s="161" t="s">
        <v>12</v>
      </c>
      <c r="I427" s="269"/>
      <c r="J427" s="269"/>
      <c r="K427" s="496"/>
      <c r="L427" s="496"/>
      <c r="M427" s="496"/>
      <c r="N427" s="817">
        <v>0</v>
      </c>
      <c r="O427" s="496"/>
      <c r="P427" s="496"/>
      <c r="Q427" s="571"/>
      <c r="R427" s="571"/>
      <c r="S427" s="571"/>
      <c r="T427" s="571"/>
      <c r="U427" s="571"/>
      <c r="V427" s="571"/>
      <c r="W427" s="571"/>
      <c r="X427" s="571"/>
      <c r="Y427" s="571"/>
      <c r="Z427" s="571"/>
    </row>
    <row r="428" spans="1:26" ht="18.75">
      <c r="A428" s="284"/>
      <c r="B428" s="280"/>
      <c r="C428" s="33"/>
      <c r="D428" s="33"/>
      <c r="E428" s="33"/>
      <c r="F428" s="281" t="s">
        <v>189</v>
      </c>
      <c r="G428" s="213"/>
      <c r="H428" s="161" t="s">
        <v>12</v>
      </c>
      <c r="I428" s="269"/>
      <c r="J428" s="269"/>
      <c r="K428" s="496"/>
      <c r="L428" s="496"/>
      <c r="M428" s="496"/>
      <c r="N428" s="817">
        <v>10513</v>
      </c>
      <c r="O428" s="496"/>
      <c r="P428" s="496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0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6">
        <f t="shared" ref="L429:N429" ca="1" si="188">L430+L431</f>
        <v>0</v>
      </c>
      <c r="M429" s="496">
        <f t="shared" si="188"/>
        <v>0</v>
      </c>
      <c r="N429" s="496">
        <f t="shared" si="188"/>
        <v>0</v>
      </c>
      <c r="O429" s="496">
        <f t="shared" ref="O429:O431" ca="1" si="189">IF(L429&gt;0,N429*100/L429,0)</f>
        <v>0</v>
      </c>
      <c r="P429" s="496">
        <f t="shared" ref="P429:P431" si="190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6"/>
      <c r="C430" s="40"/>
      <c r="D430" s="40"/>
      <c r="E430" s="222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89"/>
        <v>0</v>
      </c>
      <c r="P430" s="93">
        <f t="shared" si="190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6"/>
      <c r="C431" s="40"/>
      <c r="D431" s="40"/>
      <c r="E431" s="222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IFERROR(__xludf.DUMMYFUNCTION("IMPORTRANGE(""https://docs.google.com/spreadsheets/d/1QqKyyYR6Q21VydFLVH3TRQUabQu_ym0Zz7PgGX0-kHA/edit?usp=sharing"",""แผน!FB71"")"),0)</f>
        <v>0</v>
      </c>
      <c r="M431" s="93">
        <v>0</v>
      </c>
      <c r="N431" s="93">
        <v>0</v>
      </c>
      <c r="O431" s="93">
        <f t="shared" ca="1" si="189"/>
        <v>0</v>
      </c>
      <c r="P431" s="93">
        <f t="shared" si="190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3"/>
      <c r="B432" s="414"/>
      <c r="C432" s="148" t="s">
        <v>16</v>
      </c>
      <c r="D432" s="835" t="s">
        <v>38</v>
      </c>
      <c r="E432" s="573"/>
      <c r="F432" s="573"/>
      <c r="G432" s="574"/>
      <c r="H432" s="575"/>
      <c r="I432" s="419"/>
      <c r="J432" s="419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190</v>
      </c>
      <c r="E433" s="178"/>
      <c r="F433" s="178"/>
      <c r="G433" s="179"/>
      <c r="H433" s="196" t="s">
        <v>35</v>
      </c>
      <c r="I433" s="674">
        <f ca="1">I435</f>
        <v>10</v>
      </c>
      <c r="J433" s="674">
        <f ca="1">IF(AND(J435=I435,J437=I437,J439=I439),I437+I439,IF(AND(J435=I437,J437=I437),I437,IF(AND(J435=I439,J439=I439),I439,0)))</f>
        <v>10</v>
      </c>
      <c r="K433" s="195">
        <f t="shared" ref="K433:K435" ca="1" si="191">IF(I433&gt;0,J433*100/I433,0)</f>
        <v>100</v>
      </c>
      <c r="L433" s="496"/>
      <c r="M433" s="496"/>
      <c r="N433" s="496"/>
      <c r="O433" s="496"/>
      <c r="P433" s="496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191</v>
      </c>
      <c r="E434" s="178"/>
      <c r="F434" s="178"/>
      <c r="G434" s="179"/>
      <c r="H434" s="196" t="s">
        <v>49</v>
      </c>
      <c r="I434" s="674">
        <f t="shared" ref="I434:J434" ca="1" si="192">I438+I440</f>
        <v>1</v>
      </c>
      <c r="J434" s="674">
        <f t="shared" si="192"/>
        <v>1</v>
      </c>
      <c r="K434" s="195">
        <f t="shared" ca="1" si="191"/>
        <v>100</v>
      </c>
      <c r="L434" s="496"/>
      <c r="M434" s="496"/>
      <c r="N434" s="496"/>
      <c r="O434" s="496"/>
      <c r="P434" s="496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6" t="s">
        <v>192</v>
      </c>
      <c r="E435" s="178"/>
      <c r="F435" s="178"/>
      <c r="G435" s="179"/>
      <c r="H435" s="616" t="s">
        <v>35</v>
      </c>
      <c r="I435" s="576">
        <f ca="1">IFERROR(__xludf.DUMMYFUNCTION("IMPORTRANGE(""https://docs.google.com/spreadsheets/d/1QqKyyYR6Q21VydFLVH3TRQUabQu_ym0Zz7PgGX0-kHA/edit?usp=sharing"",""แผน!FC71"")"),10)</f>
        <v>10</v>
      </c>
      <c r="J435" s="577">
        <v>10</v>
      </c>
      <c r="K435" s="496">
        <f t="shared" ca="1" si="191"/>
        <v>100</v>
      </c>
      <c r="L435" s="496"/>
      <c r="M435" s="496"/>
      <c r="N435" s="496"/>
      <c r="O435" s="496"/>
      <c r="P435" s="496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6" t="s">
        <v>193</v>
      </c>
      <c r="E436" s="178"/>
      <c r="F436" s="178"/>
      <c r="G436" s="179"/>
      <c r="H436" s="616"/>
      <c r="I436" s="269"/>
      <c r="J436" s="269"/>
      <c r="K436" s="496"/>
      <c r="L436" s="496"/>
      <c r="M436" s="496"/>
      <c r="N436" s="496"/>
      <c r="O436" s="496"/>
      <c r="P436" s="496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6" t="s">
        <v>194</v>
      </c>
      <c r="E437" s="178"/>
      <c r="F437" s="178"/>
      <c r="G437" s="179"/>
      <c r="H437" s="616" t="s">
        <v>35</v>
      </c>
      <c r="I437" s="576">
        <f ca="1">IFERROR(__xludf.DUMMYFUNCTION("IMPORTRANGE(""https://docs.google.com/spreadsheets/d/1QqKyyYR6Q21VydFLVH3TRQUabQu_ym0Zz7PgGX0-kHA/edit?usp=sharing"",""แผน!FD71"")"),0)</f>
        <v>0</v>
      </c>
      <c r="J437" s="577">
        <v>0</v>
      </c>
      <c r="K437" s="496">
        <f t="shared" ref="K437:K443" ca="1" si="193">IF(I437&gt;0,J437*100/I437,0)</f>
        <v>0</v>
      </c>
      <c r="L437" s="496"/>
      <c r="M437" s="496"/>
      <c r="N437" s="496"/>
      <c r="O437" s="496"/>
      <c r="P437" s="496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6" t="s">
        <v>195</v>
      </c>
      <c r="E438" s="178"/>
      <c r="F438" s="178"/>
      <c r="G438" s="179"/>
      <c r="H438" s="616" t="s">
        <v>49</v>
      </c>
      <c r="I438" s="269">
        <f ca="1">IFERROR(__xludf.DUMMYFUNCTION("IMPORTRANGE(""https://docs.google.com/spreadsheets/d/1QqKyyYR6Q21VydFLVH3TRQUabQu_ym0Zz7PgGX0-kHA/edit?usp=sharing"",""แผน!FE71"")"),0)</f>
        <v>0</v>
      </c>
      <c r="J438" s="214">
        <v>0</v>
      </c>
      <c r="K438" s="496">
        <f t="shared" ca="1" si="193"/>
        <v>0</v>
      </c>
      <c r="L438" s="496"/>
      <c r="M438" s="496"/>
      <c r="N438" s="496"/>
      <c r="O438" s="496"/>
      <c r="P438" s="496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6" t="s">
        <v>196</v>
      </c>
      <c r="E439" s="178"/>
      <c r="F439" s="178"/>
      <c r="G439" s="179"/>
      <c r="H439" s="616" t="s">
        <v>35</v>
      </c>
      <c r="I439" s="576">
        <f ca="1">IFERROR(__xludf.DUMMYFUNCTION("IMPORTRANGE(""https://docs.google.com/spreadsheets/d/1QqKyyYR6Q21VydFLVH3TRQUabQu_ym0Zz7PgGX0-kHA/edit?usp=sharing"",""แผน!FF71"")"),10)</f>
        <v>10</v>
      </c>
      <c r="J439" s="577">
        <v>10</v>
      </c>
      <c r="K439" s="496">
        <f t="shared" ca="1" si="193"/>
        <v>100</v>
      </c>
      <c r="L439" s="496"/>
      <c r="M439" s="496"/>
      <c r="N439" s="496"/>
      <c r="O439" s="496"/>
      <c r="P439" s="496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6" t="s">
        <v>197</v>
      </c>
      <c r="E440" s="178"/>
      <c r="F440" s="178"/>
      <c r="G440" s="179"/>
      <c r="H440" s="616" t="s">
        <v>49</v>
      </c>
      <c r="I440" s="269">
        <f ca="1">IFERROR(__xludf.DUMMYFUNCTION("IMPORTRANGE(""https://docs.google.com/spreadsheets/d/1QqKyyYR6Q21VydFLVH3TRQUabQu_ym0Zz7PgGX0-kHA/edit?usp=sharing"",""แผน!FG71"")"),1)</f>
        <v>1</v>
      </c>
      <c r="J440" s="214">
        <v>1</v>
      </c>
      <c r="K440" s="496">
        <f t="shared" ca="1" si="193"/>
        <v>100</v>
      </c>
      <c r="L440" s="496"/>
      <c r="M440" s="496"/>
      <c r="N440" s="496"/>
      <c r="O440" s="496"/>
      <c r="P440" s="496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>
      <c r="A441" s="170"/>
      <c r="B441" s="171"/>
      <c r="C441" s="171"/>
      <c r="D441" s="446" t="s">
        <v>198</v>
      </c>
      <c r="E441" s="178"/>
      <c r="F441" s="178"/>
      <c r="G441" s="179"/>
      <c r="H441" s="616" t="s">
        <v>35</v>
      </c>
      <c r="I441" s="269">
        <f ca="1">IFERROR(__xludf.DUMMYFUNCTION("IMPORTRANGE(""https://docs.google.com/spreadsheets/d/1QqKyyYR6Q21VydFLVH3TRQUabQu_ym0Zz7PgGX0-kHA/edit?usp=sharing"",""แผน!FH71"")"),0)</f>
        <v>0</v>
      </c>
      <c r="J441" s="269">
        <v>0</v>
      </c>
      <c r="K441" s="496">
        <f t="shared" ca="1" si="193"/>
        <v>0</v>
      </c>
      <c r="L441" s="496"/>
      <c r="M441" s="496"/>
      <c r="N441" s="496"/>
      <c r="O441" s="496"/>
      <c r="P441" s="496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 hidden="1">
      <c r="A442" s="578">
        <v>2</v>
      </c>
      <c r="B442" s="579" t="s">
        <v>199</v>
      </c>
      <c r="C442" s="580"/>
      <c r="D442" s="580"/>
      <c r="E442" s="580"/>
      <c r="F442" s="580"/>
      <c r="G442" s="581"/>
      <c r="H442" s="582" t="s">
        <v>35</v>
      </c>
      <c r="I442" s="583">
        <f t="shared" ref="I442:J442" ca="1" si="194">I460</f>
        <v>0</v>
      </c>
      <c r="J442" s="583">
        <f t="shared" si="194"/>
        <v>0</v>
      </c>
      <c r="K442" s="584">
        <f t="shared" ca="1" si="193"/>
        <v>0</v>
      </c>
      <c r="L442" s="585"/>
      <c r="M442" s="585"/>
      <c r="N442" s="585"/>
      <c r="O442" s="585"/>
      <c r="P442" s="585"/>
      <c r="Q442" s="571"/>
      <c r="R442" s="571"/>
      <c r="S442" s="571"/>
      <c r="T442" s="571"/>
      <c r="U442" s="571"/>
      <c r="V442" s="571"/>
      <c r="W442" s="571"/>
      <c r="X442" s="571"/>
      <c r="Y442" s="571"/>
      <c r="Z442" s="571"/>
    </row>
    <row r="443" spans="1:26" ht="19.5" hidden="1">
      <c r="A443" s="586"/>
      <c r="B443" s="587"/>
      <c r="C443" s="588"/>
      <c r="D443" s="588"/>
      <c r="E443" s="588"/>
      <c r="F443" s="588"/>
      <c r="G443" s="589"/>
      <c r="H443" s="562" t="s">
        <v>46</v>
      </c>
      <c r="I443" s="563">
        <f t="shared" ref="I443:J443" ca="1" si="195">I462</f>
        <v>0</v>
      </c>
      <c r="J443" s="563">
        <f t="shared" si="195"/>
        <v>0</v>
      </c>
      <c r="K443" s="564">
        <f t="shared" ca="1" si="193"/>
        <v>0</v>
      </c>
      <c r="L443" s="565"/>
      <c r="M443" s="565"/>
      <c r="N443" s="565"/>
      <c r="O443" s="565"/>
      <c r="P443" s="565"/>
      <c r="Q443" s="571"/>
      <c r="R443" s="571"/>
      <c r="S443" s="571"/>
      <c r="T443" s="571"/>
      <c r="U443" s="571"/>
      <c r="V443" s="571"/>
      <c r="W443" s="571"/>
      <c r="X443" s="571"/>
      <c r="Y443" s="571"/>
      <c r="Z443" s="571"/>
    </row>
    <row r="444" spans="1:26" ht="19.5" hidden="1">
      <c r="A444" s="590"/>
      <c r="B444" s="754"/>
      <c r="C444" s="754" t="s">
        <v>16</v>
      </c>
      <c r="D444" s="863" t="s">
        <v>17</v>
      </c>
      <c r="E444" s="857"/>
      <c r="F444" s="857"/>
      <c r="G444" s="189"/>
      <c r="H444" s="591" t="s">
        <v>12</v>
      </c>
      <c r="I444" s="269"/>
      <c r="J444" s="269"/>
      <c r="K444" s="496"/>
      <c r="L444" s="195">
        <f t="shared" ref="L444:N444" ca="1" si="196">L445+L446</f>
        <v>0</v>
      </c>
      <c r="M444" s="195">
        <f t="shared" si="196"/>
        <v>0</v>
      </c>
      <c r="N444" s="195">
        <f t="shared" si="196"/>
        <v>0</v>
      </c>
      <c r="O444" s="195">
        <f t="shared" ref="O444:O449" ca="1" si="197">IF(L444&gt;0,N444*100/L444,0)</f>
        <v>0</v>
      </c>
      <c r="P444" s="195">
        <f t="shared" ref="P444:P449" si="198">IF(M444&gt;0,N444*100/M444,0)</f>
        <v>0</v>
      </c>
      <c r="Q444" s="571"/>
      <c r="R444" s="571"/>
      <c r="S444" s="571"/>
      <c r="T444" s="571"/>
      <c r="U444" s="571"/>
      <c r="V444" s="571"/>
      <c r="W444" s="571"/>
      <c r="X444" s="571"/>
      <c r="Y444" s="571"/>
      <c r="Z444" s="571"/>
    </row>
    <row r="445" spans="1:26" ht="18.75" hidden="1">
      <c r="A445" s="592"/>
      <c r="B445" s="750"/>
      <c r="C445" s="750"/>
      <c r="D445" s="711"/>
      <c r="E445" s="750" t="s">
        <v>184</v>
      </c>
      <c r="F445" s="750"/>
      <c r="G445" s="596"/>
      <c r="H445" s="165" t="s">
        <v>12</v>
      </c>
      <c r="I445" s="610"/>
      <c r="J445" s="610"/>
      <c r="K445" s="93"/>
      <c r="L445" s="93">
        <f t="shared" ref="L445:N446" si="199">L448+L455</f>
        <v>0</v>
      </c>
      <c r="M445" s="93">
        <f t="shared" si="199"/>
        <v>0</v>
      </c>
      <c r="N445" s="93">
        <f t="shared" si="199"/>
        <v>0</v>
      </c>
      <c r="O445" s="93">
        <f t="shared" si="197"/>
        <v>0</v>
      </c>
      <c r="P445" s="93">
        <f t="shared" si="198"/>
        <v>0</v>
      </c>
      <c r="Q445" s="597"/>
      <c r="R445" s="597"/>
      <c r="S445" s="597"/>
      <c r="T445" s="597"/>
      <c r="U445" s="597"/>
      <c r="V445" s="597"/>
      <c r="W445" s="597"/>
      <c r="X445" s="597"/>
      <c r="Y445" s="597"/>
      <c r="Z445" s="597"/>
    </row>
    <row r="446" spans="1:26" ht="18.75" hidden="1">
      <c r="A446" s="592"/>
      <c r="B446" s="600"/>
      <c r="C446" s="750"/>
      <c r="D446" s="711"/>
      <c r="E446" s="750" t="s">
        <v>185</v>
      </c>
      <c r="F446" s="750"/>
      <c r="G446" s="596"/>
      <c r="H446" s="165" t="s">
        <v>12</v>
      </c>
      <c r="I446" s="610"/>
      <c r="J446" s="610"/>
      <c r="K446" s="93"/>
      <c r="L446" s="93">
        <f t="shared" ca="1" si="199"/>
        <v>0</v>
      </c>
      <c r="M446" s="93">
        <f t="shared" si="199"/>
        <v>0</v>
      </c>
      <c r="N446" s="93">
        <f t="shared" si="199"/>
        <v>0</v>
      </c>
      <c r="O446" s="93">
        <f t="shared" ca="1" si="197"/>
        <v>0</v>
      </c>
      <c r="P446" s="93">
        <f t="shared" si="198"/>
        <v>0</v>
      </c>
      <c r="Q446" s="597"/>
      <c r="R446" s="597"/>
      <c r="S446" s="597"/>
      <c r="T446" s="597"/>
      <c r="U446" s="597"/>
      <c r="V446" s="597"/>
      <c r="W446" s="597"/>
      <c r="X446" s="597"/>
      <c r="Y446" s="597"/>
      <c r="Z446" s="597"/>
    </row>
    <row r="447" spans="1:26" ht="18.75" hidden="1">
      <c r="A447" s="590"/>
      <c r="B447" s="568"/>
      <c r="C447" s="754"/>
      <c r="D447" s="599" t="s">
        <v>20</v>
      </c>
      <c r="E447" s="754"/>
      <c r="F447" s="754"/>
      <c r="G447" s="189"/>
      <c r="H447" s="161" t="s">
        <v>12</v>
      </c>
      <c r="I447" s="184"/>
      <c r="J447" s="184"/>
      <c r="K447" s="163"/>
      <c r="L447" s="496">
        <f t="shared" ref="L447:N447" ca="1" si="200">L448+L449</f>
        <v>0</v>
      </c>
      <c r="M447" s="496">
        <f t="shared" si="200"/>
        <v>0</v>
      </c>
      <c r="N447" s="496">
        <f t="shared" si="200"/>
        <v>0</v>
      </c>
      <c r="O447" s="496">
        <f t="shared" ca="1" si="197"/>
        <v>0</v>
      </c>
      <c r="P447" s="496">
        <f t="shared" si="198"/>
        <v>0</v>
      </c>
      <c r="Q447" s="571"/>
      <c r="R447" s="571"/>
      <c r="S447" s="571"/>
      <c r="T447" s="571"/>
      <c r="U447" s="571"/>
      <c r="V447" s="571"/>
      <c r="W447" s="571"/>
      <c r="X447" s="571"/>
      <c r="Y447" s="571"/>
      <c r="Z447" s="571"/>
    </row>
    <row r="448" spans="1:26" ht="18.75" hidden="1">
      <c r="A448" s="592"/>
      <c r="B448" s="600"/>
      <c r="C448" s="750"/>
      <c r="D448" s="711"/>
      <c r="E448" s="750" t="s">
        <v>184</v>
      </c>
      <c r="F448" s="750"/>
      <c r="G448" s="596"/>
      <c r="H448" s="165" t="s">
        <v>12</v>
      </c>
      <c r="I448" s="610"/>
      <c r="J448" s="610"/>
      <c r="K448" s="93"/>
      <c r="L448" s="93">
        <v>0</v>
      </c>
      <c r="M448" s="93">
        <v>0</v>
      </c>
      <c r="N448" s="93">
        <v>0</v>
      </c>
      <c r="O448" s="93">
        <f t="shared" si="197"/>
        <v>0</v>
      </c>
      <c r="P448" s="93">
        <f t="shared" si="198"/>
        <v>0</v>
      </c>
      <c r="Q448" s="597"/>
      <c r="R448" s="597"/>
      <c r="S448" s="597"/>
      <c r="T448" s="597"/>
      <c r="U448" s="597"/>
      <c r="V448" s="597"/>
      <c r="W448" s="597"/>
      <c r="X448" s="597"/>
      <c r="Y448" s="597"/>
      <c r="Z448" s="597"/>
    </row>
    <row r="449" spans="1:26" ht="18.75" hidden="1">
      <c r="A449" s="592"/>
      <c r="B449" s="600"/>
      <c r="C449" s="750"/>
      <c r="D449" s="711"/>
      <c r="E449" s="750" t="s">
        <v>185</v>
      </c>
      <c r="F449" s="750"/>
      <c r="G449" s="596"/>
      <c r="H449" s="165" t="s">
        <v>12</v>
      </c>
      <c r="I449" s="610"/>
      <c r="J449" s="610"/>
      <c r="K449" s="93"/>
      <c r="L449" s="93">
        <f ca="1">IFERROR(__xludf.DUMMYFUNCTION("IMPORTRANGE(""https://docs.google.com/spreadsheets/d/1QqKyyYR6Q21VydFLVH3TRQUabQu_ym0Zz7PgGX0-kHA/edit?usp=sharing"",""แผน!FJ71"")"),0)</f>
        <v>0</v>
      </c>
      <c r="M449" s="93">
        <v>0</v>
      </c>
      <c r="N449" s="93">
        <f>N450+N451+N452+N453</f>
        <v>0</v>
      </c>
      <c r="O449" s="93">
        <f t="shared" ca="1" si="197"/>
        <v>0</v>
      </c>
      <c r="P449" s="93">
        <f t="shared" si="198"/>
        <v>0</v>
      </c>
      <c r="Q449" s="597"/>
      <c r="R449" s="597"/>
      <c r="S449" s="597"/>
      <c r="T449" s="597"/>
      <c r="U449" s="597"/>
      <c r="V449" s="597"/>
      <c r="W449" s="597"/>
      <c r="X449" s="597"/>
      <c r="Y449" s="597"/>
      <c r="Z449" s="597"/>
    </row>
    <row r="450" spans="1:26" ht="18.75" hidden="1">
      <c r="A450" s="567"/>
      <c r="B450" s="568"/>
      <c r="C450" s="754"/>
      <c r="D450" s="754"/>
      <c r="E450" s="754"/>
      <c r="F450" s="754" t="s">
        <v>186</v>
      </c>
      <c r="G450" s="189"/>
      <c r="H450" s="161" t="s">
        <v>12</v>
      </c>
      <c r="I450" s="269"/>
      <c r="J450" s="269"/>
      <c r="K450" s="496"/>
      <c r="L450" s="496"/>
      <c r="M450" s="496"/>
      <c r="N450" s="817">
        <v>0</v>
      </c>
      <c r="O450" s="496"/>
      <c r="P450" s="496"/>
      <c r="Q450" s="571"/>
      <c r="R450" s="571"/>
      <c r="S450" s="571"/>
      <c r="T450" s="571"/>
      <c r="U450" s="571"/>
      <c r="V450" s="571"/>
      <c r="W450" s="571"/>
      <c r="X450" s="571"/>
      <c r="Y450" s="571"/>
      <c r="Z450" s="571"/>
    </row>
    <row r="451" spans="1:26" ht="18.75" hidden="1">
      <c r="A451" s="567"/>
      <c r="B451" s="568"/>
      <c r="C451" s="754"/>
      <c r="D451" s="754"/>
      <c r="E451" s="754"/>
      <c r="F451" s="754" t="s">
        <v>187</v>
      </c>
      <c r="G451" s="189"/>
      <c r="H451" s="161" t="s">
        <v>12</v>
      </c>
      <c r="I451" s="269"/>
      <c r="J451" s="269"/>
      <c r="K451" s="496"/>
      <c r="L451" s="496"/>
      <c r="M451" s="496"/>
      <c r="N451" s="817">
        <v>0</v>
      </c>
      <c r="O451" s="496"/>
      <c r="P451" s="496"/>
      <c r="Q451" s="571"/>
      <c r="R451" s="571"/>
      <c r="S451" s="571"/>
      <c r="T451" s="571"/>
      <c r="U451" s="571"/>
      <c r="V451" s="571"/>
      <c r="W451" s="571"/>
      <c r="X451" s="571"/>
      <c r="Y451" s="571"/>
      <c r="Z451" s="571"/>
    </row>
    <row r="452" spans="1:26" ht="18.75" hidden="1">
      <c r="A452" s="567"/>
      <c r="B452" s="568"/>
      <c r="C452" s="568"/>
      <c r="D452" s="568"/>
      <c r="E452" s="568"/>
      <c r="F452" s="754" t="s">
        <v>188</v>
      </c>
      <c r="G452" s="189"/>
      <c r="H452" s="161" t="s">
        <v>12</v>
      </c>
      <c r="I452" s="269"/>
      <c r="J452" s="269"/>
      <c r="K452" s="496"/>
      <c r="L452" s="496"/>
      <c r="M452" s="496"/>
      <c r="N452" s="817">
        <v>0</v>
      </c>
      <c r="O452" s="496"/>
      <c r="P452" s="496"/>
      <c r="Q452" s="571"/>
      <c r="R452" s="571"/>
      <c r="S452" s="571"/>
      <c r="T452" s="571"/>
      <c r="U452" s="571"/>
      <c r="V452" s="571"/>
      <c r="W452" s="571"/>
      <c r="X452" s="571"/>
      <c r="Y452" s="571"/>
      <c r="Z452" s="571"/>
    </row>
    <row r="453" spans="1:26" ht="18.75" hidden="1">
      <c r="A453" s="567"/>
      <c r="B453" s="568"/>
      <c r="C453" s="568"/>
      <c r="D453" s="568"/>
      <c r="E453" s="568"/>
      <c r="F453" s="754" t="s">
        <v>189</v>
      </c>
      <c r="G453" s="189"/>
      <c r="H453" s="161" t="s">
        <v>12</v>
      </c>
      <c r="I453" s="269"/>
      <c r="J453" s="269"/>
      <c r="K453" s="496"/>
      <c r="L453" s="496"/>
      <c r="M453" s="496"/>
      <c r="N453" s="817">
        <v>0</v>
      </c>
      <c r="O453" s="496"/>
      <c r="P453" s="496"/>
      <c r="Q453" s="571"/>
      <c r="R453" s="571"/>
      <c r="S453" s="571"/>
      <c r="T453" s="571"/>
      <c r="U453" s="571"/>
      <c r="V453" s="571"/>
      <c r="W453" s="571"/>
      <c r="X453" s="571"/>
      <c r="Y453" s="571"/>
      <c r="Z453" s="571"/>
    </row>
    <row r="454" spans="1:26" ht="18.75" hidden="1">
      <c r="A454" s="590"/>
      <c r="B454" s="568"/>
      <c r="C454" s="568"/>
      <c r="D454" s="599" t="s">
        <v>21</v>
      </c>
      <c r="E454" s="568"/>
      <c r="F454" s="754"/>
      <c r="G454" s="189"/>
      <c r="H454" s="168" t="s">
        <v>12</v>
      </c>
      <c r="I454" s="184"/>
      <c r="J454" s="184"/>
      <c r="K454" s="163"/>
      <c r="L454" s="496">
        <f t="shared" ref="L454:N454" ca="1" si="201">L455+L456</f>
        <v>0</v>
      </c>
      <c r="M454" s="496">
        <f t="shared" si="201"/>
        <v>0</v>
      </c>
      <c r="N454" s="496">
        <f t="shared" si="201"/>
        <v>0</v>
      </c>
      <c r="O454" s="496">
        <f t="shared" ref="O454:O456" ca="1" si="202">IF(L454&gt;0,N454*100/L454,0)</f>
        <v>0</v>
      </c>
      <c r="P454" s="496">
        <f t="shared" ref="P454:P456" si="203">IF(M454&gt;0,N454*100/M454,0)</f>
        <v>0</v>
      </c>
      <c r="Q454" s="571"/>
      <c r="R454" s="571"/>
      <c r="S454" s="571"/>
      <c r="T454" s="571"/>
      <c r="U454" s="571"/>
      <c r="V454" s="571"/>
      <c r="W454" s="571"/>
      <c r="X454" s="571"/>
      <c r="Y454" s="571"/>
      <c r="Z454" s="571"/>
    </row>
    <row r="455" spans="1:26" ht="18.75" hidden="1">
      <c r="A455" s="592"/>
      <c r="B455" s="600"/>
      <c r="C455" s="600"/>
      <c r="D455" s="600"/>
      <c r="E455" s="600" t="s">
        <v>18</v>
      </c>
      <c r="F455" s="750"/>
      <c r="G455" s="596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2"/>
        <v>0</v>
      </c>
      <c r="P455" s="93">
        <f t="shared" si="203"/>
        <v>0</v>
      </c>
      <c r="Q455" s="597"/>
      <c r="R455" s="597"/>
      <c r="S455" s="597"/>
      <c r="T455" s="597"/>
      <c r="U455" s="597"/>
      <c r="V455" s="597"/>
      <c r="W455" s="597"/>
      <c r="X455" s="597"/>
      <c r="Y455" s="597"/>
      <c r="Z455" s="597"/>
    </row>
    <row r="456" spans="1:26" ht="18.75" hidden="1">
      <c r="A456" s="592"/>
      <c r="B456" s="600"/>
      <c r="C456" s="600"/>
      <c r="D456" s="600"/>
      <c r="E456" s="600" t="s">
        <v>19</v>
      </c>
      <c r="F456" s="750"/>
      <c r="G456" s="596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IFERROR(__xludf.DUMMYFUNCTION("IMPORTRANGE(""https://docs.google.com/spreadsheets/d/1QqKyyYR6Q21VydFLVH3TRQUabQu_ym0Zz7PgGX0-kHA/edit?usp=sharing"",""แผน!FM71"")"),0)</f>
        <v>0</v>
      </c>
      <c r="M456" s="93">
        <v>0</v>
      </c>
      <c r="N456" s="93">
        <v>0</v>
      </c>
      <c r="O456" s="93">
        <f t="shared" ca="1" si="202"/>
        <v>0</v>
      </c>
      <c r="P456" s="93">
        <f t="shared" si="203"/>
        <v>0</v>
      </c>
      <c r="Q456" s="597"/>
      <c r="R456" s="597"/>
      <c r="S456" s="597"/>
      <c r="T456" s="597"/>
      <c r="U456" s="597"/>
      <c r="V456" s="597"/>
      <c r="W456" s="597"/>
      <c r="X456" s="597"/>
      <c r="Y456" s="597"/>
      <c r="Z456" s="597"/>
    </row>
    <row r="457" spans="1:26" ht="19.5" hidden="1">
      <c r="A457" s="601"/>
      <c r="B457" s="611"/>
      <c r="C457" s="568" t="s">
        <v>16</v>
      </c>
      <c r="D457" s="836" t="s">
        <v>38</v>
      </c>
      <c r="E457" s="604"/>
      <c r="F457" s="752"/>
      <c r="G457" s="606"/>
      <c r="H457" s="753"/>
      <c r="I457" s="269"/>
      <c r="J457" s="269"/>
      <c r="K457" s="496"/>
      <c r="L457" s="496"/>
      <c r="M457" s="496"/>
      <c r="N457" s="496"/>
      <c r="O457" s="496"/>
      <c r="P457" s="496"/>
      <c r="Q457" s="571"/>
      <c r="R457" s="571"/>
      <c r="S457" s="571"/>
      <c r="T457" s="571"/>
      <c r="U457" s="571"/>
      <c r="V457" s="571"/>
      <c r="W457" s="571"/>
      <c r="X457" s="571"/>
      <c r="Y457" s="571"/>
      <c r="Z457" s="571"/>
    </row>
    <row r="458" spans="1:26" ht="18.75" hidden="1">
      <c r="A458" s="607"/>
      <c r="B458" s="609"/>
      <c r="C458" s="609"/>
      <c r="D458" s="609" t="s">
        <v>200</v>
      </c>
      <c r="E458" s="609"/>
      <c r="F458" s="711"/>
      <c r="G458" s="365"/>
      <c r="H458" s="369" t="s">
        <v>35</v>
      </c>
      <c r="I458" s="610">
        <v>0</v>
      </c>
      <c r="J458" s="610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597"/>
      <c r="R458" s="597"/>
      <c r="S458" s="597"/>
      <c r="T458" s="597"/>
      <c r="U458" s="597"/>
      <c r="V458" s="597"/>
      <c r="W458" s="597"/>
      <c r="X458" s="597"/>
      <c r="Y458" s="597"/>
      <c r="Z458" s="597"/>
    </row>
    <row r="459" spans="1:26" ht="18.75" hidden="1">
      <c r="A459" s="607"/>
      <c r="B459" s="609"/>
      <c r="C459" s="609"/>
      <c r="D459" s="609" t="s">
        <v>201</v>
      </c>
      <c r="E459" s="609"/>
      <c r="F459" s="711"/>
      <c r="G459" s="365"/>
      <c r="H459" s="369"/>
      <c r="I459" s="610"/>
      <c r="J459" s="610"/>
      <c r="K459" s="93"/>
      <c r="L459" s="93"/>
      <c r="M459" s="93"/>
      <c r="N459" s="93"/>
      <c r="O459" s="93"/>
      <c r="P459" s="93"/>
      <c r="Q459" s="597"/>
      <c r="R459" s="597"/>
      <c r="S459" s="597"/>
      <c r="T459" s="597"/>
      <c r="U459" s="597"/>
      <c r="V459" s="597"/>
      <c r="W459" s="597"/>
      <c r="X459" s="597"/>
      <c r="Y459" s="597"/>
      <c r="Z459" s="597"/>
    </row>
    <row r="460" spans="1:26" ht="18.75" hidden="1">
      <c r="A460" s="601"/>
      <c r="B460" s="611"/>
      <c r="C460" s="611"/>
      <c r="D460" s="611" t="s">
        <v>202</v>
      </c>
      <c r="E460" s="611"/>
      <c r="F460" s="619"/>
      <c r="G460" s="753"/>
      <c r="H460" s="755" t="s">
        <v>35</v>
      </c>
      <c r="I460" s="269">
        <f ca="1">IFERROR(__xludf.DUMMYFUNCTION("IMPORTRANGE(""https://docs.google.com/spreadsheets/d/1QqKyyYR6Q21VydFLVH3TRQUabQu_ym0Zz7PgGX0-kHA/edit?usp=sharing"",""แผน!FN71"")"),0)</f>
        <v>0</v>
      </c>
      <c r="J460" s="214">
        <v>0</v>
      </c>
      <c r="K460" s="496">
        <f ca="1">IF(I460&gt;0,J460*100/I460,0)</f>
        <v>0</v>
      </c>
      <c r="L460" s="496"/>
      <c r="M460" s="496"/>
      <c r="N460" s="496"/>
      <c r="O460" s="496"/>
      <c r="P460" s="496"/>
      <c r="Q460" s="571"/>
      <c r="R460" s="571"/>
      <c r="S460" s="571"/>
      <c r="T460" s="571"/>
      <c r="U460" s="571"/>
      <c r="V460" s="571"/>
      <c r="W460" s="571"/>
      <c r="X460" s="571"/>
      <c r="Y460" s="571"/>
      <c r="Z460" s="571"/>
    </row>
    <row r="461" spans="1:26" ht="18.75" hidden="1">
      <c r="A461" s="601"/>
      <c r="B461" s="611"/>
      <c r="C461" s="611"/>
      <c r="D461" s="611" t="s">
        <v>203</v>
      </c>
      <c r="E461" s="619"/>
      <c r="F461" s="619"/>
      <c r="G461" s="753"/>
      <c r="H461" s="755"/>
      <c r="I461" s="269"/>
      <c r="J461" s="269"/>
      <c r="K461" s="496"/>
      <c r="L461" s="496"/>
      <c r="M461" s="496"/>
      <c r="N461" s="496"/>
      <c r="O461" s="496"/>
      <c r="P461" s="496"/>
      <c r="Q461" s="571"/>
      <c r="R461" s="571"/>
      <c r="S461" s="571"/>
      <c r="T461" s="571"/>
      <c r="U461" s="571"/>
      <c r="V461" s="571"/>
      <c r="W461" s="571"/>
      <c r="X461" s="571"/>
      <c r="Y461" s="571"/>
      <c r="Z461" s="571"/>
    </row>
    <row r="462" spans="1:26" ht="18.75" hidden="1">
      <c r="A462" s="601"/>
      <c r="B462" s="611"/>
      <c r="C462" s="611"/>
      <c r="D462" s="611" t="s">
        <v>204</v>
      </c>
      <c r="E462" s="619"/>
      <c r="F462" s="619"/>
      <c r="G462" s="753"/>
      <c r="H462" s="755" t="s">
        <v>46</v>
      </c>
      <c r="I462" s="269">
        <f ca="1">IFERROR(__xludf.DUMMYFUNCTION("IMPORTRANGE(""https://docs.google.com/spreadsheets/d/1QqKyyYR6Q21VydFLVH3TRQUabQu_ym0Zz7PgGX0-kHA/edit?usp=sharing"",""แผน!FO71"")"),0)</f>
        <v>0</v>
      </c>
      <c r="J462" s="214">
        <v>0</v>
      </c>
      <c r="K462" s="496">
        <f ca="1">IF(I462&gt;0,J462*100/I462,0)</f>
        <v>0</v>
      </c>
      <c r="L462" s="496"/>
      <c r="M462" s="496"/>
      <c r="N462" s="496"/>
      <c r="O462" s="496"/>
      <c r="P462" s="496"/>
      <c r="Q462" s="571"/>
      <c r="R462" s="571"/>
      <c r="S462" s="571"/>
      <c r="T462" s="571"/>
      <c r="U462" s="571"/>
      <c r="V462" s="571"/>
      <c r="W462" s="571"/>
      <c r="X462" s="571"/>
      <c r="Y462" s="571"/>
      <c r="Z462" s="571"/>
    </row>
    <row r="463" spans="1:26" ht="18.75" hidden="1">
      <c r="A463" s="601"/>
      <c r="B463" s="611"/>
      <c r="C463" s="611"/>
      <c r="D463" s="611" t="s">
        <v>59</v>
      </c>
      <c r="E463" s="619"/>
      <c r="F463" s="754"/>
      <c r="G463" s="189"/>
      <c r="H463" s="755" t="s">
        <v>46</v>
      </c>
      <c r="I463" s="269">
        <f ca="1">IFERROR(__xludf.DUMMYFUNCTION("IMPORTRANGE(""https://docs.google.com/spreadsheets/d/1QqKyyYR6Q21VydFLVH3TRQUabQu_ym0Zz7PgGX0-kHA/edit?usp=sharing"",""แผน!FO71"")"),0)</f>
        <v>0</v>
      </c>
      <c r="J463" s="214">
        <v>0</v>
      </c>
      <c r="K463" s="496"/>
      <c r="L463" s="496"/>
      <c r="M463" s="496"/>
      <c r="N463" s="496"/>
      <c r="O463" s="496"/>
      <c r="P463" s="496"/>
      <c r="Q463" s="571"/>
      <c r="R463" s="571"/>
      <c r="S463" s="571"/>
      <c r="T463" s="571"/>
      <c r="U463" s="571"/>
      <c r="V463" s="571"/>
      <c r="W463" s="571"/>
      <c r="X463" s="571"/>
      <c r="Y463" s="571"/>
      <c r="Z463" s="571"/>
    </row>
    <row r="464" spans="1:26" ht="19.5" hidden="1">
      <c r="A464" s="601"/>
      <c r="B464" s="611"/>
      <c r="C464" s="611"/>
      <c r="D464" s="611"/>
      <c r="E464" s="619"/>
      <c r="F464" s="619"/>
      <c r="G464" s="613"/>
      <c r="H464" s="755" t="s">
        <v>35</v>
      </c>
      <c r="I464" s="269">
        <f ca="1">IFERROR(__xludf.DUMMYFUNCTION("IMPORTRANGE(""https://docs.google.com/spreadsheets/d/1QqKyyYR6Q21VydFLVH3TRQUabQu_ym0Zz7PgGX0-kHA/edit?usp=sharing"",""แผน!FN71"")"),0)</f>
        <v>0</v>
      </c>
      <c r="J464" s="214">
        <v>0</v>
      </c>
      <c r="K464" s="496"/>
      <c r="L464" s="496"/>
      <c r="M464" s="496"/>
      <c r="N464" s="496"/>
      <c r="O464" s="496"/>
      <c r="P464" s="496"/>
      <c r="Q464" s="571"/>
      <c r="R464" s="571"/>
      <c r="S464" s="571"/>
      <c r="T464" s="571"/>
      <c r="U464" s="571"/>
      <c r="V464" s="571"/>
      <c r="W464" s="571"/>
      <c r="X464" s="571"/>
      <c r="Y464" s="571"/>
      <c r="Z464" s="571"/>
    </row>
    <row r="465" spans="1:26" ht="19.5" hidden="1">
      <c r="A465" s="578">
        <v>3</v>
      </c>
      <c r="B465" s="579" t="s">
        <v>205</v>
      </c>
      <c r="C465" s="580"/>
      <c r="D465" s="580"/>
      <c r="E465" s="580"/>
      <c r="F465" s="580"/>
      <c r="G465" s="581"/>
      <c r="H465" s="582" t="s">
        <v>35</v>
      </c>
      <c r="I465" s="583">
        <f ca="1">IFERROR(__xludf.DUMMYFUNCTION("IMPORTRANGE(""https://docs.google.com/spreadsheets/d/1QqKyyYR6Q21VydFLVH3TRQUabQu_ym0Zz7PgGX0-kHA/edit?usp=sharing"",""แผน!FX71"")"),0)</f>
        <v>0</v>
      </c>
      <c r="J465" s="583">
        <f>J485+J489+J492</f>
        <v>0</v>
      </c>
      <c r="K465" s="584">
        <f t="shared" ref="K465:K466" ca="1" si="204">IF(I465&gt;0,J465*100/I465,0)</f>
        <v>0</v>
      </c>
      <c r="L465" s="585"/>
      <c r="M465" s="585"/>
      <c r="N465" s="585"/>
      <c r="O465" s="585"/>
      <c r="P465" s="585"/>
      <c r="Q465" s="571"/>
      <c r="R465" s="571"/>
      <c r="S465" s="571"/>
      <c r="T465" s="571"/>
      <c r="U465" s="571"/>
      <c r="V465" s="571"/>
      <c r="W465" s="571"/>
      <c r="X465" s="571"/>
      <c r="Y465" s="571"/>
      <c r="Z465" s="571"/>
    </row>
    <row r="466" spans="1:26" ht="19.5" hidden="1">
      <c r="A466" s="586"/>
      <c r="B466" s="587"/>
      <c r="C466" s="588"/>
      <c r="D466" s="588"/>
      <c r="E466" s="588"/>
      <c r="F466" s="588"/>
      <c r="G466" s="589"/>
      <c r="H466" s="562" t="s">
        <v>46</v>
      </c>
      <c r="I466" s="563">
        <f ca="1">IFERROR(__xludf.DUMMYFUNCTION("IMPORTRANGE(""https://docs.google.com/spreadsheets/d/1QqKyyYR6Q21VydFLVH3TRQUabQu_ym0Zz7PgGX0-kHA/edit?usp=sharing"",""แผน!FW71"")"),0)</f>
        <v>0</v>
      </c>
      <c r="J466" s="563">
        <f>J483+J487</f>
        <v>0</v>
      </c>
      <c r="K466" s="564">
        <f t="shared" ca="1" si="204"/>
        <v>0</v>
      </c>
      <c r="L466" s="565"/>
      <c r="M466" s="565"/>
      <c r="N466" s="565"/>
      <c r="O466" s="565"/>
      <c r="P466" s="565"/>
      <c r="Q466" s="571"/>
      <c r="R466" s="571"/>
      <c r="S466" s="571"/>
      <c r="T466" s="571"/>
      <c r="U466" s="571"/>
      <c r="V466" s="571"/>
      <c r="W466" s="571"/>
      <c r="X466" s="571"/>
      <c r="Y466" s="571"/>
      <c r="Z466" s="571"/>
    </row>
    <row r="467" spans="1:26" ht="19.5" hidden="1">
      <c r="A467" s="590"/>
      <c r="B467" s="754"/>
      <c r="C467" s="754" t="s">
        <v>16</v>
      </c>
      <c r="D467" s="863" t="s">
        <v>17</v>
      </c>
      <c r="E467" s="857"/>
      <c r="F467" s="857"/>
      <c r="G467" s="189"/>
      <c r="H467" s="591" t="s">
        <v>12</v>
      </c>
      <c r="I467" s="269"/>
      <c r="J467" s="269"/>
      <c r="K467" s="496"/>
      <c r="L467" s="195">
        <f t="shared" ref="L467:N467" ca="1" si="205">L468+L469</f>
        <v>0</v>
      </c>
      <c r="M467" s="195">
        <f t="shared" si="205"/>
        <v>0</v>
      </c>
      <c r="N467" s="195">
        <f t="shared" si="205"/>
        <v>0</v>
      </c>
      <c r="O467" s="195">
        <f t="shared" ref="O467:O472" ca="1" si="206">IF(L467&gt;0,N467*100/L467,0)</f>
        <v>0</v>
      </c>
      <c r="P467" s="195">
        <f t="shared" ref="P467:P472" si="207">IF(M467&gt;0,N467*100/M467,0)</f>
        <v>0</v>
      </c>
      <c r="Q467" s="571"/>
      <c r="R467" s="571"/>
      <c r="S467" s="571"/>
      <c r="T467" s="571"/>
      <c r="U467" s="571"/>
      <c r="V467" s="571"/>
      <c r="W467" s="571"/>
      <c r="X467" s="571"/>
      <c r="Y467" s="571"/>
      <c r="Z467" s="571"/>
    </row>
    <row r="468" spans="1:26" ht="18.75" hidden="1">
      <c r="A468" s="592"/>
      <c r="B468" s="750"/>
      <c r="C468" s="750"/>
      <c r="D468" s="711"/>
      <c r="E468" s="750" t="s">
        <v>184</v>
      </c>
      <c r="F468" s="750"/>
      <c r="G468" s="596"/>
      <c r="H468" s="165" t="s">
        <v>12</v>
      </c>
      <c r="I468" s="610"/>
      <c r="J468" s="610"/>
      <c r="K468" s="93"/>
      <c r="L468" s="93">
        <f t="shared" ref="L468:N469" si="208">L471+L478</f>
        <v>0</v>
      </c>
      <c r="M468" s="93">
        <f t="shared" si="208"/>
        <v>0</v>
      </c>
      <c r="N468" s="93">
        <f t="shared" si="208"/>
        <v>0</v>
      </c>
      <c r="O468" s="93">
        <f t="shared" si="206"/>
        <v>0</v>
      </c>
      <c r="P468" s="93">
        <f t="shared" si="207"/>
        <v>0</v>
      </c>
      <c r="Q468" s="597"/>
      <c r="R468" s="597"/>
      <c r="S468" s="597"/>
      <c r="T468" s="597"/>
      <c r="U468" s="597"/>
      <c r="V468" s="597"/>
      <c r="W468" s="597"/>
      <c r="X468" s="597"/>
      <c r="Y468" s="597"/>
      <c r="Z468" s="597"/>
    </row>
    <row r="469" spans="1:26" ht="18.75" hidden="1">
      <c r="A469" s="592"/>
      <c r="B469" s="600"/>
      <c r="C469" s="750"/>
      <c r="D469" s="711"/>
      <c r="E469" s="750" t="s">
        <v>185</v>
      </c>
      <c r="F469" s="750"/>
      <c r="G469" s="596"/>
      <c r="H469" s="165" t="s">
        <v>12</v>
      </c>
      <c r="I469" s="610"/>
      <c r="J469" s="610"/>
      <c r="K469" s="93"/>
      <c r="L469" s="93">
        <f t="shared" ca="1" si="208"/>
        <v>0</v>
      </c>
      <c r="M469" s="93">
        <f t="shared" si="208"/>
        <v>0</v>
      </c>
      <c r="N469" s="93">
        <f t="shared" si="208"/>
        <v>0</v>
      </c>
      <c r="O469" s="93">
        <f t="shared" ca="1" si="206"/>
        <v>0</v>
      </c>
      <c r="P469" s="93">
        <f t="shared" si="207"/>
        <v>0</v>
      </c>
      <c r="Q469" s="597"/>
      <c r="R469" s="597"/>
      <c r="S469" s="597"/>
      <c r="T469" s="597"/>
      <c r="U469" s="597"/>
      <c r="V469" s="597"/>
      <c r="W469" s="597"/>
      <c r="X469" s="597"/>
      <c r="Y469" s="597"/>
      <c r="Z469" s="597"/>
    </row>
    <row r="470" spans="1:26" ht="18.75" hidden="1">
      <c r="A470" s="590"/>
      <c r="B470" s="568"/>
      <c r="C470" s="754"/>
      <c r="D470" s="599" t="s">
        <v>20</v>
      </c>
      <c r="E470" s="754"/>
      <c r="F470" s="754"/>
      <c r="G470" s="189"/>
      <c r="H470" s="161" t="s">
        <v>12</v>
      </c>
      <c r="I470" s="184"/>
      <c r="J470" s="184"/>
      <c r="K470" s="163"/>
      <c r="L470" s="496">
        <f t="shared" ref="L470:N470" ca="1" si="209">L471+L472</f>
        <v>0</v>
      </c>
      <c r="M470" s="496">
        <f t="shared" si="209"/>
        <v>0</v>
      </c>
      <c r="N470" s="496">
        <f t="shared" si="209"/>
        <v>0</v>
      </c>
      <c r="O470" s="496">
        <f t="shared" ca="1" si="206"/>
        <v>0</v>
      </c>
      <c r="P470" s="496">
        <f t="shared" si="207"/>
        <v>0</v>
      </c>
      <c r="Q470" s="571"/>
      <c r="R470" s="571"/>
      <c r="S470" s="571"/>
      <c r="T470" s="571"/>
      <c r="U470" s="571"/>
      <c r="V470" s="571"/>
      <c r="W470" s="571"/>
      <c r="X470" s="571"/>
      <c r="Y470" s="571"/>
      <c r="Z470" s="571"/>
    </row>
    <row r="471" spans="1:26" ht="18.75" hidden="1">
      <c r="A471" s="592"/>
      <c r="B471" s="600"/>
      <c r="C471" s="750"/>
      <c r="D471" s="711"/>
      <c r="E471" s="750" t="s">
        <v>184</v>
      </c>
      <c r="F471" s="750"/>
      <c r="G471" s="596"/>
      <c r="H471" s="165" t="s">
        <v>12</v>
      </c>
      <c r="I471" s="610"/>
      <c r="J471" s="610"/>
      <c r="K471" s="93"/>
      <c r="L471" s="93">
        <v>0</v>
      </c>
      <c r="M471" s="93">
        <v>0</v>
      </c>
      <c r="N471" s="93">
        <v>0</v>
      </c>
      <c r="O471" s="93">
        <f t="shared" si="206"/>
        <v>0</v>
      </c>
      <c r="P471" s="93">
        <f t="shared" si="207"/>
        <v>0</v>
      </c>
      <c r="Q471" s="597"/>
      <c r="R471" s="597"/>
      <c r="S471" s="597"/>
      <c r="T471" s="597"/>
      <c r="U471" s="597"/>
      <c r="V471" s="597"/>
      <c r="W471" s="597"/>
      <c r="X471" s="597"/>
      <c r="Y471" s="597"/>
      <c r="Z471" s="597"/>
    </row>
    <row r="472" spans="1:26" ht="18.75" hidden="1">
      <c r="A472" s="592"/>
      <c r="B472" s="600"/>
      <c r="C472" s="750"/>
      <c r="D472" s="711"/>
      <c r="E472" s="750" t="s">
        <v>185</v>
      </c>
      <c r="F472" s="750"/>
      <c r="G472" s="596"/>
      <c r="H472" s="165" t="s">
        <v>12</v>
      </c>
      <c r="I472" s="610"/>
      <c r="J472" s="610"/>
      <c r="K472" s="93"/>
      <c r="L472" s="93">
        <f ca="1">IFERROR(__xludf.DUMMYFUNCTION("IMPORTRANGE(""https://docs.google.com/spreadsheets/d/1QqKyyYR6Q21VydFLVH3TRQUabQu_ym0Zz7PgGX0-kHA/edit?usp=sharing"",""แผน!FS71"")"),0)</f>
        <v>0</v>
      </c>
      <c r="M472" s="93">
        <v>0</v>
      </c>
      <c r="N472" s="93">
        <f>N473+N474+N475+N476</f>
        <v>0</v>
      </c>
      <c r="O472" s="93">
        <f t="shared" ca="1" si="206"/>
        <v>0</v>
      </c>
      <c r="P472" s="93">
        <f t="shared" si="207"/>
        <v>0</v>
      </c>
      <c r="Q472" s="597"/>
      <c r="R472" s="597"/>
      <c r="S472" s="597"/>
      <c r="T472" s="597"/>
      <c r="U472" s="597"/>
      <c r="V472" s="597"/>
      <c r="W472" s="597"/>
      <c r="X472" s="597"/>
      <c r="Y472" s="597"/>
      <c r="Z472" s="597"/>
    </row>
    <row r="473" spans="1:26" ht="18.75" hidden="1">
      <c r="A473" s="567"/>
      <c r="B473" s="568"/>
      <c r="C473" s="754"/>
      <c r="D473" s="754"/>
      <c r="E473" s="754"/>
      <c r="F473" s="754" t="s">
        <v>186</v>
      </c>
      <c r="G473" s="189"/>
      <c r="H473" s="161" t="s">
        <v>12</v>
      </c>
      <c r="I473" s="269"/>
      <c r="J473" s="269"/>
      <c r="K473" s="496"/>
      <c r="L473" s="496"/>
      <c r="M473" s="496"/>
      <c r="N473" s="817">
        <v>0</v>
      </c>
      <c r="O473" s="496"/>
      <c r="P473" s="496"/>
      <c r="Q473" s="571"/>
      <c r="R473" s="571"/>
      <c r="S473" s="571"/>
      <c r="T473" s="571"/>
      <c r="U473" s="571"/>
      <c r="V473" s="571"/>
      <c r="W473" s="571"/>
      <c r="X473" s="571"/>
      <c r="Y473" s="571"/>
      <c r="Z473" s="571"/>
    </row>
    <row r="474" spans="1:26" ht="18.75" hidden="1">
      <c r="A474" s="567"/>
      <c r="B474" s="568"/>
      <c r="C474" s="754"/>
      <c r="D474" s="754"/>
      <c r="E474" s="754"/>
      <c r="F474" s="754" t="s">
        <v>187</v>
      </c>
      <c r="G474" s="189"/>
      <c r="H474" s="161" t="s">
        <v>12</v>
      </c>
      <c r="I474" s="269"/>
      <c r="J474" s="269"/>
      <c r="K474" s="496"/>
      <c r="L474" s="496"/>
      <c r="M474" s="496"/>
      <c r="N474" s="817">
        <v>0</v>
      </c>
      <c r="O474" s="496"/>
      <c r="P474" s="496"/>
      <c r="Q474" s="571"/>
      <c r="R474" s="571"/>
      <c r="S474" s="571"/>
      <c r="T474" s="571"/>
      <c r="U474" s="571"/>
      <c r="V474" s="571"/>
      <c r="W474" s="571"/>
      <c r="X474" s="571"/>
      <c r="Y474" s="571"/>
      <c r="Z474" s="571"/>
    </row>
    <row r="475" spans="1:26" ht="18.75" hidden="1">
      <c r="A475" s="567"/>
      <c r="B475" s="568"/>
      <c r="C475" s="568"/>
      <c r="D475" s="568"/>
      <c r="E475" s="568"/>
      <c r="F475" s="754" t="s">
        <v>188</v>
      </c>
      <c r="G475" s="189"/>
      <c r="H475" s="161" t="s">
        <v>12</v>
      </c>
      <c r="I475" s="269"/>
      <c r="J475" s="269"/>
      <c r="K475" s="496"/>
      <c r="L475" s="496"/>
      <c r="M475" s="496"/>
      <c r="N475" s="817">
        <v>0</v>
      </c>
      <c r="O475" s="496"/>
      <c r="P475" s="496"/>
      <c r="Q475" s="571"/>
      <c r="R475" s="571"/>
      <c r="S475" s="571"/>
      <c r="T475" s="571"/>
      <c r="U475" s="571"/>
      <c r="V475" s="571"/>
      <c r="W475" s="571"/>
      <c r="X475" s="571"/>
      <c r="Y475" s="571"/>
      <c r="Z475" s="571"/>
    </row>
    <row r="476" spans="1:26" ht="18.75" hidden="1">
      <c r="A476" s="567"/>
      <c r="B476" s="568"/>
      <c r="C476" s="568"/>
      <c r="D476" s="568"/>
      <c r="E476" s="568"/>
      <c r="F476" s="754" t="s">
        <v>189</v>
      </c>
      <c r="G476" s="189"/>
      <c r="H476" s="161" t="s">
        <v>12</v>
      </c>
      <c r="I476" s="269"/>
      <c r="J476" s="269"/>
      <c r="K476" s="496"/>
      <c r="L476" s="496"/>
      <c r="M476" s="496"/>
      <c r="N476" s="817">
        <v>0</v>
      </c>
      <c r="O476" s="496"/>
      <c r="P476" s="496"/>
      <c r="Q476" s="571"/>
      <c r="R476" s="571"/>
      <c r="S476" s="571"/>
      <c r="T476" s="571"/>
      <c r="U476" s="571"/>
      <c r="V476" s="571"/>
      <c r="W476" s="571"/>
      <c r="X476" s="571"/>
      <c r="Y476" s="571"/>
      <c r="Z476" s="571"/>
    </row>
    <row r="477" spans="1:26" ht="18.75" hidden="1">
      <c r="A477" s="590"/>
      <c r="B477" s="568"/>
      <c r="C477" s="568"/>
      <c r="D477" s="599" t="s">
        <v>21</v>
      </c>
      <c r="E477" s="568"/>
      <c r="F477" s="568"/>
      <c r="G477" s="189"/>
      <c r="H477" s="168" t="s">
        <v>12</v>
      </c>
      <c r="I477" s="184"/>
      <c r="J477" s="184"/>
      <c r="K477" s="163"/>
      <c r="L477" s="496">
        <f t="shared" ref="L477:N477" ca="1" si="210">L478+L479</f>
        <v>0</v>
      </c>
      <c r="M477" s="496">
        <f t="shared" si="210"/>
        <v>0</v>
      </c>
      <c r="N477" s="496">
        <f t="shared" si="210"/>
        <v>0</v>
      </c>
      <c r="O477" s="496">
        <f t="shared" ref="O477:O479" ca="1" si="211">IF(L477&gt;0,N477*100/L477,0)</f>
        <v>0</v>
      </c>
      <c r="P477" s="496">
        <f t="shared" ref="P477:P479" si="212">IF(M477&gt;0,N477*100/M477,0)</f>
        <v>0</v>
      </c>
      <c r="Q477" s="571"/>
      <c r="R477" s="571"/>
      <c r="S477" s="571"/>
      <c r="T477" s="571"/>
      <c r="U477" s="571"/>
      <c r="V477" s="571"/>
      <c r="W477" s="571"/>
      <c r="X477" s="571"/>
      <c r="Y477" s="571"/>
      <c r="Z477" s="571"/>
    </row>
    <row r="478" spans="1:26" ht="18.75" hidden="1">
      <c r="A478" s="592"/>
      <c r="B478" s="600"/>
      <c r="C478" s="600"/>
      <c r="D478" s="600"/>
      <c r="E478" s="600" t="s">
        <v>18</v>
      </c>
      <c r="F478" s="600"/>
      <c r="G478" s="596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1"/>
        <v>0</v>
      </c>
      <c r="P478" s="93">
        <f t="shared" si="212"/>
        <v>0</v>
      </c>
      <c r="Q478" s="597"/>
      <c r="R478" s="597"/>
      <c r="S478" s="597"/>
      <c r="T478" s="597"/>
      <c r="U478" s="597"/>
      <c r="V478" s="597"/>
      <c r="W478" s="597"/>
      <c r="X478" s="597"/>
      <c r="Y478" s="597"/>
      <c r="Z478" s="597"/>
    </row>
    <row r="479" spans="1:26" ht="18.75" hidden="1">
      <c r="A479" s="592"/>
      <c r="B479" s="600"/>
      <c r="C479" s="600"/>
      <c r="D479" s="600"/>
      <c r="E479" s="600" t="s">
        <v>19</v>
      </c>
      <c r="F479" s="600"/>
      <c r="G479" s="596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IFERROR(__xludf.DUMMYFUNCTION("IMPORTRANGE(""https://docs.google.com/spreadsheets/d/1QqKyyYR6Q21VydFLVH3TRQUabQu_ym0Zz7PgGX0-kHA/edit?usp=sharing"",""แผน!FV71"")"),0)</f>
        <v>0</v>
      </c>
      <c r="M479" s="93">
        <v>0</v>
      </c>
      <c r="N479" s="93">
        <v>0</v>
      </c>
      <c r="O479" s="93">
        <f t="shared" ca="1" si="211"/>
        <v>0</v>
      </c>
      <c r="P479" s="93">
        <f t="shared" si="212"/>
        <v>0</v>
      </c>
      <c r="Q479" s="597"/>
      <c r="R479" s="597"/>
      <c r="S479" s="597"/>
      <c r="T479" s="597"/>
      <c r="U479" s="597"/>
      <c r="V479" s="597"/>
      <c r="W479" s="597"/>
      <c r="X479" s="597"/>
      <c r="Y479" s="597"/>
      <c r="Z479" s="597"/>
    </row>
    <row r="480" spans="1:26" ht="19.5" hidden="1">
      <c r="A480" s="601"/>
      <c r="B480" s="611"/>
      <c r="C480" s="568" t="s">
        <v>16</v>
      </c>
      <c r="D480" s="837" t="s">
        <v>38</v>
      </c>
      <c r="E480" s="604"/>
      <c r="F480" s="752"/>
      <c r="G480" s="606"/>
      <c r="H480" s="753"/>
      <c r="I480" s="269"/>
      <c r="J480" s="269"/>
      <c r="K480" s="496"/>
      <c r="L480" s="496"/>
      <c r="M480" s="496"/>
      <c r="N480" s="496"/>
      <c r="O480" s="496"/>
      <c r="P480" s="496"/>
      <c r="Q480" s="571"/>
      <c r="R480" s="571"/>
      <c r="S480" s="571"/>
      <c r="T480" s="571"/>
      <c r="U480" s="571"/>
      <c r="V480" s="571"/>
      <c r="W480" s="571"/>
      <c r="X480" s="571"/>
      <c r="Y480" s="571"/>
      <c r="Z480" s="571"/>
    </row>
    <row r="481" spans="1:26" ht="19.5" hidden="1">
      <c r="A481" s="601"/>
      <c r="B481" s="611"/>
      <c r="C481" s="611"/>
      <c r="D481" s="618" t="s">
        <v>206</v>
      </c>
      <c r="E481" s="611"/>
      <c r="F481" s="611"/>
      <c r="G481" s="753"/>
      <c r="H481" s="189"/>
      <c r="I481" s="269"/>
      <c r="J481" s="269"/>
      <c r="K481" s="496"/>
      <c r="L481" s="496"/>
      <c r="M481" s="496"/>
      <c r="N481" s="496"/>
      <c r="O481" s="496"/>
      <c r="P481" s="496"/>
      <c r="Q481" s="571"/>
      <c r="R481" s="571"/>
      <c r="S481" s="571"/>
      <c r="T481" s="571"/>
      <c r="U481" s="571"/>
      <c r="V481" s="571"/>
      <c r="W481" s="571"/>
      <c r="X481" s="571"/>
      <c r="Y481" s="571"/>
      <c r="Z481" s="571"/>
    </row>
    <row r="482" spans="1:26" ht="18.75" hidden="1">
      <c r="A482" s="601"/>
      <c r="B482" s="611"/>
      <c r="C482" s="611"/>
      <c r="D482" s="611"/>
      <c r="E482" s="611" t="s">
        <v>207</v>
      </c>
      <c r="F482" s="611"/>
      <c r="G482" s="753"/>
      <c r="H482" s="189"/>
      <c r="I482" s="269"/>
      <c r="J482" s="269"/>
      <c r="K482" s="496"/>
      <c r="L482" s="496"/>
      <c r="M482" s="496"/>
      <c r="N482" s="496"/>
      <c r="O482" s="496"/>
      <c r="P482" s="496"/>
      <c r="Q482" s="571"/>
      <c r="R482" s="571"/>
      <c r="S482" s="571"/>
      <c r="T482" s="571"/>
      <c r="U482" s="571"/>
      <c r="V482" s="571"/>
      <c r="W482" s="571"/>
      <c r="X482" s="571"/>
      <c r="Y482" s="571"/>
      <c r="Z482" s="571"/>
    </row>
    <row r="483" spans="1:26" ht="18.75" hidden="1">
      <c r="A483" s="601"/>
      <c r="B483" s="611"/>
      <c r="C483" s="611"/>
      <c r="D483" s="611"/>
      <c r="E483" s="611"/>
      <c r="F483" s="611" t="s">
        <v>208</v>
      </c>
      <c r="G483" s="753"/>
      <c r="H483" s="616" t="s">
        <v>46</v>
      </c>
      <c r="I483" s="269">
        <f ca="1">IFERROR(__xludf.DUMMYFUNCTION("IMPORTRANGE(""https://docs.google.com/spreadsheets/d/1QqKyyYR6Q21VydFLVH3TRQUabQu_ym0Zz7PgGX0-kHA/edit?usp=sharing"",""แผน!FY71"")"),0)</f>
        <v>0</v>
      </c>
      <c r="J483" s="214">
        <v>0</v>
      </c>
      <c r="K483" s="496">
        <f ca="1">IF(I483&gt;0,J483*100/I483,0)</f>
        <v>0</v>
      </c>
      <c r="L483" s="496"/>
      <c r="M483" s="496"/>
      <c r="N483" s="496"/>
      <c r="O483" s="496"/>
      <c r="P483" s="496"/>
      <c r="Q483" s="571"/>
      <c r="R483" s="571"/>
      <c r="S483" s="571"/>
      <c r="T483" s="571"/>
      <c r="U483" s="571"/>
      <c r="V483" s="571"/>
      <c r="W483" s="571"/>
      <c r="X483" s="571"/>
      <c r="Y483" s="571"/>
      <c r="Z483" s="571"/>
    </row>
    <row r="484" spans="1:26" ht="18.75" hidden="1">
      <c r="A484" s="601"/>
      <c r="B484" s="611"/>
      <c r="C484" s="611"/>
      <c r="D484" s="611"/>
      <c r="E484" s="611"/>
      <c r="F484" s="611" t="s">
        <v>209</v>
      </c>
      <c r="G484" s="753"/>
      <c r="H484" s="616" t="s">
        <v>35</v>
      </c>
      <c r="I484" s="269"/>
      <c r="J484" s="214">
        <v>0</v>
      </c>
      <c r="K484" s="496"/>
      <c r="L484" s="496"/>
      <c r="M484" s="496"/>
      <c r="N484" s="496"/>
      <c r="O484" s="496"/>
      <c r="P484" s="496"/>
      <c r="Q484" s="571"/>
      <c r="R484" s="571"/>
      <c r="S484" s="571"/>
      <c r="T484" s="571"/>
      <c r="U484" s="571"/>
      <c r="V484" s="571"/>
      <c r="W484" s="571"/>
      <c r="X484" s="571"/>
      <c r="Y484" s="571"/>
      <c r="Z484" s="571"/>
    </row>
    <row r="485" spans="1:26" ht="18.75" hidden="1">
      <c r="A485" s="601"/>
      <c r="B485" s="611"/>
      <c r="C485" s="611"/>
      <c r="D485" s="611"/>
      <c r="E485" s="611"/>
      <c r="F485" s="611" t="s">
        <v>210</v>
      </c>
      <c r="G485" s="753"/>
      <c r="H485" s="616" t="s">
        <v>35</v>
      </c>
      <c r="I485" s="269">
        <f ca="1">IFERROR(__xludf.DUMMYFUNCTION("IMPORTRANGE(""https://docs.google.com/spreadsheets/d/1QqKyyYR6Q21VydFLVH3TRQUabQu_ym0Zz7PgGX0-kHA/edit?usp=sharing"",""แผน!FZ71"")"),0)</f>
        <v>0</v>
      </c>
      <c r="J485" s="214">
        <v>0</v>
      </c>
      <c r="K485" s="496">
        <f ca="1">IF(I485&gt;0,J485*100/I485,0)</f>
        <v>0</v>
      </c>
      <c r="L485" s="496"/>
      <c r="M485" s="496"/>
      <c r="N485" s="496"/>
      <c r="O485" s="496"/>
      <c r="P485" s="496"/>
      <c r="Q485" s="571"/>
      <c r="R485" s="571"/>
      <c r="S485" s="571"/>
      <c r="T485" s="571"/>
      <c r="U485" s="571"/>
      <c r="V485" s="571"/>
      <c r="W485" s="571"/>
      <c r="X485" s="571"/>
      <c r="Y485" s="571"/>
      <c r="Z485" s="571"/>
    </row>
    <row r="486" spans="1:26" ht="18.75" hidden="1">
      <c r="A486" s="601"/>
      <c r="B486" s="611"/>
      <c r="C486" s="611"/>
      <c r="D486" s="611"/>
      <c r="E486" s="611" t="s">
        <v>62</v>
      </c>
      <c r="F486" s="611"/>
      <c r="G486" s="753"/>
      <c r="H486" s="616"/>
      <c r="I486" s="269"/>
      <c r="J486" s="269"/>
      <c r="K486" s="496"/>
      <c r="L486" s="496"/>
      <c r="M486" s="496"/>
      <c r="N486" s="496"/>
      <c r="O486" s="496"/>
      <c r="P486" s="496"/>
      <c r="Q486" s="571"/>
      <c r="R486" s="571"/>
      <c r="S486" s="571"/>
      <c r="T486" s="571"/>
      <c r="U486" s="571"/>
      <c r="V486" s="571"/>
      <c r="W486" s="571"/>
      <c r="X486" s="571"/>
      <c r="Y486" s="571"/>
      <c r="Z486" s="571"/>
    </row>
    <row r="487" spans="1:26" ht="18.75" hidden="1">
      <c r="A487" s="601"/>
      <c r="B487" s="611"/>
      <c r="C487" s="611"/>
      <c r="D487" s="611"/>
      <c r="E487" s="611"/>
      <c r="F487" s="611" t="s">
        <v>208</v>
      </c>
      <c r="G487" s="753"/>
      <c r="H487" s="616" t="s">
        <v>46</v>
      </c>
      <c r="I487" s="269">
        <f ca="1">IFERROR(__xludf.DUMMYFUNCTION("IMPORTRANGE(""https://docs.google.com/spreadsheets/d/1QqKyyYR6Q21VydFLVH3TRQUabQu_ym0Zz7PgGX0-kHA/edit?usp=sharing"",""แผน!GA71"")"),0)</f>
        <v>0</v>
      </c>
      <c r="J487" s="214">
        <v>0</v>
      </c>
      <c r="K487" s="496">
        <f ca="1">IF(I487&gt;0,J487*100/I487,0)</f>
        <v>0</v>
      </c>
      <c r="L487" s="496"/>
      <c r="M487" s="496"/>
      <c r="N487" s="496"/>
      <c r="O487" s="496"/>
      <c r="P487" s="496"/>
      <c r="Q487" s="571"/>
      <c r="R487" s="571"/>
      <c r="S487" s="571"/>
      <c r="T487" s="571"/>
      <c r="U487" s="571"/>
      <c r="V487" s="571"/>
      <c r="W487" s="571"/>
      <c r="X487" s="571"/>
      <c r="Y487" s="571"/>
      <c r="Z487" s="571"/>
    </row>
    <row r="488" spans="1:26" ht="18.75" hidden="1">
      <c r="A488" s="601"/>
      <c r="B488" s="611"/>
      <c r="C488" s="611"/>
      <c r="D488" s="611"/>
      <c r="E488" s="611"/>
      <c r="F488" s="611" t="s">
        <v>211</v>
      </c>
      <c r="G488" s="753"/>
      <c r="H488" s="616" t="s">
        <v>35</v>
      </c>
      <c r="I488" s="269"/>
      <c r="J488" s="214">
        <v>0</v>
      </c>
      <c r="K488" s="496"/>
      <c r="L488" s="496"/>
      <c r="M488" s="496"/>
      <c r="N488" s="496"/>
      <c r="O488" s="496"/>
      <c r="P488" s="496"/>
      <c r="Q488" s="571"/>
      <c r="R488" s="571"/>
      <c r="S488" s="571"/>
      <c r="T488" s="571"/>
      <c r="U488" s="571"/>
      <c r="V488" s="571"/>
      <c r="W488" s="571"/>
      <c r="X488" s="571"/>
      <c r="Y488" s="571"/>
      <c r="Z488" s="571"/>
    </row>
    <row r="489" spans="1:26" ht="18.75" hidden="1">
      <c r="A489" s="601"/>
      <c r="B489" s="611"/>
      <c r="C489" s="611"/>
      <c r="D489" s="611"/>
      <c r="E489" s="611"/>
      <c r="F489" s="611" t="s">
        <v>212</v>
      </c>
      <c r="G489" s="753"/>
      <c r="H489" s="616" t="s">
        <v>35</v>
      </c>
      <c r="I489" s="269">
        <f ca="1">IFERROR(__xludf.DUMMYFUNCTION("IMPORTRANGE(""https://docs.google.com/spreadsheets/d/1QqKyyYR6Q21VydFLVH3TRQUabQu_ym0Zz7PgGX0-kHA/edit?usp=sharing"",""แผน!GB71"")"),0)</f>
        <v>0</v>
      </c>
      <c r="J489" s="214">
        <v>0</v>
      </c>
      <c r="K489" s="496">
        <f ca="1">IF(I489&gt;0,J489*100/I489,0)</f>
        <v>0</v>
      </c>
      <c r="L489" s="496"/>
      <c r="M489" s="496"/>
      <c r="N489" s="496"/>
      <c r="O489" s="496"/>
      <c r="P489" s="496"/>
      <c r="Q489" s="571"/>
      <c r="R489" s="571"/>
      <c r="S489" s="571"/>
      <c r="T489" s="571"/>
      <c r="U489" s="571"/>
      <c r="V489" s="571"/>
      <c r="W489" s="571"/>
      <c r="X489" s="571"/>
      <c r="Y489" s="571"/>
      <c r="Z489" s="571"/>
    </row>
    <row r="490" spans="1:26" ht="18.75" hidden="1">
      <c r="A490" s="601"/>
      <c r="B490" s="611"/>
      <c r="C490" s="611"/>
      <c r="D490" s="611"/>
      <c r="E490" s="611" t="s">
        <v>63</v>
      </c>
      <c r="F490" s="619"/>
      <c r="G490" s="753"/>
      <c r="H490" s="616"/>
      <c r="I490" s="269"/>
      <c r="J490" s="269"/>
      <c r="K490" s="496"/>
      <c r="L490" s="496"/>
      <c r="M490" s="496"/>
      <c r="N490" s="496"/>
      <c r="O490" s="496"/>
      <c r="P490" s="496"/>
      <c r="Q490" s="571"/>
      <c r="R490" s="571"/>
      <c r="S490" s="571"/>
      <c r="T490" s="571"/>
      <c r="U490" s="571"/>
      <c r="V490" s="571"/>
      <c r="W490" s="571"/>
      <c r="X490" s="571"/>
      <c r="Y490" s="571"/>
      <c r="Z490" s="571"/>
    </row>
    <row r="491" spans="1:26" ht="18.75" hidden="1">
      <c r="A491" s="601"/>
      <c r="B491" s="611"/>
      <c r="C491" s="611"/>
      <c r="D491" s="611"/>
      <c r="E491" s="611"/>
      <c r="F491" s="611" t="s">
        <v>213</v>
      </c>
      <c r="G491" s="753"/>
      <c r="H491" s="616" t="s">
        <v>35</v>
      </c>
      <c r="I491" s="269"/>
      <c r="J491" s="214">
        <v>0</v>
      </c>
      <c r="K491" s="496"/>
      <c r="L491" s="496"/>
      <c r="M491" s="496"/>
      <c r="N491" s="496"/>
      <c r="O491" s="496"/>
      <c r="P491" s="496"/>
      <c r="Q491" s="571"/>
      <c r="R491" s="571"/>
      <c r="S491" s="571"/>
      <c r="T491" s="571"/>
      <c r="U491" s="571"/>
      <c r="V491" s="571"/>
      <c r="W491" s="571"/>
      <c r="X491" s="571"/>
      <c r="Y491" s="571"/>
      <c r="Z491" s="571"/>
    </row>
    <row r="492" spans="1:26" ht="18.75" hidden="1">
      <c r="A492" s="601"/>
      <c r="B492" s="611"/>
      <c r="C492" s="611"/>
      <c r="D492" s="611"/>
      <c r="E492" s="611"/>
      <c r="F492" s="611" t="s">
        <v>214</v>
      </c>
      <c r="G492" s="753"/>
      <c r="H492" s="616" t="s">
        <v>35</v>
      </c>
      <c r="I492" s="269">
        <f ca="1">IFERROR(__xludf.DUMMYFUNCTION("IMPORTRANGE(""https://docs.google.com/spreadsheets/d/1QqKyyYR6Q21VydFLVH3TRQUabQu_ym0Zz7PgGX0-kHA/edit?usp=sharing"",""แผน!GC71"")"),0)</f>
        <v>0</v>
      </c>
      <c r="J492" s="214">
        <v>0</v>
      </c>
      <c r="K492" s="496">
        <f ca="1">IF(I492&gt;0,J492*100/I492,0)</f>
        <v>0</v>
      </c>
      <c r="L492" s="496"/>
      <c r="M492" s="496"/>
      <c r="N492" s="496"/>
      <c r="O492" s="496"/>
      <c r="P492" s="496"/>
      <c r="Q492" s="571"/>
      <c r="R492" s="571"/>
      <c r="S492" s="571"/>
      <c r="T492" s="571"/>
      <c r="U492" s="571"/>
      <c r="V492" s="571"/>
      <c r="W492" s="571"/>
      <c r="X492" s="571"/>
      <c r="Y492" s="571"/>
      <c r="Z492" s="571"/>
    </row>
    <row r="493" spans="1:26" ht="19.5" hidden="1">
      <c r="A493" s="601"/>
      <c r="B493" s="611"/>
      <c r="C493" s="611"/>
      <c r="D493" s="618" t="s">
        <v>59</v>
      </c>
      <c r="E493" s="611"/>
      <c r="F493" s="619"/>
      <c r="G493" s="753"/>
      <c r="H493" s="189"/>
      <c r="I493" s="269"/>
      <c r="J493" s="269"/>
      <c r="K493" s="496"/>
      <c r="L493" s="496"/>
      <c r="M493" s="496"/>
      <c r="N493" s="496"/>
      <c r="O493" s="496"/>
      <c r="P493" s="496"/>
      <c r="Q493" s="571"/>
      <c r="R493" s="571"/>
      <c r="S493" s="571"/>
      <c r="T493" s="571"/>
      <c r="U493" s="571"/>
      <c r="V493" s="571"/>
      <c r="W493" s="571"/>
      <c r="X493" s="571"/>
      <c r="Y493" s="571"/>
      <c r="Z493" s="571"/>
    </row>
    <row r="494" spans="1:26" ht="18.75" hidden="1">
      <c r="A494" s="601"/>
      <c r="B494" s="611"/>
      <c r="C494" s="611"/>
      <c r="D494" s="611"/>
      <c r="E494" s="611" t="s">
        <v>207</v>
      </c>
      <c r="F494" s="619"/>
      <c r="G494" s="753"/>
      <c r="H494" s="189"/>
      <c r="I494" s="269"/>
      <c r="J494" s="269"/>
      <c r="K494" s="496"/>
      <c r="L494" s="496"/>
      <c r="M494" s="496"/>
      <c r="N494" s="496"/>
      <c r="O494" s="496"/>
      <c r="P494" s="496"/>
      <c r="Q494" s="571"/>
      <c r="R494" s="571"/>
      <c r="S494" s="571"/>
      <c r="T494" s="571"/>
      <c r="U494" s="571"/>
      <c r="V494" s="571"/>
      <c r="W494" s="571"/>
      <c r="X494" s="571"/>
      <c r="Y494" s="571"/>
      <c r="Z494" s="571"/>
    </row>
    <row r="495" spans="1:26" ht="18.75" hidden="1">
      <c r="A495" s="601"/>
      <c r="B495" s="611"/>
      <c r="C495" s="611"/>
      <c r="D495" s="611"/>
      <c r="E495" s="611"/>
      <c r="F495" s="619" t="s">
        <v>215</v>
      </c>
      <c r="G495" s="753"/>
      <c r="H495" s="616" t="s">
        <v>46</v>
      </c>
      <c r="I495" s="269">
        <f ca="1">IFERROR(__xludf.DUMMYFUNCTION("IMPORTRANGE(""https://docs.google.com/spreadsheets/d/1QqKyyYR6Q21VydFLVH3TRQUabQu_ym0Zz7PgGX0-kHA/edit?usp=sharing"",""แผน!FY71"")"),0)</f>
        <v>0</v>
      </c>
      <c r="J495" s="214">
        <v>0</v>
      </c>
      <c r="K495" s="496">
        <f ca="1">IF(I495&gt;0,J495*100/I495,0)</f>
        <v>0</v>
      </c>
      <c r="L495" s="496"/>
      <c r="M495" s="496"/>
      <c r="N495" s="496"/>
      <c r="O495" s="496"/>
      <c r="P495" s="496"/>
      <c r="Q495" s="571"/>
      <c r="R495" s="571"/>
      <c r="S495" s="571"/>
      <c r="T495" s="571"/>
      <c r="U495" s="571"/>
      <c r="V495" s="571"/>
      <c r="W495" s="571"/>
      <c r="X495" s="571"/>
      <c r="Y495" s="571"/>
      <c r="Z495" s="571"/>
    </row>
    <row r="496" spans="1:26" ht="18.75" hidden="1">
      <c r="A496" s="601"/>
      <c r="B496" s="611"/>
      <c r="C496" s="611"/>
      <c r="D496" s="611"/>
      <c r="E496" s="611"/>
      <c r="F496" s="619" t="s">
        <v>216</v>
      </c>
      <c r="G496" s="753"/>
      <c r="H496" s="616" t="s">
        <v>46</v>
      </c>
      <c r="I496" s="269"/>
      <c r="J496" s="214">
        <v>0</v>
      </c>
      <c r="K496" s="496"/>
      <c r="L496" s="496"/>
      <c r="M496" s="496"/>
      <c r="N496" s="496"/>
      <c r="O496" s="496"/>
      <c r="P496" s="496"/>
      <c r="Q496" s="571"/>
      <c r="R496" s="571"/>
      <c r="S496" s="571"/>
      <c r="T496" s="571"/>
      <c r="U496" s="571"/>
      <c r="V496" s="571"/>
      <c r="W496" s="571"/>
      <c r="X496" s="571"/>
      <c r="Y496" s="571"/>
      <c r="Z496" s="571"/>
    </row>
    <row r="497" spans="1:26" ht="18.75" hidden="1">
      <c r="A497" s="601"/>
      <c r="B497" s="611"/>
      <c r="C497" s="611"/>
      <c r="D497" s="611"/>
      <c r="E497" s="611" t="s">
        <v>62</v>
      </c>
      <c r="F497" s="619"/>
      <c r="G497" s="753"/>
      <c r="H497" s="189"/>
      <c r="I497" s="269"/>
      <c r="J497" s="269"/>
      <c r="K497" s="496"/>
      <c r="L497" s="496"/>
      <c r="M497" s="496"/>
      <c r="N497" s="496"/>
      <c r="O497" s="496"/>
      <c r="P497" s="496"/>
      <c r="Q497" s="571"/>
      <c r="R497" s="571"/>
      <c r="S497" s="571"/>
      <c r="T497" s="571"/>
      <c r="U497" s="571"/>
      <c r="V497" s="571"/>
      <c r="W497" s="571"/>
      <c r="X497" s="571"/>
      <c r="Y497" s="571"/>
      <c r="Z497" s="571"/>
    </row>
    <row r="498" spans="1:26" ht="18.75" hidden="1">
      <c r="A498" s="601"/>
      <c r="B498" s="611"/>
      <c r="C498" s="611"/>
      <c r="D498" s="611"/>
      <c r="E498" s="619"/>
      <c r="F498" s="619" t="s">
        <v>217</v>
      </c>
      <c r="G498" s="753"/>
      <c r="H498" s="616" t="s">
        <v>46</v>
      </c>
      <c r="I498" s="269">
        <f ca="1">IFERROR(__xludf.DUMMYFUNCTION("IMPORTRANGE(""https://docs.google.com/spreadsheets/d/1QqKyyYR6Q21VydFLVH3TRQUabQu_ym0Zz7PgGX0-kHA/edit?usp=sharing"",""แผน!GA71"")"),0)</f>
        <v>0</v>
      </c>
      <c r="J498" s="214">
        <v>0</v>
      </c>
      <c r="K498" s="496">
        <f ca="1">IF(I498&gt;0,J498*100/I498,0)</f>
        <v>0</v>
      </c>
      <c r="L498" s="496"/>
      <c r="M498" s="496"/>
      <c r="N498" s="496"/>
      <c r="O498" s="496"/>
      <c r="P498" s="496"/>
      <c r="Q498" s="571"/>
      <c r="R498" s="571"/>
      <c r="S498" s="571"/>
      <c r="T498" s="571"/>
      <c r="U498" s="571"/>
      <c r="V498" s="571"/>
      <c r="W498" s="571"/>
      <c r="X498" s="571"/>
      <c r="Y498" s="571"/>
      <c r="Z498" s="571"/>
    </row>
    <row r="499" spans="1:26" ht="18.75" hidden="1">
      <c r="A499" s="601"/>
      <c r="B499" s="611"/>
      <c r="C499" s="611"/>
      <c r="D499" s="611"/>
      <c r="E499" s="619"/>
      <c r="F499" s="619" t="s">
        <v>218</v>
      </c>
      <c r="G499" s="753"/>
      <c r="H499" s="616" t="s">
        <v>46</v>
      </c>
      <c r="I499" s="269"/>
      <c r="J499" s="214">
        <v>0</v>
      </c>
      <c r="K499" s="496"/>
      <c r="L499" s="496"/>
      <c r="M499" s="496"/>
      <c r="N499" s="496"/>
      <c r="O499" s="496"/>
      <c r="P499" s="496"/>
      <c r="Q499" s="571"/>
      <c r="R499" s="571"/>
      <c r="S499" s="571"/>
      <c r="T499" s="571"/>
      <c r="U499" s="571"/>
      <c r="V499" s="571"/>
      <c r="W499" s="571"/>
      <c r="X499" s="571"/>
      <c r="Y499" s="571"/>
      <c r="Z499" s="571"/>
    </row>
    <row r="500" spans="1:26" ht="19.5" hidden="1">
      <c r="A500" s="620">
        <v>4</v>
      </c>
      <c r="B500" s="621" t="s">
        <v>219</v>
      </c>
      <c r="C500" s="622"/>
      <c r="D500" s="623"/>
      <c r="E500" s="623"/>
      <c r="F500" s="623"/>
      <c r="G500" s="624"/>
      <c r="H500" s="625" t="s">
        <v>109</v>
      </c>
      <c r="I500" s="626"/>
      <c r="J500" s="626">
        <f t="shared" ref="J500:J501" si="213">J516</f>
        <v>0</v>
      </c>
      <c r="K500" s="627">
        <f t="shared" ref="K500:K501" si="214">IF(I500&gt;0,J500*100/I500,0)</f>
        <v>0</v>
      </c>
      <c r="L500" s="628"/>
      <c r="M500" s="628"/>
      <c r="N500" s="628"/>
      <c r="O500" s="628"/>
      <c r="P500" s="628"/>
      <c r="Q500" s="597"/>
      <c r="R500" s="597"/>
      <c r="S500" s="597"/>
      <c r="T500" s="597"/>
      <c r="U500" s="597"/>
      <c r="V500" s="597"/>
      <c r="W500" s="597"/>
      <c r="X500" s="597"/>
      <c r="Y500" s="597"/>
      <c r="Z500" s="597"/>
    </row>
    <row r="501" spans="1:26" ht="19.5" hidden="1">
      <c r="A501" s="629"/>
      <c r="B501" s="631" t="s">
        <v>220</v>
      </c>
      <c r="C501" s="631"/>
      <c r="D501" s="632"/>
      <c r="E501" s="632"/>
      <c r="F501" s="632"/>
      <c r="G501" s="633"/>
      <c r="H501" s="634" t="s">
        <v>35</v>
      </c>
      <c r="I501" s="635"/>
      <c r="J501" s="635">
        <f t="shared" si="213"/>
        <v>0</v>
      </c>
      <c r="K501" s="636">
        <f t="shared" si="214"/>
        <v>0</v>
      </c>
      <c r="L501" s="637"/>
      <c r="M501" s="637"/>
      <c r="N501" s="637"/>
      <c r="O501" s="637"/>
      <c r="P501" s="637"/>
      <c r="Q501" s="597"/>
      <c r="R501" s="597"/>
      <c r="S501" s="597"/>
      <c r="T501" s="597"/>
      <c r="U501" s="597"/>
      <c r="V501" s="597"/>
      <c r="W501" s="597"/>
      <c r="X501" s="597"/>
      <c r="Y501" s="597"/>
      <c r="Z501" s="597"/>
    </row>
    <row r="502" spans="1:26" ht="19.5" hidden="1">
      <c r="A502" s="592"/>
      <c r="B502" s="750"/>
      <c r="C502" s="750" t="s">
        <v>16</v>
      </c>
      <c r="D502" s="864" t="s">
        <v>17</v>
      </c>
      <c r="E502" s="857"/>
      <c r="F502" s="857"/>
      <c r="G502" s="596"/>
      <c r="H502" s="639" t="s">
        <v>12</v>
      </c>
      <c r="I502" s="610"/>
      <c r="J502" s="610"/>
      <c r="K502" s="93"/>
      <c r="L502" s="640">
        <f t="shared" ref="L502:N502" si="215">L503+L504</f>
        <v>0</v>
      </c>
      <c r="M502" s="640">
        <f t="shared" si="215"/>
        <v>0</v>
      </c>
      <c r="N502" s="640">
        <f t="shared" si="215"/>
        <v>0</v>
      </c>
      <c r="O502" s="640">
        <f t="shared" ref="O502:O507" si="216">IF(L502&gt;0,N502*100/L502,0)</f>
        <v>0</v>
      </c>
      <c r="P502" s="640">
        <f t="shared" ref="P502:P507" si="217">IF(M502&gt;0,N502*100/M502,0)</f>
        <v>0</v>
      </c>
      <c r="Q502" s="597"/>
      <c r="R502" s="597"/>
      <c r="S502" s="597"/>
      <c r="T502" s="597"/>
      <c r="U502" s="597"/>
      <c r="V502" s="597"/>
      <c r="W502" s="597"/>
      <c r="X502" s="597"/>
      <c r="Y502" s="597"/>
      <c r="Z502" s="597"/>
    </row>
    <row r="503" spans="1:26" ht="18.75" hidden="1">
      <c r="A503" s="592"/>
      <c r="B503" s="750"/>
      <c r="C503" s="750"/>
      <c r="D503" s="711"/>
      <c r="E503" s="750" t="s">
        <v>184</v>
      </c>
      <c r="F503" s="750"/>
      <c r="G503" s="596"/>
      <c r="H503" s="165" t="s">
        <v>12</v>
      </c>
      <c r="I503" s="610"/>
      <c r="J503" s="610"/>
      <c r="K503" s="93"/>
      <c r="L503" s="93">
        <f t="shared" ref="L503:N504" si="218">L506+L513</f>
        <v>0</v>
      </c>
      <c r="M503" s="93">
        <f t="shared" si="218"/>
        <v>0</v>
      </c>
      <c r="N503" s="93">
        <f t="shared" si="218"/>
        <v>0</v>
      </c>
      <c r="O503" s="93">
        <f t="shared" si="216"/>
        <v>0</v>
      </c>
      <c r="P503" s="93">
        <f t="shared" si="217"/>
        <v>0</v>
      </c>
      <c r="Q503" s="597"/>
      <c r="R503" s="597"/>
      <c r="S503" s="597"/>
      <c r="T503" s="597"/>
      <c r="U503" s="597"/>
      <c r="V503" s="597"/>
      <c r="W503" s="597"/>
      <c r="X503" s="597"/>
      <c r="Y503" s="597"/>
      <c r="Z503" s="597"/>
    </row>
    <row r="504" spans="1:26" ht="18.75" hidden="1">
      <c r="A504" s="592"/>
      <c r="B504" s="600"/>
      <c r="C504" s="750"/>
      <c r="D504" s="711"/>
      <c r="E504" s="750" t="s">
        <v>185</v>
      </c>
      <c r="F504" s="750"/>
      <c r="G504" s="596"/>
      <c r="H504" s="165" t="s">
        <v>12</v>
      </c>
      <c r="I504" s="610"/>
      <c r="J504" s="610"/>
      <c r="K504" s="93"/>
      <c r="L504" s="93">
        <f t="shared" si="218"/>
        <v>0</v>
      </c>
      <c r="M504" s="93">
        <f t="shared" si="218"/>
        <v>0</v>
      </c>
      <c r="N504" s="93">
        <f t="shared" si="218"/>
        <v>0</v>
      </c>
      <c r="O504" s="93">
        <f t="shared" si="216"/>
        <v>0</v>
      </c>
      <c r="P504" s="93">
        <f t="shared" si="217"/>
        <v>0</v>
      </c>
      <c r="Q504" s="597"/>
      <c r="R504" s="597"/>
      <c r="S504" s="597"/>
      <c r="T504" s="597"/>
      <c r="U504" s="597"/>
      <c r="V504" s="597"/>
      <c r="W504" s="597"/>
      <c r="X504" s="597"/>
      <c r="Y504" s="597"/>
      <c r="Z504" s="597"/>
    </row>
    <row r="505" spans="1:26" ht="18.75" hidden="1">
      <c r="A505" s="592"/>
      <c r="B505" s="600"/>
      <c r="C505" s="750"/>
      <c r="D505" s="641" t="s">
        <v>20</v>
      </c>
      <c r="E505" s="750"/>
      <c r="F505" s="750"/>
      <c r="G505" s="596"/>
      <c r="H505" s="165" t="s">
        <v>12</v>
      </c>
      <c r="I505" s="166"/>
      <c r="J505" s="166"/>
      <c r="K505" s="167"/>
      <c r="L505" s="93">
        <f t="shared" ref="L505:N505" si="219">L506+L507</f>
        <v>0</v>
      </c>
      <c r="M505" s="93">
        <f t="shared" si="219"/>
        <v>0</v>
      </c>
      <c r="N505" s="93">
        <f t="shared" si="219"/>
        <v>0</v>
      </c>
      <c r="O505" s="93">
        <f t="shared" si="216"/>
        <v>0</v>
      </c>
      <c r="P505" s="93">
        <f t="shared" si="217"/>
        <v>0</v>
      </c>
      <c r="Q505" s="597"/>
      <c r="R505" s="597"/>
      <c r="S505" s="597"/>
      <c r="T505" s="597"/>
      <c r="U505" s="597"/>
      <c r="V505" s="597"/>
      <c r="W505" s="597"/>
      <c r="X505" s="597"/>
      <c r="Y505" s="597"/>
      <c r="Z505" s="597"/>
    </row>
    <row r="506" spans="1:26" ht="18.75" hidden="1">
      <c r="A506" s="592"/>
      <c r="B506" s="600"/>
      <c r="C506" s="750"/>
      <c r="D506" s="711"/>
      <c r="E506" s="750" t="s">
        <v>184</v>
      </c>
      <c r="F506" s="750"/>
      <c r="G506" s="596"/>
      <c r="H506" s="165" t="s">
        <v>12</v>
      </c>
      <c r="I506" s="610"/>
      <c r="J506" s="610"/>
      <c r="K506" s="93"/>
      <c r="L506" s="93">
        <v>0</v>
      </c>
      <c r="M506" s="93">
        <v>0</v>
      </c>
      <c r="N506" s="93">
        <v>0</v>
      </c>
      <c r="O506" s="93">
        <f t="shared" si="216"/>
        <v>0</v>
      </c>
      <c r="P506" s="93">
        <f t="shared" si="217"/>
        <v>0</v>
      </c>
      <c r="Q506" s="597"/>
      <c r="R506" s="597"/>
      <c r="S506" s="597"/>
      <c r="T506" s="597"/>
      <c r="U506" s="597"/>
      <c r="V506" s="597"/>
      <c r="W506" s="597"/>
      <c r="X506" s="597"/>
      <c r="Y506" s="597"/>
      <c r="Z506" s="597"/>
    </row>
    <row r="507" spans="1:26" ht="18.75" hidden="1">
      <c r="A507" s="592"/>
      <c r="B507" s="600"/>
      <c r="C507" s="750"/>
      <c r="D507" s="711"/>
      <c r="E507" s="750" t="s">
        <v>185</v>
      </c>
      <c r="F507" s="750"/>
      <c r="G507" s="596"/>
      <c r="H507" s="165" t="s">
        <v>12</v>
      </c>
      <c r="I507" s="610"/>
      <c r="J507" s="610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6"/>
        <v>0</v>
      </c>
      <c r="P507" s="93">
        <f t="shared" si="217"/>
        <v>0</v>
      </c>
      <c r="Q507" s="597"/>
      <c r="R507" s="597"/>
      <c r="S507" s="597"/>
      <c r="T507" s="597"/>
      <c r="U507" s="597"/>
      <c r="V507" s="597"/>
      <c r="W507" s="597"/>
      <c r="X507" s="597"/>
      <c r="Y507" s="597"/>
      <c r="Z507" s="597"/>
    </row>
    <row r="508" spans="1:26" ht="18.75" hidden="1">
      <c r="A508" s="642"/>
      <c r="B508" s="600"/>
      <c r="C508" s="750"/>
      <c r="D508" s="750"/>
      <c r="E508" s="750"/>
      <c r="F508" s="750" t="s">
        <v>186</v>
      </c>
      <c r="G508" s="596"/>
      <c r="H508" s="165" t="s">
        <v>12</v>
      </c>
      <c r="I508" s="610"/>
      <c r="J508" s="610"/>
      <c r="K508" s="93"/>
      <c r="L508" s="93"/>
      <c r="M508" s="93"/>
      <c r="N508" s="93">
        <v>0</v>
      </c>
      <c r="O508" s="93"/>
      <c r="P508" s="93"/>
      <c r="Q508" s="597"/>
      <c r="R508" s="597"/>
      <c r="S508" s="597"/>
      <c r="T508" s="597"/>
      <c r="U508" s="597"/>
      <c r="V508" s="597"/>
      <c r="W508" s="597"/>
      <c r="X508" s="597"/>
      <c r="Y508" s="597"/>
      <c r="Z508" s="597"/>
    </row>
    <row r="509" spans="1:26" ht="18.75" hidden="1">
      <c r="A509" s="642"/>
      <c r="B509" s="600"/>
      <c r="C509" s="750"/>
      <c r="D509" s="750"/>
      <c r="E509" s="750"/>
      <c r="F509" s="750" t="s">
        <v>187</v>
      </c>
      <c r="G509" s="596"/>
      <c r="H509" s="165" t="s">
        <v>12</v>
      </c>
      <c r="I509" s="610"/>
      <c r="J509" s="610"/>
      <c r="K509" s="93"/>
      <c r="L509" s="93"/>
      <c r="M509" s="93"/>
      <c r="N509" s="93">
        <v>0</v>
      </c>
      <c r="O509" s="93"/>
      <c r="P509" s="93"/>
      <c r="Q509" s="597"/>
      <c r="R509" s="597"/>
      <c r="S509" s="597"/>
      <c r="T509" s="597"/>
      <c r="U509" s="597"/>
      <c r="V509" s="597"/>
      <c r="W509" s="597"/>
      <c r="X509" s="597"/>
      <c r="Y509" s="597"/>
      <c r="Z509" s="597"/>
    </row>
    <row r="510" spans="1:26" ht="18.75" hidden="1">
      <c r="A510" s="642"/>
      <c r="B510" s="600"/>
      <c r="C510" s="600"/>
      <c r="D510" s="600"/>
      <c r="E510" s="750"/>
      <c r="F510" s="750" t="s">
        <v>188</v>
      </c>
      <c r="G510" s="596"/>
      <c r="H510" s="165" t="s">
        <v>12</v>
      </c>
      <c r="I510" s="610"/>
      <c r="J510" s="610"/>
      <c r="K510" s="93"/>
      <c r="L510" s="93"/>
      <c r="M510" s="93"/>
      <c r="N510" s="93">
        <v>0</v>
      </c>
      <c r="O510" s="93"/>
      <c r="P510" s="93"/>
      <c r="Q510" s="597"/>
      <c r="R510" s="597"/>
      <c r="S510" s="597"/>
      <c r="T510" s="597"/>
      <c r="U510" s="597"/>
      <c r="V510" s="597"/>
      <c r="W510" s="597"/>
      <c r="X510" s="597"/>
      <c r="Y510" s="597"/>
      <c r="Z510" s="597"/>
    </row>
    <row r="511" spans="1:26" ht="18.75" hidden="1">
      <c r="A511" s="642"/>
      <c r="B511" s="600"/>
      <c r="C511" s="600"/>
      <c r="D511" s="600"/>
      <c r="E511" s="750"/>
      <c r="F511" s="750" t="s">
        <v>189</v>
      </c>
      <c r="G511" s="596"/>
      <c r="H511" s="165" t="s">
        <v>12</v>
      </c>
      <c r="I511" s="610"/>
      <c r="J511" s="610"/>
      <c r="K511" s="93"/>
      <c r="L511" s="93"/>
      <c r="M511" s="93"/>
      <c r="N511" s="93">
        <v>0</v>
      </c>
      <c r="O511" s="93"/>
      <c r="P511" s="93"/>
      <c r="Q511" s="597"/>
      <c r="R511" s="597"/>
      <c r="S511" s="597"/>
      <c r="T511" s="597"/>
      <c r="U511" s="597"/>
      <c r="V511" s="597"/>
      <c r="W511" s="597"/>
      <c r="X511" s="597"/>
      <c r="Y511" s="597"/>
      <c r="Z511" s="597"/>
    </row>
    <row r="512" spans="1:26" ht="18.75" hidden="1">
      <c r="A512" s="592"/>
      <c r="B512" s="600"/>
      <c r="C512" s="600"/>
      <c r="D512" s="641" t="s">
        <v>21</v>
      </c>
      <c r="E512" s="600"/>
      <c r="F512" s="750"/>
      <c r="G512" s="596"/>
      <c r="H512" s="169" t="s">
        <v>12</v>
      </c>
      <c r="I512" s="166"/>
      <c r="J512" s="166"/>
      <c r="K512" s="167"/>
      <c r="L512" s="93">
        <f t="shared" ref="L512:N512" si="220">L513+L514</f>
        <v>0</v>
      </c>
      <c r="M512" s="93">
        <f t="shared" si="220"/>
        <v>0</v>
      </c>
      <c r="N512" s="93">
        <f t="shared" si="220"/>
        <v>0</v>
      </c>
      <c r="O512" s="93">
        <f t="shared" ref="O512:O514" si="221">IF(L512&gt;0,N512*100/L512,0)</f>
        <v>0</v>
      </c>
      <c r="P512" s="93">
        <f t="shared" ref="P512:P514" si="222">IF(M512&gt;0,N512*100/M512,0)</f>
        <v>0</v>
      </c>
      <c r="Q512" s="597"/>
      <c r="R512" s="597"/>
      <c r="S512" s="597"/>
      <c r="T512" s="597"/>
      <c r="U512" s="597"/>
      <c r="V512" s="597"/>
      <c r="W512" s="597"/>
      <c r="X512" s="597"/>
      <c r="Y512" s="597"/>
      <c r="Z512" s="597"/>
    </row>
    <row r="513" spans="1:26" ht="18.75" hidden="1">
      <c r="A513" s="592"/>
      <c r="B513" s="600"/>
      <c r="C513" s="600"/>
      <c r="D513" s="600"/>
      <c r="E513" s="600" t="s">
        <v>18</v>
      </c>
      <c r="F513" s="750"/>
      <c r="G513" s="596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1"/>
        <v>0</v>
      </c>
      <c r="P513" s="93">
        <f t="shared" si="222"/>
        <v>0</v>
      </c>
      <c r="Q513" s="597"/>
      <c r="R513" s="597"/>
      <c r="S513" s="597"/>
      <c r="T513" s="597"/>
      <c r="U513" s="597"/>
      <c r="V513" s="597"/>
      <c r="W513" s="597"/>
      <c r="X513" s="597"/>
      <c r="Y513" s="597"/>
      <c r="Z513" s="597"/>
    </row>
    <row r="514" spans="1:26" ht="18.75" hidden="1">
      <c r="A514" s="592"/>
      <c r="B514" s="600"/>
      <c r="C514" s="600"/>
      <c r="D514" s="750"/>
      <c r="E514" s="600" t="s">
        <v>19</v>
      </c>
      <c r="F514" s="750"/>
      <c r="G514" s="596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1"/>
        <v>0</v>
      </c>
      <c r="P514" s="93">
        <f t="shared" si="222"/>
        <v>0</v>
      </c>
      <c r="Q514" s="597"/>
      <c r="R514" s="597"/>
      <c r="S514" s="597"/>
      <c r="T514" s="597"/>
      <c r="U514" s="597"/>
      <c r="V514" s="597"/>
      <c r="W514" s="597"/>
      <c r="X514" s="597"/>
      <c r="Y514" s="597"/>
      <c r="Z514" s="597"/>
    </row>
    <row r="515" spans="1:26" ht="19.5" hidden="1">
      <c r="A515" s="607"/>
      <c r="B515" s="609"/>
      <c r="C515" s="600" t="s">
        <v>16</v>
      </c>
      <c r="D515" s="838" t="s">
        <v>38</v>
      </c>
      <c r="E515" s="644"/>
      <c r="F515" s="644"/>
      <c r="G515" s="645"/>
      <c r="H515" s="365"/>
      <c r="I515" s="166"/>
      <c r="J515" s="166"/>
      <c r="K515" s="167"/>
      <c r="L515" s="167"/>
      <c r="M515" s="167"/>
      <c r="N515" s="167"/>
      <c r="O515" s="167"/>
      <c r="P515" s="167"/>
      <c r="Q515" s="597"/>
      <c r="R515" s="597"/>
      <c r="S515" s="597"/>
      <c r="T515" s="597"/>
      <c r="U515" s="597"/>
      <c r="V515" s="597"/>
      <c r="W515" s="597"/>
      <c r="X515" s="597"/>
      <c r="Y515" s="597"/>
      <c r="Z515" s="597"/>
    </row>
    <row r="516" spans="1:26" ht="18.75" hidden="1">
      <c r="A516" s="607"/>
      <c r="B516" s="609"/>
      <c r="C516" s="609"/>
      <c r="D516" s="609" t="s">
        <v>221</v>
      </c>
      <c r="E516" s="711"/>
      <c r="F516" s="711"/>
      <c r="G516" s="365"/>
      <c r="H516" s="646" t="s">
        <v>109</v>
      </c>
      <c r="I516" s="610"/>
      <c r="J516" s="610">
        <v>0</v>
      </c>
      <c r="K516" s="167">
        <f t="shared" ref="K516:K517" si="223">IF(I516&gt;0,J516*100/I516,0)</f>
        <v>0</v>
      </c>
      <c r="L516" s="167"/>
      <c r="M516" s="167"/>
      <c r="N516" s="167"/>
      <c r="O516" s="167"/>
      <c r="P516" s="167"/>
      <c r="Q516" s="597"/>
      <c r="R516" s="597"/>
      <c r="S516" s="597"/>
      <c r="T516" s="597"/>
      <c r="U516" s="597"/>
      <c r="V516" s="597"/>
      <c r="W516" s="597"/>
      <c r="X516" s="597"/>
      <c r="Y516" s="597"/>
      <c r="Z516" s="597"/>
    </row>
    <row r="517" spans="1:26" ht="19.5" hidden="1">
      <c r="A517" s="607"/>
      <c r="B517" s="609"/>
      <c r="C517" s="609"/>
      <c r="D517" s="609" t="s">
        <v>222</v>
      </c>
      <c r="E517" s="711"/>
      <c r="F517" s="711"/>
      <c r="G517" s="365"/>
      <c r="H517" s="647" t="s">
        <v>35</v>
      </c>
      <c r="I517" s="648"/>
      <c r="J517" s="648">
        <f>J518+J519</f>
        <v>0</v>
      </c>
      <c r="K517" s="649">
        <f t="shared" si="223"/>
        <v>0</v>
      </c>
      <c r="L517" s="167"/>
      <c r="M517" s="167"/>
      <c r="N517" s="167"/>
      <c r="O517" s="167"/>
      <c r="P517" s="167"/>
      <c r="Q517" s="597"/>
      <c r="R517" s="597"/>
      <c r="S517" s="597"/>
      <c r="T517" s="597"/>
      <c r="U517" s="597"/>
      <c r="V517" s="597"/>
      <c r="W517" s="597"/>
      <c r="X517" s="597"/>
      <c r="Y517" s="597"/>
      <c r="Z517" s="597"/>
    </row>
    <row r="518" spans="1:26" ht="18.75" hidden="1">
      <c r="A518" s="607"/>
      <c r="B518" s="609"/>
      <c r="C518" s="609"/>
      <c r="D518" s="609"/>
      <c r="E518" s="609" t="s">
        <v>223</v>
      </c>
      <c r="F518" s="711"/>
      <c r="G518" s="365"/>
      <c r="H518" s="369" t="s">
        <v>35</v>
      </c>
      <c r="I518" s="610"/>
      <c r="J518" s="610"/>
      <c r="K518" s="167"/>
      <c r="L518" s="167"/>
      <c r="M518" s="167"/>
      <c r="N518" s="167"/>
      <c r="O518" s="167"/>
      <c r="P518" s="167"/>
      <c r="Q518" s="597"/>
      <c r="R518" s="597"/>
      <c r="S518" s="597"/>
      <c r="T518" s="597"/>
      <c r="U518" s="597"/>
      <c r="V518" s="597"/>
      <c r="W518" s="597"/>
      <c r="X518" s="597"/>
      <c r="Y518" s="597"/>
      <c r="Z518" s="597"/>
    </row>
    <row r="519" spans="1:26" ht="18.75" hidden="1">
      <c r="A519" s="607"/>
      <c r="B519" s="609"/>
      <c r="C519" s="609"/>
      <c r="D519" s="609"/>
      <c r="E519" s="609" t="s">
        <v>224</v>
      </c>
      <c r="F519" s="711"/>
      <c r="G519" s="365"/>
      <c r="H519" s="646" t="s">
        <v>35</v>
      </c>
      <c r="I519" s="610"/>
      <c r="J519" s="610"/>
      <c r="K519" s="167"/>
      <c r="L519" s="167"/>
      <c r="M519" s="167"/>
      <c r="N519" s="167"/>
      <c r="O519" s="167"/>
      <c r="P519" s="167"/>
      <c r="Q519" s="597"/>
      <c r="R519" s="597"/>
      <c r="S519" s="597"/>
      <c r="T519" s="597"/>
      <c r="U519" s="597"/>
      <c r="V519" s="597"/>
      <c r="W519" s="597"/>
      <c r="X519" s="597"/>
      <c r="Y519" s="597"/>
      <c r="Z519" s="597"/>
    </row>
    <row r="520" spans="1:26" ht="19.5" hidden="1">
      <c r="A520" s="650" t="s">
        <v>137</v>
      </c>
      <c r="B520" s="651"/>
      <c r="C520" s="651"/>
      <c r="D520" s="652"/>
      <c r="E520" s="652"/>
      <c r="F520" s="652"/>
      <c r="G520" s="653"/>
      <c r="H520" s="654"/>
      <c r="I520" s="655"/>
      <c r="J520" s="655"/>
      <c r="K520" s="656"/>
      <c r="L520" s="656"/>
      <c r="M520" s="656"/>
      <c r="N520" s="656"/>
      <c r="O520" s="656"/>
      <c r="P520" s="656"/>
    </row>
    <row r="521" spans="1:26" ht="19.5" hidden="1">
      <c r="A521" s="657">
        <v>5</v>
      </c>
      <c r="B521" s="658" t="s">
        <v>225</v>
      </c>
      <c r="C521" s="659"/>
      <c r="D521" s="660"/>
      <c r="E521" s="660"/>
      <c r="F521" s="660"/>
      <c r="G521" s="660"/>
      <c r="H521" s="661"/>
      <c r="I521" s="662"/>
      <c r="J521" s="662"/>
      <c r="K521" s="663"/>
      <c r="L521" s="663"/>
      <c r="M521" s="663"/>
      <c r="N521" s="663"/>
      <c r="O521" s="663"/>
      <c r="P521" s="663"/>
      <c r="Q521" s="571"/>
      <c r="R521" s="571"/>
      <c r="S521" s="571"/>
      <c r="T521" s="571"/>
      <c r="U521" s="571"/>
      <c r="V521" s="571"/>
      <c r="W521" s="571"/>
      <c r="X521" s="571"/>
      <c r="Y521" s="571"/>
      <c r="Z521" s="571"/>
    </row>
    <row r="522" spans="1:26" ht="19.5" hidden="1">
      <c r="A522" s="664"/>
      <c r="B522" s="665" t="s">
        <v>226</v>
      </c>
      <c r="C522" s="666"/>
      <c r="D522" s="666"/>
      <c r="E522" s="666"/>
      <c r="F522" s="666"/>
      <c r="G522" s="667"/>
      <c r="H522" s="668" t="s">
        <v>35</v>
      </c>
      <c r="I522" s="699">
        <f t="shared" ref="I522:J522" ca="1" si="224">I537</f>
        <v>0</v>
      </c>
      <c r="J522" s="699">
        <f t="shared" ca="1" si="224"/>
        <v>0</v>
      </c>
      <c r="K522" s="670">
        <f ca="1">IF(I522&gt;0,J522*100/I522,0)</f>
        <v>0</v>
      </c>
      <c r="L522" s="671"/>
      <c r="M522" s="671"/>
      <c r="N522" s="671"/>
      <c r="O522" s="671"/>
      <c r="P522" s="671"/>
      <c r="Q522" s="571"/>
      <c r="R522" s="571"/>
      <c r="S522" s="571"/>
      <c r="T522" s="571"/>
      <c r="U522" s="571"/>
      <c r="V522" s="571"/>
      <c r="W522" s="571"/>
      <c r="X522" s="571"/>
      <c r="Y522" s="571"/>
      <c r="Z522" s="571"/>
    </row>
    <row r="523" spans="1:26" ht="19.5" hidden="1">
      <c r="A523" s="590"/>
      <c r="B523" s="754"/>
      <c r="C523" s="754" t="s">
        <v>16</v>
      </c>
      <c r="D523" s="863" t="s">
        <v>17</v>
      </c>
      <c r="E523" s="857"/>
      <c r="F523" s="857"/>
      <c r="G523" s="189"/>
      <c r="H523" s="591" t="s">
        <v>12</v>
      </c>
      <c r="I523" s="269"/>
      <c r="J523" s="269"/>
      <c r="K523" s="496"/>
      <c r="L523" s="195">
        <f t="shared" ref="L523:N523" ca="1" si="225">L524+L525</f>
        <v>0</v>
      </c>
      <c r="M523" s="195">
        <f t="shared" si="225"/>
        <v>0</v>
      </c>
      <c r="N523" s="195">
        <f t="shared" si="225"/>
        <v>0</v>
      </c>
      <c r="O523" s="195">
        <f t="shared" ref="O523:O528" ca="1" si="226">IF(L523&gt;0,N523*100/L523,0)</f>
        <v>0</v>
      </c>
      <c r="P523" s="195">
        <f t="shared" ref="P523:P528" si="227">IF(M523&gt;0,N523*100/M523,0)</f>
        <v>0</v>
      </c>
      <c r="Q523" s="571"/>
      <c r="R523" s="571"/>
      <c r="S523" s="571"/>
      <c r="T523" s="571"/>
      <c r="U523" s="571"/>
      <c r="V523" s="571"/>
      <c r="W523" s="571"/>
      <c r="X523" s="571"/>
      <c r="Y523" s="571"/>
      <c r="Z523" s="571"/>
    </row>
    <row r="524" spans="1:26" ht="18.75" hidden="1">
      <c r="A524" s="592"/>
      <c r="B524" s="750"/>
      <c r="C524" s="750"/>
      <c r="D524" s="711"/>
      <c r="E524" s="750" t="s">
        <v>184</v>
      </c>
      <c r="F524" s="750"/>
      <c r="G524" s="596"/>
      <c r="H524" s="165" t="s">
        <v>12</v>
      </c>
      <c r="I524" s="610"/>
      <c r="J524" s="610"/>
      <c r="K524" s="93"/>
      <c r="L524" s="93">
        <f t="shared" ref="L524:N525" si="228">L527+L534</f>
        <v>0</v>
      </c>
      <c r="M524" s="93">
        <f t="shared" si="228"/>
        <v>0</v>
      </c>
      <c r="N524" s="93">
        <f t="shared" si="228"/>
        <v>0</v>
      </c>
      <c r="O524" s="93">
        <f t="shared" si="226"/>
        <v>0</v>
      </c>
      <c r="P524" s="93">
        <f t="shared" si="227"/>
        <v>0</v>
      </c>
      <c r="Q524" s="597"/>
      <c r="R524" s="597"/>
      <c r="S524" s="597"/>
      <c r="T524" s="597"/>
      <c r="U524" s="597"/>
      <c r="V524" s="597"/>
      <c r="W524" s="597"/>
      <c r="X524" s="597"/>
      <c r="Y524" s="597"/>
      <c r="Z524" s="597"/>
    </row>
    <row r="525" spans="1:26" ht="18.75" hidden="1">
      <c r="A525" s="592"/>
      <c r="B525" s="600"/>
      <c r="C525" s="750"/>
      <c r="D525" s="711"/>
      <c r="E525" s="750" t="s">
        <v>185</v>
      </c>
      <c r="F525" s="750"/>
      <c r="G525" s="596"/>
      <c r="H525" s="165" t="s">
        <v>12</v>
      </c>
      <c r="I525" s="610"/>
      <c r="J525" s="610"/>
      <c r="K525" s="93"/>
      <c r="L525" s="93">
        <f t="shared" ca="1" si="228"/>
        <v>0</v>
      </c>
      <c r="M525" s="93">
        <f t="shared" si="228"/>
        <v>0</v>
      </c>
      <c r="N525" s="93">
        <f t="shared" si="228"/>
        <v>0</v>
      </c>
      <c r="O525" s="93">
        <f t="shared" ca="1" si="226"/>
        <v>0</v>
      </c>
      <c r="P525" s="93">
        <f t="shared" si="227"/>
        <v>0</v>
      </c>
      <c r="Q525" s="597"/>
      <c r="R525" s="597"/>
      <c r="S525" s="597"/>
      <c r="T525" s="597"/>
      <c r="U525" s="597"/>
      <c r="V525" s="597"/>
      <c r="W525" s="597"/>
      <c r="X525" s="597"/>
      <c r="Y525" s="597"/>
      <c r="Z525" s="597"/>
    </row>
    <row r="526" spans="1:26" ht="18.75" hidden="1">
      <c r="A526" s="590"/>
      <c r="B526" s="568"/>
      <c r="C526" s="754"/>
      <c r="D526" s="599" t="s">
        <v>20</v>
      </c>
      <c r="E526" s="754"/>
      <c r="F526" s="754"/>
      <c r="G526" s="189"/>
      <c r="H526" s="161" t="s">
        <v>12</v>
      </c>
      <c r="I526" s="184"/>
      <c r="J526" s="184"/>
      <c r="K526" s="163"/>
      <c r="L526" s="496">
        <f t="shared" ref="L526:N526" ca="1" si="229">L527+L528</f>
        <v>0</v>
      </c>
      <c r="M526" s="496">
        <f t="shared" si="229"/>
        <v>0</v>
      </c>
      <c r="N526" s="496">
        <f t="shared" si="229"/>
        <v>0</v>
      </c>
      <c r="O526" s="496">
        <f t="shared" ca="1" si="226"/>
        <v>0</v>
      </c>
      <c r="P526" s="496">
        <f t="shared" si="227"/>
        <v>0</v>
      </c>
      <c r="Q526" s="571"/>
      <c r="R526" s="571"/>
      <c r="S526" s="571"/>
      <c r="T526" s="571"/>
      <c r="U526" s="571"/>
      <c r="V526" s="571"/>
      <c r="W526" s="571"/>
      <c r="X526" s="571"/>
      <c r="Y526" s="571"/>
      <c r="Z526" s="571"/>
    </row>
    <row r="527" spans="1:26" ht="18.75" hidden="1">
      <c r="A527" s="592"/>
      <c r="B527" s="600"/>
      <c r="C527" s="750"/>
      <c r="D527" s="711"/>
      <c r="E527" s="750" t="s">
        <v>184</v>
      </c>
      <c r="F527" s="750"/>
      <c r="G527" s="596"/>
      <c r="H527" s="165" t="s">
        <v>12</v>
      </c>
      <c r="I527" s="610"/>
      <c r="J527" s="610"/>
      <c r="K527" s="93"/>
      <c r="L527" s="93">
        <v>0</v>
      </c>
      <c r="M527" s="93">
        <v>0</v>
      </c>
      <c r="N527" s="93">
        <v>0</v>
      </c>
      <c r="O527" s="93">
        <f t="shared" si="226"/>
        <v>0</v>
      </c>
      <c r="P527" s="93">
        <f t="shared" si="227"/>
        <v>0</v>
      </c>
      <c r="Q527" s="597"/>
      <c r="R527" s="597"/>
      <c r="S527" s="597"/>
      <c r="T527" s="597"/>
      <c r="U527" s="597"/>
      <c r="V527" s="597"/>
      <c r="W527" s="597"/>
      <c r="X527" s="597"/>
      <c r="Y527" s="597"/>
      <c r="Z527" s="597"/>
    </row>
    <row r="528" spans="1:26" ht="18.75" hidden="1">
      <c r="A528" s="592"/>
      <c r="B528" s="600"/>
      <c r="C528" s="750"/>
      <c r="D528" s="711"/>
      <c r="E528" s="750" t="s">
        <v>185</v>
      </c>
      <c r="F528" s="750"/>
      <c r="G528" s="596"/>
      <c r="H528" s="165" t="s">
        <v>12</v>
      </c>
      <c r="I528" s="610"/>
      <c r="J528" s="610"/>
      <c r="K528" s="93"/>
      <c r="L528" s="93">
        <f ca="1">IFERROR(__xludf.DUMMYFUNCTION("IMPORTRANGE(""https://docs.google.com/spreadsheets/d/1QqKyyYR6Q21VydFLVH3TRQUabQu_ym0Zz7PgGX0-kHA/edit?usp=sharing"",""แผน!GQ71"")"),0)</f>
        <v>0</v>
      </c>
      <c r="M528" s="93">
        <v>0</v>
      </c>
      <c r="N528" s="93">
        <f>N529+N530+N531+N532</f>
        <v>0</v>
      </c>
      <c r="O528" s="93">
        <f t="shared" ca="1" si="226"/>
        <v>0</v>
      </c>
      <c r="P528" s="93">
        <f t="shared" si="227"/>
        <v>0</v>
      </c>
      <c r="Q528" s="597"/>
      <c r="R528" s="597"/>
      <c r="S528" s="597"/>
      <c r="T528" s="597"/>
      <c r="U528" s="597"/>
      <c r="V528" s="597"/>
      <c r="W528" s="597"/>
      <c r="X528" s="597"/>
      <c r="Y528" s="597"/>
      <c r="Z528" s="597"/>
    </row>
    <row r="529" spans="1:26" ht="18.75" hidden="1">
      <c r="A529" s="567"/>
      <c r="B529" s="568"/>
      <c r="C529" s="754"/>
      <c r="D529" s="754"/>
      <c r="E529" s="754"/>
      <c r="F529" s="754" t="s">
        <v>186</v>
      </c>
      <c r="G529" s="189"/>
      <c r="H529" s="161" t="s">
        <v>12</v>
      </c>
      <c r="I529" s="269"/>
      <c r="J529" s="269"/>
      <c r="K529" s="496"/>
      <c r="L529" s="496"/>
      <c r="M529" s="496"/>
      <c r="N529" s="817">
        <v>0</v>
      </c>
      <c r="O529" s="496"/>
      <c r="P529" s="496"/>
      <c r="Q529" s="571"/>
      <c r="R529" s="571"/>
      <c r="S529" s="571"/>
      <c r="T529" s="571"/>
      <c r="U529" s="571"/>
      <c r="V529" s="571"/>
      <c r="W529" s="571"/>
      <c r="X529" s="571"/>
      <c r="Y529" s="571"/>
      <c r="Z529" s="571"/>
    </row>
    <row r="530" spans="1:26" ht="18.75" hidden="1">
      <c r="A530" s="567"/>
      <c r="B530" s="568"/>
      <c r="C530" s="754"/>
      <c r="D530" s="754"/>
      <c r="E530" s="754"/>
      <c r="F530" s="754" t="s">
        <v>187</v>
      </c>
      <c r="G530" s="189"/>
      <c r="H530" s="161" t="s">
        <v>12</v>
      </c>
      <c r="I530" s="269"/>
      <c r="J530" s="269"/>
      <c r="K530" s="496"/>
      <c r="L530" s="496"/>
      <c r="M530" s="496"/>
      <c r="N530" s="817">
        <v>0</v>
      </c>
      <c r="O530" s="496"/>
      <c r="P530" s="496"/>
      <c r="Q530" s="571"/>
      <c r="R530" s="571"/>
      <c r="S530" s="571"/>
      <c r="T530" s="571"/>
      <c r="U530" s="571"/>
      <c r="V530" s="571"/>
      <c r="W530" s="571"/>
      <c r="X530" s="571"/>
      <c r="Y530" s="571"/>
      <c r="Z530" s="571"/>
    </row>
    <row r="531" spans="1:26" ht="18.75" hidden="1">
      <c r="A531" s="567"/>
      <c r="B531" s="568"/>
      <c r="C531" s="754"/>
      <c r="D531" s="754"/>
      <c r="E531" s="754"/>
      <c r="F531" s="754" t="s">
        <v>188</v>
      </c>
      <c r="G531" s="189"/>
      <c r="H531" s="161" t="s">
        <v>12</v>
      </c>
      <c r="I531" s="269"/>
      <c r="J531" s="269"/>
      <c r="K531" s="496"/>
      <c r="L531" s="496"/>
      <c r="M531" s="496"/>
      <c r="N531" s="817">
        <v>0</v>
      </c>
      <c r="O531" s="496"/>
      <c r="P531" s="496"/>
      <c r="Q531" s="571"/>
      <c r="R531" s="571"/>
      <c r="S531" s="571"/>
      <c r="T531" s="571"/>
      <c r="U531" s="571"/>
      <c r="V531" s="571"/>
      <c r="W531" s="571"/>
      <c r="X531" s="571"/>
      <c r="Y531" s="571"/>
      <c r="Z531" s="571"/>
    </row>
    <row r="532" spans="1:26" ht="18.75" hidden="1">
      <c r="A532" s="567"/>
      <c r="B532" s="568"/>
      <c r="C532" s="754"/>
      <c r="D532" s="754"/>
      <c r="E532" s="754"/>
      <c r="F532" s="754" t="s">
        <v>189</v>
      </c>
      <c r="G532" s="189"/>
      <c r="H532" s="161" t="s">
        <v>12</v>
      </c>
      <c r="I532" s="269"/>
      <c r="J532" s="269"/>
      <c r="K532" s="496"/>
      <c r="L532" s="496"/>
      <c r="M532" s="496"/>
      <c r="N532" s="817">
        <v>0</v>
      </c>
      <c r="O532" s="496"/>
      <c r="P532" s="496"/>
      <c r="Q532" s="571"/>
      <c r="R532" s="571"/>
      <c r="S532" s="571"/>
      <c r="T532" s="571"/>
      <c r="U532" s="571"/>
      <c r="V532" s="571"/>
      <c r="W532" s="571"/>
      <c r="X532" s="571"/>
      <c r="Y532" s="571"/>
      <c r="Z532" s="571"/>
    </row>
    <row r="533" spans="1:26" ht="18.75" hidden="1">
      <c r="A533" s="590"/>
      <c r="B533" s="568"/>
      <c r="C533" s="754"/>
      <c r="D533" s="599" t="s">
        <v>21</v>
      </c>
      <c r="E533" s="754"/>
      <c r="F533" s="754"/>
      <c r="G533" s="189"/>
      <c r="H533" s="168" t="s">
        <v>12</v>
      </c>
      <c r="I533" s="184"/>
      <c r="J533" s="184"/>
      <c r="K533" s="163"/>
      <c r="L533" s="496">
        <f t="shared" ref="L533:N533" ca="1" si="230">L534+L535</f>
        <v>0</v>
      </c>
      <c r="M533" s="496">
        <f t="shared" si="230"/>
        <v>0</v>
      </c>
      <c r="N533" s="496">
        <f t="shared" si="230"/>
        <v>0</v>
      </c>
      <c r="O533" s="496">
        <f t="shared" ref="O533:O535" ca="1" si="231">IF(L533&gt;0,N533*100/L533,0)</f>
        <v>0</v>
      </c>
      <c r="P533" s="496">
        <f t="shared" ref="P533:P535" si="232">IF(M533&gt;0,N533*100/M533,0)</f>
        <v>0</v>
      </c>
      <c r="Q533" s="571"/>
      <c r="R533" s="571"/>
      <c r="S533" s="571"/>
      <c r="T533" s="571"/>
      <c r="U533" s="571"/>
      <c r="V533" s="571"/>
      <c r="W533" s="571"/>
      <c r="X533" s="571"/>
      <c r="Y533" s="571"/>
      <c r="Z533" s="571"/>
    </row>
    <row r="534" spans="1:26" ht="18.75" hidden="1">
      <c r="A534" s="592"/>
      <c r="B534" s="600"/>
      <c r="C534" s="750"/>
      <c r="D534" s="750"/>
      <c r="E534" s="750" t="s">
        <v>18</v>
      </c>
      <c r="F534" s="750"/>
      <c r="G534" s="596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1"/>
        <v>0</v>
      </c>
      <c r="P534" s="93">
        <f t="shared" si="232"/>
        <v>0</v>
      </c>
      <c r="Q534" s="597"/>
      <c r="R534" s="597"/>
      <c r="S534" s="597"/>
      <c r="T534" s="597"/>
      <c r="U534" s="597"/>
      <c r="V534" s="597"/>
      <c r="W534" s="597"/>
      <c r="X534" s="597"/>
      <c r="Y534" s="597"/>
      <c r="Z534" s="597"/>
    </row>
    <row r="535" spans="1:26" ht="18.75" hidden="1">
      <c r="A535" s="592"/>
      <c r="B535" s="600"/>
      <c r="C535" s="750"/>
      <c r="D535" s="750"/>
      <c r="E535" s="750" t="s">
        <v>19</v>
      </c>
      <c r="F535" s="750"/>
      <c r="G535" s="596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IFERROR(__xludf.DUMMYFUNCTION("IMPORTRANGE(""https://docs.google.com/spreadsheets/d/1QqKyyYR6Q21VydFLVH3TRQUabQu_ym0Zz7PgGX0-kHA/edit?usp=sharing"",""แผน!GT71"")"),0)</f>
        <v>0</v>
      </c>
      <c r="M535" s="93">
        <v>0</v>
      </c>
      <c r="N535" s="93">
        <v>0</v>
      </c>
      <c r="O535" s="93">
        <f t="shared" ca="1" si="231"/>
        <v>0</v>
      </c>
      <c r="P535" s="93">
        <f t="shared" si="232"/>
        <v>0</v>
      </c>
      <c r="Q535" s="597"/>
      <c r="R535" s="597"/>
      <c r="S535" s="597"/>
      <c r="T535" s="597"/>
      <c r="U535" s="597"/>
      <c r="V535" s="597"/>
      <c r="W535" s="597"/>
      <c r="X535" s="597"/>
      <c r="Y535" s="597"/>
      <c r="Z535" s="597"/>
    </row>
    <row r="536" spans="1:26" ht="19.5" hidden="1">
      <c r="A536" s="601"/>
      <c r="B536" s="611"/>
      <c r="C536" s="754" t="s">
        <v>16</v>
      </c>
      <c r="D536" s="839" t="s">
        <v>38</v>
      </c>
      <c r="E536" s="752"/>
      <c r="F536" s="752"/>
      <c r="G536" s="606"/>
      <c r="H536" s="753"/>
      <c r="I536" s="184"/>
      <c r="J536" s="184"/>
      <c r="K536" s="163"/>
      <c r="L536" s="163"/>
      <c r="M536" s="163"/>
      <c r="N536" s="163"/>
      <c r="O536" s="163"/>
      <c r="P536" s="163"/>
      <c r="Q536" s="571"/>
      <c r="R536" s="571"/>
      <c r="S536" s="571"/>
      <c r="T536" s="571"/>
      <c r="U536" s="571"/>
      <c r="V536" s="571"/>
      <c r="W536" s="571"/>
      <c r="X536" s="571"/>
      <c r="Y536" s="571"/>
      <c r="Z536" s="571"/>
    </row>
    <row r="537" spans="1:26" ht="19.5" hidden="1">
      <c r="A537" s="567"/>
      <c r="B537" s="568"/>
      <c r="C537" s="754"/>
      <c r="D537" s="754" t="s">
        <v>227</v>
      </c>
      <c r="E537" s="754"/>
      <c r="F537" s="754"/>
      <c r="G537" s="189"/>
      <c r="H537" s="616" t="s">
        <v>35</v>
      </c>
      <c r="I537" s="674">
        <f ca="1">IFERROR(__xludf.DUMMYFUNCTION("IMPORTRANGE(""https://docs.google.com/spreadsheets/d/1QqKyyYR6Q21VydFLVH3TRQUabQu_ym0Zz7PgGX0-kHA/edit?usp=sharing"",""แผน!GU71"")"),0)</f>
        <v>0</v>
      </c>
      <c r="J537" s="674">
        <f ca="1">IF(AND(J538=I538,J539=I539,J540=I540,J541=I541),I537,0)</f>
        <v>0</v>
      </c>
      <c r="K537" s="496">
        <f t="shared" ref="K537:K543" ca="1" si="233">IF(I537&gt;0,J537*100/I537,0)</f>
        <v>0</v>
      </c>
      <c r="L537" s="496"/>
      <c r="M537" s="496"/>
      <c r="N537" s="496"/>
      <c r="O537" s="496"/>
      <c r="P537" s="496"/>
      <c r="Q537" s="675"/>
      <c r="R537" s="675"/>
      <c r="S537" s="675"/>
      <c r="T537" s="675"/>
      <c r="U537" s="675"/>
      <c r="V537" s="675"/>
      <c r="W537" s="675"/>
      <c r="X537" s="675"/>
      <c r="Y537" s="675"/>
      <c r="Z537" s="675"/>
    </row>
    <row r="538" spans="1:26" ht="18.75" hidden="1">
      <c r="A538" s="567"/>
      <c r="B538" s="568"/>
      <c r="C538" s="754"/>
      <c r="D538" s="754"/>
      <c r="E538" s="754" t="s">
        <v>228</v>
      </c>
      <c r="F538" s="754"/>
      <c r="G538" s="189"/>
      <c r="H538" s="616" t="s">
        <v>35</v>
      </c>
      <c r="I538" s="269">
        <f ca="1">IFERROR(__xludf.DUMMYFUNCTION("IMPORTRANGE(""https://docs.google.com/spreadsheets/d/1QqKyyYR6Q21VydFLVH3TRQUabQu_ym0Zz7PgGX0-kHA/edit?usp=sharing"",""แผน!GV71"")"),0)</f>
        <v>0</v>
      </c>
      <c r="J538" s="214">
        <v>0</v>
      </c>
      <c r="K538" s="496">
        <f t="shared" ca="1" si="233"/>
        <v>0</v>
      </c>
      <c r="L538" s="496"/>
      <c r="M538" s="496"/>
      <c r="N538" s="496"/>
      <c r="O538" s="496"/>
      <c r="P538" s="496"/>
      <c r="Q538" s="675"/>
      <c r="R538" s="675"/>
      <c r="S538" s="675"/>
      <c r="T538" s="675"/>
      <c r="U538" s="675"/>
      <c r="V538" s="675"/>
      <c r="W538" s="675"/>
      <c r="X538" s="675"/>
      <c r="Y538" s="675"/>
      <c r="Z538" s="675"/>
    </row>
    <row r="539" spans="1:26" ht="18.75" hidden="1">
      <c r="A539" s="567"/>
      <c r="B539" s="568"/>
      <c r="C539" s="754"/>
      <c r="D539" s="754"/>
      <c r="E539" s="754" t="s">
        <v>229</v>
      </c>
      <c r="F539" s="754"/>
      <c r="G539" s="189"/>
      <c r="H539" s="616" t="s">
        <v>35</v>
      </c>
      <c r="I539" s="269">
        <f ca="1">IFERROR(__xludf.DUMMYFUNCTION("IMPORTRANGE(""https://docs.google.com/spreadsheets/d/1QqKyyYR6Q21VydFLVH3TRQUabQu_ym0Zz7PgGX0-kHA/edit?usp=sharing"",""แผน!GW71"")"),0)</f>
        <v>0</v>
      </c>
      <c r="J539" s="214">
        <v>0</v>
      </c>
      <c r="K539" s="496">
        <f t="shared" ca="1" si="233"/>
        <v>0</v>
      </c>
      <c r="L539" s="496"/>
      <c r="M539" s="496"/>
      <c r="N539" s="496"/>
      <c r="O539" s="496"/>
      <c r="P539" s="496"/>
      <c r="Q539" s="675"/>
      <c r="R539" s="675"/>
      <c r="S539" s="675"/>
      <c r="T539" s="675"/>
      <c r="U539" s="675"/>
      <c r="V539" s="675"/>
      <c r="W539" s="675"/>
      <c r="X539" s="675"/>
      <c r="Y539" s="675"/>
      <c r="Z539" s="675"/>
    </row>
    <row r="540" spans="1:26" ht="18.75" hidden="1">
      <c r="A540" s="567"/>
      <c r="B540" s="568"/>
      <c r="C540" s="754"/>
      <c r="D540" s="754"/>
      <c r="E540" s="754" t="s">
        <v>230</v>
      </c>
      <c r="F540" s="754"/>
      <c r="G540" s="189"/>
      <c r="H540" s="616" t="s">
        <v>35</v>
      </c>
      <c r="I540" s="269">
        <f ca="1">IFERROR(__xludf.DUMMYFUNCTION("IMPORTRANGE(""https://docs.google.com/spreadsheets/d/1QqKyyYR6Q21VydFLVH3TRQUabQu_ym0Zz7PgGX0-kHA/edit?usp=sharing"",""แผน!GX71"")"),0)</f>
        <v>0</v>
      </c>
      <c r="J540" s="214">
        <v>0</v>
      </c>
      <c r="K540" s="496">
        <f t="shared" ca="1" si="233"/>
        <v>0</v>
      </c>
      <c r="L540" s="496"/>
      <c r="M540" s="496"/>
      <c r="N540" s="496"/>
      <c r="O540" s="496"/>
      <c r="P540" s="496"/>
      <c r="Q540" s="675"/>
      <c r="R540" s="675"/>
      <c r="S540" s="675"/>
      <c r="T540" s="675"/>
      <c r="U540" s="675"/>
      <c r="V540" s="675"/>
      <c r="W540" s="675"/>
      <c r="X540" s="675"/>
      <c r="Y540" s="675"/>
      <c r="Z540" s="675"/>
    </row>
    <row r="541" spans="1:26" ht="18.75" hidden="1">
      <c r="A541" s="567"/>
      <c r="B541" s="568"/>
      <c r="C541" s="754"/>
      <c r="D541" s="754"/>
      <c r="E541" s="760" t="s">
        <v>231</v>
      </c>
      <c r="F541" s="754"/>
      <c r="G541" s="189"/>
      <c r="H541" s="616" t="s">
        <v>35</v>
      </c>
      <c r="I541" s="269">
        <f ca="1">IFERROR(__xludf.DUMMYFUNCTION("IMPORTRANGE(""https://docs.google.com/spreadsheets/d/1QqKyyYR6Q21VydFLVH3TRQUabQu_ym0Zz7PgGX0-kHA/edit?usp=sharing"",""แผน!GY71"")"),0)</f>
        <v>0</v>
      </c>
      <c r="J541" s="214">
        <v>0</v>
      </c>
      <c r="K541" s="496">
        <f t="shared" ca="1" si="233"/>
        <v>0</v>
      </c>
      <c r="L541" s="496"/>
      <c r="M541" s="496"/>
      <c r="N541" s="496"/>
      <c r="O541" s="496"/>
      <c r="P541" s="496"/>
      <c r="Q541" s="675"/>
      <c r="R541" s="675"/>
      <c r="S541" s="675"/>
      <c r="T541" s="675"/>
      <c r="U541" s="675"/>
      <c r="V541" s="675"/>
      <c r="W541" s="675"/>
      <c r="X541" s="675"/>
      <c r="Y541" s="675"/>
      <c r="Z541" s="675"/>
    </row>
    <row r="542" spans="1:26" ht="18.75" hidden="1">
      <c r="A542" s="567"/>
      <c r="B542" s="568"/>
      <c r="C542" s="754"/>
      <c r="D542" s="754" t="s">
        <v>59</v>
      </c>
      <c r="E542" s="754"/>
      <c r="F542" s="754"/>
      <c r="G542" s="189"/>
      <c r="H542" s="616" t="s">
        <v>35</v>
      </c>
      <c r="I542" s="269">
        <f ca="1">IFERROR(__xludf.DUMMYFUNCTION("IMPORTRANGE(""https://docs.google.com/spreadsheets/d/1QqKyyYR6Q21VydFLVH3TRQUabQu_ym0Zz7PgGX0-kHA/edit?usp=sharing"",""แผน!GZ71"")"),0)</f>
        <v>0</v>
      </c>
      <c r="J542" s="214">
        <v>0</v>
      </c>
      <c r="K542" s="496">
        <f t="shared" ca="1" si="233"/>
        <v>0</v>
      </c>
      <c r="L542" s="496"/>
      <c r="M542" s="496"/>
      <c r="N542" s="496"/>
      <c r="O542" s="496"/>
      <c r="P542" s="496"/>
      <c r="Q542" s="675"/>
      <c r="R542" s="675"/>
      <c r="S542" s="675"/>
      <c r="T542" s="675"/>
      <c r="U542" s="675"/>
      <c r="V542" s="675"/>
      <c r="W542" s="675"/>
      <c r="X542" s="675"/>
      <c r="Y542" s="675"/>
      <c r="Z542" s="675"/>
    </row>
    <row r="543" spans="1:26" ht="19.5">
      <c r="A543" s="657">
        <v>6</v>
      </c>
      <c r="B543" s="678" t="s">
        <v>232</v>
      </c>
      <c r="C543" s="660"/>
      <c r="D543" s="660"/>
      <c r="E543" s="660"/>
      <c r="F543" s="660"/>
      <c r="G543" s="661"/>
      <c r="H543" s="679" t="s">
        <v>46</v>
      </c>
      <c r="I543" s="680">
        <f t="shared" ref="I543:J543" ca="1" si="234">I559</f>
        <v>0</v>
      </c>
      <c r="J543" s="680">
        <f t="shared" si="234"/>
        <v>0</v>
      </c>
      <c r="K543" s="681">
        <f t="shared" ca="1" si="233"/>
        <v>0</v>
      </c>
      <c r="L543" s="663"/>
      <c r="M543" s="663"/>
      <c r="N543" s="663"/>
      <c r="O543" s="663"/>
      <c r="P543" s="663"/>
      <c r="Q543" s="571"/>
      <c r="R543" s="571"/>
      <c r="S543" s="571"/>
      <c r="T543" s="571"/>
      <c r="U543" s="571"/>
      <c r="V543" s="571"/>
      <c r="W543" s="571"/>
      <c r="X543" s="571"/>
      <c r="Y543" s="571"/>
      <c r="Z543" s="571"/>
    </row>
    <row r="544" spans="1:26" ht="19.5">
      <c r="A544" s="682"/>
      <c r="B544" s="683"/>
      <c r="C544" s="683" t="s">
        <v>16</v>
      </c>
      <c r="D544" s="867" t="s">
        <v>17</v>
      </c>
      <c r="E544" s="862"/>
      <c r="F544" s="862"/>
      <c r="G544" s="684"/>
      <c r="H544" s="274" t="s">
        <v>12</v>
      </c>
      <c r="I544" s="419"/>
      <c r="J544" s="419"/>
      <c r="K544" s="154"/>
      <c r="L544" s="155">
        <f t="shared" ref="L544:N544" ca="1" si="235">L545+L546</f>
        <v>66000</v>
      </c>
      <c r="M544" s="155">
        <f t="shared" si="235"/>
        <v>0</v>
      </c>
      <c r="N544" s="155">
        <f t="shared" si="235"/>
        <v>0</v>
      </c>
      <c r="O544" s="155">
        <f t="shared" ref="O544:O549" ca="1" si="236">IF(L544&gt;0,N544*100/L544,0)</f>
        <v>0</v>
      </c>
      <c r="P544" s="155">
        <f t="shared" ref="P544:P549" si="237">IF(M544&gt;0,N544*100/M544,0)</f>
        <v>0</v>
      </c>
      <c r="Q544" s="571"/>
      <c r="R544" s="571"/>
      <c r="S544" s="571"/>
      <c r="T544" s="571"/>
      <c r="U544" s="571"/>
      <c r="V544" s="571"/>
      <c r="W544" s="571"/>
      <c r="X544" s="571"/>
      <c r="Y544" s="571"/>
      <c r="Z544" s="571"/>
    </row>
    <row r="545" spans="1:26" ht="18.75" hidden="1">
      <c r="A545" s="592"/>
      <c r="B545" s="750"/>
      <c r="C545" s="750"/>
      <c r="D545" s="750"/>
      <c r="E545" s="750" t="s">
        <v>184</v>
      </c>
      <c r="F545" s="750"/>
      <c r="G545" s="596"/>
      <c r="H545" s="165" t="s">
        <v>12</v>
      </c>
      <c r="I545" s="610"/>
      <c r="J545" s="610"/>
      <c r="K545" s="93"/>
      <c r="L545" s="93">
        <f t="shared" ref="L545:L546" si="238">L548+L556</f>
        <v>0</v>
      </c>
      <c r="M545" s="93">
        <f t="shared" ref="M545:N546" si="239">M548+M555</f>
        <v>0</v>
      </c>
      <c r="N545" s="93">
        <f t="shared" si="239"/>
        <v>0</v>
      </c>
      <c r="O545" s="93">
        <f t="shared" si="236"/>
        <v>0</v>
      </c>
      <c r="P545" s="93">
        <f t="shared" si="237"/>
        <v>0</v>
      </c>
      <c r="Q545" s="597"/>
      <c r="R545" s="597"/>
      <c r="S545" s="597"/>
      <c r="T545" s="597"/>
      <c r="U545" s="597"/>
      <c r="V545" s="597"/>
      <c r="W545" s="597"/>
      <c r="X545" s="597"/>
      <c r="Y545" s="597"/>
      <c r="Z545" s="597"/>
    </row>
    <row r="546" spans="1:26" ht="18.75" hidden="1">
      <c r="A546" s="592"/>
      <c r="B546" s="600"/>
      <c r="C546" s="750"/>
      <c r="D546" s="750"/>
      <c r="E546" s="750" t="s">
        <v>185</v>
      </c>
      <c r="F546" s="750"/>
      <c r="G546" s="596"/>
      <c r="H546" s="165" t="s">
        <v>12</v>
      </c>
      <c r="I546" s="610"/>
      <c r="J546" s="610"/>
      <c r="K546" s="93"/>
      <c r="L546" s="93">
        <f t="shared" ca="1" si="238"/>
        <v>66000</v>
      </c>
      <c r="M546" s="93">
        <f t="shared" si="239"/>
        <v>0</v>
      </c>
      <c r="N546" s="93">
        <f t="shared" si="239"/>
        <v>0</v>
      </c>
      <c r="O546" s="93">
        <f t="shared" ca="1" si="236"/>
        <v>0</v>
      </c>
      <c r="P546" s="93">
        <f t="shared" si="237"/>
        <v>0</v>
      </c>
      <c r="Q546" s="597"/>
      <c r="R546" s="597"/>
      <c r="S546" s="597"/>
      <c r="T546" s="597"/>
      <c r="U546" s="597"/>
      <c r="V546" s="597"/>
      <c r="W546" s="597"/>
      <c r="X546" s="597"/>
      <c r="Y546" s="597"/>
      <c r="Z546" s="597"/>
    </row>
    <row r="547" spans="1:26" ht="18.75">
      <c r="A547" s="590"/>
      <c r="B547" s="568"/>
      <c r="C547" s="754"/>
      <c r="D547" s="599" t="s">
        <v>20</v>
      </c>
      <c r="E547" s="754"/>
      <c r="F547" s="754"/>
      <c r="G547" s="189"/>
      <c r="H547" s="161" t="s">
        <v>12</v>
      </c>
      <c r="I547" s="184"/>
      <c r="J547" s="184"/>
      <c r="K547" s="163"/>
      <c r="L547" s="496">
        <f t="shared" ref="L547:N547" ca="1" si="240">L548+L549</f>
        <v>66000</v>
      </c>
      <c r="M547" s="496">
        <f t="shared" si="240"/>
        <v>0</v>
      </c>
      <c r="N547" s="496">
        <f t="shared" si="240"/>
        <v>0</v>
      </c>
      <c r="O547" s="496">
        <f t="shared" ca="1" si="236"/>
        <v>0</v>
      </c>
      <c r="P547" s="496">
        <f t="shared" si="237"/>
        <v>0</v>
      </c>
      <c r="Q547" s="571"/>
      <c r="R547" s="571"/>
      <c r="S547" s="571"/>
      <c r="T547" s="571"/>
      <c r="U547" s="571"/>
      <c r="V547" s="571"/>
      <c r="W547" s="571"/>
      <c r="X547" s="571"/>
      <c r="Y547" s="571"/>
      <c r="Z547" s="571"/>
    </row>
    <row r="548" spans="1:26" ht="18.75" hidden="1">
      <c r="A548" s="592"/>
      <c r="B548" s="600"/>
      <c r="C548" s="750"/>
      <c r="D548" s="711"/>
      <c r="E548" s="750" t="s">
        <v>184</v>
      </c>
      <c r="F548" s="750"/>
      <c r="G548" s="596"/>
      <c r="H548" s="165" t="s">
        <v>12</v>
      </c>
      <c r="I548" s="610"/>
      <c r="J548" s="610"/>
      <c r="K548" s="93"/>
      <c r="L548" s="93">
        <v>0</v>
      </c>
      <c r="M548" s="93">
        <v>0</v>
      </c>
      <c r="N548" s="93">
        <v>0</v>
      </c>
      <c r="O548" s="93">
        <f t="shared" si="236"/>
        <v>0</v>
      </c>
      <c r="P548" s="93">
        <f t="shared" si="237"/>
        <v>0</v>
      </c>
      <c r="Q548" s="597"/>
      <c r="R548" s="597"/>
      <c r="S548" s="597"/>
      <c r="T548" s="597"/>
      <c r="U548" s="597"/>
      <c r="V548" s="597"/>
      <c r="W548" s="597"/>
      <c r="X548" s="597"/>
      <c r="Y548" s="597"/>
      <c r="Z548" s="597"/>
    </row>
    <row r="549" spans="1:26" ht="18.75" hidden="1">
      <c r="A549" s="592"/>
      <c r="B549" s="600"/>
      <c r="C549" s="750"/>
      <c r="D549" s="711"/>
      <c r="E549" s="750" t="s">
        <v>185</v>
      </c>
      <c r="F549" s="750"/>
      <c r="G549" s="596"/>
      <c r="H549" s="165" t="s">
        <v>12</v>
      </c>
      <c r="I549" s="610"/>
      <c r="J549" s="610"/>
      <c r="K549" s="93"/>
      <c r="L549" s="93">
        <f ca="1">IFERROR(__xludf.DUMMYFUNCTION("IMPORTRANGE(""https://docs.google.com/spreadsheets/d/1QqKyyYR6Q21VydFLVH3TRQUabQu_ym0Zz7PgGX0-kHA/edit?usp=sharing"",""แผน!HB71"")"),66000)</f>
        <v>66000</v>
      </c>
      <c r="M549" s="93">
        <v>0</v>
      </c>
      <c r="N549" s="93">
        <f>N550+N551+N552+N553+N554</f>
        <v>0</v>
      </c>
      <c r="O549" s="93">
        <f t="shared" ca="1" si="236"/>
        <v>0</v>
      </c>
      <c r="P549" s="93">
        <f t="shared" si="237"/>
        <v>0</v>
      </c>
      <c r="Q549" s="597"/>
      <c r="R549" s="597"/>
      <c r="S549" s="597"/>
      <c r="T549" s="597"/>
      <c r="U549" s="597"/>
      <c r="V549" s="597"/>
      <c r="W549" s="597"/>
      <c r="X549" s="597"/>
      <c r="Y549" s="597"/>
      <c r="Z549" s="597"/>
    </row>
    <row r="550" spans="1:26" ht="18.75">
      <c r="A550" s="567"/>
      <c r="B550" s="568"/>
      <c r="C550" s="754"/>
      <c r="D550" s="754"/>
      <c r="E550" s="754"/>
      <c r="F550" s="754" t="s">
        <v>186</v>
      </c>
      <c r="G550" s="189"/>
      <c r="H550" s="161" t="s">
        <v>12</v>
      </c>
      <c r="I550" s="269"/>
      <c r="J550" s="269"/>
      <c r="K550" s="496"/>
      <c r="L550" s="496"/>
      <c r="M550" s="496"/>
      <c r="N550" s="817">
        <v>0</v>
      </c>
      <c r="O550" s="496"/>
      <c r="P550" s="496"/>
      <c r="Q550" s="571"/>
      <c r="R550" s="571"/>
      <c r="S550" s="571"/>
      <c r="T550" s="571"/>
      <c r="U550" s="571"/>
      <c r="V550" s="571"/>
      <c r="W550" s="571"/>
      <c r="X550" s="571"/>
      <c r="Y550" s="571"/>
      <c r="Z550" s="571"/>
    </row>
    <row r="551" spans="1:26" ht="18.75">
      <c r="A551" s="567"/>
      <c r="B551" s="568"/>
      <c r="C551" s="568"/>
      <c r="D551" s="568"/>
      <c r="E551" s="754"/>
      <c r="F551" s="754" t="s">
        <v>187</v>
      </c>
      <c r="G551" s="189"/>
      <c r="H551" s="161" t="s">
        <v>12</v>
      </c>
      <c r="I551" s="269"/>
      <c r="J551" s="269"/>
      <c r="K551" s="496"/>
      <c r="L551" s="496"/>
      <c r="M551" s="496"/>
      <c r="N551" s="817">
        <v>0</v>
      </c>
      <c r="O551" s="496"/>
      <c r="P551" s="496"/>
      <c r="Q551" s="571"/>
      <c r="R551" s="571"/>
      <c r="S551" s="571"/>
      <c r="T551" s="571"/>
      <c r="U551" s="571"/>
      <c r="V551" s="571"/>
      <c r="W551" s="571"/>
      <c r="X551" s="571"/>
      <c r="Y551" s="571"/>
      <c r="Z551" s="571"/>
    </row>
    <row r="552" spans="1:26" ht="18.75">
      <c r="A552" s="567"/>
      <c r="B552" s="568"/>
      <c r="C552" s="754"/>
      <c r="D552" s="754"/>
      <c r="E552" s="754"/>
      <c r="F552" s="754" t="s">
        <v>188</v>
      </c>
      <c r="G552" s="189"/>
      <c r="H552" s="161" t="s">
        <v>12</v>
      </c>
      <c r="I552" s="269"/>
      <c r="J552" s="269"/>
      <c r="K552" s="496"/>
      <c r="L552" s="496"/>
      <c r="M552" s="496"/>
      <c r="N552" s="817">
        <v>0</v>
      </c>
      <c r="O552" s="496"/>
      <c r="P552" s="496"/>
      <c r="Q552" s="571"/>
      <c r="R552" s="571"/>
      <c r="S552" s="571"/>
      <c r="T552" s="571"/>
      <c r="U552" s="571"/>
      <c r="V552" s="571"/>
      <c r="W552" s="571"/>
      <c r="X552" s="571"/>
      <c r="Y552" s="571"/>
      <c r="Z552" s="571"/>
    </row>
    <row r="553" spans="1:26" ht="18.75">
      <c r="A553" s="567"/>
      <c r="B553" s="568"/>
      <c r="C553" s="568"/>
      <c r="D553" s="568"/>
      <c r="E553" s="754"/>
      <c r="F553" s="754" t="s">
        <v>189</v>
      </c>
      <c r="G553" s="189"/>
      <c r="H553" s="161" t="s">
        <v>12</v>
      </c>
      <c r="I553" s="269"/>
      <c r="J553" s="269"/>
      <c r="K553" s="496"/>
      <c r="L553" s="496"/>
      <c r="M553" s="496"/>
      <c r="N553" s="817">
        <v>0</v>
      </c>
      <c r="O553" s="496"/>
      <c r="P553" s="496"/>
      <c r="Q553" s="571"/>
      <c r="R553" s="571"/>
      <c r="S553" s="571"/>
      <c r="T553" s="571"/>
      <c r="U553" s="571"/>
      <c r="V553" s="571"/>
      <c r="W553" s="571"/>
      <c r="X553" s="571"/>
      <c r="Y553" s="571"/>
      <c r="Z553" s="571"/>
    </row>
    <row r="554" spans="1:26" ht="18.75">
      <c r="A554" s="567"/>
      <c r="B554" s="568"/>
      <c r="C554" s="568"/>
      <c r="D554" s="568"/>
      <c r="E554" s="754"/>
      <c r="F554" s="754" t="s">
        <v>233</v>
      </c>
      <c r="G554" s="189"/>
      <c r="H554" s="161" t="s">
        <v>12</v>
      </c>
      <c r="I554" s="269"/>
      <c r="J554" s="269"/>
      <c r="K554" s="496"/>
      <c r="L554" s="496"/>
      <c r="M554" s="496"/>
      <c r="N554" s="817">
        <v>0</v>
      </c>
      <c r="O554" s="496"/>
      <c r="P554" s="496"/>
      <c r="Q554" s="571"/>
      <c r="R554" s="571"/>
      <c r="S554" s="571"/>
      <c r="T554" s="571"/>
      <c r="U554" s="571"/>
      <c r="V554" s="571"/>
      <c r="W554" s="571"/>
      <c r="X554" s="571"/>
      <c r="Y554" s="571"/>
      <c r="Z554" s="571"/>
    </row>
    <row r="555" spans="1:26" ht="18.75">
      <c r="A555" s="590"/>
      <c r="B555" s="568"/>
      <c r="C555" s="568"/>
      <c r="D555" s="599" t="s">
        <v>21</v>
      </c>
      <c r="E555" s="754"/>
      <c r="F555" s="754"/>
      <c r="G555" s="189"/>
      <c r="H555" s="168" t="s">
        <v>12</v>
      </c>
      <c r="I555" s="184"/>
      <c r="J555" s="184"/>
      <c r="K555" s="163"/>
      <c r="L555" s="496">
        <f t="shared" ref="L555:N555" ca="1" si="241">L556+L557</f>
        <v>0</v>
      </c>
      <c r="M555" s="496">
        <f t="shared" si="241"/>
        <v>0</v>
      </c>
      <c r="N555" s="496">
        <f t="shared" si="241"/>
        <v>0</v>
      </c>
      <c r="O555" s="496">
        <f t="shared" ref="O555:O557" ca="1" si="242">IF(L555&gt;0,N555*100/L555,0)</f>
        <v>0</v>
      </c>
      <c r="P555" s="496">
        <f t="shared" ref="P555:P557" si="243">IF(M555&gt;0,N555*100/M555,0)</f>
        <v>0</v>
      </c>
      <c r="Q555" s="571"/>
      <c r="R555" s="571"/>
      <c r="S555" s="571"/>
      <c r="T555" s="571"/>
      <c r="U555" s="571"/>
      <c r="V555" s="571"/>
      <c r="W555" s="571"/>
      <c r="X555" s="571"/>
      <c r="Y555" s="571"/>
      <c r="Z555" s="571"/>
    </row>
    <row r="556" spans="1:26" ht="18.75" hidden="1">
      <c r="A556" s="592"/>
      <c r="B556" s="600"/>
      <c r="C556" s="600"/>
      <c r="D556" s="750"/>
      <c r="E556" s="750" t="s">
        <v>18</v>
      </c>
      <c r="F556" s="750"/>
      <c r="G556" s="596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2"/>
        <v>0</v>
      </c>
      <c r="P556" s="93">
        <f t="shared" si="243"/>
        <v>0</v>
      </c>
      <c r="Q556" s="597"/>
      <c r="R556" s="597"/>
      <c r="S556" s="597"/>
      <c r="T556" s="597"/>
      <c r="U556" s="597"/>
      <c r="V556" s="597"/>
      <c r="W556" s="597"/>
      <c r="X556" s="597"/>
      <c r="Y556" s="597"/>
      <c r="Z556" s="597"/>
    </row>
    <row r="557" spans="1:26" ht="18.75" hidden="1">
      <c r="A557" s="592"/>
      <c r="B557" s="600"/>
      <c r="C557" s="600"/>
      <c r="D557" s="750"/>
      <c r="E557" s="750" t="s">
        <v>19</v>
      </c>
      <c r="F557" s="750"/>
      <c r="G557" s="596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IFERROR(__xludf.DUMMYFUNCTION("IMPORTRANGE(""https://docs.google.com/spreadsheets/d/1QqKyyYR6Q21VydFLVH3TRQUabQu_ym0Zz7PgGX0-kHA/edit?usp=sharing"",""แผน!HF71"")"),0)</f>
        <v>0</v>
      </c>
      <c r="M557" s="93">
        <v>0</v>
      </c>
      <c r="N557" s="93">
        <v>0</v>
      </c>
      <c r="O557" s="93">
        <f t="shared" ca="1" si="242"/>
        <v>0</v>
      </c>
      <c r="P557" s="93">
        <f t="shared" si="243"/>
        <v>0</v>
      </c>
      <c r="Q557" s="597"/>
      <c r="R557" s="597"/>
      <c r="S557" s="597"/>
      <c r="T557" s="597"/>
      <c r="U557" s="597"/>
      <c r="V557" s="597"/>
      <c r="W557" s="597"/>
      <c r="X557" s="597"/>
      <c r="Y557" s="597"/>
      <c r="Z557" s="597"/>
    </row>
    <row r="558" spans="1:26" ht="19.5" hidden="1">
      <c r="A558" s="601"/>
      <c r="B558" s="611"/>
      <c r="C558" s="568" t="s">
        <v>16</v>
      </c>
      <c r="D558" s="839" t="s">
        <v>38</v>
      </c>
      <c r="E558" s="752"/>
      <c r="F558" s="752"/>
      <c r="G558" s="606"/>
      <c r="H558" s="753"/>
      <c r="I558" s="184"/>
      <c r="J558" s="184"/>
      <c r="K558" s="163"/>
      <c r="L558" s="163"/>
      <c r="M558" s="163"/>
      <c r="N558" s="163"/>
      <c r="O558" s="163"/>
      <c r="P558" s="163"/>
      <c r="Q558" s="571"/>
      <c r="R558" s="571"/>
      <c r="S558" s="571"/>
      <c r="T558" s="571"/>
      <c r="U558" s="571"/>
      <c r="V558" s="571"/>
      <c r="W558" s="571"/>
      <c r="X558" s="571"/>
      <c r="Y558" s="571"/>
      <c r="Z558" s="571"/>
    </row>
    <row r="559" spans="1:26" ht="19.5" hidden="1">
      <c r="A559" s="685"/>
      <c r="B559" s="686" t="s">
        <v>234</v>
      </c>
      <c r="C559" s="687"/>
      <c r="D559" s="687"/>
      <c r="E559" s="666"/>
      <c r="F559" s="666"/>
      <c r="G559" s="667"/>
      <c r="H559" s="688" t="s">
        <v>46</v>
      </c>
      <c r="I559" s="699">
        <f t="shared" ref="I559:J559" ca="1" si="244">I576</f>
        <v>0</v>
      </c>
      <c r="J559" s="699">
        <f t="shared" si="244"/>
        <v>0</v>
      </c>
      <c r="K559" s="670">
        <f t="shared" ref="K559:K561" ca="1" si="245">IF(I559&gt;0,J559*100/I559,0)</f>
        <v>0</v>
      </c>
      <c r="L559" s="671"/>
      <c r="M559" s="671"/>
      <c r="N559" s="671"/>
      <c r="O559" s="671"/>
      <c r="P559" s="671"/>
      <c r="Q559" s="571"/>
      <c r="R559" s="571"/>
      <c r="S559" s="571"/>
      <c r="T559" s="571"/>
      <c r="U559" s="571"/>
      <c r="V559" s="571"/>
      <c r="W559" s="571"/>
      <c r="X559" s="571"/>
      <c r="Y559" s="571"/>
      <c r="Z559" s="571"/>
    </row>
    <row r="560" spans="1:26" ht="19.5" hidden="1">
      <c r="A560" s="601"/>
      <c r="B560" s="611"/>
      <c r="C560" s="618" t="s">
        <v>235</v>
      </c>
      <c r="D560" s="611"/>
      <c r="E560" s="619"/>
      <c r="F560" s="619"/>
      <c r="G560" s="753"/>
      <c r="H560" s="758" t="s">
        <v>46</v>
      </c>
      <c r="I560" s="193">
        <f ca="1">IFERROR(__xludf.DUMMYFUNCTION("IMPORTRANGE(""https://docs.google.com/spreadsheets/d/1QqKyyYR6Q21VydFLVH3TRQUabQu_ym0Zz7PgGX0-kHA/edit?usp=sharing"",""แผน!HH71"")"),0)</f>
        <v>0</v>
      </c>
      <c r="J560" s="193">
        <f t="shared" ref="J560:J561" si="246">J562+J564+J566</f>
        <v>0</v>
      </c>
      <c r="K560" s="410">
        <f t="shared" ca="1" si="245"/>
        <v>0</v>
      </c>
      <c r="L560" s="163"/>
      <c r="M560" s="163"/>
      <c r="N560" s="163"/>
      <c r="O560" s="163"/>
      <c r="P560" s="163"/>
      <c r="Q560" s="571"/>
      <c r="R560" s="571"/>
      <c r="S560" s="571"/>
      <c r="T560" s="571"/>
      <c r="U560" s="571"/>
      <c r="V560" s="571"/>
      <c r="W560" s="571"/>
      <c r="X560" s="571"/>
      <c r="Y560" s="571"/>
      <c r="Z560" s="571"/>
    </row>
    <row r="561" spans="1:26" ht="19.5" hidden="1">
      <c r="A561" s="601"/>
      <c r="B561" s="611"/>
      <c r="C561" s="611"/>
      <c r="D561" s="619"/>
      <c r="E561" s="619"/>
      <c r="F561" s="619"/>
      <c r="G561" s="753"/>
      <c r="H561" s="758" t="s">
        <v>34</v>
      </c>
      <c r="I561" s="193">
        <f ca="1">IFERROR(__xludf.DUMMYFUNCTION("IMPORTRANGE(""https://docs.google.com/spreadsheets/d/1QqKyyYR6Q21VydFLVH3TRQUabQu_ym0Zz7PgGX0-kHA/edit?usp=sharing"",""แผน!HG71"")"),0)</f>
        <v>0</v>
      </c>
      <c r="J561" s="193">
        <f t="shared" si="246"/>
        <v>0</v>
      </c>
      <c r="K561" s="410">
        <f t="shared" ca="1" si="245"/>
        <v>0</v>
      </c>
      <c r="L561" s="163"/>
      <c r="M561" s="163"/>
      <c r="N561" s="163"/>
      <c r="O561" s="163"/>
      <c r="P561" s="163"/>
      <c r="Q561" s="571"/>
      <c r="R561" s="571"/>
      <c r="S561" s="571"/>
      <c r="T561" s="571"/>
      <c r="U561" s="571"/>
      <c r="V561" s="571"/>
      <c r="W561" s="571"/>
      <c r="X561" s="571"/>
      <c r="Y561" s="571"/>
      <c r="Z561" s="571"/>
    </row>
    <row r="562" spans="1:26" ht="18.75" hidden="1">
      <c r="A562" s="601"/>
      <c r="B562" s="611"/>
      <c r="C562" s="611"/>
      <c r="D562" s="619" t="s">
        <v>236</v>
      </c>
      <c r="E562" s="619"/>
      <c r="F562" s="619"/>
      <c r="G562" s="753"/>
      <c r="H562" s="755" t="s">
        <v>46</v>
      </c>
      <c r="I562" s="184"/>
      <c r="J562" s="214">
        <v>0</v>
      </c>
      <c r="K562" s="163"/>
      <c r="L562" s="163"/>
      <c r="M562" s="163"/>
      <c r="N562" s="163"/>
      <c r="O562" s="163"/>
      <c r="P562" s="163"/>
      <c r="Q562" s="571"/>
      <c r="R562" s="571"/>
      <c r="S562" s="571"/>
      <c r="T562" s="571"/>
      <c r="U562" s="571"/>
      <c r="V562" s="571"/>
      <c r="W562" s="571"/>
      <c r="X562" s="571"/>
      <c r="Y562" s="571"/>
      <c r="Z562" s="571"/>
    </row>
    <row r="563" spans="1:26" ht="18.75" hidden="1">
      <c r="A563" s="601"/>
      <c r="B563" s="611"/>
      <c r="C563" s="611"/>
      <c r="D563" s="611"/>
      <c r="E563" s="619"/>
      <c r="F563" s="619"/>
      <c r="G563" s="753"/>
      <c r="H563" s="755" t="s">
        <v>34</v>
      </c>
      <c r="I563" s="184"/>
      <c r="J563" s="214">
        <v>0</v>
      </c>
      <c r="K563" s="163"/>
      <c r="L563" s="163"/>
      <c r="M563" s="163"/>
      <c r="N563" s="163"/>
      <c r="O563" s="163"/>
      <c r="P563" s="163"/>
      <c r="Q563" s="571"/>
      <c r="R563" s="571"/>
      <c r="S563" s="571"/>
      <c r="T563" s="571"/>
      <c r="U563" s="571"/>
      <c r="V563" s="571"/>
      <c r="W563" s="571"/>
      <c r="X563" s="571"/>
      <c r="Y563" s="571"/>
      <c r="Z563" s="571"/>
    </row>
    <row r="564" spans="1:26" ht="18.75" hidden="1">
      <c r="A564" s="601"/>
      <c r="B564" s="611"/>
      <c r="C564" s="611"/>
      <c r="D564" s="619" t="s">
        <v>237</v>
      </c>
      <c r="E564" s="619"/>
      <c r="F564" s="619"/>
      <c r="G564" s="753"/>
      <c r="H564" s="755" t="s">
        <v>46</v>
      </c>
      <c r="I564" s="184"/>
      <c r="J564" s="214">
        <v>0</v>
      </c>
      <c r="K564" s="163"/>
      <c r="L564" s="163"/>
      <c r="M564" s="163"/>
      <c r="N564" s="163"/>
      <c r="O564" s="163"/>
      <c r="P564" s="163"/>
      <c r="Q564" s="571"/>
      <c r="R564" s="571"/>
      <c r="S564" s="571"/>
      <c r="T564" s="571"/>
      <c r="U564" s="571"/>
      <c r="V564" s="571"/>
      <c r="W564" s="571"/>
      <c r="X564" s="571"/>
      <c r="Y564" s="571"/>
      <c r="Z564" s="571"/>
    </row>
    <row r="565" spans="1:26" ht="18.75" hidden="1">
      <c r="A565" s="601"/>
      <c r="B565" s="611"/>
      <c r="C565" s="611"/>
      <c r="D565" s="619"/>
      <c r="E565" s="619"/>
      <c r="F565" s="619"/>
      <c r="G565" s="753"/>
      <c r="H565" s="755" t="s">
        <v>34</v>
      </c>
      <c r="I565" s="184"/>
      <c r="J565" s="214">
        <v>0</v>
      </c>
      <c r="K565" s="163"/>
      <c r="L565" s="163"/>
      <c r="M565" s="163"/>
      <c r="N565" s="163"/>
      <c r="O565" s="163"/>
      <c r="P565" s="163"/>
      <c r="Q565" s="571"/>
      <c r="R565" s="571"/>
      <c r="S565" s="571"/>
      <c r="T565" s="571"/>
      <c r="U565" s="571"/>
      <c r="V565" s="571"/>
      <c r="W565" s="571"/>
      <c r="X565" s="571"/>
      <c r="Y565" s="571"/>
      <c r="Z565" s="571"/>
    </row>
    <row r="566" spans="1:26" ht="18.75" hidden="1">
      <c r="A566" s="601"/>
      <c r="B566" s="611"/>
      <c r="C566" s="611"/>
      <c r="D566" s="619" t="s">
        <v>238</v>
      </c>
      <c r="E566" s="619"/>
      <c r="F566" s="619"/>
      <c r="G566" s="753"/>
      <c r="H566" s="755" t="s">
        <v>46</v>
      </c>
      <c r="I566" s="184"/>
      <c r="J566" s="214">
        <v>0</v>
      </c>
      <c r="K566" s="163"/>
      <c r="L566" s="163"/>
      <c r="M566" s="163"/>
      <c r="N566" s="163"/>
      <c r="O566" s="163"/>
      <c r="P566" s="163"/>
      <c r="Q566" s="571"/>
      <c r="R566" s="571"/>
      <c r="S566" s="571"/>
      <c r="T566" s="571"/>
      <c r="U566" s="571"/>
      <c r="V566" s="571"/>
      <c r="W566" s="571"/>
      <c r="X566" s="571"/>
      <c r="Y566" s="571"/>
      <c r="Z566" s="571"/>
    </row>
    <row r="567" spans="1:26" ht="18.75" hidden="1">
      <c r="A567" s="601"/>
      <c r="B567" s="611"/>
      <c r="C567" s="611"/>
      <c r="D567" s="619"/>
      <c r="E567" s="619"/>
      <c r="F567" s="619"/>
      <c r="G567" s="753"/>
      <c r="H567" s="755" t="s">
        <v>34</v>
      </c>
      <c r="I567" s="184"/>
      <c r="J567" s="214">
        <v>0</v>
      </c>
      <c r="K567" s="163"/>
      <c r="L567" s="163"/>
      <c r="M567" s="163"/>
      <c r="N567" s="163"/>
      <c r="O567" s="163"/>
      <c r="P567" s="163"/>
      <c r="Q567" s="571"/>
      <c r="R567" s="571"/>
      <c r="S567" s="571"/>
      <c r="T567" s="571"/>
      <c r="U567" s="571"/>
      <c r="V567" s="571"/>
      <c r="W567" s="571"/>
      <c r="X567" s="571"/>
      <c r="Y567" s="571"/>
      <c r="Z567" s="571"/>
    </row>
    <row r="568" spans="1:26" ht="19.5" hidden="1">
      <c r="A568" s="601"/>
      <c r="B568" s="611"/>
      <c r="C568" s="618" t="s">
        <v>239</v>
      </c>
      <c r="D568" s="619"/>
      <c r="E568" s="619"/>
      <c r="F568" s="619"/>
      <c r="G568" s="753"/>
      <c r="H568" s="758" t="s">
        <v>46</v>
      </c>
      <c r="I568" s="193">
        <f ca="1">IFERROR(__xludf.DUMMYFUNCTION("IMPORTRANGE(""https://docs.google.com/spreadsheets/d/1QqKyyYR6Q21VydFLVH3TRQUabQu_ym0Zz7PgGX0-kHA/edit?usp=sharing"",""แผน!HH71"")"),0)</f>
        <v>0</v>
      </c>
      <c r="J568" s="674">
        <f t="shared" ref="J568:J569" si="247">J570+J572+J574</f>
        <v>0</v>
      </c>
      <c r="K568" s="410">
        <f t="shared" ref="K568:K569" ca="1" si="248">IF(I568&gt;0,J568*100/I568,0)</f>
        <v>0</v>
      </c>
      <c r="L568" s="163"/>
      <c r="M568" s="163"/>
      <c r="N568" s="163"/>
      <c r="O568" s="163"/>
      <c r="P568" s="163"/>
      <c r="Q568" s="571"/>
      <c r="R568" s="571"/>
      <c r="S568" s="571"/>
      <c r="T568" s="571"/>
      <c r="U568" s="571"/>
      <c r="V568" s="571"/>
      <c r="W568" s="571"/>
      <c r="X568" s="571"/>
      <c r="Y568" s="571"/>
      <c r="Z568" s="571"/>
    </row>
    <row r="569" spans="1:26" ht="19.5" hidden="1">
      <c r="A569" s="601"/>
      <c r="B569" s="611"/>
      <c r="C569" s="611"/>
      <c r="D569" s="611"/>
      <c r="E569" s="619"/>
      <c r="F569" s="619"/>
      <c r="G569" s="753"/>
      <c r="H569" s="758" t="s">
        <v>34</v>
      </c>
      <c r="I569" s="193">
        <f ca="1">IFERROR(__xludf.DUMMYFUNCTION("IMPORTRANGE(""https://docs.google.com/spreadsheets/d/1QqKyyYR6Q21VydFLVH3TRQUabQu_ym0Zz7PgGX0-kHA/edit?usp=sharing"",""แผน!HG71"")"),0)</f>
        <v>0</v>
      </c>
      <c r="J569" s="674">
        <f t="shared" si="247"/>
        <v>0</v>
      </c>
      <c r="K569" s="410">
        <f t="shared" ca="1" si="248"/>
        <v>0</v>
      </c>
      <c r="L569" s="163"/>
      <c r="M569" s="163"/>
      <c r="N569" s="163"/>
      <c r="O569" s="163"/>
      <c r="P569" s="163"/>
      <c r="Q569" s="571"/>
      <c r="R569" s="571"/>
      <c r="S569" s="571"/>
      <c r="T569" s="571"/>
      <c r="U569" s="571"/>
      <c r="V569" s="571"/>
      <c r="W569" s="571"/>
      <c r="X569" s="571"/>
      <c r="Y569" s="571"/>
      <c r="Z569" s="571"/>
    </row>
    <row r="570" spans="1:26" ht="18.75" hidden="1">
      <c r="A570" s="601"/>
      <c r="B570" s="611"/>
      <c r="C570" s="611"/>
      <c r="D570" s="619" t="s">
        <v>240</v>
      </c>
      <c r="E570" s="611"/>
      <c r="F570" s="619"/>
      <c r="G570" s="753"/>
      <c r="H570" s="755" t="s">
        <v>46</v>
      </c>
      <c r="I570" s="184"/>
      <c r="J570" s="214">
        <v>0</v>
      </c>
      <c r="K570" s="163"/>
      <c r="L570" s="163"/>
      <c r="M570" s="163"/>
      <c r="N570" s="163"/>
      <c r="O570" s="163"/>
      <c r="P570" s="163"/>
      <c r="Q570" s="571"/>
      <c r="R570" s="571"/>
      <c r="S570" s="571"/>
      <c r="T570" s="571"/>
      <c r="U570" s="571"/>
      <c r="V570" s="571"/>
      <c r="W570" s="571"/>
      <c r="X570" s="571"/>
      <c r="Y570" s="571"/>
      <c r="Z570" s="571"/>
    </row>
    <row r="571" spans="1:26" ht="18.75" hidden="1">
      <c r="A571" s="601"/>
      <c r="B571" s="611"/>
      <c r="C571" s="611"/>
      <c r="D571" s="611"/>
      <c r="E571" s="619"/>
      <c r="F571" s="619"/>
      <c r="G571" s="753"/>
      <c r="H571" s="755" t="s">
        <v>34</v>
      </c>
      <c r="I571" s="184"/>
      <c r="J571" s="214">
        <v>0</v>
      </c>
      <c r="K571" s="163"/>
      <c r="L571" s="163"/>
      <c r="M571" s="163"/>
      <c r="N571" s="163"/>
      <c r="O571" s="163"/>
      <c r="P571" s="163"/>
      <c r="Q571" s="571"/>
      <c r="R571" s="571"/>
      <c r="S571" s="571"/>
      <c r="T571" s="571"/>
      <c r="U571" s="571"/>
      <c r="V571" s="571"/>
      <c r="W571" s="571"/>
      <c r="X571" s="571"/>
      <c r="Y571" s="571"/>
      <c r="Z571" s="571"/>
    </row>
    <row r="572" spans="1:26" ht="18.75" hidden="1">
      <c r="A572" s="601"/>
      <c r="B572" s="611"/>
      <c r="C572" s="611"/>
      <c r="D572" s="619" t="s">
        <v>241</v>
      </c>
      <c r="E572" s="619"/>
      <c r="F572" s="619"/>
      <c r="G572" s="753"/>
      <c r="H572" s="755" t="s">
        <v>46</v>
      </c>
      <c r="I572" s="184"/>
      <c r="J572" s="214">
        <v>0</v>
      </c>
      <c r="K572" s="163"/>
      <c r="L572" s="163"/>
      <c r="M572" s="163"/>
      <c r="N572" s="163"/>
      <c r="O572" s="163"/>
      <c r="P572" s="163"/>
      <c r="Q572" s="571"/>
      <c r="R572" s="571"/>
      <c r="S572" s="571"/>
      <c r="T572" s="571"/>
      <c r="U572" s="571"/>
      <c r="V572" s="571"/>
      <c r="W572" s="571"/>
      <c r="X572" s="571"/>
      <c r="Y572" s="571"/>
      <c r="Z572" s="571"/>
    </row>
    <row r="573" spans="1:26" ht="18.75" hidden="1">
      <c r="A573" s="601"/>
      <c r="B573" s="611"/>
      <c r="C573" s="611"/>
      <c r="D573" s="619"/>
      <c r="E573" s="619"/>
      <c r="F573" s="619"/>
      <c r="G573" s="753"/>
      <c r="H573" s="755" t="s">
        <v>34</v>
      </c>
      <c r="I573" s="184"/>
      <c r="J573" s="214">
        <v>0</v>
      </c>
      <c r="K573" s="163"/>
      <c r="L573" s="163"/>
      <c r="M573" s="163"/>
      <c r="N573" s="163"/>
      <c r="O573" s="163"/>
      <c r="P573" s="163"/>
      <c r="Q573" s="571"/>
      <c r="R573" s="571"/>
      <c r="S573" s="571"/>
      <c r="T573" s="571"/>
      <c r="U573" s="571"/>
      <c r="V573" s="571"/>
      <c r="W573" s="571"/>
      <c r="X573" s="571"/>
      <c r="Y573" s="571"/>
      <c r="Z573" s="571"/>
    </row>
    <row r="574" spans="1:26" ht="18.75" hidden="1">
      <c r="A574" s="601"/>
      <c r="B574" s="611"/>
      <c r="C574" s="611"/>
      <c r="D574" s="619" t="s">
        <v>242</v>
      </c>
      <c r="E574" s="619"/>
      <c r="F574" s="619"/>
      <c r="G574" s="753"/>
      <c r="H574" s="755" t="s">
        <v>46</v>
      </c>
      <c r="I574" s="184"/>
      <c r="J574" s="214">
        <v>0</v>
      </c>
      <c r="K574" s="163"/>
      <c r="L574" s="163"/>
      <c r="M574" s="163"/>
      <c r="N574" s="163"/>
      <c r="O574" s="163"/>
      <c r="P574" s="163"/>
      <c r="Q574" s="571"/>
      <c r="R574" s="571"/>
      <c r="S574" s="571"/>
      <c r="T574" s="571"/>
      <c r="U574" s="571"/>
      <c r="V574" s="571"/>
      <c r="W574" s="571"/>
      <c r="X574" s="571"/>
      <c r="Y574" s="571"/>
      <c r="Z574" s="571"/>
    </row>
    <row r="575" spans="1:26" ht="18.75" hidden="1">
      <c r="A575" s="601"/>
      <c r="B575" s="611"/>
      <c r="C575" s="611"/>
      <c r="D575" s="611"/>
      <c r="E575" s="619"/>
      <c r="F575" s="619"/>
      <c r="G575" s="753"/>
      <c r="H575" s="755" t="s">
        <v>34</v>
      </c>
      <c r="I575" s="184"/>
      <c r="J575" s="214">
        <v>0</v>
      </c>
      <c r="K575" s="163"/>
      <c r="L575" s="163"/>
      <c r="M575" s="163"/>
      <c r="N575" s="163"/>
      <c r="O575" s="163"/>
      <c r="P575" s="163"/>
      <c r="Q575" s="571"/>
      <c r="R575" s="571"/>
      <c r="S575" s="571"/>
      <c r="T575" s="571"/>
      <c r="U575" s="571"/>
      <c r="V575" s="571"/>
      <c r="W575" s="571"/>
      <c r="X575" s="571"/>
      <c r="Y575" s="571"/>
      <c r="Z575" s="571"/>
    </row>
    <row r="576" spans="1:26" ht="19.5" hidden="1">
      <c r="A576" s="601"/>
      <c r="B576" s="611"/>
      <c r="C576" s="618" t="s">
        <v>243</v>
      </c>
      <c r="D576" s="611"/>
      <c r="E576" s="611"/>
      <c r="F576" s="619"/>
      <c r="G576" s="753"/>
      <c r="H576" s="758" t="s">
        <v>46</v>
      </c>
      <c r="I576" s="193">
        <f ca="1">IFERROR(__xludf.DUMMYFUNCTION("IMPORTRANGE(""https://docs.google.com/spreadsheets/d/1QqKyyYR6Q21VydFLVH3TRQUabQu_ym0Zz7PgGX0-kHA/edit?usp=sharing"",""แผน!HH71"")"),0)</f>
        <v>0</v>
      </c>
      <c r="J576" s="674">
        <f t="shared" ref="J576:J577" si="249">J578+J580+J582+J588+J590</f>
        <v>0</v>
      </c>
      <c r="K576" s="410">
        <f t="shared" ref="K576:K577" ca="1" si="250">IF(I576&gt;0,J576*100/I576,0)</f>
        <v>0</v>
      </c>
      <c r="L576" s="163"/>
      <c r="M576" s="163"/>
      <c r="N576" s="163"/>
      <c r="O576" s="163"/>
      <c r="P576" s="163"/>
      <c r="Q576" s="571"/>
      <c r="R576" s="571"/>
      <c r="S576" s="571"/>
      <c r="T576" s="571"/>
      <c r="U576" s="571"/>
      <c r="V576" s="571"/>
      <c r="W576" s="571"/>
      <c r="X576" s="571"/>
      <c r="Y576" s="571"/>
      <c r="Z576" s="571"/>
    </row>
    <row r="577" spans="1:26" ht="19.5" hidden="1">
      <c r="A577" s="601"/>
      <c r="B577" s="611"/>
      <c r="C577" s="611"/>
      <c r="D577" s="611"/>
      <c r="E577" s="619"/>
      <c r="F577" s="619"/>
      <c r="G577" s="753"/>
      <c r="H577" s="758" t="s">
        <v>34</v>
      </c>
      <c r="I577" s="193">
        <f ca="1">IFERROR(__xludf.DUMMYFUNCTION("IMPORTRANGE(""https://docs.google.com/spreadsheets/d/1QqKyyYR6Q21VydFLVH3TRQUabQu_ym0Zz7PgGX0-kHA/edit?usp=sharing"",""แผน!HG71"")"),0)</f>
        <v>0</v>
      </c>
      <c r="J577" s="674">
        <f t="shared" si="249"/>
        <v>0</v>
      </c>
      <c r="K577" s="410">
        <f t="shared" ca="1" si="250"/>
        <v>0</v>
      </c>
      <c r="L577" s="163"/>
      <c r="M577" s="163"/>
      <c r="N577" s="163"/>
      <c r="O577" s="163"/>
      <c r="P577" s="163"/>
      <c r="Q577" s="571"/>
      <c r="R577" s="571"/>
      <c r="S577" s="571"/>
      <c r="T577" s="571"/>
      <c r="U577" s="571"/>
      <c r="V577" s="571"/>
      <c r="W577" s="571"/>
      <c r="X577" s="571"/>
      <c r="Y577" s="571"/>
      <c r="Z577" s="571"/>
    </row>
    <row r="578" spans="1:26" ht="18.75" hidden="1">
      <c r="A578" s="601"/>
      <c r="B578" s="611"/>
      <c r="C578" s="611"/>
      <c r="D578" s="619" t="s">
        <v>244</v>
      </c>
      <c r="E578" s="619"/>
      <c r="F578" s="619"/>
      <c r="G578" s="753"/>
      <c r="H578" s="755" t="s">
        <v>46</v>
      </c>
      <c r="I578" s="184"/>
      <c r="J578" s="214">
        <v>0</v>
      </c>
      <c r="K578" s="163"/>
      <c r="L578" s="163"/>
      <c r="M578" s="163"/>
      <c r="N578" s="163"/>
      <c r="O578" s="163"/>
      <c r="P578" s="163"/>
      <c r="Q578" s="571"/>
      <c r="R578" s="571"/>
      <c r="S578" s="571"/>
      <c r="T578" s="571"/>
      <c r="U578" s="571"/>
      <c r="V578" s="571"/>
      <c r="W578" s="571"/>
      <c r="X578" s="571"/>
      <c r="Y578" s="571"/>
      <c r="Z578" s="571"/>
    </row>
    <row r="579" spans="1:26" ht="18.75" hidden="1">
      <c r="A579" s="601"/>
      <c r="B579" s="611"/>
      <c r="C579" s="611"/>
      <c r="D579" s="611"/>
      <c r="E579" s="619"/>
      <c r="F579" s="619"/>
      <c r="G579" s="753"/>
      <c r="H579" s="755" t="s">
        <v>34</v>
      </c>
      <c r="I579" s="184"/>
      <c r="J579" s="214">
        <v>0</v>
      </c>
      <c r="K579" s="163"/>
      <c r="L579" s="163"/>
      <c r="M579" s="163"/>
      <c r="N579" s="163"/>
      <c r="O579" s="163"/>
      <c r="P579" s="163"/>
      <c r="Q579" s="571"/>
      <c r="R579" s="571"/>
      <c r="S579" s="571"/>
      <c r="T579" s="571"/>
      <c r="U579" s="571"/>
      <c r="V579" s="571"/>
      <c r="W579" s="571"/>
      <c r="X579" s="571"/>
      <c r="Y579" s="571"/>
      <c r="Z579" s="571"/>
    </row>
    <row r="580" spans="1:26" ht="18.75" hidden="1">
      <c r="A580" s="601"/>
      <c r="B580" s="611"/>
      <c r="C580" s="611"/>
      <c r="D580" s="619" t="s">
        <v>245</v>
      </c>
      <c r="E580" s="619"/>
      <c r="F580" s="619"/>
      <c r="G580" s="753"/>
      <c r="H580" s="755" t="s">
        <v>46</v>
      </c>
      <c r="I580" s="184"/>
      <c r="J580" s="214">
        <v>0</v>
      </c>
      <c r="K580" s="163"/>
      <c r="L580" s="163"/>
      <c r="M580" s="163"/>
      <c r="N580" s="163"/>
      <c r="O580" s="163"/>
      <c r="P580" s="163"/>
      <c r="Q580" s="571"/>
      <c r="R580" s="571"/>
      <c r="S580" s="571"/>
      <c r="T580" s="571"/>
      <c r="U580" s="571"/>
      <c r="V580" s="571"/>
      <c r="W580" s="571"/>
      <c r="X580" s="571"/>
      <c r="Y580" s="571"/>
      <c r="Z580" s="571"/>
    </row>
    <row r="581" spans="1:26" ht="18.75" hidden="1">
      <c r="A581" s="601"/>
      <c r="B581" s="611"/>
      <c r="C581" s="611"/>
      <c r="D581" s="611"/>
      <c r="E581" s="619"/>
      <c r="F581" s="619"/>
      <c r="G581" s="753"/>
      <c r="H581" s="755" t="s">
        <v>34</v>
      </c>
      <c r="I581" s="184"/>
      <c r="J581" s="214">
        <v>0</v>
      </c>
      <c r="K581" s="163"/>
      <c r="L581" s="163"/>
      <c r="M581" s="163"/>
      <c r="N581" s="163"/>
      <c r="O581" s="163"/>
      <c r="P581" s="163"/>
      <c r="Q581" s="571"/>
      <c r="R581" s="571"/>
      <c r="S581" s="571"/>
      <c r="T581" s="571"/>
      <c r="U581" s="571"/>
      <c r="V581" s="571"/>
      <c r="W581" s="571"/>
      <c r="X581" s="571"/>
      <c r="Y581" s="571"/>
      <c r="Z581" s="571"/>
    </row>
    <row r="582" spans="1:26" ht="19.5" hidden="1">
      <c r="A582" s="601"/>
      <c r="B582" s="611"/>
      <c r="C582" s="611"/>
      <c r="D582" s="619" t="s">
        <v>246</v>
      </c>
      <c r="E582" s="619"/>
      <c r="F582" s="619"/>
      <c r="G582" s="753"/>
      <c r="H582" s="755" t="s">
        <v>46</v>
      </c>
      <c r="I582" s="184"/>
      <c r="J582" s="674">
        <f t="shared" ref="J582:J583" si="251">J584+J586</f>
        <v>0</v>
      </c>
      <c r="K582" s="410"/>
      <c r="L582" s="163"/>
      <c r="M582" s="163"/>
      <c r="N582" s="163"/>
      <c r="O582" s="163"/>
      <c r="P582" s="163"/>
      <c r="Q582" s="571"/>
      <c r="R582" s="571"/>
      <c r="S582" s="571"/>
      <c r="T582" s="571"/>
      <c r="U582" s="571"/>
      <c r="V582" s="571"/>
      <c r="W582" s="571"/>
      <c r="X582" s="571"/>
      <c r="Y582" s="571"/>
      <c r="Z582" s="571"/>
    </row>
    <row r="583" spans="1:26" ht="19.5" hidden="1">
      <c r="A583" s="601"/>
      <c r="B583" s="611"/>
      <c r="C583" s="611"/>
      <c r="D583" s="611"/>
      <c r="E583" s="619"/>
      <c r="F583" s="619"/>
      <c r="G583" s="753"/>
      <c r="H583" s="755" t="s">
        <v>34</v>
      </c>
      <c r="I583" s="184"/>
      <c r="J583" s="674">
        <f t="shared" si="251"/>
        <v>0</v>
      </c>
      <c r="K583" s="410"/>
      <c r="L583" s="163"/>
      <c r="M583" s="163"/>
      <c r="N583" s="163"/>
      <c r="O583" s="163"/>
      <c r="P583" s="163"/>
      <c r="Q583" s="571"/>
      <c r="R583" s="571"/>
      <c r="S583" s="571"/>
      <c r="T583" s="571"/>
      <c r="U583" s="571"/>
      <c r="V583" s="571"/>
      <c r="W583" s="571"/>
      <c r="X583" s="571"/>
      <c r="Y583" s="571"/>
      <c r="Z583" s="571"/>
    </row>
    <row r="584" spans="1:26" ht="18.75" hidden="1">
      <c r="A584" s="601"/>
      <c r="B584" s="611"/>
      <c r="C584" s="611"/>
      <c r="D584" s="611"/>
      <c r="E584" s="619" t="s">
        <v>247</v>
      </c>
      <c r="F584" s="619"/>
      <c r="G584" s="753"/>
      <c r="H584" s="755" t="s">
        <v>46</v>
      </c>
      <c r="I584" s="184"/>
      <c r="J584" s="214">
        <v>0</v>
      </c>
      <c r="K584" s="163"/>
      <c r="L584" s="163"/>
      <c r="M584" s="163"/>
      <c r="N584" s="163"/>
      <c r="O584" s="163"/>
      <c r="P584" s="163"/>
      <c r="Q584" s="571"/>
      <c r="R584" s="571"/>
      <c r="S584" s="571"/>
      <c r="T584" s="571"/>
      <c r="U584" s="571"/>
      <c r="V584" s="571"/>
      <c r="W584" s="571"/>
      <c r="X584" s="571"/>
      <c r="Y584" s="571"/>
      <c r="Z584" s="571"/>
    </row>
    <row r="585" spans="1:26" ht="18.75" hidden="1">
      <c r="A585" s="601"/>
      <c r="B585" s="611"/>
      <c r="C585" s="611"/>
      <c r="D585" s="611"/>
      <c r="E585" s="619"/>
      <c r="F585" s="619"/>
      <c r="G585" s="753"/>
      <c r="H585" s="755" t="s">
        <v>34</v>
      </c>
      <c r="I585" s="184"/>
      <c r="J585" s="214">
        <v>0</v>
      </c>
      <c r="K585" s="163"/>
      <c r="L585" s="163"/>
      <c r="M585" s="163"/>
      <c r="N585" s="163"/>
      <c r="O585" s="163"/>
      <c r="P585" s="163"/>
      <c r="Q585" s="571"/>
      <c r="R585" s="571"/>
      <c r="S585" s="571"/>
      <c r="T585" s="571"/>
      <c r="U585" s="571"/>
      <c r="V585" s="571"/>
      <c r="W585" s="571"/>
      <c r="X585" s="571"/>
      <c r="Y585" s="571"/>
      <c r="Z585" s="571"/>
    </row>
    <row r="586" spans="1:26" ht="18.75" hidden="1">
      <c r="A586" s="601"/>
      <c r="B586" s="611"/>
      <c r="C586" s="611"/>
      <c r="D586" s="611"/>
      <c r="E586" s="619" t="s">
        <v>248</v>
      </c>
      <c r="F586" s="619"/>
      <c r="G586" s="753"/>
      <c r="H586" s="755" t="s">
        <v>46</v>
      </c>
      <c r="I586" s="184"/>
      <c r="J586" s="214">
        <v>0</v>
      </c>
      <c r="K586" s="163"/>
      <c r="L586" s="163"/>
      <c r="M586" s="163"/>
      <c r="N586" s="163"/>
      <c r="O586" s="163"/>
      <c r="P586" s="163"/>
      <c r="Q586" s="571"/>
      <c r="R586" s="571"/>
      <c r="S586" s="571"/>
      <c r="T586" s="571"/>
      <c r="U586" s="571"/>
      <c r="V586" s="571"/>
      <c r="W586" s="571"/>
      <c r="X586" s="571"/>
      <c r="Y586" s="571"/>
      <c r="Z586" s="571"/>
    </row>
    <row r="587" spans="1:26" ht="18.75" hidden="1">
      <c r="A587" s="601"/>
      <c r="B587" s="611"/>
      <c r="C587" s="611"/>
      <c r="D587" s="611"/>
      <c r="E587" s="611"/>
      <c r="F587" s="619"/>
      <c r="G587" s="753"/>
      <c r="H587" s="755" t="s">
        <v>34</v>
      </c>
      <c r="I587" s="184"/>
      <c r="J587" s="214">
        <v>0</v>
      </c>
      <c r="K587" s="163"/>
      <c r="L587" s="163"/>
      <c r="M587" s="163"/>
      <c r="N587" s="163"/>
      <c r="O587" s="163"/>
      <c r="P587" s="163"/>
      <c r="Q587" s="571"/>
      <c r="R587" s="571"/>
      <c r="S587" s="571"/>
      <c r="T587" s="571"/>
      <c r="U587" s="571"/>
      <c r="V587" s="571"/>
      <c r="W587" s="571"/>
      <c r="X587" s="571"/>
      <c r="Y587" s="571"/>
      <c r="Z587" s="571"/>
    </row>
    <row r="588" spans="1:26" ht="18.75" hidden="1">
      <c r="A588" s="601"/>
      <c r="B588" s="611"/>
      <c r="C588" s="611"/>
      <c r="D588" s="619" t="s">
        <v>249</v>
      </c>
      <c r="E588" s="619"/>
      <c r="F588" s="619"/>
      <c r="G588" s="753"/>
      <c r="H588" s="755" t="s">
        <v>46</v>
      </c>
      <c r="I588" s="184"/>
      <c r="J588" s="214">
        <v>0</v>
      </c>
      <c r="K588" s="163"/>
      <c r="L588" s="163"/>
      <c r="M588" s="163"/>
      <c r="N588" s="163"/>
      <c r="O588" s="163"/>
      <c r="P588" s="163"/>
      <c r="Q588" s="571"/>
      <c r="R588" s="571"/>
      <c r="S588" s="571"/>
      <c r="T588" s="571"/>
      <c r="U588" s="571"/>
      <c r="V588" s="571"/>
      <c r="W588" s="571"/>
      <c r="X588" s="571"/>
      <c r="Y588" s="571"/>
      <c r="Z588" s="571"/>
    </row>
    <row r="589" spans="1:26" ht="18.75" hidden="1">
      <c r="A589" s="601"/>
      <c r="B589" s="611"/>
      <c r="C589" s="611"/>
      <c r="D589" s="611"/>
      <c r="E589" s="611"/>
      <c r="F589" s="619"/>
      <c r="G589" s="753"/>
      <c r="H589" s="755" t="s">
        <v>34</v>
      </c>
      <c r="I589" s="184"/>
      <c r="J589" s="214">
        <v>0</v>
      </c>
      <c r="K589" s="163"/>
      <c r="L589" s="163"/>
      <c r="M589" s="163"/>
      <c r="N589" s="163"/>
      <c r="O589" s="163"/>
      <c r="P589" s="163"/>
      <c r="Q589" s="571"/>
      <c r="R589" s="571"/>
      <c r="S589" s="571"/>
      <c r="T589" s="571"/>
      <c r="U589" s="571"/>
      <c r="V589" s="571"/>
      <c r="W589" s="571"/>
      <c r="X589" s="571"/>
      <c r="Y589" s="571"/>
      <c r="Z589" s="571"/>
    </row>
    <row r="590" spans="1:26" ht="18.75" hidden="1">
      <c r="A590" s="601"/>
      <c r="B590" s="611"/>
      <c r="C590" s="611"/>
      <c r="D590" s="619" t="s">
        <v>250</v>
      </c>
      <c r="E590" s="619"/>
      <c r="F590" s="619"/>
      <c r="G590" s="753"/>
      <c r="H590" s="755" t="s">
        <v>46</v>
      </c>
      <c r="I590" s="184"/>
      <c r="J590" s="214">
        <v>0</v>
      </c>
      <c r="K590" s="163"/>
      <c r="L590" s="163"/>
      <c r="M590" s="163"/>
      <c r="N590" s="163"/>
      <c r="O590" s="163"/>
      <c r="P590" s="163"/>
      <c r="Q590" s="571"/>
      <c r="R590" s="571"/>
      <c r="S590" s="571"/>
      <c r="T590" s="571"/>
      <c r="U590" s="571"/>
      <c r="V590" s="571"/>
      <c r="W590" s="571"/>
      <c r="X590" s="571"/>
      <c r="Y590" s="571"/>
      <c r="Z590" s="571"/>
    </row>
    <row r="591" spans="1:26" ht="18.75" hidden="1">
      <c r="A591" s="689"/>
      <c r="B591" s="690"/>
      <c r="C591" s="690"/>
      <c r="D591" s="690"/>
      <c r="E591" s="571"/>
      <c r="F591" s="571"/>
      <c r="G591" s="691"/>
      <c r="H591" s="692" t="s">
        <v>34</v>
      </c>
      <c r="I591" s="693"/>
      <c r="J591" s="694">
        <v>0</v>
      </c>
      <c r="K591" s="695"/>
      <c r="L591" s="695"/>
      <c r="M591" s="695"/>
      <c r="N591" s="695"/>
      <c r="O591" s="695"/>
      <c r="P591" s="695"/>
      <c r="Q591" s="571"/>
      <c r="R591" s="571"/>
      <c r="S591" s="571"/>
      <c r="T591" s="571"/>
      <c r="U591" s="571"/>
      <c r="V591" s="571"/>
      <c r="W591" s="571"/>
      <c r="X591" s="571"/>
      <c r="Y591" s="571"/>
      <c r="Z591" s="571"/>
    </row>
    <row r="592" spans="1:26" ht="19.5" hidden="1">
      <c r="A592" s="685"/>
      <c r="B592" s="686" t="s">
        <v>251</v>
      </c>
      <c r="C592" s="687"/>
      <c r="D592" s="687"/>
      <c r="E592" s="666"/>
      <c r="F592" s="666"/>
      <c r="G592" s="667"/>
      <c r="H592" s="688" t="s">
        <v>46</v>
      </c>
      <c r="I592" s="699">
        <f t="shared" ref="I592:J592" ca="1" si="252">I593</f>
        <v>0</v>
      </c>
      <c r="J592" s="699">
        <f t="shared" si="252"/>
        <v>0</v>
      </c>
      <c r="K592" s="670">
        <f t="shared" ref="K592:K594" ca="1" si="253">IF(I592&gt;0,J592*100/I592,0)</f>
        <v>0</v>
      </c>
      <c r="L592" s="671"/>
      <c r="M592" s="671"/>
      <c r="N592" s="671"/>
      <c r="O592" s="671"/>
      <c r="P592" s="671"/>
      <c r="Q592" s="571"/>
      <c r="R592" s="571"/>
      <c r="S592" s="571"/>
      <c r="T592" s="571"/>
      <c r="U592" s="571"/>
      <c r="V592" s="571"/>
      <c r="W592" s="571"/>
      <c r="X592" s="571"/>
      <c r="Y592" s="571"/>
      <c r="Z592" s="571"/>
    </row>
    <row r="593" spans="1:26" ht="19.5" hidden="1">
      <c r="A593" s="601"/>
      <c r="B593" s="611"/>
      <c r="C593" s="618" t="s">
        <v>252</v>
      </c>
      <c r="D593" s="611"/>
      <c r="E593" s="611"/>
      <c r="F593" s="619"/>
      <c r="G593" s="753"/>
      <c r="H593" s="758" t="s">
        <v>46</v>
      </c>
      <c r="I593" s="193">
        <f ca="1">IFERROR(__xludf.DUMMYFUNCTION("IMPORTRANGE(""https://docs.google.com/spreadsheets/d/1QqKyyYR6Q21VydFLVH3TRQUabQu_ym0Zz7PgGX0-kHA/edit?usp=sharing"",""แผน!HJ71"")"),0)</f>
        <v>0</v>
      </c>
      <c r="J593" s="193">
        <f t="shared" ref="J593:J594" si="254">J595+J603+J609</f>
        <v>0</v>
      </c>
      <c r="K593" s="410">
        <f t="shared" ca="1" si="253"/>
        <v>0</v>
      </c>
      <c r="L593" s="163"/>
      <c r="M593" s="163"/>
      <c r="N593" s="163"/>
      <c r="O593" s="163"/>
      <c r="P593" s="163"/>
      <c r="Q593" s="571"/>
      <c r="R593" s="571"/>
      <c r="S593" s="571"/>
      <c r="T593" s="571"/>
      <c r="U593" s="571"/>
      <c r="V593" s="571"/>
      <c r="W593" s="571"/>
      <c r="X593" s="571"/>
      <c r="Y593" s="571"/>
      <c r="Z593" s="571"/>
    </row>
    <row r="594" spans="1:26" ht="19.5" hidden="1">
      <c r="A594" s="601"/>
      <c r="B594" s="611"/>
      <c r="C594" s="611"/>
      <c r="D594" s="611"/>
      <c r="E594" s="619"/>
      <c r="F594" s="619"/>
      <c r="G594" s="753"/>
      <c r="H594" s="758" t="s">
        <v>34</v>
      </c>
      <c r="I594" s="193">
        <f ca="1">IFERROR(__xludf.DUMMYFUNCTION("IMPORTRANGE(""https://docs.google.com/spreadsheets/d/1QqKyyYR6Q21VydFLVH3TRQUabQu_ym0Zz7PgGX0-kHA/edit?usp=sharing"",""แผน!HI71"")"),0)</f>
        <v>0</v>
      </c>
      <c r="J594" s="193">
        <f t="shared" si="254"/>
        <v>0</v>
      </c>
      <c r="K594" s="410">
        <f t="shared" ca="1" si="253"/>
        <v>0</v>
      </c>
      <c r="L594" s="163"/>
      <c r="M594" s="163"/>
      <c r="N594" s="163"/>
      <c r="O594" s="163"/>
      <c r="P594" s="163"/>
      <c r="Q594" s="571"/>
      <c r="R594" s="571"/>
      <c r="S594" s="571"/>
      <c r="T594" s="571"/>
      <c r="U594" s="571"/>
      <c r="V594" s="571"/>
      <c r="W594" s="571"/>
      <c r="X594" s="571"/>
      <c r="Y594" s="571"/>
      <c r="Z594" s="571"/>
    </row>
    <row r="595" spans="1:26" ht="18.75" hidden="1">
      <c r="A595" s="601"/>
      <c r="B595" s="611"/>
      <c r="C595" s="611" t="s">
        <v>253</v>
      </c>
      <c r="D595" s="611"/>
      <c r="E595" s="611"/>
      <c r="F595" s="619"/>
      <c r="G595" s="753"/>
      <c r="H595" s="755" t="s">
        <v>46</v>
      </c>
      <c r="I595" s="184"/>
      <c r="J595" s="184">
        <f t="shared" ref="J595:J596" si="255">J597+J599</f>
        <v>0</v>
      </c>
      <c r="K595" s="163"/>
      <c r="L595" s="163"/>
      <c r="M595" s="163"/>
      <c r="N595" s="163"/>
      <c r="O595" s="163"/>
      <c r="P595" s="163"/>
      <c r="Q595" s="571"/>
      <c r="R595" s="571"/>
      <c r="S595" s="571"/>
      <c r="T595" s="571"/>
      <c r="U595" s="571"/>
      <c r="V595" s="571"/>
      <c r="W595" s="571"/>
      <c r="X595" s="571"/>
      <c r="Y595" s="571"/>
      <c r="Z595" s="571"/>
    </row>
    <row r="596" spans="1:26" ht="18.75" hidden="1">
      <c r="A596" s="601"/>
      <c r="B596" s="611"/>
      <c r="C596" s="611"/>
      <c r="D596" s="611"/>
      <c r="E596" s="619"/>
      <c r="F596" s="619"/>
      <c r="G596" s="753"/>
      <c r="H596" s="755" t="s">
        <v>34</v>
      </c>
      <c r="I596" s="184"/>
      <c r="J596" s="184">
        <f t="shared" si="255"/>
        <v>0</v>
      </c>
      <c r="K596" s="163"/>
      <c r="L596" s="163"/>
      <c r="M596" s="163"/>
      <c r="N596" s="163"/>
      <c r="O596" s="163"/>
      <c r="P596" s="163"/>
      <c r="Q596" s="571"/>
      <c r="R596" s="571"/>
      <c r="S596" s="571"/>
      <c r="T596" s="571"/>
      <c r="U596" s="571"/>
      <c r="V596" s="571"/>
      <c r="W596" s="571"/>
      <c r="X596" s="571"/>
      <c r="Y596" s="571"/>
      <c r="Z596" s="571"/>
    </row>
    <row r="597" spans="1:26" ht="18.75" hidden="1">
      <c r="A597" s="601"/>
      <c r="B597" s="611"/>
      <c r="C597" s="611"/>
      <c r="D597" s="737" t="s">
        <v>254</v>
      </c>
      <c r="E597" s="619"/>
      <c r="F597" s="619"/>
      <c r="G597" s="753"/>
      <c r="H597" s="755" t="s">
        <v>46</v>
      </c>
      <c r="I597" s="184"/>
      <c r="J597" s="214">
        <v>0</v>
      </c>
      <c r="K597" s="163"/>
      <c r="L597" s="163"/>
      <c r="M597" s="163"/>
      <c r="N597" s="163"/>
      <c r="O597" s="163"/>
      <c r="P597" s="163"/>
      <c r="Q597" s="571"/>
      <c r="R597" s="571"/>
      <c r="S597" s="571"/>
      <c r="T597" s="571"/>
      <c r="U597" s="571"/>
      <c r="V597" s="571"/>
      <c r="W597" s="571"/>
      <c r="X597" s="571"/>
      <c r="Y597" s="571"/>
      <c r="Z597" s="571"/>
    </row>
    <row r="598" spans="1:26" ht="18.75" hidden="1">
      <c r="A598" s="601"/>
      <c r="B598" s="611"/>
      <c r="C598" s="611"/>
      <c r="D598" s="611"/>
      <c r="E598" s="619"/>
      <c r="F598" s="619"/>
      <c r="G598" s="753"/>
      <c r="H598" s="755" t="s">
        <v>34</v>
      </c>
      <c r="I598" s="269"/>
      <c r="J598" s="214">
        <v>0</v>
      </c>
      <c r="K598" s="163"/>
      <c r="L598" s="163"/>
      <c r="M598" s="163"/>
      <c r="N598" s="163"/>
      <c r="O598" s="163"/>
      <c r="P598" s="163"/>
      <c r="Q598" s="571"/>
      <c r="R598" s="571"/>
      <c r="S598" s="571"/>
      <c r="T598" s="571"/>
      <c r="U598" s="571"/>
      <c r="V598" s="571"/>
      <c r="W598" s="571"/>
      <c r="X598" s="571"/>
      <c r="Y598" s="571"/>
      <c r="Z598" s="571"/>
    </row>
    <row r="599" spans="1:26" ht="18.75" hidden="1">
      <c r="A599" s="601"/>
      <c r="B599" s="611"/>
      <c r="C599" s="611"/>
      <c r="D599" s="737" t="s">
        <v>255</v>
      </c>
      <c r="E599" s="619"/>
      <c r="F599" s="619"/>
      <c r="G599" s="753"/>
      <c r="H599" s="755" t="s">
        <v>46</v>
      </c>
      <c r="I599" s="269"/>
      <c r="J599" s="214">
        <v>0</v>
      </c>
      <c r="K599" s="163"/>
      <c r="L599" s="163"/>
      <c r="M599" s="163"/>
      <c r="N599" s="163"/>
      <c r="O599" s="163"/>
      <c r="P599" s="163"/>
      <c r="Q599" s="571"/>
      <c r="R599" s="571"/>
      <c r="S599" s="571"/>
      <c r="T599" s="571"/>
      <c r="U599" s="571"/>
      <c r="V599" s="571"/>
      <c r="W599" s="571"/>
      <c r="X599" s="571"/>
      <c r="Y599" s="571"/>
      <c r="Z599" s="571"/>
    </row>
    <row r="600" spans="1:26" ht="18.75" hidden="1">
      <c r="A600" s="601"/>
      <c r="B600" s="611"/>
      <c r="C600" s="611"/>
      <c r="D600" s="611"/>
      <c r="E600" s="619"/>
      <c r="F600" s="619"/>
      <c r="G600" s="753"/>
      <c r="H600" s="755" t="s">
        <v>34</v>
      </c>
      <c r="I600" s="269"/>
      <c r="J600" s="214">
        <v>0</v>
      </c>
      <c r="K600" s="163"/>
      <c r="L600" s="163"/>
      <c r="M600" s="163"/>
      <c r="N600" s="163"/>
      <c r="O600" s="163"/>
      <c r="P600" s="163"/>
      <c r="Q600" s="571"/>
      <c r="R600" s="571"/>
      <c r="S600" s="571"/>
      <c r="T600" s="571"/>
      <c r="U600" s="571"/>
      <c r="V600" s="571"/>
      <c r="W600" s="571"/>
      <c r="X600" s="571"/>
      <c r="Y600" s="571"/>
      <c r="Z600" s="571"/>
    </row>
    <row r="601" spans="1:26" ht="18.75" hidden="1">
      <c r="A601" s="601"/>
      <c r="B601" s="611"/>
      <c r="C601" s="611"/>
      <c r="D601" s="737" t="s">
        <v>256</v>
      </c>
      <c r="E601" s="619"/>
      <c r="F601" s="619"/>
      <c r="G601" s="753"/>
      <c r="H601" s="755" t="s">
        <v>46</v>
      </c>
      <c r="I601" s="269"/>
      <c r="J601" s="214">
        <v>0</v>
      </c>
      <c r="K601" s="163"/>
      <c r="L601" s="163"/>
      <c r="M601" s="163"/>
      <c r="N601" s="163"/>
      <c r="O601" s="163"/>
      <c r="P601" s="163"/>
      <c r="Q601" s="571"/>
      <c r="R601" s="571"/>
      <c r="S601" s="571"/>
      <c r="T601" s="571"/>
      <c r="U601" s="571"/>
      <c r="V601" s="571"/>
      <c r="W601" s="571"/>
      <c r="X601" s="571"/>
      <c r="Y601" s="571"/>
      <c r="Z601" s="571"/>
    </row>
    <row r="602" spans="1:26" ht="18.75" hidden="1">
      <c r="A602" s="601"/>
      <c r="B602" s="611"/>
      <c r="C602" s="611"/>
      <c r="D602" s="611"/>
      <c r="E602" s="619"/>
      <c r="F602" s="619"/>
      <c r="G602" s="753"/>
      <c r="H602" s="755" t="s">
        <v>34</v>
      </c>
      <c r="I602" s="269"/>
      <c r="J602" s="214">
        <v>0</v>
      </c>
      <c r="K602" s="163"/>
      <c r="L602" s="163"/>
      <c r="M602" s="163"/>
      <c r="N602" s="163"/>
      <c r="O602" s="163"/>
      <c r="P602" s="163"/>
      <c r="Q602" s="571"/>
      <c r="R602" s="571"/>
      <c r="S602" s="571"/>
      <c r="T602" s="571"/>
      <c r="U602" s="571"/>
      <c r="V602" s="571"/>
      <c r="W602" s="571"/>
      <c r="X602" s="571"/>
      <c r="Y602" s="571"/>
      <c r="Z602" s="571"/>
    </row>
    <row r="603" spans="1:26" ht="18.75" hidden="1">
      <c r="A603" s="601"/>
      <c r="B603" s="611"/>
      <c r="C603" s="696" t="s">
        <v>257</v>
      </c>
      <c r="D603" s="611"/>
      <c r="E603" s="611"/>
      <c r="F603" s="619"/>
      <c r="G603" s="753"/>
      <c r="H603" s="755" t="s">
        <v>46</v>
      </c>
      <c r="I603" s="269"/>
      <c r="J603" s="269">
        <f t="shared" ref="J603:J604" si="256">J605+J607</f>
        <v>0</v>
      </c>
      <c r="K603" s="163"/>
      <c r="L603" s="163"/>
      <c r="M603" s="163"/>
      <c r="N603" s="163"/>
      <c r="O603" s="163"/>
      <c r="P603" s="163"/>
      <c r="Q603" s="571"/>
      <c r="R603" s="571"/>
      <c r="S603" s="571"/>
      <c r="T603" s="571"/>
      <c r="U603" s="571"/>
      <c r="V603" s="571"/>
      <c r="W603" s="571"/>
      <c r="X603" s="571"/>
      <c r="Y603" s="571"/>
      <c r="Z603" s="571"/>
    </row>
    <row r="604" spans="1:26" ht="18.75" hidden="1">
      <c r="A604" s="601"/>
      <c r="B604" s="611"/>
      <c r="C604" s="611"/>
      <c r="D604" s="611"/>
      <c r="E604" s="619"/>
      <c r="F604" s="619"/>
      <c r="G604" s="753"/>
      <c r="H604" s="755" t="s">
        <v>34</v>
      </c>
      <c r="I604" s="269"/>
      <c r="J604" s="269">
        <f t="shared" si="256"/>
        <v>0</v>
      </c>
      <c r="K604" s="163"/>
      <c r="L604" s="163"/>
      <c r="M604" s="163"/>
      <c r="N604" s="163"/>
      <c r="O604" s="163"/>
      <c r="P604" s="163"/>
      <c r="Q604" s="571"/>
      <c r="R604" s="571"/>
      <c r="S604" s="571"/>
      <c r="T604" s="571"/>
      <c r="U604" s="571"/>
      <c r="V604" s="571"/>
      <c r="W604" s="571"/>
      <c r="X604" s="571"/>
      <c r="Y604" s="571"/>
      <c r="Z604" s="571"/>
    </row>
    <row r="605" spans="1:26" ht="18.75" hidden="1">
      <c r="A605" s="601"/>
      <c r="B605" s="611"/>
      <c r="C605" s="611"/>
      <c r="D605" s="696" t="s">
        <v>258</v>
      </c>
      <c r="E605" s="619"/>
      <c r="F605" s="619"/>
      <c r="G605" s="753"/>
      <c r="H605" s="755" t="s">
        <v>46</v>
      </c>
      <c r="I605" s="269"/>
      <c r="J605" s="214">
        <v>0</v>
      </c>
      <c r="K605" s="163"/>
      <c r="L605" s="163"/>
      <c r="M605" s="163"/>
      <c r="N605" s="163"/>
      <c r="O605" s="163"/>
      <c r="P605" s="163"/>
      <c r="Q605" s="571"/>
      <c r="R605" s="571"/>
      <c r="S605" s="571"/>
      <c r="T605" s="571"/>
      <c r="U605" s="571"/>
      <c r="V605" s="571"/>
      <c r="W605" s="571"/>
      <c r="X605" s="571"/>
      <c r="Y605" s="571"/>
      <c r="Z605" s="571"/>
    </row>
    <row r="606" spans="1:26" ht="18.75" hidden="1">
      <c r="A606" s="601"/>
      <c r="B606" s="611"/>
      <c r="C606" s="611"/>
      <c r="D606" s="611"/>
      <c r="E606" s="611"/>
      <c r="F606" s="619"/>
      <c r="G606" s="753"/>
      <c r="H606" s="755" t="s">
        <v>34</v>
      </c>
      <c r="I606" s="269"/>
      <c r="J606" s="214">
        <v>0</v>
      </c>
      <c r="K606" s="163"/>
      <c r="L606" s="163"/>
      <c r="M606" s="163"/>
      <c r="N606" s="163"/>
      <c r="O606" s="163"/>
      <c r="P606" s="163"/>
      <c r="Q606" s="571"/>
      <c r="R606" s="571"/>
      <c r="S606" s="571"/>
      <c r="T606" s="571"/>
      <c r="U606" s="571"/>
      <c r="V606" s="571"/>
      <c r="W606" s="571"/>
      <c r="X606" s="571"/>
      <c r="Y606" s="571"/>
      <c r="Z606" s="571"/>
    </row>
    <row r="607" spans="1:26" ht="18.75" hidden="1">
      <c r="A607" s="601"/>
      <c r="B607" s="611"/>
      <c r="C607" s="611"/>
      <c r="D607" s="696" t="s">
        <v>259</v>
      </c>
      <c r="E607" s="611"/>
      <c r="F607" s="619"/>
      <c r="G607" s="753"/>
      <c r="H607" s="755" t="s">
        <v>46</v>
      </c>
      <c r="I607" s="269"/>
      <c r="J607" s="214">
        <v>0</v>
      </c>
      <c r="K607" s="163"/>
      <c r="L607" s="163"/>
      <c r="M607" s="163"/>
      <c r="N607" s="163"/>
      <c r="O607" s="163"/>
      <c r="P607" s="163"/>
      <c r="Q607" s="571"/>
      <c r="R607" s="571"/>
      <c r="S607" s="571"/>
      <c r="T607" s="571"/>
      <c r="U607" s="571"/>
      <c r="V607" s="571"/>
      <c r="W607" s="571"/>
      <c r="X607" s="571"/>
      <c r="Y607" s="571"/>
      <c r="Z607" s="571"/>
    </row>
    <row r="608" spans="1:26" ht="18.75" hidden="1">
      <c r="A608" s="601"/>
      <c r="B608" s="611"/>
      <c r="C608" s="611"/>
      <c r="D608" s="611"/>
      <c r="E608" s="619"/>
      <c r="F608" s="619"/>
      <c r="G608" s="753"/>
      <c r="H608" s="755" t="s">
        <v>34</v>
      </c>
      <c r="I608" s="269"/>
      <c r="J608" s="214">
        <v>0</v>
      </c>
      <c r="K608" s="163"/>
      <c r="L608" s="163"/>
      <c r="M608" s="163"/>
      <c r="N608" s="163"/>
      <c r="O608" s="163"/>
      <c r="P608" s="163"/>
      <c r="Q608" s="571"/>
      <c r="R608" s="571"/>
      <c r="S608" s="571"/>
      <c r="T608" s="571"/>
      <c r="U608" s="571"/>
      <c r="V608" s="571"/>
      <c r="W608" s="571"/>
      <c r="X608" s="571"/>
      <c r="Y608" s="571"/>
      <c r="Z608" s="571"/>
    </row>
    <row r="609" spans="1:26" ht="18.75" hidden="1">
      <c r="A609" s="601"/>
      <c r="B609" s="611"/>
      <c r="C609" s="611" t="s">
        <v>260</v>
      </c>
      <c r="D609" s="611"/>
      <c r="E609" s="611"/>
      <c r="F609" s="619"/>
      <c r="G609" s="753"/>
      <c r="H609" s="755" t="s">
        <v>46</v>
      </c>
      <c r="I609" s="269"/>
      <c r="J609" s="214">
        <v>0</v>
      </c>
      <c r="K609" s="163"/>
      <c r="L609" s="163"/>
      <c r="M609" s="163"/>
      <c r="N609" s="163"/>
      <c r="O609" s="163"/>
      <c r="P609" s="163"/>
      <c r="Q609" s="571"/>
      <c r="R609" s="571"/>
      <c r="S609" s="571"/>
      <c r="T609" s="571"/>
      <c r="U609" s="571"/>
      <c r="V609" s="571"/>
      <c r="W609" s="571"/>
      <c r="X609" s="571"/>
      <c r="Y609" s="571"/>
      <c r="Z609" s="571"/>
    </row>
    <row r="610" spans="1:26" ht="18.75" hidden="1">
      <c r="A610" s="601"/>
      <c r="B610" s="611"/>
      <c r="C610" s="611"/>
      <c r="D610" s="611"/>
      <c r="E610" s="619"/>
      <c r="F610" s="619"/>
      <c r="G610" s="753"/>
      <c r="H610" s="755" t="s">
        <v>34</v>
      </c>
      <c r="I610" s="269"/>
      <c r="J610" s="214">
        <v>0</v>
      </c>
      <c r="K610" s="163"/>
      <c r="L610" s="163"/>
      <c r="M610" s="163"/>
      <c r="N610" s="163"/>
      <c r="O610" s="163"/>
      <c r="P610" s="163"/>
      <c r="Q610" s="571"/>
      <c r="R610" s="571"/>
      <c r="S610" s="571"/>
      <c r="T610" s="571"/>
      <c r="U610" s="571"/>
      <c r="V610" s="571"/>
      <c r="W610" s="571"/>
      <c r="X610" s="571"/>
      <c r="Y610" s="571"/>
      <c r="Z610" s="571"/>
    </row>
    <row r="611" spans="1:26" ht="19.5" hidden="1">
      <c r="A611" s="685"/>
      <c r="B611" s="697" t="s">
        <v>261</v>
      </c>
      <c r="C611" s="687"/>
      <c r="D611" s="687"/>
      <c r="E611" s="666"/>
      <c r="F611" s="666"/>
      <c r="G611" s="667"/>
      <c r="H611" s="698" t="s">
        <v>46</v>
      </c>
      <c r="I611" s="699">
        <v>0</v>
      </c>
      <c r="J611" s="699">
        <f>J614+J616</f>
        <v>0</v>
      </c>
      <c r="K611" s="670">
        <f t="shared" ref="K611:K613" si="257">IF(I611&gt;0,J611*100/I611,0)</f>
        <v>0</v>
      </c>
      <c r="L611" s="671"/>
      <c r="M611" s="671"/>
      <c r="N611" s="671"/>
      <c r="O611" s="671"/>
      <c r="P611" s="671"/>
      <c r="Q611" s="571"/>
      <c r="R611" s="571"/>
      <c r="S611" s="571"/>
      <c r="T611" s="571"/>
      <c r="U611" s="571"/>
      <c r="V611" s="571"/>
      <c r="W611" s="571"/>
      <c r="X611" s="571"/>
      <c r="Y611" s="571"/>
      <c r="Z611" s="571"/>
    </row>
    <row r="612" spans="1:26" ht="19.5" hidden="1">
      <c r="A612" s="700"/>
      <c r="B612" s="710"/>
      <c r="C612" s="702" t="s">
        <v>262</v>
      </c>
      <c r="D612" s="710"/>
      <c r="E612" s="710"/>
      <c r="F612" s="703"/>
      <c r="G612" s="704"/>
      <c r="H612" s="705" t="s">
        <v>46</v>
      </c>
      <c r="I612" s="707">
        <v>0</v>
      </c>
      <c r="J612" s="707">
        <f t="shared" ref="J612:J613" si="258">J614+J616</f>
        <v>0</v>
      </c>
      <c r="K612" s="708">
        <f t="shared" si="257"/>
        <v>0</v>
      </c>
      <c r="L612" s="709"/>
      <c r="M612" s="709"/>
      <c r="N612" s="709"/>
      <c r="O612" s="709"/>
      <c r="P612" s="709"/>
      <c r="Q612" s="597"/>
      <c r="R612" s="597"/>
      <c r="S612" s="597"/>
      <c r="T612" s="597"/>
      <c r="U612" s="597"/>
      <c r="V612" s="597"/>
      <c r="W612" s="597"/>
      <c r="X612" s="597"/>
      <c r="Y612" s="597"/>
      <c r="Z612" s="597"/>
    </row>
    <row r="613" spans="1:26" ht="19.5" hidden="1">
      <c r="A613" s="700"/>
      <c r="B613" s="710"/>
      <c r="C613" s="710" t="s">
        <v>263</v>
      </c>
      <c r="D613" s="710"/>
      <c r="E613" s="710"/>
      <c r="F613" s="703"/>
      <c r="G613" s="704"/>
      <c r="H613" s="705" t="s">
        <v>34</v>
      </c>
      <c r="I613" s="707">
        <v>0</v>
      </c>
      <c r="J613" s="707">
        <f t="shared" si="258"/>
        <v>0</v>
      </c>
      <c r="K613" s="708">
        <f t="shared" si="257"/>
        <v>0</v>
      </c>
      <c r="L613" s="709"/>
      <c r="M613" s="709"/>
      <c r="N613" s="709"/>
      <c r="O613" s="709"/>
      <c r="P613" s="709"/>
      <c r="Q613" s="597"/>
      <c r="R613" s="597"/>
      <c r="S613" s="597"/>
      <c r="T613" s="597"/>
      <c r="U613" s="597"/>
      <c r="V613" s="597"/>
      <c r="W613" s="597"/>
      <c r="X613" s="597"/>
      <c r="Y613" s="597"/>
      <c r="Z613" s="597"/>
    </row>
    <row r="614" spans="1:26" ht="18.75" hidden="1">
      <c r="A614" s="607"/>
      <c r="B614" s="609"/>
      <c r="C614" s="609"/>
      <c r="D614" s="711" t="s">
        <v>264</v>
      </c>
      <c r="E614" s="609"/>
      <c r="F614" s="711"/>
      <c r="G614" s="365"/>
      <c r="H614" s="369" t="s">
        <v>46</v>
      </c>
      <c r="I614" s="610"/>
      <c r="J614" s="610">
        <v>0</v>
      </c>
      <c r="K614" s="167"/>
      <c r="L614" s="167"/>
      <c r="M614" s="167"/>
      <c r="N614" s="167"/>
      <c r="O614" s="167"/>
      <c r="P614" s="167"/>
      <c r="Q614" s="597"/>
      <c r="R614" s="597"/>
      <c r="S614" s="597"/>
      <c r="T614" s="597"/>
      <c r="U614" s="597"/>
      <c r="V614" s="597"/>
      <c r="W614" s="597"/>
      <c r="X614" s="597"/>
      <c r="Y614" s="597"/>
      <c r="Z614" s="597"/>
    </row>
    <row r="615" spans="1:26" ht="18.75" hidden="1">
      <c r="A615" s="607"/>
      <c r="B615" s="609"/>
      <c r="C615" s="609"/>
      <c r="D615" s="609"/>
      <c r="E615" s="609"/>
      <c r="F615" s="711"/>
      <c r="G615" s="365"/>
      <c r="H615" s="369" t="s">
        <v>34</v>
      </c>
      <c r="I615" s="610"/>
      <c r="J615" s="610">
        <v>0</v>
      </c>
      <c r="K615" s="167"/>
      <c r="L615" s="167"/>
      <c r="M615" s="167"/>
      <c r="N615" s="167"/>
      <c r="O615" s="167"/>
      <c r="P615" s="167"/>
      <c r="Q615" s="597"/>
      <c r="R615" s="597"/>
      <c r="S615" s="597"/>
      <c r="T615" s="597"/>
      <c r="U615" s="597"/>
      <c r="V615" s="597"/>
      <c r="W615" s="597"/>
      <c r="X615" s="597"/>
      <c r="Y615" s="597"/>
      <c r="Z615" s="597"/>
    </row>
    <row r="616" spans="1:26" ht="18.75" hidden="1">
      <c r="A616" s="607"/>
      <c r="B616" s="609"/>
      <c r="C616" s="609"/>
      <c r="D616" s="712" t="s">
        <v>264</v>
      </c>
      <c r="E616" s="711"/>
      <c r="F616" s="711"/>
      <c r="G616" s="365"/>
      <c r="H616" s="369" t="s">
        <v>46</v>
      </c>
      <c r="I616" s="610"/>
      <c r="J616" s="610">
        <v>0</v>
      </c>
      <c r="K616" s="167"/>
      <c r="L616" s="167"/>
      <c r="M616" s="167"/>
      <c r="N616" s="167"/>
      <c r="O616" s="167"/>
      <c r="P616" s="167"/>
      <c r="Q616" s="597"/>
      <c r="R616" s="597"/>
      <c r="S616" s="597"/>
      <c r="T616" s="597"/>
      <c r="U616" s="597"/>
      <c r="V616" s="597"/>
      <c r="W616" s="597"/>
      <c r="X616" s="597"/>
      <c r="Y616" s="597"/>
      <c r="Z616" s="597"/>
    </row>
    <row r="617" spans="1:26" ht="18.75" hidden="1">
      <c r="A617" s="607"/>
      <c r="B617" s="609"/>
      <c r="C617" s="609"/>
      <c r="D617" s="609"/>
      <c r="E617" s="711"/>
      <c r="F617" s="711"/>
      <c r="G617" s="365"/>
      <c r="H617" s="369" t="s">
        <v>34</v>
      </c>
      <c r="I617" s="610"/>
      <c r="J617" s="610">
        <v>0</v>
      </c>
      <c r="K617" s="167"/>
      <c r="L617" s="167"/>
      <c r="M617" s="167"/>
      <c r="N617" s="167"/>
      <c r="O617" s="167"/>
      <c r="P617" s="167"/>
      <c r="Q617" s="597"/>
      <c r="R617" s="597"/>
      <c r="S617" s="597"/>
      <c r="T617" s="597"/>
      <c r="U617" s="597"/>
      <c r="V617" s="597"/>
      <c r="W617" s="597"/>
      <c r="X617" s="597"/>
      <c r="Y617" s="597"/>
      <c r="Z617" s="597"/>
    </row>
    <row r="618" spans="1:26" ht="18.75" hidden="1">
      <c r="A618" s="607"/>
      <c r="B618" s="609"/>
      <c r="C618" s="609"/>
      <c r="D618" s="712" t="s">
        <v>265</v>
      </c>
      <c r="E618" s="711"/>
      <c r="F618" s="711"/>
      <c r="G618" s="365"/>
      <c r="H618" s="369" t="s">
        <v>46</v>
      </c>
      <c r="I618" s="610"/>
      <c r="J618" s="610">
        <v>0</v>
      </c>
      <c r="K618" s="167"/>
      <c r="L618" s="167"/>
      <c r="M618" s="167"/>
      <c r="N618" s="167"/>
      <c r="O618" s="167"/>
      <c r="P618" s="167"/>
      <c r="Q618" s="597"/>
      <c r="R618" s="597"/>
      <c r="S618" s="597"/>
      <c r="T618" s="597"/>
      <c r="U618" s="597"/>
      <c r="V618" s="597"/>
      <c r="W618" s="597"/>
      <c r="X618" s="597"/>
      <c r="Y618" s="597"/>
      <c r="Z618" s="597"/>
    </row>
    <row r="619" spans="1:26" ht="18.75" hidden="1">
      <c r="A619" s="607"/>
      <c r="B619" s="609"/>
      <c r="C619" s="609"/>
      <c r="D619" s="609"/>
      <c r="E619" s="711"/>
      <c r="F619" s="711"/>
      <c r="G619" s="365"/>
      <c r="H619" s="369" t="s">
        <v>34</v>
      </c>
      <c r="I619" s="610"/>
      <c r="J619" s="610">
        <v>0</v>
      </c>
      <c r="K619" s="167"/>
      <c r="L619" s="167"/>
      <c r="M619" s="167"/>
      <c r="N619" s="167"/>
      <c r="O619" s="167"/>
      <c r="P619" s="167"/>
      <c r="Q619" s="597"/>
      <c r="R619" s="597"/>
      <c r="S619" s="597"/>
      <c r="T619" s="597"/>
      <c r="U619" s="597"/>
      <c r="V619" s="597"/>
      <c r="W619" s="597"/>
      <c r="X619" s="597"/>
      <c r="Y619" s="597"/>
      <c r="Z619" s="597"/>
    </row>
    <row r="620" spans="1:26" ht="19.5" hidden="1">
      <c r="A620" s="713"/>
      <c r="B620" s="722"/>
      <c r="C620" s="715" t="s">
        <v>266</v>
      </c>
      <c r="D620" s="722"/>
      <c r="E620" s="722"/>
      <c r="F620" s="716"/>
      <c r="G620" s="717"/>
      <c r="H620" s="718" t="s">
        <v>46</v>
      </c>
      <c r="I620" s="719">
        <f ca="1">IFERROR(__xludf.DUMMYFUNCTION("IMPORTRANGE(""https://docs.google.com/spreadsheets/d/1QqKyyYR6Q21VydFLVH3TRQUabQu_ym0Zz7PgGX0-kHA/edit?usp=sharing"",""แผน!HL71"")"),0)</f>
        <v>0</v>
      </c>
      <c r="J620" s="719">
        <f t="shared" ref="J620:J621" si="259">J622+J624+J626</f>
        <v>0</v>
      </c>
      <c r="K620" s="720">
        <f t="shared" ref="K620:K621" ca="1" si="260">IF(I620&gt;0,J620*100/I620,0)</f>
        <v>0</v>
      </c>
      <c r="L620" s="721"/>
      <c r="M620" s="721"/>
      <c r="N620" s="721"/>
      <c r="O620" s="721"/>
      <c r="P620" s="721"/>
      <c r="Q620" s="571"/>
      <c r="R620" s="571"/>
      <c r="S620" s="571"/>
      <c r="T620" s="571"/>
      <c r="U620" s="571"/>
      <c r="V620" s="571"/>
      <c r="W620" s="571"/>
      <c r="X620" s="571"/>
      <c r="Y620" s="571"/>
      <c r="Z620" s="571"/>
    </row>
    <row r="621" spans="1:26" ht="19.5" hidden="1">
      <c r="A621" s="713"/>
      <c r="B621" s="722"/>
      <c r="C621" s="722" t="s">
        <v>267</v>
      </c>
      <c r="D621" s="722"/>
      <c r="E621" s="722"/>
      <c r="F621" s="716"/>
      <c r="G621" s="717"/>
      <c r="H621" s="718" t="s">
        <v>34</v>
      </c>
      <c r="I621" s="719">
        <f ca="1">IFERROR(__xludf.DUMMYFUNCTION("IMPORTRANGE(""https://docs.google.com/spreadsheets/d/1QqKyyYR6Q21VydFLVH3TRQUabQu_ym0Zz7PgGX0-kHA/edit?usp=sharing"",""แผน!HK71"")"),0)</f>
        <v>0</v>
      </c>
      <c r="J621" s="719">
        <f t="shared" si="259"/>
        <v>0</v>
      </c>
      <c r="K621" s="720">
        <f t="shared" ca="1" si="260"/>
        <v>0</v>
      </c>
      <c r="L621" s="721"/>
      <c r="M621" s="721"/>
      <c r="N621" s="721"/>
      <c r="O621" s="721"/>
      <c r="P621" s="721"/>
      <c r="Q621" s="571"/>
      <c r="R621" s="571"/>
      <c r="S621" s="571"/>
      <c r="T621" s="571"/>
      <c r="U621" s="571"/>
      <c r="V621" s="571"/>
      <c r="W621" s="571"/>
      <c r="X621" s="571"/>
      <c r="Y621" s="571"/>
      <c r="Z621" s="571"/>
    </row>
    <row r="622" spans="1:26" ht="18.75" hidden="1">
      <c r="A622" s="601"/>
      <c r="B622" s="611"/>
      <c r="C622" s="611"/>
      <c r="D622" s="737" t="s">
        <v>268</v>
      </c>
      <c r="E622" s="619"/>
      <c r="F622" s="619"/>
      <c r="G622" s="753"/>
      <c r="H622" s="755" t="s">
        <v>46</v>
      </c>
      <c r="I622" s="269"/>
      <c r="J622" s="214">
        <v>0</v>
      </c>
      <c r="K622" s="163"/>
      <c r="L622" s="163"/>
      <c r="M622" s="163"/>
      <c r="N622" s="163"/>
      <c r="O622" s="163"/>
      <c r="P622" s="163"/>
      <c r="Q622" s="571"/>
      <c r="R622" s="571"/>
      <c r="S622" s="571"/>
      <c r="T622" s="571"/>
      <c r="U622" s="571"/>
      <c r="V622" s="571"/>
      <c r="W622" s="571"/>
      <c r="X622" s="571"/>
      <c r="Y622" s="571"/>
      <c r="Z622" s="571"/>
    </row>
    <row r="623" spans="1:26" ht="18.75" hidden="1">
      <c r="A623" s="601"/>
      <c r="B623" s="611"/>
      <c r="C623" s="611"/>
      <c r="D623" s="611"/>
      <c r="E623" s="619"/>
      <c r="F623" s="619"/>
      <c r="G623" s="753"/>
      <c r="H623" s="755" t="s">
        <v>34</v>
      </c>
      <c r="I623" s="269"/>
      <c r="J623" s="214">
        <v>0</v>
      </c>
      <c r="K623" s="163"/>
      <c r="L623" s="163"/>
      <c r="M623" s="163"/>
      <c r="N623" s="163"/>
      <c r="O623" s="163"/>
      <c r="P623" s="163"/>
      <c r="Q623" s="571"/>
      <c r="R623" s="571"/>
      <c r="S623" s="571"/>
      <c r="T623" s="571"/>
      <c r="U623" s="571"/>
      <c r="V623" s="571"/>
      <c r="W623" s="571"/>
      <c r="X623" s="571"/>
      <c r="Y623" s="571"/>
      <c r="Z623" s="571"/>
    </row>
    <row r="624" spans="1:26" ht="18.75" hidden="1">
      <c r="A624" s="601"/>
      <c r="B624" s="611"/>
      <c r="C624" s="611"/>
      <c r="D624" s="737" t="s">
        <v>264</v>
      </c>
      <c r="E624" s="619"/>
      <c r="F624" s="619"/>
      <c r="G624" s="753"/>
      <c r="H624" s="755" t="s">
        <v>46</v>
      </c>
      <c r="I624" s="269"/>
      <c r="J624" s="214">
        <v>0</v>
      </c>
      <c r="K624" s="163"/>
      <c r="L624" s="163"/>
      <c r="M624" s="163"/>
      <c r="N624" s="163"/>
      <c r="O624" s="163"/>
      <c r="P624" s="163"/>
      <c r="Q624" s="571"/>
      <c r="R624" s="571"/>
      <c r="S624" s="571"/>
      <c r="T624" s="571"/>
      <c r="U624" s="571"/>
      <c r="V624" s="571"/>
      <c r="W624" s="571"/>
      <c r="X624" s="571"/>
      <c r="Y624" s="571"/>
      <c r="Z624" s="571"/>
    </row>
    <row r="625" spans="1:26" ht="18.75" hidden="1">
      <c r="A625" s="601"/>
      <c r="B625" s="611"/>
      <c r="C625" s="611"/>
      <c r="D625" s="611"/>
      <c r="E625" s="619"/>
      <c r="F625" s="619"/>
      <c r="G625" s="753"/>
      <c r="H625" s="755" t="s">
        <v>34</v>
      </c>
      <c r="I625" s="269"/>
      <c r="J625" s="214">
        <v>0</v>
      </c>
      <c r="K625" s="163"/>
      <c r="L625" s="163"/>
      <c r="M625" s="163"/>
      <c r="N625" s="163"/>
      <c r="O625" s="163"/>
      <c r="P625" s="163"/>
      <c r="Q625" s="571"/>
      <c r="R625" s="571"/>
      <c r="S625" s="571"/>
      <c r="T625" s="571"/>
      <c r="U625" s="571"/>
      <c r="V625" s="571"/>
      <c r="W625" s="571"/>
      <c r="X625" s="571"/>
      <c r="Y625" s="571"/>
      <c r="Z625" s="571"/>
    </row>
    <row r="626" spans="1:26" ht="18.75" hidden="1">
      <c r="A626" s="601"/>
      <c r="B626" s="611"/>
      <c r="C626" s="611"/>
      <c r="D626" s="737" t="s">
        <v>269</v>
      </c>
      <c r="E626" s="619"/>
      <c r="F626" s="619"/>
      <c r="G626" s="753"/>
      <c r="H626" s="755" t="s">
        <v>46</v>
      </c>
      <c r="I626" s="269"/>
      <c r="J626" s="214">
        <v>0</v>
      </c>
      <c r="K626" s="163"/>
      <c r="L626" s="163"/>
      <c r="M626" s="163"/>
      <c r="N626" s="163"/>
      <c r="O626" s="163"/>
      <c r="P626" s="163"/>
      <c r="Q626" s="571"/>
      <c r="R626" s="571"/>
      <c r="S626" s="571"/>
      <c r="T626" s="571"/>
      <c r="U626" s="571"/>
      <c r="V626" s="571"/>
      <c r="W626" s="571"/>
      <c r="X626" s="571"/>
      <c r="Y626" s="571"/>
      <c r="Z626" s="571"/>
    </row>
    <row r="627" spans="1:26" ht="18.75" hidden="1">
      <c r="A627" s="723"/>
      <c r="B627" s="724"/>
      <c r="C627" s="724"/>
      <c r="D627" s="724"/>
      <c r="E627" s="725"/>
      <c r="F627" s="725"/>
      <c r="G627" s="726"/>
      <c r="H627" s="421" t="s">
        <v>34</v>
      </c>
      <c r="I627" s="499"/>
      <c r="J627" s="423">
        <v>0</v>
      </c>
      <c r="K627" s="384"/>
      <c r="L627" s="384"/>
      <c r="M627" s="384"/>
      <c r="N627" s="384"/>
      <c r="O627" s="384"/>
      <c r="P627" s="384"/>
      <c r="Q627" s="571"/>
      <c r="R627" s="571"/>
      <c r="S627" s="571"/>
      <c r="T627" s="571"/>
      <c r="U627" s="571"/>
      <c r="V627" s="571"/>
      <c r="W627" s="571"/>
      <c r="X627" s="571"/>
      <c r="Y627" s="571"/>
      <c r="Z627" s="571"/>
    </row>
    <row r="628" spans="1:26" ht="19.5" hidden="1">
      <c r="A628" s="727">
        <v>7</v>
      </c>
      <c r="B628" s="728" t="s">
        <v>270</v>
      </c>
      <c r="C628" s="729"/>
      <c r="D628" s="729"/>
      <c r="E628" s="729"/>
      <c r="F628" s="729"/>
      <c r="G628" s="730"/>
      <c r="H628" s="731" t="s">
        <v>35</v>
      </c>
      <c r="I628" s="732">
        <f t="shared" ref="I628:J628" ca="1" si="261">I651</f>
        <v>0</v>
      </c>
      <c r="J628" s="732">
        <f t="shared" ca="1" si="261"/>
        <v>0</v>
      </c>
      <c r="K628" s="733">
        <f ca="1">IF(I628&gt;0,J628*100/I628,0)</f>
        <v>0</v>
      </c>
      <c r="L628" s="734"/>
      <c r="M628" s="734"/>
      <c r="N628" s="734"/>
      <c r="O628" s="734"/>
      <c r="P628" s="734"/>
      <c r="Q628" s="571"/>
      <c r="R628" s="571"/>
      <c r="S628" s="571"/>
      <c r="T628" s="571"/>
      <c r="U628" s="571"/>
      <c r="V628" s="571"/>
      <c r="W628" s="571"/>
      <c r="X628" s="571"/>
      <c r="Y628" s="571"/>
      <c r="Z628" s="571"/>
    </row>
    <row r="629" spans="1:26" ht="19.5" hidden="1">
      <c r="A629" s="590"/>
      <c r="B629" s="754"/>
      <c r="C629" s="754" t="s">
        <v>16</v>
      </c>
      <c r="D629" s="863" t="s">
        <v>17</v>
      </c>
      <c r="E629" s="857"/>
      <c r="F629" s="857"/>
      <c r="G629" s="189"/>
      <c r="H629" s="591" t="s">
        <v>12</v>
      </c>
      <c r="I629" s="269"/>
      <c r="J629" s="269"/>
      <c r="K629" s="496"/>
      <c r="L629" s="195">
        <f t="shared" ref="L629:N629" ca="1" si="262">L630+L631</f>
        <v>0</v>
      </c>
      <c r="M629" s="195">
        <f t="shared" si="262"/>
        <v>0</v>
      </c>
      <c r="N629" s="195">
        <f t="shared" si="262"/>
        <v>0</v>
      </c>
      <c r="O629" s="195">
        <f t="shared" ref="O629:O634" ca="1" si="263">IF(L629&gt;0,N629*100/L629,0)</f>
        <v>0</v>
      </c>
      <c r="P629" s="195">
        <f t="shared" ref="P629:P634" si="264">IF(M629&gt;0,N629*100/M629,0)</f>
        <v>0</v>
      </c>
      <c r="Q629" s="571"/>
      <c r="R629" s="571"/>
      <c r="S629" s="571"/>
      <c r="T629" s="571"/>
      <c r="U629" s="571"/>
      <c r="V629" s="571"/>
      <c r="W629" s="571"/>
      <c r="X629" s="571"/>
      <c r="Y629" s="571"/>
      <c r="Z629" s="571"/>
    </row>
    <row r="630" spans="1:26" ht="18.75" hidden="1">
      <c r="A630" s="592"/>
      <c r="B630" s="750"/>
      <c r="C630" s="750"/>
      <c r="D630" s="711"/>
      <c r="E630" s="750" t="s">
        <v>184</v>
      </c>
      <c r="F630" s="750"/>
      <c r="G630" s="596"/>
      <c r="H630" s="165" t="s">
        <v>12</v>
      </c>
      <c r="I630" s="610"/>
      <c r="J630" s="610"/>
      <c r="K630" s="93"/>
      <c r="L630" s="93">
        <f t="shared" ref="L630:N631" si="265">L633+L640</f>
        <v>0</v>
      </c>
      <c r="M630" s="93">
        <f t="shared" si="265"/>
        <v>0</v>
      </c>
      <c r="N630" s="93">
        <f t="shared" si="265"/>
        <v>0</v>
      </c>
      <c r="O630" s="93">
        <f t="shared" si="263"/>
        <v>0</v>
      </c>
      <c r="P630" s="93">
        <f t="shared" si="264"/>
        <v>0</v>
      </c>
      <c r="Q630" s="597"/>
      <c r="R630" s="597"/>
      <c r="S630" s="597"/>
      <c r="T630" s="597"/>
      <c r="U630" s="597"/>
      <c r="V630" s="597"/>
      <c r="W630" s="597"/>
      <c r="X630" s="597"/>
      <c r="Y630" s="597"/>
      <c r="Z630" s="597"/>
    </row>
    <row r="631" spans="1:26" ht="18.75" hidden="1">
      <c r="A631" s="592"/>
      <c r="B631" s="600"/>
      <c r="C631" s="750"/>
      <c r="D631" s="711"/>
      <c r="E631" s="750" t="s">
        <v>185</v>
      </c>
      <c r="F631" s="750"/>
      <c r="G631" s="596"/>
      <c r="H631" s="165" t="s">
        <v>12</v>
      </c>
      <c r="I631" s="610"/>
      <c r="J631" s="610"/>
      <c r="K631" s="93"/>
      <c r="L631" s="93">
        <f t="shared" ca="1" si="265"/>
        <v>0</v>
      </c>
      <c r="M631" s="93">
        <f t="shared" si="265"/>
        <v>0</v>
      </c>
      <c r="N631" s="93">
        <f t="shared" si="265"/>
        <v>0</v>
      </c>
      <c r="O631" s="93">
        <f t="shared" ca="1" si="263"/>
        <v>0</v>
      </c>
      <c r="P631" s="93">
        <f t="shared" si="264"/>
        <v>0</v>
      </c>
      <c r="Q631" s="597"/>
      <c r="R631" s="597"/>
      <c r="S631" s="597"/>
      <c r="T631" s="597"/>
      <c r="U631" s="597"/>
      <c r="V631" s="597"/>
      <c r="W631" s="597"/>
      <c r="X631" s="597"/>
      <c r="Y631" s="597"/>
      <c r="Z631" s="597"/>
    </row>
    <row r="632" spans="1:26" ht="18.75" hidden="1">
      <c r="A632" s="590"/>
      <c r="B632" s="568"/>
      <c r="C632" s="754"/>
      <c r="D632" s="599" t="s">
        <v>20</v>
      </c>
      <c r="E632" s="754"/>
      <c r="F632" s="754"/>
      <c r="G632" s="189"/>
      <c r="H632" s="161" t="s">
        <v>12</v>
      </c>
      <c r="I632" s="184"/>
      <c r="J632" s="184"/>
      <c r="K632" s="163"/>
      <c r="L632" s="496">
        <f t="shared" ref="L632:N632" ca="1" si="266">L633+L634</f>
        <v>0</v>
      </c>
      <c r="M632" s="496">
        <f t="shared" si="266"/>
        <v>0</v>
      </c>
      <c r="N632" s="496">
        <f t="shared" si="266"/>
        <v>0</v>
      </c>
      <c r="O632" s="496">
        <f t="shared" ca="1" si="263"/>
        <v>0</v>
      </c>
      <c r="P632" s="496">
        <f t="shared" si="264"/>
        <v>0</v>
      </c>
      <c r="Q632" s="571"/>
      <c r="R632" s="571"/>
      <c r="S632" s="571"/>
      <c r="T632" s="571"/>
      <c r="U632" s="571"/>
      <c r="V632" s="571"/>
      <c r="W632" s="571"/>
      <c r="X632" s="571"/>
      <c r="Y632" s="571"/>
      <c r="Z632" s="571"/>
    </row>
    <row r="633" spans="1:26" ht="18.75" hidden="1">
      <c r="A633" s="592"/>
      <c r="B633" s="600"/>
      <c r="C633" s="750"/>
      <c r="D633" s="711"/>
      <c r="E633" s="750" t="s">
        <v>184</v>
      </c>
      <c r="F633" s="750"/>
      <c r="G633" s="596"/>
      <c r="H633" s="165" t="s">
        <v>12</v>
      </c>
      <c r="I633" s="610"/>
      <c r="J633" s="610"/>
      <c r="K633" s="93"/>
      <c r="L633" s="93">
        <v>0</v>
      </c>
      <c r="M633" s="93">
        <v>0</v>
      </c>
      <c r="N633" s="93">
        <v>0</v>
      </c>
      <c r="O633" s="93">
        <f t="shared" si="263"/>
        <v>0</v>
      </c>
      <c r="P633" s="93">
        <f t="shared" si="264"/>
        <v>0</v>
      </c>
      <c r="Q633" s="597"/>
      <c r="R633" s="597"/>
      <c r="S633" s="597"/>
      <c r="T633" s="597"/>
      <c r="U633" s="597"/>
      <c r="V633" s="597"/>
      <c r="W633" s="597"/>
      <c r="X633" s="597"/>
      <c r="Y633" s="597"/>
      <c r="Z633" s="597"/>
    </row>
    <row r="634" spans="1:26" ht="18.75" hidden="1">
      <c r="A634" s="592"/>
      <c r="B634" s="600"/>
      <c r="C634" s="750"/>
      <c r="D634" s="711"/>
      <c r="E634" s="750" t="s">
        <v>185</v>
      </c>
      <c r="F634" s="750"/>
      <c r="G634" s="596"/>
      <c r="H634" s="165" t="s">
        <v>12</v>
      </c>
      <c r="I634" s="610"/>
      <c r="J634" s="610"/>
      <c r="K634" s="93"/>
      <c r="L634" s="93">
        <f ca="1">IFERROR(__xludf.DUMMYFUNCTION("IMPORTRANGE(""https://docs.google.com/spreadsheets/d/1QqKyyYR6Q21VydFLVH3TRQUabQu_ym0Zz7PgGX0-kHA/edit?usp=sharing"",""แผน!HN71"")"),0)</f>
        <v>0</v>
      </c>
      <c r="M634" s="93">
        <v>0</v>
      </c>
      <c r="N634" s="93">
        <f>N635+N636+N637+N638</f>
        <v>0</v>
      </c>
      <c r="O634" s="93">
        <f t="shared" ca="1" si="263"/>
        <v>0</v>
      </c>
      <c r="P634" s="93">
        <f t="shared" si="264"/>
        <v>0</v>
      </c>
      <c r="Q634" s="597"/>
      <c r="R634" s="597"/>
      <c r="S634" s="597"/>
      <c r="T634" s="597"/>
      <c r="U634" s="597"/>
      <c r="V634" s="597"/>
      <c r="W634" s="597"/>
      <c r="X634" s="597"/>
      <c r="Y634" s="597"/>
      <c r="Z634" s="597"/>
    </row>
    <row r="635" spans="1:26" ht="18.75" hidden="1">
      <c r="A635" s="567"/>
      <c r="B635" s="568"/>
      <c r="C635" s="754"/>
      <c r="D635" s="754"/>
      <c r="E635" s="754"/>
      <c r="F635" s="754" t="s">
        <v>186</v>
      </c>
      <c r="G635" s="189"/>
      <c r="H635" s="161" t="s">
        <v>12</v>
      </c>
      <c r="I635" s="269"/>
      <c r="J635" s="269"/>
      <c r="K635" s="496"/>
      <c r="L635" s="496"/>
      <c r="M635" s="496"/>
      <c r="N635" s="817">
        <v>0</v>
      </c>
      <c r="O635" s="496"/>
      <c r="P635" s="496"/>
      <c r="Q635" s="571"/>
      <c r="R635" s="571"/>
      <c r="S635" s="571"/>
      <c r="T635" s="571"/>
      <c r="U635" s="571"/>
      <c r="V635" s="571"/>
      <c r="W635" s="571"/>
      <c r="X635" s="571"/>
      <c r="Y635" s="571"/>
      <c r="Z635" s="571"/>
    </row>
    <row r="636" spans="1:26" ht="18.75" hidden="1">
      <c r="A636" s="567"/>
      <c r="B636" s="568"/>
      <c r="C636" s="754"/>
      <c r="D636" s="754"/>
      <c r="E636" s="754"/>
      <c r="F636" s="754" t="s">
        <v>187</v>
      </c>
      <c r="G636" s="189"/>
      <c r="H636" s="161" t="s">
        <v>12</v>
      </c>
      <c r="I636" s="269"/>
      <c r="J636" s="269"/>
      <c r="K636" s="496"/>
      <c r="L636" s="496"/>
      <c r="M636" s="496"/>
      <c r="N636" s="817">
        <v>0</v>
      </c>
      <c r="O636" s="496"/>
      <c r="P636" s="496"/>
      <c r="Q636" s="571"/>
      <c r="R636" s="571"/>
      <c r="S636" s="571"/>
      <c r="T636" s="571"/>
      <c r="U636" s="571"/>
      <c r="V636" s="571"/>
      <c r="W636" s="571"/>
      <c r="X636" s="571"/>
      <c r="Y636" s="571"/>
      <c r="Z636" s="571"/>
    </row>
    <row r="637" spans="1:26" ht="18.75" hidden="1">
      <c r="A637" s="567"/>
      <c r="B637" s="568"/>
      <c r="C637" s="754"/>
      <c r="D637" s="754"/>
      <c r="E637" s="754"/>
      <c r="F637" s="754" t="s">
        <v>188</v>
      </c>
      <c r="G637" s="189"/>
      <c r="H637" s="161" t="s">
        <v>12</v>
      </c>
      <c r="I637" s="269"/>
      <c r="J637" s="269"/>
      <c r="K637" s="496"/>
      <c r="L637" s="496"/>
      <c r="M637" s="496"/>
      <c r="N637" s="817">
        <v>0</v>
      </c>
      <c r="O637" s="496"/>
      <c r="P637" s="496"/>
      <c r="Q637" s="571"/>
      <c r="R637" s="571"/>
      <c r="S637" s="571"/>
      <c r="T637" s="571"/>
      <c r="U637" s="571"/>
      <c r="V637" s="571"/>
      <c r="W637" s="571"/>
      <c r="X637" s="571"/>
      <c r="Y637" s="571"/>
      <c r="Z637" s="571"/>
    </row>
    <row r="638" spans="1:26" ht="18.75" hidden="1">
      <c r="A638" s="567"/>
      <c r="B638" s="568"/>
      <c r="C638" s="754"/>
      <c r="D638" s="754"/>
      <c r="E638" s="754"/>
      <c r="F638" s="754" t="s">
        <v>189</v>
      </c>
      <c r="G638" s="189"/>
      <c r="H638" s="161" t="s">
        <v>12</v>
      </c>
      <c r="I638" s="269"/>
      <c r="J638" s="269"/>
      <c r="K638" s="496"/>
      <c r="L638" s="496"/>
      <c r="M638" s="496"/>
      <c r="N638" s="817">
        <v>0</v>
      </c>
      <c r="O638" s="496"/>
      <c r="P638" s="496"/>
      <c r="Q638" s="571"/>
      <c r="R638" s="571"/>
      <c r="S638" s="571"/>
      <c r="T638" s="571"/>
      <c r="U638" s="571"/>
      <c r="V638" s="571"/>
      <c r="W638" s="571"/>
      <c r="X638" s="571"/>
      <c r="Y638" s="571"/>
      <c r="Z638" s="571"/>
    </row>
    <row r="639" spans="1:26" ht="18.75" hidden="1">
      <c r="A639" s="590"/>
      <c r="B639" s="568"/>
      <c r="C639" s="754"/>
      <c r="D639" s="599" t="s">
        <v>21</v>
      </c>
      <c r="E639" s="754"/>
      <c r="F639" s="754"/>
      <c r="G639" s="189"/>
      <c r="H639" s="168" t="s">
        <v>12</v>
      </c>
      <c r="I639" s="184"/>
      <c r="J639" s="184"/>
      <c r="K639" s="163"/>
      <c r="L639" s="496">
        <f t="shared" ref="L639:N639" ca="1" si="267">L640+L641</f>
        <v>0</v>
      </c>
      <c r="M639" s="496">
        <f t="shared" si="267"/>
        <v>0</v>
      </c>
      <c r="N639" s="496">
        <f t="shared" si="267"/>
        <v>0</v>
      </c>
      <c r="O639" s="496">
        <f t="shared" ref="O639:O641" ca="1" si="268">IF(L639&gt;0,N639*100/L639,0)</f>
        <v>0</v>
      </c>
      <c r="P639" s="496">
        <f t="shared" ref="P639:P641" si="269">IF(M639&gt;0,N639*100/M639,0)</f>
        <v>0</v>
      </c>
      <c r="Q639" s="571"/>
      <c r="R639" s="571"/>
      <c r="S639" s="571"/>
      <c r="T639" s="571"/>
      <c r="U639" s="571"/>
      <c r="V639" s="571"/>
      <c r="W639" s="571"/>
      <c r="X639" s="571"/>
      <c r="Y639" s="571"/>
      <c r="Z639" s="571"/>
    </row>
    <row r="640" spans="1:26" ht="18.75" hidden="1">
      <c r="A640" s="592"/>
      <c r="B640" s="600"/>
      <c r="C640" s="750"/>
      <c r="D640" s="750"/>
      <c r="E640" s="750" t="s">
        <v>18</v>
      </c>
      <c r="F640" s="750"/>
      <c r="G640" s="596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8"/>
        <v>0</v>
      </c>
      <c r="P640" s="93">
        <f t="shared" si="269"/>
        <v>0</v>
      </c>
      <c r="Q640" s="597"/>
      <c r="R640" s="597"/>
      <c r="S640" s="597"/>
      <c r="T640" s="597"/>
      <c r="U640" s="597"/>
      <c r="V640" s="597"/>
      <c r="W640" s="597"/>
      <c r="X640" s="597"/>
      <c r="Y640" s="597"/>
      <c r="Z640" s="597"/>
    </row>
    <row r="641" spans="1:26" ht="18.75" hidden="1">
      <c r="A641" s="592"/>
      <c r="B641" s="600"/>
      <c r="C641" s="750"/>
      <c r="D641" s="750"/>
      <c r="E641" s="750" t="s">
        <v>19</v>
      </c>
      <c r="F641" s="750"/>
      <c r="G641" s="596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IFERROR(__xludf.DUMMYFUNCTION("IMPORTRANGE(""https://docs.google.com/spreadsheets/d/1QqKyyYR6Q21VydFLVH3TRQUabQu_ym0Zz7PgGX0-kHA/edit?usp=sharing"",""แผน!HQ71"")"),0)</f>
        <v>0</v>
      </c>
      <c r="M641" s="93">
        <v>0</v>
      </c>
      <c r="N641" s="93">
        <v>0</v>
      </c>
      <c r="O641" s="93">
        <f t="shared" ca="1" si="268"/>
        <v>0</v>
      </c>
      <c r="P641" s="93">
        <f t="shared" si="269"/>
        <v>0</v>
      </c>
      <c r="Q641" s="597"/>
      <c r="R641" s="597"/>
      <c r="S641" s="597"/>
      <c r="T641" s="597"/>
      <c r="U641" s="597"/>
      <c r="V641" s="597"/>
      <c r="W641" s="597"/>
      <c r="X641" s="597"/>
      <c r="Y641" s="597"/>
      <c r="Z641" s="597"/>
    </row>
    <row r="642" spans="1:26" ht="19.5" hidden="1">
      <c r="A642" s="601"/>
      <c r="B642" s="611"/>
      <c r="C642" s="754" t="s">
        <v>16</v>
      </c>
      <c r="D642" s="839" t="s">
        <v>38</v>
      </c>
      <c r="E642" s="752"/>
      <c r="F642" s="752"/>
      <c r="G642" s="606"/>
      <c r="H642" s="753"/>
      <c r="I642" s="184"/>
      <c r="J642" s="184"/>
      <c r="K642" s="163"/>
      <c r="L642" s="163"/>
      <c r="M642" s="163"/>
      <c r="N642" s="163"/>
      <c r="O642" s="163"/>
      <c r="P642" s="163"/>
      <c r="Q642" s="571"/>
      <c r="R642" s="571"/>
      <c r="S642" s="571"/>
      <c r="T642" s="571"/>
      <c r="U642" s="571"/>
      <c r="V642" s="571"/>
      <c r="W642" s="571"/>
      <c r="X642" s="571"/>
      <c r="Y642" s="571"/>
      <c r="Z642" s="571"/>
    </row>
    <row r="643" spans="1:26" ht="18.75" hidden="1">
      <c r="A643" s="735"/>
      <c r="B643" s="568"/>
      <c r="C643" s="754"/>
      <c r="D643" s="619"/>
      <c r="E643" s="737" t="s">
        <v>271</v>
      </c>
      <c r="F643" s="619"/>
      <c r="G643" s="753"/>
      <c r="H643" s="755" t="s">
        <v>272</v>
      </c>
      <c r="I643" s="269">
        <f ca="1">IFERROR(__xludf.DUMMYFUNCTION("IMPORTRANGE(""https://docs.google.com/spreadsheets/d/1QqKyyYR6Q21VydFLVH3TRQUabQu_ym0Zz7PgGX0-kHA/edit?usp=sharing"",""แผน!HR71"")"),0)</f>
        <v>0</v>
      </c>
      <c r="J643" s="214">
        <v>0</v>
      </c>
      <c r="K643" s="163">
        <f t="shared" ref="K643:K652" ca="1" si="270">IF(I643&gt;0,J643*100/I643,0)</f>
        <v>0</v>
      </c>
      <c r="L643" s="163"/>
      <c r="M643" s="163"/>
      <c r="N643" s="496"/>
      <c r="O643" s="163"/>
      <c r="P643" s="163"/>
      <c r="Q643" s="571"/>
      <c r="R643" s="571"/>
      <c r="S643" s="571"/>
      <c r="T643" s="571"/>
      <c r="U643" s="571"/>
      <c r="V643" s="571"/>
      <c r="W643" s="571"/>
      <c r="X643" s="571"/>
      <c r="Y643" s="571"/>
      <c r="Z643" s="571"/>
    </row>
    <row r="644" spans="1:26" ht="18.75" hidden="1">
      <c r="A644" s="735"/>
      <c r="B644" s="568"/>
      <c r="C644" s="754"/>
      <c r="D644" s="619"/>
      <c r="E644" s="737" t="s">
        <v>273</v>
      </c>
      <c r="F644" s="619"/>
      <c r="G644" s="753"/>
      <c r="H644" s="755" t="s">
        <v>274</v>
      </c>
      <c r="I644" s="269">
        <f ca="1">IFERROR(__xludf.DUMMYFUNCTION("IMPORTRANGE(""https://docs.google.com/spreadsheets/d/1QqKyyYR6Q21VydFLVH3TRQUabQu_ym0Zz7PgGX0-kHA/edit?usp=sharing"",""แผน!HR71"")"),0)</f>
        <v>0</v>
      </c>
      <c r="J644" s="214">
        <v>0</v>
      </c>
      <c r="K644" s="163">
        <f t="shared" ca="1" si="270"/>
        <v>0</v>
      </c>
      <c r="L644" s="163"/>
      <c r="M644" s="163"/>
      <c r="N644" s="496"/>
      <c r="O644" s="163"/>
      <c r="P644" s="163"/>
      <c r="Q644" s="571"/>
      <c r="R644" s="571"/>
      <c r="S644" s="571"/>
      <c r="T644" s="571"/>
      <c r="U644" s="571"/>
      <c r="V644" s="571"/>
      <c r="W644" s="571"/>
      <c r="X644" s="571"/>
      <c r="Y644" s="571"/>
      <c r="Z644" s="571"/>
    </row>
    <row r="645" spans="1:26" ht="18.75" hidden="1">
      <c r="A645" s="735"/>
      <c r="B645" s="568"/>
      <c r="C645" s="754"/>
      <c r="D645" s="619"/>
      <c r="E645" s="737" t="s">
        <v>275</v>
      </c>
      <c r="F645" s="619"/>
      <c r="G645" s="753"/>
      <c r="H645" s="755" t="s">
        <v>34</v>
      </c>
      <c r="I645" s="269">
        <v>0</v>
      </c>
      <c r="J645" s="269">
        <f ca="1">IFERROR(__xludf.DUMMYFUNCTION("IMPORTRANGE(""https://docs.google.com/spreadsheets/d/1XWAQStnk-4SwqDmLtmXYiTMKHgktTP8We1SCoS47DrQ/edit?usp=sharing"",""จัดที่ดิน!AS71"")"),0)</f>
        <v>0</v>
      </c>
      <c r="K645" s="163">
        <f t="shared" si="270"/>
        <v>0</v>
      </c>
      <c r="L645" s="163"/>
      <c r="M645" s="163"/>
      <c r="N645" s="496"/>
      <c r="O645" s="163"/>
      <c r="P645" s="163"/>
      <c r="Q645" s="571"/>
      <c r="R645" s="571"/>
      <c r="S645" s="571"/>
      <c r="T645" s="571"/>
      <c r="U645" s="571"/>
      <c r="V645" s="571"/>
      <c r="W645" s="571"/>
      <c r="X645" s="571"/>
      <c r="Y645" s="571"/>
      <c r="Z645" s="571"/>
    </row>
    <row r="646" spans="1:26" ht="18.75" hidden="1">
      <c r="A646" s="735"/>
      <c r="B646" s="568"/>
      <c r="C646" s="754"/>
      <c r="D646" s="619"/>
      <c r="E646" s="619"/>
      <c r="F646" s="619"/>
      <c r="G646" s="753"/>
      <c r="H646" s="755" t="s">
        <v>46</v>
      </c>
      <c r="I646" s="269">
        <v>0</v>
      </c>
      <c r="J646" s="269">
        <f ca="1">IFERROR(__xludf.DUMMYFUNCTION("IMPORTRANGE(""https://docs.google.com/spreadsheets/d/1XWAQStnk-4SwqDmLtmXYiTMKHgktTP8We1SCoS47DrQ/edit?usp=sharing"",""จัดที่ดิน!AT71"")"),0)</f>
        <v>0</v>
      </c>
      <c r="K646" s="496">
        <f t="shared" si="270"/>
        <v>0</v>
      </c>
      <c r="L646" s="163"/>
      <c r="M646" s="163"/>
      <c r="N646" s="496"/>
      <c r="O646" s="163"/>
      <c r="P646" s="163"/>
      <c r="Q646" s="571"/>
      <c r="R646" s="571"/>
      <c r="S646" s="571"/>
      <c r="T646" s="571"/>
      <c r="U646" s="571"/>
      <c r="V646" s="571"/>
      <c r="W646" s="571"/>
      <c r="X646" s="571"/>
      <c r="Y646" s="571"/>
      <c r="Z646" s="571"/>
    </row>
    <row r="647" spans="1:26" ht="18.75" hidden="1">
      <c r="A647" s="735"/>
      <c r="B647" s="568"/>
      <c r="C647" s="754"/>
      <c r="D647" s="619"/>
      <c r="E647" s="737" t="s">
        <v>162</v>
      </c>
      <c r="F647" s="619"/>
      <c r="G647" s="753"/>
      <c r="H647" s="755" t="s">
        <v>35</v>
      </c>
      <c r="I647" s="269">
        <f ca="1">IFERROR(__xludf.DUMMYFUNCTION("IMPORTRANGE(""https://docs.google.com/spreadsheets/d/1QqKyyYR6Q21VydFLVH3TRQUabQu_ym0Zz7PgGX0-kHA/edit?usp=sharing"",""แผน!HS71"")"),0)</f>
        <v>0</v>
      </c>
      <c r="J647" s="269">
        <f ca="1">IFERROR(__xludf.DUMMYFUNCTION("IMPORTRANGE(""https://docs.google.com/spreadsheets/d/1XWAQStnk-4SwqDmLtmXYiTMKHgktTP8We1SCoS47DrQ/edit?usp=sharing"",""จัดที่ดิน!AU71"")"),0)</f>
        <v>0</v>
      </c>
      <c r="K647" s="163">
        <f t="shared" ca="1" si="270"/>
        <v>0</v>
      </c>
      <c r="L647" s="163"/>
      <c r="M647" s="163"/>
      <c r="N647" s="163"/>
      <c r="O647" s="163"/>
      <c r="P647" s="163"/>
      <c r="Q647" s="571"/>
      <c r="R647" s="571"/>
      <c r="S647" s="571"/>
      <c r="T647" s="571"/>
      <c r="U647" s="571"/>
      <c r="V647" s="571"/>
      <c r="W647" s="571"/>
      <c r="X647" s="571"/>
      <c r="Y647" s="571"/>
      <c r="Z647" s="571"/>
    </row>
    <row r="648" spans="1:26" ht="18.75" hidden="1">
      <c r="A648" s="735"/>
      <c r="B648" s="568"/>
      <c r="C648" s="754"/>
      <c r="D648" s="619"/>
      <c r="E648" s="619"/>
      <c r="F648" s="619"/>
      <c r="G648" s="753"/>
      <c r="H648" s="755" t="s">
        <v>46</v>
      </c>
      <c r="I648" s="269">
        <v>0</v>
      </c>
      <c r="J648" s="269">
        <f ca="1">IFERROR(__xludf.DUMMYFUNCTION("IMPORTRANGE(""https://docs.google.com/spreadsheets/d/1XWAQStnk-4SwqDmLtmXYiTMKHgktTP8We1SCoS47DrQ/edit?usp=sharing"",""จัดที่ดิน!AV71"")"),0)</f>
        <v>0</v>
      </c>
      <c r="K648" s="496">
        <f t="shared" si="270"/>
        <v>0</v>
      </c>
      <c r="L648" s="163"/>
      <c r="M648" s="163"/>
      <c r="N648" s="163"/>
      <c r="O648" s="163"/>
      <c r="P648" s="163"/>
      <c r="Q648" s="571"/>
      <c r="R648" s="571"/>
      <c r="S648" s="571"/>
      <c r="T648" s="571"/>
      <c r="U648" s="571"/>
      <c r="V648" s="571"/>
      <c r="W648" s="571"/>
      <c r="X648" s="571"/>
      <c r="Y648" s="571"/>
      <c r="Z648" s="571"/>
    </row>
    <row r="649" spans="1:26" ht="18.75" hidden="1">
      <c r="A649" s="735"/>
      <c r="B649" s="568"/>
      <c r="C649" s="754"/>
      <c r="D649" s="619"/>
      <c r="E649" s="737" t="s">
        <v>276</v>
      </c>
      <c r="F649" s="619"/>
      <c r="G649" s="753"/>
      <c r="H649" s="755" t="s">
        <v>35</v>
      </c>
      <c r="I649" s="269">
        <f ca="1">IFERROR(__xludf.DUMMYFUNCTION("IMPORTRANGE(""https://docs.google.com/spreadsheets/d/1QqKyyYR6Q21VydFLVH3TRQUabQu_ym0Zz7PgGX0-kHA/edit?usp=sharing"",""แผน!HS71"")"),0)</f>
        <v>0</v>
      </c>
      <c r="J649" s="269">
        <f ca="1">IFERROR(__xludf.DUMMYFUNCTION("IMPORTRANGE(""https://docs.google.com/spreadsheets/d/1XWAQStnk-4SwqDmLtmXYiTMKHgktTP8We1SCoS47DrQ/edit?usp=sharing"",""จัดที่ดิน!AW71"")"),0)</f>
        <v>0</v>
      </c>
      <c r="K649" s="163">
        <f t="shared" ca="1" si="270"/>
        <v>0</v>
      </c>
      <c r="L649" s="163"/>
      <c r="M649" s="163"/>
      <c r="N649" s="163"/>
      <c r="O649" s="163"/>
      <c r="P649" s="163"/>
      <c r="Q649" s="571"/>
      <c r="R649" s="571"/>
      <c r="S649" s="571"/>
      <c r="T649" s="571"/>
      <c r="U649" s="571"/>
      <c r="V649" s="571"/>
      <c r="W649" s="571"/>
      <c r="X649" s="571"/>
      <c r="Y649" s="571"/>
      <c r="Z649" s="571"/>
    </row>
    <row r="650" spans="1:26" ht="18.75" hidden="1">
      <c r="A650" s="735"/>
      <c r="B650" s="568"/>
      <c r="C650" s="754"/>
      <c r="D650" s="619"/>
      <c r="E650" s="619"/>
      <c r="F650" s="619"/>
      <c r="G650" s="753"/>
      <c r="H650" s="755" t="s">
        <v>46</v>
      </c>
      <c r="I650" s="269">
        <v>0</v>
      </c>
      <c r="J650" s="269">
        <f ca="1">IFERROR(__xludf.DUMMYFUNCTION("IMPORTRANGE(""https://docs.google.com/spreadsheets/d/1XWAQStnk-4SwqDmLtmXYiTMKHgktTP8We1SCoS47DrQ/edit?usp=sharing"",""จัดที่ดิน!AX71"")"),0)</f>
        <v>0</v>
      </c>
      <c r="K650" s="496">
        <f t="shared" si="270"/>
        <v>0</v>
      </c>
      <c r="L650" s="163"/>
      <c r="M650" s="163"/>
      <c r="N650" s="163"/>
      <c r="O650" s="163"/>
      <c r="P650" s="163"/>
      <c r="Q650" s="571"/>
      <c r="R650" s="571"/>
      <c r="S650" s="571"/>
      <c r="T650" s="571"/>
      <c r="U650" s="571"/>
      <c r="V650" s="571"/>
      <c r="W650" s="571"/>
      <c r="X650" s="571"/>
      <c r="Y650" s="571"/>
      <c r="Z650" s="571"/>
    </row>
    <row r="651" spans="1:26" ht="18.75" hidden="1">
      <c r="A651" s="735"/>
      <c r="B651" s="568"/>
      <c r="C651" s="754"/>
      <c r="D651" s="619"/>
      <c r="E651" s="737" t="s">
        <v>277</v>
      </c>
      <c r="F651" s="619"/>
      <c r="G651" s="753"/>
      <c r="H651" s="755" t="s">
        <v>35</v>
      </c>
      <c r="I651" s="269">
        <f ca="1">IFERROR(__xludf.DUMMYFUNCTION("IMPORTRANGE(""https://docs.google.com/spreadsheets/d/1QqKyyYR6Q21VydFLVH3TRQUabQu_ym0Zz7PgGX0-kHA/edit?usp=sharing"",""แผน!HS71"")"),0)</f>
        <v>0</v>
      </c>
      <c r="J651" s="269">
        <f ca="1">IFERROR(__xludf.DUMMYFUNCTION("IMPORTRANGE(""https://docs.google.com/spreadsheets/d/1XWAQStnk-4SwqDmLtmXYiTMKHgktTP8We1SCoS47DrQ/edit?usp=sharing"",""จัดที่ดิน!AY71"")"),0)</f>
        <v>0</v>
      </c>
      <c r="K651" s="163">
        <f t="shared" ca="1" si="270"/>
        <v>0</v>
      </c>
      <c r="L651" s="163"/>
      <c r="M651" s="163"/>
      <c r="N651" s="163"/>
      <c r="O651" s="163"/>
      <c r="P651" s="163"/>
      <c r="Q651" s="571"/>
      <c r="R651" s="571"/>
      <c r="S651" s="571"/>
      <c r="T651" s="571"/>
      <c r="U651" s="571"/>
      <c r="V651" s="571"/>
      <c r="W651" s="571"/>
      <c r="X651" s="571"/>
      <c r="Y651" s="571"/>
      <c r="Z651" s="571"/>
    </row>
    <row r="652" spans="1:26" ht="18.75" hidden="1">
      <c r="A652" s="738"/>
      <c r="B652" s="739"/>
      <c r="C652" s="740"/>
      <c r="D652" s="725"/>
      <c r="E652" s="725"/>
      <c r="F652" s="725"/>
      <c r="G652" s="726"/>
      <c r="H652" s="498" t="s">
        <v>46</v>
      </c>
      <c r="I652" s="499">
        <v>0</v>
      </c>
      <c r="J652" s="499">
        <f ca="1">IFERROR(__xludf.DUMMYFUNCTION("IMPORTRANGE(""https://docs.google.com/spreadsheets/d/1XWAQStnk-4SwqDmLtmXYiTMKHgktTP8We1SCoS47DrQ/edit?usp=sharing"",""จัดที่ดิน!AZ71"")"),0)</f>
        <v>0</v>
      </c>
      <c r="K652" s="500">
        <f t="shared" si="270"/>
        <v>0</v>
      </c>
      <c r="L652" s="384"/>
      <c r="M652" s="384"/>
      <c r="N652" s="384"/>
      <c r="O652" s="384"/>
      <c r="P652" s="384"/>
      <c r="Q652" s="571"/>
      <c r="R652" s="571"/>
      <c r="S652" s="571"/>
      <c r="T652" s="571"/>
      <c r="U652" s="571"/>
      <c r="V652" s="571"/>
      <c r="W652" s="571"/>
      <c r="X652" s="571"/>
      <c r="Y652" s="571"/>
      <c r="Z652" s="571"/>
    </row>
    <row r="653" spans="1:26" ht="19.5">
      <c r="A653" s="741">
        <v>8</v>
      </c>
      <c r="B653" s="728" t="s">
        <v>278</v>
      </c>
      <c r="C653" s="729"/>
      <c r="D653" s="729"/>
      <c r="E653" s="729"/>
      <c r="F653" s="729"/>
      <c r="G653" s="730"/>
      <c r="H653" s="730"/>
      <c r="I653" s="742"/>
      <c r="J653" s="742"/>
      <c r="K653" s="734"/>
      <c r="L653" s="734"/>
      <c r="M653" s="734"/>
      <c r="N653" s="734"/>
      <c r="O653" s="734"/>
      <c r="P653" s="734"/>
      <c r="Q653" s="571"/>
      <c r="R653" s="571"/>
      <c r="S653" s="571"/>
      <c r="T653" s="571"/>
      <c r="U653" s="571"/>
      <c r="V653" s="571"/>
      <c r="W653" s="571"/>
      <c r="X653" s="571"/>
      <c r="Y653" s="571"/>
      <c r="Z653" s="571"/>
    </row>
    <row r="654" spans="1:26" ht="19.5">
      <c r="A654" s="666"/>
      <c r="B654" s="665" t="s">
        <v>279</v>
      </c>
      <c r="C654" s="666"/>
      <c r="D654" s="666"/>
      <c r="E654" s="666"/>
      <c r="F654" s="666"/>
      <c r="G654" s="667"/>
      <c r="H654" s="698" t="s">
        <v>46</v>
      </c>
      <c r="I654" s="699">
        <f t="shared" ref="I654:J654" ca="1" si="271">I669</f>
        <v>100</v>
      </c>
      <c r="J654" s="699">
        <f t="shared" si="271"/>
        <v>0</v>
      </c>
      <c r="K654" s="670">
        <f ca="1">IF(I654&gt;0,J654*100/I654,0)</f>
        <v>0</v>
      </c>
      <c r="L654" s="671"/>
      <c r="M654" s="671"/>
      <c r="N654" s="671"/>
      <c r="O654" s="671"/>
      <c r="P654" s="671"/>
      <c r="Q654" s="571"/>
      <c r="R654" s="571"/>
      <c r="S654" s="571"/>
      <c r="T654" s="571"/>
      <c r="U654" s="571"/>
      <c r="V654" s="571"/>
      <c r="W654" s="571"/>
      <c r="X654" s="571"/>
      <c r="Y654" s="571"/>
      <c r="Z654" s="571"/>
    </row>
    <row r="655" spans="1:26" ht="19.5">
      <c r="A655" s="590"/>
      <c r="B655" s="754"/>
      <c r="C655" s="754" t="s">
        <v>16</v>
      </c>
      <c r="D655" s="863" t="s">
        <v>17</v>
      </c>
      <c r="E655" s="857"/>
      <c r="F655" s="857"/>
      <c r="G655" s="189"/>
      <c r="H655" s="591" t="s">
        <v>12</v>
      </c>
      <c r="I655" s="269"/>
      <c r="J655" s="269"/>
      <c r="K655" s="496"/>
      <c r="L655" s="195">
        <f t="shared" ref="L655:N655" ca="1" si="272">L656+L657</f>
        <v>12400</v>
      </c>
      <c r="M655" s="195">
        <f t="shared" si="272"/>
        <v>0</v>
      </c>
      <c r="N655" s="195">
        <f t="shared" si="272"/>
        <v>6900</v>
      </c>
      <c r="O655" s="195">
        <f t="shared" ref="O655:O660" ca="1" si="273">IF(L655&gt;0,N655*100/L655,0)</f>
        <v>55.645161290322584</v>
      </c>
      <c r="P655" s="195">
        <f t="shared" ref="P655:P660" si="274">IF(M655&gt;0,N655*100/M655,0)</f>
        <v>0</v>
      </c>
      <c r="Q655" s="571"/>
      <c r="R655" s="571"/>
      <c r="S655" s="571"/>
      <c r="T655" s="571"/>
      <c r="U655" s="571"/>
      <c r="V655" s="571"/>
      <c r="W655" s="571"/>
      <c r="X655" s="571"/>
      <c r="Y655" s="571"/>
      <c r="Z655" s="571"/>
    </row>
    <row r="656" spans="1:26" ht="18.75" hidden="1">
      <c r="A656" s="592"/>
      <c r="B656" s="750"/>
      <c r="C656" s="750"/>
      <c r="D656" s="711"/>
      <c r="E656" s="750" t="s">
        <v>184</v>
      </c>
      <c r="F656" s="750"/>
      <c r="G656" s="596"/>
      <c r="H656" s="165" t="s">
        <v>12</v>
      </c>
      <c r="I656" s="610"/>
      <c r="J656" s="610"/>
      <c r="K656" s="93"/>
      <c r="L656" s="93">
        <f t="shared" ref="L656:N657" si="275">L659+L666</f>
        <v>0</v>
      </c>
      <c r="M656" s="93">
        <f t="shared" si="275"/>
        <v>0</v>
      </c>
      <c r="N656" s="93">
        <f t="shared" si="275"/>
        <v>0</v>
      </c>
      <c r="O656" s="93">
        <f t="shared" si="273"/>
        <v>0</v>
      </c>
      <c r="P656" s="93">
        <f t="shared" si="274"/>
        <v>0</v>
      </c>
      <c r="Q656" s="597"/>
      <c r="R656" s="597"/>
      <c r="S656" s="597"/>
      <c r="T656" s="597"/>
      <c r="U656" s="597"/>
      <c r="V656" s="597"/>
      <c r="W656" s="597"/>
      <c r="X656" s="597"/>
      <c r="Y656" s="597"/>
      <c r="Z656" s="597"/>
    </row>
    <row r="657" spans="1:26" ht="18.75" hidden="1">
      <c r="A657" s="592"/>
      <c r="B657" s="600"/>
      <c r="C657" s="750"/>
      <c r="D657" s="711"/>
      <c r="E657" s="750" t="s">
        <v>185</v>
      </c>
      <c r="F657" s="750"/>
      <c r="G657" s="596"/>
      <c r="H657" s="165" t="s">
        <v>12</v>
      </c>
      <c r="I657" s="610"/>
      <c r="J657" s="610"/>
      <c r="K657" s="93"/>
      <c r="L657" s="93">
        <f t="shared" ca="1" si="275"/>
        <v>12400</v>
      </c>
      <c r="M657" s="93">
        <f t="shared" si="275"/>
        <v>0</v>
      </c>
      <c r="N657" s="93">
        <f t="shared" si="275"/>
        <v>6900</v>
      </c>
      <c r="O657" s="93">
        <f t="shared" ca="1" si="273"/>
        <v>55.645161290322584</v>
      </c>
      <c r="P657" s="93">
        <f t="shared" si="274"/>
        <v>0</v>
      </c>
      <c r="Q657" s="597"/>
      <c r="R657" s="597"/>
      <c r="S657" s="597"/>
      <c r="T657" s="597"/>
      <c r="U657" s="597"/>
      <c r="V657" s="597"/>
      <c r="W657" s="597"/>
      <c r="X657" s="597"/>
      <c r="Y657" s="597"/>
      <c r="Z657" s="597"/>
    </row>
    <row r="658" spans="1:26" ht="18.75">
      <c r="A658" s="590"/>
      <c r="B658" s="568"/>
      <c r="C658" s="754"/>
      <c r="D658" s="599" t="s">
        <v>20</v>
      </c>
      <c r="E658" s="754"/>
      <c r="F658" s="754"/>
      <c r="G658" s="189"/>
      <c r="H658" s="161" t="s">
        <v>12</v>
      </c>
      <c r="I658" s="184"/>
      <c r="J658" s="184"/>
      <c r="K658" s="163"/>
      <c r="L658" s="496">
        <f t="shared" ref="L658:N658" ca="1" si="276">L659+L660</f>
        <v>12400</v>
      </c>
      <c r="M658" s="496">
        <f t="shared" si="276"/>
        <v>0</v>
      </c>
      <c r="N658" s="496">
        <f t="shared" si="276"/>
        <v>6900</v>
      </c>
      <c r="O658" s="496">
        <f t="shared" ca="1" si="273"/>
        <v>55.645161290322584</v>
      </c>
      <c r="P658" s="496">
        <f t="shared" si="274"/>
        <v>0</v>
      </c>
      <c r="Q658" s="571"/>
      <c r="R658" s="571"/>
      <c r="S658" s="571"/>
      <c r="T658" s="571"/>
      <c r="U658" s="571"/>
      <c r="V658" s="571"/>
      <c r="W658" s="571"/>
      <c r="X658" s="571"/>
      <c r="Y658" s="571"/>
      <c r="Z658" s="571"/>
    </row>
    <row r="659" spans="1:26" ht="18.75" hidden="1">
      <c r="A659" s="592"/>
      <c r="B659" s="600"/>
      <c r="C659" s="750"/>
      <c r="D659" s="711"/>
      <c r="E659" s="750" t="s">
        <v>184</v>
      </c>
      <c r="F659" s="750"/>
      <c r="G659" s="596"/>
      <c r="H659" s="165" t="s">
        <v>12</v>
      </c>
      <c r="I659" s="610"/>
      <c r="J659" s="610"/>
      <c r="K659" s="93"/>
      <c r="L659" s="93">
        <v>0</v>
      </c>
      <c r="M659" s="93">
        <v>0</v>
      </c>
      <c r="N659" s="93">
        <v>0</v>
      </c>
      <c r="O659" s="93">
        <f t="shared" si="273"/>
        <v>0</v>
      </c>
      <c r="P659" s="93">
        <f t="shared" si="274"/>
        <v>0</v>
      </c>
      <c r="Q659" s="597"/>
      <c r="R659" s="597"/>
      <c r="S659" s="597"/>
      <c r="T659" s="597"/>
      <c r="U659" s="597"/>
      <c r="V659" s="597"/>
      <c r="W659" s="597"/>
      <c r="X659" s="597"/>
      <c r="Y659" s="597"/>
      <c r="Z659" s="597"/>
    </row>
    <row r="660" spans="1:26" ht="18.75" hidden="1">
      <c r="A660" s="592"/>
      <c r="B660" s="600"/>
      <c r="C660" s="750"/>
      <c r="D660" s="711"/>
      <c r="E660" s="750" t="s">
        <v>185</v>
      </c>
      <c r="F660" s="750"/>
      <c r="G660" s="596"/>
      <c r="H660" s="165" t="s">
        <v>12</v>
      </c>
      <c r="I660" s="610"/>
      <c r="J660" s="610"/>
      <c r="K660" s="93"/>
      <c r="L660" s="93">
        <f ca="1">IFERROR(__xludf.DUMMYFUNCTION("IMPORTRANGE(""https://docs.google.com/spreadsheets/d/1QqKyyYR6Q21VydFLVH3TRQUabQu_ym0Zz7PgGX0-kHA/edit?usp=sharing"",""แผน!HV71"")"),12400)</f>
        <v>12400</v>
      </c>
      <c r="M660" s="93">
        <v>0</v>
      </c>
      <c r="N660" s="93">
        <f>N661+N662+N663+N664</f>
        <v>6900</v>
      </c>
      <c r="O660" s="93">
        <f t="shared" ca="1" si="273"/>
        <v>55.645161290322584</v>
      </c>
      <c r="P660" s="93">
        <f t="shared" si="274"/>
        <v>0</v>
      </c>
      <c r="Q660" s="597"/>
      <c r="R660" s="597"/>
      <c r="S660" s="597"/>
      <c r="T660" s="597"/>
      <c r="U660" s="597"/>
      <c r="V660" s="597"/>
      <c r="W660" s="597"/>
      <c r="X660" s="597"/>
      <c r="Y660" s="597"/>
      <c r="Z660" s="597"/>
    </row>
    <row r="661" spans="1:26" ht="18.75">
      <c r="A661" s="567"/>
      <c r="B661" s="568"/>
      <c r="C661" s="754"/>
      <c r="D661" s="754"/>
      <c r="E661" s="754"/>
      <c r="F661" s="754" t="s">
        <v>186</v>
      </c>
      <c r="G661" s="189"/>
      <c r="H661" s="161" t="s">
        <v>12</v>
      </c>
      <c r="I661" s="269"/>
      <c r="J661" s="269"/>
      <c r="K661" s="496"/>
      <c r="L661" s="496"/>
      <c r="M661" s="496"/>
      <c r="N661" s="817">
        <v>0</v>
      </c>
      <c r="O661" s="496"/>
      <c r="P661" s="496"/>
      <c r="Q661" s="571"/>
      <c r="R661" s="571"/>
      <c r="S661" s="571"/>
      <c r="T661" s="571"/>
      <c r="U661" s="571"/>
      <c r="V661" s="571"/>
      <c r="W661" s="571"/>
      <c r="X661" s="571"/>
      <c r="Y661" s="571"/>
      <c r="Z661" s="571"/>
    </row>
    <row r="662" spans="1:26" ht="18.75">
      <c r="A662" s="567"/>
      <c r="B662" s="568"/>
      <c r="C662" s="754"/>
      <c r="D662" s="754"/>
      <c r="E662" s="754"/>
      <c r="F662" s="754" t="s">
        <v>187</v>
      </c>
      <c r="G662" s="189"/>
      <c r="H662" s="161" t="s">
        <v>12</v>
      </c>
      <c r="I662" s="269"/>
      <c r="J662" s="269"/>
      <c r="K662" s="496"/>
      <c r="L662" s="496"/>
      <c r="M662" s="496"/>
      <c r="N662" s="817">
        <v>0</v>
      </c>
      <c r="O662" s="496"/>
      <c r="P662" s="496"/>
      <c r="Q662" s="571"/>
      <c r="R662" s="571"/>
      <c r="S662" s="571"/>
      <c r="T662" s="571"/>
      <c r="U662" s="571"/>
      <c r="V662" s="571"/>
      <c r="W662" s="571"/>
      <c r="X662" s="571"/>
      <c r="Y662" s="571"/>
      <c r="Z662" s="571"/>
    </row>
    <row r="663" spans="1:26" ht="18.75">
      <c r="A663" s="567"/>
      <c r="B663" s="568"/>
      <c r="C663" s="568"/>
      <c r="D663" s="754"/>
      <c r="E663" s="754"/>
      <c r="F663" s="754" t="s">
        <v>188</v>
      </c>
      <c r="G663" s="189"/>
      <c r="H663" s="161" t="s">
        <v>12</v>
      </c>
      <c r="I663" s="269"/>
      <c r="J663" s="269"/>
      <c r="K663" s="496"/>
      <c r="L663" s="496"/>
      <c r="M663" s="496"/>
      <c r="N663" s="817">
        <v>0</v>
      </c>
      <c r="O663" s="496"/>
      <c r="P663" s="496"/>
      <c r="Q663" s="571"/>
      <c r="R663" s="571"/>
      <c r="S663" s="571"/>
      <c r="T663" s="571"/>
      <c r="U663" s="571"/>
      <c r="V663" s="571"/>
      <c r="W663" s="571"/>
      <c r="X663" s="571"/>
      <c r="Y663" s="571"/>
      <c r="Z663" s="571"/>
    </row>
    <row r="664" spans="1:26" ht="18.75">
      <c r="A664" s="567"/>
      <c r="B664" s="568"/>
      <c r="C664" s="568"/>
      <c r="D664" s="568"/>
      <c r="E664" s="754"/>
      <c r="F664" s="754" t="s">
        <v>189</v>
      </c>
      <c r="G664" s="189"/>
      <c r="H664" s="161" t="s">
        <v>12</v>
      </c>
      <c r="I664" s="269"/>
      <c r="J664" s="269"/>
      <c r="K664" s="496"/>
      <c r="L664" s="496"/>
      <c r="M664" s="496"/>
      <c r="N664" s="817">
        <v>6900</v>
      </c>
      <c r="O664" s="496"/>
      <c r="P664" s="496"/>
      <c r="Q664" s="571"/>
      <c r="R664" s="571"/>
      <c r="S664" s="571"/>
      <c r="T664" s="571"/>
      <c r="U664" s="571"/>
      <c r="V664" s="571"/>
      <c r="W664" s="571"/>
      <c r="X664" s="571"/>
      <c r="Y664" s="571"/>
      <c r="Z664" s="571"/>
    </row>
    <row r="665" spans="1:26" ht="18.75">
      <c r="A665" s="590"/>
      <c r="B665" s="568"/>
      <c r="C665" s="568"/>
      <c r="D665" s="599" t="s">
        <v>21</v>
      </c>
      <c r="E665" s="754"/>
      <c r="F665" s="754"/>
      <c r="G665" s="189"/>
      <c r="H665" s="168" t="s">
        <v>12</v>
      </c>
      <c r="I665" s="184"/>
      <c r="J665" s="184"/>
      <c r="K665" s="163"/>
      <c r="L665" s="496">
        <f t="shared" ref="L665:N665" si="277">L666+L667</f>
        <v>0</v>
      </c>
      <c r="M665" s="496">
        <f t="shared" si="277"/>
        <v>0</v>
      </c>
      <c r="N665" s="496">
        <f t="shared" si="277"/>
        <v>0</v>
      </c>
      <c r="O665" s="496">
        <f t="shared" ref="O665:O667" si="278">IF(L665&gt;0,N665*100/L665,0)</f>
        <v>0</v>
      </c>
      <c r="P665" s="496">
        <f t="shared" ref="P665:P667" si="279">IF(M665&gt;0,N665*100/M665,0)</f>
        <v>0</v>
      </c>
      <c r="Q665" s="571"/>
      <c r="R665" s="571"/>
      <c r="S665" s="571"/>
      <c r="T665" s="571"/>
      <c r="U665" s="571"/>
      <c r="V665" s="571"/>
      <c r="W665" s="571"/>
      <c r="X665" s="571"/>
      <c r="Y665" s="571"/>
      <c r="Z665" s="571"/>
    </row>
    <row r="666" spans="1:26" ht="18.75" hidden="1">
      <c r="A666" s="592"/>
      <c r="B666" s="600"/>
      <c r="C666" s="600"/>
      <c r="D666" s="600"/>
      <c r="E666" s="750" t="s">
        <v>18</v>
      </c>
      <c r="F666" s="750"/>
      <c r="G666" s="596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8"/>
        <v>0</v>
      </c>
      <c r="P666" s="93">
        <f t="shared" si="279"/>
        <v>0</v>
      </c>
      <c r="Q666" s="597"/>
      <c r="R666" s="597"/>
      <c r="S666" s="597"/>
      <c r="T666" s="597"/>
      <c r="U666" s="597"/>
      <c r="V666" s="597"/>
      <c r="W666" s="597"/>
      <c r="X666" s="597"/>
      <c r="Y666" s="597"/>
      <c r="Z666" s="597"/>
    </row>
    <row r="667" spans="1:26" ht="18.75" hidden="1">
      <c r="A667" s="592"/>
      <c r="B667" s="600"/>
      <c r="C667" s="600"/>
      <c r="D667" s="600"/>
      <c r="E667" s="750" t="s">
        <v>19</v>
      </c>
      <c r="F667" s="750"/>
      <c r="G667" s="596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8"/>
        <v>0</v>
      </c>
      <c r="P667" s="93">
        <f t="shared" si="279"/>
        <v>0</v>
      </c>
      <c r="Q667" s="597"/>
      <c r="R667" s="597"/>
      <c r="S667" s="597"/>
      <c r="T667" s="597"/>
      <c r="U667" s="597"/>
      <c r="V667" s="597"/>
      <c r="W667" s="597"/>
      <c r="X667" s="597"/>
      <c r="Y667" s="597"/>
      <c r="Z667" s="597"/>
    </row>
    <row r="668" spans="1:26" ht="19.5">
      <c r="A668" s="601"/>
      <c r="B668" s="611"/>
      <c r="C668" s="568" t="s">
        <v>16</v>
      </c>
      <c r="D668" s="836" t="s">
        <v>38</v>
      </c>
      <c r="E668" s="752"/>
      <c r="F668" s="752"/>
      <c r="G668" s="606"/>
      <c r="H668" s="753"/>
      <c r="I668" s="184"/>
      <c r="J668" s="184"/>
      <c r="K668" s="163"/>
      <c r="L668" s="163"/>
      <c r="M668" s="163"/>
      <c r="N668" s="163"/>
      <c r="O668" s="163"/>
      <c r="P668" s="163"/>
      <c r="Q668" s="571"/>
      <c r="R668" s="571"/>
      <c r="S668" s="571"/>
      <c r="T668" s="571"/>
      <c r="U668" s="571"/>
      <c r="V668" s="571"/>
      <c r="W668" s="571"/>
      <c r="X668" s="571"/>
      <c r="Y668" s="571"/>
      <c r="Z668" s="571"/>
    </row>
    <row r="669" spans="1:26" ht="19.5">
      <c r="A669" s="601"/>
      <c r="B669" s="611"/>
      <c r="C669" s="611"/>
      <c r="D669" s="611" t="s">
        <v>280</v>
      </c>
      <c r="E669" s="619"/>
      <c r="F669" s="619"/>
      <c r="G669" s="753"/>
      <c r="H669" s="758" t="s">
        <v>46</v>
      </c>
      <c r="I669" s="674">
        <f ca="1">IFERROR(__xludf.DUMMYFUNCTION("IMPORTRANGE(""https://docs.google.com/spreadsheets/d/1QqKyyYR6Q21VydFLVH3TRQUabQu_ym0Zz7PgGX0-kHA/edit?usp=sharing"",""แผน!IA71"")"),100)</f>
        <v>100</v>
      </c>
      <c r="J669" s="674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1"/>
      <c r="R669" s="571"/>
      <c r="S669" s="571"/>
      <c r="T669" s="571"/>
      <c r="U669" s="571"/>
      <c r="V669" s="571"/>
      <c r="W669" s="571"/>
      <c r="X669" s="571"/>
      <c r="Y669" s="571"/>
      <c r="Z669" s="571"/>
    </row>
    <row r="670" spans="1:26" ht="18.75">
      <c r="A670" s="601"/>
      <c r="B670" s="611"/>
      <c r="C670" s="611"/>
      <c r="D670" s="611"/>
      <c r="E670" s="619" t="s">
        <v>281</v>
      </c>
      <c r="F670" s="619"/>
      <c r="G670" s="753"/>
      <c r="H670" s="755" t="s">
        <v>69</v>
      </c>
      <c r="I670" s="269">
        <f ca="1">IFERROR(__xludf.DUMMYFUNCTION("IMPORTRANGE(""https://docs.google.com/spreadsheets/d/1QqKyyYR6Q21VydFLVH3TRQUabQu_ym0Zz7PgGX0-kHA/edit?usp=sharing"",""แผน!HZ71"")"),4)</f>
        <v>4</v>
      </c>
      <c r="J670" s="214">
        <v>4</v>
      </c>
      <c r="K670" s="496">
        <f ca="1">IF(I670&gt;0,(J670*100)/I670,0)</f>
        <v>100</v>
      </c>
      <c r="L670" s="163"/>
      <c r="M670" s="163"/>
      <c r="N670" s="163"/>
      <c r="O670" s="163"/>
      <c r="P670" s="163"/>
      <c r="Q670" s="571"/>
      <c r="R670" s="571"/>
      <c r="S670" s="571"/>
      <c r="T670" s="571"/>
      <c r="U670" s="571"/>
      <c r="V670" s="571"/>
      <c r="W670" s="571"/>
      <c r="X670" s="571"/>
      <c r="Y670" s="571"/>
      <c r="Z670" s="571"/>
    </row>
    <row r="671" spans="1:26" ht="18.75">
      <c r="A671" s="601"/>
      <c r="B671" s="611"/>
      <c r="C671" s="611"/>
      <c r="D671" s="611"/>
      <c r="E671" s="619" t="s">
        <v>282</v>
      </c>
      <c r="F671" s="619"/>
      <c r="G671" s="753"/>
      <c r="H671" s="755" t="s">
        <v>69</v>
      </c>
      <c r="I671" s="269">
        <f ca="1">IFERROR(__xludf.DUMMYFUNCTION("IMPORTRANGE(""https://docs.google.com/spreadsheets/d/1QqKyyYR6Q21VydFLVH3TRQUabQu_ym0Zz7PgGX0-kHA/edit?usp=sharing"",""แผน!HZ71"")"),4)</f>
        <v>4</v>
      </c>
      <c r="J671" s="214">
        <v>4</v>
      </c>
      <c r="K671" s="496">
        <f ca="1">IF(I$671&gt;0,J671*100/I$671,0)</f>
        <v>100</v>
      </c>
      <c r="L671" s="163"/>
      <c r="M671" s="163"/>
      <c r="N671" s="163"/>
      <c r="O671" s="163"/>
      <c r="P671" s="163"/>
      <c r="Q671" s="571"/>
      <c r="R671" s="571"/>
      <c r="S671" s="571"/>
      <c r="T671" s="571"/>
      <c r="U671" s="571"/>
      <c r="V671" s="571"/>
      <c r="W671" s="571"/>
      <c r="X671" s="571"/>
      <c r="Y671" s="571"/>
      <c r="Z671" s="571"/>
    </row>
    <row r="672" spans="1:26" ht="18.75">
      <c r="A672" s="601"/>
      <c r="B672" s="611"/>
      <c r="C672" s="611"/>
      <c r="D672" s="611"/>
      <c r="E672" s="619" t="s">
        <v>283</v>
      </c>
      <c r="F672" s="619"/>
      <c r="G672" s="753"/>
      <c r="H672" s="755" t="s">
        <v>46</v>
      </c>
      <c r="I672" s="269"/>
      <c r="J672" s="214">
        <v>28</v>
      </c>
      <c r="K672" s="496">
        <f t="shared" ref="K672:K675" ca="1" si="280">IF(I$669&gt;0,J672*100/I$669,0)</f>
        <v>28</v>
      </c>
      <c r="L672" s="163"/>
      <c r="M672" s="163"/>
      <c r="N672" s="163"/>
      <c r="O672" s="163"/>
      <c r="P672" s="163"/>
      <c r="Q672" s="571"/>
      <c r="R672" s="571"/>
      <c r="S672" s="571"/>
      <c r="T672" s="571"/>
      <c r="U672" s="571"/>
      <c r="V672" s="571"/>
      <c r="W672" s="571"/>
      <c r="X672" s="571"/>
      <c r="Y672" s="571"/>
      <c r="Z672" s="571"/>
    </row>
    <row r="673" spans="1:26" ht="18.75">
      <c r="A673" s="601"/>
      <c r="B673" s="611"/>
      <c r="C673" s="611"/>
      <c r="D673" s="611"/>
      <c r="E673" s="619" t="s">
        <v>284</v>
      </c>
      <c r="F673" s="619"/>
      <c r="G673" s="753"/>
      <c r="H673" s="755" t="s">
        <v>46</v>
      </c>
      <c r="I673" s="269"/>
      <c r="J673" s="214">
        <v>0</v>
      </c>
      <c r="K673" s="496">
        <f t="shared" ca="1" si="280"/>
        <v>0</v>
      </c>
      <c r="L673" s="163"/>
      <c r="M673" s="163"/>
      <c r="N673" s="163"/>
      <c r="O673" s="163"/>
      <c r="P673" s="163"/>
      <c r="Q673" s="571"/>
      <c r="R673" s="571"/>
      <c r="S673" s="571"/>
      <c r="T673" s="571"/>
      <c r="U673" s="571"/>
      <c r="V673" s="571"/>
      <c r="W673" s="571"/>
      <c r="X673" s="571"/>
      <c r="Y673" s="571"/>
      <c r="Z673" s="571"/>
    </row>
    <row r="674" spans="1:26" ht="18.75">
      <c r="A674" s="601"/>
      <c r="B674" s="611"/>
      <c r="C674" s="611"/>
      <c r="D674" s="611"/>
      <c r="E674" s="619" t="s">
        <v>285</v>
      </c>
      <c r="F674" s="619"/>
      <c r="G674" s="753"/>
      <c r="H674" s="755" t="s">
        <v>46</v>
      </c>
      <c r="I674" s="269"/>
      <c r="J674" s="214">
        <v>0</v>
      </c>
      <c r="K674" s="496">
        <f t="shared" ca="1" si="280"/>
        <v>0</v>
      </c>
      <c r="L674" s="163"/>
      <c r="M674" s="163"/>
      <c r="N674" s="163"/>
      <c r="O674" s="163"/>
      <c r="P674" s="163"/>
      <c r="Q674" s="571"/>
      <c r="R674" s="571"/>
      <c r="S674" s="571"/>
      <c r="T674" s="571"/>
      <c r="U674" s="571"/>
      <c r="V674" s="571"/>
      <c r="W674" s="571"/>
      <c r="X674" s="571"/>
      <c r="Y674" s="571"/>
      <c r="Z674" s="571"/>
    </row>
    <row r="675" spans="1:26" ht="19.5">
      <c r="A675" s="601"/>
      <c r="B675" s="611"/>
      <c r="C675" s="611"/>
      <c r="D675" s="611"/>
      <c r="E675" s="619" t="s">
        <v>286</v>
      </c>
      <c r="F675" s="619"/>
      <c r="G675" s="753"/>
      <c r="H675" s="755" t="s">
        <v>46</v>
      </c>
      <c r="I675" s="269"/>
      <c r="J675" s="674">
        <f>J676+J677</f>
        <v>0</v>
      </c>
      <c r="K675" s="195">
        <f t="shared" ca="1" si="280"/>
        <v>0</v>
      </c>
      <c r="L675" s="163"/>
      <c r="M675" s="163"/>
      <c r="N675" s="163"/>
      <c r="O675" s="163"/>
      <c r="P675" s="163"/>
      <c r="Q675" s="571"/>
      <c r="R675" s="571"/>
      <c r="S675" s="571"/>
      <c r="T675" s="571"/>
      <c r="U675" s="571"/>
      <c r="V675" s="571"/>
      <c r="W675" s="571"/>
      <c r="X675" s="571"/>
      <c r="Y675" s="571"/>
      <c r="Z675" s="571"/>
    </row>
    <row r="676" spans="1:26" ht="18.75">
      <c r="A676" s="601"/>
      <c r="B676" s="611"/>
      <c r="C676" s="611"/>
      <c r="D676" s="611"/>
      <c r="E676" s="619"/>
      <c r="F676" s="619" t="s">
        <v>287</v>
      </c>
      <c r="G676" s="753"/>
      <c r="H676" s="755" t="s">
        <v>46</v>
      </c>
      <c r="I676" s="269"/>
      <c r="J676" s="214">
        <v>0</v>
      </c>
      <c r="K676" s="496"/>
      <c r="L676" s="163"/>
      <c r="M676" s="163"/>
      <c r="N676" s="163"/>
      <c r="O676" s="163"/>
      <c r="P676" s="163"/>
      <c r="Q676" s="571"/>
      <c r="R676" s="571"/>
      <c r="S676" s="571"/>
      <c r="T676" s="571"/>
      <c r="U676" s="571"/>
      <c r="V676" s="571"/>
      <c r="W676" s="571"/>
      <c r="X676" s="571"/>
      <c r="Y676" s="571"/>
      <c r="Z676" s="571"/>
    </row>
    <row r="677" spans="1:26" ht="18.75">
      <c r="A677" s="601"/>
      <c r="B677" s="611"/>
      <c r="C677" s="611"/>
      <c r="D677" s="611"/>
      <c r="E677" s="619"/>
      <c r="F677" s="619" t="s">
        <v>288</v>
      </c>
      <c r="G677" s="753"/>
      <c r="H677" s="755" t="s">
        <v>46</v>
      </c>
      <c r="I677" s="269"/>
      <c r="J677" s="214">
        <v>0</v>
      </c>
      <c r="K677" s="496"/>
      <c r="L677" s="163"/>
      <c r="M677" s="163"/>
      <c r="N677" s="163"/>
      <c r="O677" s="163"/>
      <c r="P677" s="163"/>
      <c r="Q677" s="571"/>
      <c r="R677" s="571"/>
      <c r="S677" s="571"/>
      <c r="T677" s="571"/>
      <c r="U677" s="571"/>
      <c r="V677" s="571"/>
      <c r="W677" s="571"/>
      <c r="X677" s="571"/>
      <c r="Y677" s="571"/>
      <c r="Z677" s="571"/>
    </row>
    <row r="678" spans="1:26" ht="19.5">
      <c r="A678" s="601"/>
      <c r="B678" s="611"/>
      <c r="C678" s="611"/>
      <c r="D678" s="611" t="s">
        <v>289</v>
      </c>
      <c r="E678" s="619"/>
      <c r="F678" s="619"/>
      <c r="G678" s="753"/>
      <c r="H678" s="755" t="s">
        <v>46</v>
      </c>
      <c r="I678" s="674">
        <f ca="1">IFERROR(__xludf.DUMMYFUNCTION("IMPORTRANGE(""https://docs.google.com/spreadsheets/d/1QqKyyYR6Q21VydFLVH3TRQUabQu_ym0Zz7PgGX0-kHA/edit?usp=sharing"",""แผน!IB71"")"),0)</f>
        <v>0</v>
      </c>
      <c r="J678" s="674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1"/>
      <c r="R678" s="571"/>
      <c r="S678" s="571"/>
      <c r="T678" s="571"/>
      <c r="U678" s="571"/>
      <c r="V678" s="571"/>
      <c r="W678" s="571"/>
      <c r="X678" s="571"/>
      <c r="Y678" s="571"/>
      <c r="Z678" s="571"/>
    </row>
    <row r="679" spans="1:26" ht="18.75">
      <c r="A679" s="601"/>
      <c r="B679" s="611"/>
      <c r="C679" s="611"/>
      <c r="D679" s="611"/>
      <c r="E679" s="619" t="s">
        <v>290</v>
      </c>
      <c r="F679" s="619"/>
      <c r="G679" s="753"/>
      <c r="H679" s="755" t="s">
        <v>46</v>
      </c>
      <c r="I679" s="269"/>
      <c r="J679" s="269">
        <f>J680+J681</f>
        <v>0</v>
      </c>
      <c r="K679" s="496"/>
      <c r="L679" s="163"/>
      <c r="M679" s="163"/>
      <c r="N679" s="163"/>
      <c r="O679" s="163"/>
      <c r="P679" s="163"/>
      <c r="Q679" s="571"/>
      <c r="R679" s="571"/>
      <c r="S679" s="571"/>
      <c r="T679" s="571"/>
      <c r="U679" s="571"/>
      <c r="V679" s="571"/>
      <c r="W679" s="571"/>
      <c r="X679" s="571"/>
      <c r="Y679" s="571"/>
      <c r="Z679" s="571"/>
    </row>
    <row r="680" spans="1:26" ht="18.75">
      <c r="A680" s="601"/>
      <c r="B680" s="611"/>
      <c r="C680" s="611"/>
      <c r="D680" s="611"/>
      <c r="E680" s="619"/>
      <c r="F680" s="619" t="s">
        <v>287</v>
      </c>
      <c r="G680" s="753"/>
      <c r="H680" s="755" t="s">
        <v>46</v>
      </c>
      <c r="I680" s="269"/>
      <c r="J680" s="214">
        <v>0</v>
      </c>
      <c r="K680" s="496"/>
      <c r="L680" s="163"/>
      <c r="M680" s="163"/>
      <c r="N680" s="163"/>
      <c r="O680" s="163"/>
      <c r="P680" s="163"/>
      <c r="Q680" s="571"/>
      <c r="R680" s="571"/>
      <c r="S680" s="571"/>
      <c r="T680" s="571"/>
      <c r="U680" s="571"/>
      <c r="V680" s="571"/>
      <c r="W680" s="571"/>
      <c r="X680" s="571"/>
      <c r="Y680" s="571"/>
      <c r="Z680" s="571"/>
    </row>
    <row r="681" spans="1:26" ht="18.75">
      <c r="A681" s="601"/>
      <c r="B681" s="611"/>
      <c r="C681" s="611"/>
      <c r="D681" s="611"/>
      <c r="E681" s="619"/>
      <c r="F681" s="619" t="s">
        <v>288</v>
      </c>
      <c r="G681" s="753"/>
      <c r="H681" s="755" t="s">
        <v>46</v>
      </c>
      <c r="I681" s="269"/>
      <c r="J681" s="214">
        <v>0</v>
      </c>
      <c r="K681" s="496"/>
      <c r="L681" s="163"/>
      <c r="M681" s="163"/>
      <c r="N681" s="163"/>
      <c r="O681" s="163"/>
      <c r="P681" s="163"/>
      <c r="Q681" s="571"/>
      <c r="R681" s="571"/>
      <c r="S681" s="571"/>
      <c r="T681" s="571"/>
      <c r="U681" s="571"/>
      <c r="V681" s="571"/>
      <c r="W681" s="571"/>
      <c r="X681" s="571"/>
      <c r="Y681" s="571"/>
      <c r="Z681" s="571"/>
    </row>
    <row r="682" spans="1:26" ht="18.75">
      <c r="A682" s="601"/>
      <c r="B682" s="611"/>
      <c r="C682" s="611"/>
      <c r="D682" s="611"/>
      <c r="E682" s="619" t="s">
        <v>291</v>
      </c>
      <c r="F682" s="619"/>
      <c r="G682" s="753"/>
      <c r="H682" s="755" t="s">
        <v>46</v>
      </c>
      <c r="I682" s="269"/>
      <c r="J682" s="214">
        <v>0</v>
      </c>
      <c r="K682" s="496"/>
      <c r="L682" s="163"/>
      <c r="M682" s="163"/>
      <c r="N682" s="163"/>
      <c r="O682" s="163"/>
      <c r="P682" s="163"/>
      <c r="Q682" s="571"/>
      <c r="R682" s="571"/>
      <c r="S682" s="571"/>
      <c r="T682" s="571"/>
      <c r="U682" s="571"/>
      <c r="V682" s="571"/>
      <c r="W682" s="571"/>
      <c r="X682" s="571"/>
      <c r="Y682" s="571"/>
      <c r="Z682" s="571"/>
    </row>
    <row r="683" spans="1:26" ht="18.75">
      <c r="A683" s="601"/>
      <c r="B683" s="611"/>
      <c r="C683" s="611"/>
      <c r="D683" s="611"/>
      <c r="E683" s="619"/>
      <c r="F683" s="619" t="s">
        <v>292</v>
      </c>
      <c r="G683" s="753"/>
      <c r="H683" s="755" t="s">
        <v>46</v>
      </c>
      <c r="I683" s="269"/>
      <c r="J683" s="214">
        <v>0</v>
      </c>
      <c r="K683" s="496"/>
      <c r="L683" s="163"/>
      <c r="M683" s="163"/>
      <c r="N683" s="163"/>
      <c r="O683" s="163"/>
      <c r="P683" s="163"/>
      <c r="Q683" s="571"/>
      <c r="R683" s="571"/>
      <c r="S683" s="571"/>
      <c r="T683" s="571"/>
      <c r="U683" s="571"/>
      <c r="V683" s="571"/>
      <c r="W683" s="571"/>
      <c r="X683" s="571"/>
      <c r="Y683" s="571"/>
      <c r="Z683" s="571"/>
    </row>
    <row r="684" spans="1:26" ht="19.5">
      <c r="A684" s="744"/>
      <c r="B684" s="745" t="s">
        <v>293</v>
      </c>
      <c r="C684" s="744"/>
      <c r="D684" s="744"/>
      <c r="E684" s="744"/>
      <c r="F684" s="744"/>
      <c r="G684" s="746"/>
      <c r="H684" s="746"/>
      <c r="I684" s="747"/>
      <c r="J684" s="747"/>
      <c r="K684" s="748"/>
      <c r="L684" s="748"/>
      <c r="M684" s="748"/>
      <c r="N684" s="748"/>
      <c r="O684" s="748"/>
      <c r="P684" s="748"/>
      <c r="Q684" s="571"/>
      <c r="R684" s="571"/>
      <c r="S684" s="571"/>
      <c r="T684" s="571"/>
      <c r="U684" s="571"/>
      <c r="V684" s="571"/>
      <c r="W684" s="571"/>
      <c r="X684" s="571"/>
      <c r="Y684" s="571"/>
      <c r="Z684" s="571"/>
    </row>
    <row r="685" spans="1:26" ht="19.5">
      <c r="A685" s="590"/>
      <c r="B685" s="754"/>
      <c r="C685" s="754" t="s">
        <v>16</v>
      </c>
      <c r="D685" s="863" t="s">
        <v>17</v>
      </c>
      <c r="E685" s="857"/>
      <c r="F685" s="857"/>
      <c r="G685" s="189"/>
      <c r="H685" s="591" t="s">
        <v>12</v>
      </c>
      <c r="I685" s="269"/>
      <c r="J685" s="269"/>
      <c r="K685" s="496"/>
      <c r="L685" s="195">
        <f t="shared" ref="L685:N685" ca="1" si="281">L686+L687</f>
        <v>1240</v>
      </c>
      <c r="M685" s="195">
        <f t="shared" si="281"/>
        <v>0</v>
      </c>
      <c r="N685" s="195">
        <f t="shared" si="281"/>
        <v>0</v>
      </c>
      <c r="O685" s="195">
        <f t="shared" ref="O685:O688" ca="1" si="282">IF(L685&gt;0,N685*100/L685,0)</f>
        <v>0</v>
      </c>
      <c r="P685" s="195">
        <f t="shared" ref="P685:P688" si="283">IF(M685&gt;0,N685*100/M685,0)</f>
        <v>0</v>
      </c>
      <c r="Q685" s="571"/>
      <c r="R685" s="571"/>
      <c r="S685" s="571"/>
      <c r="T685" s="571"/>
      <c r="U685" s="571"/>
      <c r="V685" s="571"/>
      <c r="W685" s="571"/>
      <c r="X685" s="571"/>
      <c r="Y685" s="571"/>
      <c r="Z685" s="571"/>
    </row>
    <row r="686" spans="1:26" ht="18.75" hidden="1">
      <c r="A686" s="592"/>
      <c r="B686" s="750"/>
      <c r="C686" s="750"/>
      <c r="D686" s="711"/>
      <c r="E686" s="750" t="s">
        <v>184</v>
      </c>
      <c r="F686" s="750"/>
      <c r="G686" s="596"/>
      <c r="H686" s="165" t="s">
        <v>12</v>
      </c>
      <c r="I686" s="610"/>
      <c r="J686" s="610"/>
      <c r="K686" s="93"/>
      <c r="L686" s="93">
        <f t="shared" ref="L686:N687" si="284">L689+L696</f>
        <v>0</v>
      </c>
      <c r="M686" s="93">
        <f t="shared" si="284"/>
        <v>0</v>
      </c>
      <c r="N686" s="93">
        <f t="shared" si="284"/>
        <v>0</v>
      </c>
      <c r="O686" s="93">
        <f t="shared" si="282"/>
        <v>0</v>
      </c>
      <c r="P686" s="93">
        <f t="shared" si="283"/>
        <v>0</v>
      </c>
      <c r="Q686" s="597"/>
      <c r="R686" s="597"/>
      <c r="S686" s="597"/>
      <c r="T686" s="597"/>
      <c r="U686" s="597"/>
      <c r="V686" s="597"/>
      <c r="W686" s="597"/>
      <c r="X686" s="597"/>
      <c r="Y686" s="597"/>
      <c r="Z686" s="597"/>
    </row>
    <row r="687" spans="1:26" ht="18.75" hidden="1">
      <c r="A687" s="592"/>
      <c r="B687" s="600"/>
      <c r="C687" s="750"/>
      <c r="D687" s="711"/>
      <c r="E687" s="750" t="s">
        <v>185</v>
      </c>
      <c r="F687" s="750"/>
      <c r="G687" s="596"/>
      <c r="H687" s="165" t="s">
        <v>12</v>
      </c>
      <c r="I687" s="610"/>
      <c r="J687" s="610"/>
      <c r="K687" s="93"/>
      <c r="L687" s="93">
        <f t="shared" ca="1" si="284"/>
        <v>1240</v>
      </c>
      <c r="M687" s="93">
        <f t="shared" si="284"/>
        <v>0</v>
      </c>
      <c r="N687" s="93">
        <f t="shared" si="284"/>
        <v>0</v>
      </c>
      <c r="O687" s="93">
        <f t="shared" ca="1" si="282"/>
        <v>0</v>
      </c>
      <c r="P687" s="93">
        <f t="shared" si="283"/>
        <v>0</v>
      </c>
      <c r="Q687" s="597"/>
      <c r="R687" s="597"/>
      <c r="S687" s="597"/>
      <c r="T687" s="597"/>
      <c r="U687" s="597"/>
      <c r="V687" s="597"/>
      <c r="W687" s="597"/>
      <c r="X687" s="597"/>
      <c r="Y687" s="597"/>
      <c r="Z687" s="597"/>
    </row>
    <row r="688" spans="1:26" ht="18.75">
      <c r="A688" s="590"/>
      <c r="B688" s="568"/>
      <c r="C688" s="754"/>
      <c r="D688" s="599" t="s">
        <v>20</v>
      </c>
      <c r="E688" s="754"/>
      <c r="F688" s="754"/>
      <c r="G688" s="189"/>
      <c r="H688" s="161" t="s">
        <v>12</v>
      </c>
      <c r="I688" s="184"/>
      <c r="J688" s="184"/>
      <c r="K688" s="163"/>
      <c r="L688" s="496">
        <f t="shared" ref="L688:N688" ca="1" si="285">L689+L690</f>
        <v>1240</v>
      </c>
      <c r="M688" s="496">
        <f t="shared" si="285"/>
        <v>0</v>
      </c>
      <c r="N688" s="496">
        <f t="shared" si="285"/>
        <v>0</v>
      </c>
      <c r="O688" s="496">
        <f t="shared" ca="1" si="282"/>
        <v>0</v>
      </c>
      <c r="P688" s="496">
        <f t="shared" si="283"/>
        <v>0</v>
      </c>
      <c r="Q688" s="571"/>
      <c r="R688" s="571"/>
      <c r="S688" s="571"/>
      <c r="T688" s="571"/>
      <c r="U688" s="571"/>
      <c r="V688" s="571"/>
      <c r="W688" s="571"/>
      <c r="X688" s="571"/>
      <c r="Y688" s="571"/>
      <c r="Z688" s="571"/>
    </row>
    <row r="689" spans="1:26" ht="18.75" hidden="1">
      <c r="A689" s="592"/>
      <c r="B689" s="600"/>
      <c r="C689" s="750"/>
      <c r="D689" s="711"/>
      <c r="E689" s="750" t="s">
        <v>184</v>
      </c>
      <c r="F689" s="750"/>
      <c r="G689" s="596"/>
      <c r="H689" s="165" t="s">
        <v>12</v>
      </c>
      <c r="I689" s="610"/>
      <c r="J689" s="610"/>
      <c r="K689" s="93"/>
      <c r="L689" s="93">
        <v>0</v>
      </c>
      <c r="M689" s="93">
        <v>0</v>
      </c>
      <c r="N689" s="93">
        <v>0</v>
      </c>
      <c r="O689" s="93"/>
      <c r="P689" s="93"/>
      <c r="Q689" s="597"/>
      <c r="R689" s="597"/>
      <c r="S689" s="597"/>
      <c r="T689" s="597"/>
      <c r="U689" s="597"/>
      <c r="V689" s="597"/>
      <c r="W689" s="597"/>
      <c r="X689" s="597"/>
      <c r="Y689" s="597"/>
      <c r="Z689" s="597"/>
    </row>
    <row r="690" spans="1:26" ht="18.75" hidden="1">
      <c r="A690" s="592"/>
      <c r="B690" s="600"/>
      <c r="C690" s="750"/>
      <c r="D690" s="711"/>
      <c r="E690" s="750" t="s">
        <v>185</v>
      </c>
      <c r="F690" s="750"/>
      <c r="G690" s="596"/>
      <c r="H690" s="165" t="s">
        <v>12</v>
      </c>
      <c r="I690" s="610"/>
      <c r="J690" s="610"/>
      <c r="K690" s="93"/>
      <c r="L690" s="93">
        <f ca="1">IFERROR(__xludf.DUMMYFUNCTION("IMPORTRANGE(""https://docs.google.com/spreadsheets/d/1QqKyyYR6Q21VydFLVH3TRQUabQu_ym0Zz7PgGX0-kHA/edit?usp=sharing"",""แผน!HW71"")"),1240)</f>
        <v>1240</v>
      </c>
      <c r="M690" s="93">
        <v>0</v>
      </c>
      <c r="N690" s="93">
        <f>N691+N692+N693+N694</f>
        <v>0</v>
      </c>
      <c r="O690" s="93">
        <f ca="1">IF(L690&gt;0,N690*100/L690,0)</f>
        <v>0</v>
      </c>
      <c r="P690" s="93">
        <f>IF(M690&gt;0,N690*100/M690,0)</f>
        <v>0</v>
      </c>
      <c r="Q690" s="597"/>
      <c r="R690" s="597"/>
      <c r="S690" s="597"/>
      <c r="T690" s="597"/>
      <c r="U690" s="597"/>
      <c r="V690" s="597"/>
      <c r="W690" s="597"/>
      <c r="X690" s="597"/>
      <c r="Y690" s="597"/>
      <c r="Z690" s="597"/>
    </row>
    <row r="691" spans="1:26" ht="18.75">
      <c r="A691" s="567"/>
      <c r="B691" s="568"/>
      <c r="C691" s="754"/>
      <c r="D691" s="754"/>
      <c r="E691" s="754"/>
      <c r="F691" s="754" t="s">
        <v>186</v>
      </c>
      <c r="G691" s="189"/>
      <c r="H691" s="161" t="s">
        <v>12</v>
      </c>
      <c r="I691" s="269"/>
      <c r="J691" s="269"/>
      <c r="K691" s="496"/>
      <c r="L691" s="496"/>
      <c r="M691" s="496"/>
      <c r="N691" s="817">
        <v>0</v>
      </c>
      <c r="O691" s="496"/>
      <c r="P691" s="496"/>
      <c r="Q691" s="571"/>
      <c r="R691" s="571"/>
      <c r="S691" s="571"/>
      <c r="T691" s="571"/>
      <c r="U691" s="571"/>
      <c r="V691" s="571"/>
      <c r="W691" s="571"/>
      <c r="X691" s="571"/>
      <c r="Y691" s="571"/>
      <c r="Z691" s="571"/>
    </row>
    <row r="692" spans="1:26" ht="18.75">
      <c r="A692" s="567"/>
      <c r="B692" s="568"/>
      <c r="C692" s="754"/>
      <c r="D692" s="754"/>
      <c r="E692" s="754"/>
      <c r="F692" s="754" t="s">
        <v>187</v>
      </c>
      <c r="G692" s="189"/>
      <c r="H692" s="161" t="s">
        <v>12</v>
      </c>
      <c r="I692" s="269"/>
      <c r="J692" s="269"/>
      <c r="K692" s="496"/>
      <c r="L692" s="496"/>
      <c r="M692" s="496"/>
      <c r="N692" s="817">
        <v>0</v>
      </c>
      <c r="O692" s="496"/>
      <c r="P692" s="496"/>
      <c r="Q692" s="571"/>
      <c r="R692" s="571"/>
      <c r="S692" s="571"/>
      <c r="T692" s="571"/>
      <c r="U692" s="571"/>
      <c r="V692" s="571"/>
      <c r="W692" s="571"/>
      <c r="X692" s="571"/>
      <c r="Y692" s="571"/>
      <c r="Z692" s="571"/>
    </row>
    <row r="693" spans="1:26" ht="18.75">
      <c r="A693" s="567"/>
      <c r="B693" s="568"/>
      <c r="C693" s="754"/>
      <c r="D693" s="754"/>
      <c r="E693" s="754"/>
      <c r="F693" s="754" t="s">
        <v>188</v>
      </c>
      <c r="G693" s="189"/>
      <c r="H693" s="161" t="s">
        <v>12</v>
      </c>
      <c r="I693" s="269"/>
      <c r="J693" s="269"/>
      <c r="K693" s="496"/>
      <c r="L693" s="496"/>
      <c r="M693" s="496"/>
      <c r="N693" s="817">
        <v>0</v>
      </c>
      <c r="O693" s="496"/>
      <c r="P693" s="496"/>
      <c r="Q693" s="571"/>
      <c r="R693" s="571"/>
      <c r="S693" s="571"/>
      <c r="T693" s="571"/>
      <c r="U693" s="571"/>
      <c r="V693" s="571"/>
      <c r="W693" s="571"/>
      <c r="X693" s="571"/>
      <c r="Y693" s="571"/>
      <c r="Z693" s="571"/>
    </row>
    <row r="694" spans="1:26" ht="18.75">
      <c r="A694" s="567"/>
      <c r="B694" s="568"/>
      <c r="C694" s="754"/>
      <c r="D694" s="754"/>
      <c r="E694" s="754"/>
      <c r="F694" s="754" t="s">
        <v>189</v>
      </c>
      <c r="G694" s="189"/>
      <c r="H694" s="161" t="s">
        <v>12</v>
      </c>
      <c r="I694" s="269"/>
      <c r="J694" s="269"/>
      <c r="K694" s="496"/>
      <c r="L694" s="496"/>
      <c r="M694" s="496"/>
      <c r="N694" s="817">
        <v>0</v>
      </c>
      <c r="O694" s="496"/>
      <c r="P694" s="496"/>
      <c r="Q694" s="571"/>
      <c r="R694" s="571"/>
      <c r="S694" s="571"/>
      <c r="T694" s="571"/>
      <c r="U694" s="571"/>
      <c r="V694" s="571"/>
      <c r="W694" s="571"/>
      <c r="X694" s="571"/>
      <c r="Y694" s="571"/>
      <c r="Z694" s="571"/>
    </row>
    <row r="695" spans="1:26" ht="18.75">
      <c r="A695" s="590"/>
      <c r="B695" s="568"/>
      <c r="C695" s="754"/>
      <c r="D695" s="599" t="s">
        <v>21</v>
      </c>
      <c r="E695" s="754"/>
      <c r="F695" s="754"/>
      <c r="G695" s="189"/>
      <c r="H695" s="168" t="s">
        <v>12</v>
      </c>
      <c r="I695" s="184"/>
      <c r="J695" s="184"/>
      <c r="K695" s="163"/>
      <c r="L695" s="496">
        <f t="shared" ref="L695:N695" si="286">L696+L697</f>
        <v>0</v>
      </c>
      <c r="M695" s="496">
        <f t="shared" si="286"/>
        <v>0</v>
      </c>
      <c r="N695" s="496">
        <f t="shared" si="286"/>
        <v>0</v>
      </c>
      <c r="O695" s="496">
        <f t="shared" ref="O695:O697" si="287">IF(L695&gt;0,N695*100/L695,0)</f>
        <v>0</v>
      </c>
      <c r="P695" s="496">
        <f t="shared" ref="P695:P697" si="288">IF(M695&gt;0,N695*100/M695,0)</f>
        <v>0</v>
      </c>
      <c r="Q695" s="571"/>
      <c r="R695" s="571"/>
      <c r="S695" s="571"/>
      <c r="T695" s="571"/>
      <c r="U695" s="571"/>
      <c r="V695" s="571"/>
      <c r="W695" s="571"/>
      <c r="X695" s="571"/>
      <c r="Y695" s="571"/>
      <c r="Z695" s="571"/>
    </row>
    <row r="696" spans="1:26" ht="18.75" hidden="1">
      <c r="A696" s="592"/>
      <c r="B696" s="600"/>
      <c r="C696" s="750"/>
      <c r="D696" s="750"/>
      <c r="E696" s="750" t="s">
        <v>18</v>
      </c>
      <c r="F696" s="750"/>
      <c r="G696" s="596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7"/>
        <v>0</v>
      </c>
      <c r="P696" s="93">
        <f t="shared" si="288"/>
        <v>0</v>
      </c>
      <c r="Q696" s="597"/>
      <c r="R696" s="597"/>
      <c r="S696" s="597"/>
      <c r="T696" s="597"/>
      <c r="U696" s="597"/>
      <c r="V696" s="597"/>
      <c r="W696" s="597"/>
      <c r="X696" s="597"/>
      <c r="Y696" s="597"/>
      <c r="Z696" s="597"/>
    </row>
    <row r="697" spans="1:26" ht="18.75" hidden="1">
      <c r="A697" s="592"/>
      <c r="B697" s="600"/>
      <c r="C697" s="750"/>
      <c r="D697" s="750"/>
      <c r="E697" s="750" t="s">
        <v>19</v>
      </c>
      <c r="F697" s="750"/>
      <c r="G697" s="596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7"/>
        <v>0</v>
      </c>
      <c r="P697" s="93">
        <f t="shared" si="288"/>
        <v>0</v>
      </c>
      <c r="Q697" s="597"/>
      <c r="R697" s="597"/>
      <c r="S697" s="597"/>
      <c r="T697" s="597"/>
      <c r="U697" s="597"/>
      <c r="V697" s="597"/>
      <c r="W697" s="597"/>
      <c r="X697" s="597"/>
      <c r="Y697" s="597"/>
      <c r="Z697" s="597"/>
    </row>
    <row r="698" spans="1:26" ht="19.5">
      <c r="A698" s="601"/>
      <c r="B698" s="611"/>
      <c r="C698" s="754" t="s">
        <v>16</v>
      </c>
      <c r="D698" s="840" t="s">
        <v>38</v>
      </c>
      <c r="E698" s="752"/>
      <c r="F698" s="752"/>
      <c r="G698" s="606"/>
      <c r="H698" s="753"/>
      <c r="I698" s="184"/>
      <c r="J698" s="184"/>
      <c r="K698" s="163"/>
      <c r="L698" s="163"/>
      <c r="M698" s="163"/>
      <c r="N698" s="163"/>
      <c r="O698" s="163"/>
      <c r="P698" s="163"/>
      <c r="Q698" s="571"/>
      <c r="R698" s="571"/>
      <c r="S698" s="571"/>
      <c r="T698" s="571"/>
      <c r="U698" s="571"/>
      <c r="V698" s="571"/>
      <c r="W698" s="571"/>
      <c r="X698" s="571"/>
      <c r="Y698" s="571"/>
      <c r="Z698" s="571"/>
    </row>
    <row r="699" spans="1:26" ht="18.75">
      <c r="A699" s="735"/>
      <c r="B699" s="754"/>
      <c r="C699" s="754"/>
      <c r="D699" s="754" t="s">
        <v>294</v>
      </c>
      <c r="E699" s="754"/>
      <c r="F699" s="754"/>
      <c r="G699" s="189"/>
      <c r="H699" s="755" t="s">
        <v>46</v>
      </c>
      <c r="I699" s="756">
        <f ca="1">IFERROR(__xludf.DUMMYFUNCTION("IMPORTRANGE(""https://docs.google.com/spreadsheets/d/1QqKyyYR6Q21VydFLVH3TRQUabQu_ym0Zz7PgGX0-kHA/edit?usp=sharing"",""แผน!IC71"")"),0)</f>
        <v>0</v>
      </c>
      <c r="J699" s="269">
        <f ca="1">IFERROR(__xludf.DUMMYFUNCTION("IMPORTRANGE(""https://docs.google.com/spreadsheets/d/1XWAQStnk-4SwqDmLtmXYiTMKHgktTP8We1SCoS47DrQ/edit?usp=sharing"",""จัดที่ดิน!BB71"")"),0)</f>
        <v>0</v>
      </c>
      <c r="K699" s="496">
        <f t="shared" ref="K699:K701" ca="1" si="289">IF(I699&gt;0,J699*100/I699,0)</f>
        <v>0</v>
      </c>
      <c r="L699" s="496"/>
      <c r="M699" s="189"/>
      <c r="N699" s="757"/>
      <c r="O699" s="496"/>
      <c r="P699" s="496"/>
      <c r="Q699" s="571"/>
      <c r="R699" s="571"/>
      <c r="S699" s="571"/>
      <c r="T699" s="571"/>
      <c r="U699" s="571"/>
      <c r="V699" s="571"/>
      <c r="W699" s="571"/>
      <c r="X699" s="571"/>
      <c r="Y699" s="571"/>
      <c r="Z699" s="571"/>
    </row>
    <row r="700" spans="1:26" ht="18.75">
      <c r="A700" s="735"/>
      <c r="B700" s="754"/>
      <c r="C700" s="754"/>
      <c r="D700" s="754" t="s">
        <v>295</v>
      </c>
      <c r="E700" s="754"/>
      <c r="F700" s="754"/>
      <c r="G700" s="189"/>
      <c r="H700" s="755" t="s">
        <v>35</v>
      </c>
      <c r="I700" s="756">
        <f ca="1">IFERROR(__xludf.DUMMYFUNCTION("IMPORTRANGE(""https://docs.google.com/spreadsheets/d/1QqKyyYR6Q21VydFLVH3TRQUabQu_ym0Zz7PgGX0-kHA/edit?usp=sharing"",""แผน!ID71"")"),1)</f>
        <v>1</v>
      </c>
      <c r="J700" s="269">
        <f ca="1">IFERROR(__xludf.DUMMYFUNCTION("IMPORTRANGE(""https://docs.google.com/spreadsheets/d/1XWAQStnk-4SwqDmLtmXYiTMKHgktTP8We1SCoS47DrQ/edit?usp=sharing"",""จัดที่ดิน!BD71"")"),0)</f>
        <v>0</v>
      </c>
      <c r="K700" s="496">
        <f t="shared" ca="1" si="289"/>
        <v>0</v>
      </c>
      <c r="L700" s="496"/>
      <c r="M700" s="189"/>
      <c r="N700" s="757"/>
      <c r="O700" s="496"/>
      <c r="P700" s="496"/>
      <c r="Q700" s="571"/>
      <c r="R700" s="571"/>
      <c r="S700" s="571"/>
      <c r="T700" s="571"/>
      <c r="U700" s="571"/>
      <c r="V700" s="571"/>
      <c r="W700" s="571"/>
      <c r="X700" s="571"/>
      <c r="Y700" s="571"/>
      <c r="Z700" s="571"/>
    </row>
    <row r="701" spans="1:26" ht="19.5">
      <c r="A701" s="735"/>
      <c r="B701" s="754"/>
      <c r="C701" s="754"/>
      <c r="D701" s="754" t="s">
        <v>296</v>
      </c>
      <c r="E701" s="754"/>
      <c r="F701" s="754"/>
      <c r="G701" s="189"/>
      <c r="H701" s="758" t="s">
        <v>46</v>
      </c>
      <c r="I701" s="759">
        <f ca="1">IFERROR(__xludf.DUMMYFUNCTION("IMPORTRANGE(""https://docs.google.com/spreadsheets/d/1QqKyyYR6Q21VydFLVH3TRQUabQu_ym0Zz7PgGX0-kHA/edit?usp=sharing"",""แผน!IE71"")"),0)</f>
        <v>0</v>
      </c>
      <c r="J701" s="674">
        <f>J704+J707</f>
        <v>0</v>
      </c>
      <c r="K701" s="195">
        <f t="shared" ca="1" si="289"/>
        <v>0</v>
      </c>
      <c r="L701" s="496"/>
      <c r="M701" s="189"/>
      <c r="N701" s="757"/>
      <c r="O701" s="496"/>
      <c r="P701" s="496"/>
      <c r="Q701" s="571"/>
      <c r="R701" s="571"/>
      <c r="S701" s="571"/>
      <c r="T701" s="571"/>
      <c r="U701" s="571"/>
      <c r="V701" s="571"/>
      <c r="W701" s="571"/>
      <c r="X701" s="571"/>
      <c r="Y701" s="571"/>
      <c r="Z701" s="571"/>
    </row>
    <row r="702" spans="1:26" ht="18.75">
      <c r="A702" s="735"/>
      <c r="B702" s="754"/>
      <c r="C702" s="754"/>
      <c r="D702" s="754"/>
      <c r="E702" s="754" t="s">
        <v>297</v>
      </c>
      <c r="F702" s="754"/>
      <c r="G702" s="189"/>
      <c r="H702" s="755" t="s">
        <v>35</v>
      </c>
      <c r="I702" s="756"/>
      <c r="J702" s="214">
        <v>0</v>
      </c>
      <c r="K702" s="496"/>
      <c r="L702" s="496"/>
      <c r="M702" s="189"/>
      <c r="N702" s="757"/>
      <c r="O702" s="496"/>
      <c r="P702" s="496"/>
      <c r="Q702" s="571"/>
      <c r="R702" s="571"/>
      <c r="S702" s="571"/>
      <c r="T702" s="571"/>
      <c r="U702" s="571"/>
      <c r="V702" s="571"/>
      <c r="W702" s="571"/>
      <c r="X702" s="571"/>
      <c r="Y702" s="571"/>
      <c r="Z702" s="571"/>
    </row>
    <row r="703" spans="1:26" ht="18.75">
      <c r="A703" s="735"/>
      <c r="B703" s="754"/>
      <c r="C703" s="754"/>
      <c r="D703" s="754"/>
      <c r="E703" s="754"/>
      <c r="F703" s="754"/>
      <c r="G703" s="189"/>
      <c r="H703" s="755" t="s">
        <v>34</v>
      </c>
      <c r="I703" s="756"/>
      <c r="J703" s="214">
        <v>0</v>
      </c>
      <c r="K703" s="496"/>
      <c r="L703" s="496"/>
      <c r="M703" s="189"/>
      <c r="N703" s="757"/>
      <c r="O703" s="496"/>
      <c r="P703" s="496"/>
      <c r="Q703" s="571"/>
      <c r="R703" s="571"/>
      <c r="S703" s="571"/>
      <c r="T703" s="571"/>
      <c r="U703" s="571"/>
      <c r="V703" s="571"/>
      <c r="W703" s="571"/>
      <c r="X703" s="571"/>
      <c r="Y703" s="571"/>
      <c r="Z703" s="571"/>
    </row>
    <row r="704" spans="1:26" ht="18.75">
      <c r="A704" s="735"/>
      <c r="B704" s="754"/>
      <c r="C704" s="754"/>
      <c r="D704" s="754"/>
      <c r="E704" s="754"/>
      <c r="F704" s="754"/>
      <c r="G704" s="189"/>
      <c r="H704" s="755" t="s">
        <v>46</v>
      </c>
      <c r="I704" s="756">
        <f ca="1">IFERROR(__xludf.DUMMYFUNCTION("IMPORTRANGE(""https://docs.google.com/spreadsheets/d/1QqKyyYR6Q21VydFLVH3TRQUabQu_ym0Zz7PgGX0-kHA/edit?usp=sharing"",""แผน!IF71"")"),0)</f>
        <v>0</v>
      </c>
      <c r="J704" s="214">
        <v>0</v>
      </c>
      <c r="K704" s="496"/>
      <c r="L704" s="496"/>
      <c r="M704" s="189"/>
      <c r="N704" s="757"/>
      <c r="O704" s="496"/>
      <c r="P704" s="496"/>
      <c r="Q704" s="571"/>
      <c r="R704" s="571"/>
      <c r="S704" s="571"/>
      <c r="T704" s="571"/>
      <c r="U704" s="571"/>
      <c r="V704" s="571"/>
      <c r="W704" s="571"/>
      <c r="X704" s="571"/>
      <c r="Y704" s="571"/>
      <c r="Z704" s="571"/>
    </row>
    <row r="705" spans="1:26" ht="18.75">
      <c r="A705" s="735"/>
      <c r="B705" s="754"/>
      <c r="C705" s="754"/>
      <c r="D705" s="754"/>
      <c r="E705" s="754" t="s">
        <v>298</v>
      </c>
      <c r="F705" s="754"/>
      <c r="G705" s="189"/>
      <c r="H705" s="755" t="s">
        <v>35</v>
      </c>
      <c r="I705" s="756"/>
      <c r="J705" s="214">
        <v>0</v>
      </c>
      <c r="K705" s="496"/>
      <c r="L705" s="496"/>
      <c r="M705" s="189"/>
      <c r="N705" s="757"/>
      <c r="O705" s="496"/>
      <c r="P705" s="496"/>
      <c r="Q705" s="571"/>
      <c r="R705" s="571"/>
      <c r="S705" s="571"/>
      <c r="T705" s="571"/>
      <c r="U705" s="571"/>
      <c r="V705" s="571"/>
      <c r="W705" s="571"/>
      <c r="X705" s="571"/>
      <c r="Y705" s="571"/>
      <c r="Z705" s="571"/>
    </row>
    <row r="706" spans="1:26" ht="18.75">
      <c r="A706" s="735"/>
      <c r="B706" s="754"/>
      <c r="C706" s="754"/>
      <c r="D706" s="754"/>
      <c r="E706" s="754"/>
      <c r="F706" s="754"/>
      <c r="G706" s="189"/>
      <c r="H706" s="755" t="s">
        <v>34</v>
      </c>
      <c r="I706" s="756"/>
      <c r="J706" s="214">
        <v>0</v>
      </c>
      <c r="K706" s="496"/>
      <c r="L706" s="496"/>
      <c r="M706" s="189"/>
      <c r="N706" s="757"/>
      <c r="O706" s="496"/>
      <c r="P706" s="496"/>
      <c r="Q706" s="571"/>
      <c r="R706" s="571"/>
      <c r="S706" s="571"/>
      <c r="T706" s="571"/>
      <c r="U706" s="571"/>
      <c r="V706" s="571"/>
      <c r="W706" s="571"/>
      <c r="X706" s="571"/>
      <c r="Y706" s="571"/>
      <c r="Z706" s="571"/>
    </row>
    <row r="707" spans="1:26" ht="18.75">
      <c r="A707" s="735"/>
      <c r="B707" s="754"/>
      <c r="C707" s="754"/>
      <c r="D707" s="754"/>
      <c r="E707" s="754"/>
      <c r="F707" s="754"/>
      <c r="G707" s="189"/>
      <c r="H707" s="755" t="s">
        <v>46</v>
      </c>
      <c r="I707" s="756">
        <f ca="1">IFERROR(__xludf.DUMMYFUNCTION("IMPORTRANGE(""https://docs.google.com/spreadsheets/d/1QqKyyYR6Q21VydFLVH3TRQUabQu_ym0Zz7PgGX0-kHA/edit?usp=sharing"",""แผน!IG71"")"),0)</f>
        <v>0</v>
      </c>
      <c r="J707" s="214">
        <v>0</v>
      </c>
      <c r="K707" s="496"/>
      <c r="L707" s="496"/>
      <c r="M707" s="189"/>
      <c r="N707" s="757"/>
      <c r="O707" s="496"/>
      <c r="P707" s="496"/>
      <c r="Q707" s="571"/>
      <c r="R707" s="571"/>
      <c r="S707" s="571"/>
      <c r="T707" s="571"/>
      <c r="U707" s="571"/>
      <c r="V707" s="571"/>
      <c r="W707" s="571"/>
      <c r="X707" s="571"/>
      <c r="Y707" s="571"/>
      <c r="Z707" s="571"/>
    </row>
    <row r="708" spans="1:26" ht="19.5">
      <c r="A708" s="735"/>
      <c r="B708" s="754"/>
      <c r="C708" s="754"/>
      <c r="D708" s="760" t="s">
        <v>299</v>
      </c>
      <c r="E708" s="754"/>
      <c r="F708" s="754"/>
      <c r="G708" s="189"/>
      <c r="H708" s="758" t="s">
        <v>46</v>
      </c>
      <c r="I708" s="759">
        <f ca="1">IFERROR(__xludf.DUMMYFUNCTION("IMPORTRANGE(""https://docs.google.com/spreadsheets/d/1QqKyyYR6Q21VydFLVH3TRQUabQu_ym0Zz7PgGX0-kHA/edit?usp=sharing"",""แผน!IH71"")"),0)</f>
        <v>0</v>
      </c>
      <c r="J708" s="674">
        <f>J714+J717</f>
        <v>0</v>
      </c>
      <c r="K708" s="195">
        <f ca="1">IF(I708&gt;0,J708*100/I708,0)</f>
        <v>0</v>
      </c>
      <c r="L708" s="496"/>
      <c r="M708" s="189"/>
      <c r="N708" s="757"/>
      <c r="O708" s="496"/>
      <c r="P708" s="496"/>
      <c r="Q708" s="571"/>
      <c r="R708" s="571"/>
      <c r="S708" s="571"/>
      <c r="T708" s="571"/>
      <c r="U708" s="571"/>
      <c r="V708" s="571"/>
      <c r="W708" s="571"/>
      <c r="X708" s="571"/>
      <c r="Y708" s="571"/>
      <c r="Z708" s="571"/>
    </row>
    <row r="709" spans="1:26" ht="18.75">
      <c r="A709" s="735"/>
      <c r="B709" s="754"/>
      <c r="C709" s="754"/>
      <c r="D709" s="754"/>
      <c r="E709" s="754" t="s">
        <v>300</v>
      </c>
      <c r="F709" s="754"/>
      <c r="G709" s="189"/>
      <c r="H709" s="755" t="s">
        <v>34</v>
      </c>
      <c r="I709" s="756"/>
      <c r="J709" s="214">
        <v>0</v>
      </c>
      <c r="K709" s="496"/>
      <c r="L709" s="757"/>
      <c r="M709" s="189"/>
      <c r="N709" s="757"/>
      <c r="O709" s="496"/>
      <c r="P709" s="496"/>
      <c r="Q709" s="571"/>
      <c r="R709" s="571"/>
      <c r="S709" s="571"/>
      <c r="T709" s="571"/>
      <c r="U709" s="571"/>
      <c r="V709" s="571"/>
      <c r="W709" s="571"/>
      <c r="X709" s="571"/>
      <c r="Y709" s="571"/>
      <c r="Z709" s="571"/>
    </row>
    <row r="710" spans="1:26" ht="18.75">
      <c r="A710" s="735"/>
      <c r="B710" s="754"/>
      <c r="C710" s="754"/>
      <c r="D710" s="754"/>
      <c r="E710" s="754"/>
      <c r="F710" s="754"/>
      <c r="G710" s="189"/>
      <c r="H710" s="755" t="s">
        <v>46</v>
      </c>
      <c r="I710" s="756"/>
      <c r="J710" s="214">
        <v>0</v>
      </c>
      <c r="K710" s="496"/>
      <c r="L710" s="757"/>
      <c r="M710" s="189"/>
      <c r="N710" s="757"/>
      <c r="O710" s="496"/>
      <c r="P710" s="496"/>
      <c r="Q710" s="571"/>
      <c r="R710" s="571"/>
      <c r="S710" s="571"/>
      <c r="T710" s="571"/>
      <c r="U710" s="571"/>
      <c r="V710" s="571"/>
      <c r="W710" s="571"/>
      <c r="X710" s="571"/>
      <c r="Y710" s="571"/>
      <c r="Z710" s="571"/>
    </row>
    <row r="711" spans="1:26" ht="18.75">
      <c r="A711" s="735"/>
      <c r="B711" s="754"/>
      <c r="C711" s="754"/>
      <c r="D711" s="754"/>
      <c r="E711" s="754" t="s">
        <v>301</v>
      </c>
      <c r="F711" s="754"/>
      <c r="G711" s="189"/>
      <c r="H711" s="753"/>
      <c r="I711" s="756"/>
      <c r="J711" s="269"/>
      <c r="K711" s="496"/>
      <c r="L711" s="757"/>
      <c r="M711" s="189"/>
      <c r="N711" s="757"/>
      <c r="O711" s="496"/>
      <c r="P711" s="496"/>
      <c r="Q711" s="571"/>
      <c r="R711" s="571"/>
      <c r="S711" s="571"/>
      <c r="T711" s="571"/>
      <c r="U711" s="571"/>
      <c r="V711" s="571"/>
      <c r="W711" s="571"/>
      <c r="X711" s="571"/>
      <c r="Y711" s="571"/>
      <c r="Z711" s="571"/>
    </row>
    <row r="712" spans="1:26" ht="18.75">
      <c r="A712" s="735"/>
      <c r="B712" s="754"/>
      <c r="C712" s="754"/>
      <c r="D712" s="754"/>
      <c r="E712" s="754"/>
      <c r="F712" s="754" t="s">
        <v>302</v>
      </c>
      <c r="G712" s="189"/>
      <c r="H712" s="755" t="s">
        <v>35</v>
      </c>
      <c r="I712" s="756"/>
      <c r="J712" s="214">
        <v>0</v>
      </c>
      <c r="K712" s="496"/>
      <c r="L712" s="757"/>
      <c r="M712" s="189"/>
      <c r="N712" s="757"/>
      <c r="O712" s="496"/>
      <c r="P712" s="496"/>
      <c r="Q712" s="571"/>
      <c r="R712" s="571"/>
      <c r="S712" s="571"/>
      <c r="T712" s="571"/>
      <c r="U712" s="571"/>
      <c r="V712" s="571"/>
      <c r="W712" s="571"/>
      <c r="X712" s="571"/>
      <c r="Y712" s="571"/>
      <c r="Z712" s="571"/>
    </row>
    <row r="713" spans="1:26" ht="18.75">
      <c r="A713" s="735"/>
      <c r="B713" s="754"/>
      <c r="C713" s="754"/>
      <c r="D713" s="754"/>
      <c r="E713" s="754"/>
      <c r="F713" s="754"/>
      <c r="G713" s="189"/>
      <c r="H713" s="755" t="s">
        <v>34</v>
      </c>
      <c r="I713" s="756"/>
      <c r="J713" s="214">
        <v>0</v>
      </c>
      <c r="K713" s="496"/>
      <c r="L713" s="757"/>
      <c r="M713" s="189"/>
      <c r="N713" s="757"/>
      <c r="O713" s="496"/>
      <c r="P713" s="496"/>
      <c r="Q713" s="571"/>
      <c r="R713" s="571"/>
      <c r="S713" s="571"/>
      <c r="T713" s="571"/>
      <c r="U713" s="571"/>
      <c r="V713" s="571"/>
      <c r="W713" s="571"/>
      <c r="X713" s="571"/>
      <c r="Y713" s="571"/>
      <c r="Z713" s="571"/>
    </row>
    <row r="714" spans="1:26" ht="18.75">
      <c r="A714" s="735"/>
      <c r="B714" s="754"/>
      <c r="C714" s="754"/>
      <c r="D714" s="754"/>
      <c r="E714" s="754"/>
      <c r="F714" s="754"/>
      <c r="G714" s="189"/>
      <c r="H714" s="755" t="s">
        <v>46</v>
      </c>
      <c r="I714" s="756"/>
      <c r="J714" s="214">
        <v>0</v>
      </c>
      <c r="K714" s="496"/>
      <c r="L714" s="757"/>
      <c r="M714" s="189"/>
      <c r="N714" s="757"/>
      <c r="O714" s="496"/>
      <c r="P714" s="496"/>
      <c r="Q714" s="571"/>
      <c r="R714" s="571"/>
      <c r="S714" s="571"/>
      <c r="T714" s="571"/>
      <c r="U714" s="571"/>
      <c r="V714" s="571"/>
      <c r="W714" s="571"/>
      <c r="X714" s="571"/>
      <c r="Y714" s="571"/>
      <c r="Z714" s="571"/>
    </row>
    <row r="715" spans="1:26" ht="18.75">
      <c r="A715" s="735"/>
      <c r="B715" s="754"/>
      <c r="C715" s="754"/>
      <c r="D715" s="754"/>
      <c r="E715" s="754"/>
      <c r="F715" s="754" t="s">
        <v>303</v>
      </c>
      <c r="G715" s="189"/>
      <c r="H715" s="755" t="s">
        <v>35</v>
      </c>
      <c r="I715" s="756"/>
      <c r="J715" s="214">
        <v>0</v>
      </c>
      <c r="K715" s="496"/>
      <c r="L715" s="757"/>
      <c r="M715" s="189"/>
      <c r="N715" s="757"/>
      <c r="O715" s="496"/>
      <c r="P715" s="496"/>
      <c r="Q715" s="571"/>
      <c r="R715" s="571"/>
      <c r="S715" s="571"/>
      <c r="T715" s="571"/>
      <c r="U715" s="571"/>
      <c r="V715" s="571"/>
      <c r="W715" s="571"/>
      <c r="X715" s="571"/>
      <c r="Y715" s="571"/>
      <c r="Z715" s="571"/>
    </row>
    <row r="716" spans="1:26" ht="18.75">
      <c r="A716" s="735"/>
      <c r="B716" s="754"/>
      <c r="C716" s="754"/>
      <c r="D716" s="754"/>
      <c r="E716" s="754"/>
      <c r="F716" s="754"/>
      <c r="G716" s="189"/>
      <c r="H716" s="755" t="s">
        <v>34</v>
      </c>
      <c r="I716" s="756"/>
      <c r="J716" s="214">
        <v>0</v>
      </c>
      <c r="K716" s="496"/>
      <c r="L716" s="757"/>
      <c r="M716" s="189"/>
      <c r="N716" s="757"/>
      <c r="O716" s="496"/>
      <c r="P716" s="496"/>
      <c r="Q716" s="571"/>
      <c r="R716" s="571"/>
      <c r="S716" s="571"/>
      <c r="T716" s="571"/>
      <c r="U716" s="571"/>
      <c r="V716" s="571"/>
      <c r="W716" s="571"/>
      <c r="X716" s="571"/>
      <c r="Y716" s="571"/>
      <c r="Z716" s="571"/>
    </row>
    <row r="717" spans="1:26" ht="18.75">
      <c r="A717" s="735"/>
      <c r="B717" s="754"/>
      <c r="C717" s="754"/>
      <c r="D717" s="754"/>
      <c r="E717" s="754"/>
      <c r="F717" s="754"/>
      <c r="G717" s="189"/>
      <c r="H717" s="755" t="s">
        <v>46</v>
      </c>
      <c r="I717" s="756"/>
      <c r="J717" s="214">
        <v>0</v>
      </c>
      <c r="K717" s="496"/>
      <c r="L717" s="757"/>
      <c r="M717" s="189"/>
      <c r="N717" s="757"/>
      <c r="O717" s="496"/>
      <c r="P717" s="496"/>
      <c r="Q717" s="571"/>
      <c r="R717" s="571"/>
      <c r="S717" s="571"/>
      <c r="T717" s="571"/>
      <c r="U717" s="571"/>
      <c r="V717" s="571"/>
      <c r="W717" s="571"/>
      <c r="X717" s="571"/>
      <c r="Y717" s="571"/>
      <c r="Z717" s="571"/>
    </row>
    <row r="718" spans="1:26" ht="18.75">
      <c r="A718" s="735"/>
      <c r="B718" s="754"/>
      <c r="C718" s="754"/>
      <c r="D718" s="754" t="s">
        <v>304</v>
      </c>
      <c r="E718" s="754"/>
      <c r="F718" s="754"/>
      <c r="G718" s="189"/>
      <c r="H718" s="755" t="s">
        <v>35</v>
      </c>
      <c r="I718" s="756"/>
      <c r="J718" s="269">
        <f ca="1">IFERROR(__xludf.DUMMYFUNCTION("IMPORTRANGE(""https://docs.google.com/spreadsheets/d/1XWAQStnk-4SwqDmLtmXYiTMKHgktTP8We1SCoS47DrQ/edit?usp=sharing"",""จัดที่ดิน!BF71"")"),0)</f>
        <v>0</v>
      </c>
      <c r="K718" s="496"/>
      <c r="L718" s="496"/>
      <c r="M718" s="189"/>
      <c r="N718" s="757"/>
      <c r="O718" s="496"/>
      <c r="P718" s="496"/>
      <c r="Q718" s="571"/>
      <c r="R718" s="571"/>
      <c r="S718" s="571"/>
      <c r="T718" s="571"/>
      <c r="U718" s="571"/>
      <c r="V718" s="571"/>
      <c r="W718" s="571"/>
      <c r="X718" s="571"/>
      <c r="Y718" s="571"/>
      <c r="Z718" s="571"/>
    </row>
    <row r="719" spans="1:26" ht="18.75">
      <c r="A719" s="735"/>
      <c r="B719" s="754"/>
      <c r="C719" s="754"/>
      <c r="D719" s="754"/>
      <c r="E719" s="754"/>
      <c r="F719" s="754"/>
      <c r="G719" s="189"/>
      <c r="H719" s="755" t="s">
        <v>34</v>
      </c>
      <c r="I719" s="756"/>
      <c r="J719" s="269">
        <f ca="1">IFERROR(__xludf.DUMMYFUNCTION("IMPORTRANGE(""https://docs.google.com/spreadsheets/d/1XWAQStnk-4SwqDmLtmXYiTMKHgktTP8We1SCoS47DrQ/edit?usp=sharing"",""จัดที่ดิน!BG71"")"),0)</f>
        <v>0</v>
      </c>
      <c r="K719" s="496"/>
      <c r="L719" s="757"/>
      <c r="M719" s="189"/>
      <c r="N719" s="757"/>
      <c r="O719" s="496"/>
      <c r="P719" s="496"/>
      <c r="Q719" s="571"/>
      <c r="R719" s="571"/>
      <c r="S719" s="571"/>
      <c r="T719" s="571"/>
      <c r="U719" s="571"/>
      <c r="V719" s="571"/>
      <c r="W719" s="571"/>
      <c r="X719" s="571"/>
      <c r="Y719" s="571"/>
      <c r="Z719" s="571"/>
    </row>
    <row r="720" spans="1:26" ht="18.75">
      <c r="A720" s="735"/>
      <c r="B720" s="754"/>
      <c r="C720" s="754"/>
      <c r="D720" s="754"/>
      <c r="E720" s="754"/>
      <c r="F720" s="754"/>
      <c r="G720" s="189"/>
      <c r="H720" s="755" t="s">
        <v>46</v>
      </c>
      <c r="I720" s="756">
        <f ca="1">IFERROR(__xludf.DUMMYFUNCTION("IMPORTRANGE(""https://docs.google.com/spreadsheets/d/1QqKyyYR6Q21VydFLVH3TRQUabQu_ym0Zz7PgGX0-kHA/edit?usp=sharing"",""แผน!II71"")"),0)</f>
        <v>0</v>
      </c>
      <c r="J720" s="269">
        <f ca="1">IFERROR(__xludf.DUMMYFUNCTION("IMPORTRANGE(""https://docs.google.com/spreadsheets/d/1XWAQStnk-4SwqDmLtmXYiTMKHgktTP8We1SCoS47DrQ/edit?usp=sharing"",""จัดที่ดิน!BH71"")"),0)</f>
        <v>0</v>
      </c>
      <c r="K720" s="496">
        <f t="shared" ref="K720:K723" ca="1" si="290">IF(I720&gt;0,J720*100/I720,0)</f>
        <v>0</v>
      </c>
      <c r="L720" s="757"/>
      <c r="M720" s="189"/>
      <c r="N720" s="757"/>
      <c r="O720" s="496"/>
      <c r="P720" s="496"/>
      <c r="Q720" s="571"/>
      <c r="R720" s="571"/>
      <c r="S720" s="571"/>
      <c r="T720" s="571"/>
      <c r="U720" s="571"/>
      <c r="V720" s="571"/>
      <c r="W720" s="571"/>
      <c r="X720" s="571"/>
      <c r="Y720" s="571"/>
      <c r="Z720" s="571"/>
    </row>
    <row r="721" spans="1:26" ht="19.5">
      <c r="A721" s="735"/>
      <c r="B721" s="754"/>
      <c r="C721" s="754"/>
      <c r="D721" s="754" t="s">
        <v>305</v>
      </c>
      <c r="E721" s="754"/>
      <c r="F721" s="754"/>
      <c r="G721" s="189"/>
      <c r="H721" s="758" t="s">
        <v>35</v>
      </c>
      <c r="I721" s="759">
        <f ca="1">IFERROR(__xludf.DUMMYFUNCTION("IMPORTRANGE(""https://docs.google.com/spreadsheets/d/1QqKyyYR6Q21VydFLVH3TRQUabQu_ym0Zz7PgGX0-kHA/edit?usp=sharing"",""แผน!IJ71"")"),1)</f>
        <v>1</v>
      </c>
      <c r="J721" s="674">
        <f ca="1">J723+J726</f>
        <v>0</v>
      </c>
      <c r="K721" s="195">
        <f t="shared" ca="1" si="290"/>
        <v>0</v>
      </c>
      <c r="L721" s="757"/>
      <c r="M721" s="189"/>
      <c r="N721" s="757"/>
      <c r="O721" s="496"/>
      <c r="P721" s="496"/>
      <c r="Q721" s="571"/>
      <c r="R721" s="571"/>
      <c r="S721" s="571"/>
      <c r="T721" s="571"/>
      <c r="U721" s="571"/>
      <c r="V721" s="571"/>
      <c r="W721" s="571"/>
      <c r="X721" s="571"/>
      <c r="Y721" s="571"/>
      <c r="Z721" s="571"/>
    </row>
    <row r="722" spans="1:26" ht="19.5">
      <c r="A722" s="735"/>
      <c r="B722" s="754"/>
      <c r="C722" s="754"/>
      <c r="D722" s="754"/>
      <c r="E722" s="754"/>
      <c r="F722" s="754"/>
      <c r="G722" s="189"/>
      <c r="H722" s="758" t="s">
        <v>46</v>
      </c>
      <c r="I722" s="759">
        <f ca="1">IFERROR(__xludf.DUMMYFUNCTION("IMPORTRANGE(""https://docs.google.com/spreadsheets/d/1QqKyyYR6Q21VydFLVH3TRQUabQu_ym0Zz7PgGX0-kHA/edit?usp=sharing"",""แผน!IK71"")"),15)</f>
        <v>15</v>
      </c>
      <c r="J722" s="674">
        <f ca="1">J725+J728</f>
        <v>0</v>
      </c>
      <c r="K722" s="195">
        <f t="shared" ca="1" si="290"/>
        <v>0</v>
      </c>
      <c r="L722" s="496"/>
      <c r="M722" s="189"/>
      <c r="N722" s="757"/>
      <c r="O722" s="496"/>
      <c r="P722" s="496"/>
      <c r="Q722" s="571"/>
      <c r="R722" s="571"/>
      <c r="S722" s="571"/>
      <c r="T722" s="571"/>
      <c r="U722" s="571"/>
      <c r="V722" s="571"/>
      <c r="W722" s="571"/>
      <c r="X722" s="571"/>
      <c r="Y722" s="571"/>
      <c r="Z722" s="571"/>
    </row>
    <row r="723" spans="1:26" ht="18.75">
      <c r="A723" s="735"/>
      <c r="B723" s="754"/>
      <c r="C723" s="754"/>
      <c r="D723" s="754"/>
      <c r="E723" s="754" t="s">
        <v>306</v>
      </c>
      <c r="F723" s="754"/>
      <c r="G723" s="189"/>
      <c r="H723" s="755" t="s">
        <v>35</v>
      </c>
      <c r="I723" s="756">
        <f ca="1">IFERROR(__xludf.DUMMYFUNCTION("IMPORTRANGE(""https://docs.google.com/spreadsheets/d/1QqKyyYR6Q21VydFLVH3TRQUabQu_ym0Zz7PgGX0-kHA/edit?usp=sharing"",""แผน!IL71"")"),1)</f>
        <v>1</v>
      </c>
      <c r="J723" s="269">
        <f ca="1">IFERROR(__xludf.DUMMYFUNCTION("IMPORTRANGE(""https://docs.google.com/spreadsheets/d/1XWAQStnk-4SwqDmLtmXYiTMKHgktTP8We1SCoS47DrQ/edit?usp=sharing"",""จัดที่ดิน!BM71"")"),0)</f>
        <v>0</v>
      </c>
      <c r="K723" s="496">
        <f t="shared" ca="1" si="290"/>
        <v>0</v>
      </c>
      <c r="L723" s="496"/>
      <c r="M723" s="189"/>
      <c r="N723" s="757"/>
      <c r="O723" s="496"/>
      <c r="P723" s="496"/>
      <c r="Q723" s="571"/>
      <c r="R723" s="571"/>
      <c r="S723" s="571"/>
      <c r="T723" s="571"/>
      <c r="U723" s="571"/>
      <c r="V723" s="571"/>
      <c r="W723" s="571"/>
      <c r="X723" s="571"/>
      <c r="Y723" s="571"/>
      <c r="Z723" s="571"/>
    </row>
    <row r="724" spans="1:26" ht="18.75">
      <c r="A724" s="735"/>
      <c r="B724" s="754"/>
      <c r="C724" s="754"/>
      <c r="D724" s="754"/>
      <c r="E724" s="754"/>
      <c r="F724" s="754"/>
      <c r="G724" s="189"/>
      <c r="H724" s="755" t="s">
        <v>34</v>
      </c>
      <c r="I724" s="756"/>
      <c r="J724" s="269">
        <f ca="1">IFERROR(__xludf.DUMMYFUNCTION("IMPORTRANGE(""https://docs.google.com/spreadsheets/d/1XWAQStnk-4SwqDmLtmXYiTMKHgktTP8We1SCoS47DrQ/edit?usp=sharing"",""จัดที่ดิน!BN71"")"),0)</f>
        <v>0</v>
      </c>
      <c r="K724" s="496"/>
      <c r="L724" s="757"/>
      <c r="M724" s="189"/>
      <c r="N724" s="757"/>
      <c r="O724" s="496"/>
      <c r="P724" s="496"/>
      <c r="Q724" s="571"/>
      <c r="R724" s="571"/>
      <c r="S724" s="571"/>
      <c r="T724" s="571"/>
      <c r="U724" s="571"/>
      <c r="V724" s="571"/>
      <c r="W724" s="571"/>
      <c r="X724" s="571"/>
      <c r="Y724" s="571"/>
      <c r="Z724" s="571"/>
    </row>
    <row r="725" spans="1:26" ht="18.75">
      <c r="A725" s="735"/>
      <c r="B725" s="754"/>
      <c r="C725" s="754"/>
      <c r="D725" s="754"/>
      <c r="E725" s="754"/>
      <c r="F725" s="754"/>
      <c r="G725" s="189"/>
      <c r="H725" s="755" t="s">
        <v>46</v>
      </c>
      <c r="I725" s="756">
        <f ca="1">IFERROR(__xludf.DUMMYFUNCTION("IMPORTRANGE(""https://docs.google.com/spreadsheets/d/1QqKyyYR6Q21VydFLVH3TRQUabQu_ym0Zz7PgGX0-kHA/edit?usp=sharing"",""แผน!IM71"")"),15)</f>
        <v>15</v>
      </c>
      <c r="J725" s="269">
        <f ca="1">IFERROR(__xludf.DUMMYFUNCTION("IMPORTRANGE(""https://docs.google.com/spreadsheets/d/1XWAQStnk-4SwqDmLtmXYiTMKHgktTP8We1SCoS47DrQ/edit?usp=sharing"",""จัดที่ดิน!BO71"")"),0)</f>
        <v>0</v>
      </c>
      <c r="K725" s="496">
        <f t="shared" ref="K725:K726" ca="1" si="291">IF(I725&gt;0,J725*100/I725,0)</f>
        <v>0</v>
      </c>
      <c r="L725" s="757"/>
      <c r="M725" s="189"/>
      <c r="N725" s="757"/>
      <c r="O725" s="496"/>
      <c r="P725" s="496"/>
      <c r="Q725" s="571"/>
      <c r="R725" s="571"/>
      <c r="S725" s="571"/>
      <c r="T725" s="571"/>
      <c r="U725" s="571"/>
      <c r="V725" s="571"/>
      <c r="W725" s="571"/>
      <c r="X725" s="571"/>
      <c r="Y725" s="571"/>
      <c r="Z725" s="571"/>
    </row>
    <row r="726" spans="1:26" ht="18.75">
      <c r="A726" s="735"/>
      <c r="B726" s="754"/>
      <c r="C726" s="754"/>
      <c r="D726" s="754"/>
      <c r="E726" s="754" t="s">
        <v>307</v>
      </c>
      <c r="F726" s="754"/>
      <c r="G726" s="189"/>
      <c r="H726" s="755" t="s">
        <v>35</v>
      </c>
      <c r="I726" s="756">
        <f ca="1">IFERROR(__xludf.DUMMYFUNCTION("IMPORTRANGE(""https://docs.google.com/spreadsheets/d/1QqKyyYR6Q21VydFLVH3TRQUabQu_ym0Zz7PgGX0-kHA/edit?usp=sharing"",""แผน!IN71"")"),0)</f>
        <v>0</v>
      </c>
      <c r="J726" s="269">
        <f ca="1">IFERROR(__xludf.DUMMYFUNCTION("IMPORTRANGE(""https://docs.google.com/spreadsheets/d/1XWAQStnk-4SwqDmLtmXYiTMKHgktTP8We1SCoS47DrQ/edit?usp=sharing"",""จัดที่ดิน!BR71"")"),0)</f>
        <v>0</v>
      </c>
      <c r="K726" s="496">
        <f t="shared" ca="1" si="291"/>
        <v>0</v>
      </c>
      <c r="L726" s="496"/>
      <c r="M726" s="189"/>
      <c r="N726" s="757"/>
      <c r="O726" s="496"/>
      <c r="P726" s="496"/>
      <c r="Q726" s="571"/>
      <c r="R726" s="571"/>
      <c r="S726" s="571"/>
      <c r="T726" s="571"/>
      <c r="U726" s="571"/>
      <c r="V726" s="571"/>
      <c r="W726" s="571"/>
      <c r="X726" s="571"/>
      <c r="Y726" s="571"/>
      <c r="Z726" s="571"/>
    </row>
    <row r="727" spans="1:26" ht="18.75">
      <c r="A727" s="735"/>
      <c r="B727" s="754"/>
      <c r="C727" s="754"/>
      <c r="D727" s="754"/>
      <c r="E727" s="754"/>
      <c r="F727" s="754"/>
      <c r="G727" s="189"/>
      <c r="H727" s="755" t="s">
        <v>34</v>
      </c>
      <c r="I727" s="756"/>
      <c r="J727" s="269">
        <f ca="1">IFERROR(__xludf.DUMMYFUNCTION("IMPORTRANGE(""https://docs.google.com/spreadsheets/d/1XWAQStnk-4SwqDmLtmXYiTMKHgktTP8We1SCoS47DrQ/edit?usp=sharing"",""จัดที่ดิน!BS71"")"),0)</f>
        <v>0</v>
      </c>
      <c r="K727" s="496"/>
      <c r="L727" s="757"/>
      <c r="M727" s="189"/>
      <c r="N727" s="757"/>
      <c r="O727" s="496"/>
      <c r="P727" s="496"/>
      <c r="Q727" s="571"/>
      <c r="R727" s="571"/>
      <c r="S727" s="571"/>
      <c r="T727" s="571"/>
      <c r="U727" s="571"/>
      <c r="V727" s="571"/>
      <c r="W727" s="571"/>
      <c r="X727" s="571"/>
      <c r="Y727" s="571"/>
      <c r="Z727" s="571"/>
    </row>
    <row r="728" spans="1:26" ht="18.75">
      <c r="A728" s="735"/>
      <c r="B728" s="754"/>
      <c r="C728" s="754"/>
      <c r="D728" s="754"/>
      <c r="E728" s="754"/>
      <c r="F728" s="754"/>
      <c r="G728" s="189"/>
      <c r="H728" s="755" t="s">
        <v>46</v>
      </c>
      <c r="I728" s="756">
        <f ca="1">IFERROR(__xludf.DUMMYFUNCTION("IMPORTRANGE(""https://docs.google.com/spreadsheets/d/1QqKyyYR6Q21VydFLVH3TRQUabQu_ym0Zz7PgGX0-kHA/edit?usp=sharing"",""แผน!IO71"")"),0)</f>
        <v>0</v>
      </c>
      <c r="J728" s="269">
        <f ca="1">IFERROR(__xludf.DUMMYFUNCTION("IMPORTRANGE(""https://docs.google.com/spreadsheets/d/1XWAQStnk-4SwqDmLtmXYiTMKHgktTP8We1SCoS47DrQ/edit?usp=sharing"",""จัดที่ดิน!BT71"")"),0)</f>
        <v>0</v>
      </c>
      <c r="K728" s="496">
        <f t="shared" ref="K728:K729" ca="1" si="292">IF(I728&gt;0,J728*100/I728,0)</f>
        <v>0</v>
      </c>
      <c r="L728" s="757"/>
      <c r="M728" s="189"/>
      <c r="N728" s="757"/>
      <c r="O728" s="496"/>
      <c r="P728" s="496"/>
      <c r="Q728" s="571"/>
      <c r="R728" s="571"/>
      <c r="S728" s="571"/>
      <c r="T728" s="571"/>
      <c r="U728" s="571"/>
      <c r="V728" s="571"/>
      <c r="W728" s="571"/>
      <c r="X728" s="571"/>
      <c r="Y728" s="571"/>
      <c r="Z728" s="571"/>
    </row>
    <row r="729" spans="1:26" ht="19.5">
      <c r="A729" s="735"/>
      <c r="B729" s="754"/>
      <c r="C729" s="754"/>
      <c r="D729" s="754" t="s">
        <v>308</v>
      </c>
      <c r="E729" s="754"/>
      <c r="F729" s="754"/>
      <c r="G729" s="189"/>
      <c r="H729" s="758" t="s">
        <v>46</v>
      </c>
      <c r="I729" s="759">
        <f ca="1">IFERROR(__xludf.DUMMYFUNCTION("IMPORTRANGE(""https://docs.google.com/spreadsheets/d/1QqKyyYR6Q21VydFLVH3TRQUabQu_ym0Zz7PgGX0-kHA/edit?usp=sharing"",""แผน!IP71"")"),0)</f>
        <v>0</v>
      </c>
      <c r="J729" s="674">
        <f>J732+J735</f>
        <v>0</v>
      </c>
      <c r="K729" s="195">
        <f t="shared" ca="1" si="292"/>
        <v>0</v>
      </c>
      <c r="L729" s="496"/>
      <c r="M729" s="189"/>
      <c r="N729" s="757"/>
      <c r="O729" s="496"/>
      <c r="P729" s="496"/>
      <c r="Q729" s="571"/>
      <c r="R729" s="571"/>
      <c r="S729" s="571"/>
      <c r="T729" s="571"/>
      <c r="U729" s="571"/>
      <c r="V729" s="571"/>
      <c r="W729" s="571"/>
      <c r="X729" s="571"/>
      <c r="Y729" s="571"/>
      <c r="Z729" s="571"/>
    </row>
    <row r="730" spans="1:26" ht="18.75">
      <c r="A730" s="735"/>
      <c r="B730" s="754"/>
      <c r="C730" s="754"/>
      <c r="D730" s="754"/>
      <c r="E730" s="754" t="s">
        <v>309</v>
      </c>
      <c r="F730" s="754"/>
      <c r="G730" s="189"/>
      <c r="H730" s="755" t="s">
        <v>35</v>
      </c>
      <c r="I730" s="756"/>
      <c r="J730" s="214">
        <v>0</v>
      </c>
      <c r="K730" s="496"/>
      <c r="L730" s="757"/>
      <c r="M730" s="496"/>
      <c r="N730" s="757"/>
      <c r="O730" s="496"/>
      <c r="P730" s="496"/>
      <c r="Q730" s="571"/>
      <c r="R730" s="571"/>
      <c r="S730" s="571"/>
      <c r="T730" s="571"/>
      <c r="U730" s="571"/>
      <c r="V730" s="571"/>
      <c r="W730" s="571"/>
      <c r="X730" s="571"/>
      <c r="Y730" s="571"/>
      <c r="Z730" s="571"/>
    </row>
    <row r="731" spans="1:26" ht="18.75">
      <c r="A731" s="735"/>
      <c r="B731" s="754"/>
      <c r="C731" s="754"/>
      <c r="D731" s="754"/>
      <c r="E731" s="754"/>
      <c r="F731" s="754"/>
      <c r="G731" s="189"/>
      <c r="H731" s="755" t="s">
        <v>34</v>
      </c>
      <c r="I731" s="756"/>
      <c r="J731" s="214">
        <v>0</v>
      </c>
      <c r="K731" s="496"/>
      <c r="L731" s="757"/>
      <c r="M731" s="496"/>
      <c r="N731" s="757"/>
      <c r="O731" s="496"/>
      <c r="P731" s="496"/>
      <c r="Q731" s="571"/>
      <c r="R731" s="571"/>
      <c r="S731" s="571"/>
      <c r="T731" s="571"/>
      <c r="U731" s="571"/>
      <c r="V731" s="571"/>
      <c r="W731" s="571"/>
      <c r="X731" s="571"/>
      <c r="Y731" s="571"/>
      <c r="Z731" s="571"/>
    </row>
    <row r="732" spans="1:26" ht="18.75">
      <c r="A732" s="735"/>
      <c r="B732" s="754"/>
      <c r="C732" s="754"/>
      <c r="D732" s="754"/>
      <c r="E732" s="754"/>
      <c r="F732" s="754"/>
      <c r="G732" s="189"/>
      <c r="H732" s="755" t="s">
        <v>46</v>
      </c>
      <c r="I732" s="756"/>
      <c r="J732" s="214">
        <v>0</v>
      </c>
      <c r="K732" s="496"/>
      <c r="L732" s="757"/>
      <c r="M732" s="496"/>
      <c r="N732" s="757"/>
      <c r="O732" s="496"/>
      <c r="P732" s="496"/>
      <c r="Q732" s="571"/>
      <c r="R732" s="571"/>
      <c r="S732" s="571"/>
      <c r="T732" s="571"/>
      <c r="U732" s="571"/>
      <c r="V732" s="571"/>
      <c r="W732" s="571"/>
      <c r="X732" s="571"/>
      <c r="Y732" s="571"/>
      <c r="Z732" s="571"/>
    </row>
    <row r="733" spans="1:26" ht="18.75">
      <c r="A733" s="735"/>
      <c r="B733" s="754"/>
      <c r="C733" s="754"/>
      <c r="D733" s="754"/>
      <c r="E733" s="754" t="s">
        <v>310</v>
      </c>
      <c r="F733" s="754"/>
      <c r="G733" s="189"/>
      <c r="H733" s="755" t="s">
        <v>35</v>
      </c>
      <c r="I733" s="756"/>
      <c r="J733" s="214">
        <v>0</v>
      </c>
      <c r="K733" s="496"/>
      <c r="L733" s="757"/>
      <c r="M733" s="496"/>
      <c r="N733" s="757"/>
      <c r="O733" s="496"/>
      <c r="P733" s="496"/>
      <c r="Q733" s="571"/>
      <c r="R733" s="571"/>
      <c r="S733" s="571"/>
      <c r="T733" s="571"/>
      <c r="U733" s="571"/>
      <c r="V733" s="571"/>
      <c r="W733" s="571"/>
      <c r="X733" s="571"/>
      <c r="Y733" s="571"/>
      <c r="Z733" s="571"/>
    </row>
    <row r="734" spans="1:26" ht="18.75">
      <c r="A734" s="735"/>
      <c r="B734" s="754"/>
      <c r="C734" s="754"/>
      <c r="D734" s="754"/>
      <c r="E734" s="754"/>
      <c r="F734" s="754"/>
      <c r="G734" s="189"/>
      <c r="H734" s="755" t="s">
        <v>34</v>
      </c>
      <c r="I734" s="756"/>
      <c r="J734" s="214">
        <v>0</v>
      </c>
      <c r="K734" s="496"/>
      <c r="L734" s="757"/>
      <c r="M734" s="496"/>
      <c r="N734" s="757"/>
      <c r="O734" s="496"/>
      <c r="P734" s="496"/>
      <c r="Q734" s="571"/>
      <c r="R734" s="571"/>
      <c r="S734" s="571"/>
      <c r="T734" s="571"/>
      <c r="U734" s="571"/>
      <c r="V734" s="571"/>
      <c r="W734" s="571"/>
      <c r="X734" s="571"/>
      <c r="Y734" s="571"/>
      <c r="Z734" s="571"/>
    </row>
    <row r="735" spans="1:26" ht="19.5">
      <c r="A735" s="761"/>
      <c r="B735" s="762" t="s">
        <v>311</v>
      </c>
      <c r="C735" s="725"/>
      <c r="D735" s="725"/>
      <c r="E735" s="725"/>
      <c r="F735" s="725"/>
      <c r="G735" s="726"/>
      <c r="H735" s="421" t="s">
        <v>46</v>
      </c>
      <c r="I735" s="763"/>
      <c r="J735" s="423">
        <v>0</v>
      </c>
      <c r="K735" s="500"/>
      <c r="L735" s="764"/>
      <c r="M735" s="500"/>
      <c r="N735" s="764"/>
      <c r="O735" s="500"/>
      <c r="P735" s="500"/>
      <c r="Q735" s="571"/>
      <c r="R735" s="571"/>
      <c r="S735" s="571"/>
      <c r="T735" s="571"/>
      <c r="U735" s="571"/>
      <c r="V735" s="571"/>
      <c r="W735" s="571"/>
      <c r="X735" s="571"/>
      <c r="Y735" s="571"/>
      <c r="Z735" s="571"/>
    </row>
    <row r="736" spans="1:26" ht="19.5" hidden="1">
      <c r="A736" s="765">
        <v>9</v>
      </c>
      <c r="B736" s="766" t="s">
        <v>312</v>
      </c>
      <c r="C736" s="767"/>
      <c r="D736" s="767"/>
      <c r="E736" s="767"/>
      <c r="F736" s="767"/>
      <c r="G736" s="768"/>
      <c r="H736" s="769" t="s">
        <v>46</v>
      </c>
      <c r="I736" s="770"/>
      <c r="J736" s="770">
        <f>J751</f>
        <v>0</v>
      </c>
      <c r="K736" s="771">
        <f>IF(I736&gt;0,J736*100/I736,0)</f>
        <v>0</v>
      </c>
      <c r="L736" s="772"/>
      <c r="M736" s="772"/>
      <c r="N736" s="772"/>
      <c r="O736" s="772"/>
      <c r="P736" s="772"/>
      <c r="Q736" s="597"/>
      <c r="R736" s="597"/>
      <c r="S736" s="597"/>
      <c r="T736" s="597"/>
      <c r="U736" s="597"/>
      <c r="V736" s="597"/>
      <c r="W736" s="597"/>
      <c r="X736" s="597"/>
      <c r="Y736" s="597"/>
      <c r="Z736" s="597"/>
    </row>
    <row r="737" spans="1:26" ht="19.5" hidden="1">
      <c r="A737" s="592"/>
      <c r="B737" s="750"/>
      <c r="C737" s="750" t="s">
        <v>16</v>
      </c>
      <c r="D737" s="864" t="s">
        <v>17</v>
      </c>
      <c r="E737" s="857"/>
      <c r="F737" s="857"/>
      <c r="G737" s="596"/>
      <c r="H737" s="639" t="s">
        <v>12</v>
      </c>
      <c r="I737" s="610"/>
      <c r="J737" s="610"/>
      <c r="K737" s="93"/>
      <c r="L737" s="640">
        <f t="shared" ref="L737:N737" si="293">L738+L739</f>
        <v>0</v>
      </c>
      <c r="M737" s="640">
        <f t="shared" si="293"/>
        <v>0</v>
      </c>
      <c r="N737" s="640">
        <f t="shared" si="293"/>
        <v>0</v>
      </c>
      <c r="O737" s="640">
        <f t="shared" ref="O737:O742" si="294">IF(L737&gt;0,N737*100/L737,0)</f>
        <v>0</v>
      </c>
      <c r="P737" s="640">
        <f t="shared" ref="P737:P742" si="295">IF(M737&gt;0,N737*100/M737,0)</f>
        <v>0</v>
      </c>
      <c r="Q737" s="597"/>
      <c r="R737" s="597"/>
      <c r="S737" s="597"/>
      <c r="T737" s="597"/>
      <c r="U737" s="597"/>
      <c r="V737" s="597"/>
      <c r="W737" s="597"/>
      <c r="X737" s="597"/>
      <c r="Y737" s="597"/>
      <c r="Z737" s="597"/>
    </row>
    <row r="738" spans="1:26" ht="18.75" hidden="1">
      <c r="A738" s="592"/>
      <c r="B738" s="750"/>
      <c r="C738" s="750"/>
      <c r="D738" s="711"/>
      <c r="E738" s="750" t="s">
        <v>184</v>
      </c>
      <c r="F738" s="750"/>
      <c r="G738" s="596"/>
      <c r="H738" s="165" t="s">
        <v>12</v>
      </c>
      <c r="I738" s="610"/>
      <c r="J738" s="610"/>
      <c r="K738" s="93"/>
      <c r="L738" s="93">
        <f t="shared" ref="L738:N739" si="296">L741+L748</f>
        <v>0</v>
      </c>
      <c r="M738" s="93">
        <f t="shared" si="296"/>
        <v>0</v>
      </c>
      <c r="N738" s="93">
        <f t="shared" si="296"/>
        <v>0</v>
      </c>
      <c r="O738" s="93">
        <f t="shared" si="294"/>
        <v>0</v>
      </c>
      <c r="P738" s="93">
        <f t="shared" si="295"/>
        <v>0</v>
      </c>
      <c r="Q738" s="597"/>
      <c r="R738" s="597"/>
      <c r="S738" s="597"/>
      <c r="T738" s="597"/>
      <c r="U738" s="597"/>
      <c r="V738" s="597"/>
      <c r="W738" s="597"/>
      <c r="X738" s="597"/>
      <c r="Y738" s="597"/>
      <c r="Z738" s="597"/>
    </row>
    <row r="739" spans="1:26" ht="18.75" hidden="1">
      <c r="A739" s="592"/>
      <c r="B739" s="600"/>
      <c r="C739" s="750"/>
      <c r="D739" s="711"/>
      <c r="E739" s="750" t="s">
        <v>185</v>
      </c>
      <c r="F739" s="750"/>
      <c r="G739" s="596"/>
      <c r="H739" s="165" t="s">
        <v>12</v>
      </c>
      <c r="I739" s="610"/>
      <c r="J739" s="610"/>
      <c r="K739" s="93"/>
      <c r="L739" s="93">
        <f t="shared" si="296"/>
        <v>0</v>
      </c>
      <c r="M739" s="93">
        <f t="shared" si="296"/>
        <v>0</v>
      </c>
      <c r="N739" s="93">
        <f t="shared" si="296"/>
        <v>0</v>
      </c>
      <c r="O739" s="93">
        <f t="shared" si="294"/>
        <v>0</v>
      </c>
      <c r="P739" s="93">
        <f t="shared" si="295"/>
        <v>0</v>
      </c>
      <c r="Q739" s="597"/>
      <c r="R739" s="597"/>
      <c r="S739" s="597"/>
      <c r="T739" s="597"/>
      <c r="U739" s="597"/>
      <c r="V739" s="597"/>
      <c r="W739" s="597"/>
      <c r="X739" s="597"/>
      <c r="Y739" s="597"/>
      <c r="Z739" s="597"/>
    </row>
    <row r="740" spans="1:26" ht="19.5" hidden="1">
      <c r="A740" s="592"/>
      <c r="B740" s="600"/>
      <c r="C740" s="750"/>
      <c r="D740" s="638" t="s">
        <v>20</v>
      </c>
      <c r="E740" s="750"/>
      <c r="F740" s="750"/>
      <c r="G740" s="596"/>
      <c r="H740" s="639" t="s">
        <v>12</v>
      </c>
      <c r="I740" s="166"/>
      <c r="J740" s="166"/>
      <c r="K740" s="167"/>
      <c r="L740" s="640">
        <f t="shared" ref="L740:N740" si="297">L741+L742</f>
        <v>0</v>
      </c>
      <c r="M740" s="640">
        <f t="shared" si="297"/>
        <v>0</v>
      </c>
      <c r="N740" s="640">
        <f t="shared" si="297"/>
        <v>0</v>
      </c>
      <c r="O740" s="640">
        <f t="shared" si="294"/>
        <v>0</v>
      </c>
      <c r="P740" s="640">
        <f t="shared" si="295"/>
        <v>0</v>
      </c>
      <c r="Q740" s="597"/>
      <c r="R740" s="597"/>
      <c r="S740" s="597"/>
      <c r="T740" s="597"/>
      <c r="U740" s="597"/>
      <c r="V740" s="597"/>
      <c r="W740" s="597"/>
      <c r="X740" s="597"/>
      <c r="Y740" s="597"/>
      <c r="Z740" s="597"/>
    </row>
    <row r="741" spans="1:26" ht="18.75" hidden="1">
      <c r="A741" s="592"/>
      <c r="B741" s="600"/>
      <c r="C741" s="750"/>
      <c r="D741" s="711"/>
      <c r="E741" s="750" t="s">
        <v>184</v>
      </c>
      <c r="F741" s="750"/>
      <c r="G741" s="596"/>
      <c r="H741" s="165" t="s">
        <v>12</v>
      </c>
      <c r="I741" s="610"/>
      <c r="J741" s="610"/>
      <c r="K741" s="93"/>
      <c r="L741" s="93">
        <v>0</v>
      </c>
      <c r="M741" s="93">
        <v>0</v>
      </c>
      <c r="N741" s="93">
        <v>0</v>
      </c>
      <c r="O741" s="93">
        <f t="shared" si="294"/>
        <v>0</v>
      </c>
      <c r="P741" s="93">
        <f t="shared" si="295"/>
        <v>0</v>
      </c>
      <c r="Q741" s="597"/>
      <c r="R741" s="597"/>
      <c r="S741" s="597"/>
      <c r="T741" s="597"/>
      <c r="U741" s="597"/>
      <c r="V741" s="597"/>
      <c r="W741" s="597"/>
      <c r="X741" s="597"/>
      <c r="Y741" s="597"/>
      <c r="Z741" s="597"/>
    </row>
    <row r="742" spans="1:26" ht="18.75" hidden="1">
      <c r="A742" s="592"/>
      <c r="B742" s="600"/>
      <c r="C742" s="750"/>
      <c r="D742" s="711"/>
      <c r="E742" s="750" t="s">
        <v>185</v>
      </c>
      <c r="F742" s="750"/>
      <c r="G742" s="596"/>
      <c r="H742" s="165" t="s">
        <v>12</v>
      </c>
      <c r="I742" s="610"/>
      <c r="J742" s="610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4"/>
        <v>0</v>
      </c>
      <c r="P742" s="93">
        <f t="shared" si="295"/>
        <v>0</v>
      </c>
      <c r="Q742" s="597"/>
      <c r="R742" s="597"/>
      <c r="S742" s="597"/>
      <c r="T742" s="597"/>
      <c r="U742" s="597"/>
      <c r="V742" s="597"/>
      <c r="W742" s="597"/>
      <c r="X742" s="597"/>
      <c r="Y742" s="597"/>
      <c r="Z742" s="597"/>
    </row>
    <row r="743" spans="1:26" ht="18.75" hidden="1">
      <c r="A743" s="642"/>
      <c r="B743" s="600"/>
      <c r="C743" s="750"/>
      <c r="D743" s="750"/>
      <c r="E743" s="750"/>
      <c r="F743" s="750" t="s">
        <v>186</v>
      </c>
      <c r="G743" s="596"/>
      <c r="H743" s="165" t="s">
        <v>12</v>
      </c>
      <c r="I743" s="610"/>
      <c r="J743" s="610"/>
      <c r="K743" s="93"/>
      <c r="L743" s="93"/>
      <c r="M743" s="93"/>
      <c r="N743" s="93"/>
      <c r="O743" s="93"/>
      <c r="P743" s="93"/>
      <c r="Q743" s="597"/>
      <c r="R743" s="597"/>
      <c r="S743" s="597"/>
      <c r="T743" s="597"/>
      <c r="U743" s="597"/>
      <c r="V743" s="597"/>
      <c r="W743" s="597"/>
      <c r="X743" s="597"/>
      <c r="Y743" s="597"/>
      <c r="Z743" s="597"/>
    </row>
    <row r="744" spans="1:26" ht="18.75" hidden="1">
      <c r="A744" s="642"/>
      <c r="B744" s="600"/>
      <c r="C744" s="750"/>
      <c r="D744" s="750"/>
      <c r="E744" s="750"/>
      <c r="F744" s="750" t="s">
        <v>187</v>
      </c>
      <c r="G744" s="596"/>
      <c r="H744" s="165" t="s">
        <v>12</v>
      </c>
      <c r="I744" s="610"/>
      <c r="J744" s="610"/>
      <c r="K744" s="93"/>
      <c r="L744" s="93"/>
      <c r="M744" s="93"/>
      <c r="N744" s="93"/>
      <c r="O744" s="93"/>
      <c r="P744" s="93"/>
      <c r="Q744" s="597"/>
      <c r="R744" s="597"/>
      <c r="S744" s="597"/>
      <c r="T744" s="597"/>
      <c r="U744" s="597"/>
      <c r="V744" s="597"/>
      <c r="W744" s="597"/>
      <c r="X744" s="597"/>
      <c r="Y744" s="597"/>
      <c r="Z744" s="597"/>
    </row>
    <row r="745" spans="1:26" ht="18.75" hidden="1">
      <c r="A745" s="642"/>
      <c r="B745" s="600"/>
      <c r="C745" s="750"/>
      <c r="D745" s="750"/>
      <c r="E745" s="750"/>
      <c r="F745" s="750" t="s">
        <v>188</v>
      </c>
      <c r="G745" s="596"/>
      <c r="H745" s="165" t="s">
        <v>12</v>
      </c>
      <c r="I745" s="610"/>
      <c r="J745" s="610"/>
      <c r="K745" s="93"/>
      <c r="L745" s="93"/>
      <c r="M745" s="93"/>
      <c r="N745" s="93"/>
      <c r="O745" s="93"/>
      <c r="P745" s="93"/>
      <c r="Q745" s="597"/>
      <c r="R745" s="597"/>
      <c r="S745" s="597"/>
      <c r="T745" s="597"/>
      <c r="U745" s="597"/>
      <c r="V745" s="597"/>
      <c r="W745" s="597"/>
      <c r="X745" s="597"/>
      <c r="Y745" s="597"/>
      <c r="Z745" s="597"/>
    </row>
    <row r="746" spans="1:26" ht="18.75" hidden="1">
      <c r="A746" s="642"/>
      <c r="B746" s="600"/>
      <c r="C746" s="750"/>
      <c r="D746" s="750"/>
      <c r="E746" s="750"/>
      <c r="F746" s="750" t="s">
        <v>189</v>
      </c>
      <c r="G746" s="596"/>
      <c r="H746" s="165" t="s">
        <v>12</v>
      </c>
      <c r="I746" s="610"/>
      <c r="J746" s="610"/>
      <c r="K746" s="93"/>
      <c r="L746" s="93"/>
      <c r="M746" s="93"/>
      <c r="N746" s="93"/>
      <c r="O746" s="93"/>
      <c r="P746" s="93"/>
      <c r="Q746" s="597"/>
      <c r="R746" s="597"/>
      <c r="S746" s="597"/>
      <c r="T746" s="597"/>
      <c r="U746" s="597"/>
      <c r="V746" s="597"/>
      <c r="W746" s="597"/>
      <c r="X746" s="597"/>
      <c r="Y746" s="597"/>
      <c r="Z746" s="597"/>
    </row>
    <row r="747" spans="1:26" ht="19.5" hidden="1">
      <c r="A747" s="592"/>
      <c r="B747" s="600"/>
      <c r="C747" s="750"/>
      <c r="D747" s="638" t="s">
        <v>21</v>
      </c>
      <c r="E747" s="750"/>
      <c r="F747" s="750"/>
      <c r="G747" s="596"/>
      <c r="H747" s="774" t="s">
        <v>12</v>
      </c>
      <c r="I747" s="166"/>
      <c r="J747" s="166"/>
      <c r="K747" s="167"/>
      <c r="L747" s="640">
        <f t="shared" ref="L747:N747" si="298">L748+L749</f>
        <v>0</v>
      </c>
      <c r="M747" s="640">
        <f t="shared" si="298"/>
        <v>0</v>
      </c>
      <c r="N747" s="640">
        <f t="shared" si="298"/>
        <v>0</v>
      </c>
      <c r="O747" s="640">
        <f t="shared" ref="O747:O749" si="299">IF(L747&gt;0,N747*100/L747,0)</f>
        <v>0</v>
      </c>
      <c r="P747" s="640">
        <f t="shared" ref="P747:P749" si="300">IF(M747&gt;0,N747*100/M747,0)</f>
        <v>0</v>
      </c>
      <c r="Q747" s="597"/>
      <c r="R747" s="597"/>
      <c r="S747" s="597"/>
      <c r="T747" s="597"/>
      <c r="U747" s="597"/>
      <c r="V747" s="597"/>
      <c r="W747" s="597"/>
      <c r="X747" s="597"/>
      <c r="Y747" s="597"/>
      <c r="Z747" s="597"/>
    </row>
    <row r="748" spans="1:26" ht="18.75" hidden="1">
      <c r="A748" s="592"/>
      <c r="B748" s="600"/>
      <c r="C748" s="750"/>
      <c r="D748" s="750"/>
      <c r="E748" s="750" t="s">
        <v>18</v>
      </c>
      <c r="F748" s="750"/>
      <c r="G748" s="596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299"/>
        <v>0</v>
      </c>
      <c r="P748" s="93">
        <f t="shared" si="300"/>
        <v>0</v>
      </c>
      <c r="Q748" s="597"/>
      <c r="R748" s="597"/>
      <c r="S748" s="597"/>
      <c r="T748" s="597"/>
      <c r="U748" s="597"/>
      <c r="V748" s="597"/>
      <c r="W748" s="597"/>
      <c r="X748" s="597"/>
      <c r="Y748" s="597"/>
      <c r="Z748" s="597"/>
    </row>
    <row r="749" spans="1:26" ht="18.75" hidden="1">
      <c r="A749" s="592"/>
      <c r="B749" s="600"/>
      <c r="C749" s="750"/>
      <c r="D749" s="750"/>
      <c r="E749" s="750" t="s">
        <v>19</v>
      </c>
      <c r="F749" s="750"/>
      <c r="G749" s="596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299"/>
        <v>0</v>
      </c>
      <c r="P749" s="93">
        <f t="shared" si="300"/>
        <v>0</v>
      </c>
      <c r="Q749" s="597"/>
      <c r="R749" s="597"/>
      <c r="S749" s="597"/>
      <c r="T749" s="597"/>
      <c r="U749" s="597"/>
      <c r="V749" s="597"/>
      <c r="W749" s="597"/>
      <c r="X749" s="597"/>
      <c r="Y749" s="597"/>
      <c r="Z749" s="597"/>
    </row>
    <row r="750" spans="1:26" ht="19.5" hidden="1">
      <c r="A750" s="607"/>
      <c r="B750" s="609"/>
      <c r="C750" s="750" t="s">
        <v>16</v>
      </c>
      <c r="D750" s="841" t="s">
        <v>38</v>
      </c>
      <c r="E750" s="644"/>
      <c r="F750" s="644"/>
      <c r="G750" s="645"/>
      <c r="H750" s="365"/>
      <c r="I750" s="166"/>
      <c r="J750" s="166"/>
      <c r="K750" s="167"/>
      <c r="L750" s="167"/>
      <c r="M750" s="167"/>
      <c r="N750" s="167"/>
      <c r="O750" s="167"/>
      <c r="P750" s="167"/>
      <c r="Q750" s="597"/>
      <c r="R750" s="597"/>
      <c r="S750" s="597"/>
      <c r="T750" s="597"/>
      <c r="U750" s="597"/>
      <c r="V750" s="597"/>
      <c r="W750" s="597"/>
      <c r="X750" s="597"/>
      <c r="Y750" s="597"/>
      <c r="Z750" s="597"/>
    </row>
    <row r="751" spans="1:26" ht="18.75" hidden="1">
      <c r="A751" s="642"/>
      <c r="B751" s="600"/>
      <c r="C751" s="750"/>
      <c r="D751" s="750"/>
      <c r="E751" s="750" t="s">
        <v>313</v>
      </c>
      <c r="F751" s="750"/>
      <c r="G751" s="596"/>
      <c r="H751" s="165" t="s">
        <v>46</v>
      </c>
      <c r="I751" s="610"/>
      <c r="J751" s="610"/>
      <c r="K751" s="93"/>
      <c r="L751" s="93"/>
      <c r="M751" s="93"/>
      <c r="N751" s="93"/>
      <c r="O751" s="93"/>
      <c r="P751" s="93"/>
      <c r="Q751" s="597"/>
      <c r="R751" s="597"/>
      <c r="S751" s="597"/>
      <c r="T751" s="597"/>
      <c r="U751" s="597"/>
      <c r="V751" s="597"/>
      <c r="W751" s="597"/>
      <c r="X751" s="597"/>
      <c r="Y751" s="597"/>
      <c r="Z751" s="597"/>
    </row>
    <row r="752" spans="1:26" ht="18.75" hidden="1">
      <c r="A752" s="642"/>
      <c r="B752" s="600"/>
      <c r="C752" s="750"/>
      <c r="D752" s="750"/>
      <c r="E752" s="750"/>
      <c r="F752" s="750"/>
      <c r="G752" s="596"/>
      <c r="H752" s="165" t="s">
        <v>314</v>
      </c>
      <c r="I752" s="610"/>
      <c r="J752" s="610"/>
      <c r="K752" s="93"/>
      <c r="L752" s="93"/>
      <c r="M752" s="93"/>
      <c r="N752" s="93"/>
      <c r="O752" s="93"/>
      <c r="P752" s="93"/>
      <c r="Q752" s="597"/>
      <c r="R752" s="597"/>
      <c r="S752" s="597"/>
      <c r="T752" s="597"/>
      <c r="U752" s="597"/>
      <c r="V752" s="597"/>
      <c r="W752" s="597"/>
      <c r="X752" s="597"/>
      <c r="Y752" s="597"/>
      <c r="Z752" s="597"/>
    </row>
    <row r="753" spans="1:26" ht="19.5" hidden="1">
      <c r="A753" s="776">
        <v>10</v>
      </c>
      <c r="B753" s="777" t="s">
        <v>315</v>
      </c>
      <c r="C753" s="778"/>
      <c r="D753" s="778"/>
      <c r="E753" s="778"/>
      <c r="F753" s="778"/>
      <c r="G753" s="779"/>
      <c r="H753" s="780" t="s">
        <v>46</v>
      </c>
      <c r="I753" s="781"/>
      <c r="J753" s="781">
        <f>J768</f>
        <v>0</v>
      </c>
      <c r="K753" s="782">
        <f>IF(I753&gt;0,J753*100/I753,0)</f>
        <v>0</v>
      </c>
      <c r="L753" s="783"/>
      <c r="M753" s="783"/>
      <c r="N753" s="783"/>
      <c r="O753" s="783"/>
      <c r="P753" s="783"/>
      <c r="Q753" s="597"/>
      <c r="R753" s="597"/>
      <c r="S753" s="597"/>
      <c r="T753" s="597"/>
      <c r="U753" s="597"/>
      <c r="V753" s="597"/>
      <c r="W753" s="597"/>
      <c r="X753" s="597"/>
      <c r="Y753" s="597"/>
      <c r="Z753" s="597"/>
    </row>
    <row r="754" spans="1:26" ht="19.5" hidden="1">
      <c r="A754" s="592"/>
      <c r="B754" s="750"/>
      <c r="C754" s="750" t="s">
        <v>16</v>
      </c>
      <c r="D754" s="864" t="s">
        <v>17</v>
      </c>
      <c r="E754" s="857"/>
      <c r="F754" s="857"/>
      <c r="G754" s="596"/>
      <c r="H754" s="639" t="s">
        <v>12</v>
      </c>
      <c r="I754" s="610"/>
      <c r="J754" s="610"/>
      <c r="K754" s="93"/>
      <c r="L754" s="640">
        <f t="shared" ref="L754:N754" si="301">L755+L756</f>
        <v>0</v>
      </c>
      <c r="M754" s="640">
        <f t="shared" si="301"/>
        <v>0</v>
      </c>
      <c r="N754" s="640">
        <f t="shared" si="301"/>
        <v>0</v>
      </c>
      <c r="O754" s="640">
        <f t="shared" ref="O754:O759" si="302">IF(L754&gt;0,N754*100/L754,0)</f>
        <v>0</v>
      </c>
      <c r="P754" s="640">
        <f t="shared" ref="P754:P759" si="303">IF(M754&gt;0,N754*100/M754,0)</f>
        <v>0</v>
      </c>
      <c r="Q754" s="597"/>
      <c r="R754" s="597"/>
      <c r="S754" s="597"/>
      <c r="T754" s="597"/>
      <c r="U754" s="597"/>
      <c r="V754" s="597"/>
      <c r="W754" s="597"/>
      <c r="X754" s="597"/>
      <c r="Y754" s="597"/>
      <c r="Z754" s="597"/>
    </row>
    <row r="755" spans="1:26" ht="18.75" hidden="1">
      <c r="A755" s="592"/>
      <c r="B755" s="750"/>
      <c r="C755" s="750"/>
      <c r="D755" s="711"/>
      <c r="E755" s="750" t="s">
        <v>184</v>
      </c>
      <c r="F755" s="750"/>
      <c r="G755" s="596"/>
      <c r="H755" s="165" t="s">
        <v>12</v>
      </c>
      <c r="I755" s="610"/>
      <c r="J755" s="610"/>
      <c r="K755" s="93"/>
      <c r="L755" s="93">
        <f t="shared" ref="L755:N756" si="304">L758+L765</f>
        <v>0</v>
      </c>
      <c r="M755" s="93">
        <f t="shared" si="304"/>
        <v>0</v>
      </c>
      <c r="N755" s="93">
        <f t="shared" si="304"/>
        <v>0</v>
      </c>
      <c r="O755" s="93">
        <f t="shared" si="302"/>
        <v>0</v>
      </c>
      <c r="P755" s="93">
        <f t="shared" si="303"/>
        <v>0</v>
      </c>
      <c r="Q755" s="597"/>
      <c r="R755" s="597"/>
      <c r="S755" s="597"/>
      <c r="T755" s="597"/>
      <c r="U755" s="597"/>
      <c r="V755" s="597"/>
      <c r="W755" s="597"/>
      <c r="X755" s="597"/>
      <c r="Y755" s="597"/>
      <c r="Z755" s="597"/>
    </row>
    <row r="756" spans="1:26" ht="18.75" hidden="1">
      <c r="A756" s="592"/>
      <c r="B756" s="600"/>
      <c r="C756" s="750"/>
      <c r="D756" s="711"/>
      <c r="E756" s="750" t="s">
        <v>185</v>
      </c>
      <c r="F756" s="750"/>
      <c r="G756" s="596"/>
      <c r="H756" s="165" t="s">
        <v>12</v>
      </c>
      <c r="I756" s="610"/>
      <c r="J756" s="610"/>
      <c r="K756" s="93"/>
      <c r="L756" s="93">
        <f t="shared" si="304"/>
        <v>0</v>
      </c>
      <c r="M756" s="93">
        <f t="shared" si="304"/>
        <v>0</v>
      </c>
      <c r="N756" s="93">
        <f t="shared" si="304"/>
        <v>0</v>
      </c>
      <c r="O756" s="93">
        <f t="shared" si="302"/>
        <v>0</v>
      </c>
      <c r="P756" s="93">
        <f t="shared" si="303"/>
        <v>0</v>
      </c>
      <c r="Q756" s="597"/>
      <c r="R756" s="597"/>
      <c r="S756" s="597"/>
      <c r="T756" s="597"/>
      <c r="U756" s="597"/>
      <c r="V756" s="597"/>
      <c r="W756" s="597"/>
      <c r="X756" s="597"/>
      <c r="Y756" s="597"/>
      <c r="Z756" s="597"/>
    </row>
    <row r="757" spans="1:26" ht="19.5" hidden="1">
      <c r="A757" s="592"/>
      <c r="B757" s="600"/>
      <c r="C757" s="750"/>
      <c r="D757" s="638" t="s">
        <v>20</v>
      </c>
      <c r="E757" s="750"/>
      <c r="F757" s="750"/>
      <c r="G757" s="596"/>
      <c r="H757" s="639" t="s">
        <v>12</v>
      </c>
      <c r="I757" s="166"/>
      <c r="J757" s="166"/>
      <c r="K757" s="167"/>
      <c r="L757" s="640">
        <f t="shared" ref="L757:N757" si="305">L758+L759</f>
        <v>0</v>
      </c>
      <c r="M757" s="640">
        <f t="shared" si="305"/>
        <v>0</v>
      </c>
      <c r="N757" s="640">
        <f t="shared" si="305"/>
        <v>0</v>
      </c>
      <c r="O757" s="640">
        <f t="shared" si="302"/>
        <v>0</v>
      </c>
      <c r="P757" s="640">
        <f t="shared" si="303"/>
        <v>0</v>
      </c>
      <c r="Q757" s="597"/>
      <c r="R757" s="597"/>
      <c r="S757" s="597"/>
      <c r="T757" s="597"/>
      <c r="U757" s="597"/>
      <c r="V757" s="597"/>
      <c r="W757" s="597"/>
      <c r="X757" s="597"/>
      <c r="Y757" s="597"/>
      <c r="Z757" s="597"/>
    </row>
    <row r="758" spans="1:26" ht="18.75" hidden="1">
      <c r="A758" s="592"/>
      <c r="B758" s="600"/>
      <c r="C758" s="750"/>
      <c r="D758" s="711"/>
      <c r="E758" s="750" t="s">
        <v>184</v>
      </c>
      <c r="F758" s="750"/>
      <c r="G758" s="596"/>
      <c r="H758" s="165" t="s">
        <v>12</v>
      </c>
      <c r="I758" s="610"/>
      <c r="J758" s="610"/>
      <c r="K758" s="93"/>
      <c r="L758" s="93">
        <v>0</v>
      </c>
      <c r="M758" s="93">
        <v>0</v>
      </c>
      <c r="N758" s="93">
        <v>0</v>
      </c>
      <c r="O758" s="93">
        <f t="shared" si="302"/>
        <v>0</v>
      </c>
      <c r="P758" s="93">
        <f t="shared" si="303"/>
        <v>0</v>
      </c>
      <c r="Q758" s="597"/>
      <c r="R758" s="597"/>
      <c r="S758" s="597"/>
      <c r="T758" s="597"/>
      <c r="U758" s="597"/>
      <c r="V758" s="597"/>
      <c r="W758" s="597"/>
      <c r="X758" s="597"/>
      <c r="Y758" s="597"/>
      <c r="Z758" s="597"/>
    </row>
    <row r="759" spans="1:26" ht="18.75" hidden="1">
      <c r="A759" s="592"/>
      <c r="B759" s="600"/>
      <c r="C759" s="750"/>
      <c r="D759" s="711"/>
      <c r="E759" s="750" t="s">
        <v>185</v>
      </c>
      <c r="F759" s="750"/>
      <c r="G759" s="596"/>
      <c r="H759" s="165" t="s">
        <v>12</v>
      </c>
      <c r="I759" s="610"/>
      <c r="J759" s="610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2"/>
        <v>0</v>
      </c>
      <c r="P759" s="93">
        <f t="shared" si="303"/>
        <v>0</v>
      </c>
      <c r="Q759" s="597"/>
      <c r="R759" s="597"/>
      <c r="S759" s="597"/>
      <c r="T759" s="597"/>
      <c r="U759" s="597"/>
      <c r="V759" s="597"/>
      <c r="W759" s="597"/>
      <c r="X759" s="597"/>
      <c r="Y759" s="597"/>
      <c r="Z759" s="597"/>
    </row>
    <row r="760" spans="1:26" ht="18.75" hidden="1">
      <c r="A760" s="642"/>
      <c r="B760" s="600"/>
      <c r="C760" s="750"/>
      <c r="D760" s="750"/>
      <c r="E760" s="750"/>
      <c r="F760" s="750" t="s">
        <v>186</v>
      </c>
      <c r="G760" s="596"/>
      <c r="H760" s="165" t="s">
        <v>12</v>
      </c>
      <c r="I760" s="610"/>
      <c r="J760" s="610"/>
      <c r="K760" s="93"/>
      <c r="L760" s="93"/>
      <c r="M760" s="93"/>
      <c r="N760" s="93"/>
      <c r="O760" s="93"/>
      <c r="P760" s="93"/>
      <c r="Q760" s="597"/>
      <c r="R760" s="597"/>
      <c r="S760" s="597"/>
      <c r="T760" s="597"/>
      <c r="U760" s="597"/>
      <c r="V760" s="597"/>
      <c r="W760" s="597"/>
      <c r="X760" s="597"/>
      <c r="Y760" s="597"/>
      <c r="Z760" s="597"/>
    </row>
    <row r="761" spans="1:26" ht="18.75" hidden="1">
      <c r="A761" s="642"/>
      <c r="B761" s="600"/>
      <c r="C761" s="750"/>
      <c r="D761" s="750"/>
      <c r="E761" s="750"/>
      <c r="F761" s="750" t="s">
        <v>187</v>
      </c>
      <c r="G761" s="596"/>
      <c r="H761" s="165" t="s">
        <v>12</v>
      </c>
      <c r="I761" s="610"/>
      <c r="J761" s="610"/>
      <c r="K761" s="93"/>
      <c r="L761" s="93"/>
      <c r="M761" s="93"/>
      <c r="N761" s="93"/>
      <c r="O761" s="93"/>
      <c r="P761" s="93"/>
      <c r="Q761" s="597"/>
      <c r="R761" s="597"/>
      <c r="S761" s="597"/>
      <c r="T761" s="597"/>
      <c r="U761" s="597"/>
      <c r="V761" s="597"/>
      <c r="W761" s="597"/>
      <c r="X761" s="597"/>
      <c r="Y761" s="597"/>
      <c r="Z761" s="597"/>
    </row>
    <row r="762" spans="1:26" ht="18.75" hidden="1">
      <c r="A762" s="642"/>
      <c r="B762" s="600"/>
      <c r="C762" s="750"/>
      <c r="D762" s="750"/>
      <c r="E762" s="750"/>
      <c r="F762" s="750" t="s">
        <v>188</v>
      </c>
      <c r="G762" s="596"/>
      <c r="H762" s="165" t="s">
        <v>12</v>
      </c>
      <c r="I762" s="610"/>
      <c r="J762" s="610"/>
      <c r="K762" s="93"/>
      <c r="L762" s="93"/>
      <c r="M762" s="93"/>
      <c r="N762" s="93"/>
      <c r="O762" s="93"/>
      <c r="P762" s="93"/>
      <c r="Q762" s="597"/>
      <c r="R762" s="597"/>
      <c r="S762" s="597"/>
      <c r="T762" s="597"/>
      <c r="U762" s="597"/>
      <c r="V762" s="597"/>
      <c r="W762" s="597"/>
      <c r="X762" s="597"/>
      <c r="Y762" s="597"/>
      <c r="Z762" s="597"/>
    </row>
    <row r="763" spans="1:26" ht="18.75" hidden="1">
      <c r="A763" s="642"/>
      <c r="B763" s="600"/>
      <c r="C763" s="750"/>
      <c r="D763" s="750"/>
      <c r="E763" s="750"/>
      <c r="F763" s="750" t="s">
        <v>189</v>
      </c>
      <c r="G763" s="596"/>
      <c r="H763" s="165" t="s">
        <v>12</v>
      </c>
      <c r="I763" s="610"/>
      <c r="J763" s="610"/>
      <c r="K763" s="93"/>
      <c r="L763" s="93"/>
      <c r="M763" s="93"/>
      <c r="N763" s="93"/>
      <c r="O763" s="93"/>
      <c r="P763" s="93"/>
      <c r="Q763" s="597"/>
      <c r="R763" s="597"/>
      <c r="S763" s="597"/>
      <c r="T763" s="597"/>
      <c r="U763" s="597"/>
      <c r="V763" s="597"/>
      <c r="W763" s="597"/>
      <c r="X763" s="597"/>
      <c r="Y763" s="597"/>
      <c r="Z763" s="597"/>
    </row>
    <row r="764" spans="1:26" ht="19.5" hidden="1">
      <c r="A764" s="592"/>
      <c r="B764" s="600"/>
      <c r="C764" s="750"/>
      <c r="D764" s="638" t="s">
        <v>21</v>
      </c>
      <c r="E764" s="750"/>
      <c r="F764" s="750"/>
      <c r="G764" s="596"/>
      <c r="H764" s="774" t="s">
        <v>12</v>
      </c>
      <c r="I764" s="166"/>
      <c r="J764" s="166"/>
      <c r="K764" s="167"/>
      <c r="L764" s="640">
        <f t="shared" ref="L764:N764" si="306">L765+L766</f>
        <v>0</v>
      </c>
      <c r="M764" s="640">
        <f t="shared" si="306"/>
        <v>0</v>
      </c>
      <c r="N764" s="640">
        <f t="shared" si="306"/>
        <v>0</v>
      </c>
      <c r="O764" s="640">
        <f t="shared" ref="O764:O766" si="307">IF(L764&gt;0,N764*100/L764,0)</f>
        <v>0</v>
      </c>
      <c r="P764" s="640">
        <f t="shared" ref="P764:P766" si="308">IF(M764&gt;0,N764*100/M764,0)</f>
        <v>0</v>
      </c>
      <c r="Q764" s="597"/>
      <c r="R764" s="597"/>
      <c r="S764" s="597"/>
      <c r="T764" s="597"/>
      <c r="U764" s="597"/>
      <c r="V764" s="597"/>
      <c r="W764" s="597"/>
      <c r="X764" s="597"/>
      <c r="Y764" s="597"/>
      <c r="Z764" s="597"/>
    </row>
    <row r="765" spans="1:26" ht="18.75" hidden="1">
      <c r="A765" s="592"/>
      <c r="B765" s="600"/>
      <c r="C765" s="750"/>
      <c r="D765" s="750"/>
      <c r="E765" s="750" t="s">
        <v>18</v>
      </c>
      <c r="F765" s="750"/>
      <c r="G765" s="596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7"/>
        <v>0</v>
      </c>
      <c r="P765" s="93">
        <f t="shared" si="308"/>
        <v>0</v>
      </c>
      <c r="Q765" s="597"/>
      <c r="R765" s="597"/>
      <c r="S765" s="597"/>
      <c r="T765" s="597"/>
      <c r="U765" s="597"/>
      <c r="V765" s="597"/>
      <c r="W765" s="597"/>
      <c r="X765" s="597"/>
      <c r="Y765" s="597"/>
      <c r="Z765" s="597"/>
    </row>
    <row r="766" spans="1:26" ht="18.75" hidden="1">
      <c r="A766" s="592"/>
      <c r="B766" s="600"/>
      <c r="C766" s="750"/>
      <c r="D766" s="750"/>
      <c r="E766" s="750" t="s">
        <v>19</v>
      </c>
      <c r="F766" s="750"/>
      <c r="G766" s="596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7"/>
        <v>0</v>
      </c>
      <c r="P766" s="93">
        <f t="shared" si="308"/>
        <v>0</v>
      </c>
      <c r="Q766" s="597"/>
      <c r="R766" s="597"/>
      <c r="S766" s="597"/>
      <c r="T766" s="597"/>
      <c r="U766" s="597"/>
      <c r="V766" s="597"/>
      <c r="W766" s="597"/>
      <c r="X766" s="597"/>
      <c r="Y766" s="597"/>
      <c r="Z766" s="597"/>
    </row>
    <row r="767" spans="1:26" ht="19.5" hidden="1">
      <c r="A767" s="607"/>
      <c r="B767" s="609"/>
      <c r="C767" s="750" t="s">
        <v>16</v>
      </c>
      <c r="D767" s="841" t="s">
        <v>38</v>
      </c>
      <c r="E767" s="644"/>
      <c r="F767" s="644"/>
      <c r="G767" s="645"/>
      <c r="H767" s="365"/>
      <c r="I767" s="166"/>
      <c r="J767" s="166"/>
      <c r="K767" s="167"/>
      <c r="L767" s="167"/>
      <c r="M767" s="167"/>
      <c r="N767" s="167"/>
      <c r="O767" s="167"/>
      <c r="P767" s="167"/>
      <c r="Q767" s="597"/>
      <c r="R767" s="597"/>
      <c r="S767" s="597"/>
      <c r="T767" s="597"/>
      <c r="U767" s="597"/>
      <c r="V767" s="597"/>
      <c r="W767" s="597"/>
      <c r="X767" s="597"/>
      <c r="Y767" s="597"/>
      <c r="Z767" s="597"/>
    </row>
    <row r="768" spans="1:26" ht="18.75" hidden="1">
      <c r="A768" s="642"/>
      <c r="B768" s="600"/>
      <c r="C768" s="750"/>
      <c r="D768" s="750"/>
      <c r="E768" s="750" t="s">
        <v>316</v>
      </c>
      <c r="F768" s="750"/>
      <c r="G768" s="596"/>
      <c r="H768" s="165" t="s">
        <v>46</v>
      </c>
      <c r="I768" s="610"/>
      <c r="J768" s="610"/>
      <c r="K768" s="93"/>
      <c r="L768" s="93"/>
      <c r="M768" s="93"/>
      <c r="N768" s="93"/>
      <c r="O768" s="93"/>
      <c r="P768" s="93"/>
      <c r="Q768" s="597"/>
      <c r="R768" s="597"/>
      <c r="S768" s="597"/>
      <c r="T768" s="597"/>
      <c r="U768" s="597"/>
      <c r="V768" s="597"/>
      <c r="W768" s="597"/>
      <c r="X768" s="597"/>
      <c r="Y768" s="597"/>
      <c r="Z768" s="597"/>
    </row>
    <row r="769" spans="1:26" ht="19.5" hidden="1">
      <c r="A769" s="784">
        <v>11</v>
      </c>
      <c r="B769" s="785" t="s">
        <v>317</v>
      </c>
      <c r="C769" s="786"/>
      <c r="D769" s="786"/>
      <c r="E769" s="786"/>
      <c r="F769" s="786"/>
      <c r="G769" s="787"/>
      <c r="H769" s="788" t="s">
        <v>46</v>
      </c>
      <c r="I769" s="789"/>
      <c r="J769" s="789">
        <f>J784</f>
        <v>0</v>
      </c>
      <c r="K769" s="790">
        <f>IF(I769&gt;0,J769*100/I769,0)</f>
        <v>0</v>
      </c>
      <c r="L769" s="791"/>
      <c r="M769" s="791"/>
      <c r="N769" s="791"/>
      <c r="O769" s="791"/>
      <c r="P769" s="791"/>
      <c r="Q769" s="597"/>
      <c r="R769" s="597"/>
      <c r="S769" s="597"/>
      <c r="T769" s="597"/>
      <c r="U769" s="597"/>
      <c r="V769" s="597"/>
      <c r="W769" s="597"/>
      <c r="X769" s="597"/>
      <c r="Y769" s="597"/>
      <c r="Z769" s="597"/>
    </row>
    <row r="770" spans="1:26" ht="19.5" hidden="1">
      <c r="A770" s="592"/>
      <c r="B770" s="750"/>
      <c r="C770" s="750" t="s">
        <v>16</v>
      </c>
      <c r="D770" s="864" t="s">
        <v>17</v>
      </c>
      <c r="E770" s="857"/>
      <c r="F770" s="857"/>
      <c r="G770" s="596"/>
      <c r="H770" s="639" t="s">
        <v>12</v>
      </c>
      <c r="I770" s="610"/>
      <c r="J770" s="610"/>
      <c r="K770" s="93"/>
      <c r="L770" s="640">
        <f t="shared" ref="L770:N770" si="309">L771+L772</f>
        <v>0</v>
      </c>
      <c r="M770" s="640">
        <f t="shared" si="309"/>
        <v>0</v>
      </c>
      <c r="N770" s="640">
        <f t="shared" si="309"/>
        <v>0</v>
      </c>
      <c r="O770" s="640">
        <f t="shared" ref="O770:O775" si="310">IF(L770&gt;0,N770*100/L770,0)</f>
        <v>0</v>
      </c>
      <c r="P770" s="640">
        <f t="shared" ref="P770:P775" si="311">IF(M770&gt;0,N770*100/M770,0)</f>
        <v>0</v>
      </c>
      <c r="Q770" s="597"/>
      <c r="R770" s="597"/>
      <c r="S770" s="597"/>
      <c r="T770" s="597"/>
      <c r="U770" s="597"/>
      <c r="V770" s="597"/>
      <c r="W770" s="597"/>
      <c r="X770" s="597"/>
      <c r="Y770" s="597"/>
      <c r="Z770" s="597"/>
    </row>
    <row r="771" spans="1:26" ht="18.75" hidden="1">
      <c r="A771" s="592"/>
      <c r="B771" s="750"/>
      <c r="C771" s="750"/>
      <c r="D771" s="711"/>
      <c r="E771" s="750" t="s">
        <v>184</v>
      </c>
      <c r="F771" s="750"/>
      <c r="G771" s="596"/>
      <c r="H771" s="165" t="s">
        <v>12</v>
      </c>
      <c r="I771" s="610"/>
      <c r="J771" s="610"/>
      <c r="K771" s="93"/>
      <c r="L771" s="93">
        <f t="shared" ref="L771:N772" si="312">L774+L781</f>
        <v>0</v>
      </c>
      <c r="M771" s="93">
        <f t="shared" si="312"/>
        <v>0</v>
      </c>
      <c r="N771" s="93">
        <f t="shared" si="312"/>
        <v>0</v>
      </c>
      <c r="O771" s="93">
        <f t="shared" si="310"/>
        <v>0</v>
      </c>
      <c r="P771" s="93">
        <f t="shared" si="311"/>
        <v>0</v>
      </c>
      <c r="Q771" s="597"/>
      <c r="R771" s="597"/>
      <c r="S771" s="597"/>
      <c r="T771" s="597"/>
      <c r="U771" s="597"/>
      <c r="V771" s="597"/>
      <c r="W771" s="597"/>
      <c r="X771" s="597"/>
      <c r="Y771" s="597"/>
      <c r="Z771" s="597"/>
    </row>
    <row r="772" spans="1:26" ht="18.75" hidden="1">
      <c r="A772" s="592"/>
      <c r="B772" s="600"/>
      <c r="C772" s="750"/>
      <c r="D772" s="711"/>
      <c r="E772" s="750" t="s">
        <v>185</v>
      </c>
      <c r="F772" s="750"/>
      <c r="G772" s="596"/>
      <c r="H772" s="165" t="s">
        <v>12</v>
      </c>
      <c r="I772" s="610"/>
      <c r="J772" s="610"/>
      <c r="K772" s="93"/>
      <c r="L772" s="93">
        <f t="shared" si="312"/>
        <v>0</v>
      </c>
      <c r="M772" s="93">
        <f t="shared" si="312"/>
        <v>0</v>
      </c>
      <c r="N772" s="93">
        <f t="shared" si="312"/>
        <v>0</v>
      </c>
      <c r="O772" s="93">
        <f t="shared" si="310"/>
        <v>0</v>
      </c>
      <c r="P772" s="93">
        <f t="shared" si="311"/>
        <v>0</v>
      </c>
      <c r="Q772" s="597"/>
      <c r="R772" s="597"/>
      <c r="S772" s="597"/>
      <c r="T772" s="597"/>
      <c r="U772" s="597"/>
      <c r="V772" s="597"/>
      <c r="W772" s="597"/>
      <c r="X772" s="597"/>
      <c r="Y772" s="597"/>
      <c r="Z772" s="597"/>
    </row>
    <row r="773" spans="1:26" ht="19.5" hidden="1">
      <c r="A773" s="592"/>
      <c r="B773" s="600"/>
      <c r="C773" s="750"/>
      <c r="D773" s="638" t="s">
        <v>20</v>
      </c>
      <c r="E773" s="750"/>
      <c r="F773" s="750"/>
      <c r="G773" s="596"/>
      <c r="H773" s="639" t="s">
        <v>12</v>
      </c>
      <c r="I773" s="166"/>
      <c r="J773" s="166"/>
      <c r="K773" s="167"/>
      <c r="L773" s="640">
        <f t="shared" ref="L773:N773" si="313">L774+L775</f>
        <v>0</v>
      </c>
      <c r="M773" s="640">
        <f t="shared" si="313"/>
        <v>0</v>
      </c>
      <c r="N773" s="640">
        <f t="shared" si="313"/>
        <v>0</v>
      </c>
      <c r="O773" s="640">
        <f t="shared" si="310"/>
        <v>0</v>
      </c>
      <c r="P773" s="640">
        <f t="shared" si="311"/>
        <v>0</v>
      </c>
      <c r="Q773" s="597"/>
      <c r="R773" s="597"/>
      <c r="S773" s="597"/>
      <c r="T773" s="597"/>
      <c r="U773" s="597"/>
      <c r="V773" s="597"/>
      <c r="W773" s="597"/>
      <c r="X773" s="597"/>
      <c r="Y773" s="597"/>
      <c r="Z773" s="597"/>
    </row>
    <row r="774" spans="1:26" ht="18.75" hidden="1">
      <c r="A774" s="592"/>
      <c r="B774" s="600"/>
      <c r="C774" s="750"/>
      <c r="D774" s="711"/>
      <c r="E774" s="750" t="s">
        <v>184</v>
      </c>
      <c r="F774" s="750"/>
      <c r="G774" s="596"/>
      <c r="H774" s="165" t="s">
        <v>12</v>
      </c>
      <c r="I774" s="610"/>
      <c r="J774" s="610"/>
      <c r="K774" s="93"/>
      <c r="L774" s="93">
        <v>0</v>
      </c>
      <c r="M774" s="93">
        <v>0</v>
      </c>
      <c r="N774" s="93">
        <v>0</v>
      </c>
      <c r="O774" s="93">
        <f t="shared" si="310"/>
        <v>0</v>
      </c>
      <c r="P774" s="93">
        <f t="shared" si="311"/>
        <v>0</v>
      </c>
      <c r="Q774" s="597"/>
      <c r="R774" s="597"/>
      <c r="S774" s="597"/>
      <c r="T774" s="597"/>
      <c r="U774" s="597"/>
      <c r="V774" s="597"/>
      <c r="W774" s="597"/>
      <c r="X774" s="597"/>
      <c r="Y774" s="597"/>
      <c r="Z774" s="597"/>
    </row>
    <row r="775" spans="1:26" ht="18.75" hidden="1">
      <c r="A775" s="592"/>
      <c r="B775" s="600"/>
      <c r="C775" s="750"/>
      <c r="D775" s="711"/>
      <c r="E775" s="750" t="s">
        <v>185</v>
      </c>
      <c r="F775" s="750"/>
      <c r="G775" s="596"/>
      <c r="H775" s="165" t="s">
        <v>12</v>
      </c>
      <c r="I775" s="610"/>
      <c r="J775" s="610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0"/>
        <v>0</v>
      </c>
      <c r="P775" s="93">
        <f t="shared" si="311"/>
        <v>0</v>
      </c>
      <c r="Q775" s="597"/>
      <c r="R775" s="597"/>
      <c r="S775" s="597"/>
      <c r="T775" s="597"/>
      <c r="U775" s="597"/>
      <c r="V775" s="597"/>
      <c r="W775" s="597"/>
      <c r="X775" s="597"/>
      <c r="Y775" s="597"/>
      <c r="Z775" s="597"/>
    </row>
    <row r="776" spans="1:26" ht="18.75" hidden="1">
      <c r="A776" s="642"/>
      <c r="B776" s="600"/>
      <c r="C776" s="750"/>
      <c r="D776" s="750"/>
      <c r="E776" s="750"/>
      <c r="F776" s="750" t="s">
        <v>186</v>
      </c>
      <c r="G776" s="596"/>
      <c r="H776" s="165" t="s">
        <v>12</v>
      </c>
      <c r="I776" s="610"/>
      <c r="J776" s="610"/>
      <c r="K776" s="93"/>
      <c r="L776" s="93"/>
      <c r="M776" s="93"/>
      <c r="N776" s="93"/>
      <c r="O776" s="93"/>
      <c r="P776" s="93"/>
      <c r="Q776" s="597"/>
      <c r="R776" s="597"/>
      <c r="S776" s="597"/>
      <c r="T776" s="597"/>
      <c r="U776" s="597"/>
      <c r="V776" s="597"/>
      <c r="W776" s="597"/>
      <c r="X776" s="597"/>
      <c r="Y776" s="597"/>
      <c r="Z776" s="597"/>
    </row>
    <row r="777" spans="1:26" ht="18.75" hidden="1">
      <c r="A777" s="642"/>
      <c r="B777" s="600"/>
      <c r="C777" s="750"/>
      <c r="D777" s="750"/>
      <c r="E777" s="750"/>
      <c r="F777" s="750" t="s">
        <v>187</v>
      </c>
      <c r="G777" s="596"/>
      <c r="H777" s="165" t="s">
        <v>12</v>
      </c>
      <c r="I777" s="610"/>
      <c r="J777" s="610"/>
      <c r="K777" s="93"/>
      <c r="L777" s="93"/>
      <c r="M777" s="93"/>
      <c r="N777" s="93"/>
      <c r="O777" s="93"/>
      <c r="P777" s="93"/>
      <c r="Q777" s="597"/>
      <c r="R777" s="597"/>
      <c r="S777" s="597"/>
      <c r="T777" s="597"/>
      <c r="U777" s="597"/>
      <c r="V777" s="597"/>
      <c r="W777" s="597"/>
      <c r="X777" s="597"/>
      <c r="Y777" s="597"/>
      <c r="Z777" s="597"/>
    </row>
    <row r="778" spans="1:26" ht="18.75" hidden="1">
      <c r="A778" s="642"/>
      <c r="B778" s="600"/>
      <c r="C778" s="750"/>
      <c r="D778" s="750"/>
      <c r="E778" s="750"/>
      <c r="F778" s="750" t="s">
        <v>188</v>
      </c>
      <c r="G778" s="596"/>
      <c r="H778" s="165" t="s">
        <v>12</v>
      </c>
      <c r="I778" s="610"/>
      <c r="J778" s="610"/>
      <c r="K778" s="93"/>
      <c r="L778" s="93"/>
      <c r="M778" s="93"/>
      <c r="N778" s="93"/>
      <c r="O778" s="93"/>
      <c r="P778" s="93"/>
      <c r="Q778" s="597"/>
      <c r="R778" s="597"/>
      <c r="S778" s="597"/>
      <c r="T778" s="597"/>
      <c r="U778" s="597"/>
      <c r="V778" s="597"/>
      <c r="W778" s="597"/>
      <c r="X778" s="597"/>
      <c r="Y778" s="597"/>
      <c r="Z778" s="597"/>
    </row>
    <row r="779" spans="1:26" ht="18.75" hidden="1">
      <c r="A779" s="642"/>
      <c r="B779" s="600"/>
      <c r="C779" s="750"/>
      <c r="D779" s="750"/>
      <c r="E779" s="750"/>
      <c r="F779" s="750" t="s">
        <v>189</v>
      </c>
      <c r="G779" s="596"/>
      <c r="H779" s="165" t="s">
        <v>12</v>
      </c>
      <c r="I779" s="610"/>
      <c r="J779" s="610"/>
      <c r="K779" s="93"/>
      <c r="L779" s="93"/>
      <c r="M779" s="93"/>
      <c r="N779" s="93"/>
      <c r="O779" s="93"/>
      <c r="P779" s="93"/>
      <c r="Q779" s="597"/>
      <c r="R779" s="597"/>
      <c r="S779" s="597"/>
      <c r="T779" s="597"/>
      <c r="U779" s="597"/>
      <c r="V779" s="597"/>
      <c r="W779" s="597"/>
      <c r="X779" s="597"/>
      <c r="Y779" s="597"/>
      <c r="Z779" s="597"/>
    </row>
    <row r="780" spans="1:26" ht="19.5" hidden="1">
      <c r="A780" s="592"/>
      <c r="B780" s="600"/>
      <c r="C780" s="750"/>
      <c r="D780" s="638" t="s">
        <v>21</v>
      </c>
      <c r="E780" s="750"/>
      <c r="F780" s="750"/>
      <c r="G780" s="596"/>
      <c r="H780" s="774" t="s">
        <v>12</v>
      </c>
      <c r="I780" s="166"/>
      <c r="J780" s="166"/>
      <c r="K780" s="167"/>
      <c r="L780" s="640">
        <f t="shared" ref="L780:N780" si="314">L781+L782</f>
        <v>0</v>
      </c>
      <c r="M780" s="640">
        <f t="shared" si="314"/>
        <v>0</v>
      </c>
      <c r="N780" s="640">
        <f t="shared" si="314"/>
        <v>0</v>
      </c>
      <c r="O780" s="640">
        <f t="shared" ref="O780:O782" si="315">IF(L780&gt;0,N780*100/L780,0)</f>
        <v>0</v>
      </c>
      <c r="P780" s="640">
        <f t="shared" ref="P780:P782" si="316">IF(M780&gt;0,N780*100/M780,0)</f>
        <v>0</v>
      </c>
      <c r="Q780" s="597"/>
      <c r="R780" s="597"/>
      <c r="S780" s="597"/>
      <c r="T780" s="597"/>
      <c r="U780" s="597"/>
      <c r="V780" s="597"/>
      <c r="W780" s="597"/>
      <c r="X780" s="597"/>
      <c r="Y780" s="597"/>
      <c r="Z780" s="597"/>
    </row>
    <row r="781" spans="1:26" ht="18.75" hidden="1">
      <c r="A781" s="592"/>
      <c r="B781" s="600"/>
      <c r="C781" s="750"/>
      <c r="D781" s="750"/>
      <c r="E781" s="750" t="s">
        <v>18</v>
      </c>
      <c r="F781" s="750"/>
      <c r="G781" s="596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5"/>
        <v>0</v>
      </c>
      <c r="P781" s="93">
        <f t="shared" si="316"/>
        <v>0</v>
      </c>
      <c r="Q781" s="597"/>
      <c r="R781" s="597"/>
      <c r="S781" s="597"/>
      <c r="T781" s="597"/>
      <c r="U781" s="597"/>
      <c r="V781" s="597"/>
      <c r="W781" s="597"/>
      <c r="X781" s="597"/>
      <c r="Y781" s="597"/>
      <c r="Z781" s="597"/>
    </row>
    <row r="782" spans="1:26" ht="18.75" hidden="1">
      <c r="A782" s="592"/>
      <c r="B782" s="600"/>
      <c r="C782" s="750"/>
      <c r="D782" s="750"/>
      <c r="E782" s="750" t="s">
        <v>19</v>
      </c>
      <c r="F782" s="750"/>
      <c r="G782" s="596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5"/>
        <v>0</v>
      </c>
      <c r="P782" s="93">
        <f t="shared" si="316"/>
        <v>0</v>
      </c>
      <c r="Q782" s="597"/>
      <c r="R782" s="597"/>
      <c r="S782" s="597"/>
      <c r="T782" s="597"/>
      <c r="U782" s="597"/>
      <c r="V782" s="597"/>
      <c r="W782" s="597"/>
      <c r="X782" s="597"/>
      <c r="Y782" s="597"/>
      <c r="Z782" s="597"/>
    </row>
    <row r="783" spans="1:26" ht="19.5" hidden="1">
      <c r="A783" s="607"/>
      <c r="B783" s="609"/>
      <c r="C783" s="750" t="s">
        <v>16</v>
      </c>
      <c r="D783" s="841" t="s">
        <v>38</v>
      </c>
      <c r="E783" s="644"/>
      <c r="F783" s="644"/>
      <c r="G783" s="645"/>
      <c r="H783" s="792"/>
      <c r="I783" s="166"/>
      <c r="J783" s="166"/>
      <c r="K783" s="167"/>
      <c r="L783" s="167"/>
      <c r="M783" s="167"/>
      <c r="N783" s="167"/>
      <c r="O783" s="167"/>
      <c r="P783" s="167"/>
      <c r="Q783" s="597"/>
      <c r="R783" s="597"/>
      <c r="S783" s="597"/>
      <c r="T783" s="597"/>
      <c r="U783" s="597"/>
      <c r="V783" s="597"/>
      <c r="W783" s="597"/>
      <c r="X783" s="597"/>
      <c r="Y783" s="597"/>
      <c r="Z783" s="597"/>
    </row>
    <row r="784" spans="1:26" ht="18.75" hidden="1">
      <c r="A784" s="642"/>
      <c r="B784" s="600"/>
      <c r="C784" s="750"/>
      <c r="D784" s="750"/>
      <c r="E784" s="750" t="s">
        <v>318</v>
      </c>
      <c r="F784" s="750"/>
      <c r="G784" s="596"/>
      <c r="H784" s="165" t="s">
        <v>46</v>
      </c>
      <c r="I784" s="610"/>
      <c r="J784" s="610"/>
      <c r="K784" s="93"/>
      <c r="L784" s="93"/>
      <c r="M784" s="93"/>
      <c r="N784" s="93"/>
      <c r="O784" s="93"/>
      <c r="P784" s="93"/>
      <c r="Q784" s="597"/>
      <c r="R784" s="597"/>
      <c r="S784" s="597"/>
      <c r="T784" s="597"/>
      <c r="U784" s="597"/>
      <c r="V784" s="597"/>
      <c r="W784" s="597"/>
      <c r="X784" s="597"/>
      <c r="Y784" s="597"/>
      <c r="Z784" s="597"/>
    </row>
    <row r="785" spans="1:26" ht="19.5" hidden="1">
      <c r="A785" s="793">
        <v>12</v>
      </c>
      <c r="B785" s="794" t="s">
        <v>319</v>
      </c>
      <c r="C785" s="795"/>
      <c r="D785" s="795"/>
      <c r="E785" s="795"/>
      <c r="F785" s="795"/>
      <c r="G785" s="796"/>
      <c r="H785" s="797" t="s">
        <v>46</v>
      </c>
      <c r="I785" s="798">
        <f t="shared" ref="I785:J785" ca="1" si="317">I800</f>
        <v>0</v>
      </c>
      <c r="J785" s="799">
        <f t="shared" ca="1" si="317"/>
        <v>0</v>
      </c>
      <c r="K785" s="800">
        <f ca="1">IF(I785&gt;0,J785*100/I785,0)</f>
        <v>0</v>
      </c>
      <c r="L785" s="801"/>
      <c r="M785" s="801"/>
      <c r="N785" s="801"/>
      <c r="O785" s="801"/>
      <c r="P785" s="801"/>
      <c r="Q785" s="571"/>
      <c r="R785" s="571"/>
      <c r="S785" s="571"/>
      <c r="T785" s="571"/>
      <c r="U785" s="571"/>
      <c r="V785" s="571"/>
      <c r="W785" s="571"/>
      <c r="X785" s="571"/>
      <c r="Y785" s="571"/>
      <c r="Z785" s="571"/>
    </row>
    <row r="786" spans="1:26" ht="19.5" hidden="1">
      <c r="A786" s="590"/>
      <c r="B786" s="568"/>
      <c r="C786" s="754" t="s">
        <v>16</v>
      </c>
      <c r="D786" s="863" t="s">
        <v>17</v>
      </c>
      <c r="E786" s="857"/>
      <c r="F786" s="857"/>
      <c r="G786" s="189"/>
      <c r="H786" s="591" t="s">
        <v>12</v>
      </c>
      <c r="I786" s="269"/>
      <c r="J786" s="269"/>
      <c r="K786" s="496"/>
      <c r="L786" s="195">
        <f t="shared" ref="L786:N786" ca="1" si="318">L787+L788</f>
        <v>0</v>
      </c>
      <c r="M786" s="195">
        <f t="shared" si="318"/>
        <v>0</v>
      </c>
      <c r="N786" s="195">
        <f t="shared" si="318"/>
        <v>0</v>
      </c>
      <c r="O786" s="195">
        <f t="shared" ref="O786:O791" ca="1" si="319">IF(L786&gt;0,N786*100/L786,0)</f>
        <v>0</v>
      </c>
      <c r="P786" s="195">
        <f t="shared" ref="P786:P791" si="320">IF(M786&gt;0,N786*100/M786,0)</f>
        <v>0</v>
      </c>
      <c r="Q786" s="571"/>
      <c r="R786" s="571"/>
      <c r="S786" s="571"/>
      <c r="T786" s="571"/>
      <c r="U786" s="571"/>
      <c r="V786" s="571"/>
      <c r="W786" s="571"/>
      <c r="X786" s="571"/>
      <c r="Y786" s="571"/>
      <c r="Z786" s="571"/>
    </row>
    <row r="787" spans="1:26" ht="18.75" hidden="1">
      <c r="A787" s="592"/>
      <c r="B787" s="600"/>
      <c r="C787" s="750"/>
      <c r="D787" s="711"/>
      <c r="E787" s="750" t="s">
        <v>184</v>
      </c>
      <c r="F787" s="750"/>
      <c r="G787" s="596"/>
      <c r="H787" s="165" t="s">
        <v>12</v>
      </c>
      <c r="I787" s="610"/>
      <c r="J787" s="610"/>
      <c r="K787" s="93"/>
      <c r="L787" s="93">
        <f t="shared" ref="L787:N788" si="321">L790+L797</f>
        <v>0</v>
      </c>
      <c r="M787" s="93">
        <f t="shared" si="321"/>
        <v>0</v>
      </c>
      <c r="N787" s="93">
        <f t="shared" si="321"/>
        <v>0</v>
      </c>
      <c r="O787" s="93">
        <f t="shared" si="319"/>
        <v>0</v>
      </c>
      <c r="P787" s="93">
        <f t="shared" si="320"/>
        <v>0</v>
      </c>
      <c r="Q787" s="597"/>
      <c r="R787" s="597"/>
      <c r="S787" s="597"/>
      <c r="T787" s="597"/>
      <c r="U787" s="597"/>
      <c r="V787" s="597"/>
      <c r="W787" s="597"/>
      <c r="X787" s="597"/>
      <c r="Y787" s="597"/>
      <c r="Z787" s="597"/>
    </row>
    <row r="788" spans="1:26" ht="18.75" hidden="1">
      <c r="A788" s="592"/>
      <c r="B788" s="600"/>
      <c r="C788" s="600"/>
      <c r="D788" s="609"/>
      <c r="E788" s="750" t="s">
        <v>185</v>
      </c>
      <c r="F788" s="750"/>
      <c r="G788" s="596"/>
      <c r="H788" s="165" t="s">
        <v>12</v>
      </c>
      <c r="I788" s="610"/>
      <c r="J788" s="610"/>
      <c r="K788" s="93"/>
      <c r="L788" s="93">
        <f t="shared" ca="1" si="321"/>
        <v>0</v>
      </c>
      <c r="M788" s="93">
        <f t="shared" si="321"/>
        <v>0</v>
      </c>
      <c r="N788" s="93">
        <f t="shared" si="321"/>
        <v>0</v>
      </c>
      <c r="O788" s="93">
        <f t="shared" ca="1" si="319"/>
        <v>0</v>
      </c>
      <c r="P788" s="93">
        <f t="shared" si="320"/>
        <v>0</v>
      </c>
      <c r="Q788" s="597"/>
      <c r="R788" s="597"/>
      <c r="S788" s="597"/>
      <c r="T788" s="597"/>
      <c r="U788" s="597"/>
      <c r="V788" s="597"/>
      <c r="W788" s="597"/>
      <c r="X788" s="597"/>
      <c r="Y788" s="597"/>
      <c r="Z788" s="597"/>
    </row>
    <row r="789" spans="1:26" ht="18.75" hidden="1">
      <c r="A789" s="590"/>
      <c r="B789" s="568"/>
      <c r="C789" s="568"/>
      <c r="D789" s="599" t="s">
        <v>20</v>
      </c>
      <c r="E789" s="754"/>
      <c r="F789" s="754"/>
      <c r="G789" s="189"/>
      <c r="H789" s="161" t="s">
        <v>12</v>
      </c>
      <c r="I789" s="184"/>
      <c r="J789" s="184"/>
      <c r="K789" s="163"/>
      <c r="L789" s="496">
        <f t="shared" ref="L789:N789" ca="1" si="322">L790+L791</f>
        <v>0</v>
      </c>
      <c r="M789" s="496">
        <f t="shared" si="322"/>
        <v>0</v>
      </c>
      <c r="N789" s="496">
        <f t="shared" si="322"/>
        <v>0</v>
      </c>
      <c r="O789" s="496">
        <f t="shared" ca="1" si="319"/>
        <v>0</v>
      </c>
      <c r="P789" s="496">
        <f t="shared" si="320"/>
        <v>0</v>
      </c>
      <c r="Q789" s="571"/>
      <c r="R789" s="571"/>
      <c r="S789" s="571"/>
      <c r="T789" s="571"/>
      <c r="U789" s="571"/>
      <c r="V789" s="571"/>
      <c r="W789" s="571"/>
      <c r="X789" s="571"/>
      <c r="Y789" s="571"/>
      <c r="Z789" s="571"/>
    </row>
    <row r="790" spans="1:26" ht="18.75" hidden="1">
      <c r="A790" s="592"/>
      <c r="B790" s="600"/>
      <c r="C790" s="600"/>
      <c r="D790" s="609"/>
      <c r="E790" s="750" t="s">
        <v>184</v>
      </c>
      <c r="F790" s="750"/>
      <c r="G790" s="596"/>
      <c r="H790" s="165" t="s">
        <v>12</v>
      </c>
      <c r="I790" s="610"/>
      <c r="J790" s="610"/>
      <c r="K790" s="93"/>
      <c r="L790" s="93">
        <v>0</v>
      </c>
      <c r="M790" s="93">
        <v>0</v>
      </c>
      <c r="N790" s="93">
        <v>0</v>
      </c>
      <c r="O790" s="93">
        <f t="shared" si="319"/>
        <v>0</v>
      </c>
      <c r="P790" s="93">
        <f t="shared" si="320"/>
        <v>0</v>
      </c>
      <c r="Q790" s="597"/>
      <c r="R790" s="597"/>
      <c r="S790" s="597"/>
      <c r="T790" s="597"/>
      <c r="U790" s="597"/>
      <c r="V790" s="597"/>
      <c r="W790" s="597"/>
      <c r="X790" s="597"/>
      <c r="Y790" s="597"/>
      <c r="Z790" s="597"/>
    </row>
    <row r="791" spans="1:26" ht="18.75" hidden="1">
      <c r="A791" s="592"/>
      <c r="B791" s="600"/>
      <c r="C791" s="600"/>
      <c r="D791" s="609"/>
      <c r="E791" s="750" t="s">
        <v>185</v>
      </c>
      <c r="F791" s="750"/>
      <c r="G791" s="596"/>
      <c r="H791" s="165" t="s">
        <v>12</v>
      </c>
      <c r="I791" s="610"/>
      <c r="J791" s="610"/>
      <c r="K791" s="93"/>
      <c r="L791" s="93">
        <f ca="1">IFERROR(__xludf.DUMMYFUNCTION("IMPORTRANGE(""https://docs.google.com/spreadsheets/d/1QqKyyYR6Q21VydFLVH3TRQUabQu_ym0Zz7PgGX0-kHA/edit?usp=sharing"",""แผน!JJ71"")"),0)</f>
        <v>0</v>
      </c>
      <c r="M791" s="93">
        <v>0</v>
      </c>
      <c r="N791" s="93">
        <f>N792+N793+N794+N795</f>
        <v>0</v>
      </c>
      <c r="O791" s="93">
        <f t="shared" ca="1" si="319"/>
        <v>0</v>
      </c>
      <c r="P791" s="93">
        <f t="shared" si="320"/>
        <v>0</v>
      </c>
      <c r="Q791" s="597"/>
      <c r="R791" s="597"/>
      <c r="S791" s="597"/>
      <c r="T791" s="597"/>
      <c r="U791" s="597"/>
      <c r="V791" s="597"/>
      <c r="W791" s="597"/>
      <c r="X791" s="597"/>
      <c r="Y791" s="597"/>
      <c r="Z791" s="597"/>
    </row>
    <row r="792" spans="1:26" ht="18.75" hidden="1">
      <c r="A792" s="567"/>
      <c r="B792" s="568"/>
      <c r="C792" s="754"/>
      <c r="D792" s="754"/>
      <c r="E792" s="754"/>
      <c r="F792" s="754" t="s">
        <v>186</v>
      </c>
      <c r="G792" s="189"/>
      <c r="H792" s="161" t="s">
        <v>12</v>
      </c>
      <c r="I792" s="269"/>
      <c r="J792" s="269"/>
      <c r="K792" s="496"/>
      <c r="L792" s="496"/>
      <c r="M792" s="496"/>
      <c r="N792" s="817">
        <v>0</v>
      </c>
      <c r="O792" s="496"/>
      <c r="P792" s="496"/>
      <c r="Q792" s="571"/>
      <c r="R792" s="571"/>
      <c r="S792" s="571"/>
      <c r="T792" s="571"/>
      <c r="U792" s="571"/>
      <c r="V792" s="571"/>
      <c r="W792" s="571"/>
      <c r="X792" s="571"/>
      <c r="Y792" s="571"/>
      <c r="Z792" s="571"/>
    </row>
    <row r="793" spans="1:26" ht="18.75" hidden="1">
      <c r="A793" s="567"/>
      <c r="B793" s="568"/>
      <c r="C793" s="754"/>
      <c r="D793" s="754"/>
      <c r="E793" s="754"/>
      <c r="F793" s="754" t="s">
        <v>187</v>
      </c>
      <c r="G793" s="189"/>
      <c r="H793" s="161" t="s">
        <v>12</v>
      </c>
      <c r="I793" s="269"/>
      <c r="J793" s="269"/>
      <c r="K793" s="496"/>
      <c r="L793" s="496"/>
      <c r="M793" s="496"/>
      <c r="N793" s="817">
        <v>0</v>
      </c>
      <c r="O793" s="496"/>
      <c r="P793" s="496"/>
      <c r="Q793" s="571"/>
      <c r="R793" s="571"/>
      <c r="S793" s="571"/>
      <c r="T793" s="571"/>
      <c r="U793" s="571"/>
      <c r="V793" s="571"/>
      <c r="W793" s="571"/>
      <c r="X793" s="571"/>
      <c r="Y793" s="571"/>
      <c r="Z793" s="571"/>
    </row>
    <row r="794" spans="1:26" ht="18.75" hidden="1">
      <c r="A794" s="567"/>
      <c r="B794" s="568"/>
      <c r="C794" s="754"/>
      <c r="D794" s="754"/>
      <c r="E794" s="754"/>
      <c r="F794" s="754" t="s">
        <v>188</v>
      </c>
      <c r="G794" s="189"/>
      <c r="H794" s="161" t="s">
        <v>12</v>
      </c>
      <c r="I794" s="269"/>
      <c r="J794" s="269"/>
      <c r="K794" s="496"/>
      <c r="L794" s="496"/>
      <c r="M794" s="496"/>
      <c r="N794" s="817">
        <v>0</v>
      </c>
      <c r="O794" s="496"/>
      <c r="P794" s="496"/>
      <c r="Q794" s="571"/>
      <c r="R794" s="571"/>
      <c r="S794" s="571"/>
      <c r="T794" s="571"/>
      <c r="U794" s="571"/>
      <c r="V794" s="571"/>
      <c r="W794" s="571"/>
      <c r="X794" s="571"/>
      <c r="Y794" s="571"/>
      <c r="Z794" s="571"/>
    </row>
    <row r="795" spans="1:26" ht="18.75" hidden="1">
      <c r="A795" s="567"/>
      <c r="B795" s="568"/>
      <c r="C795" s="754"/>
      <c r="D795" s="754"/>
      <c r="E795" s="754"/>
      <c r="F795" s="754" t="s">
        <v>189</v>
      </c>
      <c r="G795" s="189"/>
      <c r="H795" s="161" t="s">
        <v>12</v>
      </c>
      <c r="I795" s="269"/>
      <c r="J795" s="269"/>
      <c r="K795" s="496"/>
      <c r="L795" s="496"/>
      <c r="M795" s="496"/>
      <c r="N795" s="817">
        <v>0</v>
      </c>
      <c r="O795" s="496"/>
      <c r="P795" s="496"/>
      <c r="Q795" s="571"/>
      <c r="R795" s="571"/>
      <c r="S795" s="571"/>
      <c r="T795" s="571"/>
      <c r="U795" s="571"/>
      <c r="V795" s="571"/>
      <c r="W795" s="571"/>
      <c r="X795" s="571"/>
      <c r="Y795" s="571"/>
      <c r="Z795" s="571"/>
    </row>
    <row r="796" spans="1:26" ht="18.75" hidden="1">
      <c r="A796" s="590"/>
      <c r="B796" s="568"/>
      <c r="C796" s="754"/>
      <c r="D796" s="599" t="s">
        <v>21</v>
      </c>
      <c r="E796" s="754"/>
      <c r="F796" s="754"/>
      <c r="G796" s="189"/>
      <c r="H796" s="168" t="s">
        <v>12</v>
      </c>
      <c r="I796" s="184"/>
      <c r="J796" s="184"/>
      <c r="K796" s="163"/>
      <c r="L796" s="496">
        <f t="shared" ref="L796:N796" si="323">L797+L798</f>
        <v>0</v>
      </c>
      <c r="M796" s="496">
        <f t="shared" si="323"/>
        <v>0</v>
      </c>
      <c r="N796" s="496">
        <f t="shared" si="323"/>
        <v>0</v>
      </c>
      <c r="O796" s="496">
        <f t="shared" ref="O796:O798" si="324">IF(L796&gt;0,N796*100/L796,0)</f>
        <v>0</v>
      </c>
      <c r="P796" s="496">
        <f t="shared" ref="P796:P798" si="325">IF(M796&gt;0,N796*100/M796,0)</f>
        <v>0</v>
      </c>
      <c r="Q796" s="571"/>
      <c r="R796" s="571"/>
      <c r="S796" s="571"/>
      <c r="T796" s="571"/>
      <c r="U796" s="571"/>
      <c r="V796" s="571"/>
      <c r="W796" s="571"/>
      <c r="X796" s="571"/>
      <c r="Y796" s="571"/>
      <c r="Z796" s="571"/>
    </row>
    <row r="797" spans="1:26" ht="18.75" hidden="1">
      <c r="A797" s="592"/>
      <c r="B797" s="600"/>
      <c r="C797" s="750"/>
      <c r="D797" s="750"/>
      <c r="E797" s="750" t="s">
        <v>18</v>
      </c>
      <c r="F797" s="750"/>
      <c r="G797" s="596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4"/>
        <v>0</v>
      </c>
      <c r="P797" s="93">
        <f t="shared" si="325"/>
        <v>0</v>
      </c>
      <c r="Q797" s="597"/>
      <c r="R797" s="597"/>
      <c r="S797" s="597"/>
      <c r="T797" s="597"/>
      <c r="U797" s="597"/>
      <c r="V797" s="597"/>
      <c r="W797" s="597"/>
      <c r="X797" s="597"/>
      <c r="Y797" s="597"/>
      <c r="Z797" s="597"/>
    </row>
    <row r="798" spans="1:26" ht="18.75" hidden="1">
      <c r="A798" s="592"/>
      <c r="B798" s="600"/>
      <c r="C798" s="750"/>
      <c r="D798" s="750"/>
      <c r="E798" s="750" t="s">
        <v>19</v>
      </c>
      <c r="F798" s="750"/>
      <c r="G798" s="596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4"/>
        <v>0</v>
      </c>
      <c r="P798" s="93">
        <f t="shared" si="325"/>
        <v>0</v>
      </c>
      <c r="Q798" s="597"/>
      <c r="R798" s="597"/>
      <c r="S798" s="597"/>
      <c r="T798" s="597"/>
      <c r="U798" s="597"/>
      <c r="V798" s="597"/>
      <c r="W798" s="597"/>
      <c r="X798" s="597"/>
      <c r="Y798" s="597"/>
      <c r="Z798" s="597"/>
    </row>
    <row r="799" spans="1:26" ht="19.5" hidden="1">
      <c r="A799" s="601"/>
      <c r="B799" s="611"/>
      <c r="C799" s="754" t="s">
        <v>16</v>
      </c>
      <c r="D799" s="840" t="s">
        <v>38</v>
      </c>
      <c r="E799" s="752"/>
      <c r="F799" s="752"/>
      <c r="G799" s="606"/>
      <c r="H799" s="802"/>
      <c r="I799" s="184"/>
      <c r="J799" s="184"/>
      <c r="K799" s="163"/>
      <c r="L799" s="163"/>
      <c r="M799" s="163"/>
      <c r="N799" s="163"/>
      <c r="O799" s="163"/>
      <c r="P799" s="163"/>
      <c r="Q799" s="571"/>
      <c r="R799" s="571"/>
      <c r="S799" s="571"/>
      <c r="T799" s="571"/>
      <c r="U799" s="571"/>
      <c r="V799" s="571"/>
      <c r="W799" s="571"/>
      <c r="X799" s="571"/>
      <c r="Y799" s="571"/>
      <c r="Z799" s="571"/>
    </row>
    <row r="800" spans="1:26" ht="18.75" hidden="1">
      <c r="A800" s="601"/>
      <c r="B800" s="611"/>
      <c r="C800" s="611"/>
      <c r="D800" s="611"/>
      <c r="E800" s="619"/>
      <c r="F800" s="619" t="s">
        <v>320</v>
      </c>
      <c r="G800" s="753"/>
      <c r="H800" s="185" t="s">
        <v>46</v>
      </c>
      <c r="I800" s="184">
        <f ca="1">IFERROR(__xludf.DUMMYFUNCTION("IMPORTRANGE(""https://docs.google.com/spreadsheets/d/1QqKyyYR6Q21VydFLVH3TRQUabQu_ym0Zz7PgGX0-kHA/edit?usp=sharing"",""แผน!JN71"")"),0)</f>
        <v>0</v>
      </c>
      <c r="J800" s="184">
        <f ca="1">IFERROR(__xludf.DUMMYFUNCTION("IMPORTRANGE(""https://docs.google.com/spreadsheets/d/1MaWodYyGHDf7siQLGxnXhG4mBNTNIuy296niS2xXulU/edit?usp=sharing"",""RTK!H71"")"),0)</f>
        <v>0</v>
      </c>
      <c r="K800" s="496">
        <f ca="1">IF(I800&gt;0,J800*100/I800,0)</f>
        <v>0</v>
      </c>
      <c r="L800" s="496"/>
      <c r="M800" s="496"/>
      <c r="N800" s="496"/>
      <c r="O800" s="163"/>
      <c r="P800" s="163"/>
      <c r="Q800" s="571"/>
      <c r="R800" s="571"/>
      <c r="S800" s="571"/>
      <c r="T800" s="571"/>
      <c r="U800" s="571"/>
      <c r="V800" s="571"/>
      <c r="W800" s="571"/>
      <c r="X800" s="571"/>
      <c r="Y800" s="571"/>
      <c r="Z800" s="571"/>
    </row>
    <row r="801" spans="1:26" ht="18.75" hidden="1">
      <c r="A801" s="601"/>
      <c r="B801" s="611"/>
      <c r="C801" s="611"/>
      <c r="D801" s="611"/>
      <c r="E801" s="619"/>
      <c r="F801" s="619"/>
      <c r="G801" s="753"/>
      <c r="H801" s="161" t="s">
        <v>34</v>
      </c>
      <c r="I801" s="184"/>
      <c r="J801" s="269">
        <f ca="1">IFERROR(__xludf.DUMMYFUNCTION("IMPORTRANGE(""https://docs.google.com/spreadsheets/d/1MaWodYyGHDf7siQLGxnXhG4mBNTNIuy296niS2xXulU/edit?usp=sharing"",""RTK!I71"")"),0)</f>
        <v>0</v>
      </c>
      <c r="K801" s="496"/>
      <c r="L801" s="496"/>
      <c r="M801" s="496"/>
      <c r="N801" s="496"/>
      <c r="O801" s="163"/>
      <c r="P801" s="163"/>
      <c r="Q801" s="571"/>
      <c r="R801" s="571"/>
      <c r="S801" s="571"/>
      <c r="T801" s="571"/>
      <c r="U801" s="571"/>
      <c r="V801" s="571"/>
      <c r="W801" s="571"/>
      <c r="X801" s="571"/>
      <c r="Y801" s="571"/>
      <c r="Z801" s="571"/>
    </row>
    <row r="802" spans="1:26" ht="18.75" hidden="1">
      <c r="A802" s="607"/>
      <c r="B802" s="609"/>
      <c r="C802" s="609"/>
      <c r="D802" s="609"/>
      <c r="E802" s="711"/>
      <c r="F802" s="711" t="s">
        <v>321</v>
      </c>
      <c r="G802" s="365"/>
      <c r="H802" s="646" t="s">
        <v>46</v>
      </c>
      <c r="I802" s="166"/>
      <c r="J802" s="610"/>
      <c r="K802" s="167">
        <f>IF(I802&gt;0,J802*100/I802,0)</f>
        <v>0</v>
      </c>
      <c r="L802" s="167"/>
      <c r="M802" s="167"/>
      <c r="N802" s="167"/>
      <c r="O802" s="167"/>
      <c r="P802" s="167"/>
      <c r="Q802" s="597"/>
      <c r="R802" s="597"/>
      <c r="S802" s="597"/>
      <c r="T802" s="597"/>
      <c r="U802" s="597"/>
      <c r="V802" s="597"/>
      <c r="W802" s="597"/>
      <c r="X802" s="597"/>
      <c r="Y802" s="597"/>
      <c r="Z802" s="597"/>
    </row>
    <row r="803" spans="1:26" ht="18.75" hidden="1">
      <c r="A803" s="607"/>
      <c r="B803" s="609"/>
      <c r="C803" s="609"/>
      <c r="D803" s="609"/>
      <c r="E803" s="711"/>
      <c r="F803" s="711"/>
      <c r="G803" s="365"/>
      <c r="H803" s="646" t="s">
        <v>34</v>
      </c>
      <c r="I803" s="166"/>
      <c r="J803" s="610"/>
      <c r="K803" s="167"/>
      <c r="L803" s="167"/>
      <c r="M803" s="167"/>
      <c r="N803" s="167"/>
      <c r="O803" s="167"/>
      <c r="P803" s="167"/>
      <c r="Q803" s="597"/>
      <c r="R803" s="597"/>
      <c r="S803" s="597"/>
      <c r="T803" s="597"/>
      <c r="U803" s="597"/>
      <c r="V803" s="597"/>
      <c r="W803" s="597"/>
      <c r="X803" s="597"/>
      <c r="Y803" s="597"/>
      <c r="Z803" s="597"/>
    </row>
    <row r="804" spans="1:26" ht="19.5" hidden="1">
      <c r="A804" s="784">
        <v>13</v>
      </c>
      <c r="B804" s="785" t="s">
        <v>322</v>
      </c>
      <c r="C804" s="786"/>
      <c r="D804" s="803"/>
      <c r="E804" s="786"/>
      <c r="F804" s="786"/>
      <c r="G804" s="787"/>
      <c r="H804" s="788" t="s">
        <v>46</v>
      </c>
      <c r="I804" s="789"/>
      <c r="J804" s="789">
        <f>J819</f>
        <v>0</v>
      </c>
      <c r="K804" s="790">
        <f>IF(I804&gt;0,J804*100/I804,0)</f>
        <v>0</v>
      </c>
      <c r="L804" s="791"/>
      <c r="M804" s="791"/>
      <c r="N804" s="791"/>
      <c r="O804" s="791"/>
      <c r="P804" s="791"/>
      <c r="Q804" s="597"/>
      <c r="R804" s="597"/>
      <c r="S804" s="597"/>
      <c r="T804" s="597"/>
      <c r="U804" s="597"/>
      <c r="V804" s="597"/>
      <c r="W804" s="597"/>
      <c r="X804" s="597"/>
      <c r="Y804" s="597"/>
      <c r="Z804" s="597"/>
    </row>
    <row r="805" spans="1:26" ht="19.5" hidden="1">
      <c r="A805" s="592"/>
      <c r="B805" s="750"/>
      <c r="C805" s="750" t="s">
        <v>16</v>
      </c>
      <c r="D805" s="864" t="s">
        <v>17</v>
      </c>
      <c r="E805" s="857"/>
      <c r="F805" s="857"/>
      <c r="G805" s="596"/>
      <c r="H805" s="639" t="s">
        <v>12</v>
      </c>
      <c r="I805" s="610"/>
      <c r="J805" s="610"/>
      <c r="K805" s="93"/>
      <c r="L805" s="640">
        <f t="shared" ref="L805:N805" si="326">L806+L807</f>
        <v>0</v>
      </c>
      <c r="M805" s="640">
        <f t="shared" si="326"/>
        <v>0</v>
      </c>
      <c r="N805" s="640">
        <f t="shared" si="326"/>
        <v>0</v>
      </c>
      <c r="O805" s="640">
        <f t="shared" ref="O805:O810" si="327">IF(L805&gt;0,N805*100/L805,0)</f>
        <v>0</v>
      </c>
      <c r="P805" s="640">
        <f t="shared" ref="P805:P810" si="328">IF(M805&gt;0,N805*100/M805,0)</f>
        <v>0</v>
      </c>
      <c r="Q805" s="597"/>
      <c r="R805" s="597"/>
      <c r="S805" s="597"/>
      <c r="T805" s="597"/>
      <c r="U805" s="597"/>
      <c r="V805" s="597"/>
      <c r="W805" s="597"/>
      <c r="X805" s="597"/>
      <c r="Y805" s="597"/>
      <c r="Z805" s="597"/>
    </row>
    <row r="806" spans="1:26" ht="18.75" hidden="1">
      <c r="A806" s="592"/>
      <c r="B806" s="750"/>
      <c r="C806" s="750"/>
      <c r="D806" s="609"/>
      <c r="E806" s="750" t="s">
        <v>184</v>
      </c>
      <c r="F806" s="750"/>
      <c r="G806" s="596"/>
      <c r="H806" s="165" t="s">
        <v>12</v>
      </c>
      <c r="I806" s="610"/>
      <c r="J806" s="610"/>
      <c r="K806" s="93"/>
      <c r="L806" s="93">
        <f t="shared" ref="L806:N807" si="329">L809+L816</f>
        <v>0</v>
      </c>
      <c r="M806" s="93">
        <f t="shared" si="329"/>
        <v>0</v>
      </c>
      <c r="N806" s="93">
        <f t="shared" si="329"/>
        <v>0</v>
      </c>
      <c r="O806" s="93">
        <f t="shared" si="327"/>
        <v>0</v>
      </c>
      <c r="P806" s="93">
        <f t="shared" si="328"/>
        <v>0</v>
      </c>
      <c r="Q806" s="597"/>
      <c r="R806" s="597"/>
      <c r="S806" s="597"/>
      <c r="T806" s="597"/>
      <c r="U806" s="597"/>
      <c r="V806" s="597"/>
      <c r="W806" s="597"/>
      <c r="X806" s="597"/>
      <c r="Y806" s="597"/>
      <c r="Z806" s="597"/>
    </row>
    <row r="807" spans="1:26" ht="18.75" hidden="1">
      <c r="A807" s="592"/>
      <c r="B807" s="750"/>
      <c r="C807" s="750"/>
      <c r="D807" s="609"/>
      <c r="E807" s="750" t="s">
        <v>185</v>
      </c>
      <c r="F807" s="750"/>
      <c r="G807" s="596"/>
      <c r="H807" s="165" t="s">
        <v>12</v>
      </c>
      <c r="I807" s="610"/>
      <c r="J807" s="610"/>
      <c r="K807" s="93"/>
      <c r="L807" s="93">
        <f t="shared" si="329"/>
        <v>0</v>
      </c>
      <c r="M807" s="93">
        <f t="shared" si="329"/>
        <v>0</v>
      </c>
      <c r="N807" s="93">
        <f t="shared" si="329"/>
        <v>0</v>
      </c>
      <c r="O807" s="93">
        <f t="shared" si="327"/>
        <v>0</v>
      </c>
      <c r="P807" s="93">
        <f t="shared" si="328"/>
        <v>0</v>
      </c>
      <c r="Q807" s="597"/>
      <c r="R807" s="597"/>
      <c r="S807" s="597"/>
      <c r="T807" s="597"/>
      <c r="U807" s="597"/>
      <c r="V807" s="597"/>
      <c r="W807" s="597"/>
      <c r="X807" s="597"/>
      <c r="Y807" s="597"/>
      <c r="Z807" s="597"/>
    </row>
    <row r="808" spans="1:26" ht="19.5" hidden="1">
      <c r="A808" s="592"/>
      <c r="B808" s="600"/>
      <c r="C808" s="750"/>
      <c r="D808" s="869" t="s">
        <v>20</v>
      </c>
      <c r="E808" s="857"/>
      <c r="F808" s="857"/>
      <c r="G808" s="596"/>
      <c r="H808" s="639" t="s">
        <v>12</v>
      </c>
      <c r="I808" s="166"/>
      <c r="J808" s="166"/>
      <c r="K808" s="167"/>
      <c r="L808" s="640">
        <f t="shared" ref="L808:N808" si="330">L809+L810</f>
        <v>0</v>
      </c>
      <c r="M808" s="640">
        <f t="shared" si="330"/>
        <v>0</v>
      </c>
      <c r="N808" s="640">
        <f t="shared" si="330"/>
        <v>0</v>
      </c>
      <c r="O808" s="640">
        <f t="shared" si="327"/>
        <v>0</v>
      </c>
      <c r="P808" s="640">
        <f t="shared" si="328"/>
        <v>0</v>
      </c>
      <c r="Q808" s="597"/>
      <c r="R808" s="597"/>
      <c r="S808" s="597"/>
      <c r="T808" s="597"/>
      <c r="U808" s="597"/>
      <c r="V808" s="597"/>
      <c r="W808" s="597"/>
      <c r="X808" s="597"/>
      <c r="Y808" s="597"/>
      <c r="Z808" s="597"/>
    </row>
    <row r="809" spans="1:26" ht="18.75" hidden="1">
      <c r="A809" s="592"/>
      <c r="B809" s="750"/>
      <c r="C809" s="750"/>
      <c r="D809" s="609"/>
      <c r="E809" s="750" t="s">
        <v>184</v>
      </c>
      <c r="F809" s="750"/>
      <c r="G809" s="596"/>
      <c r="H809" s="165" t="s">
        <v>12</v>
      </c>
      <c r="I809" s="610"/>
      <c r="J809" s="610"/>
      <c r="K809" s="93"/>
      <c r="L809" s="93">
        <v>0</v>
      </c>
      <c r="M809" s="93">
        <v>0</v>
      </c>
      <c r="N809" s="93">
        <v>0</v>
      </c>
      <c r="O809" s="93">
        <f t="shared" si="327"/>
        <v>0</v>
      </c>
      <c r="P809" s="93">
        <f t="shared" si="328"/>
        <v>0</v>
      </c>
      <c r="Q809" s="597"/>
      <c r="R809" s="597"/>
      <c r="S809" s="597"/>
      <c r="T809" s="597"/>
      <c r="U809" s="597"/>
      <c r="V809" s="597"/>
      <c r="W809" s="597"/>
      <c r="X809" s="597"/>
      <c r="Y809" s="597"/>
      <c r="Z809" s="597"/>
    </row>
    <row r="810" spans="1:26" ht="18.75" hidden="1">
      <c r="A810" s="592"/>
      <c r="B810" s="750"/>
      <c r="C810" s="750"/>
      <c r="D810" s="609"/>
      <c r="E810" s="750" t="s">
        <v>185</v>
      </c>
      <c r="F810" s="750"/>
      <c r="G810" s="596"/>
      <c r="H810" s="165" t="s">
        <v>12</v>
      </c>
      <c r="I810" s="610"/>
      <c r="J810" s="610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7"/>
        <v>0</v>
      </c>
      <c r="P810" s="93">
        <f t="shared" si="328"/>
        <v>0</v>
      </c>
      <c r="Q810" s="597"/>
      <c r="R810" s="597"/>
      <c r="S810" s="597"/>
      <c r="T810" s="597"/>
      <c r="U810" s="597"/>
      <c r="V810" s="597"/>
      <c r="W810" s="597"/>
      <c r="X810" s="597"/>
      <c r="Y810" s="597"/>
      <c r="Z810" s="597"/>
    </row>
    <row r="811" spans="1:26" ht="18.75" hidden="1">
      <c r="A811" s="642"/>
      <c r="B811" s="600"/>
      <c r="C811" s="750"/>
      <c r="D811" s="600"/>
      <c r="E811" s="750"/>
      <c r="F811" s="750" t="s">
        <v>186</v>
      </c>
      <c r="G811" s="596"/>
      <c r="H811" s="165" t="s">
        <v>12</v>
      </c>
      <c r="I811" s="610"/>
      <c r="J811" s="610"/>
      <c r="K811" s="93"/>
      <c r="L811" s="93"/>
      <c r="M811" s="93"/>
      <c r="N811" s="93"/>
      <c r="O811" s="93"/>
      <c r="P811" s="93"/>
      <c r="Q811" s="597"/>
      <c r="R811" s="597"/>
      <c r="S811" s="597"/>
      <c r="T811" s="597"/>
      <c r="U811" s="597"/>
      <c r="V811" s="597"/>
      <c r="W811" s="597"/>
      <c r="X811" s="597"/>
      <c r="Y811" s="597"/>
      <c r="Z811" s="597"/>
    </row>
    <row r="812" spans="1:26" ht="18.75" hidden="1">
      <c r="A812" s="642"/>
      <c r="B812" s="600"/>
      <c r="C812" s="750"/>
      <c r="D812" s="600"/>
      <c r="E812" s="750"/>
      <c r="F812" s="750" t="s">
        <v>187</v>
      </c>
      <c r="G812" s="596"/>
      <c r="H812" s="165" t="s">
        <v>12</v>
      </c>
      <c r="I812" s="610"/>
      <c r="J812" s="610"/>
      <c r="K812" s="93"/>
      <c r="L812" s="93"/>
      <c r="M812" s="93"/>
      <c r="N812" s="93"/>
      <c r="O812" s="93"/>
      <c r="P812" s="93"/>
      <c r="Q812" s="597"/>
      <c r="R812" s="597"/>
      <c r="S812" s="597"/>
      <c r="T812" s="597"/>
      <c r="U812" s="597"/>
      <c r="V812" s="597"/>
      <c r="W812" s="597"/>
      <c r="X812" s="597"/>
      <c r="Y812" s="597"/>
      <c r="Z812" s="597"/>
    </row>
    <row r="813" spans="1:26" ht="18.75" hidden="1">
      <c r="A813" s="642"/>
      <c r="B813" s="600"/>
      <c r="C813" s="750"/>
      <c r="D813" s="600"/>
      <c r="E813" s="750"/>
      <c r="F813" s="750" t="s">
        <v>188</v>
      </c>
      <c r="G813" s="596"/>
      <c r="H813" s="165" t="s">
        <v>12</v>
      </c>
      <c r="I813" s="610"/>
      <c r="J813" s="610"/>
      <c r="K813" s="93"/>
      <c r="L813" s="93"/>
      <c r="M813" s="93"/>
      <c r="N813" s="93"/>
      <c r="O813" s="93"/>
      <c r="P813" s="93"/>
      <c r="Q813" s="597"/>
      <c r="R813" s="597"/>
      <c r="S813" s="597"/>
      <c r="T813" s="597"/>
      <c r="U813" s="597"/>
      <c r="V813" s="597"/>
      <c r="W813" s="597"/>
      <c r="X813" s="597"/>
      <c r="Y813" s="597"/>
      <c r="Z813" s="597"/>
    </row>
    <row r="814" spans="1:26" ht="18.75" hidden="1">
      <c r="A814" s="642"/>
      <c r="B814" s="600"/>
      <c r="C814" s="750"/>
      <c r="D814" s="600"/>
      <c r="E814" s="750"/>
      <c r="F814" s="750" t="s">
        <v>189</v>
      </c>
      <c r="G814" s="596"/>
      <c r="H814" s="165" t="s">
        <v>12</v>
      </c>
      <c r="I814" s="610"/>
      <c r="J814" s="610"/>
      <c r="K814" s="93"/>
      <c r="L814" s="93"/>
      <c r="M814" s="93"/>
      <c r="N814" s="93"/>
      <c r="O814" s="93"/>
      <c r="P814" s="93"/>
      <c r="Q814" s="597"/>
      <c r="R814" s="597"/>
      <c r="S814" s="597"/>
      <c r="T814" s="597"/>
      <c r="U814" s="597"/>
      <c r="V814" s="597"/>
      <c r="W814" s="597"/>
      <c r="X814" s="597"/>
      <c r="Y814" s="597"/>
      <c r="Z814" s="597"/>
    </row>
    <row r="815" spans="1:26" ht="19.5" hidden="1">
      <c r="A815" s="592"/>
      <c r="B815" s="600"/>
      <c r="C815" s="750"/>
      <c r="D815" s="869" t="s">
        <v>21</v>
      </c>
      <c r="E815" s="857"/>
      <c r="F815" s="857"/>
      <c r="G815" s="596"/>
      <c r="H815" s="774" t="s">
        <v>12</v>
      </c>
      <c r="I815" s="166"/>
      <c r="J815" s="166"/>
      <c r="K815" s="167"/>
      <c r="L815" s="640">
        <f t="shared" ref="L815:N815" si="331">L816+L817</f>
        <v>0</v>
      </c>
      <c r="M815" s="640">
        <f t="shared" si="331"/>
        <v>0</v>
      </c>
      <c r="N815" s="640">
        <f t="shared" si="331"/>
        <v>0</v>
      </c>
      <c r="O815" s="640">
        <f t="shared" ref="O815:O817" si="332">IF(L815&gt;0,N815*100/L815,0)</f>
        <v>0</v>
      </c>
      <c r="P815" s="640">
        <f t="shared" ref="P815:P817" si="333">IF(M815&gt;0,N815*100/M815,0)</f>
        <v>0</v>
      </c>
      <c r="Q815" s="597"/>
      <c r="R815" s="597"/>
      <c r="S815" s="597"/>
      <c r="T815" s="597"/>
      <c r="U815" s="597"/>
      <c r="V815" s="597"/>
      <c r="W815" s="597"/>
      <c r="X815" s="597"/>
      <c r="Y815" s="597"/>
      <c r="Z815" s="597"/>
    </row>
    <row r="816" spans="1:26" ht="18.75" hidden="1">
      <c r="A816" s="592"/>
      <c r="B816" s="600"/>
      <c r="C816" s="750"/>
      <c r="D816" s="600"/>
      <c r="E816" s="750" t="s">
        <v>18</v>
      </c>
      <c r="F816" s="750"/>
      <c r="G816" s="596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2"/>
        <v>0</v>
      </c>
      <c r="P816" s="93">
        <f t="shared" si="333"/>
        <v>0</v>
      </c>
      <c r="Q816" s="597"/>
      <c r="R816" s="597"/>
      <c r="S816" s="597"/>
      <c r="T816" s="597"/>
      <c r="U816" s="597"/>
      <c r="V816" s="597"/>
      <c r="W816" s="597"/>
      <c r="X816" s="597"/>
      <c r="Y816" s="597"/>
      <c r="Z816" s="597"/>
    </row>
    <row r="817" spans="1:26" ht="18.75" hidden="1">
      <c r="A817" s="592"/>
      <c r="B817" s="600"/>
      <c r="C817" s="750"/>
      <c r="D817" s="600"/>
      <c r="E817" s="750" t="s">
        <v>19</v>
      </c>
      <c r="F817" s="750"/>
      <c r="G817" s="596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2"/>
        <v>0</v>
      </c>
      <c r="P817" s="93">
        <f t="shared" si="333"/>
        <v>0</v>
      </c>
      <c r="Q817" s="597"/>
      <c r="R817" s="597"/>
      <c r="S817" s="597"/>
      <c r="T817" s="597"/>
      <c r="U817" s="597"/>
      <c r="V817" s="597"/>
      <c r="W817" s="597"/>
      <c r="X817" s="597"/>
      <c r="Y817" s="597"/>
      <c r="Z817" s="597"/>
    </row>
    <row r="818" spans="1:26" ht="19.5" hidden="1">
      <c r="A818" s="607"/>
      <c r="B818" s="609"/>
      <c r="C818" s="750" t="s">
        <v>16</v>
      </c>
      <c r="D818" s="842" t="s">
        <v>38</v>
      </c>
      <c r="E818" s="644"/>
      <c r="F818" s="644"/>
      <c r="G818" s="645"/>
      <c r="H818" s="365"/>
      <c r="I818" s="166"/>
      <c r="J818" s="166"/>
      <c r="K818" s="167"/>
      <c r="L818" s="167"/>
      <c r="M818" s="167"/>
      <c r="N818" s="167"/>
      <c r="O818" s="167"/>
      <c r="P818" s="167"/>
      <c r="Q818" s="597"/>
      <c r="R818" s="597"/>
      <c r="S818" s="597"/>
      <c r="T818" s="597"/>
      <c r="U818" s="597"/>
      <c r="V818" s="597"/>
      <c r="W818" s="597"/>
      <c r="X818" s="597"/>
      <c r="Y818" s="597"/>
      <c r="Z818" s="597"/>
    </row>
    <row r="819" spans="1:26" ht="19.5" hidden="1" thickBot="1">
      <c r="A819" s="805"/>
      <c r="B819" s="806"/>
      <c r="C819" s="808"/>
      <c r="D819" s="806"/>
      <c r="E819" s="808" t="s">
        <v>323</v>
      </c>
      <c r="F819" s="808"/>
      <c r="G819" s="809"/>
      <c r="H819" s="810" t="s">
        <v>46</v>
      </c>
      <c r="I819" s="811"/>
      <c r="J819" s="811"/>
      <c r="K819" s="812"/>
      <c r="L819" s="812"/>
      <c r="M819" s="812"/>
      <c r="N819" s="812"/>
      <c r="O819" s="812"/>
      <c r="P819" s="812"/>
      <c r="Q819" s="597"/>
      <c r="R819" s="597"/>
      <c r="S819" s="597"/>
      <c r="T819" s="597"/>
      <c r="U819" s="597"/>
      <c r="V819" s="597"/>
      <c r="W819" s="597"/>
      <c r="X819" s="597"/>
      <c r="Y819" s="597"/>
      <c r="Z819" s="597"/>
    </row>
    <row r="820" spans="1:26" ht="19.5">
      <c r="A820" s="813" t="s">
        <v>331</v>
      </c>
      <c r="B820" s="814"/>
      <c r="C820" s="814"/>
      <c r="D820" s="815"/>
      <c r="E820" s="814"/>
      <c r="F820" s="814"/>
      <c r="G820" s="816"/>
      <c r="H820" s="816"/>
      <c r="I820" s="214"/>
      <c r="J820" s="214"/>
      <c r="K820" s="817"/>
      <c r="L820" s="817"/>
      <c r="M820" s="817"/>
      <c r="N820" s="817"/>
      <c r="O820" s="817"/>
      <c r="P820" s="817"/>
      <c r="Q820" s="571"/>
      <c r="R820" s="571"/>
      <c r="S820" s="571"/>
      <c r="T820" s="571"/>
      <c r="U820" s="571"/>
      <c r="V820" s="571"/>
      <c r="W820" s="571"/>
      <c r="X820" s="571"/>
      <c r="Y820" s="571"/>
      <c r="Z820" s="571"/>
    </row>
    <row r="821" spans="1:26" ht="18.75">
      <c r="A821" s="735"/>
      <c r="B821" s="754" t="s">
        <v>325</v>
      </c>
      <c r="C821" s="754"/>
      <c r="D821" s="568"/>
      <c r="E821" s="754"/>
      <c r="F821" s="754"/>
      <c r="G821" s="189"/>
      <c r="H821" s="616" t="s">
        <v>12</v>
      </c>
      <c r="I821" s="269">
        <f ca="1">IFERROR(__xludf.DUMMYFUNCTION("IMPORTRANGE(""https://docs.google.com/spreadsheets/d/19vJNZY_5yjcGF2XGBMNZRCAIB0Kwfpjp8YEOfu-bneM/edit?usp=sharing"",""งานกองทุน!D71"")"),580000)</f>
        <v>580000</v>
      </c>
      <c r="J821" s="269">
        <f ca="1">IFERROR(__xludf.DUMMYFUNCTION("IMPORTRANGE(""https://docs.google.com/spreadsheets/d/19vJNZY_5yjcGF2XGBMNZRCAIB0Kwfpjp8YEOfu-bneM/edit?usp=sharing"",""งานกองทุน!F71"")"),0)</f>
        <v>0</v>
      </c>
      <c r="K821" s="496">
        <f t="shared" ref="K821:K828" ca="1" si="334">IF(I821&gt;0,J821*100/I821,0)</f>
        <v>0</v>
      </c>
      <c r="L821" s="496"/>
      <c r="M821" s="496"/>
      <c r="N821" s="496"/>
      <c r="O821" s="496"/>
      <c r="P821" s="496"/>
      <c r="Q821" s="571"/>
      <c r="R821" s="571"/>
      <c r="S821" s="571"/>
      <c r="T821" s="571"/>
      <c r="U821" s="571"/>
      <c r="V821" s="571"/>
      <c r="W821" s="571"/>
      <c r="X821" s="571"/>
      <c r="Y821" s="571"/>
      <c r="Z821" s="571"/>
    </row>
    <row r="822" spans="1:26" ht="18.75">
      <c r="A822" s="735"/>
      <c r="B822" s="754"/>
      <c r="C822" s="754"/>
      <c r="D822" s="568"/>
      <c r="E822" s="754"/>
      <c r="F822" s="754"/>
      <c r="G822" s="189"/>
      <c r="H822" s="616" t="s">
        <v>35</v>
      </c>
      <c r="I822" s="269">
        <f ca="1">IFERROR(__xludf.DUMMYFUNCTION("IMPORTRANGE(""https://docs.google.com/spreadsheets/d/19vJNZY_5yjcGF2XGBMNZRCAIB0Kwfpjp8YEOfu-bneM/edit?usp=sharing"",""งานกองทุน!C71"")"),20)</f>
        <v>20</v>
      </c>
      <c r="J822" s="269">
        <f ca="1">IFERROR(__xludf.DUMMYFUNCTION("IMPORTRANGE(""https://docs.google.com/spreadsheets/d/19vJNZY_5yjcGF2XGBMNZRCAIB0Kwfpjp8YEOfu-bneM/edit?usp=sharing"",""งานกองทุน!E71"")"),0)</f>
        <v>0</v>
      </c>
      <c r="K822" s="496">
        <f t="shared" ca="1" si="334"/>
        <v>0</v>
      </c>
      <c r="L822" s="496"/>
      <c r="M822" s="496"/>
      <c r="N822" s="496"/>
      <c r="O822" s="496"/>
      <c r="P822" s="496"/>
      <c r="Q822" s="571"/>
      <c r="R822" s="571"/>
      <c r="S822" s="571"/>
      <c r="T822" s="571"/>
      <c r="U822" s="571"/>
      <c r="V822" s="571"/>
      <c r="W822" s="571"/>
      <c r="X822" s="571"/>
      <c r="Y822" s="571"/>
      <c r="Z822" s="571"/>
    </row>
    <row r="823" spans="1:26" ht="18.75">
      <c r="A823" s="735"/>
      <c r="B823" s="754" t="s">
        <v>326</v>
      </c>
      <c r="C823" s="754"/>
      <c r="D823" s="568"/>
      <c r="E823" s="754"/>
      <c r="F823" s="754"/>
      <c r="G823" s="189"/>
      <c r="H823" s="616" t="s">
        <v>12</v>
      </c>
      <c r="I823" s="269">
        <f ca="1">IFERROR(__xludf.DUMMYFUNCTION("IMPORTRANGE(""https://docs.google.com/spreadsheets/d/19vJNZY_5yjcGF2XGBMNZRCAIB0Kwfpjp8YEOfu-bneM/edit?usp=sharing"",""งานกองทุน!I71"")"),0)</f>
        <v>0</v>
      </c>
      <c r="J823" s="269">
        <f ca="1">IFERROR(__xludf.DUMMYFUNCTION("IMPORTRANGE(""https://docs.google.com/spreadsheets/d/19vJNZY_5yjcGF2XGBMNZRCAIB0Kwfpjp8YEOfu-bneM/edit?usp=sharing"",""งานกองทุน!K71"")"),0)</f>
        <v>0</v>
      </c>
      <c r="K823" s="496">
        <f t="shared" ca="1" si="334"/>
        <v>0</v>
      </c>
      <c r="L823" s="496"/>
      <c r="M823" s="496"/>
      <c r="N823" s="496"/>
      <c r="O823" s="496"/>
      <c r="P823" s="496"/>
      <c r="Q823" s="571"/>
      <c r="R823" s="571"/>
      <c r="S823" s="571"/>
      <c r="T823" s="571"/>
      <c r="U823" s="571"/>
      <c r="V823" s="571"/>
      <c r="W823" s="571"/>
      <c r="X823" s="571"/>
      <c r="Y823" s="571"/>
      <c r="Z823" s="571"/>
    </row>
    <row r="824" spans="1:26" ht="18.75">
      <c r="A824" s="735"/>
      <c r="B824" s="754"/>
      <c r="C824" s="754"/>
      <c r="D824" s="568"/>
      <c r="E824" s="754"/>
      <c r="F824" s="754"/>
      <c r="G824" s="189"/>
      <c r="H824" s="616" t="s">
        <v>35</v>
      </c>
      <c r="I824" s="269">
        <f ca="1">IFERROR(__xludf.DUMMYFUNCTION("IMPORTRANGE(""https://docs.google.com/spreadsheets/d/19vJNZY_5yjcGF2XGBMNZRCAIB0Kwfpjp8YEOfu-bneM/edit?usp=sharing"",""งานกองทุน!H71"")"),0)</f>
        <v>0</v>
      </c>
      <c r="J824" s="269">
        <f ca="1">IFERROR(__xludf.DUMMYFUNCTION("IMPORTRANGE(""https://docs.google.com/spreadsheets/d/19vJNZY_5yjcGF2XGBMNZRCAIB0Kwfpjp8YEOfu-bneM/edit?usp=sharing"",""งานกองทุน!J71"")"),0)</f>
        <v>0</v>
      </c>
      <c r="K824" s="496">
        <f t="shared" ca="1" si="334"/>
        <v>0</v>
      </c>
      <c r="L824" s="496"/>
      <c r="M824" s="496"/>
      <c r="N824" s="496"/>
      <c r="O824" s="496"/>
      <c r="P824" s="496"/>
      <c r="Q824" s="571"/>
      <c r="R824" s="571"/>
      <c r="S824" s="571"/>
      <c r="T824" s="571"/>
      <c r="U824" s="571"/>
      <c r="V824" s="571"/>
      <c r="W824" s="571"/>
      <c r="X824" s="571"/>
      <c r="Y824" s="571"/>
      <c r="Z824" s="571"/>
    </row>
    <row r="825" spans="1:26" ht="18.75">
      <c r="A825" s="735"/>
      <c r="B825" s="754" t="s">
        <v>327</v>
      </c>
      <c r="C825" s="754"/>
      <c r="D825" s="568"/>
      <c r="E825" s="754"/>
      <c r="F825" s="754"/>
      <c r="G825" s="189"/>
      <c r="H825" s="616" t="s">
        <v>12</v>
      </c>
      <c r="I825" s="269">
        <f ca="1">IFERROR(__xludf.DUMMYFUNCTION("IMPORTRANGE(""https://docs.google.com/spreadsheets/d/19vJNZY_5yjcGF2XGBMNZRCAIB0Kwfpjp8YEOfu-bneM/edit?usp=sharing"",""งานกองทุน!N71"")"),38110.36)</f>
        <v>38110.36</v>
      </c>
      <c r="J825" s="269">
        <f ca="1">IFERROR(__xludf.DUMMYFUNCTION("IMPORTRANGE(""https://docs.google.com/spreadsheets/d/19vJNZY_5yjcGF2XGBMNZRCAIB0Kwfpjp8YEOfu-bneM/edit?usp=sharing"",""งานกองทุน!P71"")"),900)</f>
        <v>900</v>
      </c>
      <c r="K825" s="496">
        <f t="shared" ca="1" si="334"/>
        <v>2.3615625777347682</v>
      </c>
      <c r="L825" s="496"/>
      <c r="M825" s="496"/>
      <c r="N825" s="496"/>
      <c r="O825" s="496"/>
      <c r="P825" s="496"/>
      <c r="Q825" s="571"/>
      <c r="R825" s="571"/>
      <c r="S825" s="571"/>
      <c r="T825" s="571"/>
      <c r="U825" s="571"/>
      <c r="V825" s="571"/>
      <c r="W825" s="571"/>
      <c r="X825" s="571"/>
      <c r="Y825" s="571"/>
      <c r="Z825" s="571"/>
    </row>
    <row r="826" spans="1:26" ht="18.75">
      <c r="A826" s="735"/>
      <c r="B826" s="754"/>
      <c r="C826" s="754"/>
      <c r="D826" s="568"/>
      <c r="E826" s="754"/>
      <c r="F826" s="754"/>
      <c r="G826" s="189"/>
      <c r="H826" s="616" t="s">
        <v>35</v>
      </c>
      <c r="I826" s="269">
        <f ca="1">IFERROR(__xludf.DUMMYFUNCTION("IMPORTRANGE(""https://docs.google.com/spreadsheets/d/19vJNZY_5yjcGF2XGBMNZRCAIB0Kwfpjp8YEOfu-bneM/edit?usp=sharing"",""งานกองทุน!M71"")"),8)</f>
        <v>8</v>
      </c>
      <c r="J826" s="269">
        <f ca="1">IFERROR(__xludf.DUMMYFUNCTION("IMPORTRANGE(""https://docs.google.com/spreadsheets/d/19vJNZY_5yjcGF2XGBMNZRCAIB0Kwfpjp8YEOfu-bneM/edit?usp=sharing"",""งานกองทุน!O71"")"),1)</f>
        <v>1</v>
      </c>
      <c r="K826" s="496">
        <f t="shared" ca="1" si="334"/>
        <v>12.5</v>
      </c>
      <c r="L826" s="496"/>
      <c r="M826" s="496"/>
      <c r="N826" s="496"/>
      <c r="O826" s="496"/>
      <c r="P826" s="496"/>
      <c r="Q826" s="571"/>
      <c r="R826" s="571"/>
      <c r="S826" s="571"/>
      <c r="T826" s="571"/>
      <c r="U826" s="571"/>
      <c r="V826" s="571"/>
      <c r="W826" s="571"/>
      <c r="X826" s="571"/>
      <c r="Y826" s="571"/>
      <c r="Z826" s="571"/>
    </row>
    <row r="827" spans="1:26" ht="18.75">
      <c r="A827" s="735"/>
      <c r="B827" s="754" t="s">
        <v>328</v>
      </c>
      <c r="C827" s="754"/>
      <c r="D827" s="568"/>
      <c r="E827" s="754"/>
      <c r="F827" s="754"/>
      <c r="G827" s="189"/>
      <c r="H827" s="616" t="s">
        <v>12</v>
      </c>
      <c r="I827" s="269">
        <f ca="1">IFERROR(__xludf.DUMMYFUNCTION("IMPORTRANGE(""https://docs.google.com/spreadsheets/d/19vJNZY_5yjcGF2XGBMNZRCAIB0Kwfpjp8YEOfu-bneM/edit?usp=sharing"",""งานกองทุน!S71"")"),560000)</f>
        <v>560000</v>
      </c>
      <c r="J827" s="269">
        <f ca="1">IFERROR(__xludf.DUMMYFUNCTION("IMPORTRANGE(""https://docs.google.com/spreadsheets/d/19vJNZY_5yjcGF2XGBMNZRCAIB0Kwfpjp8YEOfu-bneM/edit?usp=sharing"",""งานกองทุน!U71"")"),0)</f>
        <v>0</v>
      </c>
      <c r="K827" s="496">
        <f t="shared" ca="1" si="334"/>
        <v>0</v>
      </c>
      <c r="L827" s="496"/>
      <c r="M827" s="496"/>
      <c r="N827" s="496"/>
      <c r="O827" s="496"/>
      <c r="P827" s="496"/>
      <c r="Q827" s="571"/>
      <c r="R827" s="571"/>
      <c r="S827" s="571"/>
      <c r="T827" s="571"/>
      <c r="U827" s="571"/>
      <c r="V827" s="571"/>
      <c r="W827" s="571"/>
      <c r="X827" s="571"/>
      <c r="Y827" s="571"/>
      <c r="Z827" s="571"/>
    </row>
    <row r="828" spans="1:26" ht="18.75">
      <c r="A828" s="738"/>
      <c r="B828" s="740"/>
      <c r="C828" s="740"/>
      <c r="D828" s="739"/>
      <c r="E828" s="740"/>
      <c r="F828" s="740"/>
      <c r="G828" s="818"/>
      <c r="H828" s="819" t="s">
        <v>35</v>
      </c>
      <c r="I828" s="499">
        <f ca="1">IFERROR(__xludf.DUMMYFUNCTION("IMPORTRANGE(""https://docs.google.com/spreadsheets/d/19vJNZY_5yjcGF2XGBMNZRCAIB0Kwfpjp8YEOfu-bneM/edit?usp=sharing"",""งานกองทุน!R71"")"),19)</f>
        <v>19</v>
      </c>
      <c r="J828" s="499">
        <f ca="1">IFERROR(__xludf.DUMMYFUNCTION("IMPORTRANGE(""https://docs.google.com/spreadsheets/d/19vJNZY_5yjcGF2XGBMNZRCAIB0Kwfpjp8YEOfu-bneM/edit?usp=sharing"",""งานกองทุน!T71"")"),0)</f>
        <v>0</v>
      </c>
      <c r="K828" s="500">
        <f t="shared" ca="1" si="334"/>
        <v>0</v>
      </c>
      <c r="L828" s="500"/>
      <c r="M828" s="500"/>
      <c r="N828" s="500"/>
      <c r="O828" s="500"/>
      <c r="P828" s="500"/>
      <c r="Q828" s="571"/>
      <c r="R828" s="571"/>
      <c r="S828" s="571"/>
      <c r="T828" s="571"/>
      <c r="U828" s="571"/>
      <c r="V828" s="571"/>
      <c r="W828" s="571"/>
      <c r="X828" s="571"/>
      <c r="Y828" s="571"/>
      <c r="Z828" s="571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544:F544"/>
    <mergeCell ref="A7:G7"/>
    <mergeCell ref="A17:G17"/>
    <mergeCell ref="A27:G27"/>
    <mergeCell ref="B40:G40"/>
    <mergeCell ref="A50:G50"/>
    <mergeCell ref="B51:G51"/>
    <mergeCell ref="D419:F419"/>
    <mergeCell ref="D444:F444"/>
    <mergeCell ref="D467:F467"/>
    <mergeCell ref="D502:F502"/>
    <mergeCell ref="D523:F523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 gridLines="1"/>
  <pageMargins left="0.23622047244094491" right="0.23622047244094491" top="0.74803149606299213" bottom="0.74803149606299213" header="0" footer="0"/>
  <pageSetup paperSize="9" scale="44" fitToHeight="0" pageOrder="overThenDown" orientation="portrait" cellComments="atEnd" r:id="rId1"/>
  <headerFooter>
    <oddFooter>&amp;Cหน้า &amp;P/&amp;N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411044-3781-458F-B927-0FC26B971589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activeCell="A2" sqref="A2:P2"/>
      <selection pane="bottomLeft" activeCell="A2" sqref="A2:P2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9" width="18.7109375" bestFit="1" customWidth="1"/>
    <col min="10" max="10" width="16.85546875" bestFit="1" customWidth="1"/>
    <col min="11" max="11" width="12.5703125" customWidth="1"/>
    <col min="12" max="14" width="21.28515625" bestFit="1" customWidth="1"/>
    <col min="15" max="16" width="17.5703125" customWidth="1"/>
  </cols>
  <sheetData>
    <row r="1" spans="1:26" ht="19.5">
      <c r="A1" s="844" t="s">
        <v>0</v>
      </c>
      <c r="B1" s="845"/>
      <c r="C1" s="845"/>
      <c r="D1" s="845"/>
      <c r="E1" s="845"/>
      <c r="F1" s="845"/>
      <c r="G1" s="845"/>
      <c r="H1" s="845"/>
      <c r="I1" s="845"/>
      <c r="J1" s="845"/>
      <c r="K1" s="845"/>
      <c r="L1" s="845"/>
      <c r="M1" s="845"/>
      <c r="N1" s="845"/>
      <c r="O1" s="845"/>
      <c r="P1" s="845"/>
    </row>
    <row r="2" spans="1:26" ht="19.5">
      <c r="A2" s="844" t="s">
        <v>358</v>
      </c>
      <c r="B2" s="845"/>
      <c r="C2" s="845"/>
      <c r="D2" s="845"/>
      <c r="E2" s="845"/>
      <c r="F2" s="845"/>
      <c r="G2" s="845"/>
      <c r="H2" s="845"/>
      <c r="I2" s="845"/>
      <c r="J2" s="845"/>
      <c r="K2" s="845"/>
      <c r="L2" s="845"/>
      <c r="M2" s="845"/>
      <c r="N2" s="845"/>
      <c r="O2" s="845"/>
      <c r="P2" s="845"/>
    </row>
    <row r="3" spans="1:26" ht="19.5">
      <c r="A3" s="844" t="s">
        <v>347</v>
      </c>
      <c r="B3" s="845"/>
      <c r="C3" s="845"/>
      <c r="D3" s="845"/>
      <c r="E3" s="845"/>
      <c r="F3" s="845"/>
      <c r="G3" s="845"/>
      <c r="H3" s="845"/>
      <c r="I3" s="845"/>
      <c r="J3" s="845"/>
      <c r="K3" s="845"/>
      <c r="L3" s="845"/>
      <c r="M3" s="845"/>
      <c r="N3" s="845"/>
      <c r="O3" s="845"/>
      <c r="P3" s="845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52" t="s">
        <v>2</v>
      </c>
      <c r="B5" s="845"/>
      <c r="C5" s="845"/>
      <c r="D5" s="845"/>
      <c r="E5" s="845"/>
      <c r="F5" s="845"/>
      <c r="G5" s="853"/>
      <c r="H5" s="846" t="s">
        <v>3</v>
      </c>
      <c r="I5" s="848" t="s">
        <v>4</v>
      </c>
      <c r="J5" s="849"/>
      <c r="K5" s="847"/>
      <c r="L5" s="850" t="s">
        <v>5</v>
      </c>
      <c r="M5" s="847"/>
      <c r="N5" s="851" t="s">
        <v>6</v>
      </c>
      <c r="O5" s="849"/>
      <c r="P5" s="847"/>
    </row>
    <row r="6" spans="1:26" ht="19.5">
      <c r="A6" s="854"/>
      <c r="B6" s="849"/>
      <c r="C6" s="849"/>
      <c r="D6" s="849"/>
      <c r="E6" s="849"/>
      <c r="F6" s="849"/>
      <c r="G6" s="847"/>
      <c r="H6" s="847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55" t="s">
        <v>15</v>
      </c>
      <c r="B7" s="849"/>
      <c r="C7" s="849"/>
      <c r="D7" s="849"/>
      <c r="E7" s="849"/>
      <c r="F7" s="849"/>
      <c r="G7" s="847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6152998</v>
      </c>
      <c r="M8" s="22">
        <f t="shared" ca="1" si="0"/>
        <v>2362610</v>
      </c>
      <c r="N8" s="22">
        <f t="shared" ca="1" si="0"/>
        <v>1536896.04</v>
      </c>
      <c r="O8" s="22">
        <f t="shared" ref="O8:O16" ca="1" si="1">IF(L8&gt;0,N8*100/L8,0)</f>
        <v>24.978003243297007</v>
      </c>
      <c r="P8" s="22">
        <f t="shared" ref="P8:P16" ca="1" si="2">IF(M8&gt;0,N8*100/M8,0)</f>
        <v>65.050771815915454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6152998</v>
      </c>
      <c r="M10" s="30">
        <f t="shared" ca="1" si="3"/>
        <v>2362610</v>
      </c>
      <c r="N10" s="30">
        <f t="shared" ca="1" si="3"/>
        <v>1536896.04</v>
      </c>
      <c r="O10" s="30">
        <f t="shared" ca="1" si="1"/>
        <v>24.978003243297007</v>
      </c>
      <c r="P10" s="30">
        <f t="shared" ca="1" si="2"/>
        <v>65.050771815915454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16" t="s">
        <v>12</v>
      </c>
      <c r="I11" s="269"/>
      <c r="J11" s="269"/>
      <c r="K11" s="496"/>
      <c r="L11" s="496">
        <f t="shared" ref="L11:N11" ca="1" si="4">L12+L13</f>
        <v>5868898</v>
      </c>
      <c r="M11" s="496">
        <f t="shared" ca="1" si="4"/>
        <v>2091110</v>
      </c>
      <c r="N11" s="496">
        <f t="shared" ca="1" si="4"/>
        <v>1265396.04</v>
      </c>
      <c r="O11" s="496">
        <f t="shared" ca="1" si="1"/>
        <v>21.561050132409868</v>
      </c>
      <c r="P11" s="496">
        <f t="shared" ca="1" si="2"/>
        <v>60.513126521321212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2" t="s">
        <v>18</v>
      </c>
      <c r="F12" s="40"/>
      <c r="G12" s="42"/>
      <c r="H12" s="43" t="s">
        <v>12</v>
      </c>
      <c r="I12" s="610"/>
      <c r="J12" s="610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2" t="s">
        <v>19</v>
      </c>
      <c r="F13" s="40"/>
      <c r="G13" s="42"/>
      <c r="H13" s="43" t="s">
        <v>12</v>
      </c>
      <c r="I13" s="610"/>
      <c r="J13" s="610"/>
      <c r="K13" s="93"/>
      <c r="L13" s="93">
        <f t="shared" ca="1" si="5"/>
        <v>5868898</v>
      </c>
      <c r="M13" s="93">
        <f t="shared" ca="1" si="5"/>
        <v>2091110</v>
      </c>
      <c r="N13" s="93">
        <f t="shared" ca="1" si="5"/>
        <v>1265396.04</v>
      </c>
      <c r="O13" s="93">
        <f t="shared" ca="1" si="1"/>
        <v>21.561050132409868</v>
      </c>
      <c r="P13" s="93">
        <f t="shared" ca="1" si="2"/>
        <v>60.513126521321212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16" t="s">
        <v>12</v>
      </c>
      <c r="I14" s="269"/>
      <c r="J14" s="269"/>
      <c r="K14" s="496"/>
      <c r="L14" s="496">
        <f t="shared" ref="L14:N14" ca="1" si="6">L15+L16</f>
        <v>284100</v>
      </c>
      <c r="M14" s="496">
        <f t="shared" ca="1" si="6"/>
        <v>271500</v>
      </c>
      <c r="N14" s="496">
        <f t="shared" ca="1" si="6"/>
        <v>271500</v>
      </c>
      <c r="O14" s="496">
        <f t="shared" ca="1" si="1"/>
        <v>95.564941921858505</v>
      </c>
      <c r="P14" s="496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2" t="s">
        <v>18</v>
      </c>
      <c r="F15" s="40"/>
      <c r="G15" s="42"/>
      <c r="H15" s="43" t="s">
        <v>12</v>
      </c>
      <c r="I15" s="610"/>
      <c r="J15" s="610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284100</v>
      </c>
      <c r="M16" s="52">
        <f t="shared" ca="1" si="7"/>
        <v>271500</v>
      </c>
      <c r="N16" s="52">
        <f t="shared" ca="1" si="7"/>
        <v>271500</v>
      </c>
      <c r="O16" s="52">
        <f t="shared" ca="1" si="1"/>
        <v>95.564941921858505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55" t="s">
        <v>22</v>
      </c>
      <c r="B17" s="849"/>
      <c r="C17" s="849"/>
      <c r="D17" s="849"/>
      <c r="E17" s="849"/>
      <c r="F17" s="849"/>
      <c r="G17" s="847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4523650</v>
      </c>
      <c r="M18" s="22">
        <f t="shared" ca="1" si="8"/>
        <v>2362610</v>
      </c>
      <c r="N18" s="22">
        <f t="shared" ca="1" si="8"/>
        <v>1278695.04</v>
      </c>
      <c r="O18" s="22">
        <f t="shared" ref="O18:O26" ca="1" si="9">IF(L18&gt;0,N18*100/L18,0)</f>
        <v>28.266887137599063</v>
      </c>
      <c r="P18" s="22">
        <f t="shared" ref="P18:P26" ca="1" si="10">IF(M18&gt;0,N18*100/M18,0)</f>
        <v>54.122137805223886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4523650</v>
      </c>
      <c r="M20" s="30">
        <f t="shared" ca="1" si="11"/>
        <v>2362610</v>
      </c>
      <c r="N20" s="30">
        <f t="shared" ca="1" si="11"/>
        <v>1278695.04</v>
      </c>
      <c r="O20" s="30">
        <f t="shared" ca="1" si="9"/>
        <v>28.266887137599063</v>
      </c>
      <c r="P20" s="30">
        <f t="shared" ca="1" si="10"/>
        <v>54.122137805223886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16" t="s">
        <v>12</v>
      </c>
      <c r="I21" s="269"/>
      <c r="J21" s="269"/>
      <c r="K21" s="496"/>
      <c r="L21" s="496">
        <f t="shared" ref="L21:N21" ca="1" si="12">L22+L23</f>
        <v>4239550</v>
      </c>
      <c r="M21" s="496">
        <f t="shared" ca="1" si="12"/>
        <v>2091110</v>
      </c>
      <c r="N21" s="496">
        <f t="shared" ca="1" si="12"/>
        <v>1007195.04</v>
      </c>
      <c r="O21" s="496">
        <f t="shared" ca="1" si="9"/>
        <v>23.757121392600631</v>
      </c>
      <c r="P21" s="496">
        <f t="shared" ca="1" si="10"/>
        <v>48.165569482236705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2" t="s">
        <v>18</v>
      </c>
      <c r="F22" s="40"/>
      <c r="G22" s="42"/>
      <c r="H22" s="43" t="s">
        <v>12</v>
      </c>
      <c r="I22" s="610"/>
      <c r="J22" s="610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2" t="s">
        <v>19</v>
      </c>
      <c r="F23" s="40"/>
      <c r="G23" s="42"/>
      <c r="H23" s="43" t="s">
        <v>12</v>
      </c>
      <c r="I23" s="610"/>
      <c r="J23" s="610"/>
      <c r="K23" s="93"/>
      <c r="L23" s="93">
        <f t="shared" ca="1" si="13"/>
        <v>4239550</v>
      </c>
      <c r="M23" s="93">
        <f t="shared" ca="1" si="13"/>
        <v>2091110</v>
      </c>
      <c r="N23" s="93">
        <f t="shared" ca="1" si="13"/>
        <v>1007195.04</v>
      </c>
      <c r="O23" s="93">
        <f t="shared" ca="1" si="9"/>
        <v>23.757121392600631</v>
      </c>
      <c r="P23" s="93">
        <f t="shared" ca="1" si="10"/>
        <v>48.165569482236705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16" t="s">
        <v>12</v>
      </c>
      <c r="I24" s="269"/>
      <c r="J24" s="269"/>
      <c r="K24" s="496"/>
      <c r="L24" s="496">
        <f t="shared" ref="L24:N24" ca="1" si="14">L25+L26</f>
        <v>284100</v>
      </c>
      <c r="M24" s="496">
        <f t="shared" ca="1" si="14"/>
        <v>271500</v>
      </c>
      <c r="N24" s="496">
        <f t="shared" ca="1" si="14"/>
        <v>271500</v>
      </c>
      <c r="O24" s="496">
        <f t="shared" ca="1" si="9"/>
        <v>95.564941921858505</v>
      </c>
      <c r="P24" s="496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2" t="s">
        <v>18</v>
      </c>
      <c r="F25" s="40"/>
      <c r="G25" s="42"/>
      <c r="H25" s="43" t="s">
        <v>12</v>
      </c>
      <c r="I25" s="610"/>
      <c r="J25" s="610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284100</v>
      </c>
      <c r="M26" s="52">
        <f t="shared" ca="1" si="15"/>
        <v>271500</v>
      </c>
      <c r="N26" s="52">
        <f t="shared" ca="1" si="15"/>
        <v>271500</v>
      </c>
      <c r="O26" s="52">
        <f t="shared" ca="1" si="9"/>
        <v>95.564941921858505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55" t="s">
        <v>23</v>
      </c>
      <c r="B27" s="849"/>
      <c r="C27" s="849"/>
      <c r="D27" s="849"/>
      <c r="E27" s="849"/>
      <c r="F27" s="849"/>
      <c r="G27" s="847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1629348</v>
      </c>
      <c r="M28" s="22">
        <f t="shared" si="16"/>
        <v>0</v>
      </c>
      <c r="N28" s="22">
        <f t="shared" si="16"/>
        <v>258201</v>
      </c>
      <c r="O28" s="22">
        <f t="shared" ref="O28:O37" ca="1" si="17">IF(L28&gt;0,N28*100/L28,0)</f>
        <v>15.846890903600704</v>
      </c>
      <c r="P28" s="22">
        <f t="shared" ref="P28:P37" si="18">IF(M28&gt;0,N28*100/M28,0)</f>
        <v>0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1629348</v>
      </c>
      <c r="M30" s="30">
        <f t="shared" si="19"/>
        <v>0</v>
      </c>
      <c r="N30" s="30">
        <f t="shared" si="19"/>
        <v>258201</v>
      </c>
      <c r="O30" s="30">
        <f t="shared" ca="1" si="17"/>
        <v>15.846890903600704</v>
      </c>
      <c r="P30" s="30">
        <f t="shared" si="18"/>
        <v>0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16" t="s">
        <v>12</v>
      </c>
      <c r="I31" s="269"/>
      <c r="J31" s="269"/>
      <c r="K31" s="496"/>
      <c r="L31" s="496">
        <f t="shared" ref="L31:N31" ca="1" si="20">L32+L33</f>
        <v>1629348</v>
      </c>
      <c r="M31" s="496">
        <f t="shared" si="20"/>
        <v>0</v>
      </c>
      <c r="N31" s="496">
        <f t="shared" si="20"/>
        <v>258201</v>
      </c>
      <c r="O31" s="496">
        <f t="shared" ca="1" si="17"/>
        <v>15.846890903600704</v>
      </c>
      <c r="P31" s="496">
        <f t="shared" si="18"/>
        <v>0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2" t="s">
        <v>18</v>
      </c>
      <c r="F32" s="40"/>
      <c r="G32" s="42"/>
      <c r="H32" s="43" t="s">
        <v>12</v>
      </c>
      <c r="I32" s="610"/>
      <c r="J32" s="610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2" t="s">
        <v>19</v>
      </c>
      <c r="F33" s="40"/>
      <c r="G33" s="42"/>
      <c r="H33" s="43" t="s">
        <v>12</v>
      </c>
      <c r="I33" s="610"/>
      <c r="J33" s="610"/>
      <c r="K33" s="93"/>
      <c r="L33" s="93">
        <f t="shared" ca="1" si="21"/>
        <v>1629348</v>
      </c>
      <c r="M33" s="93">
        <f t="shared" si="21"/>
        <v>0</v>
      </c>
      <c r="N33" s="93">
        <f t="shared" si="21"/>
        <v>258201</v>
      </c>
      <c r="O33" s="93">
        <f t="shared" ca="1" si="17"/>
        <v>15.846890903600704</v>
      </c>
      <c r="P33" s="93">
        <f t="shared" si="18"/>
        <v>0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16" t="s">
        <v>12</v>
      </c>
      <c r="I34" s="269"/>
      <c r="J34" s="269"/>
      <c r="K34" s="496"/>
      <c r="L34" s="496">
        <f t="shared" ref="L34:N34" ca="1" si="22">L35+L36</f>
        <v>0</v>
      </c>
      <c r="M34" s="496">
        <f t="shared" si="22"/>
        <v>0</v>
      </c>
      <c r="N34" s="496">
        <f t="shared" si="22"/>
        <v>0</v>
      </c>
      <c r="O34" s="496">
        <f t="shared" ca="1" si="17"/>
        <v>0</v>
      </c>
      <c r="P34" s="496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2" t="s">
        <v>18</v>
      </c>
      <c r="F35" s="40"/>
      <c r="G35" s="42"/>
      <c r="H35" s="43" t="s">
        <v>12</v>
      </c>
      <c r="I35" s="610"/>
      <c r="J35" s="610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53" t="s">
        <v>24</v>
      </c>
      <c r="B37" s="54"/>
      <c r="C37" s="54"/>
      <c r="D37" s="54"/>
      <c r="E37" s="54"/>
      <c r="F37" s="54"/>
      <c r="G37" s="55"/>
      <c r="H37" s="56"/>
      <c r="I37" s="423"/>
      <c r="J37" s="423"/>
      <c r="K37" s="58"/>
      <c r="L37" s="59">
        <f t="shared" ref="L37:N37" ca="1" si="24">L41+L53+L66+L88+L119+L132+L149+L165+L181+L261+L277+L298+L315+L328+L345+L389+L402</f>
        <v>4523650</v>
      </c>
      <c r="M37" s="59">
        <f t="shared" ca="1" si="24"/>
        <v>2362610</v>
      </c>
      <c r="N37" s="59">
        <f t="shared" ca="1" si="24"/>
        <v>1278695.04</v>
      </c>
      <c r="O37" s="59">
        <f t="shared" ca="1" si="17"/>
        <v>28.266887137599063</v>
      </c>
      <c r="P37" s="59">
        <f t="shared" ca="1" si="18"/>
        <v>54.122137805223886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56" t="s">
        <v>27</v>
      </c>
      <c r="C40" s="857"/>
      <c r="D40" s="857"/>
      <c r="E40" s="857"/>
      <c r="F40" s="857"/>
      <c r="G40" s="858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20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801350</v>
      </c>
      <c r="M41" s="85">
        <f t="shared" ca="1" si="25"/>
        <v>403600</v>
      </c>
      <c r="N41" s="85">
        <f t="shared" ca="1" si="25"/>
        <v>248350</v>
      </c>
      <c r="O41" s="85">
        <f t="shared" ref="O41:O49" ca="1" si="26">IF(L41&gt;0,N41*100/L41,0)</f>
        <v>30.99145192487677</v>
      </c>
      <c r="P41" s="85">
        <f t="shared" ref="P41:P49" ca="1" si="27">IF(M41&gt;0,N41*100/M41,0)</f>
        <v>61.533696729435086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801350</v>
      </c>
      <c r="M43" s="92">
        <f t="shared" ca="1" si="28"/>
        <v>403600</v>
      </c>
      <c r="N43" s="92">
        <f t="shared" ca="1" si="28"/>
        <v>248350</v>
      </c>
      <c r="O43" s="92">
        <f t="shared" ca="1" si="26"/>
        <v>30.99145192487677</v>
      </c>
      <c r="P43" s="92">
        <f t="shared" ca="1" si="27"/>
        <v>61.533696729435086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16" t="s">
        <v>12</v>
      </c>
      <c r="I44" s="269"/>
      <c r="J44" s="269"/>
      <c r="K44" s="496"/>
      <c r="L44" s="496">
        <f t="shared" ref="L44:N44" ca="1" si="29">L45+L46</f>
        <v>801350</v>
      </c>
      <c r="M44" s="496">
        <f t="shared" ca="1" si="29"/>
        <v>403600</v>
      </c>
      <c r="N44" s="496">
        <f t="shared" ca="1" si="29"/>
        <v>248350</v>
      </c>
      <c r="O44" s="496">
        <f t="shared" ca="1" si="26"/>
        <v>30.99145192487677</v>
      </c>
      <c r="P44" s="496">
        <f t="shared" ca="1" si="27"/>
        <v>61.533696729435086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2" t="s">
        <v>18</v>
      </c>
      <c r="F45" s="40"/>
      <c r="G45" s="42"/>
      <c r="H45" s="43" t="s">
        <v>12</v>
      </c>
      <c r="I45" s="610"/>
      <c r="J45" s="610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2" t="s">
        <v>19</v>
      </c>
      <c r="F46" s="40"/>
      <c r="G46" s="42"/>
      <c r="H46" s="43" t="s">
        <v>12</v>
      </c>
      <c r="I46" s="610"/>
      <c r="J46" s="610"/>
      <c r="K46" s="93"/>
      <c r="L46" s="93">
        <f ca="1">IFERROR(__xludf.DUMMYFUNCTION("IMPORTRANGE(""https://docs.google.com/spreadsheets/d/1MeEWN-I1oV_STSDYn1IFDPWt_1FKiwhDph83XaGc0o0/edit?usp=sharing"",""งบพรบ!M72"")"),801350)</f>
        <v>801350</v>
      </c>
      <c r="M46" s="93">
        <f ca="1">IFERROR(__xludf.DUMMYFUNCTION("IMPORTRANGE(""https://docs.google.com/spreadsheets/d/1MeEWN-I1oV_STSDYn1IFDPWt_1FKiwhDph83XaGc0o0/edit?usp=sharing"",""งบพรบ!R72"")"),403600)</f>
        <v>403600</v>
      </c>
      <c r="N46" s="93">
        <f ca="1">IFERROR(__xludf.DUMMYFUNCTION("IMPORTRANGE(""https://docs.google.com/spreadsheets/d/1MeEWN-I1oV_STSDYn1IFDPWt_1FKiwhDph83XaGc0o0/edit?usp=sharing"",""งบพรบ!T72"")"),248350)</f>
        <v>248350</v>
      </c>
      <c r="O46" s="93">
        <f t="shared" ca="1" si="26"/>
        <v>30.99145192487677</v>
      </c>
      <c r="P46" s="93">
        <f t="shared" ca="1" si="27"/>
        <v>61.533696729435086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16" t="s">
        <v>12</v>
      </c>
      <c r="I47" s="269"/>
      <c r="J47" s="269"/>
      <c r="K47" s="496"/>
      <c r="L47" s="496">
        <f t="shared" ref="L47:N47" ca="1" si="30">L48+L49</f>
        <v>0</v>
      </c>
      <c r="M47" s="496">
        <f t="shared" ca="1" si="30"/>
        <v>0</v>
      </c>
      <c r="N47" s="496">
        <f t="shared" ca="1" si="30"/>
        <v>0</v>
      </c>
      <c r="O47" s="496">
        <f t="shared" ca="1" si="26"/>
        <v>0</v>
      </c>
      <c r="P47" s="496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2" t="s">
        <v>18</v>
      </c>
      <c r="F48" s="40"/>
      <c r="G48" s="42"/>
      <c r="H48" s="43" t="s">
        <v>12</v>
      </c>
      <c r="I48" s="610"/>
      <c r="J48" s="610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IFERROR(__xludf.DUMMYFUNCTION("IMPORTRANGE(""https://docs.google.com/spreadsheets/d/1MeEWN-I1oV_STSDYn1IFDPWt_1FKiwhDph83XaGc0o0/edit?usp=sharing"",""งบพรบ!P72"")"),0)</f>
        <v>0</v>
      </c>
      <c r="M49" s="52">
        <f ca="1">IFERROR(__xludf.DUMMYFUNCTION("IMPORTRANGE(""https://docs.google.com/spreadsheets/d/1MeEWN-I1oV_STSDYn1IFDPWt_1FKiwhDph83XaGc0o0/edit?usp=sharing"",""งบพรบ!S72"")"),0)</f>
        <v>0</v>
      </c>
      <c r="N49" s="52">
        <f ca="1">IFERROR(__xludf.DUMMYFUNCTION("IMPORTRANGE(""https://docs.google.com/spreadsheets/d/1MeEWN-I1oV_STSDYn1IFDPWt_1FKiwhDph83XaGc0o0/edit?usp=sharing"",""งบพรบ!U72"")"),0)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59" t="s">
        <v>28</v>
      </c>
      <c r="B50" s="849"/>
      <c r="C50" s="849"/>
      <c r="D50" s="849"/>
      <c r="E50" s="849"/>
      <c r="F50" s="849"/>
      <c r="G50" s="847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60" t="s">
        <v>29</v>
      </c>
      <c r="C51" s="857"/>
      <c r="D51" s="857"/>
      <c r="E51" s="857"/>
      <c r="F51" s="857"/>
      <c r="G51" s="858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21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993400</v>
      </c>
      <c r="M53" s="116">
        <f t="shared" ca="1" si="31"/>
        <v>554350</v>
      </c>
      <c r="N53" s="116">
        <f t="shared" ca="1" si="31"/>
        <v>412969.88</v>
      </c>
      <c r="O53" s="116">
        <f t="shared" ref="O53:O61" ca="1" si="32">IF(L53&gt;0,N53*100/L53,0)</f>
        <v>41.571358969196702</v>
      </c>
      <c r="P53" s="116">
        <f t="shared" ref="P53:P61" ca="1" si="33">IF(M53&gt;0,N53*100/M53,0)</f>
        <v>74.496235230450083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993400</v>
      </c>
      <c r="M55" s="123">
        <f t="shared" ca="1" si="34"/>
        <v>554350</v>
      </c>
      <c r="N55" s="123">
        <f t="shared" ca="1" si="34"/>
        <v>412969.88</v>
      </c>
      <c r="O55" s="123">
        <f t="shared" ca="1" si="32"/>
        <v>41.571358969196702</v>
      </c>
      <c r="P55" s="123">
        <f t="shared" ca="1" si="33"/>
        <v>74.496235230450083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16" t="s">
        <v>12</v>
      </c>
      <c r="I56" s="269"/>
      <c r="J56" s="269"/>
      <c r="K56" s="496"/>
      <c r="L56" s="496">
        <f t="shared" ref="L56:N56" ca="1" si="35">L57+L58</f>
        <v>852900</v>
      </c>
      <c r="M56" s="496">
        <f t="shared" ca="1" si="35"/>
        <v>426450</v>
      </c>
      <c r="N56" s="496">
        <f t="shared" ca="1" si="35"/>
        <v>285069.88</v>
      </c>
      <c r="O56" s="496">
        <f t="shared" ca="1" si="32"/>
        <v>33.423599484113026</v>
      </c>
      <c r="P56" s="496">
        <f t="shared" ca="1" si="33"/>
        <v>66.847198968226053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2" t="s">
        <v>18</v>
      </c>
      <c r="F57" s="40"/>
      <c r="G57" s="42"/>
      <c r="H57" s="43" t="s">
        <v>12</v>
      </c>
      <c r="I57" s="610"/>
      <c r="J57" s="610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2" t="s">
        <v>19</v>
      </c>
      <c r="F58" s="40"/>
      <c r="G58" s="42"/>
      <c r="H58" s="43" t="s">
        <v>12</v>
      </c>
      <c r="I58" s="610"/>
      <c r="J58" s="610"/>
      <c r="K58" s="93"/>
      <c r="L58" s="93">
        <f ca="1">IFERROR(__xludf.DUMMYFUNCTION("IMPORTRANGE(""https://docs.google.com/spreadsheets/d/1MeEWN-I1oV_STSDYn1IFDPWt_1FKiwhDph83XaGc0o0/edit?usp=sharing"",""งบพรบ!W72"")"),852900)</f>
        <v>852900</v>
      </c>
      <c r="M58" s="93">
        <f ca="1">IFERROR(__xludf.DUMMYFUNCTION("IMPORTRANGE(""https://docs.google.com/spreadsheets/d/1MeEWN-I1oV_STSDYn1IFDPWt_1FKiwhDph83XaGc0o0/edit?usp=sharing"",""งบพรบ!AB72"")"),426450)</f>
        <v>426450</v>
      </c>
      <c r="N58" s="93">
        <f ca="1">IFERROR(__xludf.DUMMYFUNCTION("IMPORTRANGE(""https://docs.google.com/spreadsheets/d/1MeEWN-I1oV_STSDYn1IFDPWt_1FKiwhDph83XaGc0o0/edit?usp=sharing"",""งบพรบ!AD72"")"),285069.88)</f>
        <v>285069.88</v>
      </c>
      <c r="O58" s="93">
        <f t="shared" ca="1" si="32"/>
        <v>33.423599484113026</v>
      </c>
      <c r="P58" s="93">
        <f t="shared" ca="1" si="33"/>
        <v>66.847198968226053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16" t="s">
        <v>12</v>
      </c>
      <c r="I59" s="269"/>
      <c r="J59" s="269"/>
      <c r="K59" s="496"/>
      <c r="L59" s="496">
        <f t="shared" ref="L59:N59" ca="1" si="36">L60+L61</f>
        <v>140500</v>
      </c>
      <c r="M59" s="496">
        <f t="shared" ca="1" si="36"/>
        <v>127900</v>
      </c>
      <c r="N59" s="496">
        <f t="shared" ca="1" si="36"/>
        <v>127900</v>
      </c>
      <c r="O59" s="496">
        <f t="shared" ca="1" si="32"/>
        <v>91.032028469750884</v>
      </c>
      <c r="P59" s="496">
        <f t="shared" ca="1" si="33"/>
        <v>100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2" t="s">
        <v>18</v>
      </c>
      <c r="F60" s="40"/>
      <c r="G60" s="42"/>
      <c r="H60" s="43" t="s">
        <v>12</v>
      </c>
      <c r="I60" s="610"/>
      <c r="J60" s="610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IFERROR(__xludf.DUMMYFUNCTION("IMPORTRANGE(""https://docs.google.com/spreadsheets/d/1MeEWN-I1oV_STSDYn1IFDPWt_1FKiwhDph83XaGc0o0/edit?usp=sharing"",""งบพรบ!Z72"")"),140500)</f>
        <v>140500</v>
      </c>
      <c r="M61" s="52">
        <f ca="1">IFERROR(__xludf.DUMMYFUNCTION("IMPORTRANGE(""https://docs.google.com/spreadsheets/d/1MeEWN-I1oV_STSDYn1IFDPWt_1FKiwhDph83XaGc0o0/edit?usp=sharing"",""งบพรบ!AC72"")"),127900)</f>
        <v>127900</v>
      </c>
      <c r="N61" s="52">
        <f ca="1">IFERROR(__xludf.DUMMYFUNCTION("IMPORTRANGE(""https://docs.google.com/spreadsheets/d/1MeEWN-I1oV_STSDYn1IFDPWt_1FKiwhDph83XaGc0o0/edit?usp=sharing"",""งบพรบ!AE72"")"),127900)</f>
        <v>127900</v>
      </c>
      <c r="O61" s="52">
        <f t="shared" ca="1" si="32"/>
        <v>91.032028469750884</v>
      </c>
      <c r="P61" s="52">
        <f t="shared" ca="1" si="33"/>
        <v>100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>
      <c r="A64" s="138"/>
      <c r="B64" s="208" t="s">
        <v>33</v>
      </c>
      <c r="C64" s="140"/>
      <c r="D64" s="141"/>
      <c r="E64" s="140"/>
      <c r="F64" s="140"/>
      <c r="G64" s="142"/>
      <c r="H64" s="143" t="s">
        <v>34</v>
      </c>
      <c r="I64" s="144">
        <f t="shared" ref="I64:J65" ca="1" si="37">I76</f>
        <v>2</v>
      </c>
      <c r="J64" s="144">
        <f t="shared" si="37"/>
        <v>0</v>
      </c>
      <c r="K64" s="145">
        <f t="shared" ref="K64:K65" ca="1" si="38">IF(I64&gt;0,J64*100/I64,0)</f>
        <v>0</v>
      </c>
      <c r="L64" s="146"/>
      <c r="M64" s="146"/>
      <c r="N64" s="146"/>
      <c r="O64" s="146"/>
      <c r="P64" s="146"/>
    </row>
    <row r="65" spans="1:26" ht="19.5">
      <c r="A65" s="138"/>
      <c r="B65" s="140"/>
      <c r="C65" s="140"/>
      <c r="D65" s="141"/>
      <c r="E65" s="140"/>
      <c r="F65" s="140"/>
      <c r="G65" s="142"/>
      <c r="H65" s="143" t="s">
        <v>35</v>
      </c>
      <c r="I65" s="144">
        <f t="shared" ca="1" si="37"/>
        <v>94</v>
      </c>
      <c r="J65" s="144">
        <f t="shared" si="37"/>
        <v>0</v>
      </c>
      <c r="K65" s="145">
        <f t="shared" ca="1" si="38"/>
        <v>0</v>
      </c>
      <c r="L65" s="146"/>
      <c r="M65" s="146"/>
      <c r="N65" s="146"/>
      <c r="O65" s="146"/>
      <c r="P65" s="146"/>
    </row>
    <row r="66" spans="1:26" ht="19.5">
      <c r="A66" s="147"/>
      <c r="B66" s="148"/>
      <c r="C66" s="149" t="s">
        <v>16</v>
      </c>
      <c r="D66" s="822" t="s">
        <v>17</v>
      </c>
      <c r="E66" s="148"/>
      <c r="F66" s="148"/>
      <c r="G66" s="151"/>
      <c r="H66" s="152" t="s">
        <v>12</v>
      </c>
      <c r="I66" s="419"/>
      <c r="J66" s="419"/>
      <c r="K66" s="154"/>
      <c r="L66" s="155">
        <f t="shared" ref="L66:N66" ca="1" si="39">L67+L68</f>
        <v>1114000</v>
      </c>
      <c r="M66" s="155">
        <f t="shared" ca="1" si="39"/>
        <v>531300</v>
      </c>
      <c r="N66" s="155">
        <f t="shared" ca="1" si="39"/>
        <v>122386.88</v>
      </c>
      <c r="O66" s="155">
        <f t="shared" ref="O66:O74" ca="1" si="40">IF(L66&gt;0,N66*100/L66,0)</f>
        <v>10.986254937163375</v>
      </c>
      <c r="P66" s="155">
        <f t="shared" ref="P66:P74" ca="1" si="41">IF(M66&gt;0,N66*100/M66,0)</f>
        <v>23.03536231884058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2" t="s">
        <v>18</v>
      </c>
      <c r="F67" s="40"/>
      <c r="G67" s="157"/>
      <c r="H67" s="158" t="s">
        <v>12</v>
      </c>
      <c r="I67" s="610"/>
      <c r="J67" s="610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2" t="s">
        <v>19</v>
      </c>
      <c r="F68" s="40"/>
      <c r="G68" s="157"/>
      <c r="H68" s="158" t="s">
        <v>12</v>
      </c>
      <c r="I68" s="610"/>
      <c r="J68" s="610"/>
      <c r="K68" s="93"/>
      <c r="L68" s="93">
        <f t="shared" ca="1" si="42"/>
        <v>1114000</v>
      </c>
      <c r="M68" s="93">
        <f t="shared" ca="1" si="42"/>
        <v>531300</v>
      </c>
      <c r="N68" s="93">
        <f t="shared" ca="1" si="42"/>
        <v>122386.88</v>
      </c>
      <c r="O68" s="93">
        <f t="shared" ca="1" si="40"/>
        <v>10.986254937163375</v>
      </c>
      <c r="P68" s="93">
        <f t="shared" ca="1" si="41"/>
        <v>23.03536231884058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>
      <c r="A69" s="159"/>
      <c r="B69" s="33"/>
      <c r="C69" s="281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6">
        <f t="shared" ref="L69:N69" ca="1" si="43">L70+L71</f>
        <v>1114000</v>
      </c>
      <c r="M69" s="496">
        <f t="shared" ca="1" si="43"/>
        <v>531300</v>
      </c>
      <c r="N69" s="496">
        <f t="shared" ca="1" si="43"/>
        <v>122386.88</v>
      </c>
      <c r="O69" s="496">
        <f t="shared" ca="1" si="40"/>
        <v>10.986254937163375</v>
      </c>
      <c r="P69" s="496">
        <f t="shared" ca="1" si="41"/>
        <v>23.03536231884058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2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2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IFERROR(__xludf.DUMMYFUNCTION("IMPORTRANGE(""https://docs.google.com/spreadsheets/d/1MeEWN-I1oV_STSDYn1IFDPWt_1FKiwhDph83XaGc0o0/edit?usp=sharing"",""งบพรบ!AG72"")"),1114000)</f>
        <v>1114000</v>
      </c>
      <c r="M71" s="93">
        <f ca="1">IFERROR(__xludf.DUMMYFUNCTION("IMPORTRANGE(""https://docs.google.com/spreadsheets/d/1MeEWN-I1oV_STSDYn1IFDPWt_1FKiwhDph83XaGc0o0/edit?usp=sharing"",""งบพรบ!AL72"")"),531300)</f>
        <v>531300</v>
      </c>
      <c r="N71" s="93">
        <f ca="1">IFERROR(__xludf.DUMMYFUNCTION("IMPORTRANGE(""https://docs.google.com/spreadsheets/d/1MeEWN-I1oV_STSDYn1IFDPWt_1FKiwhDph83XaGc0o0/edit?usp=sharing"",""งบพรบ!AN72"")"),122386.88)</f>
        <v>122386.88</v>
      </c>
      <c r="O71" s="93">
        <f t="shared" ca="1" si="40"/>
        <v>10.986254937163375</v>
      </c>
      <c r="P71" s="93">
        <f t="shared" ca="1" si="41"/>
        <v>23.03536231884058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>
      <c r="A72" s="159"/>
      <c r="B72" s="33"/>
      <c r="C72" s="281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6">
        <f t="shared" ref="L72:N72" ca="1" si="44">L73+L74</f>
        <v>0</v>
      </c>
      <c r="M72" s="496">
        <f t="shared" ca="1" si="44"/>
        <v>0</v>
      </c>
      <c r="N72" s="496">
        <f t="shared" ca="1" si="44"/>
        <v>0</v>
      </c>
      <c r="O72" s="496">
        <f t="shared" ca="1" si="40"/>
        <v>0</v>
      </c>
      <c r="P72" s="496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2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2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IFERROR(__xludf.DUMMYFUNCTION("IMPORTRANGE(""https://docs.google.com/spreadsheets/d/1MeEWN-I1oV_STSDYn1IFDPWt_1FKiwhDph83XaGc0o0/edit?usp=sharing"",""งบพรบ!AJ72"")"),0)</f>
        <v>0</v>
      </c>
      <c r="M74" s="93">
        <f ca="1">IFERROR(__xludf.DUMMYFUNCTION("IMPORTRANGE(""https://docs.google.com/spreadsheets/d/1MeEWN-I1oV_STSDYn1IFDPWt_1FKiwhDph83XaGc0o0/edit?usp=sharing"",""งบพรบ!AM72"")"),0)</f>
        <v>0</v>
      </c>
      <c r="N74" s="93">
        <f ca="1">IFERROR(__xludf.DUMMYFUNCTION("IMPORTRANGE(""https://docs.google.com/spreadsheets/d/1MeEWN-I1oV_STSDYn1IFDPWt_1FKiwhDph83XaGc0o0/edit?usp=sharing"",""งบพรบ!AO72"")"),0)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>
      <c r="A75" s="170"/>
      <c r="B75" s="171"/>
      <c r="C75" s="164" t="s">
        <v>16</v>
      </c>
      <c r="D75" s="823" t="s">
        <v>38</v>
      </c>
      <c r="E75" s="173"/>
      <c r="F75" s="173"/>
      <c r="G75" s="174"/>
      <c r="H75" s="753"/>
      <c r="I75" s="184"/>
      <c r="J75" s="184"/>
      <c r="K75" s="163"/>
      <c r="L75" s="163"/>
      <c r="M75" s="163"/>
      <c r="N75" s="163"/>
      <c r="O75" s="163"/>
      <c r="P75" s="163"/>
    </row>
    <row r="76" spans="1:26" ht="19.5">
      <c r="A76" s="170"/>
      <c r="B76" s="171"/>
      <c r="C76" s="171"/>
      <c r="D76" s="176" t="s">
        <v>39</v>
      </c>
      <c r="E76" s="446"/>
      <c r="F76" s="178"/>
      <c r="G76" s="179"/>
      <c r="H76" s="180" t="s">
        <v>34</v>
      </c>
      <c r="I76" s="269">
        <f t="shared" ref="I76:J77" ca="1" si="45">I78+I80+I82</f>
        <v>2</v>
      </c>
      <c r="J76" s="269">
        <f t="shared" si="45"/>
        <v>0</v>
      </c>
      <c r="K76" s="163">
        <f t="shared" ref="K76:K84" ca="1" si="46">IF(I76&gt;0,J76*100/I76,0)</f>
        <v>0</v>
      </c>
      <c r="L76" s="163"/>
      <c r="M76" s="163"/>
      <c r="N76" s="163"/>
      <c r="O76" s="163"/>
      <c r="P76" s="163"/>
    </row>
    <row r="77" spans="1:26" ht="19.5">
      <c r="A77" s="170"/>
      <c r="B77" s="171"/>
      <c r="C77" s="171"/>
      <c r="D77" s="171"/>
      <c r="E77" s="178"/>
      <c r="F77" s="178"/>
      <c r="G77" s="179"/>
      <c r="H77" s="180" t="s">
        <v>35</v>
      </c>
      <c r="I77" s="269">
        <f t="shared" ca="1" si="45"/>
        <v>94</v>
      </c>
      <c r="J77" s="269">
        <f t="shared" si="45"/>
        <v>0</v>
      </c>
      <c r="K77" s="163">
        <f t="shared" ca="1" si="46"/>
        <v>0</v>
      </c>
      <c r="L77" s="163"/>
      <c r="M77" s="163"/>
      <c r="N77" s="163"/>
      <c r="O77" s="163"/>
      <c r="P77" s="163"/>
    </row>
    <row r="78" spans="1:26" ht="18.75">
      <c r="A78" s="170"/>
      <c r="B78" s="171"/>
      <c r="C78" s="171"/>
      <c r="D78" s="171"/>
      <c r="E78" s="446" t="s">
        <v>40</v>
      </c>
      <c r="F78" s="446"/>
      <c r="G78" s="179"/>
      <c r="H78" s="755" t="s">
        <v>34</v>
      </c>
      <c r="I78" s="184">
        <f ca="1">IFERROR(__xludf.DUMMYFUNCTION("IMPORTRANGE(""https://docs.google.com/spreadsheets/d/1QqKyyYR6Q21VydFLVH3TRQUabQu_ym0Zz7PgGX0-kHA/edit?usp=sharing"",""แผน!H72"")"),2)</f>
        <v>2</v>
      </c>
      <c r="J78" s="214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>
      <c r="A79" s="170"/>
      <c r="B79" s="171"/>
      <c r="C79" s="171"/>
      <c r="D79" s="171"/>
      <c r="E79" s="178"/>
      <c r="F79" s="178"/>
      <c r="G79" s="179"/>
      <c r="H79" s="755" t="s">
        <v>35</v>
      </c>
      <c r="I79" s="184">
        <f ca="1">IFERROR(__xludf.DUMMYFUNCTION("IMPORTRANGE(""https://docs.google.com/spreadsheets/d/1QqKyyYR6Q21VydFLVH3TRQUabQu_ym0Zz7PgGX0-kHA/edit?usp=sharing"",""แผน!I72"")"),94)</f>
        <v>94</v>
      </c>
      <c r="J79" s="214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>
      <c r="A80" s="170"/>
      <c r="B80" s="171"/>
      <c r="C80" s="171"/>
      <c r="D80" s="171"/>
      <c r="E80" s="446" t="s">
        <v>41</v>
      </c>
      <c r="F80" s="446"/>
      <c r="G80" s="179"/>
      <c r="H80" s="755" t="s">
        <v>34</v>
      </c>
      <c r="I80" s="184">
        <f ca="1">IFERROR(__xludf.DUMMYFUNCTION("IMPORTRANGE(""https://docs.google.com/spreadsheets/d/1QqKyyYR6Q21VydFLVH3TRQUabQu_ym0Zz7PgGX0-kHA/edit?usp=sharing"",""แผน!F72"")"),0)</f>
        <v>0</v>
      </c>
      <c r="J80" s="214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>
      <c r="A81" s="170"/>
      <c r="B81" s="171"/>
      <c r="C81" s="171"/>
      <c r="D81" s="171"/>
      <c r="E81" s="178"/>
      <c r="F81" s="178"/>
      <c r="G81" s="179"/>
      <c r="H81" s="755" t="s">
        <v>35</v>
      </c>
      <c r="I81" s="184">
        <f ca="1">IFERROR(__xludf.DUMMYFUNCTION("IMPORTRANGE(""https://docs.google.com/spreadsheets/d/1QqKyyYR6Q21VydFLVH3TRQUabQu_ym0Zz7PgGX0-kHA/edit?usp=sharing"",""แผน!G72"")"),0)</f>
        <v>0</v>
      </c>
      <c r="J81" s="214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>
      <c r="A82" s="170"/>
      <c r="B82" s="171"/>
      <c r="C82" s="171"/>
      <c r="D82" s="171"/>
      <c r="E82" s="446" t="s">
        <v>42</v>
      </c>
      <c r="F82" s="446"/>
      <c r="G82" s="179"/>
      <c r="H82" s="755" t="s">
        <v>34</v>
      </c>
      <c r="I82" s="184">
        <f ca="1">IFERROR(__xludf.DUMMYFUNCTION("IMPORTRANGE(""https://docs.google.com/spreadsheets/d/1QqKyyYR6Q21VydFLVH3TRQUabQu_ym0Zz7PgGX0-kHA/edit?usp=sharing"",""แผน!D72"")"),0)</f>
        <v>0</v>
      </c>
      <c r="J82" s="214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>
      <c r="A83" s="170"/>
      <c r="B83" s="171"/>
      <c r="C83" s="171"/>
      <c r="D83" s="171"/>
      <c r="E83" s="178"/>
      <c r="F83" s="178"/>
      <c r="G83" s="179"/>
      <c r="H83" s="755" t="s">
        <v>35</v>
      </c>
      <c r="I83" s="184">
        <f ca="1">IFERROR(__xludf.DUMMYFUNCTION("IMPORTRANGE(""https://docs.google.com/spreadsheets/d/1QqKyyYR6Q21VydFLVH3TRQUabQu_ym0Zz7PgGX0-kHA/edit?usp=sharing"",""แผน!E72"")"),0)</f>
        <v>0</v>
      </c>
      <c r="J83" s="214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>
      <c r="A84" s="170"/>
      <c r="B84" s="171"/>
      <c r="C84" s="171"/>
      <c r="D84" s="176" t="s">
        <v>43</v>
      </c>
      <c r="E84" s="446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IFERROR(__xludf.DUMMYFUNCTION("IMPORTRANGE(""https://docs.google.com/spreadsheets/d/1QqKyyYR6Q21VydFLVH3TRQUabQu_ym0Zz7PgGX0-kHA/edit?usp=sharing"",""แผน!J72"")"),2)</f>
        <v>2</v>
      </c>
      <c r="J84" s="214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8" t="s">
        <v>45</v>
      </c>
      <c r="C86" s="140"/>
      <c r="D86" s="141"/>
      <c r="E86" s="140"/>
      <c r="F86" s="140"/>
      <c r="G86" s="142"/>
      <c r="H86" s="143" t="s">
        <v>46</v>
      </c>
      <c r="I86" s="144">
        <f t="shared" ref="I86:J87" ca="1" si="47">I98</f>
        <v>30</v>
      </c>
      <c r="J86" s="144">
        <f t="shared" si="47"/>
        <v>0</v>
      </c>
      <c r="K86" s="145">
        <f t="shared" ref="K86:K87" ca="1" si="48">IF(I86&gt;0,J86*100/I86,0)</f>
        <v>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143" t="s">
        <v>35</v>
      </c>
      <c r="I87" s="144">
        <f t="shared" ca="1" si="47"/>
        <v>10</v>
      </c>
      <c r="J87" s="144">
        <f t="shared" si="47"/>
        <v>0</v>
      </c>
      <c r="K87" s="145">
        <f t="shared" ca="1" si="48"/>
        <v>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22" t="s">
        <v>17</v>
      </c>
      <c r="E88" s="148"/>
      <c r="F88" s="148"/>
      <c r="G88" s="151"/>
      <c r="H88" s="152" t="s">
        <v>12</v>
      </c>
      <c r="I88" s="419"/>
      <c r="J88" s="419"/>
      <c r="K88" s="154"/>
      <c r="L88" s="155">
        <f t="shared" ref="L88:N88" ca="1" si="49">L89+L90</f>
        <v>116140</v>
      </c>
      <c r="M88" s="155">
        <f t="shared" ca="1" si="49"/>
        <v>49590</v>
      </c>
      <c r="N88" s="155">
        <f t="shared" ca="1" si="49"/>
        <v>21840</v>
      </c>
      <c r="O88" s="155">
        <f t="shared" ref="O88:O96" ca="1" si="50">IF(L88&gt;0,N88*100/L88,0)</f>
        <v>18.804890649216464</v>
      </c>
      <c r="P88" s="155">
        <f t="shared" ref="P88:P96" ca="1" si="51">IF(M88&gt;0,N88*100/M88,0)</f>
        <v>44.041137326073802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2" t="s">
        <v>18</v>
      </c>
      <c r="F89" s="40"/>
      <c r="G89" s="157"/>
      <c r="H89" s="158" t="s">
        <v>12</v>
      </c>
      <c r="I89" s="610"/>
      <c r="J89" s="610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2" t="s">
        <v>19</v>
      </c>
      <c r="F90" s="40"/>
      <c r="G90" s="157"/>
      <c r="H90" s="158" t="s">
        <v>12</v>
      </c>
      <c r="I90" s="610"/>
      <c r="J90" s="610"/>
      <c r="K90" s="93"/>
      <c r="L90" s="93">
        <f t="shared" ca="1" si="52"/>
        <v>116140</v>
      </c>
      <c r="M90" s="93">
        <f t="shared" ca="1" si="52"/>
        <v>49590</v>
      </c>
      <c r="N90" s="93">
        <f t="shared" ca="1" si="52"/>
        <v>21840</v>
      </c>
      <c r="O90" s="93">
        <f t="shared" ca="1" si="50"/>
        <v>18.804890649216464</v>
      </c>
      <c r="P90" s="93">
        <f t="shared" ca="1" si="51"/>
        <v>44.041137326073802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1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6">
        <f t="shared" ref="L91:N91" ca="1" si="53">L92+L93</f>
        <v>116140</v>
      </c>
      <c r="M91" s="496">
        <f t="shared" ca="1" si="53"/>
        <v>49590</v>
      </c>
      <c r="N91" s="496">
        <f t="shared" ca="1" si="53"/>
        <v>21840</v>
      </c>
      <c r="O91" s="496">
        <f t="shared" ca="1" si="50"/>
        <v>18.804890649216464</v>
      </c>
      <c r="P91" s="496">
        <f t="shared" ca="1" si="51"/>
        <v>44.041137326073802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2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2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IFERROR(__xludf.DUMMYFUNCTION("IMPORTRANGE(""https://docs.google.com/spreadsheets/d/1MeEWN-I1oV_STSDYn1IFDPWt_1FKiwhDph83XaGc0o0/edit?usp=sharing"",""งบพรบ!AQ72"")"),116140)</f>
        <v>116140</v>
      </c>
      <c r="M93" s="93">
        <f ca="1">IFERROR(__xludf.DUMMYFUNCTION("IMPORTRANGE(""https://docs.google.com/spreadsheets/d/1MeEWN-I1oV_STSDYn1IFDPWt_1FKiwhDph83XaGc0o0/edit?usp=sharing"",""งบพรบ!AV72"")"),49590)</f>
        <v>49590</v>
      </c>
      <c r="N93" s="93">
        <f ca="1">IFERROR(__xludf.DUMMYFUNCTION("IMPORTRANGE(""https://docs.google.com/spreadsheets/d/1MeEWN-I1oV_STSDYn1IFDPWt_1FKiwhDph83XaGc0o0/edit?usp=sharing"",""งบพรบ!AX72"")"),21840)</f>
        <v>21840</v>
      </c>
      <c r="O93" s="93">
        <f t="shared" ca="1" si="50"/>
        <v>18.804890649216464</v>
      </c>
      <c r="P93" s="93">
        <f t="shared" ca="1" si="51"/>
        <v>44.041137326073802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1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6">
        <f t="shared" ref="L94:N94" ca="1" si="54">L95+L96</f>
        <v>0</v>
      </c>
      <c r="M94" s="496">
        <f t="shared" ca="1" si="54"/>
        <v>0</v>
      </c>
      <c r="N94" s="496">
        <f t="shared" ca="1" si="54"/>
        <v>0</v>
      </c>
      <c r="O94" s="496">
        <f t="shared" ca="1" si="50"/>
        <v>0</v>
      </c>
      <c r="P94" s="496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2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2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IFERROR(__xludf.DUMMYFUNCTION("IMPORTRANGE(""https://docs.google.com/spreadsheets/d/1MeEWN-I1oV_STSDYn1IFDPWt_1FKiwhDph83XaGc0o0/edit?usp=sharing"",""งบพรบ!AT72"")"),0)</f>
        <v>0</v>
      </c>
      <c r="M96" s="93">
        <f ca="1">IFERROR(__xludf.DUMMYFUNCTION("IMPORTRANGE(""https://docs.google.com/spreadsheets/d/1MeEWN-I1oV_STSDYn1IFDPWt_1FKiwhDph83XaGc0o0/edit?usp=sharing"",""งบพรบ!AW72"")"),0)</f>
        <v>0</v>
      </c>
      <c r="N96" s="93">
        <f ca="1">IFERROR(__xludf.DUMMYFUNCTION("IMPORTRANGE(""https://docs.google.com/spreadsheets/d/1MeEWN-I1oV_STSDYn1IFDPWt_1FKiwhDph83XaGc0o0/edit?usp=sharing"",""งบพรบ!AY72"")"),0)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23" t="s">
        <v>38</v>
      </c>
      <c r="E97" s="173"/>
      <c r="F97" s="173"/>
      <c r="G97" s="174"/>
      <c r="H97" s="753"/>
      <c r="I97" s="184"/>
      <c r="J97" s="269"/>
      <c r="K97" s="496"/>
      <c r="L97" s="496"/>
      <c r="M97" s="496"/>
      <c r="N97" s="496"/>
      <c r="O97" s="163"/>
      <c r="P97" s="163"/>
    </row>
    <row r="98" spans="1:16" ht="18.75">
      <c r="A98" s="170"/>
      <c r="B98" s="171"/>
      <c r="C98" s="171"/>
      <c r="D98" s="446" t="s">
        <v>47</v>
      </c>
      <c r="E98" s="446"/>
      <c r="F98" s="178"/>
      <c r="G98" s="179"/>
      <c r="H98" s="616" t="s">
        <v>46</v>
      </c>
      <c r="I98" s="269">
        <f ca="1">IFERROR(__xludf.DUMMYFUNCTION("IMPORTRANGE(""https://docs.google.com/spreadsheets/d/1QqKyyYR6Q21VydFLVH3TRQUabQu_ym0Zz7PgGX0-kHA/edit?usp=sharing"",""แผน!K72"")"),30)</f>
        <v>30</v>
      </c>
      <c r="J98" s="269">
        <f>J102</f>
        <v>0</v>
      </c>
      <c r="K98" s="496">
        <f t="shared" ref="K98:K100" ca="1" si="55">IF(I98&gt;0,J98*100/I98,0)</f>
        <v>0</v>
      </c>
      <c r="L98" s="496"/>
      <c r="M98" s="496"/>
      <c r="N98" s="496"/>
      <c r="O98" s="163"/>
      <c r="P98" s="163"/>
    </row>
    <row r="99" spans="1:16" ht="18.75">
      <c r="A99" s="170"/>
      <c r="B99" s="171"/>
      <c r="C99" s="171"/>
      <c r="D99" s="446" t="s">
        <v>48</v>
      </c>
      <c r="E99" s="446"/>
      <c r="F99" s="178"/>
      <c r="G99" s="179"/>
      <c r="H99" s="616" t="s">
        <v>35</v>
      </c>
      <c r="I99" s="269">
        <f ca="1">IFERROR(__xludf.DUMMYFUNCTION("IMPORTRANGE(""https://docs.google.com/spreadsheets/d/1QqKyyYR6Q21VydFLVH3TRQUabQu_ym0Zz7PgGX0-kHA/edit?usp=sharing"",""แผน!L72"")"),10)</f>
        <v>10</v>
      </c>
      <c r="J99" s="269">
        <f>J104</f>
        <v>0</v>
      </c>
      <c r="K99" s="496">
        <f t="shared" ca="1" si="55"/>
        <v>0</v>
      </c>
      <c r="L99" s="496"/>
      <c r="M99" s="496"/>
      <c r="N99" s="496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16" t="s">
        <v>49</v>
      </c>
      <c r="I100" s="269">
        <f ca="1">IFERROR(__xludf.DUMMYFUNCTION("IMPORTRANGE(""https://docs.google.com/spreadsheets/d/1QqKyyYR6Q21VydFLVH3TRQUabQu_ym0Zz7PgGX0-kHA/edit?usp=sharing"",""แผน!M72"")"),3)</f>
        <v>3</v>
      </c>
      <c r="J100" s="269">
        <f>J107+J110</f>
        <v>0</v>
      </c>
      <c r="K100" s="496">
        <f t="shared" ca="1" si="55"/>
        <v>0</v>
      </c>
      <c r="L100" s="496"/>
      <c r="M100" s="496"/>
      <c r="N100" s="496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16"/>
      <c r="I101" s="269"/>
      <c r="J101" s="269"/>
      <c r="K101" s="496"/>
      <c r="L101" s="496"/>
      <c r="M101" s="496"/>
      <c r="N101" s="496"/>
      <c r="O101" s="163"/>
      <c r="P101" s="163"/>
    </row>
    <row r="102" spans="1:16" ht="18.75">
      <c r="A102" s="170"/>
      <c r="B102" s="171"/>
      <c r="C102" s="171"/>
      <c r="D102" s="178"/>
      <c r="E102" s="619" t="s">
        <v>47</v>
      </c>
      <c r="F102" s="178"/>
      <c r="G102" s="179"/>
      <c r="H102" s="616" t="s">
        <v>46</v>
      </c>
      <c r="I102" s="269">
        <f ca="1">IFERROR(__xludf.DUMMYFUNCTION("IMPORTRANGE(""https://docs.google.com/spreadsheets/d/1QqKyyYR6Q21VydFLVH3TRQUabQu_ym0Zz7PgGX0-kHA/edit?usp=sharing"",""แผน!N72"")"),30)</f>
        <v>30</v>
      </c>
      <c r="J102" s="214">
        <v>0</v>
      </c>
      <c r="K102" s="496">
        <f t="shared" ref="K102:K104" ca="1" si="56">IF(I102&gt;0,J102*100/I102,0)</f>
        <v>0</v>
      </c>
      <c r="L102" s="496"/>
      <c r="M102" s="496"/>
      <c r="N102" s="496"/>
      <c r="O102" s="163"/>
      <c r="P102" s="163"/>
    </row>
    <row r="103" spans="1:16" ht="19.5">
      <c r="A103" s="170"/>
      <c r="B103" s="171"/>
      <c r="C103" s="171"/>
      <c r="D103" s="178"/>
      <c r="E103" s="446" t="s">
        <v>51</v>
      </c>
      <c r="F103" s="178"/>
      <c r="G103" s="179"/>
      <c r="H103" s="616" t="s">
        <v>35</v>
      </c>
      <c r="I103" s="269">
        <f ca="1">IFERROR(__xludf.DUMMYFUNCTION("IMPORTRANGE(""https://docs.google.com/spreadsheets/d/1QqKyyYR6Q21VydFLVH3TRQUabQu_ym0Zz7PgGX0-kHA/edit?usp=sharing"",""แผน!O72"")"),10)</f>
        <v>10</v>
      </c>
      <c r="J103" s="214">
        <v>0</v>
      </c>
      <c r="K103" s="496">
        <f t="shared" ca="1" si="56"/>
        <v>0</v>
      </c>
      <c r="L103" s="496"/>
      <c r="M103" s="496"/>
      <c r="N103" s="496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16" t="s">
        <v>35</v>
      </c>
      <c r="I104" s="269">
        <f ca="1">IFERROR(__xludf.DUMMYFUNCTION("IMPORTRANGE(""https://docs.google.com/spreadsheets/d/1QqKyyYR6Q21VydFLVH3TRQUabQu_ym0Zz7PgGX0-kHA/edit?usp=sharing"",""แผน!O72"")"),10)</f>
        <v>10</v>
      </c>
      <c r="J104" s="214">
        <v>0</v>
      </c>
      <c r="K104" s="496">
        <f t="shared" ca="1" si="56"/>
        <v>0</v>
      </c>
      <c r="L104" s="496"/>
      <c r="M104" s="496"/>
      <c r="N104" s="496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69"/>
      <c r="J105" s="269"/>
      <c r="K105" s="496"/>
      <c r="L105" s="496"/>
      <c r="M105" s="496"/>
      <c r="N105" s="496"/>
      <c r="O105" s="163"/>
      <c r="P105" s="163"/>
    </row>
    <row r="106" spans="1:16" ht="19.5">
      <c r="A106" s="170"/>
      <c r="B106" s="171"/>
      <c r="C106" s="171"/>
      <c r="D106" s="178"/>
      <c r="E106" s="446" t="s">
        <v>54</v>
      </c>
      <c r="F106" s="178"/>
      <c r="G106" s="179"/>
      <c r="H106" s="616" t="s">
        <v>49</v>
      </c>
      <c r="I106" s="269">
        <f ca="1">IFERROR(__xludf.DUMMYFUNCTION("IMPORTRANGE(""https://docs.google.com/spreadsheets/d/1QqKyyYR6Q21VydFLVH3TRQUabQu_ym0Zz7PgGX0-kHA/edit?usp=sharing"",""แผน!P72"")"),2)</f>
        <v>2</v>
      </c>
      <c r="J106" s="214">
        <v>0</v>
      </c>
      <c r="K106" s="496">
        <f t="shared" ref="K106:K107" ca="1" si="57">IF(I106&gt;0,J106*100/I106,0)</f>
        <v>0</v>
      </c>
      <c r="L106" s="496"/>
      <c r="M106" s="496"/>
      <c r="N106" s="496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16" t="s">
        <v>49</v>
      </c>
      <c r="I107" s="269">
        <f ca="1">IFERROR(__xludf.DUMMYFUNCTION("IMPORTRANGE(""https://docs.google.com/spreadsheets/d/1QqKyyYR6Q21VydFLVH3TRQUabQu_ym0Zz7PgGX0-kHA/edit?usp=sharing"",""แผน!P72"")"),2)</f>
        <v>2</v>
      </c>
      <c r="J107" s="214">
        <v>0</v>
      </c>
      <c r="K107" s="496">
        <f t="shared" ca="1" si="57"/>
        <v>0</v>
      </c>
      <c r="L107" s="496"/>
      <c r="M107" s="496"/>
      <c r="N107" s="496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69"/>
      <c r="J108" s="269"/>
      <c r="K108" s="496"/>
      <c r="L108" s="496"/>
      <c r="M108" s="496"/>
      <c r="N108" s="496"/>
      <c r="O108" s="163"/>
      <c r="P108" s="163"/>
    </row>
    <row r="109" spans="1:16" ht="19.5">
      <c r="A109" s="170"/>
      <c r="B109" s="171"/>
      <c r="C109" s="171"/>
      <c r="D109" s="178"/>
      <c r="E109" s="446" t="s">
        <v>57</v>
      </c>
      <c r="F109" s="178"/>
      <c r="G109" s="179"/>
      <c r="H109" s="616" t="s">
        <v>49</v>
      </c>
      <c r="I109" s="269">
        <f ca="1">IFERROR(__xludf.DUMMYFUNCTION("IMPORTRANGE(""https://docs.google.com/spreadsheets/d/1QqKyyYR6Q21VydFLVH3TRQUabQu_ym0Zz7PgGX0-kHA/edit?usp=sharing"",""แผน!Q72"")"),1)</f>
        <v>1</v>
      </c>
      <c r="J109" s="214">
        <v>0</v>
      </c>
      <c r="K109" s="496">
        <f t="shared" ref="K109:K116" ca="1" si="58">IF(I109&gt;0,J109*100/I109,0)</f>
        <v>0</v>
      </c>
      <c r="L109" s="496"/>
      <c r="M109" s="496"/>
      <c r="N109" s="496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16" t="s">
        <v>49</v>
      </c>
      <c r="I110" s="269">
        <f ca="1">IFERROR(__xludf.DUMMYFUNCTION("IMPORTRANGE(""https://docs.google.com/spreadsheets/d/1QqKyyYR6Q21VydFLVH3TRQUabQu_ym0Zz7PgGX0-kHA/edit?usp=sharing"",""แผน!Q72"")"),1)</f>
        <v>1</v>
      </c>
      <c r="J110" s="214">
        <v>0</v>
      </c>
      <c r="K110" s="496">
        <f t="shared" ca="1" si="58"/>
        <v>0</v>
      </c>
      <c r="L110" s="496"/>
      <c r="M110" s="496"/>
      <c r="N110" s="496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58" t="s">
        <v>35</v>
      </c>
      <c r="I111" s="193">
        <f ca="1">IFERROR(__xludf.DUMMYFUNCTION("IMPORTRANGE(""https://docs.google.com/spreadsheets/d/1QqKyyYR6Q21VydFLVH3TRQUabQu_ym0Zz7PgGX0-kHA/edit?usp=sharing"",""แผน!R72"")"),10)</f>
        <v>10</v>
      </c>
      <c r="J111" s="674">
        <f>J114</f>
        <v>0</v>
      </c>
      <c r="K111" s="195">
        <f t="shared" ca="1" si="58"/>
        <v>0</v>
      </c>
      <c r="L111" s="496"/>
      <c r="M111" s="496"/>
      <c r="N111" s="496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3</v>
      </c>
      <c r="J112" s="674">
        <f t="shared" si="59"/>
        <v>0</v>
      </c>
      <c r="K112" s="195">
        <f t="shared" ca="1" si="58"/>
        <v>0</v>
      </c>
      <c r="L112" s="496"/>
      <c r="M112" s="496"/>
      <c r="N112" s="496"/>
      <c r="O112" s="163"/>
      <c r="P112" s="163"/>
    </row>
    <row r="113" spans="1:26" ht="19.5">
      <c r="A113" s="170"/>
      <c r="B113" s="171"/>
      <c r="C113" s="171"/>
      <c r="D113" s="171"/>
      <c r="E113" s="525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IFERROR(__xludf.DUMMYFUNCTION("IMPORTRANGE(""https://docs.google.com/spreadsheets/d/1QqKyyYR6Q21VydFLVH3TRQUabQu_ym0Zz7PgGX0-kHA/edit?usp=sharing"",""แผน!R72"")"),10)</f>
        <v>10</v>
      </c>
      <c r="J113" s="214">
        <v>0</v>
      </c>
      <c r="K113" s="496">
        <f t="shared" ca="1" si="58"/>
        <v>0</v>
      </c>
      <c r="L113" s="496"/>
      <c r="M113" s="496"/>
      <c r="N113" s="496"/>
      <c r="O113" s="163"/>
      <c r="P113" s="163"/>
    </row>
    <row r="114" spans="1:26" ht="19.5">
      <c r="A114" s="170"/>
      <c r="B114" s="171"/>
      <c r="C114" s="171"/>
      <c r="D114" s="171"/>
      <c r="E114" s="446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IFERROR(__xludf.DUMMYFUNCTION("IMPORTRANGE(""https://docs.google.com/spreadsheets/d/1QqKyyYR6Q21VydFLVH3TRQUabQu_ym0Zz7PgGX0-kHA/edit?usp=sharing"",""แผน!R72"")"),10)</f>
        <v>10</v>
      </c>
      <c r="J114" s="214">
        <v>0</v>
      </c>
      <c r="K114" s="496">
        <f t="shared" ca="1" si="58"/>
        <v>0</v>
      </c>
      <c r="L114" s="496"/>
      <c r="M114" s="496"/>
      <c r="N114" s="496"/>
      <c r="O114" s="163"/>
      <c r="P114" s="163"/>
    </row>
    <row r="115" spans="1:26" ht="18.75">
      <c r="A115" s="170"/>
      <c r="B115" s="171"/>
      <c r="C115" s="171"/>
      <c r="D115" s="171"/>
      <c r="E115" s="446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IFERROR(__xludf.DUMMYFUNCTION("IMPORTRANGE(""https://docs.google.com/spreadsheets/d/1QqKyyYR6Q21VydFLVH3TRQUabQu_ym0Zz7PgGX0-kHA/edit?usp=sharing"",""แผน!S72"")"),2)</f>
        <v>2</v>
      </c>
      <c r="J115" s="214">
        <v>0</v>
      </c>
      <c r="K115" s="496">
        <f t="shared" ca="1" si="58"/>
        <v>0</v>
      </c>
      <c r="L115" s="496"/>
      <c r="M115" s="496"/>
      <c r="N115" s="496"/>
      <c r="O115" s="163"/>
      <c r="P115" s="163"/>
    </row>
    <row r="116" spans="1:26" ht="18.75">
      <c r="A116" s="170"/>
      <c r="B116" s="171"/>
      <c r="C116" s="171"/>
      <c r="D116" s="171"/>
      <c r="E116" s="446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IFERROR(__xludf.DUMMYFUNCTION("IMPORTRANGE(""https://docs.google.com/spreadsheets/d/1QqKyyYR6Q21VydFLVH3TRQUabQu_ym0Zz7PgGX0-kHA/edit?usp=sharing"",""แผน!T72"")"),1)</f>
        <v>1</v>
      </c>
      <c r="J116" s="214">
        <v>0</v>
      </c>
      <c r="K116" s="496">
        <f t="shared" ca="1" si="58"/>
        <v>0</v>
      </c>
      <c r="L116" s="496"/>
      <c r="M116" s="496"/>
      <c r="N116" s="496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8" t="s">
        <v>65</v>
      </c>
      <c r="C118" s="204"/>
      <c r="D118" s="141"/>
      <c r="E118" s="140"/>
      <c r="F118" s="140"/>
      <c r="G118" s="142"/>
      <c r="H118" s="143"/>
      <c r="I118" s="205"/>
      <c r="J118" s="205"/>
      <c r="K118" s="146"/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22" t="s">
        <v>17</v>
      </c>
      <c r="E119" s="148"/>
      <c r="F119" s="148"/>
      <c r="G119" s="151"/>
      <c r="H119" s="152" t="s">
        <v>12</v>
      </c>
      <c r="I119" s="419"/>
      <c r="J119" s="419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2" t="s">
        <v>18</v>
      </c>
      <c r="F120" s="40"/>
      <c r="G120" s="157"/>
      <c r="H120" s="158" t="s">
        <v>12</v>
      </c>
      <c r="I120" s="610"/>
      <c r="J120" s="610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2" t="s">
        <v>19</v>
      </c>
      <c r="F121" s="40"/>
      <c r="G121" s="157"/>
      <c r="H121" s="158" t="s">
        <v>12</v>
      </c>
      <c r="I121" s="610"/>
      <c r="J121" s="610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1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6">
        <f t="shared" ref="L122:N122" ca="1" si="64">L123+L124</f>
        <v>0</v>
      </c>
      <c r="M122" s="496">
        <f t="shared" ca="1" si="64"/>
        <v>0</v>
      </c>
      <c r="N122" s="496">
        <f t="shared" ca="1" si="64"/>
        <v>0</v>
      </c>
      <c r="O122" s="496">
        <f t="shared" ca="1" si="61"/>
        <v>0</v>
      </c>
      <c r="P122" s="496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2"/>
      <c r="D123" s="40"/>
      <c r="E123" s="222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2"/>
      <c r="D124" s="40"/>
      <c r="E124" s="222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IFERROR(__xludf.DUMMYFUNCTION("IMPORTRANGE(""https://docs.google.com/spreadsheets/d/1MeEWN-I1oV_STSDYn1IFDPWt_1FKiwhDph83XaGc0o0/edit?usp=sharing"",""งบพรบ!BA72"")"),0)</f>
        <v>0</v>
      </c>
      <c r="M124" s="93">
        <f ca="1">IFERROR(__xludf.DUMMYFUNCTION("IMPORTRANGE(""https://docs.google.com/spreadsheets/d/1MeEWN-I1oV_STSDYn1IFDPWt_1FKiwhDph83XaGc0o0/edit?usp=sharing"",""งบพรบ!BF72"")"),0)</f>
        <v>0</v>
      </c>
      <c r="N124" s="93">
        <f ca="1">IFERROR(__xludf.DUMMYFUNCTION("IMPORTRANGE(""https://docs.google.com/spreadsheets/d/1MeEWN-I1oV_STSDYn1IFDPWt_1FKiwhDph83XaGc0o0/edit?usp=sharing"",""งบพรบ!BH72"")"),0)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1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6">
        <f t="shared" ref="L125:N125" ca="1" si="65">L126+L127</f>
        <v>0</v>
      </c>
      <c r="M125" s="496">
        <f t="shared" ca="1" si="65"/>
        <v>0</v>
      </c>
      <c r="N125" s="496">
        <f t="shared" ca="1" si="65"/>
        <v>0</v>
      </c>
      <c r="O125" s="496">
        <f t="shared" ca="1" si="61"/>
        <v>0</v>
      </c>
      <c r="P125" s="496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2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2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IFERROR(__xludf.DUMMYFUNCTION("IMPORTRANGE(""https://docs.google.com/spreadsheets/d/1MeEWN-I1oV_STSDYn1IFDPWt_1FKiwhDph83XaGc0o0/edit?usp=sharing"",""งบพรบ!BD72"")"),0)</f>
        <v>0</v>
      </c>
      <c r="M127" s="93">
        <f ca="1">IFERROR(__xludf.DUMMYFUNCTION("IMPORTRANGE(""https://docs.google.com/spreadsheets/d/1MeEWN-I1oV_STSDYn1IFDPWt_1FKiwhDph83XaGc0o0/edit?usp=sharing"",""งบพรบ!BG72"")"),0)</f>
        <v>0</v>
      </c>
      <c r="N127" s="93">
        <f ca="1">IFERROR(__xludf.DUMMYFUNCTION("IMPORTRANGE(""https://docs.google.com/spreadsheets/d/1MeEWN-I1oV_STSDYn1IFDPWt_1FKiwhDph83XaGc0o0/edit?usp=sharing"",""งบพรบ!BI72"")"),0)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66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8" t="s">
        <v>67</v>
      </c>
      <c r="C129" s="204"/>
      <c r="D129" s="141"/>
      <c r="E129" s="140"/>
      <c r="F129" s="140"/>
      <c r="G129" s="140"/>
      <c r="H129" s="207"/>
      <c r="I129" s="205"/>
      <c r="J129" s="205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8"/>
      <c r="C130" s="209" t="s">
        <v>68</v>
      </c>
      <c r="D130" s="141"/>
      <c r="E130" s="140"/>
      <c r="F130" s="140"/>
      <c r="G130" s="142"/>
      <c r="H130" s="143" t="s">
        <v>69</v>
      </c>
      <c r="I130" s="144">
        <f t="shared" ref="I130:J130" ca="1" si="66">I146</f>
        <v>0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8"/>
      <c r="C131" s="209" t="s">
        <v>70</v>
      </c>
      <c r="D131" s="141"/>
      <c r="E131" s="140"/>
      <c r="F131" s="140"/>
      <c r="G131" s="142"/>
      <c r="H131" s="143" t="s">
        <v>35</v>
      </c>
      <c r="I131" s="144">
        <f t="shared" ref="I131:J131" ca="1" si="68">I143</f>
        <v>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822" t="s">
        <v>17</v>
      </c>
      <c r="E132" s="148"/>
      <c r="F132" s="148"/>
      <c r="G132" s="151"/>
      <c r="H132" s="152" t="s">
        <v>12</v>
      </c>
      <c r="I132" s="419"/>
      <c r="J132" s="419"/>
      <c r="K132" s="154"/>
      <c r="L132" s="155">
        <f t="shared" ref="L132:N132" ca="1" si="69">L133+L134</f>
        <v>0</v>
      </c>
      <c r="M132" s="155">
        <f t="shared" ca="1" si="69"/>
        <v>0</v>
      </c>
      <c r="N132" s="155">
        <f t="shared" ca="1" si="69"/>
        <v>0</v>
      </c>
      <c r="O132" s="155">
        <f t="shared" ref="O132:O140" ca="1" si="70">IF(L132&gt;0,N132*100/L132,0)</f>
        <v>0</v>
      </c>
      <c r="P132" s="155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2" t="s">
        <v>18</v>
      </c>
      <c r="F133" s="40"/>
      <c r="G133" s="157"/>
      <c r="H133" s="158" t="s">
        <v>12</v>
      </c>
      <c r="I133" s="610"/>
      <c r="J133" s="610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2" t="s">
        <v>19</v>
      </c>
      <c r="F134" s="40"/>
      <c r="G134" s="157"/>
      <c r="H134" s="158" t="s">
        <v>12</v>
      </c>
      <c r="I134" s="610"/>
      <c r="J134" s="610"/>
      <c r="K134" s="93"/>
      <c r="L134" s="93">
        <f t="shared" ca="1" si="72"/>
        <v>0</v>
      </c>
      <c r="M134" s="93">
        <f t="shared" ca="1" si="72"/>
        <v>0</v>
      </c>
      <c r="N134" s="93">
        <f t="shared" ca="1" si="72"/>
        <v>0</v>
      </c>
      <c r="O134" s="93">
        <f t="shared" ca="1" si="70"/>
        <v>0</v>
      </c>
      <c r="P134" s="93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1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6">
        <f t="shared" ref="L135:N135" ca="1" si="73">L136+L137</f>
        <v>0</v>
      </c>
      <c r="M135" s="496">
        <f t="shared" ca="1" si="73"/>
        <v>0</v>
      </c>
      <c r="N135" s="496">
        <f t="shared" ca="1" si="73"/>
        <v>0</v>
      </c>
      <c r="O135" s="496">
        <f t="shared" ca="1" si="70"/>
        <v>0</v>
      </c>
      <c r="P135" s="496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2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2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IFERROR(__xludf.DUMMYFUNCTION("IMPORTRANGE(""https://docs.google.com/spreadsheets/d/1MeEWN-I1oV_STSDYn1IFDPWt_1FKiwhDph83XaGc0o0/edit?usp=sharing"",""งบพรบ!BK72"")"),0)</f>
        <v>0</v>
      </c>
      <c r="M137" s="93">
        <f ca="1">IFERROR(__xludf.DUMMYFUNCTION("IMPORTRANGE(""https://docs.google.com/spreadsheets/d/1MeEWN-I1oV_STSDYn1IFDPWt_1FKiwhDph83XaGc0o0/edit?usp=sharing"",""งบพรบ!BP72"")"),0)</f>
        <v>0</v>
      </c>
      <c r="N137" s="93">
        <f ca="1">IFERROR(__xludf.DUMMYFUNCTION("IMPORTRANGE(""https://docs.google.com/spreadsheets/d/1MeEWN-I1oV_STSDYn1IFDPWt_1FKiwhDph83XaGc0o0/edit?usp=sharing"",""งบพรบ!BR72"")"),0)</f>
        <v>0</v>
      </c>
      <c r="O137" s="93">
        <f t="shared" ca="1" si="70"/>
        <v>0</v>
      </c>
      <c r="P137" s="93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1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6">
        <f t="shared" ref="L138:N138" ca="1" si="74">L139+L140</f>
        <v>0</v>
      </c>
      <c r="M138" s="496">
        <f t="shared" ca="1" si="74"/>
        <v>0</v>
      </c>
      <c r="N138" s="496">
        <f t="shared" ca="1" si="74"/>
        <v>0</v>
      </c>
      <c r="O138" s="496">
        <f t="shared" ca="1" si="70"/>
        <v>0</v>
      </c>
      <c r="P138" s="496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2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2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IFERROR(__xludf.DUMMYFUNCTION("IMPORTRANGE(""https://docs.google.com/spreadsheets/d/1MeEWN-I1oV_STSDYn1IFDPWt_1FKiwhDph83XaGc0o0/edit?usp=sharing"",""งบพรบ!BN72"")"),0)</f>
        <v>0</v>
      </c>
      <c r="M140" s="93">
        <f ca="1">IFERROR(__xludf.DUMMYFUNCTION("IMPORTRANGE(""https://docs.google.com/spreadsheets/d/1MeEWN-I1oV_STSDYn1IFDPWt_1FKiwhDph83XaGc0o0/edit?usp=sharing"",""งบพรบ!BQ72"")"),0)</f>
        <v>0</v>
      </c>
      <c r="N140" s="93">
        <f ca="1">IFERROR(__xludf.DUMMYFUNCTION("IMPORTRANGE(""https://docs.google.com/spreadsheets/d/1MeEWN-I1oV_STSDYn1IFDPWt_1FKiwhDph83XaGc0o0/edit?usp=sharing"",""งบพรบ!BS72"")"),0)</f>
        <v>0</v>
      </c>
      <c r="O140" s="93">
        <f t="shared" ca="1" si="70"/>
        <v>0</v>
      </c>
      <c r="P140" s="93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823" t="s">
        <v>38</v>
      </c>
      <c r="E141" s="173"/>
      <c r="F141" s="173"/>
      <c r="G141" s="174"/>
      <c r="H141" s="168"/>
      <c r="I141" s="269"/>
      <c r="J141" s="269"/>
      <c r="K141" s="496"/>
      <c r="L141" s="496"/>
      <c r="M141" s="496"/>
      <c r="N141" s="496"/>
      <c r="O141" s="496"/>
      <c r="P141" s="496"/>
    </row>
    <row r="142" spans="1:26" ht="19.5" hidden="1">
      <c r="A142" s="159"/>
      <c r="B142" s="33"/>
      <c r="C142" s="210"/>
      <c r="D142" s="281" t="s">
        <v>71</v>
      </c>
      <c r="E142" s="34"/>
      <c r="F142" s="33"/>
      <c r="G142" s="213"/>
      <c r="H142" s="168"/>
      <c r="I142" s="269"/>
      <c r="J142" s="214">
        <v>0</v>
      </c>
      <c r="K142" s="496"/>
      <c r="L142" s="496"/>
      <c r="M142" s="496"/>
      <c r="N142" s="496"/>
      <c r="O142" s="496"/>
      <c r="P142" s="496"/>
    </row>
    <row r="143" spans="1:26" ht="19.5" hidden="1">
      <c r="A143" s="159"/>
      <c r="B143" s="33"/>
      <c r="C143" s="210"/>
      <c r="D143" s="281" t="s">
        <v>72</v>
      </c>
      <c r="E143" s="34"/>
      <c r="F143" s="33"/>
      <c r="G143" s="213"/>
      <c r="H143" s="168" t="s">
        <v>35</v>
      </c>
      <c r="I143" s="269">
        <f ca="1">I145</f>
        <v>0</v>
      </c>
      <c r="J143" s="269">
        <f ca="1">IF(AND(J144&gt;=I144,J145&gt;=I145),J145,0)</f>
        <v>0</v>
      </c>
      <c r="K143" s="496">
        <f t="shared" ref="K143:K146" ca="1" si="75">IF(I143&gt;0,J143*100/I143,0)</f>
        <v>0</v>
      </c>
      <c r="L143" s="496"/>
      <c r="M143" s="496"/>
      <c r="N143" s="496"/>
      <c r="O143" s="496"/>
      <c r="P143" s="496"/>
    </row>
    <row r="144" spans="1:26" ht="19.5" hidden="1">
      <c r="A144" s="159"/>
      <c r="B144" s="33"/>
      <c r="C144" s="210"/>
      <c r="D144" s="178"/>
      <c r="E144" s="281" t="s">
        <v>73</v>
      </c>
      <c r="F144" s="33"/>
      <c r="G144" s="213"/>
      <c r="H144" s="168" t="s">
        <v>35</v>
      </c>
      <c r="I144" s="269">
        <f ca="1">IFERROR(__xludf.DUMMYFUNCTION("IMPORTRANGE(""https://docs.google.com/spreadsheets/d/1QqKyyYR6Q21VydFLVH3TRQUabQu_ym0Zz7PgGX0-kHA/edit?usp=sharing"",""แผน!U72"")"),0)</f>
        <v>0</v>
      </c>
      <c r="J144" s="214">
        <v>0</v>
      </c>
      <c r="K144" s="496">
        <f t="shared" ca="1" si="75"/>
        <v>0</v>
      </c>
      <c r="L144" s="496"/>
      <c r="M144" s="496"/>
      <c r="N144" s="496"/>
      <c r="O144" s="496"/>
      <c r="P144" s="496"/>
    </row>
    <row r="145" spans="1:26" ht="19.5" hidden="1">
      <c r="A145" s="159"/>
      <c r="B145" s="33"/>
      <c r="C145" s="210"/>
      <c r="D145" s="178"/>
      <c r="E145" s="281" t="s">
        <v>74</v>
      </c>
      <c r="F145" s="33"/>
      <c r="G145" s="213"/>
      <c r="H145" s="168" t="s">
        <v>35</v>
      </c>
      <c r="I145" s="269">
        <f ca="1">IFERROR(__xludf.DUMMYFUNCTION("IMPORTRANGE(""https://docs.google.com/spreadsheets/d/1QqKyyYR6Q21VydFLVH3TRQUabQu_ym0Zz7PgGX0-kHA/edit?usp=sharing"",""แผน!V72"")"),0)</f>
        <v>0</v>
      </c>
      <c r="J145" s="214">
        <v>0</v>
      </c>
      <c r="K145" s="496">
        <f t="shared" ca="1" si="75"/>
        <v>0</v>
      </c>
      <c r="L145" s="496"/>
      <c r="M145" s="496"/>
      <c r="N145" s="496"/>
      <c r="O145" s="496"/>
      <c r="P145" s="496"/>
    </row>
    <row r="146" spans="1:26" ht="19.5" hidden="1">
      <c r="A146" s="159"/>
      <c r="B146" s="33"/>
      <c r="C146" s="210"/>
      <c r="D146" s="281" t="s">
        <v>75</v>
      </c>
      <c r="E146" s="34"/>
      <c r="F146" s="33"/>
      <c r="G146" s="213"/>
      <c r="H146" s="168" t="s">
        <v>69</v>
      </c>
      <c r="I146" s="269">
        <f ca="1">IFERROR(__xludf.DUMMYFUNCTION("IMPORTRANGE(""https://docs.google.com/spreadsheets/d/1QqKyyYR6Q21VydFLVH3TRQUabQu_ym0Zz7PgGX0-kHA/edit?usp=sharing"",""แผน!W72"")"),0)</f>
        <v>0</v>
      </c>
      <c r="J146" s="214">
        <v>0</v>
      </c>
      <c r="K146" s="496">
        <f t="shared" ca="1" si="75"/>
        <v>0</v>
      </c>
      <c r="L146" s="496"/>
      <c r="M146" s="496"/>
      <c r="N146" s="496"/>
      <c r="O146" s="496"/>
      <c r="P146" s="496"/>
    </row>
    <row r="147" spans="1:26" ht="19.5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>
      <c r="A148" s="216"/>
      <c r="B148" s="208" t="s">
        <v>77</v>
      </c>
      <c r="C148" s="208"/>
      <c r="D148" s="208"/>
      <c r="E148" s="824"/>
      <c r="F148" s="218"/>
      <c r="G148" s="219"/>
      <c r="H148" s="220" t="s">
        <v>35</v>
      </c>
      <c r="I148" s="144">
        <f t="shared" ref="I148:J148" ca="1" si="76">I159</f>
        <v>15</v>
      </c>
      <c r="J148" s="144">
        <f t="shared" si="76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1"/>
      <c r="R148" s="221"/>
      <c r="S148" s="221"/>
      <c r="T148" s="221"/>
      <c r="U148" s="221"/>
      <c r="V148" s="221"/>
      <c r="W148" s="221"/>
      <c r="X148" s="221"/>
      <c r="Y148" s="221"/>
      <c r="Z148" s="221"/>
    </row>
    <row r="149" spans="1:26" ht="19.5">
      <c r="A149" s="147"/>
      <c r="B149" s="148"/>
      <c r="C149" s="149" t="s">
        <v>16</v>
      </c>
      <c r="D149" s="822" t="s">
        <v>17</v>
      </c>
      <c r="E149" s="148"/>
      <c r="F149" s="148"/>
      <c r="G149" s="151"/>
      <c r="H149" s="152" t="s">
        <v>12</v>
      </c>
      <c r="I149" s="419"/>
      <c r="J149" s="419"/>
      <c r="K149" s="154"/>
      <c r="L149" s="155">
        <f t="shared" ref="L149:N149" ca="1" si="77">L150+L151</f>
        <v>7500</v>
      </c>
      <c r="M149" s="155">
        <f t="shared" ca="1" si="77"/>
        <v>7500</v>
      </c>
      <c r="N149" s="155">
        <f t="shared" ca="1" si="77"/>
        <v>0</v>
      </c>
      <c r="O149" s="155">
        <f t="shared" ref="O149:O157" ca="1" si="78">IF(L149&gt;0,N149*100/L149,0)</f>
        <v>0</v>
      </c>
      <c r="P149" s="155">
        <f t="shared" ref="P149:P157" ca="1" si="79">IF(M149&gt;0,N149*100/M149,0)</f>
        <v>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2" t="s">
        <v>18</v>
      </c>
      <c r="F150" s="40"/>
      <c r="G150" s="157"/>
      <c r="H150" s="158" t="s">
        <v>12</v>
      </c>
      <c r="I150" s="610"/>
      <c r="J150" s="610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2" t="s">
        <v>19</v>
      </c>
      <c r="F151" s="40"/>
      <c r="G151" s="157"/>
      <c r="H151" s="158" t="s">
        <v>12</v>
      </c>
      <c r="I151" s="610"/>
      <c r="J151" s="610"/>
      <c r="K151" s="93"/>
      <c r="L151" s="93">
        <f t="shared" ca="1" si="80"/>
        <v>7500</v>
      </c>
      <c r="M151" s="93">
        <f t="shared" ca="1" si="80"/>
        <v>7500</v>
      </c>
      <c r="N151" s="93">
        <f t="shared" ca="1" si="80"/>
        <v>0</v>
      </c>
      <c r="O151" s="93">
        <f t="shared" ca="1" si="78"/>
        <v>0</v>
      </c>
      <c r="P151" s="93">
        <f t="shared" ca="1" si="79"/>
        <v>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>
      <c r="A152" s="159"/>
      <c r="B152" s="33"/>
      <c r="C152" s="281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6">
        <f t="shared" ref="L152:N152" ca="1" si="81">L153+L154</f>
        <v>7500</v>
      </c>
      <c r="M152" s="496">
        <f t="shared" ca="1" si="81"/>
        <v>7500</v>
      </c>
      <c r="N152" s="496">
        <f t="shared" ca="1" si="81"/>
        <v>0</v>
      </c>
      <c r="O152" s="496">
        <f t="shared" ca="1" si="78"/>
        <v>0</v>
      </c>
      <c r="P152" s="496">
        <f t="shared" ca="1" si="79"/>
        <v>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2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2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IFERROR(__xludf.DUMMYFUNCTION("IMPORTRANGE(""https://docs.google.com/spreadsheets/d/1MeEWN-I1oV_STSDYn1IFDPWt_1FKiwhDph83XaGc0o0/edit?usp=sharing"",""งบพรบ!BU72"")"),7500)</f>
        <v>7500</v>
      </c>
      <c r="M154" s="93">
        <f ca="1">IFERROR(__xludf.DUMMYFUNCTION("IMPORTRANGE(""https://docs.google.com/spreadsheets/d/1MeEWN-I1oV_STSDYn1IFDPWt_1FKiwhDph83XaGc0o0/edit?usp=sharing"",""งบพรบ!BZ72"")"),7500)</f>
        <v>7500</v>
      </c>
      <c r="N154" s="93">
        <f ca="1">IFERROR(__xludf.DUMMYFUNCTION("IMPORTRANGE(""https://docs.google.com/spreadsheets/d/1MeEWN-I1oV_STSDYn1IFDPWt_1FKiwhDph83XaGc0o0/edit?usp=sharing"",""งบพรบ!CB72"")"),0)</f>
        <v>0</v>
      </c>
      <c r="O154" s="93">
        <f t="shared" ca="1" si="78"/>
        <v>0</v>
      </c>
      <c r="P154" s="93">
        <f t="shared" ca="1" si="79"/>
        <v>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>
      <c r="A155" s="159"/>
      <c r="B155" s="33"/>
      <c r="C155" s="281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6">
        <f t="shared" ref="L155:N155" ca="1" si="82">L156+L157</f>
        <v>0</v>
      </c>
      <c r="M155" s="496">
        <f t="shared" ca="1" si="82"/>
        <v>0</v>
      </c>
      <c r="N155" s="496">
        <f t="shared" ca="1" si="82"/>
        <v>0</v>
      </c>
      <c r="O155" s="496">
        <f t="shared" ca="1" si="78"/>
        <v>0</v>
      </c>
      <c r="P155" s="496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2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2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IFERROR(__xludf.DUMMYFUNCTION("IMPORTRANGE(""https://docs.google.com/spreadsheets/d/1MeEWN-I1oV_STSDYn1IFDPWt_1FKiwhDph83XaGc0o0/edit?usp=sharing"",""งบพรบ!BX72"")"),0)</f>
        <v>0</v>
      </c>
      <c r="M157" s="93">
        <f ca="1">IFERROR(__xludf.DUMMYFUNCTION("IMPORTRANGE(""https://docs.google.com/spreadsheets/d/1MeEWN-I1oV_STSDYn1IFDPWt_1FKiwhDph83XaGc0o0/edit?usp=sharing"",""งบพรบ!CA72"")"),0)</f>
        <v>0</v>
      </c>
      <c r="N157" s="93">
        <f ca="1">IFERROR(__xludf.DUMMYFUNCTION("IMPORTRANGE(""https://docs.google.com/spreadsheets/d/1MeEWN-I1oV_STSDYn1IFDPWt_1FKiwhDph83XaGc0o0/edit?usp=sharing"",""งบพรบ!CC72"")"),0)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>
      <c r="A158" s="170"/>
      <c r="B158" s="171"/>
      <c r="C158" s="164" t="s">
        <v>16</v>
      </c>
      <c r="D158" s="823" t="s">
        <v>38</v>
      </c>
      <c r="E158" s="173"/>
      <c r="F158" s="173"/>
      <c r="G158" s="174"/>
      <c r="H158" s="168"/>
      <c r="I158" s="269"/>
      <c r="J158" s="269"/>
      <c r="K158" s="496"/>
      <c r="L158" s="496"/>
      <c r="M158" s="496"/>
      <c r="N158" s="496"/>
      <c r="O158" s="496"/>
      <c r="P158" s="496"/>
    </row>
    <row r="159" spans="1:26" ht="19.5">
      <c r="A159" s="159"/>
      <c r="B159" s="33"/>
      <c r="C159" s="210"/>
      <c r="D159" s="281" t="s">
        <v>78</v>
      </c>
      <c r="E159" s="34"/>
      <c r="F159" s="33"/>
      <c r="G159" s="213"/>
      <c r="H159" s="168" t="s">
        <v>35</v>
      </c>
      <c r="I159" s="269">
        <f ca="1">IFERROR(__xludf.DUMMYFUNCTION("IMPORTRANGE(""https://docs.google.com/spreadsheets/d/1QqKyyYR6Q21VydFLVH3TRQUabQu_ym0Zz7PgGX0-kHA/edit?usp=sharing"",""แผน!X72"")"),15)</f>
        <v>15</v>
      </c>
      <c r="J159" s="214">
        <v>0</v>
      </c>
      <c r="K159" s="496">
        <f ca="1">IF(I159&gt;0,J159*100/I159,0)</f>
        <v>0</v>
      </c>
      <c r="L159" s="496"/>
      <c r="M159" s="496"/>
      <c r="N159" s="496"/>
      <c r="O159" s="496"/>
      <c r="P159" s="496"/>
    </row>
    <row r="160" spans="1:26" ht="19.5" hidden="1">
      <c r="A160" s="156"/>
      <c r="B160" s="40"/>
      <c r="C160" s="164"/>
      <c r="D160" s="222" t="s">
        <v>79</v>
      </c>
      <c r="E160" s="223"/>
      <c r="F160" s="40"/>
      <c r="G160" s="157"/>
      <c r="H160" s="169" t="s">
        <v>35</v>
      </c>
      <c r="I160" s="610"/>
      <c r="J160" s="610"/>
      <c r="K160" s="93"/>
      <c r="L160" s="93"/>
      <c r="M160" s="93"/>
      <c r="N160" s="93"/>
      <c r="O160" s="93"/>
      <c r="P160" s="93"/>
      <c r="Q160" s="224"/>
      <c r="R160" s="224"/>
      <c r="S160" s="224"/>
      <c r="T160" s="224"/>
      <c r="U160" s="224"/>
      <c r="V160" s="224"/>
      <c r="W160" s="224"/>
      <c r="X160" s="224"/>
      <c r="Y160" s="224"/>
      <c r="Z160" s="224"/>
    </row>
    <row r="161" spans="1:26" ht="19.5" hidden="1">
      <c r="A161" s="225"/>
      <c r="B161" s="226"/>
      <c r="C161" s="227"/>
      <c r="D161" s="228" t="s">
        <v>80</v>
      </c>
      <c r="E161" s="825"/>
      <c r="F161" s="226"/>
      <c r="G161" s="230"/>
      <c r="H161" s="231" t="s">
        <v>35</v>
      </c>
      <c r="I161" s="232"/>
      <c r="J161" s="232"/>
      <c r="K161" s="233"/>
      <c r="L161" s="233"/>
      <c r="M161" s="233"/>
      <c r="N161" s="233"/>
      <c r="O161" s="233"/>
      <c r="P161" s="233"/>
      <c r="Q161" s="224"/>
      <c r="R161" s="224"/>
      <c r="S161" s="224"/>
      <c r="T161" s="224"/>
      <c r="U161" s="224"/>
      <c r="V161" s="224"/>
      <c r="W161" s="224"/>
      <c r="X161" s="224"/>
      <c r="Y161" s="224"/>
      <c r="Z161" s="224"/>
    </row>
    <row r="162" spans="1:26" ht="19.5">
      <c r="A162" s="234" t="s">
        <v>81</v>
      </c>
      <c r="B162" s="235"/>
      <c r="C162" s="235"/>
      <c r="D162" s="235"/>
      <c r="E162" s="236"/>
      <c r="F162" s="236"/>
      <c r="G162" s="237"/>
      <c r="H162" s="238"/>
      <c r="I162" s="239"/>
      <c r="J162" s="239"/>
      <c r="K162" s="240"/>
      <c r="L162" s="240"/>
      <c r="M162" s="240"/>
      <c r="N162" s="240"/>
      <c r="O162" s="240"/>
      <c r="P162" s="240"/>
    </row>
    <row r="163" spans="1:26" ht="19.5">
      <c r="A163" s="241" t="s">
        <v>82</v>
      </c>
      <c r="B163" s="242"/>
      <c r="C163" s="242"/>
      <c r="D163" s="243"/>
      <c r="E163" s="243"/>
      <c r="F163" s="243"/>
      <c r="G163" s="244"/>
      <c r="H163" s="245"/>
      <c r="I163" s="246"/>
      <c r="J163" s="246"/>
      <c r="K163" s="247"/>
      <c r="L163" s="247"/>
      <c r="M163" s="247"/>
      <c r="N163" s="247"/>
      <c r="O163" s="247"/>
      <c r="P163" s="247"/>
    </row>
    <row r="164" spans="1:26" ht="19.5">
      <c r="A164" s="248"/>
      <c r="B164" s="249" t="s">
        <v>83</v>
      </c>
      <c r="C164" s="250"/>
      <c r="D164" s="173"/>
      <c r="E164" s="173"/>
      <c r="F164" s="173"/>
      <c r="G164" s="174"/>
      <c r="H164" s="251" t="s">
        <v>35</v>
      </c>
      <c r="I164" s="252">
        <f t="shared" ref="I164:J164" ca="1" si="83">I174+I177</f>
        <v>12</v>
      </c>
      <c r="J164" s="252">
        <f t="shared" si="83"/>
        <v>0</v>
      </c>
      <c r="K164" s="253">
        <f ca="1">IF(I164&gt;0,J164*100/I164,0)</f>
        <v>0</v>
      </c>
      <c r="L164" s="254"/>
      <c r="M164" s="254"/>
      <c r="N164" s="254"/>
      <c r="O164" s="254"/>
      <c r="P164" s="254"/>
    </row>
    <row r="165" spans="1:26" ht="19.5">
      <c r="A165" s="147"/>
      <c r="B165" s="148"/>
      <c r="C165" s="149" t="s">
        <v>16</v>
      </c>
      <c r="D165" s="822" t="s">
        <v>17</v>
      </c>
      <c r="E165" s="148"/>
      <c r="F165" s="148"/>
      <c r="G165" s="151"/>
      <c r="H165" s="152" t="s">
        <v>12</v>
      </c>
      <c r="I165" s="419"/>
      <c r="J165" s="419"/>
      <c r="K165" s="154"/>
      <c r="L165" s="155">
        <f t="shared" ref="L165:N165" ca="1" si="84">L166+L167</f>
        <v>23060</v>
      </c>
      <c r="M165" s="155">
        <f t="shared" ca="1" si="84"/>
        <v>23060</v>
      </c>
      <c r="N165" s="155">
        <f t="shared" ca="1" si="84"/>
        <v>23060</v>
      </c>
      <c r="O165" s="155">
        <f t="shared" ref="O165:O173" ca="1" si="85">IF(L165&gt;0,N165*100/L165,0)</f>
        <v>100</v>
      </c>
      <c r="P165" s="155">
        <f t="shared" ref="P165:P173" ca="1" si="86">IF(M165&gt;0,N165*100/M165,0)</f>
        <v>100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2" t="s">
        <v>18</v>
      </c>
      <c r="F166" s="40"/>
      <c r="G166" s="157"/>
      <c r="H166" s="158" t="s">
        <v>12</v>
      </c>
      <c r="I166" s="610"/>
      <c r="J166" s="610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2" t="s">
        <v>19</v>
      </c>
      <c r="F167" s="40"/>
      <c r="G167" s="157"/>
      <c r="H167" s="158" t="s">
        <v>12</v>
      </c>
      <c r="I167" s="610"/>
      <c r="J167" s="610"/>
      <c r="K167" s="93"/>
      <c r="L167" s="93">
        <f t="shared" ca="1" si="87"/>
        <v>23060</v>
      </c>
      <c r="M167" s="93">
        <f t="shared" ca="1" si="87"/>
        <v>23060</v>
      </c>
      <c r="N167" s="93">
        <f t="shared" ca="1" si="87"/>
        <v>23060</v>
      </c>
      <c r="O167" s="93">
        <f t="shared" ca="1" si="85"/>
        <v>100</v>
      </c>
      <c r="P167" s="93">
        <f t="shared" ca="1" si="86"/>
        <v>100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1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6">
        <f t="shared" ref="L168:N168" ca="1" si="88">L169+L170</f>
        <v>23060</v>
      </c>
      <c r="M168" s="496">
        <f t="shared" ca="1" si="88"/>
        <v>23060</v>
      </c>
      <c r="N168" s="496">
        <f t="shared" ca="1" si="88"/>
        <v>23060</v>
      </c>
      <c r="O168" s="496">
        <f t="shared" ca="1" si="85"/>
        <v>100</v>
      </c>
      <c r="P168" s="496">
        <f t="shared" ca="1" si="86"/>
        <v>100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2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2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IFERROR(__xludf.DUMMYFUNCTION("IMPORTRANGE(""https://docs.google.com/spreadsheets/d/1MeEWN-I1oV_STSDYn1IFDPWt_1FKiwhDph83XaGc0o0/edit?usp=sharing"",""งบพรบ!CE72"")"),23060)</f>
        <v>23060</v>
      </c>
      <c r="M170" s="93">
        <f ca="1">IFERROR(__xludf.DUMMYFUNCTION("IMPORTRANGE(""https://docs.google.com/spreadsheets/d/1MeEWN-I1oV_STSDYn1IFDPWt_1FKiwhDph83XaGc0o0/edit?usp=sharing"",""งบพรบ!CJ72"")"),23060)</f>
        <v>23060</v>
      </c>
      <c r="N170" s="93">
        <f ca="1">IFERROR(__xludf.DUMMYFUNCTION("IMPORTRANGE(""https://docs.google.com/spreadsheets/d/1MeEWN-I1oV_STSDYn1IFDPWt_1FKiwhDph83XaGc0o0/edit?usp=sharing"",""งบพรบ!CL72"")"),23060)</f>
        <v>23060</v>
      </c>
      <c r="O170" s="93">
        <f t="shared" ca="1" si="85"/>
        <v>100</v>
      </c>
      <c r="P170" s="93">
        <f t="shared" ca="1" si="86"/>
        <v>100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1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6">
        <f t="shared" ref="L171:N171" ca="1" si="89">L172+L173</f>
        <v>0</v>
      </c>
      <c r="M171" s="496">
        <f t="shared" ca="1" si="89"/>
        <v>0</v>
      </c>
      <c r="N171" s="496">
        <f t="shared" ca="1" si="89"/>
        <v>0</v>
      </c>
      <c r="O171" s="496">
        <f t="shared" ca="1" si="85"/>
        <v>0</v>
      </c>
      <c r="P171" s="496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2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2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IFERROR(__xludf.DUMMYFUNCTION("IMPORTRANGE(""https://docs.google.com/spreadsheets/d/1MeEWN-I1oV_STSDYn1IFDPWt_1FKiwhDph83XaGc0o0/edit?usp=sharing"",""งบพรบ!CH72"")"),0)</f>
        <v>0</v>
      </c>
      <c r="M173" s="93">
        <f ca="1">IFERROR(__xludf.DUMMYFUNCTION("IMPORTRANGE(""https://docs.google.com/spreadsheets/d/1MeEWN-I1oV_STSDYn1IFDPWt_1FKiwhDph83XaGc0o0/edit?usp=sharing"",""งบพรบ!CK72"")"),0)</f>
        <v>0</v>
      </c>
      <c r="N173" s="93">
        <f ca="1">IFERROR(__xludf.DUMMYFUNCTION("IMPORTRANGE(""https://docs.google.com/spreadsheets/d/1MeEWN-I1oV_STSDYn1IFDPWt_1FKiwhDph83XaGc0o0/edit?usp=sharing"",""งบพรบ!CM72"")"),0)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5"/>
      <c r="B174" s="256"/>
      <c r="C174" s="257" t="s">
        <v>84</v>
      </c>
      <c r="D174" s="256"/>
      <c r="E174" s="256"/>
      <c r="F174" s="256"/>
      <c r="G174" s="258"/>
      <c r="H174" s="259" t="s">
        <v>35</v>
      </c>
      <c r="I174" s="260">
        <f t="shared" ref="I174:J174" ca="1" si="90">I176</f>
        <v>12</v>
      </c>
      <c r="J174" s="260">
        <f t="shared" si="90"/>
        <v>0</v>
      </c>
      <c r="K174" s="261">
        <f ca="1">IF(I174&gt;0,J174*100/I174,0)</f>
        <v>0</v>
      </c>
      <c r="L174" s="261"/>
      <c r="M174" s="261"/>
      <c r="N174" s="261"/>
      <c r="O174" s="261"/>
      <c r="P174" s="261"/>
    </row>
    <row r="175" spans="1:26" ht="19.5">
      <c r="A175" s="170"/>
      <c r="B175" s="171"/>
      <c r="C175" s="164" t="s">
        <v>16</v>
      </c>
      <c r="D175" s="823" t="s">
        <v>38</v>
      </c>
      <c r="E175" s="173"/>
      <c r="F175" s="173"/>
      <c r="G175" s="174"/>
      <c r="H175" s="753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37" t="s">
        <v>85</v>
      </c>
      <c r="E176" s="178"/>
      <c r="F176" s="178"/>
      <c r="G176" s="179"/>
      <c r="H176" s="616" t="s">
        <v>35</v>
      </c>
      <c r="I176" s="269">
        <f ca="1">IFERROR(__xludf.DUMMYFUNCTION("IMPORTRANGE(""https://docs.google.com/spreadsheets/d/1QqKyyYR6Q21VydFLVH3TRQUabQu_ym0Zz7PgGX0-kHA/edit?usp=sharing"",""แผน!Y72"")"),12)</f>
        <v>12</v>
      </c>
      <c r="J176" s="214">
        <v>0</v>
      </c>
      <c r="K176" s="163">
        <f ca="1">IF(I176&gt;0,J176*100/I176,0)</f>
        <v>0</v>
      </c>
      <c r="L176" s="163"/>
      <c r="M176" s="163"/>
      <c r="N176" s="163"/>
      <c r="O176" s="163"/>
      <c r="P176" s="163"/>
    </row>
    <row r="177" spans="1:26" ht="19.5" hidden="1">
      <c r="A177" s="255"/>
      <c r="B177" s="263"/>
      <c r="C177" s="264" t="s">
        <v>86</v>
      </c>
      <c r="D177" s="263"/>
      <c r="E177" s="256"/>
      <c r="F177" s="256"/>
      <c r="G177" s="258"/>
      <c r="H177" s="265" t="s">
        <v>35</v>
      </c>
      <c r="I177" s="260"/>
      <c r="J177" s="260">
        <f>J179</f>
        <v>0</v>
      </c>
      <c r="K177" s="261"/>
      <c r="L177" s="261"/>
      <c r="M177" s="261"/>
      <c r="N177" s="261"/>
      <c r="O177" s="261"/>
      <c r="P177" s="261"/>
    </row>
    <row r="178" spans="1:26" ht="19.5" hidden="1">
      <c r="A178" s="170"/>
      <c r="B178" s="171"/>
      <c r="C178" s="164" t="s">
        <v>16</v>
      </c>
      <c r="D178" s="266" t="s">
        <v>38</v>
      </c>
      <c r="E178" s="173"/>
      <c r="F178" s="173"/>
      <c r="G178" s="174"/>
      <c r="H178" s="753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3" t="s">
        <v>87</v>
      </c>
      <c r="E179" s="178"/>
      <c r="F179" s="366"/>
      <c r="G179" s="179"/>
      <c r="H179" s="43" t="s">
        <v>35</v>
      </c>
      <c r="I179" s="269"/>
      <c r="J179" s="269"/>
      <c r="K179" s="163"/>
      <c r="L179" s="163"/>
      <c r="M179" s="163"/>
      <c r="N179" s="163"/>
      <c r="O179" s="163"/>
      <c r="P179" s="163"/>
    </row>
    <row r="180" spans="1:26" ht="19.5">
      <c r="A180" s="248"/>
      <c r="B180" s="249" t="s">
        <v>88</v>
      </c>
      <c r="C180" s="250"/>
      <c r="D180" s="173"/>
      <c r="E180" s="173"/>
      <c r="F180" s="173"/>
      <c r="G180" s="174"/>
      <c r="H180" s="251" t="s">
        <v>35</v>
      </c>
      <c r="I180" s="252">
        <f t="shared" ref="I180:J180" ca="1" si="91">I225+I226</f>
        <v>0</v>
      </c>
      <c r="J180" s="252">
        <f t="shared" si="91"/>
        <v>0</v>
      </c>
      <c r="K180" s="253">
        <f ca="1">IF(I180&gt;0,J180*100/I180,0)</f>
        <v>0</v>
      </c>
      <c r="L180" s="254"/>
      <c r="M180" s="254"/>
      <c r="N180" s="254"/>
      <c r="O180" s="254"/>
      <c r="P180" s="254"/>
    </row>
    <row r="181" spans="1:26" ht="19.5">
      <c r="A181" s="147"/>
      <c r="B181" s="148"/>
      <c r="C181" s="149" t="s">
        <v>16</v>
      </c>
      <c r="D181" s="822" t="s">
        <v>17</v>
      </c>
      <c r="E181" s="148"/>
      <c r="F181" s="148"/>
      <c r="G181" s="151"/>
      <c r="H181" s="152" t="s">
        <v>12</v>
      </c>
      <c r="I181" s="419"/>
      <c r="J181" s="419"/>
      <c r="K181" s="154"/>
      <c r="L181" s="155">
        <f t="shared" ref="L181:N181" ca="1" si="92">L182+L183</f>
        <v>27000</v>
      </c>
      <c r="M181" s="155">
        <f t="shared" ca="1" si="92"/>
        <v>12000</v>
      </c>
      <c r="N181" s="155">
        <f t="shared" ca="1" si="92"/>
        <v>1000</v>
      </c>
      <c r="O181" s="155">
        <f t="shared" ref="O181:O189" ca="1" si="93">IF(L181&gt;0,N181*100/L181,0)</f>
        <v>3.7037037037037037</v>
      </c>
      <c r="P181" s="155">
        <f t="shared" ref="P181:P189" ca="1" si="94">IF(M181&gt;0,N181*100/M181,0)</f>
        <v>8.3333333333333339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2" t="s">
        <v>18</v>
      </c>
      <c r="F182" s="40"/>
      <c r="G182" s="157"/>
      <c r="H182" s="158" t="s">
        <v>12</v>
      </c>
      <c r="I182" s="610"/>
      <c r="J182" s="610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2" t="s">
        <v>19</v>
      </c>
      <c r="F183" s="40"/>
      <c r="G183" s="157"/>
      <c r="H183" s="158" t="s">
        <v>12</v>
      </c>
      <c r="I183" s="610"/>
      <c r="J183" s="610"/>
      <c r="K183" s="93"/>
      <c r="L183" s="93">
        <f t="shared" ca="1" si="95"/>
        <v>27000</v>
      </c>
      <c r="M183" s="93">
        <f t="shared" ca="1" si="95"/>
        <v>12000</v>
      </c>
      <c r="N183" s="93">
        <f t="shared" ca="1" si="95"/>
        <v>1000</v>
      </c>
      <c r="O183" s="93">
        <f t="shared" ca="1" si="93"/>
        <v>3.7037037037037037</v>
      </c>
      <c r="P183" s="93">
        <f t="shared" ca="1" si="94"/>
        <v>8.3333333333333339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1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6">
        <f t="shared" ref="L184:N184" ca="1" si="96">L185+L186</f>
        <v>27000</v>
      </c>
      <c r="M184" s="496">
        <f t="shared" ca="1" si="96"/>
        <v>12000</v>
      </c>
      <c r="N184" s="496">
        <f t="shared" ca="1" si="96"/>
        <v>1000</v>
      </c>
      <c r="O184" s="496">
        <f t="shared" ca="1" si="93"/>
        <v>3.7037037037037037</v>
      </c>
      <c r="P184" s="496">
        <f t="shared" ca="1" si="94"/>
        <v>8.3333333333333339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2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2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IFERROR(__xludf.DUMMYFUNCTION("IMPORTRANGE(""https://docs.google.com/spreadsheets/d/1MeEWN-I1oV_STSDYn1IFDPWt_1FKiwhDph83XaGc0o0/edit?usp=sharing"",""งบพรบ!CO72"")"),27000)</f>
        <v>27000</v>
      </c>
      <c r="M186" s="93">
        <f ca="1">IFERROR(__xludf.DUMMYFUNCTION("IMPORTRANGE(""https://docs.google.com/spreadsheets/d/1MeEWN-I1oV_STSDYn1IFDPWt_1FKiwhDph83XaGc0o0/edit?usp=sharing"",""งบพรบ!CT72"")"),12000)</f>
        <v>12000</v>
      </c>
      <c r="N186" s="93">
        <f ca="1">IFERROR(__xludf.DUMMYFUNCTION("IMPORTRANGE(""https://docs.google.com/spreadsheets/d/1MeEWN-I1oV_STSDYn1IFDPWt_1FKiwhDph83XaGc0o0/edit?usp=sharing"",""งบพรบ!CV72"")"),1000)</f>
        <v>1000</v>
      </c>
      <c r="O186" s="93">
        <f t="shared" ca="1" si="93"/>
        <v>3.7037037037037037</v>
      </c>
      <c r="P186" s="93">
        <f t="shared" ca="1" si="94"/>
        <v>8.3333333333333339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1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6">
        <f t="shared" ref="L187:N187" ca="1" si="97">L188+L189</f>
        <v>0</v>
      </c>
      <c r="M187" s="496">
        <f t="shared" ca="1" si="97"/>
        <v>0</v>
      </c>
      <c r="N187" s="496">
        <f t="shared" ca="1" si="97"/>
        <v>0</v>
      </c>
      <c r="O187" s="496">
        <f t="shared" ca="1" si="93"/>
        <v>0</v>
      </c>
      <c r="P187" s="496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2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2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IFERROR(__xludf.DUMMYFUNCTION("IMPORTRANGE(""https://docs.google.com/spreadsheets/d/1MeEWN-I1oV_STSDYn1IFDPWt_1FKiwhDph83XaGc0o0/edit?usp=sharing"",""งบพรบ!CR72"")"),0)</f>
        <v>0</v>
      </c>
      <c r="M189" s="93">
        <f ca="1">IFERROR(__xludf.DUMMYFUNCTION("IMPORTRANGE(""https://docs.google.com/spreadsheets/d/1MeEWN-I1oV_STSDYn1IFDPWt_1FKiwhDph83XaGc0o0/edit?usp=sharing"",""งบพรบ!CU72"")"),0)</f>
        <v>0</v>
      </c>
      <c r="N189" s="93">
        <f ca="1">IFERROR(__xludf.DUMMYFUNCTION("IMPORTRANGE(""https://docs.google.com/spreadsheets/d/1MeEWN-I1oV_STSDYn1IFDPWt_1FKiwhDph83XaGc0o0/edit?usp=sharing"",""งบพรบ!CW72"")"),0)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5"/>
      <c r="B190" s="263"/>
      <c r="C190" s="270" t="s">
        <v>89</v>
      </c>
      <c r="D190" s="256"/>
      <c r="E190" s="256"/>
      <c r="F190" s="256"/>
      <c r="G190" s="258"/>
      <c r="H190" s="259" t="s">
        <v>90</v>
      </c>
      <c r="I190" s="271">
        <f t="shared" ref="I190:J190" ca="1" si="98">I193</f>
        <v>4</v>
      </c>
      <c r="J190" s="271">
        <f t="shared" si="98"/>
        <v>0</v>
      </c>
      <c r="K190" s="272">
        <f ca="1">IF(I190&gt;0,J190*100/I190,0)</f>
        <v>0</v>
      </c>
      <c r="L190" s="261"/>
      <c r="M190" s="261"/>
      <c r="N190" s="261"/>
      <c r="O190" s="261"/>
      <c r="P190" s="261"/>
    </row>
    <row r="191" spans="1:26" ht="19.5">
      <c r="A191" s="147"/>
      <c r="B191" s="148"/>
      <c r="C191" s="149" t="s">
        <v>16</v>
      </c>
      <c r="D191" s="826" t="s">
        <v>17</v>
      </c>
      <c r="E191" s="148"/>
      <c r="F191" s="148"/>
      <c r="G191" s="151"/>
      <c r="H191" s="274" t="s">
        <v>12</v>
      </c>
      <c r="I191" s="419"/>
      <c r="J191" s="419"/>
      <c r="K191" s="154"/>
      <c r="L191" s="155">
        <f ca="1">IFERROR(__xludf.DUMMYFUNCTION("IMPORTRANGE(""https://docs.google.com/spreadsheets/d/1QqKyyYR6Q21VydFLVH3TRQUabQu_ym0Zz7PgGX0-kHA/edit?usp=sharing"",""แผน!Z72"")"),6000)</f>
        <v>6000</v>
      </c>
      <c r="M191" s="155"/>
      <c r="N191" s="275">
        <v>1000</v>
      </c>
      <c r="O191" s="155">
        <f ca="1">IF(L191&gt;0,N191*100/L191,0)</f>
        <v>16.666666666666668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0" t="s">
        <v>16</v>
      </c>
      <c r="D192" s="823" t="s">
        <v>38</v>
      </c>
      <c r="E192" s="173"/>
      <c r="F192" s="173"/>
      <c r="G192" s="174"/>
      <c r="H192" s="753"/>
      <c r="I192" s="269"/>
      <c r="J192" s="269"/>
      <c r="K192" s="496"/>
      <c r="L192" s="496"/>
      <c r="M192" s="496"/>
      <c r="N192" s="496"/>
      <c r="O192" s="496"/>
      <c r="P192" s="496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6" t="s">
        <v>91</v>
      </c>
      <c r="E193" s="178"/>
      <c r="F193" s="178"/>
      <c r="G193" s="179"/>
      <c r="H193" s="755" t="s">
        <v>90</v>
      </c>
      <c r="I193" s="269">
        <f ca="1">IFERROR(__xludf.DUMMYFUNCTION("IMPORTRANGE(""https://docs.google.com/spreadsheets/d/1QqKyyYR6Q21VydFLVH3TRQUabQu_ym0Zz7PgGX0-kHA/edit?usp=sharing"",""แผน!AC72"")"),4)</f>
        <v>4</v>
      </c>
      <c r="J193" s="214">
        <v>0</v>
      </c>
      <c r="K193" s="496">
        <f ca="1">IF(I193&gt;0,J193*100/I193,0)</f>
        <v>0</v>
      </c>
      <c r="L193" s="496"/>
      <c r="M193" s="496"/>
      <c r="N193" s="496"/>
      <c r="O193" s="496"/>
      <c r="P193" s="496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6" t="s">
        <v>92</v>
      </c>
      <c r="E194" s="178"/>
      <c r="F194" s="178"/>
      <c r="G194" s="179"/>
      <c r="H194" s="276" t="s">
        <v>35</v>
      </c>
      <c r="I194" s="269"/>
      <c r="J194" s="269">
        <f>J195+J196</f>
        <v>0</v>
      </c>
      <c r="K194" s="496"/>
      <c r="L194" s="496"/>
      <c r="M194" s="496"/>
      <c r="N194" s="496"/>
      <c r="O194" s="496"/>
      <c r="P194" s="496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6" t="s">
        <v>93</v>
      </c>
      <c r="F195" s="178"/>
      <c r="G195" s="179"/>
      <c r="H195" s="276" t="s">
        <v>35</v>
      </c>
      <c r="I195" s="269"/>
      <c r="J195" s="214">
        <v>0</v>
      </c>
      <c r="K195" s="496"/>
      <c r="L195" s="496"/>
      <c r="M195" s="496"/>
      <c r="N195" s="496"/>
      <c r="O195" s="496"/>
      <c r="P195" s="496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6" t="s">
        <v>94</v>
      </c>
      <c r="F196" s="178"/>
      <c r="G196" s="179"/>
      <c r="H196" s="276" t="s">
        <v>35</v>
      </c>
      <c r="I196" s="269"/>
      <c r="J196" s="214">
        <v>0</v>
      </c>
      <c r="K196" s="496"/>
      <c r="L196" s="496"/>
      <c r="M196" s="496"/>
      <c r="N196" s="496"/>
      <c r="O196" s="496"/>
      <c r="P196" s="496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5"/>
      <c r="B197" s="263"/>
      <c r="C197" s="270" t="s">
        <v>95</v>
      </c>
      <c r="D197" s="256"/>
      <c r="E197" s="256"/>
      <c r="F197" s="256"/>
      <c r="G197" s="258"/>
      <c r="H197" s="277" t="s">
        <v>96</v>
      </c>
      <c r="I197" s="271">
        <f t="shared" ref="I197:J197" ca="1" si="99">I204</f>
        <v>1</v>
      </c>
      <c r="J197" s="271">
        <f t="shared" si="99"/>
        <v>0</v>
      </c>
      <c r="K197" s="272">
        <f ca="1">IF(I197&gt;0,J197*100/I197,0)</f>
        <v>0</v>
      </c>
      <c r="L197" s="261"/>
      <c r="M197" s="261"/>
      <c r="N197" s="261"/>
      <c r="O197" s="261"/>
      <c r="P197" s="261"/>
    </row>
    <row r="198" spans="1:26" ht="19.5">
      <c r="A198" s="147"/>
      <c r="B198" s="148"/>
      <c r="C198" s="149" t="s">
        <v>16</v>
      </c>
      <c r="D198" s="826" t="s">
        <v>17</v>
      </c>
      <c r="E198" s="148"/>
      <c r="F198" s="148"/>
      <c r="G198" s="151"/>
      <c r="H198" s="274" t="s">
        <v>12</v>
      </c>
      <c r="I198" s="418"/>
      <c r="J198" s="418"/>
      <c r="K198" s="279"/>
      <c r="L198" s="155">
        <f ca="1">L199+L200+L201+L202</f>
        <v>13000</v>
      </c>
      <c r="M198" s="155"/>
      <c r="N198" s="155">
        <f>N199+N200+N201+N202</f>
        <v>0</v>
      </c>
      <c r="O198" s="155">
        <f ca="1">IF(L198&gt;0,N198*100/L198,0)</f>
        <v>0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0"/>
      <c r="C199" s="33"/>
      <c r="D199" s="281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6">
        <f ca="1">IFERROR(__xludf.DUMMYFUNCTION("IMPORTRANGE(""https://docs.google.com/spreadsheets/d/1QqKyyYR6Q21VydFLVH3TRQUabQu_ym0Zz7PgGX0-kHA/edit?usp=sharing"",""แผน!AE72"")"),1000)</f>
        <v>1000</v>
      </c>
      <c r="M199" s="496"/>
      <c r="N199" s="817">
        <v>0</v>
      </c>
      <c r="O199" s="496"/>
      <c r="P199" s="496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4"/>
      <c r="B200" s="280"/>
      <c r="C200" s="210"/>
      <c r="D200" s="281" t="s">
        <v>98</v>
      </c>
      <c r="E200" s="33"/>
      <c r="F200" s="33"/>
      <c r="G200" s="35"/>
      <c r="H200" s="616" t="s">
        <v>12</v>
      </c>
      <c r="I200" s="269"/>
      <c r="J200" s="269"/>
      <c r="K200" s="496"/>
      <c r="L200" s="496">
        <f ca="1">IFERROR(__xludf.DUMMYFUNCTION("IMPORTRANGE(""https://docs.google.com/spreadsheets/d/1QqKyyYR6Q21VydFLVH3TRQUabQu_ym0Zz7PgGX0-kHA/edit?usp=sharing"",""แผน!AF72"")"),8000)</f>
        <v>8000</v>
      </c>
      <c r="M200" s="496"/>
      <c r="N200" s="817">
        <v>0</v>
      </c>
      <c r="O200" s="496"/>
      <c r="P200" s="496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>
      <c r="A201" s="284"/>
      <c r="B201" s="280"/>
      <c r="C201" s="210"/>
      <c r="D201" s="281" t="s">
        <v>99</v>
      </c>
      <c r="E201" s="33"/>
      <c r="F201" s="33"/>
      <c r="G201" s="35"/>
      <c r="H201" s="616" t="s">
        <v>12</v>
      </c>
      <c r="I201" s="269"/>
      <c r="J201" s="269"/>
      <c r="K201" s="496"/>
      <c r="L201" s="496">
        <f ca="1">IFERROR(__xludf.DUMMYFUNCTION("IMPORTRANGE(""https://docs.google.com/spreadsheets/d/1QqKyyYR6Q21VydFLVH3TRQUabQu_ym0Zz7PgGX0-kHA/edit?usp=sharing"",""แผน!AG72"")"),4000)</f>
        <v>4000</v>
      </c>
      <c r="M201" s="496"/>
      <c r="N201" s="817">
        <v>0</v>
      </c>
      <c r="O201" s="496"/>
      <c r="P201" s="496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>
      <c r="A202" s="284"/>
      <c r="B202" s="280"/>
      <c r="C202" s="210"/>
      <c r="D202" s="281" t="s">
        <v>100</v>
      </c>
      <c r="E202" s="33"/>
      <c r="F202" s="33"/>
      <c r="G202" s="35"/>
      <c r="H202" s="616" t="s">
        <v>12</v>
      </c>
      <c r="I202" s="269"/>
      <c r="J202" s="269"/>
      <c r="K202" s="496"/>
      <c r="L202" s="496">
        <f ca="1">IFERROR(__xludf.DUMMYFUNCTION("IMPORTRANGE(""https://docs.google.com/spreadsheets/d/1QqKyyYR6Q21VydFLVH3TRQUabQu_ym0Zz7PgGX0-kHA/edit?usp=sharing"",""แผน!AH72"")"),0)</f>
        <v>0</v>
      </c>
      <c r="M202" s="496"/>
      <c r="N202" s="817">
        <v>0</v>
      </c>
      <c r="O202" s="496"/>
      <c r="P202" s="496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>
      <c r="A203" s="170"/>
      <c r="B203" s="171"/>
      <c r="C203" s="210" t="s">
        <v>16</v>
      </c>
      <c r="D203" s="823" t="s">
        <v>38</v>
      </c>
      <c r="E203" s="173"/>
      <c r="F203" s="173"/>
      <c r="G203" s="174"/>
      <c r="H203" s="753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53" t="s">
        <v>96</v>
      </c>
      <c r="I204" s="269">
        <f ca="1">IFERROR(__xludf.DUMMYFUNCTION("IMPORTRANGE(""https://docs.google.com/spreadsheets/d/1QqKyyYR6Q21VydFLVH3TRQUabQu_ym0Zz7PgGX0-kHA/edit?usp=sharing"",""แผน!AI72"")"),1)</f>
        <v>1</v>
      </c>
      <c r="J204" s="214">
        <v>0</v>
      </c>
      <c r="K204" s="163">
        <f ca="1">IF(I204&gt;0,J204*100/I204,0)</f>
        <v>0</v>
      </c>
      <c r="L204" s="496"/>
      <c r="M204" s="496"/>
      <c r="N204" s="496"/>
      <c r="O204" s="496"/>
      <c r="P204" s="496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6" t="s">
        <v>59</v>
      </c>
      <c r="E205" s="178"/>
      <c r="F205" s="178"/>
      <c r="G205" s="179"/>
      <c r="H205" s="753"/>
      <c r="I205" s="269"/>
      <c r="J205" s="269"/>
      <c r="K205" s="163"/>
      <c r="L205" s="496"/>
      <c r="M205" s="496"/>
      <c r="N205" s="496"/>
      <c r="O205" s="496"/>
      <c r="P205" s="496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25" t="s">
        <v>102</v>
      </c>
      <c r="F206" s="287"/>
      <c r="G206" s="288"/>
      <c r="H206" s="289" t="s">
        <v>96</v>
      </c>
      <c r="I206" s="269">
        <v>1</v>
      </c>
      <c r="J206" s="214">
        <v>0</v>
      </c>
      <c r="K206" s="163">
        <f t="shared" ref="K206:K208" si="100">IF(I206&gt;0,J206*100/I206,0)</f>
        <v>0</v>
      </c>
      <c r="L206" s="496"/>
      <c r="M206" s="496"/>
      <c r="N206" s="496"/>
      <c r="O206" s="496"/>
      <c r="P206" s="496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6"/>
      <c r="E207" s="446" t="s">
        <v>103</v>
      </c>
      <c r="F207" s="178"/>
      <c r="G207" s="178"/>
      <c r="H207" s="290" t="s">
        <v>104</v>
      </c>
      <c r="I207" s="269">
        <v>0</v>
      </c>
      <c r="J207" s="214">
        <v>0</v>
      </c>
      <c r="K207" s="163">
        <f t="shared" si="100"/>
        <v>0</v>
      </c>
      <c r="L207" s="496"/>
      <c r="M207" s="496"/>
      <c r="N207" s="496"/>
      <c r="O207" s="496"/>
      <c r="P207" s="496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 hidden="1">
      <c r="A208" s="255"/>
      <c r="B208" s="263"/>
      <c r="C208" s="270" t="s">
        <v>105</v>
      </c>
      <c r="D208" s="256"/>
      <c r="E208" s="256"/>
      <c r="F208" s="291"/>
      <c r="G208" s="258"/>
      <c r="H208" s="277" t="s">
        <v>96</v>
      </c>
      <c r="I208" s="271">
        <f t="shared" ref="I208:J208" ca="1" si="101">I215</f>
        <v>0</v>
      </c>
      <c r="J208" s="271">
        <f t="shared" si="101"/>
        <v>0</v>
      </c>
      <c r="K208" s="272">
        <f t="shared" ca="1" si="100"/>
        <v>0</v>
      </c>
      <c r="L208" s="261"/>
      <c r="M208" s="261"/>
      <c r="N208" s="261"/>
      <c r="O208" s="261"/>
      <c r="P208" s="261"/>
    </row>
    <row r="209" spans="1:26" ht="19.5" hidden="1">
      <c r="A209" s="147"/>
      <c r="B209" s="148"/>
      <c r="C209" s="149" t="s">
        <v>16</v>
      </c>
      <c r="D209" s="826" t="s">
        <v>17</v>
      </c>
      <c r="E209" s="148"/>
      <c r="F209" s="148"/>
      <c r="G209" s="151"/>
      <c r="H209" s="274" t="s">
        <v>12</v>
      </c>
      <c r="I209" s="418"/>
      <c r="J209" s="418"/>
      <c r="K209" s="279"/>
      <c r="L209" s="155">
        <f ca="1">L210+L211+L212</f>
        <v>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 hidden="1">
      <c r="A210" s="159"/>
      <c r="B210" s="280"/>
      <c r="C210" s="33"/>
      <c r="D210" s="281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6">
        <f ca="1">IFERROR(__xludf.DUMMYFUNCTION("IMPORTRANGE(""https://docs.google.com/spreadsheets/d/1QqKyyYR6Q21VydFLVH3TRQUabQu_ym0Zz7PgGX0-kHA/edit?usp=sharing"",""แผน!AK72"")"),0)</f>
        <v>0</v>
      </c>
      <c r="M210" s="496"/>
      <c r="N210" s="817">
        <v>0</v>
      </c>
      <c r="O210" s="496"/>
      <c r="P210" s="496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 hidden="1">
      <c r="A211" s="284"/>
      <c r="B211" s="280"/>
      <c r="C211" s="292"/>
      <c r="D211" s="281" t="s">
        <v>99</v>
      </c>
      <c r="E211" s="33"/>
      <c r="F211" s="33"/>
      <c r="G211" s="35"/>
      <c r="H211" s="161" t="s">
        <v>12</v>
      </c>
      <c r="I211" s="269"/>
      <c r="J211" s="269"/>
      <c r="K211" s="496"/>
      <c r="L211" s="496">
        <f ca="1">IFERROR(__xludf.DUMMYFUNCTION("IMPORTRANGE(""https://docs.google.com/spreadsheets/d/1QqKyyYR6Q21VydFLVH3TRQUabQu_ym0Zz7PgGX0-kHA/edit?usp=sharing"",""แผน!AL72"")"),0)</f>
        <v>0</v>
      </c>
      <c r="M211" s="496"/>
      <c r="N211" s="817">
        <v>0</v>
      </c>
      <c r="O211" s="496"/>
      <c r="P211" s="496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 hidden="1">
      <c r="A212" s="284"/>
      <c r="B212" s="280"/>
      <c r="C212" s="292"/>
      <c r="D212" s="281" t="s">
        <v>98</v>
      </c>
      <c r="E212" s="33"/>
      <c r="F212" s="33"/>
      <c r="G212" s="35"/>
      <c r="H212" s="161" t="s">
        <v>12</v>
      </c>
      <c r="I212" s="269"/>
      <c r="J212" s="269"/>
      <c r="K212" s="496"/>
      <c r="L212" s="496">
        <f ca="1">IFERROR(__xludf.DUMMYFUNCTION("IMPORTRANGE(""https://docs.google.com/spreadsheets/d/1QqKyyYR6Q21VydFLVH3TRQUabQu_ym0Zz7PgGX0-kHA/edit?usp=sharing"",""แผน!AM72"")"),0)</f>
        <v>0</v>
      </c>
      <c r="M212" s="496"/>
      <c r="N212" s="817">
        <v>0</v>
      </c>
      <c r="O212" s="496"/>
      <c r="P212" s="496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 hidden="1">
      <c r="A213" s="170"/>
      <c r="B213" s="171"/>
      <c r="C213" s="292" t="s">
        <v>16</v>
      </c>
      <c r="D213" s="823" t="s">
        <v>38</v>
      </c>
      <c r="E213" s="173"/>
      <c r="F213" s="173"/>
      <c r="G213" s="174"/>
      <c r="H213" s="753"/>
      <c r="I213" s="184"/>
      <c r="J213" s="269"/>
      <c r="K213" s="496"/>
      <c r="L213" s="496"/>
      <c r="M213" s="496"/>
      <c r="N213" s="496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 hidden="1">
      <c r="A214" s="170"/>
      <c r="B214" s="171"/>
      <c r="C214" s="171"/>
      <c r="D214" s="176" t="s">
        <v>106</v>
      </c>
      <c r="E214" s="178"/>
      <c r="F214" s="178"/>
      <c r="G214" s="179"/>
      <c r="H214" s="753" t="s">
        <v>96</v>
      </c>
      <c r="I214" s="269">
        <f ca="1">IFERROR(__xludf.DUMMYFUNCTION("IMPORTRANGE(""https://docs.google.com/spreadsheets/d/1QqKyyYR6Q21VydFLVH3TRQUabQu_ym0Zz7PgGX0-kHA/edit?usp=sharing"",""แผน!AN72"")"),0)</f>
        <v>0</v>
      </c>
      <c r="J214" s="214">
        <v>0</v>
      </c>
      <c r="K214" s="496">
        <f t="shared" ref="K214:K216" ca="1" si="102">IF(I214&gt;0,J214*100/I214,0)</f>
        <v>0</v>
      </c>
      <c r="L214" s="496"/>
      <c r="M214" s="496"/>
      <c r="N214" s="496"/>
      <c r="O214" s="496"/>
      <c r="P214" s="496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 hidden="1">
      <c r="A215" s="170"/>
      <c r="B215" s="171"/>
      <c r="C215" s="171"/>
      <c r="D215" s="176" t="s">
        <v>107</v>
      </c>
      <c r="E215" s="178"/>
      <c r="F215" s="178"/>
      <c r="G215" s="179"/>
      <c r="H215" s="753" t="s">
        <v>96</v>
      </c>
      <c r="I215" s="269">
        <f ca="1">IFERROR(__xludf.DUMMYFUNCTION("IMPORTRANGE(""https://docs.google.com/spreadsheets/d/1QqKyyYR6Q21VydFLVH3TRQUabQu_ym0Zz7PgGX0-kHA/edit?usp=sharing"",""แผน!AN72"")"),0)</f>
        <v>0</v>
      </c>
      <c r="J215" s="214">
        <v>0</v>
      </c>
      <c r="K215" s="496">
        <f t="shared" ca="1" si="102"/>
        <v>0</v>
      </c>
      <c r="L215" s="496"/>
      <c r="M215" s="496"/>
      <c r="N215" s="496"/>
      <c r="O215" s="496"/>
      <c r="P215" s="496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5"/>
      <c r="B216" s="263"/>
      <c r="C216" s="270" t="s">
        <v>108</v>
      </c>
      <c r="D216" s="256"/>
      <c r="E216" s="256"/>
      <c r="F216" s="291"/>
      <c r="G216" s="258"/>
      <c r="H216" s="259" t="s">
        <v>109</v>
      </c>
      <c r="I216" s="271">
        <f t="shared" ref="I216:J216" ca="1" si="103">I224</f>
        <v>20000</v>
      </c>
      <c r="J216" s="271">
        <f t="shared" si="103"/>
        <v>0</v>
      </c>
      <c r="K216" s="272">
        <f t="shared" ca="1" si="102"/>
        <v>0</v>
      </c>
      <c r="L216" s="261"/>
      <c r="M216" s="261"/>
      <c r="N216" s="261"/>
      <c r="O216" s="261"/>
      <c r="P216" s="261"/>
    </row>
    <row r="217" spans="1:26" ht="19.5">
      <c r="A217" s="147"/>
      <c r="B217" s="148"/>
      <c r="C217" s="149" t="s">
        <v>16</v>
      </c>
      <c r="D217" s="826" t="s">
        <v>17</v>
      </c>
      <c r="E217" s="148"/>
      <c r="F217" s="148"/>
      <c r="G217" s="151"/>
      <c r="H217" s="274" t="s">
        <v>12</v>
      </c>
      <c r="I217" s="418"/>
      <c r="J217" s="418"/>
      <c r="K217" s="279"/>
      <c r="L217" s="155">
        <f ca="1">L218+L219+L220</f>
        <v>8000</v>
      </c>
      <c r="M217" s="155"/>
      <c r="N217" s="155">
        <f>N218+N219+N220</f>
        <v>0</v>
      </c>
      <c r="O217" s="155">
        <f ca="1">IF(L217&gt;0,N217*100/L217,0)</f>
        <v>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0"/>
      <c r="C218" s="33"/>
      <c r="D218" s="281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6">
        <f ca="1">IFERROR(__xludf.DUMMYFUNCTION("IMPORTRANGE(""https://docs.google.com/spreadsheets/d/1QqKyyYR6Q21VydFLVH3TRQUabQu_ym0Zz7PgGX0-kHA/edit?usp=sharing"",""แผน!AP72"")"),3000)</f>
        <v>3000</v>
      </c>
      <c r="M218" s="496"/>
      <c r="N218" s="817">
        <v>0</v>
      </c>
      <c r="O218" s="496"/>
      <c r="P218" s="496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4"/>
      <c r="B219" s="280"/>
      <c r="C219" s="292"/>
      <c r="D219" s="281" t="s">
        <v>110</v>
      </c>
      <c r="E219" s="33"/>
      <c r="F219" s="33"/>
      <c r="G219" s="35"/>
      <c r="H219" s="161" t="s">
        <v>12</v>
      </c>
      <c r="I219" s="269"/>
      <c r="J219" s="269"/>
      <c r="K219" s="496"/>
      <c r="L219" s="496">
        <f ca="1">IFERROR(__xludf.DUMMYFUNCTION("IMPORTRANGE(""https://docs.google.com/spreadsheets/d/1QqKyyYR6Q21VydFLVH3TRQUabQu_ym0Zz7PgGX0-kHA/edit?usp=sharing"",""แผน!AQ72"")"),5000)</f>
        <v>5000</v>
      </c>
      <c r="M219" s="496"/>
      <c r="N219" s="817">
        <v>0</v>
      </c>
      <c r="O219" s="496"/>
      <c r="P219" s="496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0"/>
      <c r="C220" s="292"/>
      <c r="D220" s="281" t="s">
        <v>98</v>
      </c>
      <c r="E220" s="33"/>
      <c r="F220" s="33"/>
      <c r="G220" s="35"/>
      <c r="H220" s="161" t="s">
        <v>12</v>
      </c>
      <c r="I220" s="269"/>
      <c r="J220" s="269"/>
      <c r="K220" s="496"/>
      <c r="L220" s="496">
        <f ca="1">IFERROR(__xludf.DUMMYFUNCTION("IMPORTRANGE(""https://docs.google.com/spreadsheets/d/1QqKyyYR6Q21VydFLVH3TRQUabQu_ym0Zz7PgGX0-kHA/edit?usp=sharing"",""แผน!AR72"")"),0)</f>
        <v>0</v>
      </c>
      <c r="M220" s="496"/>
      <c r="N220" s="817">
        <v>0</v>
      </c>
      <c r="O220" s="496"/>
      <c r="P220" s="496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70"/>
      <c r="B221" s="171"/>
      <c r="C221" s="292" t="s">
        <v>16</v>
      </c>
      <c r="D221" s="823" t="s">
        <v>38</v>
      </c>
      <c r="E221" s="173"/>
      <c r="F221" s="173"/>
      <c r="G221" s="174"/>
      <c r="H221" s="753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1" t="s">
        <v>111</v>
      </c>
      <c r="E222" s="178"/>
      <c r="F222" s="178"/>
      <c r="G222" s="179"/>
      <c r="H222" s="753"/>
      <c r="I222" s="269"/>
      <c r="J222" s="269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55" t="s">
        <v>109</v>
      </c>
      <c r="I223" s="269">
        <f ca="1">IFERROR(__xludf.DUMMYFUNCTION("IMPORTRANGE(""https://docs.google.com/spreadsheets/d/1QqKyyYR6Q21VydFLVH3TRQUabQu_ym0Zz7PgGX0-kHA/edit?usp=sharing"",""แผน!AT72"")"),20000)</f>
        <v>20000</v>
      </c>
      <c r="J223" s="214">
        <v>0</v>
      </c>
      <c r="K223" s="163">
        <f t="shared" ref="K223:K226" ca="1" si="104">IF(I223&gt;0,J223*100/I223,0)</f>
        <v>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55" t="s">
        <v>109</v>
      </c>
      <c r="I224" s="269">
        <f ca="1">IFERROR(__xludf.DUMMYFUNCTION("IMPORTRANGE(""https://docs.google.com/spreadsheets/d/1QqKyyYR6Q21VydFLVH3TRQUabQu_ym0Zz7PgGX0-kHA/edit?usp=sharing"",""แผน!AT72"")"),20000)</f>
        <v>20000</v>
      </c>
      <c r="J224" s="214">
        <v>0</v>
      </c>
      <c r="K224" s="163">
        <f t="shared" ca="1" si="104"/>
        <v>0</v>
      </c>
      <c r="L224" s="496"/>
      <c r="M224" s="496"/>
      <c r="N224" s="496"/>
      <c r="O224" s="496"/>
      <c r="P224" s="496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1" t="s">
        <v>114</v>
      </c>
      <c r="E225" s="178"/>
      <c r="F225" s="178"/>
      <c r="G225" s="179"/>
      <c r="H225" s="755" t="s">
        <v>35</v>
      </c>
      <c r="I225" s="269">
        <f ca="1">IFERROR(__xludf.DUMMYFUNCTION("IMPORTRANGE(""https://docs.google.com/spreadsheets/d/1QqKyyYR6Q21VydFLVH3TRQUabQu_ym0Zz7PgGX0-kHA/edit?usp=sharing"",""แผน!AS72"")"),0)</f>
        <v>0</v>
      </c>
      <c r="J225" s="214">
        <v>0</v>
      </c>
      <c r="K225" s="163">
        <f t="shared" ca="1" si="104"/>
        <v>0</v>
      </c>
      <c r="L225" s="496"/>
      <c r="M225" s="496"/>
      <c r="N225" s="496"/>
      <c r="O225" s="496"/>
      <c r="P225" s="496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5"/>
      <c r="B226" s="263"/>
      <c r="C226" s="341" t="s">
        <v>115</v>
      </c>
      <c r="D226" s="256"/>
      <c r="E226" s="256"/>
      <c r="F226" s="256"/>
      <c r="G226" s="258"/>
      <c r="H226" s="265" t="s">
        <v>35</v>
      </c>
      <c r="I226" s="344">
        <f t="shared" ref="I226:J226" ca="1" si="105">I237+I248</f>
        <v>0</v>
      </c>
      <c r="J226" s="344">
        <f t="shared" si="105"/>
        <v>0</v>
      </c>
      <c r="K226" s="345">
        <f t="shared" ca="1" si="104"/>
        <v>0</v>
      </c>
      <c r="L226" s="261"/>
      <c r="M226" s="261"/>
      <c r="N226" s="261"/>
      <c r="O226" s="261"/>
      <c r="P226" s="261"/>
    </row>
    <row r="227" spans="1:26" ht="19.5" hidden="1">
      <c r="A227" s="347"/>
      <c r="B227" s="348"/>
      <c r="C227" s="349" t="s">
        <v>16</v>
      </c>
      <c r="D227" s="827" t="s">
        <v>17</v>
      </c>
      <c r="E227" s="348"/>
      <c r="F227" s="348"/>
      <c r="G227" s="351"/>
      <c r="H227" s="352" t="s">
        <v>12</v>
      </c>
      <c r="I227" s="353"/>
      <c r="J227" s="353"/>
      <c r="K227" s="354"/>
      <c r="L227" s="355">
        <f t="shared" ref="L227:L231" ca="1" si="106">L238+L249</f>
        <v>0</v>
      </c>
      <c r="M227" s="355"/>
      <c r="N227" s="355">
        <f t="shared" ref="N227:N231" si="107">N238+N249</f>
        <v>0</v>
      </c>
      <c r="O227" s="828"/>
      <c r="P227" s="828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6"/>
      <c r="C228" s="40"/>
      <c r="D228" s="222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0</v>
      </c>
      <c r="M228" s="93"/>
      <c r="N228" s="93">
        <f t="shared" si="107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8"/>
      <c r="B229" s="356"/>
      <c r="C229" s="359"/>
      <c r="D229" s="222" t="s">
        <v>98</v>
      </c>
      <c r="E229" s="40"/>
      <c r="F229" s="40"/>
      <c r="G229" s="42"/>
      <c r="H229" s="165" t="s">
        <v>12</v>
      </c>
      <c r="I229" s="610"/>
      <c r="J229" s="610"/>
      <c r="K229" s="93"/>
      <c r="L229" s="93">
        <f t="shared" ca="1" si="106"/>
        <v>0</v>
      </c>
      <c r="M229" s="93"/>
      <c r="N229" s="93">
        <f t="shared" si="107"/>
        <v>0</v>
      </c>
      <c r="O229" s="93"/>
      <c r="P229" s="93"/>
      <c r="Q229" s="360"/>
      <c r="R229" s="360"/>
      <c r="S229" s="360"/>
      <c r="T229" s="360"/>
      <c r="U229" s="360"/>
      <c r="V229" s="360"/>
      <c r="W229" s="360"/>
      <c r="X229" s="360"/>
      <c r="Y229" s="360"/>
      <c r="Z229" s="360"/>
    </row>
    <row r="230" spans="1:26" ht="19.5" hidden="1">
      <c r="A230" s="358"/>
      <c r="B230" s="356"/>
      <c r="C230" s="359"/>
      <c r="D230" s="222" t="s">
        <v>116</v>
      </c>
      <c r="E230" s="40"/>
      <c r="F230" s="40"/>
      <c r="G230" s="42"/>
      <c r="H230" s="165" t="s">
        <v>12</v>
      </c>
      <c r="I230" s="610"/>
      <c r="J230" s="610"/>
      <c r="K230" s="93"/>
      <c r="L230" s="93">
        <f t="shared" ca="1" si="106"/>
        <v>0</v>
      </c>
      <c r="M230" s="93"/>
      <c r="N230" s="93">
        <f t="shared" si="107"/>
        <v>0</v>
      </c>
      <c r="O230" s="93"/>
      <c r="P230" s="93"/>
      <c r="Q230" s="360"/>
      <c r="R230" s="360"/>
      <c r="S230" s="360"/>
      <c r="T230" s="360"/>
      <c r="U230" s="360"/>
      <c r="V230" s="360"/>
      <c r="W230" s="360"/>
      <c r="X230" s="360"/>
      <c r="Y230" s="360"/>
      <c r="Z230" s="360"/>
    </row>
    <row r="231" spans="1:26" ht="19.5" hidden="1">
      <c r="A231" s="358"/>
      <c r="B231" s="356"/>
      <c r="C231" s="359"/>
      <c r="D231" s="222" t="s">
        <v>100</v>
      </c>
      <c r="E231" s="40"/>
      <c r="F231" s="40"/>
      <c r="G231" s="42"/>
      <c r="H231" s="165" t="s">
        <v>12</v>
      </c>
      <c r="I231" s="610"/>
      <c r="J231" s="610"/>
      <c r="K231" s="93"/>
      <c r="L231" s="93">
        <f t="shared" ca="1" si="106"/>
        <v>0</v>
      </c>
      <c r="M231" s="93"/>
      <c r="N231" s="93">
        <f t="shared" si="107"/>
        <v>0</v>
      </c>
      <c r="O231" s="93"/>
      <c r="P231" s="93"/>
      <c r="Q231" s="360"/>
      <c r="R231" s="360"/>
      <c r="S231" s="360"/>
      <c r="T231" s="360"/>
      <c r="U231" s="360"/>
      <c r="V231" s="360"/>
      <c r="W231" s="360"/>
      <c r="X231" s="360"/>
      <c r="Y231" s="360"/>
      <c r="Z231" s="360"/>
    </row>
    <row r="232" spans="1:26" ht="19.5" hidden="1">
      <c r="A232" s="361"/>
      <c r="B232" s="362"/>
      <c r="C232" s="359" t="s">
        <v>16</v>
      </c>
      <c r="D232" s="266" t="s">
        <v>38</v>
      </c>
      <c r="E232" s="363"/>
      <c r="F232" s="363"/>
      <c r="G232" s="364"/>
      <c r="H232" s="365"/>
      <c r="I232" s="166"/>
      <c r="J232" s="610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1"/>
      <c r="B233" s="362"/>
      <c r="C233" s="362"/>
      <c r="D233" s="366" t="s">
        <v>117</v>
      </c>
      <c r="E233" s="372"/>
      <c r="F233" s="372"/>
      <c r="G233" s="368"/>
      <c r="H233" s="369" t="s">
        <v>35</v>
      </c>
      <c r="I233" s="610">
        <f t="shared" ref="I233:J233" ca="1" si="108">I244+I255</f>
        <v>0</v>
      </c>
      <c r="J233" s="610">
        <f t="shared" si="108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1"/>
      <c r="B234" s="362"/>
      <c r="C234" s="362"/>
      <c r="D234" s="371" t="s">
        <v>43</v>
      </c>
      <c r="E234" s="372"/>
      <c r="F234" s="372"/>
      <c r="G234" s="368"/>
      <c r="H234" s="369"/>
      <c r="I234" s="610"/>
      <c r="J234" s="610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1"/>
      <c r="B235" s="362"/>
      <c r="C235" s="362"/>
      <c r="D235" s="362"/>
      <c r="E235" s="373" t="s">
        <v>118</v>
      </c>
      <c r="F235" s="372"/>
      <c r="G235" s="368"/>
      <c r="H235" s="369" t="s">
        <v>35</v>
      </c>
      <c r="I235" s="610">
        <f t="shared" ref="I235:J236" si="109">I246+I257</f>
        <v>0</v>
      </c>
      <c r="J235" s="610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1"/>
      <c r="B236" s="362"/>
      <c r="C236" s="362"/>
      <c r="D236" s="362"/>
      <c r="E236" s="373" t="s">
        <v>119</v>
      </c>
      <c r="F236" s="372"/>
      <c r="G236" s="368"/>
      <c r="H236" s="369" t="s">
        <v>69</v>
      </c>
      <c r="I236" s="610">
        <f t="shared" si="109"/>
        <v>0</v>
      </c>
      <c r="J236" s="610">
        <f t="shared" si="109"/>
        <v>0</v>
      </c>
      <c r="K236" s="93">
        <f t="shared" si="110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5"/>
      <c r="B237" s="263"/>
      <c r="C237" s="270" t="s">
        <v>120</v>
      </c>
      <c r="D237" s="256"/>
      <c r="E237" s="256"/>
      <c r="F237" s="256"/>
      <c r="G237" s="258"/>
      <c r="H237" s="259" t="s">
        <v>35</v>
      </c>
      <c r="I237" s="271">
        <f t="shared" ref="I237:J237" ca="1" si="111">I244</f>
        <v>0</v>
      </c>
      <c r="J237" s="271">
        <f t="shared" si="111"/>
        <v>0</v>
      </c>
      <c r="K237" s="272">
        <f t="shared" ca="1" si="110"/>
        <v>0</v>
      </c>
      <c r="L237" s="261"/>
      <c r="M237" s="261"/>
      <c r="N237" s="261"/>
      <c r="O237" s="261"/>
      <c r="P237" s="261"/>
    </row>
    <row r="238" spans="1:26" ht="19.5" hidden="1">
      <c r="A238" s="147"/>
      <c r="B238" s="148"/>
      <c r="C238" s="149" t="s">
        <v>16</v>
      </c>
      <c r="D238" s="822" t="s">
        <v>17</v>
      </c>
      <c r="E238" s="148"/>
      <c r="F238" s="148"/>
      <c r="G238" s="151"/>
      <c r="H238" s="274" t="s">
        <v>12</v>
      </c>
      <c r="I238" s="418"/>
      <c r="J238" s="418"/>
      <c r="K238" s="279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4"/>
      <c r="B239" s="315"/>
      <c r="C239" s="316"/>
      <c r="D239" s="324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282">
        <f ca="1">IFERROR(__xludf.DUMMYFUNCTION("IMPORTRANGE(""https://docs.google.com/spreadsheets/d/1QqKyyYR6Q21VydFLVH3TRQUabQu_ym0Zz7PgGX0-kHA/edit?usp=sharing"",""แผน!AV72"")"),0)</f>
        <v>0</v>
      </c>
      <c r="M239" s="282"/>
      <c r="N239" s="829">
        <v>0</v>
      </c>
      <c r="O239" s="282"/>
      <c r="P239" s="28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 hidden="1">
      <c r="A240" s="322"/>
      <c r="B240" s="315"/>
      <c r="C240" s="323"/>
      <c r="D240" s="324" t="s">
        <v>98</v>
      </c>
      <c r="E240" s="316"/>
      <c r="F240" s="316"/>
      <c r="G240" s="318"/>
      <c r="H240" s="319" t="s">
        <v>12</v>
      </c>
      <c r="I240" s="325"/>
      <c r="J240" s="325"/>
      <c r="K240" s="282"/>
      <c r="L240" s="282">
        <f ca="1">IFERROR(__xludf.DUMMYFUNCTION("IMPORTRANGE(""https://docs.google.com/spreadsheets/d/1QqKyyYR6Q21VydFLVH3TRQUabQu_ym0Zz7PgGX0-kHA/edit?usp=sharing"",""แผน!AW72"")"),0)</f>
        <v>0</v>
      </c>
      <c r="M240" s="282"/>
      <c r="N240" s="829">
        <v>0</v>
      </c>
      <c r="O240" s="282"/>
      <c r="P240" s="282"/>
      <c r="Q240" s="326"/>
      <c r="R240" s="326"/>
      <c r="S240" s="326"/>
      <c r="T240" s="326"/>
      <c r="U240" s="326"/>
      <c r="V240" s="326"/>
      <c r="W240" s="326"/>
      <c r="X240" s="326"/>
      <c r="Y240" s="326"/>
      <c r="Z240" s="326"/>
    </row>
    <row r="241" spans="1:26" ht="19.5" hidden="1">
      <c r="A241" s="322"/>
      <c r="B241" s="315"/>
      <c r="C241" s="323"/>
      <c r="D241" s="324" t="s">
        <v>116</v>
      </c>
      <c r="E241" s="316"/>
      <c r="F241" s="316"/>
      <c r="G241" s="318"/>
      <c r="H241" s="319" t="s">
        <v>12</v>
      </c>
      <c r="I241" s="325"/>
      <c r="J241" s="325"/>
      <c r="K241" s="282"/>
      <c r="L241" s="282">
        <f ca="1">IFERROR(__xludf.DUMMYFUNCTION("IMPORTRANGE(""https://docs.google.com/spreadsheets/d/1QqKyyYR6Q21VydFLVH3TRQUabQu_ym0Zz7PgGX0-kHA/edit?usp=sharing"",""แผน!AX72"")"),0)</f>
        <v>0</v>
      </c>
      <c r="M241" s="282"/>
      <c r="N241" s="829">
        <v>0</v>
      </c>
      <c r="O241" s="282"/>
      <c r="P241" s="282"/>
      <c r="Q241" s="326"/>
      <c r="R241" s="326"/>
      <c r="S241" s="326"/>
      <c r="T241" s="326"/>
      <c r="U241" s="326"/>
      <c r="V241" s="326"/>
      <c r="W241" s="326"/>
      <c r="X241" s="326"/>
      <c r="Y241" s="326"/>
      <c r="Z241" s="326"/>
    </row>
    <row r="242" spans="1:26" ht="19.5" hidden="1">
      <c r="A242" s="322"/>
      <c r="B242" s="315"/>
      <c r="C242" s="323"/>
      <c r="D242" s="324" t="s">
        <v>100</v>
      </c>
      <c r="E242" s="316"/>
      <c r="F242" s="316"/>
      <c r="G242" s="318"/>
      <c r="H242" s="319" t="s">
        <v>12</v>
      </c>
      <c r="I242" s="325"/>
      <c r="J242" s="325"/>
      <c r="K242" s="282"/>
      <c r="L242" s="282">
        <f ca="1">IFERROR(__xludf.DUMMYFUNCTION("IMPORTRANGE(""https://docs.google.com/spreadsheets/d/1QqKyyYR6Q21VydFLVH3TRQUabQu_ym0Zz7PgGX0-kHA/edit?usp=sharing"",""แผน!AY72"")"),0)</f>
        <v>0</v>
      </c>
      <c r="M242" s="282"/>
      <c r="N242" s="829">
        <v>0</v>
      </c>
      <c r="O242" s="282"/>
      <c r="P242" s="282"/>
      <c r="Q242" s="326"/>
      <c r="R242" s="326"/>
      <c r="S242" s="326"/>
      <c r="T242" s="326"/>
      <c r="U242" s="326"/>
      <c r="V242" s="326"/>
      <c r="W242" s="326"/>
      <c r="X242" s="326"/>
      <c r="Y242" s="326"/>
      <c r="Z242" s="326"/>
    </row>
    <row r="243" spans="1:26" ht="19.5" hidden="1">
      <c r="A243" s="170"/>
      <c r="B243" s="171"/>
      <c r="C243" s="292" t="s">
        <v>16</v>
      </c>
      <c r="D243" s="823" t="s">
        <v>38</v>
      </c>
      <c r="E243" s="173"/>
      <c r="F243" s="173"/>
      <c r="G243" s="174"/>
      <c r="H243" s="753"/>
      <c r="I243" s="184"/>
      <c r="J243" s="269"/>
      <c r="K243" s="496"/>
      <c r="L243" s="496"/>
      <c r="M243" s="496"/>
      <c r="N243" s="496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46" t="s">
        <v>117</v>
      </c>
      <c r="E244" s="178"/>
      <c r="F244" s="178"/>
      <c r="G244" s="179"/>
      <c r="H244" s="755" t="s">
        <v>35</v>
      </c>
      <c r="I244" s="269">
        <f ca="1">IFERROR(__xludf.DUMMYFUNCTION("IMPORTRANGE(""https://docs.google.com/spreadsheets/d/1QqKyyYR6Q21VydFLVH3TRQUabQu_ym0Zz7PgGX0-kHA/edit?usp=sharing"",""แผน!BE72"")"),0)</f>
        <v>0</v>
      </c>
      <c r="J244" s="214">
        <v>0</v>
      </c>
      <c r="K244" s="496">
        <f ca="1">IF(I244&gt;0,J244*100/I244,0)</f>
        <v>0</v>
      </c>
      <c r="L244" s="496"/>
      <c r="M244" s="496"/>
      <c r="N244" s="496"/>
      <c r="O244" s="496"/>
      <c r="P244" s="496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830" t="s">
        <v>43</v>
      </c>
      <c r="E245" s="178"/>
      <c r="F245" s="178"/>
      <c r="G245" s="179"/>
      <c r="H245" s="755"/>
      <c r="I245" s="269"/>
      <c r="J245" s="269"/>
      <c r="K245" s="496"/>
      <c r="L245" s="496"/>
      <c r="M245" s="496"/>
      <c r="N245" s="496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176" t="s">
        <v>118</v>
      </c>
      <c r="F246" s="178"/>
      <c r="G246" s="179"/>
      <c r="H246" s="755" t="s">
        <v>35</v>
      </c>
      <c r="I246" s="269"/>
      <c r="J246" s="214">
        <v>0</v>
      </c>
      <c r="K246" s="496">
        <f t="shared" ref="K246:K248" si="112">IF(I246&gt;0,J246*100/I246,0)</f>
        <v>0</v>
      </c>
      <c r="L246" s="496"/>
      <c r="M246" s="496"/>
      <c r="N246" s="496"/>
      <c r="O246" s="496"/>
      <c r="P246" s="496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176" t="s">
        <v>119</v>
      </c>
      <c r="F247" s="178"/>
      <c r="G247" s="179"/>
      <c r="H247" s="755" t="s">
        <v>69</v>
      </c>
      <c r="I247" s="269"/>
      <c r="J247" s="214">
        <v>0</v>
      </c>
      <c r="K247" s="496">
        <f t="shared" si="112"/>
        <v>0</v>
      </c>
      <c r="L247" s="496"/>
      <c r="M247" s="496"/>
      <c r="N247" s="496"/>
      <c r="O247" s="496"/>
      <c r="P247" s="496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5"/>
      <c r="B248" s="263"/>
      <c r="C248" s="270" t="s">
        <v>121</v>
      </c>
      <c r="D248" s="256"/>
      <c r="E248" s="256"/>
      <c r="F248" s="256"/>
      <c r="G248" s="258"/>
      <c r="H248" s="259" t="s">
        <v>35</v>
      </c>
      <c r="I248" s="271">
        <f t="shared" ref="I248:J248" ca="1" si="113">I255</f>
        <v>0</v>
      </c>
      <c r="J248" s="271">
        <f t="shared" si="113"/>
        <v>0</v>
      </c>
      <c r="K248" s="272">
        <f t="shared" ca="1" si="112"/>
        <v>0</v>
      </c>
      <c r="L248" s="261"/>
      <c r="M248" s="261"/>
      <c r="N248" s="261"/>
      <c r="O248" s="261"/>
      <c r="P248" s="261"/>
    </row>
    <row r="249" spans="1:26" ht="19.5" hidden="1">
      <c r="A249" s="147"/>
      <c r="B249" s="148"/>
      <c r="C249" s="149" t="s">
        <v>16</v>
      </c>
      <c r="D249" s="826" t="s">
        <v>17</v>
      </c>
      <c r="E249" s="148"/>
      <c r="F249" s="148"/>
      <c r="G249" s="151"/>
      <c r="H249" s="274" t="s">
        <v>12</v>
      </c>
      <c r="I249" s="418"/>
      <c r="J249" s="418"/>
      <c r="K249" s="279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4"/>
      <c r="B250" s="315"/>
      <c r="C250" s="316"/>
      <c r="D250" s="324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282">
        <f ca="1">IFERROR(__xludf.DUMMYFUNCTION("IMPORTRANGE(""https://docs.google.com/spreadsheets/d/1QqKyyYR6Q21VydFLVH3TRQUabQu_ym0Zz7PgGX0-kHA/edit?usp=sharing"",""แผน!AZ72"")"),0)</f>
        <v>0</v>
      </c>
      <c r="M250" s="282"/>
      <c r="N250" s="829">
        <v>0</v>
      </c>
      <c r="O250" s="282"/>
      <c r="P250" s="282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9.5" hidden="1">
      <c r="A251" s="322"/>
      <c r="B251" s="315"/>
      <c r="C251" s="323"/>
      <c r="D251" s="324" t="s">
        <v>98</v>
      </c>
      <c r="E251" s="316"/>
      <c r="F251" s="316"/>
      <c r="G251" s="318"/>
      <c r="H251" s="319" t="s">
        <v>12</v>
      </c>
      <c r="I251" s="325"/>
      <c r="J251" s="325"/>
      <c r="K251" s="282"/>
      <c r="L251" s="282">
        <f ca="1">IFERROR(__xludf.DUMMYFUNCTION("IMPORTRANGE(""https://docs.google.com/spreadsheets/d/1QqKyyYR6Q21VydFLVH3TRQUabQu_ym0Zz7PgGX0-kHA/edit?usp=sharing"",""แผน!BA72"")"),0)</f>
        <v>0</v>
      </c>
      <c r="M251" s="282"/>
      <c r="N251" s="829">
        <v>0</v>
      </c>
      <c r="O251" s="282"/>
      <c r="P251" s="282"/>
      <c r="Q251" s="326"/>
      <c r="R251" s="326"/>
      <c r="S251" s="326"/>
      <c r="T251" s="326"/>
      <c r="U251" s="326"/>
      <c r="V251" s="326"/>
      <c r="W251" s="326"/>
      <c r="X251" s="326"/>
      <c r="Y251" s="326"/>
      <c r="Z251" s="326"/>
    </row>
    <row r="252" spans="1:26" ht="19.5" hidden="1">
      <c r="A252" s="322"/>
      <c r="B252" s="315"/>
      <c r="C252" s="323"/>
      <c r="D252" s="324" t="s">
        <v>116</v>
      </c>
      <c r="E252" s="316"/>
      <c r="F252" s="316"/>
      <c r="G252" s="318"/>
      <c r="H252" s="319" t="s">
        <v>12</v>
      </c>
      <c r="I252" s="325"/>
      <c r="J252" s="325"/>
      <c r="K252" s="282"/>
      <c r="L252" s="282">
        <f ca="1">IFERROR(__xludf.DUMMYFUNCTION("IMPORTRANGE(""https://docs.google.com/spreadsheets/d/1QqKyyYR6Q21VydFLVH3TRQUabQu_ym0Zz7PgGX0-kHA/edit?usp=sharing"",""แผน!BB72"")"),0)</f>
        <v>0</v>
      </c>
      <c r="M252" s="282"/>
      <c r="N252" s="829">
        <v>0</v>
      </c>
      <c r="O252" s="282"/>
      <c r="P252" s="282"/>
      <c r="Q252" s="326"/>
      <c r="R252" s="326"/>
      <c r="S252" s="326"/>
      <c r="T252" s="326"/>
      <c r="U252" s="326"/>
      <c r="V252" s="326"/>
      <c r="W252" s="326"/>
      <c r="X252" s="326"/>
      <c r="Y252" s="326"/>
      <c r="Z252" s="326"/>
    </row>
    <row r="253" spans="1:26" ht="19.5" hidden="1">
      <c r="A253" s="322"/>
      <c r="B253" s="315"/>
      <c r="C253" s="323"/>
      <c r="D253" s="324" t="s">
        <v>100</v>
      </c>
      <c r="E253" s="316"/>
      <c r="F253" s="316"/>
      <c r="G253" s="318"/>
      <c r="H253" s="319" t="s">
        <v>12</v>
      </c>
      <c r="I253" s="325"/>
      <c r="J253" s="325"/>
      <c r="K253" s="282"/>
      <c r="L253" s="282">
        <f ca="1">IFERROR(__xludf.DUMMYFUNCTION("IMPORTRANGE(""https://docs.google.com/spreadsheets/d/1QqKyyYR6Q21VydFLVH3TRQUabQu_ym0Zz7PgGX0-kHA/edit?usp=sharing"",""แผน!BC72"")"),0)</f>
        <v>0</v>
      </c>
      <c r="M253" s="282"/>
      <c r="N253" s="829">
        <v>0</v>
      </c>
      <c r="O253" s="282"/>
      <c r="P253" s="282"/>
      <c r="Q253" s="326"/>
      <c r="R253" s="326"/>
      <c r="S253" s="326"/>
      <c r="T253" s="326"/>
      <c r="U253" s="326"/>
      <c r="V253" s="326"/>
      <c r="W253" s="326"/>
      <c r="X253" s="326"/>
      <c r="Y253" s="326"/>
      <c r="Z253" s="326"/>
    </row>
    <row r="254" spans="1:26" ht="19.5" hidden="1">
      <c r="A254" s="170"/>
      <c r="B254" s="171"/>
      <c r="C254" s="292" t="s">
        <v>16</v>
      </c>
      <c r="D254" s="823" t="s">
        <v>38</v>
      </c>
      <c r="E254" s="173"/>
      <c r="F254" s="173"/>
      <c r="G254" s="174"/>
      <c r="H254" s="753"/>
      <c r="I254" s="184"/>
      <c r="J254" s="269"/>
      <c r="K254" s="496"/>
      <c r="L254" s="496"/>
      <c r="M254" s="496"/>
      <c r="N254" s="496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6" t="s">
        <v>117</v>
      </c>
      <c r="E255" s="178"/>
      <c r="F255" s="178"/>
      <c r="G255" s="179"/>
      <c r="H255" s="755" t="s">
        <v>35</v>
      </c>
      <c r="I255" s="269">
        <f ca="1">IFERROR(__xludf.DUMMYFUNCTION("IMPORTRANGE(""https://docs.google.com/spreadsheets/d/1QqKyyYR6Q21VydFLVH3TRQUabQu_ym0Zz7PgGX0-kHA/edit?usp=sharing"",""แผน!BF72"")"),0)</f>
        <v>0</v>
      </c>
      <c r="J255" s="214">
        <v>0</v>
      </c>
      <c r="K255" s="496">
        <f ca="1">IF(I255&gt;0,J255*100/I255,0)</f>
        <v>0</v>
      </c>
      <c r="L255" s="496"/>
      <c r="M255" s="496"/>
      <c r="N255" s="496"/>
      <c r="O255" s="496"/>
      <c r="P255" s="496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30" t="s">
        <v>43</v>
      </c>
      <c r="E256" s="178"/>
      <c r="F256" s="178"/>
      <c r="G256" s="179"/>
      <c r="H256" s="755"/>
      <c r="I256" s="269"/>
      <c r="J256" s="269"/>
      <c r="K256" s="496"/>
      <c r="L256" s="496"/>
      <c r="M256" s="496"/>
      <c r="N256" s="496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55" t="s">
        <v>35</v>
      </c>
      <c r="I257" s="269"/>
      <c r="J257" s="214">
        <v>0</v>
      </c>
      <c r="K257" s="496">
        <f t="shared" ref="K257:K258" si="114">IF(I257&gt;0,J257*100/I257,0)</f>
        <v>0</v>
      </c>
      <c r="L257" s="496"/>
      <c r="M257" s="496"/>
      <c r="N257" s="496"/>
      <c r="O257" s="496"/>
      <c r="P257" s="496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55" t="s">
        <v>69</v>
      </c>
      <c r="I258" s="269"/>
      <c r="J258" s="214">
        <v>0</v>
      </c>
      <c r="K258" s="496">
        <f t="shared" si="114"/>
        <v>0</v>
      </c>
      <c r="L258" s="496"/>
      <c r="M258" s="496"/>
      <c r="N258" s="496"/>
      <c r="O258" s="496"/>
      <c r="P258" s="496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1" t="s">
        <v>122</v>
      </c>
      <c r="B259" s="242"/>
      <c r="C259" s="242"/>
      <c r="D259" s="243"/>
      <c r="E259" s="243"/>
      <c r="F259" s="243"/>
      <c r="G259" s="244"/>
      <c r="H259" s="245"/>
      <c r="I259" s="246"/>
      <c r="J259" s="246"/>
      <c r="K259" s="247"/>
      <c r="L259" s="247"/>
      <c r="M259" s="247"/>
      <c r="N259" s="247"/>
      <c r="O259" s="247"/>
      <c r="P259" s="247"/>
    </row>
    <row r="260" spans="1:26" ht="19.5">
      <c r="A260" s="248"/>
      <c r="B260" s="249" t="s">
        <v>123</v>
      </c>
      <c r="C260" s="250"/>
      <c r="D260" s="173"/>
      <c r="E260" s="173"/>
      <c r="F260" s="173"/>
      <c r="G260" s="174"/>
      <c r="H260" s="251" t="s">
        <v>35</v>
      </c>
      <c r="I260" s="252">
        <f t="shared" ref="I260:J260" ca="1" si="115">I271</f>
        <v>22</v>
      </c>
      <c r="J260" s="252">
        <f t="shared" si="115"/>
        <v>0</v>
      </c>
      <c r="K260" s="253">
        <f ca="1">IF(I260&gt;0,J260*100/I260,0)</f>
        <v>0</v>
      </c>
      <c r="L260" s="254"/>
      <c r="M260" s="254"/>
      <c r="N260" s="254"/>
      <c r="O260" s="254"/>
      <c r="P260" s="254"/>
    </row>
    <row r="261" spans="1:26" ht="19.5">
      <c r="A261" s="147"/>
      <c r="B261" s="148"/>
      <c r="C261" s="149" t="s">
        <v>16</v>
      </c>
      <c r="D261" s="822" t="s">
        <v>17</v>
      </c>
      <c r="E261" s="148"/>
      <c r="F261" s="148"/>
      <c r="G261" s="151"/>
      <c r="H261" s="152" t="s">
        <v>12</v>
      </c>
      <c r="I261" s="419"/>
      <c r="J261" s="419"/>
      <c r="K261" s="154"/>
      <c r="L261" s="155">
        <f t="shared" ref="L261:N261" ca="1" si="116">L262+L263</f>
        <v>26900</v>
      </c>
      <c r="M261" s="155">
        <f t="shared" ca="1" si="116"/>
        <v>0</v>
      </c>
      <c r="N261" s="155">
        <f t="shared" ca="1" si="116"/>
        <v>0</v>
      </c>
      <c r="O261" s="155">
        <f t="shared" ref="O261:O269" ca="1" si="117">IF(L261&gt;0,N261*100/L261,0)</f>
        <v>0</v>
      </c>
      <c r="P261" s="155">
        <f t="shared" ref="P261:P269" ca="1" si="118">IF(M261&gt;0,N261*100/M261,0)</f>
        <v>0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2" t="s">
        <v>18</v>
      </c>
      <c r="F262" s="40"/>
      <c r="G262" s="157"/>
      <c r="H262" s="158" t="s">
        <v>12</v>
      </c>
      <c r="I262" s="610"/>
      <c r="J262" s="610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2" t="s">
        <v>19</v>
      </c>
      <c r="F263" s="40"/>
      <c r="G263" s="157"/>
      <c r="H263" s="158" t="s">
        <v>12</v>
      </c>
      <c r="I263" s="610"/>
      <c r="J263" s="610"/>
      <c r="K263" s="93"/>
      <c r="L263" s="93">
        <f t="shared" ca="1" si="119"/>
        <v>26900</v>
      </c>
      <c r="M263" s="93">
        <f t="shared" ca="1" si="119"/>
        <v>0</v>
      </c>
      <c r="N263" s="93">
        <f t="shared" ca="1" si="119"/>
        <v>0</v>
      </c>
      <c r="O263" s="93">
        <f t="shared" ca="1" si="117"/>
        <v>0</v>
      </c>
      <c r="P263" s="93">
        <f t="shared" ca="1" si="118"/>
        <v>0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1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6">
        <f t="shared" ref="L264:N264" ca="1" si="120">L265+L266</f>
        <v>26900</v>
      </c>
      <c r="M264" s="496">
        <f t="shared" ca="1" si="120"/>
        <v>0</v>
      </c>
      <c r="N264" s="496">
        <f t="shared" ca="1" si="120"/>
        <v>0</v>
      </c>
      <c r="O264" s="496">
        <f t="shared" ca="1" si="117"/>
        <v>0</v>
      </c>
      <c r="P264" s="496">
        <f t="shared" ca="1" si="118"/>
        <v>0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2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2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IFERROR(__xludf.DUMMYFUNCTION("IMPORTRANGE(""https://docs.google.com/spreadsheets/d/1MeEWN-I1oV_STSDYn1IFDPWt_1FKiwhDph83XaGc0o0/edit?usp=sharing"",""งบพรบ!CY72"")"),26900)</f>
        <v>26900</v>
      </c>
      <c r="M266" s="93">
        <f ca="1">IFERROR(__xludf.DUMMYFUNCTION("IMPORTRANGE(""https://docs.google.com/spreadsheets/d/1MeEWN-I1oV_STSDYn1IFDPWt_1FKiwhDph83XaGc0o0/edit?usp=sharing"",""งบพรบ!DD72"")"),0)</f>
        <v>0</v>
      </c>
      <c r="N266" s="93">
        <f ca="1">IFERROR(__xludf.DUMMYFUNCTION("IMPORTRANGE(""https://docs.google.com/spreadsheets/d/1MeEWN-I1oV_STSDYn1IFDPWt_1FKiwhDph83XaGc0o0/edit?usp=sharing"",""งบพรบ!DF72"")"),0)</f>
        <v>0</v>
      </c>
      <c r="O266" s="93">
        <f t="shared" ca="1" si="117"/>
        <v>0</v>
      </c>
      <c r="P266" s="93">
        <f t="shared" ca="1" si="118"/>
        <v>0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1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6">
        <f t="shared" ref="L267:N267" ca="1" si="121">L268+L269</f>
        <v>0</v>
      </c>
      <c r="M267" s="496">
        <f t="shared" ca="1" si="121"/>
        <v>0</v>
      </c>
      <c r="N267" s="496">
        <f t="shared" ca="1" si="121"/>
        <v>0</v>
      </c>
      <c r="O267" s="496">
        <f t="shared" ca="1" si="117"/>
        <v>0</v>
      </c>
      <c r="P267" s="496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2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2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IFERROR(__xludf.DUMMYFUNCTION("IMPORTRANGE(""https://docs.google.com/spreadsheets/d/1MeEWN-I1oV_STSDYn1IFDPWt_1FKiwhDph83XaGc0o0/edit?usp=sharing"",""งบพรบ!DB72"")"),0)</f>
        <v>0</v>
      </c>
      <c r="M269" s="93">
        <f ca="1">IFERROR(__xludf.DUMMYFUNCTION("IMPORTRANGE(""https://docs.google.com/spreadsheets/d/1MeEWN-I1oV_STSDYn1IFDPWt_1FKiwhDph83XaGc0o0/edit?usp=sharing"",""งบพรบ!DE72"")"),0)</f>
        <v>0</v>
      </c>
      <c r="N269" s="93">
        <f ca="1">IFERROR(__xludf.DUMMYFUNCTION("IMPORTRANGE(""https://docs.google.com/spreadsheets/d/1MeEWN-I1oV_STSDYn1IFDPWt_1FKiwhDph83XaGc0o0/edit?usp=sharing"",""งบพรบ!DG72"")"),0)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1" t="s">
        <v>16</v>
      </c>
      <c r="D270" s="823" t="s">
        <v>38</v>
      </c>
      <c r="E270" s="173"/>
      <c r="F270" s="173"/>
      <c r="G270" s="174"/>
      <c r="H270" s="753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5" t="s">
        <v>124</v>
      </c>
      <c r="E271" s="178"/>
      <c r="F271" s="366"/>
      <c r="G271" s="179"/>
      <c r="H271" s="376" t="s">
        <v>35</v>
      </c>
      <c r="I271" s="269">
        <f ca="1">IFERROR(__xludf.DUMMYFUNCTION("IMPORTRANGE(""https://docs.google.com/spreadsheets/d/1QqKyyYR6Q21VydFLVH3TRQUabQu_ym0Zz7PgGX0-kHA/edit?usp=sharing"",""แผน!EA72"")"),22)</f>
        <v>22</v>
      </c>
      <c r="J271" s="214">
        <v>0</v>
      </c>
      <c r="K271" s="163">
        <f ca="1">IF(I271&gt;0,J271*100/I271,0)</f>
        <v>0</v>
      </c>
      <c r="L271" s="163"/>
      <c r="M271" s="163"/>
      <c r="N271" s="163"/>
      <c r="O271" s="163"/>
      <c r="P271" s="163"/>
    </row>
    <row r="272" spans="1:26" ht="18.75" hidden="1">
      <c r="A272" s="377"/>
      <c r="B272" s="378"/>
      <c r="C272" s="378"/>
      <c r="D272" s="379" t="s">
        <v>125</v>
      </c>
      <c r="E272" s="380"/>
      <c r="F272" s="380"/>
      <c r="G272" s="381"/>
      <c r="H272" s="50" t="s">
        <v>35</v>
      </c>
      <c r="I272" s="499">
        <v>0</v>
      </c>
      <c r="J272" s="499">
        <v>0</v>
      </c>
      <c r="K272" s="384">
        <v>0</v>
      </c>
      <c r="L272" s="384"/>
      <c r="M272" s="384"/>
      <c r="N272" s="384"/>
      <c r="O272" s="384"/>
      <c r="P272" s="384"/>
    </row>
    <row r="273" spans="1:26" ht="19.5">
      <c r="A273" s="385" t="s">
        <v>126</v>
      </c>
      <c r="B273" s="386"/>
      <c r="C273" s="386"/>
      <c r="D273" s="386"/>
      <c r="E273" s="387"/>
      <c r="F273" s="387"/>
      <c r="G273" s="388"/>
      <c r="H273" s="389"/>
      <c r="I273" s="390"/>
      <c r="J273" s="390"/>
      <c r="K273" s="391"/>
      <c r="L273" s="391"/>
      <c r="M273" s="391"/>
      <c r="N273" s="391"/>
      <c r="O273" s="391"/>
      <c r="P273" s="391"/>
    </row>
    <row r="274" spans="1:26" ht="19.5">
      <c r="A274" s="392" t="s">
        <v>127</v>
      </c>
      <c r="B274" s="393"/>
      <c r="C274" s="394"/>
      <c r="D274" s="393"/>
      <c r="E274" s="393"/>
      <c r="F274" s="393"/>
      <c r="G274" s="393"/>
      <c r="H274" s="395"/>
      <c r="I274" s="396"/>
      <c r="J274" s="397"/>
      <c r="K274" s="398"/>
      <c r="L274" s="398"/>
      <c r="M274" s="398"/>
      <c r="N274" s="398"/>
      <c r="O274" s="398"/>
      <c r="P274" s="398"/>
    </row>
    <row r="275" spans="1:26" ht="19.5">
      <c r="A275" s="399"/>
      <c r="B275" s="408" t="s">
        <v>128</v>
      </c>
      <c r="C275" s="401"/>
      <c r="D275" s="402"/>
      <c r="E275" s="401"/>
      <c r="F275" s="401"/>
      <c r="G275" s="403"/>
      <c r="H275" s="404" t="s">
        <v>35</v>
      </c>
      <c r="I275" s="405">
        <f t="shared" ref="I275:J275" ca="1" si="122">I288</f>
        <v>10</v>
      </c>
      <c r="J275" s="405">
        <f t="shared" ca="1" si="122"/>
        <v>0</v>
      </c>
      <c r="K275" s="406">
        <f t="shared" ref="K275:K276" ca="1" si="123">IF(I275&gt;0,J275*100/I275,0)</f>
        <v>0</v>
      </c>
      <c r="L275" s="407"/>
      <c r="M275" s="407"/>
      <c r="N275" s="407"/>
      <c r="O275" s="407"/>
      <c r="P275" s="407"/>
    </row>
    <row r="276" spans="1:26" ht="19.5">
      <c r="A276" s="399"/>
      <c r="B276" s="408"/>
      <c r="C276" s="401"/>
      <c r="D276" s="402"/>
      <c r="E276" s="401"/>
      <c r="F276" s="401"/>
      <c r="G276" s="403"/>
      <c r="H276" s="404" t="s">
        <v>46</v>
      </c>
      <c r="I276" s="831">
        <f t="shared" ref="I276:J276" ca="1" si="124">I287</f>
        <v>100</v>
      </c>
      <c r="J276" s="831">
        <f t="shared" si="124"/>
        <v>0</v>
      </c>
      <c r="K276" s="407">
        <f t="shared" ca="1" si="123"/>
        <v>0</v>
      </c>
      <c r="L276" s="407"/>
      <c r="M276" s="407"/>
      <c r="N276" s="407"/>
      <c r="O276" s="407"/>
      <c r="P276" s="407"/>
    </row>
    <row r="277" spans="1:26" ht="19.5">
      <c r="A277" s="147"/>
      <c r="B277" s="148"/>
      <c r="C277" s="149" t="s">
        <v>16</v>
      </c>
      <c r="D277" s="822" t="s">
        <v>17</v>
      </c>
      <c r="E277" s="148"/>
      <c r="F277" s="148"/>
      <c r="G277" s="151"/>
      <c r="H277" s="152" t="s">
        <v>12</v>
      </c>
      <c r="I277" s="419"/>
      <c r="J277" s="419"/>
      <c r="K277" s="154"/>
      <c r="L277" s="155">
        <f t="shared" ref="L277:N277" ca="1" si="125">L278+L279</f>
        <v>41010</v>
      </c>
      <c r="M277" s="155">
        <f t="shared" ca="1" si="125"/>
        <v>16820</v>
      </c>
      <c r="N277" s="155">
        <f t="shared" ca="1" si="125"/>
        <v>0</v>
      </c>
      <c r="O277" s="155">
        <f t="shared" ref="O277:O285" ca="1" si="126">IF(L277&gt;0,N277*100/L277,0)</f>
        <v>0</v>
      </c>
      <c r="P277" s="155">
        <f t="shared" ref="P277:P285" ca="1" si="127">IF(M277&gt;0,N277*100/M277,0)</f>
        <v>0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2" t="s">
        <v>18</v>
      </c>
      <c r="F278" s="40"/>
      <c r="G278" s="157"/>
      <c r="H278" s="158" t="s">
        <v>12</v>
      </c>
      <c r="I278" s="610"/>
      <c r="J278" s="610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2" t="s">
        <v>19</v>
      </c>
      <c r="F279" s="40"/>
      <c r="G279" s="157"/>
      <c r="H279" s="158" t="s">
        <v>12</v>
      </c>
      <c r="I279" s="610"/>
      <c r="J279" s="610"/>
      <c r="K279" s="93"/>
      <c r="L279" s="93">
        <f t="shared" ca="1" si="128"/>
        <v>41010</v>
      </c>
      <c r="M279" s="93">
        <f t="shared" ca="1" si="128"/>
        <v>16820</v>
      </c>
      <c r="N279" s="93">
        <f t="shared" ca="1" si="128"/>
        <v>0</v>
      </c>
      <c r="O279" s="93">
        <f t="shared" ca="1" si="126"/>
        <v>0</v>
      </c>
      <c r="P279" s="93">
        <f t="shared" ca="1" si="127"/>
        <v>0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>
      <c r="A280" s="159"/>
      <c r="B280" s="33"/>
      <c r="C280" s="281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6">
        <f t="shared" ref="L280:N280" ca="1" si="129">L281+L282</f>
        <v>41010</v>
      </c>
      <c r="M280" s="496">
        <f t="shared" ca="1" si="129"/>
        <v>16820</v>
      </c>
      <c r="N280" s="496">
        <f t="shared" ca="1" si="129"/>
        <v>0</v>
      </c>
      <c r="O280" s="496">
        <f t="shared" ca="1" si="126"/>
        <v>0</v>
      </c>
      <c r="P280" s="496">
        <f t="shared" ca="1" si="127"/>
        <v>0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2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2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IFERROR(__xludf.DUMMYFUNCTION("IMPORTRANGE(""https://docs.google.com/spreadsheets/d/1MeEWN-I1oV_STSDYn1IFDPWt_1FKiwhDph83XaGc0o0/edit?usp=sharing"",""งบพรบ!DI72"")"),41010)</f>
        <v>41010</v>
      </c>
      <c r="M282" s="93">
        <f ca="1">IFERROR(__xludf.DUMMYFUNCTION("IMPORTRANGE(""https://docs.google.com/spreadsheets/d/1MeEWN-I1oV_STSDYn1IFDPWt_1FKiwhDph83XaGc0o0/edit?usp=sharing"",""งบพรบ!DN72"")"),16820)</f>
        <v>16820</v>
      </c>
      <c r="N282" s="93">
        <f ca="1">IFERROR(__xludf.DUMMYFUNCTION("IMPORTRANGE(""https://docs.google.com/spreadsheets/d/1MeEWN-I1oV_STSDYn1IFDPWt_1FKiwhDph83XaGc0o0/edit?usp=sharing"",""งบพรบ!DP72"")"),0)</f>
        <v>0</v>
      </c>
      <c r="O282" s="93">
        <f t="shared" ca="1" si="126"/>
        <v>0</v>
      </c>
      <c r="P282" s="93">
        <f t="shared" ca="1" si="127"/>
        <v>0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>
      <c r="A283" s="159"/>
      <c r="B283" s="33"/>
      <c r="C283" s="281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6">
        <f t="shared" ref="L283:N283" ca="1" si="130">L284+L285</f>
        <v>0</v>
      </c>
      <c r="M283" s="496">
        <f t="shared" ca="1" si="130"/>
        <v>0</v>
      </c>
      <c r="N283" s="496">
        <f t="shared" ca="1" si="130"/>
        <v>0</v>
      </c>
      <c r="O283" s="496">
        <f t="shared" ca="1" si="126"/>
        <v>0</v>
      </c>
      <c r="P283" s="496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2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2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IFERROR(__xludf.DUMMYFUNCTION("IMPORTRANGE(""https://docs.google.com/spreadsheets/d/1MeEWN-I1oV_STSDYn1IFDPWt_1FKiwhDph83XaGc0o0/edit?usp=sharing"",""งบพรบ!DL72"")"),0)</f>
        <v>0</v>
      </c>
      <c r="M285" s="93">
        <f ca="1">IFERROR(__xludf.DUMMYFUNCTION("IMPORTRANGE(""https://docs.google.com/spreadsheets/d/1MeEWN-I1oV_STSDYn1IFDPWt_1FKiwhDph83XaGc0o0/edit?usp=sharing"",""งบพรบ!DO72"")"),0)</f>
        <v>0</v>
      </c>
      <c r="N285" s="93">
        <f ca="1">IFERROR(__xludf.DUMMYFUNCTION("IMPORTRANGE(""https://docs.google.com/spreadsheets/d/1MeEWN-I1oV_STSDYn1IFDPWt_1FKiwhDph83XaGc0o0/edit?usp=sharing"",""งบพรบ!DQ72"")"),0)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>
      <c r="A286" s="170"/>
      <c r="B286" s="171"/>
      <c r="C286" s="164" t="s">
        <v>16</v>
      </c>
      <c r="D286" s="823" t="s">
        <v>38</v>
      </c>
      <c r="E286" s="173"/>
      <c r="F286" s="173"/>
      <c r="G286" s="174"/>
      <c r="H286" s="753"/>
      <c r="I286" s="184"/>
      <c r="J286" s="184"/>
      <c r="K286" s="163"/>
      <c r="L286" s="163"/>
      <c r="M286" s="163"/>
      <c r="N286" s="163"/>
      <c r="O286" s="163"/>
      <c r="P286" s="163"/>
    </row>
    <row r="287" spans="1:26" ht="18.75">
      <c r="A287" s="170"/>
      <c r="B287" s="171"/>
      <c r="C287" s="171"/>
      <c r="D287" s="619" t="s">
        <v>129</v>
      </c>
      <c r="E287" s="171"/>
      <c r="F287" s="178"/>
      <c r="G287" s="179"/>
      <c r="H287" s="185" t="s">
        <v>46</v>
      </c>
      <c r="I287" s="269">
        <f ca="1">IFERROR(__xludf.DUMMYFUNCTION("IMPORTRANGE(""https://docs.google.com/spreadsheets/d/1QqKyyYR6Q21VydFLVH3TRQUabQu_ym0Zz7PgGX0-kHA/edit?usp=sharing"",""แผน!EC72"")"),100)</f>
        <v>100</v>
      </c>
      <c r="J287" s="214">
        <v>0</v>
      </c>
      <c r="K287" s="163">
        <f t="shared" ref="K287:K288" ca="1" si="131">IF(I287&gt;0,J287*100/I287,0)</f>
        <v>0</v>
      </c>
      <c r="L287" s="163"/>
      <c r="M287" s="163"/>
      <c r="N287" s="163"/>
      <c r="O287" s="163"/>
      <c r="P287" s="163"/>
    </row>
    <row r="288" spans="1:26" ht="19.5">
      <c r="A288" s="170"/>
      <c r="B288" s="171"/>
      <c r="C288" s="171"/>
      <c r="D288" s="619" t="s">
        <v>130</v>
      </c>
      <c r="E288" s="171"/>
      <c r="F288" s="178"/>
      <c r="G288" s="179"/>
      <c r="H288" s="180" t="s">
        <v>35</v>
      </c>
      <c r="I288" s="674">
        <f ca="1">IFERROR(__xludf.DUMMYFUNCTION("IMPORTRANGE(""https://docs.google.com/spreadsheets/d/1QqKyyYR6Q21VydFLVH3TRQUabQu_ym0Zz7PgGX0-kHA/edit?usp=sharing"",""แผน!EB72"")"),10)</f>
        <v>10</v>
      </c>
      <c r="J288" s="674">
        <f ca="1">IF(AND(J291&gt;=I288,J294&gt;=I288),J294,0)</f>
        <v>0</v>
      </c>
      <c r="K288" s="410">
        <f t="shared" ca="1" si="131"/>
        <v>0</v>
      </c>
      <c r="L288" s="163"/>
      <c r="M288" s="163"/>
      <c r="N288" s="163"/>
      <c r="O288" s="163"/>
      <c r="P288" s="163"/>
    </row>
    <row r="289" spans="1:26" ht="19.5">
      <c r="A289" s="170"/>
      <c r="B289" s="171"/>
      <c r="C289" s="171"/>
      <c r="D289" s="411"/>
      <c r="E289" s="412" t="s">
        <v>131</v>
      </c>
      <c r="F289" s="178"/>
      <c r="G289" s="179"/>
      <c r="H289" s="755"/>
      <c r="I289" s="184"/>
      <c r="J289" s="269"/>
      <c r="K289" s="163"/>
      <c r="L289" s="163"/>
      <c r="M289" s="163"/>
      <c r="N289" s="163"/>
      <c r="O289" s="163"/>
      <c r="P289" s="163"/>
    </row>
    <row r="290" spans="1:26" ht="19.5">
      <c r="A290" s="170"/>
      <c r="B290" s="171"/>
      <c r="C290" s="171"/>
      <c r="D290" s="411"/>
      <c r="E290" s="619" t="s">
        <v>132</v>
      </c>
      <c r="F290" s="178"/>
      <c r="G290" s="179"/>
      <c r="H290" s="755" t="s">
        <v>35</v>
      </c>
      <c r="I290" s="184">
        <f ca="1">IFERROR(__xludf.DUMMYFUNCTION("IMPORTRANGE(""https://docs.google.com/spreadsheets/d/1QqKyyYR6Q21VydFLVH3TRQUabQu_ym0Zz7PgGX0-kHA/edit?usp=sharing"",""แผน!EB72"")"),10)</f>
        <v>10</v>
      </c>
      <c r="J290" s="214">
        <v>0</v>
      </c>
      <c r="K290" s="163">
        <f t="shared" ref="K290:K291" ca="1" si="132">IF(I290&gt;0,J290*100/I290,0)</f>
        <v>0</v>
      </c>
      <c r="L290" s="163"/>
      <c r="M290" s="163"/>
      <c r="N290" s="163"/>
      <c r="O290" s="163"/>
      <c r="P290" s="163"/>
    </row>
    <row r="291" spans="1:26" ht="19.5">
      <c r="A291" s="170"/>
      <c r="B291" s="171"/>
      <c r="C291" s="171"/>
      <c r="D291" s="178"/>
      <c r="E291" s="619" t="s">
        <v>133</v>
      </c>
      <c r="F291" s="178"/>
      <c r="G291" s="179"/>
      <c r="H291" s="755" t="s">
        <v>35</v>
      </c>
      <c r="I291" s="184">
        <f ca="1">IFERROR(__xludf.DUMMYFUNCTION("IMPORTRANGE(""https://docs.google.com/spreadsheets/d/1QqKyyYR6Q21VydFLVH3TRQUabQu_ym0Zz7PgGX0-kHA/edit?usp=sharing"",""แผน!EB72"")"),10)</f>
        <v>10</v>
      </c>
      <c r="J291" s="214">
        <v>0</v>
      </c>
      <c r="K291" s="163">
        <f t="shared" ca="1" si="132"/>
        <v>0</v>
      </c>
      <c r="L291" s="163"/>
      <c r="M291" s="163"/>
      <c r="N291" s="163"/>
      <c r="O291" s="163"/>
      <c r="P291" s="163"/>
    </row>
    <row r="292" spans="1:26" ht="19.5">
      <c r="A292" s="413"/>
      <c r="B292" s="414"/>
      <c r="C292" s="414"/>
      <c r="D292" s="415"/>
      <c r="E292" s="416" t="s">
        <v>134</v>
      </c>
      <c r="F292" s="287"/>
      <c r="G292" s="288"/>
      <c r="H292" s="417"/>
      <c r="I292" s="418"/>
      <c r="J292" s="419"/>
      <c r="K292" s="279"/>
      <c r="L292" s="279"/>
      <c r="M292" s="279"/>
      <c r="N292" s="279"/>
      <c r="O292" s="279"/>
      <c r="P292" s="279"/>
    </row>
    <row r="293" spans="1:26" ht="19.5">
      <c r="A293" s="170"/>
      <c r="B293" s="171"/>
      <c r="C293" s="171"/>
      <c r="D293" s="411"/>
      <c r="E293" s="619" t="s">
        <v>132</v>
      </c>
      <c r="F293" s="178"/>
      <c r="G293" s="179"/>
      <c r="H293" s="755" t="s">
        <v>35</v>
      </c>
      <c r="I293" s="184">
        <f ca="1">IFERROR(__xludf.DUMMYFUNCTION("IMPORTRANGE(""https://docs.google.com/spreadsheets/d/1QqKyyYR6Q21VydFLVH3TRQUabQu_ym0Zz7PgGX0-kHA/edit?usp=sharing"",""แผน!EB72"")"),10)</f>
        <v>10</v>
      </c>
      <c r="J293" s="214">
        <v>0</v>
      </c>
      <c r="K293" s="163">
        <f t="shared" ref="K293:K294" ca="1" si="133">IF(I293&gt;0,J293*100/I293,0)</f>
        <v>0</v>
      </c>
      <c r="L293" s="163"/>
      <c r="M293" s="163"/>
      <c r="N293" s="163"/>
      <c r="O293" s="163"/>
      <c r="P293" s="163"/>
    </row>
    <row r="294" spans="1:26" ht="19.5">
      <c r="A294" s="377"/>
      <c r="B294" s="378"/>
      <c r="C294" s="378"/>
      <c r="D294" s="380"/>
      <c r="E294" s="725" t="s">
        <v>136</v>
      </c>
      <c r="F294" s="380"/>
      <c r="G294" s="381"/>
      <c r="H294" s="421" t="s">
        <v>35</v>
      </c>
      <c r="I294" s="422">
        <f ca="1">IFERROR(__xludf.DUMMYFUNCTION("IMPORTRANGE(""https://docs.google.com/spreadsheets/d/1QqKyyYR6Q21VydFLVH3TRQUabQu_ym0Zz7PgGX0-kHA/edit?usp=sharing"",""แผน!EB72"")"),10)</f>
        <v>10</v>
      </c>
      <c r="J294" s="423">
        <v>0</v>
      </c>
      <c r="K294" s="384">
        <f t="shared" ca="1" si="133"/>
        <v>0</v>
      </c>
      <c r="L294" s="384"/>
      <c r="M294" s="384"/>
      <c r="N294" s="384"/>
      <c r="O294" s="384"/>
      <c r="P294" s="384"/>
    </row>
    <row r="295" spans="1:26" ht="19.5">
      <c r="A295" s="424" t="s">
        <v>137</v>
      </c>
      <c r="B295" s="425"/>
      <c r="C295" s="425"/>
      <c r="D295" s="425"/>
      <c r="E295" s="426"/>
      <c r="F295" s="426"/>
      <c r="G295" s="427"/>
      <c r="H295" s="428"/>
      <c r="I295" s="429"/>
      <c r="J295" s="429"/>
      <c r="K295" s="430"/>
      <c r="L295" s="430"/>
      <c r="M295" s="430"/>
      <c r="N295" s="430"/>
      <c r="O295" s="430"/>
      <c r="P295" s="430"/>
    </row>
    <row r="296" spans="1:26" ht="19.5">
      <c r="A296" s="431" t="s">
        <v>138</v>
      </c>
      <c r="B296" s="432"/>
      <c r="C296" s="432"/>
      <c r="D296" s="433"/>
      <c r="E296" s="433"/>
      <c r="F296" s="433"/>
      <c r="G296" s="434"/>
      <c r="H296" s="435"/>
      <c r="I296" s="436"/>
      <c r="J296" s="436"/>
      <c r="K296" s="437"/>
      <c r="L296" s="437"/>
      <c r="M296" s="437"/>
      <c r="N296" s="437"/>
      <c r="O296" s="437"/>
      <c r="P296" s="437"/>
    </row>
    <row r="297" spans="1:26" ht="19.5">
      <c r="A297" s="438"/>
      <c r="B297" s="439" t="s">
        <v>139</v>
      </c>
      <c r="C297" s="440"/>
      <c r="D297" s="440"/>
      <c r="E297" s="440"/>
      <c r="F297" s="440"/>
      <c r="G297" s="441"/>
      <c r="H297" s="442" t="s">
        <v>35</v>
      </c>
      <c r="I297" s="443">
        <f t="shared" ref="I297:J297" ca="1" si="134">I309</f>
        <v>15</v>
      </c>
      <c r="J297" s="443">
        <f t="shared" si="134"/>
        <v>0</v>
      </c>
      <c r="K297" s="444">
        <f ca="1">IF(I297&gt;0,J297*100/I297,0)</f>
        <v>0</v>
      </c>
      <c r="L297" s="445"/>
      <c r="M297" s="445"/>
      <c r="N297" s="445"/>
      <c r="O297" s="445"/>
      <c r="P297" s="445"/>
    </row>
    <row r="298" spans="1:26" ht="19.5">
      <c r="A298" s="147"/>
      <c r="B298" s="148"/>
      <c r="C298" s="149" t="s">
        <v>16</v>
      </c>
      <c r="D298" s="822" t="s">
        <v>17</v>
      </c>
      <c r="E298" s="148"/>
      <c r="F298" s="148"/>
      <c r="G298" s="151"/>
      <c r="H298" s="152" t="s">
        <v>12</v>
      </c>
      <c r="I298" s="419"/>
      <c r="J298" s="419"/>
      <c r="K298" s="154"/>
      <c r="L298" s="155">
        <f t="shared" ref="L298:N298" ca="1" si="135">L299+L300</f>
        <v>63800</v>
      </c>
      <c r="M298" s="155">
        <f t="shared" ca="1" si="135"/>
        <v>37840</v>
      </c>
      <c r="N298" s="155">
        <f t="shared" ca="1" si="135"/>
        <v>27928</v>
      </c>
      <c r="O298" s="155">
        <f t="shared" ref="O298:O306" ca="1" si="136">IF(L298&gt;0,N298*100/L298,0)</f>
        <v>43.774294670846395</v>
      </c>
      <c r="P298" s="155">
        <f t="shared" ref="P298:P306" ca="1" si="137">IF(M298&gt;0,N298*100/M298,0)</f>
        <v>73.805496828752638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2" t="s">
        <v>18</v>
      </c>
      <c r="F299" s="40"/>
      <c r="G299" s="157"/>
      <c r="H299" s="158" t="s">
        <v>12</v>
      </c>
      <c r="I299" s="610"/>
      <c r="J299" s="610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2" t="s">
        <v>19</v>
      </c>
      <c r="F300" s="40"/>
      <c r="G300" s="157"/>
      <c r="H300" s="158" t="s">
        <v>12</v>
      </c>
      <c r="I300" s="610"/>
      <c r="J300" s="610"/>
      <c r="K300" s="93"/>
      <c r="L300" s="93">
        <f t="shared" ca="1" si="138"/>
        <v>63800</v>
      </c>
      <c r="M300" s="93">
        <f t="shared" ca="1" si="138"/>
        <v>37840</v>
      </c>
      <c r="N300" s="93">
        <f t="shared" ca="1" si="138"/>
        <v>27928</v>
      </c>
      <c r="O300" s="93">
        <f t="shared" ca="1" si="136"/>
        <v>43.774294670846395</v>
      </c>
      <c r="P300" s="93">
        <f t="shared" ca="1" si="137"/>
        <v>73.805496828752638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>
      <c r="A301" s="159"/>
      <c r="B301" s="33"/>
      <c r="C301" s="281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6">
        <f t="shared" ref="L301:N301" ca="1" si="139">L302+L303</f>
        <v>63800</v>
      </c>
      <c r="M301" s="496">
        <f t="shared" ca="1" si="139"/>
        <v>37840</v>
      </c>
      <c r="N301" s="496">
        <f t="shared" ca="1" si="139"/>
        <v>27928</v>
      </c>
      <c r="O301" s="496">
        <f t="shared" ca="1" si="136"/>
        <v>43.774294670846395</v>
      </c>
      <c r="P301" s="496">
        <f t="shared" ca="1" si="137"/>
        <v>73.805496828752638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2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2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IFERROR(__xludf.DUMMYFUNCTION("IMPORTRANGE(""https://docs.google.com/spreadsheets/d/1MeEWN-I1oV_STSDYn1IFDPWt_1FKiwhDph83XaGc0o0/edit?usp=sharing"",""งบพรบ!DS72"")"),63800)</f>
        <v>63800</v>
      </c>
      <c r="M303" s="93">
        <f ca="1">IFERROR(__xludf.DUMMYFUNCTION("IMPORTRANGE(""https://docs.google.com/spreadsheets/d/1MeEWN-I1oV_STSDYn1IFDPWt_1FKiwhDph83XaGc0o0/edit?usp=sharing"",""งบพรบ!DX72"")"),37840)</f>
        <v>37840</v>
      </c>
      <c r="N303" s="93">
        <f ca="1">IFERROR(__xludf.DUMMYFUNCTION("IMPORTRANGE(""https://docs.google.com/spreadsheets/d/1MeEWN-I1oV_STSDYn1IFDPWt_1FKiwhDph83XaGc0o0/edit?usp=sharing"",""งบพรบ!DZ72"")"),27928)</f>
        <v>27928</v>
      </c>
      <c r="O303" s="93">
        <f t="shared" ca="1" si="136"/>
        <v>43.774294670846395</v>
      </c>
      <c r="P303" s="93">
        <f t="shared" ca="1" si="137"/>
        <v>73.805496828752638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>
      <c r="A304" s="159"/>
      <c r="B304" s="33"/>
      <c r="C304" s="281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6">
        <f t="shared" ref="L304:N304" ca="1" si="140">L305+L306</f>
        <v>0</v>
      </c>
      <c r="M304" s="496">
        <f t="shared" ca="1" si="140"/>
        <v>0</v>
      </c>
      <c r="N304" s="496">
        <f t="shared" ca="1" si="140"/>
        <v>0</v>
      </c>
      <c r="O304" s="496">
        <f t="shared" ca="1" si="136"/>
        <v>0</v>
      </c>
      <c r="P304" s="496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2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2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IFERROR(__xludf.DUMMYFUNCTION("IMPORTRANGE(""https://docs.google.com/spreadsheets/d/1MeEWN-I1oV_STSDYn1IFDPWt_1FKiwhDph83XaGc0o0/edit?usp=sharing"",""งบพรบ!DV72"")"),0)</f>
        <v>0</v>
      </c>
      <c r="M306" s="93">
        <f ca="1">IFERROR(__xludf.DUMMYFUNCTION("IMPORTRANGE(""https://docs.google.com/spreadsheets/d/1MeEWN-I1oV_STSDYn1IFDPWt_1FKiwhDph83XaGc0o0/edit?usp=sharing"",""งบพรบ!DY72"")"),0)</f>
        <v>0</v>
      </c>
      <c r="N306" s="93">
        <f ca="1">IFERROR(__xludf.DUMMYFUNCTION("IMPORTRANGE(""https://docs.google.com/spreadsheets/d/1MeEWN-I1oV_STSDYn1IFDPWt_1FKiwhDph83XaGc0o0/edit?usp=sharing"",""งบพรบ!EA72"")"),0)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>
      <c r="A307" s="170"/>
      <c r="B307" s="171"/>
      <c r="C307" s="164" t="s">
        <v>16</v>
      </c>
      <c r="D307" s="823" t="s">
        <v>38</v>
      </c>
      <c r="E307" s="173"/>
      <c r="F307" s="173"/>
      <c r="G307" s="174"/>
      <c r="H307" s="753"/>
      <c r="I307" s="269"/>
      <c r="J307" s="269"/>
      <c r="K307" s="496"/>
      <c r="L307" s="496"/>
      <c r="M307" s="496"/>
      <c r="N307" s="496"/>
      <c r="O307" s="496"/>
      <c r="P307" s="496"/>
    </row>
    <row r="308" spans="1:26" ht="18.75">
      <c r="A308" s="170"/>
      <c r="B308" s="171"/>
      <c r="C308" s="171"/>
      <c r="D308" s="446" t="s">
        <v>140</v>
      </c>
      <c r="E308" s="446"/>
      <c r="F308" s="446"/>
      <c r="G308" s="179"/>
      <c r="H308" s="755"/>
      <c r="I308" s="269"/>
      <c r="J308" s="214">
        <v>0</v>
      </c>
      <c r="K308" s="496"/>
      <c r="L308" s="496"/>
      <c r="M308" s="496"/>
      <c r="N308" s="496"/>
      <c r="O308" s="496"/>
      <c r="P308" s="496"/>
    </row>
    <row r="309" spans="1:26" ht="18.75">
      <c r="A309" s="170"/>
      <c r="B309" s="171"/>
      <c r="C309" s="171"/>
      <c r="D309" s="446" t="s">
        <v>141</v>
      </c>
      <c r="E309" s="446"/>
      <c r="F309" s="446"/>
      <c r="G309" s="179"/>
      <c r="H309" s="755" t="s">
        <v>35</v>
      </c>
      <c r="I309" s="269">
        <f ca="1">IFERROR(__xludf.DUMMYFUNCTION("IMPORTRANGE(""https://docs.google.com/spreadsheets/d/1QqKyyYR6Q21VydFLVH3TRQUabQu_ym0Zz7PgGX0-kHA/edit?usp=sharing"",""แผน!ED72"")"),15)</f>
        <v>15</v>
      </c>
      <c r="J309" s="214">
        <v>0</v>
      </c>
      <c r="K309" s="496">
        <f t="shared" ref="K309:K312" ca="1" si="141">IF(I309&gt;0,J309*100/I309,0)</f>
        <v>0</v>
      </c>
      <c r="L309" s="496"/>
      <c r="M309" s="496"/>
      <c r="N309" s="496"/>
      <c r="O309" s="496"/>
      <c r="P309" s="496"/>
    </row>
    <row r="310" spans="1:26" ht="18.75">
      <c r="A310" s="170"/>
      <c r="B310" s="171"/>
      <c r="C310" s="171"/>
      <c r="D310" s="446" t="s">
        <v>142</v>
      </c>
      <c r="E310" s="446"/>
      <c r="F310" s="446"/>
      <c r="G310" s="179"/>
      <c r="H310" s="755" t="s">
        <v>35</v>
      </c>
      <c r="I310" s="269">
        <f ca="1">IFERROR(__xludf.DUMMYFUNCTION("IMPORTRANGE(""https://docs.google.com/spreadsheets/d/1QqKyyYR6Q21VydFLVH3TRQUabQu_ym0Zz7PgGX0-kHA/edit?usp=sharing"",""แผน!ED72"")"),15)</f>
        <v>15</v>
      </c>
      <c r="J310" s="214">
        <v>0</v>
      </c>
      <c r="K310" s="496">
        <f t="shared" ca="1" si="141"/>
        <v>0</v>
      </c>
      <c r="L310" s="496"/>
      <c r="M310" s="496"/>
      <c r="N310" s="496"/>
      <c r="O310" s="496"/>
      <c r="P310" s="496"/>
    </row>
    <row r="311" spans="1:26" ht="18.75">
      <c r="A311" s="170"/>
      <c r="B311" s="171"/>
      <c r="C311" s="171"/>
      <c r="D311" s="446" t="s">
        <v>59</v>
      </c>
      <c r="E311" s="446"/>
      <c r="F311" s="446"/>
      <c r="G311" s="179"/>
      <c r="H311" s="755" t="s">
        <v>35</v>
      </c>
      <c r="I311" s="269">
        <f ca="1">IFERROR(__xludf.DUMMYFUNCTION("IMPORTRANGE(""https://docs.google.com/spreadsheets/d/1QqKyyYR6Q21VydFLVH3TRQUabQu_ym0Zz7PgGX0-kHA/edit?usp=sharing"",""แผน!ED72"")"),15)</f>
        <v>15</v>
      </c>
      <c r="J311" s="214">
        <v>0</v>
      </c>
      <c r="K311" s="496">
        <f t="shared" ca="1" si="141"/>
        <v>0</v>
      </c>
      <c r="L311" s="496"/>
      <c r="M311" s="496"/>
      <c r="N311" s="496"/>
      <c r="O311" s="496"/>
      <c r="P311" s="496"/>
    </row>
    <row r="312" spans="1:26" ht="18.75">
      <c r="A312" s="170"/>
      <c r="B312" s="171"/>
      <c r="C312" s="171"/>
      <c r="D312" s="446" t="s">
        <v>143</v>
      </c>
      <c r="E312" s="446"/>
      <c r="F312" s="446"/>
      <c r="G312" s="179"/>
      <c r="H312" s="755" t="s">
        <v>35</v>
      </c>
      <c r="I312" s="269">
        <f ca="1">IFERROR(__xludf.DUMMYFUNCTION("IMPORTRANGE(""https://docs.google.com/spreadsheets/d/1QqKyyYR6Q21VydFLVH3TRQUabQu_ym0Zz7PgGX0-kHA/edit?usp=sharing"",""แผน!EE72"")"),3)</f>
        <v>3</v>
      </c>
      <c r="J312" s="214">
        <v>0</v>
      </c>
      <c r="K312" s="496">
        <f t="shared" ca="1" si="141"/>
        <v>0</v>
      </c>
      <c r="L312" s="496"/>
      <c r="M312" s="496"/>
      <c r="N312" s="496"/>
      <c r="O312" s="496"/>
      <c r="P312" s="496"/>
    </row>
    <row r="313" spans="1:26" ht="19.5" hidden="1">
      <c r="A313" s="431" t="s">
        <v>144</v>
      </c>
      <c r="B313" s="432"/>
      <c r="C313" s="432"/>
      <c r="D313" s="433"/>
      <c r="E313" s="432"/>
      <c r="F313" s="432"/>
      <c r="G313" s="432"/>
      <c r="H313" s="448"/>
      <c r="I313" s="436"/>
      <c r="J313" s="436"/>
      <c r="K313" s="437"/>
      <c r="L313" s="437"/>
      <c r="M313" s="437"/>
      <c r="N313" s="437"/>
      <c r="O313" s="437"/>
      <c r="P313" s="437"/>
    </row>
    <row r="314" spans="1:26" ht="19.5" hidden="1">
      <c r="A314" s="449"/>
      <c r="B314" s="439" t="s">
        <v>145</v>
      </c>
      <c r="C314" s="450"/>
      <c r="D314" s="451"/>
      <c r="E314" s="440"/>
      <c r="F314" s="440"/>
      <c r="G314" s="441"/>
      <c r="H314" s="442" t="s">
        <v>146</v>
      </c>
      <c r="I314" s="443">
        <f t="shared" ref="I314:J314" ca="1" si="142">I325</f>
        <v>0</v>
      </c>
      <c r="J314" s="443">
        <f t="shared" si="142"/>
        <v>0</v>
      </c>
      <c r="K314" s="444">
        <f ca="1">IF(I314&gt;0,J314*100/I314,0)</f>
        <v>0</v>
      </c>
      <c r="L314" s="445"/>
      <c r="M314" s="445"/>
      <c r="N314" s="445"/>
      <c r="O314" s="445"/>
      <c r="P314" s="445"/>
    </row>
    <row r="315" spans="1:26" ht="19.5" hidden="1">
      <c r="A315" s="147"/>
      <c r="B315" s="148"/>
      <c r="C315" s="149" t="s">
        <v>16</v>
      </c>
      <c r="D315" s="822" t="s">
        <v>17</v>
      </c>
      <c r="E315" s="148"/>
      <c r="F315" s="148"/>
      <c r="G315" s="151"/>
      <c r="H315" s="152" t="s">
        <v>12</v>
      </c>
      <c r="I315" s="419"/>
      <c r="J315" s="419"/>
      <c r="K315" s="154"/>
      <c r="L315" s="155">
        <f t="shared" ref="L315:N315" ca="1" si="143">L316+L317</f>
        <v>0</v>
      </c>
      <c r="M315" s="155">
        <f t="shared" ca="1" si="143"/>
        <v>0</v>
      </c>
      <c r="N315" s="155">
        <f t="shared" ca="1" si="143"/>
        <v>0</v>
      </c>
      <c r="O315" s="155">
        <f t="shared" ref="O315:O323" ca="1" si="144">IF(L315&gt;0,N315*100/L315,0)</f>
        <v>0</v>
      </c>
      <c r="P315" s="155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2" t="s">
        <v>18</v>
      </c>
      <c r="F316" s="40"/>
      <c r="G316" s="157"/>
      <c r="H316" s="158" t="s">
        <v>12</v>
      </c>
      <c r="I316" s="610"/>
      <c r="J316" s="610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2" t="s">
        <v>19</v>
      </c>
      <c r="F317" s="40"/>
      <c r="G317" s="157"/>
      <c r="H317" s="158" t="s">
        <v>12</v>
      </c>
      <c r="I317" s="610"/>
      <c r="J317" s="610"/>
      <c r="K317" s="93"/>
      <c r="L317" s="93">
        <f t="shared" ca="1" si="146"/>
        <v>0</v>
      </c>
      <c r="M317" s="93">
        <f t="shared" ca="1" si="146"/>
        <v>0</v>
      </c>
      <c r="N317" s="93">
        <f t="shared" ca="1" si="146"/>
        <v>0</v>
      </c>
      <c r="O317" s="93">
        <f t="shared" ca="1" si="144"/>
        <v>0</v>
      </c>
      <c r="P317" s="93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1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6">
        <f t="shared" ref="L318:N318" ca="1" si="147">L319+L320</f>
        <v>0</v>
      </c>
      <c r="M318" s="496">
        <f t="shared" ca="1" si="147"/>
        <v>0</v>
      </c>
      <c r="N318" s="496">
        <f t="shared" ca="1" si="147"/>
        <v>0</v>
      </c>
      <c r="O318" s="496">
        <f t="shared" ca="1" si="144"/>
        <v>0</v>
      </c>
      <c r="P318" s="496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2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2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IFERROR(__xludf.DUMMYFUNCTION("IMPORTRANGE(""https://docs.google.com/spreadsheets/d/1MeEWN-I1oV_STSDYn1IFDPWt_1FKiwhDph83XaGc0o0/edit?usp=sharing"",""งบพรบ!EC72"")"),0)</f>
        <v>0</v>
      </c>
      <c r="M320" s="93">
        <f ca="1">IFERROR(__xludf.DUMMYFUNCTION("IMPORTRANGE(""https://docs.google.com/spreadsheets/d/1MeEWN-I1oV_STSDYn1IFDPWt_1FKiwhDph83XaGc0o0/edit?usp=sharing"",""งบพรบ!EH72"")"),0)</f>
        <v>0</v>
      </c>
      <c r="N320" s="93">
        <f ca="1">IFERROR(__xludf.DUMMYFUNCTION("IMPORTRANGE(""https://docs.google.com/spreadsheets/d/1MeEWN-I1oV_STSDYn1IFDPWt_1FKiwhDph83XaGc0o0/edit?usp=sharing"",""งบพรบ!EJ72"")"),0)</f>
        <v>0</v>
      </c>
      <c r="O320" s="93">
        <f t="shared" ca="1" si="144"/>
        <v>0</v>
      </c>
      <c r="P320" s="93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1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6">
        <f t="shared" ref="L321:N321" ca="1" si="148">L322+L323</f>
        <v>0</v>
      </c>
      <c r="M321" s="496">
        <f t="shared" ca="1" si="148"/>
        <v>0</v>
      </c>
      <c r="N321" s="496">
        <f t="shared" ca="1" si="148"/>
        <v>0</v>
      </c>
      <c r="O321" s="496">
        <f t="shared" ca="1" si="144"/>
        <v>0</v>
      </c>
      <c r="P321" s="496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2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2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IFERROR(__xludf.DUMMYFUNCTION("IMPORTRANGE(""https://docs.google.com/spreadsheets/d/1MeEWN-I1oV_STSDYn1IFDPWt_1FKiwhDph83XaGc0o0/edit?usp=sharing"",""งบพรบ!EF72"")"),0)</f>
        <v>0</v>
      </c>
      <c r="M323" s="93">
        <f ca="1">IFERROR(__xludf.DUMMYFUNCTION("IMPORTRANGE(""https://docs.google.com/spreadsheets/d/1MeEWN-I1oV_STSDYn1IFDPWt_1FKiwhDph83XaGc0o0/edit?usp=sharing"",""งบพรบ!EI72"")"),0)</f>
        <v>0</v>
      </c>
      <c r="N323" s="93">
        <f ca="1">IFERROR(__xludf.DUMMYFUNCTION("IMPORTRANGE(""https://docs.google.com/spreadsheets/d/1MeEWN-I1oV_STSDYn1IFDPWt_1FKiwhDph83XaGc0o0/edit?usp=sharing"",""งบพรบ!EK72"")"),0)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23" t="s">
        <v>38</v>
      </c>
      <c r="E324" s="173"/>
      <c r="F324" s="173"/>
      <c r="G324" s="174"/>
      <c r="H324" s="753"/>
      <c r="I324" s="184"/>
      <c r="J324" s="269"/>
      <c r="K324" s="496"/>
      <c r="L324" s="496"/>
      <c r="M324" s="496"/>
      <c r="N324" s="496"/>
      <c r="O324" s="163"/>
      <c r="P324" s="163"/>
    </row>
    <row r="325" spans="1:26" ht="18.75" hidden="1">
      <c r="A325" s="170"/>
      <c r="B325" s="171"/>
      <c r="C325" s="171"/>
      <c r="D325" s="176" t="s">
        <v>147</v>
      </c>
      <c r="E325" s="178"/>
      <c r="F325" s="446"/>
      <c r="G325" s="179"/>
      <c r="H325" s="616" t="s">
        <v>146</v>
      </c>
      <c r="I325" s="269">
        <f ca="1">IFERROR(__xludf.DUMMYFUNCTION("IMPORTRANGE(""https://docs.google.com/spreadsheets/d/1QqKyyYR6Q21VydFLVH3TRQUabQu_ym0Zz7PgGX0-kHA/edit?usp=sharing"",""แผน!EF72"")"),0)</f>
        <v>0</v>
      </c>
      <c r="J325" s="214">
        <v>0</v>
      </c>
      <c r="K325" s="496">
        <f ca="1">IF(I325&gt;0,J325*100/I325,0)</f>
        <v>0</v>
      </c>
      <c r="L325" s="496"/>
      <c r="M325" s="496"/>
      <c r="N325" s="496"/>
      <c r="O325" s="163"/>
      <c r="P325" s="163"/>
    </row>
    <row r="326" spans="1:26" ht="19.5">
      <c r="A326" s="431" t="s">
        <v>148</v>
      </c>
      <c r="B326" s="432"/>
      <c r="C326" s="432"/>
      <c r="D326" s="433"/>
      <c r="E326" s="432"/>
      <c r="F326" s="432"/>
      <c r="G326" s="432"/>
      <c r="H326" s="448"/>
      <c r="I326" s="436"/>
      <c r="J326" s="436"/>
      <c r="K326" s="437"/>
      <c r="L326" s="437"/>
      <c r="M326" s="437"/>
      <c r="N326" s="437"/>
      <c r="O326" s="437"/>
      <c r="P326" s="437"/>
    </row>
    <row r="327" spans="1:26" ht="19.5">
      <c r="A327" s="438"/>
      <c r="B327" s="439" t="s">
        <v>149</v>
      </c>
      <c r="C327" s="451"/>
      <c r="D327" s="440"/>
      <c r="E327" s="440"/>
      <c r="F327" s="440"/>
      <c r="G327" s="441"/>
      <c r="H327" s="442" t="s">
        <v>35</v>
      </c>
      <c r="I327" s="443">
        <f ca="1">IFERROR(__xludf.DUMMYFUNCTION("IMPORTRANGE(""https://docs.google.com/spreadsheets/d/1QqKyyYR6Q21VydFLVH3TRQUabQu_ym0Zz7PgGX0-kHA/edit?usp=sharing"",""แผน!EG72"")"),2300)</f>
        <v>2300</v>
      </c>
      <c r="J327" s="443">
        <f ca="1">J338+J341+J342+J343</f>
        <v>816</v>
      </c>
      <c r="K327" s="444">
        <f ca="1">IF(I327&gt;0,J327*100/I327,0)</f>
        <v>35.478260869565219</v>
      </c>
      <c r="L327" s="445"/>
      <c r="M327" s="445"/>
      <c r="N327" s="445"/>
      <c r="O327" s="445"/>
      <c r="P327" s="445"/>
    </row>
    <row r="328" spans="1:26" ht="19.5">
      <c r="A328" s="147"/>
      <c r="B328" s="148"/>
      <c r="C328" s="149" t="s">
        <v>16</v>
      </c>
      <c r="D328" s="822" t="s">
        <v>17</v>
      </c>
      <c r="E328" s="148"/>
      <c r="F328" s="148"/>
      <c r="G328" s="151"/>
      <c r="H328" s="152" t="s">
        <v>12</v>
      </c>
      <c r="I328" s="419"/>
      <c r="J328" s="419"/>
      <c r="K328" s="154"/>
      <c r="L328" s="155">
        <f t="shared" ref="L328:N328" ca="1" si="149">L329+L330</f>
        <v>166000</v>
      </c>
      <c r="M328" s="155">
        <f t="shared" ca="1" si="149"/>
        <v>83000</v>
      </c>
      <c r="N328" s="155">
        <f t="shared" ca="1" si="149"/>
        <v>38677.620000000003</v>
      </c>
      <c r="O328" s="155">
        <f t="shared" ref="O328:O336" ca="1" si="150">IF(L328&gt;0,N328*100/L328,0)</f>
        <v>23.299771084337351</v>
      </c>
      <c r="P328" s="155">
        <f t="shared" ref="P328:P336" ca="1" si="151">IF(M328&gt;0,N328*100/M328,0)</f>
        <v>46.599542168674702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2" t="s">
        <v>18</v>
      </c>
      <c r="F329" s="40"/>
      <c r="G329" s="157"/>
      <c r="H329" s="158" t="s">
        <v>12</v>
      </c>
      <c r="I329" s="610"/>
      <c r="J329" s="610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2" t="s">
        <v>19</v>
      </c>
      <c r="F330" s="40"/>
      <c r="G330" s="157"/>
      <c r="H330" s="158" t="s">
        <v>12</v>
      </c>
      <c r="I330" s="610"/>
      <c r="J330" s="610"/>
      <c r="K330" s="93"/>
      <c r="L330" s="93">
        <f t="shared" ca="1" si="152"/>
        <v>166000</v>
      </c>
      <c r="M330" s="93">
        <f t="shared" ca="1" si="152"/>
        <v>83000</v>
      </c>
      <c r="N330" s="93">
        <f t="shared" ca="1" si="152"/>
        <v>38677.620000000003</v>
      </c>
      <c r="O330" s="93">
        <f t="shared" ca="1" si="150"/>
        <v>23.299771084337351</v>
      </c>
      <c r="P330" s="93">
        <f t="shared" ca="1" si="151"/>
        <v>46.599542168674702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1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6">
        <f t="shared" ref="L331:N331" ca="1" si="153">L332+L333</f>
        <v>166000</v>
      </c>
      <c r="M331" s="496">
        <f t="shared" ca="1" si="153"/>
        <v>83000</v>
      </c>
      <c r="N331" s="496">
        <f t="shared" ca="1" si="153"/>
        <v>38677.620000000003</v>
      </c>
      <c r="O331" s="496">
        <f t="shared" ca="1" si="150"/>
        <v>23.299771084337351</v>
      </c>
      <c r="P331" s="496">
        <f t="shared" ca="1" si="151"/>
        <v>46.599542168674702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2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2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IFERROR(__xludf.DUMMYFUNCTION("IMPORTRANGE(""https://docs.google.com/spreadsheets/d/1MeEWN-I1oV_STSDYn1IFDPWt_1FKiwhDph83XaGc0o0/edit?usp=sharing"",""งบพรบ!EM72"")"),166000)</f>
        <v>166000</v>
      </c>
      <c r="M333" s="93">
        <f ca="1">IFERROR(__xludf.DUMMYFUNCTION("IMPORTRANGE(""https://docs.google.com/spreadsheets/d/1MeEWN-I1oV_STSDYn1IFDPWt_1FKiwhDph83XaGc0o0/edit?usp=sharing"",""งบพรบ!ER72"")"),83000)</f>
        <v>83000</v>
      </c>
      <c r="N333" s="93">
        <f ca="1">IFERROR(__xludf.DUMMYFUNCTION("IMPORTRANGE(""https://docs.google.com/spreadsheets/d/1MeEWN-I1oV_STSDYn1IFDPWt_1FKiwhDph83XaGc0o0/edit?usp=sharing"",""งบพรบ!ET72"")"),38677.62)</f>
        <v>38677.620000000003</v>
      </c>
      <c r="O333" s="93">
        <f t="shared" ca="1" si="150"/>
        <v>23.299771084337351</v>
      </c>
      <c r="P333" s="93">
        <f t="shared" ca="1" si="151"/>
        <v>46.599542168674702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1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6">
        <f t="shared" ref="L334:N334" ca="1" si="154">L335+L336</f>
        <v>0</v>
      </c>
      <c r="M334" s="496">
        <f t="shared" ca="1" si="154"/>
        <v>0</v>
      </c>
      <c r="N334" s="496">
        <f t="shared" ca="1" si="154"/>
        <v>0</v>
      </c>
      <c r="O334" s="496">
        <f t="shared" ca="1" si="150"/>
        <v>0</v>
      </c>
      <c r="P334" s="496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2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2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IFERROR(__xludf.DUMMYFUNCTION("IMPORTRANGE(""https://docs.google.com/spreadsheets/d/1MeEWN-I1oV_STSDYn1IFDPWt_1FKiwhDph83XaGc0o0/edit?usp=sharing"",""งบพรบ!EP72"")"),0)</f>
        <v>0</v>
      </c>
      <c r="M336" s="93">
        <f ca="1">IFERROR(__xludf.DUMMYFUNCTION("IMPORTRANGE(""https://docs.google.com/spreadsheets/d/1MeEWN-I1oV_STSDYn1IFDPWt_1FKiwhDph83XaGc0o0/edit?usp=sharing"",""งบพรบ!ES72"")"),0)</f>
        <v>0</v>
      </c>
      <c r="N336" s="93">
        <f ca="1">IFERROR(__xludf.DUMMYFUNCTION("IMPORTRANGE(""https://docs.google.com/spreadsheets/d/1MeEWN-I1oV_STSDYn1IFDPWt_1FKiwhDph83XaGc0o0/edit?usp=sharing"",""งบพรบ!EU72"")"),0)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23" t="s">
        <v>38</v>
      </c>
      <c r="E337" s="173"/>
      <c r="F337" s="173"/>
      <c r="G337" s="174"/>
      <c r="H337" s="753"/>
      <c r="I337" s="184"/>
      <c r="J337" s="269"/>
      <c r="K337" s="496"/>
      <c r="L337" s="496"/>
      <c r="M337" s="496"/>
      <c r="N337" s="496"/>
      <c r="O337" s="163"/>
      <c r="P337" s="163"/>
    </row>
    <row r="338" spans="1:26" ht="18.75">
      <c r="A338" s="284"/>
      <c r="B338" s="33"/>
      <c r="C338" s="280"/>
      <c r="D338" s="446" t="s">
        <v>150</v>
      </c>
      <c r="E338" s="171"/>
      <c r="F338" s="33"/>
      <c r="G338" s="35"/>
      <c r="H338" s="276" t="s">
        <v>35</v>
      </c>
      <c r="I338" s="269">
        <f ca="1">IFERROR(__xludf.DUMMYFUNCTION("IMPORTRANGE(""https://docs.google.com/spreadsheets/d/1QqKyyYR6Q21VydFLVH3TRQUabQu_ym0Zz7PgGX0-kHA/edit?usp=sharing"",""แผน!EG72"")"),2300)</f>
        <v>2300</v>
      </c>
      <c r="J338" s="269">
        <f ca="1">IFERROR(__xludf.DUMMYFUNCTION("IMPORTRANGE(""https://docs.google.com/spreadsheets/d/1kVcqe37tkHyjCSG3S0O1AXqVkqjo8mSIZil3BcpIysc/edit?usp=sharing"",""ศูนย์!D72"")"),766)</f>
        <v>766</v>
      </c>
      <c r="K338" s="496">
        <f ca="1">IF(I338&gt;0,J338*100/I338,0)</f>
        <v>33.304347826086953</v>
      </c>
      <c r="L338" s="496"/>
      <c r="M338" s="496"/>
      <c r="N338" s="496"/>
      <c r="O338" s="496"/>
      <c r="P338" s="496"/>
    </row>
    <row r="339" spans="1:26" ht="18.75">
      <c r="A339" s="284"/>
      <c r="B339" s="33"/>
      <c r="C339" s="280"/>
      <c r="D339" s="446" t="s">
        <v>151</v>
      </c>
      <c r="E339" s="171"/>
      <c r="F339" s="33"/>
      <c r="G339" s="35"/>
      <c r="H339" s="276"/>
      <c r="I339" s="269"/>
      <c r="J339" s="269"/>
      <c r="K339" s="496"/>
      <c r="L339" s="496"/>
      <c r="M339" s="496"/>
      <c r="N339" s="496"/>
      <c r="O339" s="496"/>
      <c r="P339" s="496"/>
    </row>
    <row r="340" spans="1:26" ht="18.75">
      <c r="A340" s="284"/>
      <c r="B340" s="33"/>
      <c r="C340" s="280"/>
      <c r="D340" s="178"/>
      <c r="E340" s="446" t="s">
        <v>152</v>
      </c>
      <c r="F340" s="33"/>
      <c r="G340" s="35"/>
      <c r="H340" s="276" t="s">
        <v>153</v>
      </c>
      <c r="I340" s="269">
        <f ca="1">IFERROR(__xludf.DUMMYFUNCTION("IMPORTRANGE(""https://docs.google.com/spreadsheets/d/1QqKyyYR6Q21VydFLVH3TRQUabQu_ym0Zz7PgGX0-kHA/edit?usp=sharing"",""แผน!EH72"")"),4)</f>
        <v>4</v>
      </c>
      <c r="J340" s="269">
        <f ca="1">IFERROR(__xludf.DUMMYFUNCTION("IMPORTRANGE(""https://docs.google.com/spreadsheets/d/1kVcqe37tkHyjCSG3S0O1AXqVkqjo8mSIZil3BcpIysc/edit?usp=sharing"",""ศูนย์!E72"")"),1)</f>
        <v>1</v>
      </c>
      <c r="K340" s="496">
        <f ca="1">IF(I340&gt;0,J340*100/I340,0)</f>
        <v>25</v>
      </c>
      <c r="L340" s="496"/>
      <c r="M340" s="496"/>
      <c r="N340" s="496"/>
      <c r="O340" s="496"/>
      <c r="P340" s="496"/>
    </row>
    <row r="341" spans="1:26" ht="18.75">
      <c r="A341" s="284"/>
      <c r="B341" s="33"/>
      <c r="C341" s="280"/>
      <c r="D341" s="178"/>
      <c r="E341" s="446" t="s">
        <v>154</v>
      </c>
      <c r="F341" s="33"/>
      <c r="G341" s="35"/>
      <c r="H341" s="276" t="s">
        <v>35</v>
      </c>
      <c r="I341" s="269"/>
      <c r="J341" s="269">
        <f ca="1">IFERROR(__xludf.DUMMYFUNCTION("IMPORTRANGE(""https://docs.google.com/spreadsheets/d/1kVcqe37tkHyjCSG3S0O1AXqVkqjo8mSIZil3BcpIysc/edit?usp=sharing"",""ศูนย์!F72"")"),50)</f>
        <v>50</v>
      </c>
      <c r="K341" s="496"/>
      <c r="L341" s="496"/>
      <c r="M341" s="496"/>
      <c r="N341" s="496"/>
      <c r="O341" s="496"/>
      <c r="P341" s="496"/>
    </row>
    <row r="342" spans="1:26" ht="18.75">
      <c r="A342" s="284"/>
      <c r="B342" s="33"/>
      <c r="C342" s="280"/>
      <c r="D342" s="446" t="s">
        <v>155</v>
      </c>
      <c r="E342" s="178"/>
      <c r="F342" s="178"/>
      <c r="G342" s="35"/>
      <c r="H342" s="276" t="s">
        <v>35</v>
      </c>
      <c r="I342" s="269"/>
      <c r="J342" s="269">
        <f ca="1">IFERROR(__xludf.DUMMYFUNCTION("IMPORTRANGE(""https://docs.google.com/spreadsheets/d/1kVcqe37tkHyjCSG3S0O1AXqVkqjo8mSIZil3BcpIysc/edit?usp=sharing"",""ศูนย์!G72"")"),0)</f>
        <v>0</v>
      </c>
      <c r="K342" s="496"/>
      <c r="L342" s="496"/>
      <c r="M342" s="496"/>
      <c r="N342" s="496"/>
      <c r="O342" s="496"/>
      <c r="P342" s="496"/>
    </row>
    <row r="343" spans="1:26" ht="18.75">
      <c r="A343" s="284"/>
      <c r="B343" s="33"/>
      <c r="C343" s="280"/>
      <c r="D343" s="446" t="s">
        <v>156</v>
      </c>
      <c r="E343" s="178"/>
      <c r="F343" s="178"/>
      <c r="G343" s="35"/>
      <c r="H343" s="276" t="s">
        <v>35</v>
      </c>
      <c r="I343" s="269"/>
      <c r="J343" s="269">
        <f ca="1">IFERROR(__xludf.DUMMYFUNCTION("IMPORTRANGE(""https://docs.google.com/spreadsheets/d/1kVcqe37tkHyjCSG3S0O1AXqVkqjo8mSIZil3BcpIysc/edit?usp=sharing"",""ศูนย์!H72"")"),0)</f>
        <v>0</v>
      </c>
      <c r="K343" s="496"/>
      <c r="L343" s="496"/>
      <c r="M343" s="496"/>
      <c r="N343" s="496"/>
      <c r="O343" s="496"/>
      <c r="P343" s="496"/>
    </row>
    <row r="344" spans="1:26" ht="19.5">
      <c r="A344" s="438"/>
      <c r="B344" s="439" t="s">
        <v>157</v>
      </c>
      <c r="C344" s="451"/>
      <c r="D344" s="440"/>
      <c r="E344" s="440"/>
      <c r="F344" s="440"/>
      <c r="G344" s="441"/>
      <c r="H344" s="442"/>
      <c r="I344" s="452"/>
      <c r="J344" s="452"/>
      <c r="K344" s="445"/>
      <c r="L344" s="445"/>
      <c r="M344" s="445"/>
      <c r="N344" s="445"/>
      <c r="O344" s="445"/>
      <c r="P344" s="445"/>
    </row>
    <row r="345" spans="1:26" ht="19.5">
      <c r="A345" s="147"/>
      <c r="B345" s="148"/>
      <c r="C345" s="149" t="s">
        <v>16</v>
      </c>
      <c r="D345" s="822" t="s">
        <v>17</v>
      </c>
      <c r="E345" s="148"/>
      <c r="F345" s="148"/>
      <c r="G345" s="151"/>
      <c r="H345" s="152" t="s">
        <v>12</v>
      </c>
      <c r="I345" s="419"/>
      <c r="J345" s="419"/>
      <c r="K345" s="154"/>
      <c r="L345" s="155">
        <f t="shared" ref="L345:N345" ca="1" si="155">L346+L347</f>
        <v>1143490</v>
      </c>
      <c r="M345" s="155">
        <f t="shared" ca="1" si="155"/>
        <v>643550</v>
      </c>
      <c r="N345" s="155">
        <f t="shared" ca="1" si="155"/>
        <v>382482.66000000003</v>
      </c>
      <c r="O345" s="155">
        <f t="shared" ref="O345:O353" ca="1" si="156">IF(L345&gt;0,N345*100/L345,0)</f>
        <v>33.448710526545923</v>
      </c>
      <c r="P345" s="155">
        <f t="shared" ref="P345:P353" ca="1" si="157">IF(M345&gt;0,N345*100/M345,0)</f>
        <v>59.433246833967836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2" t="s">
        <v>18</v>
      </c>
      <c r="F346" s="40"/>
      <c r="G346" s="157"/>
      <c r="H346" s="158" t="s">
        <v>12</v>
      </c>
      <c r="I346" s="610"/>
      <c r="J346" s="610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2" t="s">
        <v>19</v>
      </c>
      <c r="F347" s="40"/>
      <c r="G347" s="157"/>
      <c r="H347" s="158" t="s">
        <v>12</v>
      </c>
      <c r="I347" s="610"/>
      <c r="J347" s="610"/>
      <c r="K347" s="93"/>
      <c r="L347" s="93">
        <f t="shared" ca="1" si="158"/>
        <v>1143490</v>
      </c>
      <c r="M347" s="93">
        <f t="shared" ca="1" si="158"/>
        <v>643550</v>
      </c>
      <c r="N347" s="93">
        <f t="shared" ca="1" si="158"/>
        <v>382482.66000000003</v>
      </c>
      <c r="O347" s="93">
        <f t="shared" ca="1" si="156"/>
        <v>33.448710526545923</v>
      </c>
      <c r="P347" s="93">
        <f t="shared" ca="1" si="157"/>
        <v>59.433246833967836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1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6">
        <f t="shared" ref="L348:N348" ca="1" si="159">L349+L350</f>
        <v>999890</v>
      </c>
      <c r="M348" s="496">
        <f t="shared" ca="1" si="159"/>
        <v>499950</v>
      </c>
      <c r="N348" s="496">
        <f t="shared" ca="1" si="159"/>
        <v>238882.66</v>
      </c>
      <c r="O348" s="496">
        <f t="shared" ca="1" si="156"/>
        <v>23.890893998339816</v>
      </c>
      <c r="P348" s="496">
        <f t="shared" ca="1" si="157"/>
        <v>47.7813101310131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2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2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IFERROR(__xludf.DUMMYFUNCTION("IMPORTRANGE(""https://docs.google.com/spreadsheets/d/1MeEWN-I1oV_STSDYn1IFDPWt_1FKiwhDph83XaGc0o0/edit?usp=sharing"",""งบพรบ!EW72"")"),999890)</f>
        <v>999890</v>
      </c>
      <c r="M350" s="93">
        <f ca="1">IFERROR(__xludf.DUMMYFUNCTION("IMPORTRANGE(""https://docs.google.com/spreadsheets/d/1MeEWN-I1oV_STSDYn1IFDPWt_1FKiwhDph83XaGc0o0/edit?usp=sharing"",""งบพรบ!FB72"")"),499950)</f>
        <v>499950</v>
      </c>
      <c r="N350" s="93">
        <f ca="1">IFERROR(__xludf.DUMMYFUNCTION("IMPORTRANGE(""https://docs.google.com/spreadsheets/d/1MeEWN-I1oV_STSDYn1IFDPWt_1FKiwhDph83XaGc0o0/edit?usp=sharing"",""งบพรบ!FD72"")"),238882.66)</f>
        <v>238882.66</v>
      </c>
      <c r="O350" s="93">
        <f t="shared" ca="1" si="156"/>
        <v>23.890893998339816</v>
      </c>
      <c r="P350" s="93">
        <f t="shared" ca="1" si="157"/>
        <v>47.7813101310131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1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6">
        <f t="shared" ref="L351:N351" ca="1" si="160">L352+L353</f>
        <v>143600</v>
      </c>
      <c r="M351" s="496">
        <f t="shared" ca="1" si="160"/>
        <v>143600</v>
      </c>
      <c r="N351" s="496">
        <f t="shared" ca="1" si="160"/>
        <v>143600</v>
      </c>
      <c r="O351" s="496">
        <f t="shared" ca="1" si="156"/>
        <v>100</v>
      </c>
      <c r="P351" s="496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2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2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IFERROR(__xludf.DUMMYFUNCTION("IMPORTRANGE(""https://docs.google.com/spreadsheets/d/1MeEWN-I1oV_STSDYn1IFDPWt_1FKiwhDph83XaGc0o0/edit?usp=sharing"",""งบพรบ!EZ72"")"),143600)</f>
        <v>143600</v>
      </c>
      <c r="M353" s="93">
        <f ca="1">IFERROR(__xludf.DUMMYFUNCTION("IMPORTRANGE(""https://docs.google.com/spreadsheets/d/1MeEWN-I1oV_STSDYn1IFDPWt_1FKiwhDph83XaGc0o0/edit?usp=sharing"",""งบพรบ!FC72"")"),143600)</f>
        <v>143600</v>
      </c>
      <c r="N353" s="93">
        <f ca="1">IFERROR(__xludf.DUMMYFUNCTION("IMPORTRANGE(""https://docs.google.com/spreadsheets/d/1MeEWN-I1oV_STSDYn1IFDPWt_1FKiwhDph83XaGc0o0/edit?usp=sharing"",""งบพรบ!FE72"")"),143600)</f>
        <v>143600</v>
      </c>
      <c r="O353" s="93">
        <f t="shared" ca="1" si="156"/>
        <v>100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5"/>
      <c r="B354" s="263"/>
      <c r="C354" s="256"/>
      <c r="D354" s="832" t="s">
        <v>158</v>
      </c>
      <c r="E354" s="256"/>
      <c r="F354" s="256"/>
      <c r="G354" s="258"/>
      <c r="H354" s="454"/>
      <c r="I354" s="260"/>
      <c r="J354" s="260"/>
      <c r="K354" s="261"/>
      <c r="L354" s="261"/>
      <c r="M354" s="261"/>
      <c r="N354" s="261"/>
      <c r="O354" s="261"/>
      <c r="P354" s="261"/>
    </row>
    <row r="355" spans="1:26" ht="19.5">
      <c r="A355" s="455"/>
      <c r="B355" s="456"/>
      <c r="C355" s="457"/>
      <c r="D355" s="833" t="s">
        <v>159</v>
      </c>
      <c r="E355" s="459"/>
      <c r="F355" s="459"/>
      <c r="G355" s="460"/>
      <c r="H355" s="461" t="s">
        <v>35</v>
      </c>
      <c r="I355" s="463">
        <f ca="1">IFERROR(__xludf.DUMMYFUNCTION("IMPORTRANGE(""https://docs.google.com/spreadsheets/d/1QqKyyYR6Q21VydFLVH3TRQUabQu_ym0Zz7PgGX0-kHA/edit?usp=sharing"",""แผน!EP72"")"),160)</f>
        <v>160</v>
      </c>
      <c r="J355" s="463">
        <f ca="1">J362</f>
        <v>0</v>
      </c>
      <c r="K355" s="464">
        <f ca="1">IF(I355&gt;0,J355*100/I355,0)</f>
        <v>0</v>
      </c>
      <c r="L355" s="465"/>
      <c r="M355" s="465"/>
      <c r="N355" s="465"/>
      <c r="O355" s="465"/>
      <c r="P355" s="465"/>
    </row>
    <row r="356" spans="1:26" ht="19.5">
      <c r="A356" s="455"/>
      <c r="B356" s="456"/>
      <c r="C356" s="457"/>
      <c r="D356" s="466" t="s">
        <v>160</v>
      </c>
      <c r="E356" s="459"/>
      <c r="F356" s="459"/>
      <c r="G356" s="460"/>
      <c r="H356" s="467"/>
      <c r="I356" s="468"/>
      <c r="J356" s="468"/>
      <c r="K356" s="465"/>
      <c r="L356" s="465"/>
      <c r="M356" s="465"/>
      <c r="N356" s="465"/>
      <c r="O356" s="465"/>
      <c r="P356" s="465"/>
    </row>
    <row r="357" spans="1:26" ht="19.5">
      <c r="A357" s="170"/>
      <c r="B357" s="171"/>
      <c r="C357" s="164" t="s">
        <v>16</v>
      </c>
      <c r="D357" s="823" t="s">
        <v>38</v>
      </c>
      <c r="E357" s="173"/>
      <c r="F357" s="173"/>
      <c r="G357" s="174"/>
      <c r="H357" s="753"/>
      <c r="I357" s="269"/>
      <c r="J357" s="269"/>
      <c r="K357" s="496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69">
        <v>0</v>
      </c>
      <c r="J358" s="269">
        <f ca="1">IFERROR(__xludf.DUMMYFUNCTION("IMPORTRANGE(""https://docs.google.com/spreadsheets/d/1XWAQStnk-4SwqDmLtmXYiTMKHgktTP8We1SCoS47DrQ/edit?usp=sharing"",""จัดที่ดิน!W72"")"),44)</f>
        <v>44</v>
      </c>
      <c r="K358" s="496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69">
        <f ca="1">IFERROR(__xludf.DUMMYFUNCTION("IMPORTRANGE(""https://docs.google.com/spreadsheets/d/1QqKyyYR6Q21VydFLVH3TRQUabQu_ym0Zz7PgGX0-kHA/edit?usp=sharing"",""แผน!EO72"")"),1500)</f>
        <v>1500</v>
      </c>
      <c r="J359" s="269">
        <f ca="1">IFERROR(__xludf.DUMMYFUNCTION("IMPORTRANGE(""https://docs.google.com/spreadsheets/d/1XWAQStnk-4SwqDmLtmXYiTMKHgktTP8We1SCoS47DrQ/edit?usp=sharing"",""จัดที่ดิน!X72"")"),294.92)</f>
        <v>294.92</v>
      </c>
      <c r="K359" s="496">
        <f t="shared" ca="1" si="161"/>
        <v>19.661333333333335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755" t="s">
        <v>35</v>
      </c>
      <c r="I360" s="269">
        <f ca="1">IFERROR(__xludf.DUMMYFUNCTION("IMPORTRANGE(""https://docs.google.com/spreadsheets/d/1QqKyyYR6Q21VydFLVH3TRQUabQu_ym0Zz7PgGX0-kHA/edit?usp=sharing"",""แผน!EP72"")"),160)</f>
        <v>160</v>
      </c>
      <c r="J360" s="269">
        <f ca="1">IFERROR(__xludf.DUMMYFUNCTION("IMPORTRANGE(""https://docs.google.com/spreadsheets/d/1XWAQStnk-4SwqDmLtmXYiTMKHgktTP8We1SCoS47DrQ/edit?usp=sharing"",""จัดที่ดิน!Y72"")"),6)</f>
        <v>6</v>
      </c>
      <c r="K360" s="496">
        <f t="shared" ca="1" si="161"/>
        <v>3.75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755" t="s">
        <v>46</v>
      </c>
      <c r="I361" s="269">
        <v>0</v>
      </c>
      <c r="J361" s="269">
        <f ca="1">IFERROR(__xludf.DUMMYFUNCTION("IMPORTRANGE(""https://docs.google.com/spreadsheets/d/1XWAQStnk-4SwqDmLtmXYiTMKHgktTP8We1SCoS47DrQ/edit?usp=sharing"",""จัดที่ดิน!Z72"")"),44.16)</f>
        <v>44.16</v>
      </c>
      <c r="K361" s="496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755" t="s">
        <v>35</v>
      </c>
      <c r="I362" s="269">
        <f ca="1">IFERROR(__xludf.DUMMYFUNCTION("IMPORTRANGE(""https://docs.google.com/spreadsheets/d/1QqKyyYR6Q21VydFLVH3TRQUabQu_ym0Zz7PgGX0-kHA/edit?usp=sharing"",""แผน!EP72"")"),160)</f>
        <v>160</v>
      </c>
      <c r="J362" s="269">
        <f ca="1">IFERROR(__xludf.DUMMYFUNCTION("IMPORTRANGE(""https://docs.google.com/spreadsheets/d/1XWAQStnk-4SwqDmLtmXYiTMKHgktTP8We1SCoS47DrQ/edit?usp=sharing"",""จัดที่ดิน!AA72"")"),0)</f>
        <v>0</v>
      </c>
      <c r="K362" s="496">
        <f t="shared" ca="1" si="161"/>
        <v>0</v>
      </c>
      <c r="L362" s="163"/>
      <c r="M362" s="163"/>
      <c r="N362" s="163"/>
      <c r="O362" s="163"/>
      <c r="P362" s="163"/>
    </row>
    <row r="363" spans="1:26" ht="18.75">
      <c r="A363" s="469" t="s">
        <v>164</v>
      </c>
      <c r="B363" s="178"/>
      <c r="C363" s="171"/>
      <c r="D363" s="178"/>
      <c r="E363" s="446"/>
      <c r="F363" s="178"/>
      <c r="G363" s="179"/>
      <c r="H363" s="755" t="s">
        <v>46</v>
      </c>
      <c r="I363" s="269">
        <v>0</v>
      </c>
      <c r="J363" s="269">
        <f ca="1">IFERROR(__xludf.DUMMYFUNCTION("IMPORTRANGE(""https://docs.google.com/spreadsheets/d/1XWAQStnk-4SwqDmLtmXYiTMKHgktTP8We1SCoS47DrQ/edit?usp=sharing"",""จัดที่ดิน!AB72"")"),0)</f>
        <v>0</v>
      </c>
      <c r="K363" s="496">
        <f t="shared" si="161"/>
        <v>0</v>
      </c>
      <c r="L363" s="163"/>
      <c r="M363" s="163"/>
      <c r="N363" s="163"/>
      <c r="O363" s="163"/>
      <c r="P363" s="163"/>
    </row>
    <row r="364" spans="1:26" ht="19.5">
      <c r="A364" s="470"/>
      <c r="B364" s="471"/>
      <c r="C364" s="472"/>
      <c r="D364" s="473" t="s">
        <v>165</v>
      </c>
      <c r="E364" s="474"/>
      <c r="F364" s="474"/>
      <c r="G364" s="475"/>
      <c r="H364" s="476" t="s">
        <v>35</v>
      </c>
      <c r="I364" s="477">
        <f t="shared" ref="I364:J364" ca="1" si="162">I365+I374</f>
        <v>300</v>
      </c>
      <c r="J364" s="477">
        <f t="shared" ca="1" si="162"/>
        <v>54</v>
      </c>
      <c r="K364" s="478">
        <f t="shared" ca="1" si="161"/>
        <v>18</v>
      </c>
      <c r="L364" s="479"/>
      <c r="M364" s="479"/>
      <c r="N364" s="479"/>
      <c r="O364" s="479"/>
      <c r="P364" s="479"/>
      <c r="Q364" s="480"/>
      <c r="R364" s="480"/>
      <c r="S364" s="480"/>
      <c r="T364" s="480"/>
      <c r="U364" s="480"/>
      <c r="V364" s="480"/>
      <c r="W364" s="480"/>
      <c r="X364" s="480"/>
      <c r="Y364" s="480"/>
      <c r="Z364" s="480"/>
    </row>
    <row r="365" spans="1:26" ht="19.5">
      <c r="A365" s="481"/>
      <c r="B365" s="482"/>
      <c r="C365" s="484"/>
      <c r="D365" s="484" t="s">
        <v>166</v>
      </c>
      <c r="E365" s="485"/>
      <c r="F365" s="485"/>
      <c r="G365" s="486"/>
      <c r="H365" s="487" t="s">
        <v>35</v>
      </c>
      <c r="I365" s="489">
        <f ca="1">IFERROR(__xludf.DUMMYFUNCTION("IMPORTRANGE(""https://docs.google.com/spreadsheets/d/1QqKyyYR6Q21VydFLVH3TRQUabQu_ym0Zz7PgGX0-kHA/edit?usp=sharing"",""แผน!EJ72"")"),40)</f>
        <v>40</v>
      </c>
      <c r="J365" s="489">
        <f ca="1">J372</f>
        <v>0</v>
      </c>
      <c r="K365" s="490">
        <f t="shared" ca="1" si="161"/>
        <v>0</v>
      </c>
      <c r="L365" s="491"/>
      <c r="M365" s="491"/>
      <c r="N365" s="491"/>
      <c r="O365" s="491"/>
      <c r="P365" s="491"/>
      <c r="Q365" s="480"/>
      <c r="R365" s="480"/>
      <c r="S365" s="480"/>
      <c r="T365" s="480"/>
      <c r="U365" s="480"/>
      <c r="V365" s="480"/>
      <c r="W365" s="480"/>
      <c r="X365" s="480"/>
      <c r="Y365" s="480"/>
      <c r="Z365" s="480"/>
    </row>
    <row r="366" spans="1:26" ht="19.5">
      <c r="A366" s="481"/>
      <c r="B366" s="482"/>
      <c r="C366" s="484"/>
      <c r="D366" s="492" t="s">
        <v>167</v>
      </c>
      <c r="E366" s="485"/>
      <c r="F366" s="485"/>
      <c r="G366" s="486"/>
      <c r="H366" s="493"/>
      <c r="I366" s="494"/>
      <c r="J366" s="494"/>
      <c r="K366" s="491"/>
      <c r="L366" s="491"/>
      <c r="M366" s="491"/>
      <c r="N366" s="491"/>
      <c r="O366" s="491"/>
      <c r="P366" s="491"/>
      <c r="Q366" s="480"/>
      <c r="R366" s="480"/>
      <c r="S366" s="480"/>
      <c r="T366" s="480"/>
      <c r="U366" s="480"/>
      <c r="V366" s="480"/>
      <c r="W366" s="480"/>
      <c r="X366" s="480"/>
      <c r="Y366" s="480"/>
      <c r="Z366" s="480"/>
    </row>
    <row r="367" spans="1:26" ht="19.5">
      <c r="A367" s="170"/>
      <c r="B367" s="171"/>
      <c r="C367" s="164" t="s">
        <v>16</v>
      </c>
      <c r="D367" s="823" t="s">
        <v>38</v>
      </c>
      <c r="E367" s="173"/>
      <c r="F367" s="173"/>
      <c r="G367" s="174"/>
      <c r="H367" s="753"/>
      <c r="I367" s="269"/>
      <c r="J367" s="269"/>
      <c r="K367" s="496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69">
        <v>0</v>
      </c>
      <c r="J368" s="269">
        <f ca="1">IFERROR(__xludf.DUMMYFUNCTION("IMPORTRANGE(""https://docs.google.com/spreadsheets/d/1XWAQStnk-4SwqDmLtmXYiTMKHgktTP8We1SCoS47DrQ/edit?usp=sharing"",""จัดที่ดิน!E72"")"),42)</f>
        <v>42</v>
      </c>
      <c r="K368" s="496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69">
        <f ca="1">IFERROR(__xludf.DUMMYFUNCTION("IMPORTRANGE(""https://docs.google.com/spreadsheets/d/1QqKyyYR6Q21VydFLVH3TRQUabQu_ym0Zz7PgGX0-kHA/edit?usp=sharing"",""แผน!EI72"")"),300)</f>
        <v>300</v>
      </c>
      <c r="J369" s="269">
        <f ca="1">IFERROR(__xludf.DUMMYFUNCTION("IMPORTRANGE(""https://docs.google.com/spreadsheets/d/1XWAQStnk-4SwqDmLtmXYiTMKHgktTP8We1SCoS47DrQ/edit?usp=sharing"",""จัดที่ดิน!F72"")"),256.6)</f>
        <v>256.60000000000002</v>
      </c>
      <c r="K369" s="496">
        <f t="shared" ca="1" si="163"/>
        <v>85.533333333333346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55" t="s">
        <v>35</v>
      </c>
      <c r="I370" s="269">
        <f ca="1">IFERROR(__xludf.DUMMYFUNCTION("IMPORTRANGE(""https://docs.google.com/spreadsheets/d/1QqKyyYR6Q21VydFLVH3TRQUabQu_ym0Zz7PgGX0-kHA/edit?usp=sharing"",""แผน!EJ72"")"),40)</f>
        <v>40</v>
      </c>
      <c r="J370" s="269">
        <f ca="1">IFERROR(__xludf.DUMMYFUNCTION("IMPORTRANGE(""https://docs.google.com/spreadsheets/d/1XWAQStnk-4SwqDmLtmXYiTMKHgktTP8We1SCoS47DrQ/edit?usp=sharing"",""จัดที่ดิน!G72"")"),6)</f>
        <v>6</v>
      </c>
      <c r="K370" s="496">
        <f t="shared" ca="1" si="163"/>
        <v>15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55" t="s">
        <v>46</v>
      </c>
      <c r="I371" s="269">
        <v>0</v>
      </c>
      <c r="J371" s="269">
        <f ca="1">IFERROR(__xludf.DUMMYFUNCTION("IMPORTRANGE(""https://docs.google.com/spreadsheets/d/1XWAQStnk-4SwqDmLtmXYiTMKHgktTP8We1SCoS47DrQ/edit?usp=sharing"",""จัดที่ดิน!H72"")"),44.16)</f>
        <v>44.16</v>
      </c>
      <c r="K371" s="496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55" t="s">
        <v>35</v>
      </c>
      <c r="I372" s="269">
        <f ca="1">IFERROR(__xludf.DUMMYFUNCTION("IMPORTRANGE(""https://docs.google.com/spreadsheets/d/1QqKyyYR6Q21VydFLVH3TRQUabQu_ym0Zz7PgGX0-kHA/edit?usp=sharing"",""แผน!EJ72"")"),40)</f>
        <v>40</v>
      </c>
      <c r="J372" s="269">
        <f ca="1">IFERROR(__xludf.DUMMYFUNCTION("IMPORTRANGE(""https://docs.google.com/spreadsheets/d/1XWAQStnk-4SwqDmLtmXYiTMKHgktTP8We1SCoS47DrQ/edit?usp=sharing"",""จัดที่ดิน!I72"")"),0)</f>
        <v>0</v>
      </c>
      <c r="K372" s="496">
        <f t="shared" ca="1" si="163"/>
        <v>0</v>
      </c>
      <c r="L372" s="163"/>
      <c r="M372" s="163"/>
      <c r="N372" s="163"/>
      <c r="O372" s="163"/>
      <c r="P372" s="163"/>
    </row>
    <row r="373" spans="1:26" ht="18.75">
      <c r="A373" s="469" t="s">
        <v>164</v>
      </c>
      <c r="B373" s="178"/>
      <c r="C373" s="171"/>
      <c r="D373" s="178"/>
      <c r="E373" s="446"/>
      <c r="F373" s="178"/>
      <c r="G373" s="179"/>
      <c r="H373" s="755" t="s">
        <v>46</v>
      </c>
      <c r="I373" s="269">
        <v>0</v>
      </c>
      <c r="J373" s="269">
        <f ca="1">IFERROR(__xludf.DUMMYFUNCTION("IMPORTRANGE(""https://docs.google.com/spreadsheets/d/1XWAQStnk-4SwqDmLtmXYiTMKHgktTP8We1SCoS47DrQ/edit?usp=sharing"",""จัดที่ดิน!J72"")"),0)</f>
        <v>0</v>
      </c>
      <c r="K373" s="496">
        <f t="shared" si="163"/>
        <v>0</v>
      </c>
      <c r="L373" s="163"/>
      <c r="M373" s="163"/>
      <c r="N373" s="163"/>
      <c r="O373" s="163"/>
      <c r="P373" s="163"/>
    </row>
    <row r="374" spans="1:26" ht="19.5">
      <c r="A374" s="481"/>
      <c r="B374" s="482"/>
      <c r="C374" s="484"/>
      <c r="D374" s="484" t="s">
        <v>168</v>
      </c>
      <c r="E374" s="485"/>
      <c r="F374" s="485"/>
      <c r="G374" s="486"/>
      <c r="H374" s="487" t="s">
        <v>35</v>
      </c>
      <c r="I374" s="495">
        <f ca="1">IFERROR(__xludf.DUMMYFUNCTION("IMPORTRANGE(""https://docs.google.com/spreadsheets/d/1QqKyyYR6Q21VydFLVH3TRQUabQu_ym0Zz7PgGX0-kHA/edit?usp=sharing"",""แผน!EU72"")"),260)</f>
        <v>260</v>
      </c>
      <c r="J374" s="489">
        <f ca="1">J381</f>
        <v>54</v>
      </c>
      <c r="K374" s="490">
        <f t="shared" ca="1" si="163"/>
        <v>20.76923076923077</v>
      </c>
      <c r="L374" s="491"/>
      <c r="M374" s="491"/>
      <c r="N374" s="491"/>
      <c r="O374" s="491"/>
      <c r="P374" s="491"/>
      <c r="Q374" s="480"/>
      <c r="R374" s="480"/>
      <c r="S374" s="480"/>
      <c r="T374" s="480"/>
      <c r="U374" s="480"/>
      <c r="V374" s="480"/>
      <c r="W374" s="480"/>
      <c r="X374" s="480"/>
      <c r="Y374" s="480"/>
      <c r="Z374" s="480"/>
    </row>
    <row r="375" spans="1:26" ht="19.5">
      <c r="A375" s="481"/>
      <c r="B375" s="482"/>
      <c r="C375" s="484"/>
      <c r="D375" s="492" t="s">
        <v>169</v>
      </c>
      <c r="E375" s="485"/>
      <c r="F375" s="485"/>
      <c r="G375" s="486"/>
      <c r="H375" s="493"/>
      <c r="I375" s="494"/>
      <c r="J375" s="494"/>
      <c r="K375" s="491"/>
      <c r="L375" s="491"/>
      <c r="M375" s="491"/>
      <c r="N375" s="491"/>
      <c r="O375" s="491"/>
      <c r="P375" s="491"/>
      <c r="Q375" s="480"/>
      <c r="R375" s="480"/>
      <c r="S375" s="480"/>
      <c r="T375" s="480"/>
      <c r="U375" s="480"/>
      <c r="V375" s="480"/>
      <c r="W375" s="480"/>
      <c r="X375" s="480"/>
      <c r="Y375" s="480"/>
      <c r="Z375" s="480"/>
    </row>
    <row r="376" spans="1:26" ht="19.5">
      <c r="A376" s="170"/>
      <c r="B376" s="171"/>
      <c r="C376" s="164" t="s">
        <v>16</v>
      </c>
      <c r="D376" s="823" t="s">
        <v>38</v>
      </c>
      <c r="E376" s="173"/>
      <c r="F376" s="173"/>
      <c r="G376" s="174"/>
      <c r="H376" s="753"/>
      <c r="I376" s="269"/>
      <c r="J376" s="269"/>
      <c r="K376" s="496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69">
        <v>0</v>
      </c>
      <c r="J377" s="269">
        <f ca="1">IFERROR(__xludf.DUMMYFUNCTION("IMPORTRANGE(""https://docs.google.com/spreadsheets/d/1XWAQStnk-4SwqDmLtmXYiTMKHgktTP8We1SCoS47DrQ/edit?usp=sharing"",""จัดที่ดิน!AH72"")"),2)</f>
        <v>2</v>
      </c>
      <c r="K377" s="496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69">
        <f ca="1">IFERROR(__xludf.DUMMYFUNCTION("IMPORTRANGE(""https://docs.google.com/spreadsheets/d/1QqKyyYR6Q21VydFLVH3TRQUabQu_ym0Zz7PgGX0-kHA/edit?usp=sharing"",""แผน!ET72"")"),1200)</f>
        <v>1200</v>
      </c>
      <c r="J378" s="269">
        <f ca="1">IFERROR(__xludf.DUMMYFUNCTION("IMPORTRANGE(""https://docs.google.com/spreadsheets/d/1XWAQStnk-4SwqDmLtmXYiTMKHgktTP8We1SCoS47DrQ/edit?usp=sharing"",""จัดที่ดิน!AI72"")"),38.32)</f>
        <v>38.32</v>
      </c>
      <c r="K378" s="496">
        <f t="shared" ca="1" si="164"/>
        <v>3.1933333333333334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55" t="s">
        <v>35</v>
      </c>
      <c r="I379" s="269">
        <f ca="1">IFERROR(__xludf.DUMMYFUNCTION("IMPORTRANGE(""https://docs.google.com/spreadsheets/d/1QqKyyYR6Q21VydFLVH3TRQUabQu_ym0Zz7PgGX0-kHA/edit?usp=sharing"",""แผน!EU72"")"),260)</f>
        <v>260</v>
      </c>
      <c r="J379" s="269">
        <f ca="1">IFERROR(__xludf.DUMMYFUNCTION("IMPORTRANGE(""https://docs.google.com/spreadsheets/d/1XWAQStnk-4SwqDmLtmXYiTMKHgktTP8We1SCoS47DrQ/edit?usp=sharing"",""จัดที่ดิน!AJ72"")"),54)</f>
        <v>54</v>
      </c>
      <c r="K379" s="496">
        <f t="shared" ca="1" si="164"/>
        <v>20.76923076923077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55" t="s">
        <v>46</v>
      </c>
      <c r="I380" s="269">
        <v>0</v>
      </c>
      <c r="J380" s="269">
        <f ca="1">IFERROR(__xludf.DUMMYFUNCTION("IMPORTRANGE(""https://docs.google.com/spreadsheets/d/1XWAQStnk-4SwqDmLtmXYiTMKHgktTP8We1SCoS47DrQ/edit?usp=sharing"",""จัดที่ดิน!AK72"")"),561.79)</f>
        <v>561.79</v>
      </c>
      <c r="K380" s="496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55" t="s">
        <v>35</v>
      </c>
      <c r="I381" s="269">
        <f ca="1">IFERROR(__xludf.DUMMYFUNCTION("IMPORTRANGE(""https://docs.google.com/spreadsheets/d/1QqKyyYR6Q21VydFLVH3TRQUabQu_ym0Zz7PgGX0-kHA/edit?usp=sharing"",""แผน!EU72"")"),260)</f>
        <v>260</v>
      </c>
      <c r="J381" s="269">
        <f ca="1">IFERROR(__xludf.DUMMYFUNCTION("IMPORTRANGE(""https://docs.google.com/spreadsheets/d/1XWAQStnk-4SwqDmLtmXYiTMKHgktTP8We1SCoS47DrQ/edit?usp=sharing"",""จัดที่ดิน!AL72"")"),54)</f>
        <v>54</v>
      </c>
      <c r="K381" s="496">
        <f t="shared" ca="1" si="164"/>
        <v>20.76923076923077</v>
      </c>
      <c r="L381" s="163"/>
      <c r="M381" s="163"/>
      <c r="N381" s="163"/>
      <c r="O381" s="163"/>
      <c r="P381" s="163"/>
    </row>
    <row r="382" spans="1:26" ht="18.75">
      <c r="A382" s="469" t="s">
        <v>164</v>
      </c>
      <c r="B382" s="178"/>
      <c r="C382" s="171"/>
      <c r="D382" s="178"/>
      <c r="E382" s="446"/>
      <c r="F382" s="178"/>
      <c r="G382" s="179"/>
      <c r="H382" s="755" t="s">
        <v>46</v>
      </c>
      <c r="I382" s="269">
        <v>0</v>
      </c>
      <c r="J382" s="269">
        <f ca="1">IFERROR(__xludf.DUMMYFUNCTION("IMPORTRANGE(""https://docs.google.com/spreadsheets/d/1XWAQStnk-4SwqDmLtmXYiTMKHgktTP8We1SCoS47DrQ/edit?usp=sharing"",""จัดที่ดิน!AM72"")"),561.79)</f>
        <v>561.79</v>
      </c>
      <c r="K382" s="496">
        <f t="shared" si="164"/>
        <v>0</v>
      </c>
      <c r="L382" s="163"/>
      <c r="M382" s="163"/>
      <c r="N382" s="163"/>
      <c r="O382" s="163"/>
      <c r="P382" s="163"/>
    </row>
    <row r="383" spans="1:26" ht="19.5">
      <c r="A383" s="255"/>
      <c r="B383" s="263"/>
      <c r="C383" s="256"/>
      <c r="D383" s="832" t="s">
        <v>170</v>
      </c>
      <c r="E383" s="256"/>
      <c r="F383" s="256"/>
      <c r="G383" s="258"/>
      <c r="H383" s="454"/>
      <c r="I383" s="260"/>
      <c r="J383" s="260"/>
      <c r="K383" s="261"/>
      <c r="L383" s="261"/>
      <c r="M383" s="261"/>
      <c r="N383" s="261"/>
      <c r="O383" s="261"/>
      <c r="P383" s="261"/>
    </row>
    <row r="384" spans="1:26" ht="19.5">
      <c r="A384" s="170"/>
      <c r="B384" s="171"/>
      <c r="C384" s="33" t="s">
        <v>16</v>
      </c>
      <c r="D384" s="823" t="s">
        <v>38</v>
      </c>
      <c r="E384" s="173"/>
      <c r="F384" s="173"/>
      <c r="G384" s="174"/>
      <c r="H384" s="753"/>
      <c r="I384" s="269"/>
      <c r="J384" s="269"/>
      <c r="K384" s="496"/>
      <c r="L384" s="163"/>
      <c r="M384" s="163"/>
      <c r="N384" s="163"/>
      <c r="O384" s="163"/>
      <c r="P384" s="163"/>
    </row>
    <row r="385" spans="1:26" ht="18.75">
      <c r="A385" s="377"/>
      <c r="B385" s="380"/>
      <c r="C385" s="378"/>
      <c r="D385" s="380"/>
      <c r="E385" s="497" t="s">
        <v>163</v>
      </c>
      <c r="F385" s="380"/>
      <c r="G385" s="381"/>
      <c r="H385" s="498" t="s">
        <v>35</v>
      </c>
      <c r="I385" s="499">
        <f ca="1">IFERROR(__xludf.DUMMYFUNCTION("IMPORTRANGE(""https://docs.google.com/spreadsheets/d/1QqKyyYR6Q21VydFLVH3TRQUabQu_ym0Zz7PgGX0-kHA/edit?usp=sharing"",""แผน!EW72"")"),40)</f>
        <v>40</v>
      </c>
      <c r="J385" s="499">
        <f ca="1">IFERROR(__xludf.DUMMYFUNCTION("IMPORTRANGE(""https://docs.google.com/spreadsheets/d/1XWAQStnk-4SwqDmLtmXYiTMKHgktTP8We1SCoS47DrQ/edit?usp=sharing"",""จัดที่ดิน!AP72"")"),0)</f>
        <v>0</v>
      </c>
      <c r="K385" s="500">
        <f ca="1">IF(I385&gt;0,J385*100/I385,0)</f>
        <v>0</v>
      </c>
      <c r="L385" s="384"/>
      <c r="M385" s="384"/>
      <c r="N385" s="384"/>
      <c r="O385" s="384"/>
      <c r="P385" s="384"/>
    </row>
    <row r="386" spans="1:26" ht="19.5" hidden="1">
      <c r="A386" s="501" t="s">
        <v>171</v>
      </c>
      <c r="B386" s="502"/>
      <c r="C386" s="502"/>
      <c r="D386" s="502"/>
      <c r="E386" s="503"/>
      <c r="F386" s="503"/>
      <c r="G386" s="504"/>
      <c r="H386" s="505"/>
      <c r="I386" s="506"/>
      <c r="J386" s="506"/>
      <c r="K386" s="507"/>
      <c r="L386" s="507"/>
      <c r="M386" s="507"/>
      <c r="N386" s="507"/>
      <c r="O386" s="507"/>
      <c r="P386" s="507"/>
    </row>
    <row r="387" spans="1:26" ht="19.5" hidden="1">
      <c r="A387" s="508" t="s">
        <v>172</v>
      </c>
      <c r="B387" s="509"/>
      <c r="C387" s="509"/>
      <c r="D387" s="510"/>
      <c r="E387" s="509"/>
      <c r="F387" s="509"/>
      <c r="G387" s="509"/>
      <c r="H387" s="511"/>
      <c r="I387" s="512"/>
      <c r="J387" s="512"/>
      <c r="K387" s="513"/>
      <c r="L387" s="513"/>
      <c r="M387" s="513"/>
      <c r="N387" s="513"/>
      <c r="O387" s="513"/>
      <c r="P387" s="513"/>
    </row>
    <row r="388" spans="1:26" ht="19.5" hidden="1">
      <c r="A388" s="514"/>
      <c r="B388" s="515" t="s">
        <v>173</v>
      </c>
      <c r="C388" s="516"/>
      <c r="D388" s="517"/>
      <c r="E388" s="517"/>
      <c r="F388" s="517"/>
      <c r="G388" s="518"/>
      <c r="H388" s="519" t="s">
        <v>69</v>
      </c>
      <c r="I388" s="520">
        <f t="shared" ref="I388:J388" si="165">I400</f>
        <v>0</v>
      </c>
      <c r="J388" s="520">
        <f t="shared" si="165"/>
        <v>0</v>
      </c>
      <c r="K388" s="521">
        <f>IF(I388&gt;0,J388*100/I388,0)</f>
        <v>0</v>
      </c>
      <c r="L388" s="522"/>
      <c r="M388" s="522"/>
      <c r="N388" s="522"/>
      <c r="O388" s="522"/>
      <c r="P388" s="522"/>
    </row>
    <row r="389" spans="1:26" ht="19.5" hidden="1">
      <c r="A389" s="147"/>
      <c r="B389" s="148"/>
      <c r="C389" s="149" t="s">
        <v>16</v>
      </c>
      <c r="D389" s="822" t="s">
        <v>17</v>
      </c>
      <c r="E389" s="148"/>
      <c r="F389" s="148"/>
      <c r="G389" s="151"/>
      <c r="H389" s="152" t="s">
        <v>12</v>
      </c>
      <c r="I389" s="419"/>
      <c r="J389" s="419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2" t="s">
        <v>18</v>
      </c>
      <c r="F390" s="40"/>
      <c r="G390" s="157"/>
      <c r="H390" s="158" t="s">
        <v>12</v>
      </c>
      <c r="I390" s="610"/>
      <c r="J390" s="610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2" t="s">
        <v>19</v>
      </c>
      <c r="F391" s="40"/>
      <c r="G391" s="157"/>
      <c r="H391" s="158" t="s">
        <v>12</v>
      </c>
      <c r="I391" s="610"/>
      <c r="J391" s="610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1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6">
        <f t="shared" ref="L392:N392" ca="1" si="170">L393+L394</f>
        <v>0</v>
      </c>
      <c r="M392" s="496">
        <f t="shared" ca="1" si="170"/>
        <v>0</v>
      </c>
      <c r="N392" s="496">
        <f t="shared" ca="1" si="170"/>
        <v>0</v>
      </c>
      <c r="O392" s="496">
        <f t="shared" ca="1" si="167"/>
        <v>0</v>
      </c>
      <c r="P392" s="496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2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2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IFERROR(__xludf.DUMMYFUNCTION("IMPORTRANGE(""https://docs.google.com/spreadsheets/d/1MeEWN-I1oV_STSDYn1IFDPWt_1FKiwhDph83XaGc0o0/edit?usp=sharing"",""งบพรบ!FG72"")"),0)</f>
        <v>0</v>
      </c>
      <c r="M394" s="93">
        <f ca="1">IFERROR(__xludf.DUMMYFUNCTION("IMPORTRANGE(""https://docs.google.com/spreadsheets/d/1MeEWN-I1oV_STSDYn1IFDPWt_1FKiwhDph83XaGc0o0/edit?usp=sharing"",""งบพรบ!FL72"")"),0)</f>
        <v>0</v>
      </c>
      <c r="N394" s="93">
        <f ca="1">IFERROR(__xludf.DUMMYFUNCTION("IMPORTRANGE(""https://docs.google.com/spreadsheets/d/1MeEWN-I1oV_STSDYn1IFDPWt_1FKiwhDph83XaGc0o0/edit?usp=sharing"",""งบพรบ!FN72"")"),0)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1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6">
        <f t="shared" ref="L395:N395" ca="1" si="171">L396+L397</f>
        <v>0</v>
      </c>
      <c r="M395" s="496">
        <f t="shared" ca="1" si="171"/>
        <v>0</v>
      </c>
      <c r="N395" s="496">
        <f t="shared" ca="1" si="171"/>
        <v>0</v>
      </c>
      <c r="O395" s="496">
        <f t="shared" ca="1" si="167"/>
        <v>0</v>
      </c>
      <c r="P395" s="496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2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2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IFERROR(__xludf.DUMMYFUNCTION("IMPORTRANGE(""https://docs.google.com/spreadsheets/d/1MeEWN-I1oV_STSDYn1IFDPWt_1FKiwhDph83XaGc0o0/edit?usp=sharing"",""งบพรบ!FJ72"")"),0)</f>
        <v>0</v>
      </c>
      <c r="M397" s="93">
        <f ca="1">IFERROR(__xludf.DUMMYFUNCTION("IMPORTRANGE(""https://docs.google.com/spreadsheets/d/1MeEWN-I1oV_STSDYn1IFDPWt_1FKiwhDph83XaGc0o0/edit?usp=sharing"",""งบพรบ!FM72"")"),0)</f>
        <v>0</v>
      </c>
      <c r="N397" s="93">
        <f ca="1">IFERROR(__xludf.DUMMYFUNCTION("IMPORTRANGE(""https://docs.google.com/spreadsheets/d/1MeEWN-I1oV_STSDYn1IFDPWt_1FKiwhDph83XaGc0o0/edit?usp=sharing"",""งบพรบ!FO72"")"),0)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23" t="s">
        <v>38</v>
      </c>
      <c r="E398" s="173"/>
      <c r="F398" s="173"/>
      <c r="G398" s="174"/>
      <c r="H398" s="753"/>
      <c r="I398" s="184"/>
      <c r="J398" s="269"/>
      <c r="K398" s="496"/>
      <c r="L398" s="496"/>
      <c r="M398" s="496"/>
      <c r="N398" s="496"/>
      <c r="O398" s="163"/>
      <c r="P398" s="163"/>
    </row>
    <row r="399" spans="1:26" ht="18.75" hidden="1">
      <c r="A399" s="523"/>
      <c r="B399" s="148"/>
      <c r="C399" s="524"/>
      <c r="D399" s="525" t="s">
        <v>174</v>
      </c>
      <c r="E399" s="414"/>
      <c r="F399" s="148"/>
      <c r="G399" s="151"/>
      <c r="H399" s="526" t="s">
        <v>9</v>
      </c>
      <c r="I399" s="269">
        <v>0</v>
      </c>
      <c r="J399" s="214">
        <v>0</v>
      </c>
      <c r="K399" s="496">
        <f t="shared" ref="K399:K401" si="172">IF(I399&gt;0,J399*100/I399,0)</f>
        <v>0</v>
      </c>
      <c r="L399" s="527"/>
      <c r="M399" s="527"/>
      <c r="N399" s="527"/>
      <c r="O399" s="527"/>
      <c r="P399" s="527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4"/>
      <c r="B400" s="33"/>
      <c r="C400" s="280"/>
      <c r="D400" s="446" t="s">
        <v>175</v>
      </c>
      <c r="E400" s="171"/>
      <c r="F400" s="33"/>
      <c r="G400" s="35"/>
      <c r="H400" s="276" t="s">
        <v>69</v>
      </c>
      <c r="I400" s="269">
        <v>0</v>
      </c>
      <c r="J400" s="214">
        <v>0</v>
      </c>
      <c r="K400" s="496">
        <f t="shared" si="172"/>
        <v>0</v>
      </c>
      <c r="L400" s="496"/>
      <c r="M400" s="496"/>
      <c r="N400" s="496"/>
      <c r="O400" s="496"/>
      <c r="P400" s="496"/>
    </row>
    <row r="401" spans="1:26" ht="19.5" hidden="1">
      <c r="A401" s="514"/>
      <c r="B401" s="515" t="s">
        <v>176</v>
      </c>
      <c r="C401" s="516"/>
      <c r="D401" s="517"/>
      <c r="E401" s="517"/>
      <c r="F401" s="517"/>
      <c r="G401" s="518"/>
      <c r="H401" s="519" t="s">
        <v>69</v>
      </c>
      <c r="I401" s="520">
        <f t="shared" ref="I401:J401" si="173">I412</f>
        <v>0</v>
      </c>
      <c r="J401" s="520">
        <f t="shared" si="173"/>
        <v>0</v>
      </c>
      <c r="K401" s="521">
        <f t="shared" si="172"/>
        <v>0</v>
      </c>
      <c r="L401" s="522"/>
      <c r="M401" s="522"/>
      <c r="N401" s="522"/>
      <c r="O401" s="522"/>
      <c r="P401" s="522"/>
    </row>
    <row r="402" spans="1:26" ht="19.5" hidden="1">
      <c r="A402" s="147"/>
      <c r="B402" s="148"/>
      <c r="C402" s="149" t="s">
        <v>16</v>
      </c>
      <c r="D402" s="822" t="s">
        <v>17</v>
      </c>
      <c r="E402" s="148"/>
      <c r="F402" s="148"/>
      <c r="G402" s="151"/>
      <c r="H402" s="152" t="s">
        <v>12</v>
      </c>
      <c r="I402" s="419"/>
      <c r="J402" s="419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2" t="s">
        <v>18</v>
      </c>
      <c r="F403" s="40"/>
      <c r="G403" s="157"/>
      <c r="H403" s="158" t="s">
        <v>12</v>
      </c>
      <c r="I403" s="610"/>
      <c r="J403" s="610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2" t="s">
        <v>19</v>
      </c>
      <c r="F404" s="40"/>
      <c r="G404" s="157"/>
      <c r="H404" s="158" t="s">
        <v>12</v>
      </c>
      <c r="I404" s="610"/>
      <c r="J404" s="610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1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6">
        <f t="shared" ref="L405:N405" ca="1" si="178">L406+L407</f>
        <v>0</v>
      </c>
      <c r="M405" s="496">
        <f t="shared" ca="1" si="178"/>
        <v>0</v>
      </c>
      <c r="N405" s="496">
        <f t="shared" ca="1" si="178"/>
        <v>0</v>
      </c>
      <c r="O405" s="496">
        <f t="shared" ca="1" si="175"/>
        <v>0</v>
      </c>
      <c r="P405" s="496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2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2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IFERROR(__xludf.DUMMYFUNCTION("IMPORTRANGE(""https://docs.google.com/spreadsheets/d/1MeEWN-I1oV_STSDYn1IFDPWt_1FKiwhDph83XaGc0o0/edit?usp=sharing"",""งบพรบ!FQ72"")"),0)</f>
        <v>0</v>
      </c>
      <c r="M407" s="93">
        <f ca="1">IFERROR(__xludf.DUMMYFUNCTION("IMPORTRANGE(""https://docs.google.com/spreadsheets/d/1MeEWN-I1oV_STSDYn1IFDPWt_1FKiwhDph83XaGc0o0/edit?usp=sharing"",""งบพรบ!FV72"")"),0)</f>
        <v>0</v>
      </c>
      <c r="N407" s="93">
        <f ca="1">IFERROR(__xludf.DUMMYFUNCTION("IMPORTRANGE(""https://docs.google.com/spreadsheets/d/1MeEWN-I1oV_STSDYn1IFDPWt_1FKiwhDph83XaGc0o0/edit?usp=sharing"",""งบพรบ!FX72"")"),0)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1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6">
        <f t="shared" ref="L408:N408" ca="1" si="179">L409+L410</f>
        <v>0</v>
      </c>
      <c r="M408" s="496">
        <f t="shared" ca="1" si="179"/>
        <v>0</v>
      </c>
      <c r="N408" s="496">
        <f t="shared" ca="1" si="179"/>
        <v>0</v>
      </c>
      <c r="O408" s="496">
        <f t="shared" ca="1" si="175"/>
        <v>0</v>
      </c>
      <c r="P408" s="496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2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2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IFERROR(__xludf.DUMMYFUNCTION("IMPORTRANGE(""https://docs.google.com/spreadsheets/d/1MeEWN-I1oV_STSDYn1IFDPWt_1FKiwhDph83XaGc0o0/edit?usp=sharing"",""งบพรบ!FT72"")"),0)</f>
        <v>0</v>
      </c>
      <c r="M410" s="93">
        <f ca="1">IFERROR(__xludf.DUMMYFUNCTION("IMPORTRANGE(""https://docs.google.com/spreadsheets/d/1MeEWN-I1oV_STSDYn1IFDPWt_1FKiwhDph83XaGc0o0/edit?usp=sharing"",""งบพรบ!FW72"")"),0)</f>
        <v>0</v>
      </c>
      <c r="N410" s="93">
        <f ca="1">IFERROR(__xludf.DUMMYFUNCTION("IMPORTRANGE(""https://docs.google.com/spreadsheets/d/1MeEWN-I1oV_STSDYn1IFDPWt_1FKiwhDph83XaGc0o0/edit?usp=sharing"",""งบพรบ!FY72"")"),0)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34" t="s">
        <v>38</v>
      </c>
      <c r="E411" s="529"/>
      <c r="F411" s="529"/>
      <c r="G411" s="530"/>
      <c r="H411" s="753"/>
      <c r="I411" s="269"/>
      <c r="J411" s="269"/>
      <c r="K411" s="496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6" t="s">
        <v>177</v>
      </c>
      <c r="E412" s="178"/>
      <c r="F412" s="178"/>
      <c r="G412" s="179"/>
      <c r="H412" s="531" t="s">
        <v>69</v>
      </c>
      <c r="I412" s="269">
        <v>0</v>
      </c>
      <c r="J412" s="214">
        <v>0</v>
      </c>
      <c r="K412" s="496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2"/>
      <c r="B413" s="533"/>
      <c r="C413" s="533"/>
      <c r="D413" s="534" t="s">
        <v>178</v>
      </c>
      <c r="E413" s="533"/>
      <c r="F413" s="533"/>
      <c r="G413" s="535"/>
      <c r="H413" s="536" t="s">
        <v>179</v>
      </c>
      <c r="I413" s="537">
        <v>0</v>
      </c>
      <c r="J413" s="538">
        <v>0</v>
      </c>
      <c r="K413" s="539">
        <f t="shared" si="180"/>
        <v>0</v>
      </c>
      <c r="L413" s="540"/>
      <c r="M413" s="540"/>
      <c r="N413" s="540"/>
      <c r="O413" s="540"/>
      <c r="P413" s="540"/>
    </row>
    <row r="414" spans="1:26" ht="19.5">
      <c r="A414" s="541" t="s">
        <v>180</v>
      </c>
      <c r="B414" s="542"/>
      <c r="C414" s="542"/>
      <c r="D414" s="542"/>
      <c r="E414" s="542"/>
      <c r="F414" s="542"/>
      <c r="G414" s="543"/>
      <c r="H414" s="544"/>
      <c r="I414" s="545"/>
      <c r="J414" s="545"/>
      <c r="K414" s="546"/>
      <c r="L414" s="547">
        <f t="shared" ref="L414:N414" ca="1" si="181">L419+L444+L467+L502+L523+L544+L629+L655+L685+L737+L754+L770+L786+L805</f>
        <v>1629348</v>
      </c>
      <c r="M414" s="547">
        <f t="shared" si="181"/>
        <v>0</v>
      </c>
      <c r="N414" s="547">
        <f t="shared" si="181"/>
        <v>258201</v>
      </c>
      <c r="O414" s="547">
        <f ca="1">IF(L414&gt;0,N414*100/L414,0)</f>
        <v>15.846890903600704</v>
      </c>
      <c r="P414" s="547">
        <f>IF(M414&gt;0,N414*100/M414,0)</f>
        <v>0</v>
      </c>
    </row>
    <row r="415" spans="1:26" ht="19.5">
      <c r="A415" s="548" t="s">
        <v>181</v>
      </c>
      <c r="B415" s="549"/>
      <c r="C415" s="549"/>
      <c r="D415" s="549"/>
      <c r="E415" s="549"/>
      <c r="F415" s="549"/>
      <c r="G415" s="549"/>
      <c r="H415" s="550"/>
      <c r="I415" s="551"/>
      <c r="J415" s="551"/>
      <c r="K415" s="552"/>
      <c r="L415" s="553"/>
      <c r="M415" s="553"/>
      <c r="N415" s="553"/>
      <c r="O415" s="553"/>
      <c r="P415" s="553"/>
    </row>
    <row r="416" spans="1:26" ht="19.5">
      <c r="A416" s="548" t="s">
        <v>182</v>
      </c>
      <c r="B416" s="549"/>
      <c r="C416" s="549"/>
      <c r="D416" s="549"/>
      <c r="E416" s="549"/>
      <c r="F416" s="549"/>
      <c r="G416" s="554"/>
      <c r="H416" s="555"/>
      <c r="I416" s="556"/>
      <c r="J416" s="556"/>
      <c r="K416" s="553"/>
      <c r="L416" s="553"/>
      <c r="M416" s="553"/>
      <c r="N416" s="553"/>
      <c r="O416" s="553"/>
      <c r="P416" s="553"/>
    </row>
    <row r="417" spans="1:26" ht="39">
      <c r="A417" s="557">
        <v>1</v>
      </c>
      <c r="B417" s="559" t="s">
        <v>183</v>
      </c>
      <c r="C417" s="559"/>
      <c r="D417" s="560"/>
      <c r="E417" s="560"/>
      <c r="F417" s="560"/>
      <c r="G417" s="561"/>
      <c r="H417" s="562" t="s">
        <v>35</v>
      </c>
      <c r="I417" s="563">
        <f t="shared" ref="I417:J418" ca="1" si="182">I433</f>
        <v>60</v>
      </c>
      <c r="J417" s="563">
        <f t="shared" ca="1" si="182"/>
        <v>0</v>
      </c>
      <c r="K417" s="564">
        <f t="shared" ref="K417:K418" ca="1" si="183">IF(I417&gt;0,J417*100/I417,0)</f>
        <v>0</v>
      </c>
      <c r="L417" s="565"/>
      <c r="M417" s="565"/>
      <c r="N417" s="565"/>
      <c r="O417" s="565"/>
      <c r="P417" s="565"/>
    </row>
    <row r="418" spans="1:26" ht="19.5">
      <c r="A418" s="566"/>
      <c r="B418" s="557"/>
      <c r="C418" s="559"/>
      <c r="D418" s="560"/>
      <c r="E418" s="560"/>
      <c r="F418" s="560"/>
      <c r="G418" s="561"/>
      <c r="H418" s="562" t="s">
        <v>49</v>
      </c>
      <c r="I418" s="563">
        <f t="shared" ca="1" si="182"/>
        <v>2</v>
      </c>
      <c r="J418" s="563">
        <f t="shared" si="182"/>
        <v>0</v>
      </c>
      <c r="K418" s="564">
        <f t="shared" ca="1" si="183"/>
        <v>0</v>
      </c>
      <c r="L418" s="565"/>
      <c r="M418" s="565"/>
      <c r="N418" s="565"/>
      <c r="O418" s="565"/>
      <c r="P418" s="565"/>
    </row>
    <row r="419" spans="1:26" ht="19.5">
      <c r="A419" s="147"/>
      <c r="B419" s="148"/>
      <c r="C419" s="148" t="s">
        <v>16</v>
      </c>
      <c r="D419" s="868" t="s">
        <v>17</v>
      </c>
      <c r="E419" s="862"/>
      <c r="F419" s="862"/>
      <c r="G419" s="151"/>
      <c r="H419" s="274" t="s">
        <v>12</v>
      </c>
      <c r="I419" s="419"/>
      <c r="J419" s="419"/>
      <c r="K419" s="154"/>
      <c r="L419" s="155">
        <f t="shared" ref="L419:N419" ca="1" si="184">L420+L421</f>
        <v>188600</v>
      </c>
      <c r="M419" s="155">
        <f t="shared" si="184"/>
        <v>0</v>
      </c>
      <c r="N419" s="155">
        <f t="shared" si="184"/>
        <v>16640</v>
      </c>
      <c r="O419" s="155">
        <f t="shared" ref="O419:O424" ca="1" si="185">IF(L419&gt;0,N419*100/L419,0)</f>
        <v>8.8229056203605509</v>
      </c>
      <c r="P419" s="155">
        <f t="shared" ref="P419:P424" si="186">IF(M419&gt;0,N419*100/M419,0)</f>
        <v>0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2"/>
      <c r="E420" s="222" t="s">
        <v>184</v>
      </c>
      <c r="F420" s="40"/>
      <c r="G420" s="157"/>
      <c r="H420" s="165" t="s">
        <v>12</v>
      </c>
      <c r="I420" s="610"/>
      <c r="J420" s="610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2"/>
      <c r="E421" s="222" t="s">
        <v>185</v>
      </c>
      <c r="F421" s="40"/>
      <c r="G421" s="157"/>
      <c r="H421" s="165" t="s">
        <v>12</v>
      </c>
      <c r="I421" s="610"/>
      <c r="J421" s="610"/>
      <c r="K421" s="93"/>
      <c r="L421" s="93">
        <f t="shared" ca="1" si="187"/>
        <v>188600</v>
      </c>
      <c r="M421" s="93">
        <f t="shared" si="187"/>
        <v>0</v>
      </c>
      <c r="N421" s="93">
        <f t="shared" si="187"/>
        <v>16640</v>
      </c>
      <c r="O421" s="93">
        <f t="shared" ca="1" si="185"/>
        <v>8.8229056203605509</v>
      </c>
      <c r="P421" s="93">
        <f t="shared" si="186"/>
        <v>0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0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6">
        <f t="shared" ref="L422:N422" ca="1" si="188">L423+L424</f>
        <v>188600</v>
      </c>
      <c r="M422" s="496">
        <f t="shared" si="188"/>
        <v>0</v>
      </c>
      <c r="N422" s="496">
        <f t="shared" si="188"/>
        <v>16640</v>
      </c>
      <c r="O422" s="496">
        <f t="shared" ca="1" si="185"/>
        <v>8.8229056203605509</v>
      </c>
      <c r="P422" s="496">
        <f t="shared" si="186"/>
        <v>0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2"/>
      <c r="E423" s="222" t="s">
        <v>184</v>
      </c>
      <c r="F423" s="40"/>
      <c r="G423" s="157"/>
      <c r="H423" s="165" t="s">
        <v>12</v>
      </c>
      <c r="I423" s="610"/>
      <c r="J423" s="610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2"/>
      <c r="E424" s="222" t="s">
        <v>185</v>
      </c>
      <c r="F424" s="40"/>
      <c r="G424" s="157"/>
      <c r="H424" s="165" t="s">
        <v>12</v>
      </c>
      <c r="I424" s="610"/>
      <c r="J424" s="610"/>
      <c r="K424" s="93"/>
      <c r="L424" s="93">
        <f ca="1">IFERROR(__xludf.DUMMYFUNCTION("IMPORTRANGE(""https://docs.google.com/spreadsheets/d/1QqKyyYR6Q21VydFLVH3TRQUabQu_ym0Zz7PgGX0-kHA/edit?usp=sharing"",""แผน!EY72"")"),188600)</f>
        <v>188600</v>
      </c>
      <c r="M424" s="93">
        <v>0</v>
      </c>
      <c r="N424" s="93">
        <f>N425+N426+N427+N428</f>
        <v>16640</v>
      </c>
      <c r="O424" s="93">
        <f t="shared" ca="1" si="185"/>
        <v>8.8229056203605509</v>
      </c>
      <c r="P424" s="93">
        <f t="shared" si="186"/>
        <v>0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67"/>
      <c r="B425" s="568"/>
      <c r="C425" s="754"/>
      <c r="D425" s="754"/>
      <c r="E425" s="754"/>
      <c r="F425" s="754" t="s">
        <v>186</v>
      </c>
      <c r="G425" s="189"/>
      <c r="H425" s="161" t="s">
        <v>12</v>
      </c>
      <c r="I425" s="269"/>
      <c r="J425" s="269"/>
      <c r="K425" s="496"/>
      <c r="L425" s="496"/>
      <c r="M425" s="496"/>
      <c r="N425" s="817">
        <v>5600</v>
      </c>
      <c r="O425" s="496"/>
      <c r="P425" s="496"/>
      <c r="Q425" s="571"/>
      <c r="R425" s="571"/>
      <c r="S425" s="571"/>
      <c r="T425" s="571"/>
      <c r="U425" s="571"/>
      <c r="V425" s="571"/>
      <c r="W425" s="571"/>
      <c r="X425" s="571"/>
      <c r="Y425" s="571"/>
      <c r="Z425" s="571"/>
    </row>
    <row r="426" spans="1:26" ht="18.75">
      <c r="A426" s="567"/>
      <c r="B426" s="568"/>
      <c r="C426" s="754"/>
      <c r="D426" s="754"/>
      <c r="E426" s="754"/>
      <c r="F426" s="754" t="s">
        <v>187</v>
      </c>
      <c r="G426" s="189"/>
      <c r="H426" s="161" t="s">
        <v>12</v>
      </c>
      <c r="I426" s="269"/>
      <c r="J426" s="269"/>
      <c r="K426" s="496"/>
      <c r="L426" s="496"/>
      <c r="M426" s="496"/>
      <c r="N426" s="817">
        <v>0</v>
      </c>
      <c r="O426" s="496"/>
      <c r="P426" s="496"/>
      <c r="Q426" s="571"/>
      <c r="R426" s="571"/>
      <c r="S426" s="571"/>
      <c r="T426" s="571"/>
      <c r="U426" s="571"/>
      <c r="V426" s="571"/>
      <c r="W426" s="571"/>
      <c r="X426" s="571"/>
      <c r="Y426" s="571"/>
      <c r="Z426" s="571"/>
    </row>
    <row r="427" spans="1:26" ht="18.75">
      <c r="A427" s="567"/>
      <c r="B427" s="568"/>
      <c r="C427" s="754"/>
      <c r="D427" s="754"/>
      <c r="E427" s="754"/>
      <c r="F427" s="754" t="s">
        <v>188</v>
      </c>
      <c r="G427" s="189"/>
      <c r="H427" s="161" t="s">
        <v>12</v>
      </c>
      <c r="I427" s="269"/>
      <c r="J427" s="269"/>
      <c r="K427" s="496"/>
      <c r="L427" s="496"/>
      <c r="M427" s="496"/>
      <c r="N427" s="817">
        <v>0</v>
      </c>
      <c r="O427" s="496"/>
      <c r="P427" s="496"/>
      <c r="Q427" s="571"/>
      <c r="R427" s="571"/>
      <c r="S427" s="571"/>
      <c r="T427" s="571"/>
      <c r="U427" s="571"/>
      <c r="V427" s="571"/>
      <c r="W427" s="571"/>
      <c r="X427" s="571"/>
      <c r="Y427" s="571"/>
      <c r="Z427" s="571"/>
    </row>
    <row r="428" spans="1:26" ht="18.75">
      <c r="A428" s="284"/>
      <c r="B428" s="280"/>
      <c r="C428" s="33"/>
      <c r="D428" s="33"/>
      <c r="E428" s="33"/>
      <c r="F428" s="281" t="s">
        <v>189</v>
      </c>
      <c r="G428" s="213"/>
      <c r="H428" s="161" t="s">
        <v>12</v>
      </c>
      <c r="I428" s="269"/>
      <c r="J428" s="269"/>
      <c r="K428" s="496"/>
      <c r="L428" s="496"/>
      <c r="M428" s="496"/>
      <c r="N428" s="817">
        <f>1440+6500+3100</f>
        <v>11040</v>
      </c>
      <c r="O428" s="496"/>
      <c r="P428" s="496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0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6">
        <f t="shared" ref="L429:N429" ca="1" si="189">L430+L431</f>
        <v>0</v>
      </c>
      <c r="M429" s="496">
        <f t="shared" si="189"/>
        <v>0</v>
      </c>
      <c r="N429" s="496">
        <f t="shared" si="189"/>
        <v>0</v>
      </c>
      <c r="O429" s="496">
        <f t="shared" ref="O429:O431" ca="1" si="190">IF(L429&gt;0,N429*100/L429,0)</f>
        <v>0</v>
      </c>
      <c r="P429" s="496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6"/>
      <c r="C430" s="40"/>
      <c r="D430" s="40"/>
      <c r="E430" s="222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6"/>
      <c r="C431" s="40"/>
      <c r="D431" s="40"/>
      <c r="E431" s="222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IFERROR(__xludf.DUMMYFUNCTION("IMPORTRANGE(""https://docs.google.com/spreadsheets/d/1QqKyyYR6Q21VydFLVH3TRQUabQu_ym0Zz7PgGX0-kHA/edit?usp=sharing"",""แผน!FB72"")"),0)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3"/>
      <c r="B432" s="414"/>
      <c r="C432" s="148" t="s">
        <v>16</v>
      </c>
      <c r="D432" s="835" t="s">
        <v>38</v>
      </c>
      <c r="E432" s="573"/>
      <c r="F432" s="573"/>
      <c r="G432" s="574"/>
      <c r="H432" s="575"/>
      <c r="I432" s="419"/>
      <c r="J432" s="419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190</v>
      </c>
      <c r="E433" s="178"/>
      <c r="F433" s="178"/>
      <c r="G433" s="179"/>
      <c r="H433" s="196" t="s">
        <v>35</v>
      </c>
      <c r="I433" s="674">
        <f ca="1">I435</f>
        <v>60</v>
      </c>
      <c r="J433" s="674">
        <f ca="1">IF(AND(J435=I435,J437=I437,J439=I439),I437+I439,IF(AND(J435=I437,J437=I437),I437,IF(AND(J435=I439,J439=I439),I439,0)))</f>
        <v>0</v>
      </c>
      <c r="K433" s="195">
        <f t="shared" ref="K433:K435" ca="1" si="192">IF(I433&gt;0,J433*100/I433,0)</f>
        <v>0</v>
      </c>
      <c r="L433" s="496"/>
      <c r="M433" s="496"/>
      <c r="N433" s="496"/>
      <c r="O433" s="496"/>
      <c r="P433" s="496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191</v>
      </c>
      <c r="E434" s="178"/>
      <c r="F434" s="178"/>
      <c r="G434" s="179"/>
      <c r="H434" s="196" t="s">
        <v>49</v>
      </c>
      <c r="I434" s="674">
        <f t="shared" ref="I434:J434" ca="1" si="193">I438+I440</f>
        <v>2</v>
      </c>
      <c r="J434" s="674">
        <f t="shared" si="193"/>
        <v>0</v>
      </c>
      <c r="K434" s="195">
        <f t="shared" ca="1" si="192"/>
        <v>0</v>
      </c>
      <c r="L434" s="496"/>
      <c r="M434" s="496"/>
      <c r="N434" s="496"/>
      <c r="O434" s="496"/>
      <c r="P434" s="496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6" t="s">
        <v>192</v>
      </c>
      <c r="E435" s="178"/>
      <c r="F435" s="178"/>
      <c r="G435" s="179"/>
      <c r="H435" s="616" t="s">
        <v>35</v>
      </c>
      <c r="I435" s="576">
        <f ca="1">IFERROR(__xludf.DUMMYFUNCTION("IMPORTRANGE(""https://docs.google.com/spreadsheets/d/1QqKyyYR6Q21VydFLVH3TRQUabQu_ym0Zz7PgGX0-kHA/edit?usp=sharing"",""แผน!FC72"")"),60)</f>
        <v>60</v>
      </c>
      <c r="J435" s="577">
        <v>0</v>
      </c>
      <c r="K435" s="496">
        <f t="shared" ca="1" si="192"/>
        <v>0</v>
      </c>
      <c r="L435" s="496"/>
      <c r="M435" s="496"/>
      <c r="N435" s="496"/>
      <c r="O435" s="496"/>
      <c r="P435" s="496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6" t="s">
        <v>193</v>
      </c>
      <c r="E436" s="178"/>
      <c r="F436" s="178"/>
      <c r="G436" s="179"/>
      <c r="H436" s="616"/>
      <c r="I436" s="269"/>
      <c r="J436" s="269"/>
      <c r="K436" s="496"/>
      <c r="L436" s="496"/>
      <c r="M436" s="496"/>
      <c r="N436" s="496"/>
      <c r="O436" s="496"/>
      <c r="P436" s="496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6" t="s">
        <v>194</v>
      </c>
      <c r="E437" s="178"/>
      <c r="F437" s="178"/>
      <c r="G437" s="179"/>
      <c r="H437" s="616" t="s">
        <v>35</v>
      </c>
      <c r="I437" s="576">
        <f ca="1">IFERROR(__xludf.DUMMYFUNCTION("IMPORTRANGE(""https://docs.google.com/spreadsheets/d/1QqKyyYR6Q21VydFLVH3TRQUabQu_ym0Zz7PgGX0-kHA/edit?usp=sharing"",""แผน!FD72"")"),40)</f>
        <v>40</v>
      </c>
      <c r="J437" s="577">
        <v>0</v>
      </c>
      <c r="K437" s="496">
        <f t="shared" ref="K437:K443" ca="1" si="194">IF(I437&gt;0,J437*100/I437,0)</f>
        <v>0</v>
      </c>
      <c r="L437" s="496"/>
      <c r="M437" s="496"/>
      <c r="N437" s="496"/>
      <c r="O437" s="496"/>
      <c r="P437" s="496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6" t="s">
        <v>195</v>
      </c>
      <c r="E438" s="178"/>
      <c r="F438" s="178"/>
      <c r="G438" s="179"/>
      <c r="H438" s="616" t="s">
        <v>49</v>
      </c>
      <c r="I438" s="269">
        <f ca="1">IFERROR(__xludf.DUMMYFUNCTION("IMPORTRANGE(""https://docs.google.com/spreadsheets/d/1QqKyyYR6Q21VydFLVH3TRQUabQu_ym0Zz7PgGX0-kHA/edit?usp=sharing"",""แผน!FE72"")"),1)</f>
        <v>1</v>
      </c>
      <c r="J438" s="214">
        <v>0</v>
      </c>
      <c r="K438" s="496">
        <f t="shared" ca="1" si="194"/>
        <v>0</v>
      </c>
      <c r="L438" s="496"/>
      <c r="M438" s="496"/>
      <c r="N438" s="496"/>
      <c r="O438" s="496"/>
      <c r="P438" s="496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6" t="s">
        <v>196</v>
      </c>
      <c r="E439" s="178"/>
      <c r="F439" s="178"/>
      <c r="G439" s="179"/>
      <c r="H439" s="616" t="s">
        <v>35</v>
      </c>
      <c r="I439" s="576">
        <f ca="1">IFERROR(__xludf.DUMMYFUNCTION("IMPORTRANGE(""https://docs.google.com/spreadsheets/d/1QqKyyYR6Q21VydFLVH3TRQUabQu_ym0Zz7PgGX0-kHA/edit?usp=sharing"",""แผน!FF72"")"),20)</f>
        <v>20</v>
      </c>
      <c r="J439" s="577">
        <v>0</v>
      </c>
      <c r="K439" s="496">
        <f t="shared" ca="1" si="194"/>
        <v>0</v>
      </c>
      <c r="L439" s="496"/>
      <c r="M439" s="496"/>
      <c r="N439" s="496"/>
      <c r="O439" s="496"/>
      <c r="P439" s="496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6" t="s">
        <v>197</v>
      </c>
      <c r="E440" s="178"/>
      <c r="F440" s="178"/>
      <c r="G440" s="179"/>
      <c r="H440" s="616" t="s">
        <v>49</v>
      </c>
      <c r="I440" s="269">
        <f ca="1">IFERROR(__xludf.DUMMYFUNCTION("IMPORTRANGE(""https://docs.google.com/spreadsheets/d/1QqKyyYR6Q21VydFLVH3TRQUabQu_ym0Zz7PgGX0-kHA/edit?usp=sharing"",""แผน!FG72"")"),1)</f>
        <v>1</v>
      </c>
      <c r="J440" s="214">
        <v>0</v>
      </c>
      <c r="K440" s="496">
        <f t="shared" ca="1" si="194"/>
        <v>0</v>
      </c>
      <c r="L440" s="496"/>
      <c r="M440" s="496"/>
      <c r="N440" s="496"/>
      <c r="O440" s="496"/>
      <c r="P440" s="496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 hidden="1">
      <c r="A441" s="170"/>
      <c r="B441" s="171"/>
      <c r="C441" s="171"/>
      <c r="D441" s="446" t="s">
        <v>198</v>
      </c>
      <c r="E441" s="178"/>
      <c r="F441" s="178"/>
      <c r="G441" s="179"/>
      <c r="H441" s="616" t="s">
        <v>35</v>
      </c>
      <c r="I441" s="269">
        <f ca="1">IFERROR(__xludf.DUMMYFUNCTION("IMPORTRANGE(""https://docs.google.com/spreadsheets/d/1QqKyyYR6Q21VydFLVH3TRQUabQu_ym0Zz7PgGX0-kHA/edit?usp=sharing"",""แผน!FH72"")"),0)</f>
        <v>0</v>
      </c>
      <c r="J441" s="269">
        <v>0</v>
      </c>
      <c r="K441" s="496">
        <f t="shared" ca="1" si="194"/>
        <v>0</v>
      </c>
      <c r="L441" s="496"/>
      <c r="M441" s="496"/>
      <c r="N441" s="496"/>
      <c r="O441" s="496"/>
      <c r="P441" s="496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78">
        <v>2</v>
      </c>
      <c r="B442" s="579" t="s">
        <v>199</v>
      </c>
      <c r="C442" s="580"/>
      <c r="D442" s="580"/>
      <c r="E442" s="580"/>
      <c r="F442" s="580"/>
      <c r="G442" s="581"/>
      <c r="H442" s="582" t="s">
        <v>35</v>
      </c>
      <c r="I442" s="583">
        <f t="shared" ref="I442:J442" ca="1" si="195">I460</f>
        <v>40</v>
      </c>
      <c r="J442" s="583">
        <f t="shared" si="195"/>
        <v>0</v>
      </c>
      <c r="K442" s="584">
        <f t="shared" ca="1" si="194"/>
        <v>0</v>
      </c>
      <c r="L442" s="585"/>
      <c r="M442" s="585"/>
      <c r="N442" s="585"/>
      <c r="O442" s="585"/>
      <c r="P442" s="585"/>
      <c r="Q442" s="571"/>
      <c r="R442" s="571"/>
      <c r="S442" s="571"/>
      <c r="T442" s="571"/>
      <c r="U442" s="571"/>
      <c r="V442" s="571"/>
      <c r="W442" s="571"/>
      <c r="X442" s="571"/>
      <c r="Y442" s="571"/>
      <c r="Z442" s="571"/>
    </row>
    <row r="443" spans="1:26" ht="19.5">
      <c r="A443" s="586"/>
      <c r="B443" s="587"/>
      <c r="C443" s="588"/>
      <c r="D443" s="588"/>
      <c r="E443" s="588"/>
      <c r="F443" s="588"/>
      <c r="G443" s="589"/>
      <c r="H443" s="562" t="s">
        <v>46</v>
      </c>
      <c r="I443" s="563">
        <f t="shared" ref="I443:J443" ca="1" si="196">I462</f>
        <v>60</v>
      </c>
      <c r="J443" s="563">
        <f t="shared" si="196"/>
        <v>0</v>
      </c>
      <c r="K443" s="564">
        <f t="shared" ca="1" si="194"/>
        <v>0</v>
      </c>
      <c r="L443" s="565"/>
      <c r="M443" s="565"/>
      <c r="N443" s="565"/>
      <c r="O443" s="565"/>
      <c r="P443" s="565"/>
      <c r="Q443" s="571"/>
      <c r="R443" s="571"/>
      <c r="S443" s="571"/>
      <c r="T443" s="571"/>
      <c r="U443" s="571"/>
      <c r="V443" s="571"/>
      <c r="W443" s="571"/>
      <c r="X443" s="571"/>
      <c r="Y443" s="571"/>
      <c r="Z443" s="571"/>
    </row>
    <row r="444" spans="1:26" ht="19.5">
      <c r="A444" s="590"/>
      <c r="B444" s="754"/>
      <c r="C444" s="754" t="s">
        <v>16</v>
      </c>
      <c r="D444" s="863" t="s">
        <v>17</v>
      </c>
      <c r="E444" s="857"/>
      <c r="F444" s="857"/>
      <c r="G444" s="189"/>
      <c r="H444" s="591" t="s">
        <v>12</v>
      </c>
      <c r="I444" s="269"/>
      <c r="J444" s="269"/>
      <c r="K444" s="496"/>
      <c r="L444" s="195">
        <f t="shared" ref="L444:N444" ca="1" si="197">L445+L446</f>
        <v>309180</v>
      </c>
      <c r="M444" s="195">
        <f t="shared" si="197"/>
        <v>0</v>
      </c>
      <c r="N444" s="195">
        <f t="shared" si="197"/>
        <v>45030</v>
      </c>
      <c r="O444" s="195">
        <f t="shared" ref="O444:O449" ca="1" si="198">IF(L444&gt;0,N444*100/L444,0)</f>
        <v>14.564331457403455</v>
      </c>
      <c r="P444" s="195">
        <f t="shared" ref="P444:P449" si="199">IF(M444&gt;0,N444*100/M444,0)</f>
        <v>0</v>
      </c>
      <c r="Q444" s="571"/>
      <c r="R444" s="571"/>
      <c r="S444" s="571"/>
      <c r="T444" s="571"/>
      <c r="U444" s="571"/>
      <c r="V444" s="571"/>
      <c r="W444" s="571"/>
      <c r="X444" s="571"/>
      <c r="Y444" s="571"/>
      <c r="Z444" s="571"/>
    </row>
    <row r="445" spans="1:26" ht="18.75" hidden="1">
      <c r="A445" s="592"/>
      <c r="B445" s="750"/>
      <c r="C445" s="750"/>
      <c r="D445" s="711"/>
      <c r="E445" s="750" t="s">
        <v>184</v>
      </c>
      <c r="F445" s="750"/>
      <c r="G445" s="596"/>
      <c r="H445" s="165" t="s">
        <v>12</v>
      </c>
      <c r="I445" s="610"/>
      <c r="J445" s="610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597"/>
      <c r="R445" s="597"/>
      <c r="S445" s="597"/>
      <c r="T445" s="597"/>
      <c r="U445" s="597"/>
      <c r="V445" s="597"/>
      <c r="W445" s="597"/>
      <c r="X445" s="597"/>
      <c r="Y445" s="597"/>
      <c r="Z445" s="597"/>
    </row>
    <row r="446" spans="1:26" ht="18.75" hidden="1">
      <c r="A446" s="592"/>
      <c r="B446" s="600"/>
      <c r="C446" s="750"/>
      <c r="D446" s="711"/>
      <c r="E446" s="750" t="s">
        <v>185</v>
      </c>
      <c r="F446" s="750"/>
      <c r="G446" s="596"/>
      <c r="H446" s="165" t="s">
        <v>12</v>
      </c>
      <c r="I446" s="610"/>
      <c r="J446" s="610"/>
      <c r="K446" s="93"/>
      <c r="L446" s="93">
        <f t="shared" ca="1" si="200"/>
        <v>309180</v>
      </c>
      <c r="M446" s="93">
        <f t="shared" si="200"/>
        <v>0</v>
      </c>
      <c r="N446" s="93">
        <f t="shared" si="200"/>
        <v>45030</v>
      </c>
      <c r="O446" s="93">
        <f t="shared" ca="1" si="198"/>
        <v>14.564331457403455</v>
      </c>
      <c r="P446" s="93">
        <f t="shared" si="199"/>
        <v>0</v>
      </c>
      <c r="Q446" s="597"/>
      <c r="R446" s="597"/>
      <c r="S446" s="597"/>
      <c r="T446" s="597"/>
      <c r="U446" s="597"/>
      <c r="V446" s="597"/>
      <c r="W446" s="597"/>
      <c r="X446" s="597"/>
      <c r="Y446" s="597"/>
      <c r="Z446" s="597"/>
    </row>
    <row r="447" spans="1:26" ht="18.75">
      <c r="A447" s="590"/>
      <c r="B447" s="568"/>
      <c r="C447" s="754"/>
      <c r="D447" s="599" t="s">
        <v>20</v>
      </c>
      <c r="E447" s="754"/>
      <c r="F447" s="754"/>
      <c r="G447" s="189"/>
      <c r="H447" s="161" t="s">
        <v>12</v>
      </c>
      <c r="I447" s="184"/>
      <c r="J447" s="184"/>
      <c r="K447" s="163"/>
      <c r="L447" s="496">
        <f t="shared" ref="L447:N447" ca="1" si="201">L448+L449</f>
        <v>309180</v>
      </c>
      <c r="M447" s="496">
        <f t="shared" si="201"/>
        <v>0</v>
      </c>
      <c r="N447" s="496">
        <f t="shared" si="201"/>
        <v>45030</v>
      </c>
      <c r="O447" s="496">
        <f t="shared" ca="1" si="198"/>
        <v>14.564331457403455</v>
      </c>
      <c r="P447" s="496">
        <f t="shared" si="199"/>
        <v>0</v>
      </c>
      <c r="Q447" s="571"/>
      <c r="R447" s="571"/>
      <c r="S447" s="571"/>
      <c r="T447" s="571"/>
      <c r="U447" s="571"/>
      <c r="V447" s="571"/>
      <c r="W447" s="571"/>
      <c r="X447" s="571"/>
      <c r="Y447" s="571"/>
      <c r="Z447" s="571"/>
    </row>
    <row r="448" spans="1:26" ht="18.75" hidden="1">
      <c r="A448" s="592"/>
      <c r="B448" s="600"/>
      <c r="C448" s="750"/>
      <c r="D448" s="711"/>
      <c r="E448" s="750" t="s">
        <v>184</v>
      </c>
      <c r="F448" s="750"/>
      <c r="G448" s="596"/>
      <c r="H448" s="165" t="s">
        <v>12</v>
      </c>
      <c r="I448" s="610"/>
      <c r="J448" s="610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597"/>
      <c r="R448" s="597"/>
      <c r="S448" s="597"/>
      <c r="T448" s="597"/>
      <c r="U448" s="597"/>
      <c r="V448" s="597"/>
      <c r="W448" s="597"/>
      <c r="X448" s="597"/>
      <c r="Y448" s="597"/>
      <c r="Z448" s="597"/>
    </row>
    <row r="449" spans="1:26" ht="18.75" hidden="1">
      <c r="A449" s="592"/>
      <c r="B449" s="600"/>
      <c r="C449" s="750"/>
      <c r="D449" s="711"/>
      <c r="E449" s="750" t="s">
        <v>185</v>
      </c>
      <c r="F449" s="750"/>
      <c r="G449" s="596"/>
      <c r="H449" s="165" t="s">
        <v>12</v>
      </c>
      <c r="I449" s="610"/>
      <c r="J449" s="610"/>
      <c r="K449" s="93"/>
      <c r="L449" s="93">
        <f ca="1">IFERROR(__xludf.DUMMYFUNCTION("IMPORTRANGE(""https://docs.google.com/spreadsheets/d/1QqKyyYR6Q21VydFLVH3TRQUabQu_ym0Zz7PgGX0-kHA/edit?usp=sharing"",""แผน!FJ72"")"),309180)</f>
        <v>309180</v>
      </c>
      <c r="M449" s="93">
        <v>0</v>
      </c>
      <c r="N449" s="93">
        <f>N450+N451+N452+N453</f>
        <v>45030</v>
      </c>
      <c r="O449" s="93">
        <f t="shared" ca="1" si="198"/>
        <v>14.564331457403455</v>
      </c>
      <c r="P449" s="93">
        <f t="shared" si="199"/>
        <v>0</v>
      </c>
      <c r="Q449" s="597"/>
      <c r="R449" s="597"/>
      <c r="S449" s="597"/>
      <c r="T449" s="597"/>
      <c r="U449" s="597"/>
      <c r="V449" s="597"/>
      <c r="W449" s="597"/>
      <c r="X449" s="597"/>
      <c r="Y449" s="597"/>
      <c r="Z449" s="597"/>
    </row>
    <row r="450" spans="1:26" ht="18.75">
      <c r="A450" s="567"/>
      <c r="B450" s="568"/>
      <c r="C450" s="754"/>
      <c r="D450" s="754"/>
      <c r="E450" s="754"/>
      <c r="F450" s="754" t="s">
        <v>186</v>
      </c>
      <c r="G450" s="189"/>
      <c r="H450" s="161" t="s">
        <v>12</v>
      </c>
      <c r="I450" s="269"/>
      <c r="J450" s="269"/>
      <c r="K450" s="496"/>
      <c r="L450" s="496"/>
      <c r="M450" s="496"/>
      <c r="N450" s="817">
        <v>0</v>
      </c>
      <c r="O450" s="496"/>
      <c r="P450" s="496"/>
      <c r="Q450" s="571"/>
      <c r="R450" s="571"/>
      <c r="S450" s="571"/>
      <c r="T450" s="571"/>
      <c r="U450" s="571"/>
      <c r="V450" s="571"/>
      <c r="W450" s="571"/>
      <c r="X450" s="571"/>
      <c r="Y450" s="571"/>
      <c r="Z450" s="571"/>
    </row>
    <row r="451" spans="1:26" ht="18.75">
      <c r="A451" s="567"/>
      <c r="B451" s="568"/>
      <c r="C451" s="754"/>
      <c r="D451" s="754"/>
      <c r="E451" s="754"/>
      <c r="F451" s="754" t="s">
        <v>187</v>
      </c>
      <c r="G451" s="189"/>
      <c r="H451" s="161" t="s">
        <v>12</v>
      </c>
      <c r="I451" s="269"/>
      <c r="J451" s="269"/>
      <c r="K451" s="496"/>
      <c r="L451" s="496"/>
      <c r="M451" s="496"/>
      <c r="N451" s="817">
        <v>0</v>
      </c>
      <c r="O451" s="496"/>
      <c r="P451" s="496"/>
      <c r="Q451" s="571"/>
      <c r="R451" s="571"/>
      <c r="S451" s="571"/>
      <c r="T451" s="571"/>
      <c r="U451" s="571"/>
      <c r="V451" s="571"/>
      <c r="W451" s="571"/>
      <c r="X451" s="571"/>
      <c r="Y451" s="571"/>
      <c r="Z451" s="571"/>
    </row>
    <row r="452" spans="1:26" ht="18.75">
      <c r="A452" s="567"/>
      <c r="B452" s="568"/>
      <c r="C452" s="568"/>
      <c r="D452" s="568"/>
      <c r="E452" s="568"/>
      <c r="F452" s="754" t="s">
        <v>188</v>
      </c>
      <c r="G452" s="189"/>
      <c r="H452" s="161" t="s">
        <v>12</v>
      </c>
      <c r="I452" s="269"/>
      <c r="J452" s="269"/>
      <c r="K452" s="496"/>
      <c r="L452" s="496"/>
      <c r="M452" s="496"/>
      <c r="N452" s="817">
        <v>26000</v>
      </c>
      <c r="O452" s="496"/>
      <c r="P452" s="496"/>
      <c r="Q452" s="571"/>
      <c r="R452" s="571"/>
      <c r="S452" s="571"/>
      <c r="T452" s="571"/>
      <c r="U452" s="571"/>
      <c r="V452" s="571"/>
      <c r="W452" s="571"/>
      <c r="X452" s="571"/>
      <c r="Y452" s="571"/>
      <c r="Z452" s="571"/>
    </row>
    <row r="453" spans="1:26" ht="18.75">
      <c r="A453" s="567"/>
      <c r="B453" s="568"/>
      <c r="C453" s="568"/>
      <c r="D453" s="568"/>
      <c r="E453" s="568"/>
      <c r="F453" s="754" t="s">
        <v>189</v>
      </c>
      <c r="G453" s="189"/>
      <c r="H453" s="161" t="s">
        <v>12</v>
      </c>
      <c r="I453" s="269"/>
      <c r="J453" s="269"/>
      <c r="K453" s="496"/>
      <c r="L453" s="496"/>
      <c r="M453" s="496"/>
      <c r="N453" s="817">
        <f>7130+2420+2500+6980</f>
        <v>19030</v>
      </c>
      <c r="O453" s="496"/>
      <c r="P453" s="496"/>
      <c r="Q453" s="571"/>
      <c r="R453" s="571"/>
      <c r="S453" s="571"/>
      <c r="T453" s="571"/>
      <c r="U453" s="571"/>
      <c r="V453" s="571"/>
      <c r="W453" s="571"/>
      <c r="X453" s="571"/>
      <c r="Y453" s="571"/>
      <c r="Z453" s="571"/>
    </row>
    <row r="454" spans="1:26" ht="18.75">
      <c r="A454" s="590"/>
      <c r="B454" s="568"/>
      <c r="C454" s="568"/>
      <c r="D454" s="599" t="s">
        <v>21</v>
      </c>
      <c r="E454" s="568"/>
      <c r="F454" s="754"/>
      <c r="G454" s="189"/>
      <c r="H454" s="168" t="s">
        <v>12</v>
      </c>
      <c r="I454" s="184"/>
      <c r="J454" s="184"/>
      <c r="K454" s="163"/>
      <c r="L454" s="496">
        <f t="shared" ref="L454:N454" ca="1" si="202">L455+L456</f>
        <v>0</v>
      </c>
      <c r="M454" s="496">
        <f t="shared" si="202"/>
        <v>0</v>
      </c>
      <c r="N454" s="496">
        <f t="shared" si="202"/>
        <v>0</v>
      </c>
      <c r="O454" s="496">
        <f t="shared" ref="O454:O456" ca="1" si="203">IF(L454&gt;0,N454*100/L454,0)</f>
        <v>0</v>
      </c>
      <c r="P454" s="496">
        <f t="shared" ref="P454:P456" si="204">IF(M454&gt;0,N454*100/M454,0)</f>
        <v>0</v>
      </c>
      <c r="Q454" s="571"/>
      <c r="R454" s="571"/>
      <c r="S454" s="571"/>
      <c r="T454" s="571"/>
      <c r="U454" s="571"/>
      <c r="V454" s="571"/>
      <c r="W454" s="571"/>
      <c r="X454" s="571"/>
      <c r="Y454" s="571"/>
      <c r="Z454" s="571"/>
    </row>
    <row r="455" spans="1:26" ht="18.75" hidden="1">
      <c r="A455" s="592"/>
      <c r="B455" s="600"/>
      <c r="C455" s="600"/>
      <c r="D455" s="600"/>
      <c r="E455" s="600" t="s">
        <v>18</v>
      </c>
      <c r="F455" s="750"/>
      <c r="G455" s="596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597"/>
      <c r="R455" s="597"/>
      <c r="S455" s="597"/>
      <c r="T455" s="597"/>
      <c r="U455" s="597"/>
      <c r="V455" s="597"/>
      <c r="W455" s="597"/>
      <c r="X455" s="597"/>
      <c r="Y455" s="597"/>
      <c r="Z455" s="597"/>
    </row>
    <row r="456" spans="1:26" ht="18.75" hidden="1">
      <c r="A456" s="592"/>
      <c r="B456" s="600"/>
      <c r="C456" s="600"/>
      <c r="D456" s="600"/>
      <c r="E456" s="600" t="s">
        <v>19</v>
      </c>
      <c r="F456" s="750"/>
      <c r="G456" s="596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IFERROR(__xludf.DUMMYFUNCTION("IMPORTRANGE(""https://docs.google.com/spreadsheets/d/1QqKyyYR6Q21VydFLVH3TRQUabQu_ym0Zz7PgGX0-kHA/edit?usp=sharing"",""แผน!FM72"")"),0)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597"/>
      <c r="R456" s="597"/>
      <c r="S456" s="597"/>
      <c r="T456" s="597"/>
      <c r="U456" s="597"/>
      <c r="V456" s="597"/>
      <c r="W456" s="597"/>
      <c r="X456" s="597"/>
      <c r="Y456" s="597"/>
      <c r="Z456" s="597"/>
    </row>
    <row r="457" spans="1:26" ht="19.5">
      <c r="A457" s="601"/>
      <c r="B457" s="611"/>
      <c r="C457" s="568" t="s">
        <v>16</v>
      </c>
      <c r="D457" s="836" t="s">
        <v>38</v>
      </c>
      <c r="E457" s="604"/>
      <c r="F457" s="752"/>
      <c r="G457" s="606"/>
      <c r="H457" s="753"/>
      <c r="I457" s="269"/>
      <c r="J457" s="269"/>
      <c r="K457" s="496"/>
      <c r="L457" s="496"/>
      <c r="M457" s="496"/>
      <c r="N457" s="496"/>
      <c r="O457" s="496"/>
      <c r="P457" s="496"/>
      <c r="Q457" s="571"/>
      <c r="R457" s="571"/>
      <c r="S457" s="571"/>
      <c r="T457" s="571"/>
      <c r="U457" s="571"/>
      <c r="V457" s="571"/>
      <c r="W457" s="571"/>
      <c r="X457" s="571"/>
      <c r="Y457" s="571"/>
      <c r="Z457" s="571"/>
    </row>
    <row r="458" spans="1:26" ht="18.75" hidden="1">
      <c r="A458" s="607"/>
      <c r="B458" s="609"/>
      <c r="C458" s="609"/>
      <c r="D458" s="609" t="s">
        <v>200</v>
      </c>
      <c r="E458" s="609"/>
      <c r="F458" s="711"/>
      <c r="G458" s="365"/>
      <c r="H458" s="369" t="s">
        <v>35</v>
      </c>
      <c r="I458" s="610">
        <v>0</v>
      </c>
      <c r="J458" s="610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597"/>
      <c r="R458" s="597"/>
      <c r="S458" s="597"/>
      <c r="T458" s="597"/>
      <c r="U458" s="597"/>
      <c r="V458" s="597"/>
      <c r="W458" s="597"/>
      <c r="X458" s="597"/>
      <c r="Y458" s="597"/>
      <c r="Z458" s="597"/>
    </row>
    <row r="459" spans="1:26" ht="18.75" hidden="1">
      <c r="A459" s="607"/>
      <c r="B459" s="609"/>
      <c r="C459" s="609"/>
      <c r="D459" s="609" t="s">
        <v>201</v>
      </c>
      <c r="E459" s="609"/>
      <c r="F459" s="711"/>
      <c r="G459" s="365"/>
      <c r="H459" s="369"/>
      <c r="I459" s="610"/>
      <c r="J459" s="610"/>
      <c r="K459" s="93"/>
      <c r="L459" s="93"/>
      <c r="M459" s="93"/>
      <c r="N459" s="93"/>
      <c r="O459" s="93"/>
      <c r="P459" s="93"/>
      <c r="Q459" s="597"/>
      <c r="R459" s="597"/>
      <c r="S459" s="597"/>
      <c r="T459" s="597"/>
      <c r="U459" s="597"/>
      <c r="V459" s="597"/>
      <c r="W459" s="597"/>
      <c r="X459" s="597"/>
      <c r="Y459" s="597"/>
      <c r="Z459" s="597"/>
    </row>
    <row r="460" spans="1:26" ht="18.75">
      <c r="A460" s="601"/>
      <c r="B460" s="611"/>
      <c r="C460" s="611"/>
      <c r="D460" s="611" t="s">
        <v>202</v>
      </c>
      <c r="E460" s="611"/>
      <c r="F460" s="619"/>
      <c r="G460" s="753"/>
      <c r="H460" s="755" t="s">
        <v>35</v>
      </c>
      <c r="I460" s="269">
        <f ca="1">IFERROR(__xludf.DUMMYFUNCTION("IMPORTRANGE(""https://docs.google.com/spreadsheets/d/1QqKyyYR6Q21VydFLVH3TRQUabQu_ym0Zz7PgGX0-kHA/edit?usp=sharing"",""แผน!FN72"")"),40)</f>
        <v>40</v>
      </c>
      <c r="J460" s="214">
        <v>0</v>
      </c>
      <c r="K460" s="496">
        <f ca="1">IF(I460&gt;0,J460*100/I460,0)</f>
        <v>0</v>
      </c>
      <c r="L460" s="496"/>
      <c r="M460" s="496"/>
      <c r="N460" s="496"/>
      <c r="O460" s="496"/>
      <c r="P460" s="496"/>
      <c r="Q460" s="571"/>
      <c r="R460" s="571"/>
      <c r="S460" s="571"/>
      <c r="T460" s="571"/>
      <c r="U460" s="571"/>
      <c r="V460" s="571"/>
      <c r="W460" s="571"/>
      <c r="X460" s="571"/>
      <c r="Y460" s="571"/>
      <c r="Z460" s="571"/>
    </row>
    <row r="461" spans="1:26" ht="18.75">
      <c r="A461" s="601"/>
      <c r="B461" s="611"/>
      <c r="C461" s="611"/>
      <c r="D461" s="611" t="s">
        <v>203</v>
      </c>
      <c r="E461" s="619"/>
      <c r="F461" s="619"/>
      <c r="G461" s="753"/>
      <c r="H461" s="755"/>
      <c r="I461" s="269"/>
      <c r="J461" s="269"/>
      <c r="K461" s="496"/>
      <c r="L461" s="496"/>
      <c r="M461" s="496"/>
      <c r="N461" s="496"/>
      <c r="O461" s="496"/>
      <c r="P461" s="496"/>
      <c r="Q461" s="571"/>
      <c r="R461" s="571"/>
      <c r="S461" s="571"/>
      <c r="T461" s="571"/>
      <c r="U461" s="571"/>
      <c r="V461" s="571"/>
      <c r="W461" s="571"/>
      <c r="X461" s="571"/>
      <c r="Y461" s="571"/>
      <c r="Z461" s="571"/>
    </row>
    <row r="462" spans="1:26" ht="18.75">
      <c r="A462" s="601"/>
      <c r="B462" s="611"/>
      <c r="C462" s="611"/>
      <c r="D462" s="611" t="s">
        <v>204</v>
      </c>
      <c r="E462" s="619"/>
      <c r="F462" s="619"/>
      <c r="G462" s="753"/>
      <c r="H462" s="755" t="s">
        <v>46</v>
      </c>
      <c r="I462" s="269">
        <f ca="1">IFERROR(__xludf.DUMMYFUNCTION("IMPORTRANGE(""https://docs.google.com/spreadsheets/d/1QqKyyYR6Q21VydFLVH3TRQUabQu_ym0Zz7PgGX0-kHA/edit?usp=sharing"",""แผน!FO72"")"),60)</f>
        <v>60</v>
      </c>
      <c r="J462" s="214">
        <v>0</v>
      </c>
      <c r="K462" s="496">
        <f ca="1">IF(I462&gt;0,J462*100/I462,0)</f>
        <v>0</v>
      </c>
      <c r="L462" s="496"/>
      <c r="M462" s="496"/>
      <c r="N462" s="496"/>
      <c r="O462" s="496"/>
      <c r="P462" s="496"/>
      <c r="Q462" s="571"/>
      <c r="R462" s="571"/>
      <c r="S462" s="571"/>
      <c r="T462" s="571"/>
      <c r="U462" s="571"/>
      <c r="V462" s="571"/>
      <c r="W462" s="571"/>
      <c r="X462" s="571"/>
      <c r="Y462" s="571"/>
      <c r="Z462" s="571"/>
    </row>
    <row r="463" spans="1:26" ht="18.75">
      <c r="A463" s="601"/>
      <c r="B463" s="611"/>
      <c r="C463" s="611"/>
      <c r="D463" s="611" t="s">
        <v>59</v>
      </c>
      <c r="E463" s="619"/>
      <c r="F463" s="754"/>
      <c r="G463" s="189"/>
      <c r="H463" s="755" t="s">
        <v>46</v>
      </c>
      <c r="I463" s="269">
        <f ca="1">IFERROR(__xludf.DUMMYFUNCTION("IMPORTRANGE(""https://docs.google.com/spreadsheets/d/1QqKyyYR6Q21VydFLVH3TRQUabQu_ym0Zz7PgGX0-kHA/edit?usp=sharing"",""แผน!FO72"")"),60)</f>
        <v>60</v>
      </c>
      <c r="J463" s="214">
        <v>0</v>
      </c>
      <c r="K463" s="496"/>
      <c r="L463" s="496"/>
      <c r="M463" s="496"/>
      <c r="N463" s="496"/>
      <c r="O463" s="496"/>
      <c r="P463" s="496"/>
      <c r="Q463" s="571"/>
      <c r="R463" s="571"/>
      <c r="S463" s="571"/>
      <c r="T463" s="571"/>
      <c r="U463" s="571"/>
      <c r="V463" s="571"/>
      <c r="W463" s="571"/>
      <c r="X463" s="571"/>
      <c r="Y463" s="571"/>
      <c r="Z463" s="571"/>
    </row>
    <row r="464" spans="1:26" ht="19.5">
      <c r="A464" s="601"/>
      <c r="B464" s="611"/>
      <c r="C464" s="611"/>
      <c r="D464" s="611"/>
      <c r="E464" s="619"/>
      <c r="F464" s="619"/>
      <c r="G464" s="613"/>
      <c r="H464" s="755" t="s">
        <v>35</v>
      </c>
      <c r="I464" s="269">
        <f ca="1">IFERROR(__xludf.DUMMYFUNCTION("IMPORTRANGE(""https://docs.google.com/spreadsheets/d/1QqKyyYR6Q21VydFLVH3TRQUabQu_ym0Zz7PgGX0-kHA/edit?usp=sharing"",""แผน!FN72"")"),40)</f>
        <v>40</v>
      </c>
      <c r="J464" s="214">
        <v>0</v>
      </c>
      <c r="K464" s="496"/>
      <c r="L464" s="496"/>
      <c r="M464" s="496"/>
      <c r="N464" s="496"/>
      <c r="O464" s="496"/>
      <c r="P464" s="496"/>
      <c r="Q464" s="571"/>
      <c r="R464" s="571"/>
      <c r="S464" s="571"/>
      <c r="T464" s="571"/>
      <c r="U464" s="571"/>
      <c r="V464" s="571"/>
      <c r="W464" s="571"/>
      <c r="X464" s="571"/>
      <c r="Y464" s="571"/>
      <c r="Z464" s="571"/>
    </row>
    <row r="465" spans="1:26" ht="19.5">
      <c r="A465" s="578">
        <v>3</v>
      </c>
      <c r="B465" s="579" t="s">
        <v>205</v>
      </c>
      <c r="C465" s="580"/>
      <c r="D465" s="580"/>
      <c r="E465" s="580"/>
      <c r="F465" s="580"/>
      <c r="G465" s="581"/>
      <c r="H465" s="582" t="s">
        <v>35</v>
      </c>
      <c r="I465" s="583">
        <f ca="1">IFERROR(__xludf.DUMMYFUNCTION("IMPORTRANGE(""https://docs.google.com/spreadsheets/d/1QqKyyYR6Q21VydFLVH3TRQUabQu_ym0Zz7PgGX0-kHA/edit?usp=sharing"",""แผน!FX72"")"),41)</f>
        <v>41</v>
      </c>
      <c r="J465" s="583">
        <f>J485+J489+J492</f>
        <v>0</v>
      </c>
      <c r="K465" s="584">
        <f t="shared" ref="K465:K466" ca="1" si="205">IF(I465&gt;0,J465*100/I465,0)</f>
        <v>0</v>
      </c>
      <c r="L465" s="585"/>
      <c r="M465" s="585"/>
      <c r="N465" s="585"/>
      <c r="O465" s="585"/>
      <c r="P465" s="585"/>
      <c r="Q465" s="571"/>
      <c r="R465" s="571"/>
      <c r="S465" s="571"/>
      <c r="T465" s="571"/>
      <c r="U465" s="571"/>
      <c r="V465" s="571"/>
      <c r="W465" s="571"/>
      <c r="X465" s="571"/>
      <c r="Y465" s="571"/>
      <c r="Z465" s="571"/>
    </row>
    <row r="466" spans="1:26" ht="19.5">
      <c r="A466" s="586"/>
      <c r="B466" s="587"/>
      <c r="C466" s="588"/>
      <c r="D466" s="588"/>
      <c r="E466" s="588"/>
      <c r="F466" s="588"/>
      <c r="G466" s="589"/>
      <c r="H466" s="562" t="s">
        <v>46</v>
      </c>
      <c r="I466" s="563">
        <f ca="1">IFERROR(__xludf.DUMMYFUNCTION("IMPORTRANGE(""https://docs.google.com/spreadsheets/d/1QqKyyYR6Q21VydFLVH3TRQUabQu_ym0Zz7PgGX0-kHA/edit?usp=sharing"",""แผน!FW72"")"),400)</f>
        <v>400</v>
      </c>
      <c r="J466" s="563">
        <f>J483+J487</f>
        <v>0</v>
      </c>
      <c r="K466" s="564">
        <f t="shared" ca="1" si="205"/>
        <v>0</v>
      </c>
      <c r="L466" s="565"/>
      <c r="M466" s="565"/>
      <c r="N466" s="565"/>
      <c r="O466" s="565"/>
      <c r="P466" s="565"/>
      <c r="Q466" s="571"/>
      <c r="R466" s="571"/>
      <c r="S466" s="571"/>
      <c r="T466" s="571"/>
      <c r="U466" s="571"/>
      <c r="V466" s="571"/>
      <c r="W466" s="571"/>
      <c r="X466" s="571"/>
      <c r="Y466" s="571"/>
      <c r="Z466" s="571"/>
    </row>
    <row r="467" spans="1:26" ht="19.5">
      <c r="A467" s="590"/>
      <c r="B467" s="754"/>
      <c r="C467" s="754" t="s">
        <v>16</v>
      </c>
      <c r="D467" s="863" t="s">
        <v>17</v>
      </c>
      <c r="E467" s="857"/>
      <c r="F467" s="857"/>
      <c r="G467" s="189"/>
      <c r="H467" s="591" t="s">
        <v>12</v>
      </c>
      <c r="I467" s="269"/>
      <c r="J467" s="269"/>
      <c r="K467" s="496"/>
      <c r="L467" s="195">
        <f t="shared" ref="L467:N467" ca="1" si="206">L468+L469</f>
        <v>327863</v>
      </c>
      <c r="M467" s="195">
        <f t="shared" si="206"/>
        <v>0</v>
      </c>
      <c r="N467" s="195">
        <f t="shared" si="206"/>
        <v>63125</v>
      </c>
      <c r="O467" s="195">
        <f t="shared" ref="O467:O472" ca="1" si="207">IF(L467&gt;0,N467*100/L467,0)</f>
        <v>19.253468674415839</v>
      </c>
      <c r="P467" s="195">
        <f t="shared" ref="P467:P472" si="208">IF(M467&gt;0,N467*100/M467,0)</f>
        <v>0</v>
      </c>
      <c r="Q467" s="571"/>
      <c r="R467" s="571"/>
      <c r="S467" s="571"/>
      <c r="T467" s="571"/>
      <c r="U467" s="571"/>
      <c r="V467" s="571"/>
      <c r="W467" s="571"/>
      <c r="X467" s="571"/>
      <c r="Y467" s="571"/>
      <c r="Z467" s="571"/>
    </row>
    <row r="468" spans="1:26" ht="18.75" hidden="1">
      <c r="A468" s="592"/>
      <c r="B468" s="750"/>
      <c r="C468" s="750"/>
      <c r="D468" s="711"/>
      <c r="E468" s="750" t="s">
        <v>184</v>
      </c>
      <c r="F468" s="750"/>
      <c r="G468" s="596"/>
      <c r="H468" s="165" t="s">
        <v>12</v>
      </c>
      <c r="I468" s="610"/>
      <c r="J468" s="610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597"/>
      <c r="R468" s="597"/>
      <c r="S468" s="597"/>
      <c r="T468" s="597"/>
      <c r="U468" s="597"/>
      <c r="V468" s="597"/>
      <c r="W468" s="597"/>
      <c r="X468" s="597"/>
      <c r="Y468" s="597"/>
      <c r="Z468" s="597"/>
    </row>
    <row r="469" spans="1:26" ht="18.75" hidden="1">
      <c r="A469" s="592"/>
      <c r="B469" s="600"/>
      <c r="C469" s="750"/>
      <c r="D469" s="711"/>
      <c r="E469" s="750" t="s">
        <v>185</v>
      </c>
      <c r="F469" s="750"/>
      <c r="G469" s="596"/>
      <c r="H469" s="165" t="s">
        <v>12</v>
      </c>
      <c r="I469" s="610"/>
      <c r="J469" s="610"/>
      <c r="K469" s="93"/>
      <c r="L469" s="93">
        <f t="shared" ca="1" si="209"/>
        <v>327863</v>
      </c>
      <c r="M469" s="93">
        <f t="shared" si="209"/>
        <v>0</v>
      </c>
      <c r="N469" s="93">
        <f t="shared" si="209"/>
        <v>63125</v>
      </c>
      <c r="O469" s="93">
        <f t="shared" ca="1" si="207"/>
        <v>19.253468674415839</v>
      </c>
      <c r="P469" s="93">
        <f t="shared" si="208"/>
        <v>0</v>
      </c>
      <c r="Q469" s="597"/>
      <c r="R469" s="597"/>
      <c r="S469" s="597"/>
      <c r="T469" s="597"/>
      <c r="U469" s="597"/>
      <c r="V469" s="597"/>
      <c r="W469" s="597"/>
      <c r="X469" s="597"/>
      <c r="Y469" s="597"/>
      <c r="Z469" s="597"/>
    </row>
    <row r="470" spans="1:26" ht="18.75">
      <c r="A470" s="590"/>
      <c r="B470" s="568"/>
      <c r="C470" s="754"/>
      <c r="D470" s="599" t="s">
        <v>20</v>
      </c>
      <c r="E470" s="754"/>
      <c r="F470" s="754"/>
      <c r="G470" s="189"/>
      <c r="H470" s="161" t="s">
        <v>12</v>
      </c>
      <c r="I470" s="184"/>
      <c r="J470" s="184"/>
      <c r="K470" s="163"/>
      <c r="L470" s="496">
        <f t="shared" ref="L470:N470" ca="1" si="210">L471+L472</f>
        <v>327863</v>
      </c>
      <c r="M470" s="496">
        <f t="shared" si="210"/>
        <v>0</v>
      </c>
      <c r="N470" s="496">
        <f t="shared" si="210"/>
        <v>63125</v>
      </c>
      <c r="O470" s="496">
        <f t="shared" ca="1" si="207"/>
        <v>19.253468674415839</v>
      </c>
      <c r="P470" s="496">
        <f t="shared" si="208"/>
        <v>0</v>
      </c>
      <c r="Q470" s="571"/>
      <c r="R470" s="571"/>
      <c r="S470" s="571"/>
      <c r="T470" s="571"/>
      <c r="U470" s="571"/>
      <c r="V470" s="571"/>
      <c r="W470" s="571"/>
      <c r="X470" s="571"/>
      <c r="Y470" s="571"/>
      <c r="Z470" s="571"/>
    </row>
    <row r="471" spans="1:26" ht="18.75" hidden="1">
      <c r="A471" s="592"/>
      <c r="B471" s="600"/>
      <c r="C471" s="750"/>
      <c r="D471" s="711"/>
      <c r="E471" s="750" t="s">
        <v>184</v>
      </c>
      <c r="F471" s="750"/>
      <c r="G471" s="596"/>
      <c r="H471" s="165" t="s">
        <v>12</v>
      </c>
      <c r="I471" s="610"/>
      <c r="J471" s="610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597"/>
      <c r="R471" s="597"/>
      <c r="S471" s="597"/>
      <c r="T471" s="597"/>
      <c r="U471" s="597"/>
      <c r="V471" s="597"/>
      <c r="W471" s="597"/>
      <c r="X471" s="597"/>
      <c r="Y471" s="597"/>
      <c r="Z471" s="597"/>
    </row>
    <row r="472" spans="1:26" ht="18.75" hidden="1">
      <c r="A472" s="592"/>
      <c r="B472" s="600"/>
      <c r="C472" s="750"/>
      <c r="D472" s="711"/>
      <c r="E472" s="750" t="s">
        <v>185</v>
      </c>
      <c r="F472" s="750"/>
      <c r="G472" s="596"/>
      <c r="H472" s="165" t="s">
        <v>12</v>
      </c>
      <c r="I472" s="610"/>
      <c r="J472" s="610"/>
      <c r="K472" s="93"/>
      <c r="L472" s="93">
        <f ca="1">IFERROR(__xludf.DUMMYFUNCTION("IMPORTRANGE(""https://docs.google.com/spreadsheets/d/1QqKyyYR6Q21VydFLVH3TRQUabQu_ym0Zz7PgGX0-kHA/edit?usp=sharing"",""แผน!FS72"")"),327863)</f>
        <v>327863</v>
      </c>
      <c r="M472" s="93">
        <v>0</v>
      </c>
      <c r="N472" s="93">
        <f>N473+N474+N475+N476</f>
        <v>63125</v>
      </c>
      <c r="O472" s="93">
        <f t="shared" ca="1" si="207"/>
        <v>19.253468674415839</v>
      </c>
      <c r="P472" s="93">
        <f t="shared" si="208"/>
        <v>0</v>
      </c>
      <c r="Q472" s="597"/>
      <c r="R472" s="597"/>
      <c r="S472" s="597"/>
      <c r="T472" s="597"/>
      <c r="U472" s="597"/>
      <c r="V472" s="597"/>
      <c r="W472" s="597"/>
      <c r="X472" s="597"/>
      <c r="Y472" s="597"/>
      <c r="Z472" s="597"/>
    </row>
    <row r="473" spans="1:26" ht="18.75">
      <c r="A473" s="567"/>
      <c r="B473" s="568"/>
      <c r="C473" s="754"/>
      <c r="D473" s="754"/>
      <c r="E473" s="754"/>
      <c r="F473" s="754" t="s">
        <v>186</v>
      </c>
      <c r="G473" s="189"/>
      <c r="H473" s="161" t="s">
        <v>12</v>
      </c>
      <c r="I473" s="269"/>
      <c r="J473" s="269"/>
      <c r="K473" s="496"/>
      <c r="L473" s="496"/>
      <c r="M473" s="496"/>
      <c r="N473" s="817">
        <v>48603</v>
      </c>
      <c r="O473" s="496"/>
      <c r="P473" s="496"/>
      <c r="Q473" s="571"/>
      <c r="R473" s="571"/>
      <c r="S473" s="571"/>
      <c r="T473" s="571"/>
      <c r="U473" s="571"/>
      <c r="V473" s="571"/>
      <c r="W473" s="571"/>
      <c r="X473" s="571"/>
      <c r="Y473" s="571"/>
      <c r="Z473" s="571"/>
    </row>
    <row r="474" spans="1:26" ht="18.75">
      <c r="A474" s="567"/>
      <c r="B474" s="568"/>
      <c r="C474" s="754"/>
      <c r="D474" s="754"/>
      <c r="E474" s="754"/>
      <c r="F474" s="754" t="s">
        <v>187</v>
      </c>
      <c r="G474" s="189"/>
      <c r="H474" s="161" t="s">
        <v>12</v>
      </c>
      <c r="I474" s="269"/>
      <c r="J474" s="269"/>
      <c r="K474" s="496"/>
      <c r="L474" s="496"/>
      <c r="M474" s="496"/>
      <c r="N474" s="817">
        <v>4000</v>
      </c>
      <c r="O474" s="496"/>
      <c r="P474" s="496"/>
      <c r="Q474" s="571"/>
      <c r="R474" s="571"/>
      <c r="S474" s="571"/>
      <c r="T474" s="571"/>
      <c r="U474" s="571"/>
      <c r="V474" s="571"/>
      <c r="W474" s="571"/>
      <c r="X474" s="571"/>
      <c r="Y474" s="571"/>
      <c r="Z474" s="571"/>
    </row>
    <row r="475" spans="1:26" ht="18.75">
      <c r="A475" s="567"/>
      <c r="B475" s="568"/>
      <c r="C475" s="568"/>
      <c r="D475" s="568"/>
      <c r="E475" s="568"/>
      <c r="F475" s="754" t="s">
        <v>188</v>
      </c>
      <c r="G475" s="189"/>
      <c r="H475" s="161" t="s">
        <v>12</v>
      </c>
      <c r="I475" s="269"/>
      <c r="J475" s="269"/>
      <c r="K475" s="496"/>
      <c r="L475" s="496"/>
      <c r="M475" s="496"/>
      <c r="N475" s="817">
        <v>0</v>
      </c>
      <c r="O475" s="496"/>
      <c r="P475" s="496"/>
      <c r="Q475" s="571"/>
      <c r="R475" s="571"/>
      <c r="S475" s="571"/>
      <c r="T475" s="571"/>
      <c r="U475" s="571"/>
      <c r="V475" s="571"/>
      <c r="W475" s="571"/>
      <c r="X475" s="571"/>
      <c r="Y475" s="571"/>
      <c r="Z475" s="571"/>
    </row>
    <row r="476" spans="1:26" ht="18.75">
      <c r="A476" s="567"/>
      <c r="B476" s="568"/>
      <c r="C476" s="568"/>
      <c r="D476" s="568"/>
      <c r="E476" s="568"/>
      <c r="F476" s="754" t="s">
        <v>189</v>
      </c>
      <c r="G476" s="189"/>
      <c r="H476" s="161" t="s">
        <v>12</v>
      </c>
      <c r="I476" s="269"/>
      <c r="J476" s="269"/>
      <c r="K476" s="496"/>
      <c r="L476" s="496"/>
      <c r="M476" s="496"/>
      <c r="N476" s="817">
        <f>4472+550+710+1300+3490</f>
        <v>10522</v>
      </c>
      <c r="O476" s="496"/>
      <c r="P476" s="496"/>
      <c r="Q476" s="571"/>
      <c r="R476" s="571"/>
      <c r="S476" s="571"/>
      <c r="T476" s="571"/>
      <c r="U476" s="571"/>
      <c r="V476" s="571"/>
      <c r="W476" s="571"/>
      <c r="X476" s="571"/>
      <c r="Y476" s="571"/>
      <c r="Z476" s="571"/>
    </row>
    <row r="477" spans="1:26" ht="18.75">
      <c r="A477" s="590"/>
      <c r="B477" s="568"/>
      <c r="C477" s="568"/>
      <c r="D477" s="599" t="s">
        <v>21</v>
      </c>
      <c r="E477" s="568"/>
      <c r="F477" s="568"/>
      <c r="G477" s="189"/>
      <c r="H477" s="168" t="s">
        <v>12</v>
      </c>
      <c r="I477" s="184"/>
      <c r="J477" s="184"/>
      <c r="K477" s="163"/>
      <c r="L477" s="496">
        <f t="shared" ref="L477:N477" ca="1" si="211">L478+L479</f>
        <v>0</v>
      </c>
      <c r="M477" s="496">
        <f t="shared" si="211"/>
        <v>0</v>
      </c>
      <c r="N477" s="496">
        <f t="shared" si="211"/>
        <v>0</v>
      </c>
      <c r="O477" s="496">
        <f t="shared" ref="O477:O479" ca="1" si="212">IF(L477&gt;0,N477*100/L477,0)</f>
        <v>0</v>
      </c>
      <c r="P477" s="496">
        <f t="shared" ref="P477:P479" si="213">IF(M477&gt;0,N477*100/M477,0)</f>
        <v>0</v>
      </c>
      <c r="Q477" s="571"/>
      <c r="R477" s="571"/>
      <c r="S477" s="571"/>
      <c r="T477" s="571"/>
      <c r="U477" s="571"/>
      <c r="V477" s="571"/>
      <c r="W477" s="571"/>
      <c r="X477" s="571"/>
      <c r="Y477" s="571"/>
      <c r="Z477" s="571"/>
    </row>
    <row r="478" spans="1:26" ht="18.75" hidden="1">
      <c r="A478" s="592"/>
      <c r="B478" s="600"/>
      <c r="C478" s="600"/>
      <c r="D478" s="600"/>
      <c r="E478" s="600" t="s">
        <v>18</v>
      </c>
      <c r="F478" s="600"/>
      <c r="G478" s="596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597"/>
      <c r="R478" s="597"/>
      <c r="S478" s="597"/>
      <c r="T478" s="597"/>
      <c r="U478" s="597"/>
      <c r="V478" s="597"/>
      <c r="W478" s="597"/>
      <c r="X478" s="597"/>
      <c r="Y478" s="597"/>
      <c r="Z478" s="597"/>
    </row>
    <row r="479" spans="1:26" ht="18.75" hidden="1">
      <c r="A479" s="592"/>
      <c r="B479" s="600"/>
      <c r="C479" s="600"/>
      <c r="D479" s="600"/>
      <c r="E479" s="600" t="s">
        <v>19</v>
      </c>
      <c r="F479" s="600"/>
      <c r="G479" s="596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IFERROR(__xludf.DUMMYFUNCTION("IMPORTRANGE(""https://docs.google.com/spreadsheets/d/1QqKyyYR6Q21VydFLVH3TRQUabQu_ym0Zz7PgGX0-kHA/edit?usp=sharing"",""แผน!FV72"")"),0)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597"/>
      <c r="R479" s="597"/>
      <c r="S479" s="597"/>
      <c r="T479" s="597"/>
      <c r="U479" s="597"/>
      <c r="V479" s="597"/>
      <c r="W479" s="597"/>
      <c r="X479" s="597"/>
      <c r="Y479" s="597"/>
      <c r="Z479" s="597"/>
    </row>
    <row r="480" spans="1:26" ht="19.5">
      <c r="A480" s="601"/>
      <c r="B480" s="611"/>
      <c r="C480" s="568" t="s">
        <v>16</v>
      </c>
      <c r="D480" s="837" t="s">
        <v>38</v>
      </c>
      <c r="E480" s="604"/>
      <c r="F480" s="752"/>
      <c r="G480" s="606"/>
      <c r="H480" s="753"/>
      <c r="I480" s="269"/>
      <c r="J480" s="269"/>
      <c r="K480" s="496"/>
      <c r="L480" s="496"/>
      <c r="M480" s="496"/>
      <c r="N480" s="496"/>
      <c r="O480" s="496"/>
      <c r="P480" s="496"/>
      <c r="Q480" s="571"/>
      <c r="R480" s="571"/>
      <c r="S480" s="571"/>
      <c r="T480" s="571"/>
      <c r="U480" s="571"/>
      <c r="V480" s="571"/>
      <c r="W480" s="571"/>
      <c r="X480" s="571"/>
      <c r="Y480" s="571"/>
      <c r="Z480" s="571"/>
    </row>
    <row r="481" spans="1:26" ht="19.5">
      <c r="A481" s="601"/>
      <c r="B481" s="611"/>
      <c r="C481" s="611"/>
      <c r="D481" s="618" t="s">
        <v>206</v>
      </c>
      <c r="E481" s="611"/>
      <c r="F481" s="611"/>
      <c r="G481" s="753"/>
      <c r="H481" s="189"/>
      <c r="I481" s="269"/>
      <c r="J481" s="269"/>
      <c r="K481" s="496"/>
      <c r="L481" s="496"/>
      <c r="M481" s="496"/>
      <c r="N481" s="496"/>
      <c r="O481" s="496"/>
      <c r="P481" s="496"/>
      <c r="Q481" s="571"/>
      <c r="R481" s="571"/>
      <c r="S481" s="571"/>
      <c r="T481" s="571"/>
      <c r="U481" s="571"/>
      <c r="V481" s="571"/>
      <c r="W481" s="571"/>
      <c r="X481" s="571"/>
      <c r="Y481" s="571"/>
      <c r="Z481" s="571"/>
    </row>
    <row r="482" spans="1:26" ht="18.75">
      <c r="A482" s="601"/>
      <c r="B482" s="611"/>
      <c r="C482" s="611"/>
      <c r="D482" s="611"/>
      <c r="E482" s="611" t="s">
        <v>207</v>
      </c>
      <c r="F482" s="611"/>
      <c r="G482" s="753"/>
      <c r="H482" s="189"/>
      <c r="I482" s="269"/>
      <c r="J482" s="269"/>
      <c r="K482" s="496"/>
      <c r="L482" s="496"/>
      <c r="M482" s="496"/>
      <c r="N482" s="496"/>
      <c r="O482" s="496"/>
      <c r="P482" s="496"/>
      <c r="Q482" s="571"/>
      <c r="R482" s="571"/>
      <c r="S482" s="571"/>
      <c r="T482" s="571"/>
      <c r="U482" s="571"/>
      <c r="V482" s="571"/>
      <c r="W482" s="571"/>
      <c r="X482" s="571"/>
      <c r="Y482" s="571"/>
      <c r="Z482" s="571"/>
    </row>
    <row r="483" spans="1:26" ht="18.75">
      <c r="A483" s="601"/>
      <c r="B483" s="611"/>
      <c r="C483" s="611"/>
      <c r="D483" s="611"/>
      <c r="E483" s="611"/>
      <c r="F483" s="611" t="s">
        <v>208</v>
      </c>
      <c r="G483" s="753"/>
      <c r="H483" s="616" t="s">
        <v>46</v>
      </c>
      <c r="I483" s="269">
        <f ca="1">IFERROR(__xludf.DUMMYFUNCTION("IMPORTRANGE(""https://docs.google.com/spreadsheets/d/1QqKyyYR6Q21VydFLVH3TRQUabQu_ym0Zz7PgGX0-kHA/edit?usp=sharing"",""แผน!FY72"")"),360)</f>
        <v>360</v>
      </c>
      <c r="J483" s="214">
        <v>0</v>
      </c>
      <c r="K483" s="496">
        <f ca="1">IF(I483&gt;0,J483*100/I483,0)</f>
        <v>0</v>
      </c>
      <c r="L483" s="496"/>
      <c r="M483" s="496"/>
      <c r="N483" s="496"/>
      <c r="O483" s="496"/>
      <c r="P483" s="496"/>
      <c r="Q483" s="571"/>
      <c r="R483" s="571"/>
      <c r="S483" s="571"/>
      <c r="T483" s="571"/>
      <c r="U483" s="571"/>
      <c r="V483" s="571"/>
      <c r="W483" s="571"/>
      <c r="X483" s="571"/>
      <c r="Y483" s="571"/>
      <c r="Z483" s="571"/>
    </row>
    <row r="484" spans="1:26" ht="18.75">
      <c r="A484" s="601"/>
      <c r="B484" s="611"/>
      <c r="C484" s="611"/>
      <c r="D484" s="611"/>
      <c r="E484" s="611"/>
      <c r="F484" s="611" t="s">
        <v>209</v>
      </c>
      <c r="G484" s="753"/>
      <c r="H484" s="616" t="s">
        <v>35</v>
      </c>
      <c r="I484" s="269"/>
      <c r="J484" s="214">
        <v>0</v>
      </c>
      <c r="K484" s="496"/>
      <c r="L484" s="496"/>
      <c r="M484" s="496"/>
      <c r="N484" s="496"/>
      <c r="O484" s="496"/>
      <c r="P484" s="496"/>
      <c r="Q484" s="571"/>
      <c r="R484" s="571"/>
      <c r="S484" s="571"/>
      <c r="T484" s="571"/>
      <c r="U484" s="571"/>
      <c r="V484" s="571"/>
      <c r="W484" s="571"/>
      <c r="X484" s="571"/>
      <c r="Y484" s="571"/>
      <c r="Z484" s="571"/>
    </row>
    <row r="485" spans="1:26" ht="18.75">
      <c r="A485" s="601"/>
      <c r="B485" s="611"/>
      <c r="C485" s="611"/>
      <c r="D485" s="611"/>
      <c r="E485" s="611"/>
      <c r="F485" s="611" t="s">
        <v>210</v>
      </c>
      <c r="G485" s="753"/>
      <c r="H485" s="616" t="s">
        <v>35</v>
      </c>
      <c r="I485" s="269">
        <f ca="1">IFERROR(__xludf.DUMMYFUNCTION("IMPORTRANGE(""https://docs.google.com/spreadsheets/d/1QqKyyYR6Q21VydFLVH3TRQUabQu_ym0Zz7PgGX0-kHA/edit?usp=sharing"",""แผน!FZ72"")"),36)</f>
        <v>36</v>
      </c>
      <c r="J485" s="214">
        <v>0</v>
      </c>
      <c r="K485" s="496">
        <f ca="1">IF(I485&gt;0,J485*100/I485,0)</f>
        <v>0</v>
      </c>
      <c r="L485" s="496"/>
      <c r="M485" s="496"/>
      <c r="N485" s="496"/>
      <c r="O485" s="496"/>
      <c r="P485" s="496"/>
      <c r="Q485" s="571"/>
      <c r="R485" s="571"/>
      <c r="S485" s="571"/>
      <c r="T485" s="571"/>
      <c r="U485" s="571"/>
      <c r="V485" s="571"/>
      <c r="W485" s="571"/>
      <c r="X485" s="571"/>
      <c r="Y485" s="571"/>
      <c r="Z485" s="571"/>
    </row>
    <row r="486" spans="1:26" ht="18.75">
      <c r="A486" s="601"/>
      <c r="B486" s="611"/>
      <c r="C486" s="611"/>
      <c r="D486" s="611"/>
      <c r="E486" s="611" t="s">
        <v>62</v>
      </c>
      <c r="F486" s="611"/>
      <c r="G486" s="753"/>
      <c r="H486" s="616"/>
      <c r="I486" s="269"/>
      <c r="J486" s="269"/>
      <c r="K486" s="496"/>
      <c r="L486" s="496"/>
      <c r="M486" s="496"/>
      <c r="N486" s="496"/>
      <c r="O486" s="496"/>
      <c r="P486" s="496"/>
      <c r="Q486" s="571"/>
      <c r="R486" s="571"/>
      <c r="S486" s="571"/>
      <c r="T486" s="571"/>
      <c r="U486" s="571"/>
      <c r="V486" s="571"/>
      <c r="W486" s="571"/>
      <c r="X486" s="571"/>
      <c r="Y486" s="571"/>
      <c r="Z486" s="571"/>
    </row>
    <row r="487" spans="1:26" ht="18.75">
      <c r="A487" s="601"/>
      <c r="B487" s="611"/>
      <c r="C487" s="611"/>
      <c r="D487" s="611"/>
      <c r="E487" s="611"/>
      <c r="F487" s="611" t="s">
        <v>208</v>
      </c>
      <c r="G487" s="753"/>
      <c r="H487" s="616" t="s">
        <v>46</v>
      </c>
      <c r="I487" s="269">
        <f ca="1">IFERROR(__xludf.DUMMYFUNCTION("IMPORTRANGE(""https://docs.google.com/spreadsheets/d/1QqKyyYR6Q21VydFLVH3TRQUabQu_ym0Zz7PgGX0-kHA/edit?usp=sharing"",""แผน!GA72"")"),40)</f>
        <v>40</v>
      </c>
      <c r="J487" s="214">
        <v>0</v>
      </c>
      <c r="K487" s="496">
        <f ca="1">IF(I487&gt;0,J487*100/I487,0)</f>
        <v>0</v>
      </c>
      <c r="L487" s="496"/>
      <c r="M487" s="496"/>
      <c r="N487" s="496"/>
      <c r="O487" s="496"/>
      <c r="P487" s="496"/>
      <c r="Q487" s="571"/>
      <c r="R487" s="571"/>
      <c r="S487" s="571"/>
      <c r="T487" s="571"/>
      <c r="U487" s="571"/>
      <c r="V487" s="571"/>
      <c r="W487" s="571"/>
      <c r="X487" s="571"/>
      <c r="Y487" s="571"/>
      <c r="Z487" s="571"/>
    </row>
    <row r="488" spans="1:26" ht="18.75">
      <c r="A488" s="601"/>
      <c r="B488" s="611"/>
      <c r="C488" s="611"/>
      <c r="D488" s="611"/>
      <c r="E488" s="611"/>
      <c r="F488" s="611" t="s">
        <v>211</v>
      </c>
      <c r="G488" s="753"/>
      <c r="H488" s="616" t="s">
        <v>35</v>
      </c>
      <c r="I488" s="269"/>
      <c r="J488" s="214">
        <v>0</v>
      </c>
      <c r="K488" s="496"/>
      <c r="L488" s="496"/>
      <c r="M488" s="496"/>
      <c r="N488" s="496"/>
      <c r="O488" s="496"/>
      <c r="P488" s="496"/>
      <c r="Q488" s="571"/>
      <c r="R488" s="571"/>
      <c r="S488" s="571"/>
      <c r="T488" s="571"/>
      <c r="U488" s="571"/>
      <c r="V488" s="571"/>
      <c r="W488" s="571"/>
      <c r="X488" s="571"/>
      <c r="Y488" s="571"/>
      <c r="Z488" s="571"/>
    </row>
    <row r="489" spans="1:26" ht="18.75">
      <c r="A489" s="601"/>
      <c r="B489" s="611"/>
      <c r="C489" s="611"/>
      <c r="D489" s="611"/>
      <c r="E489" s="611"/>
      <c r="F489" s="611" t="s">
        <v>212</v>
      </c>
      <c r="G489" s="753"/>
      <c r="H489" s="616" t="s">
        <v>35</v>
      </c>
      <c r="I489" s="269">
        <f ca="1">IFERROR(__xludf.DUMMYFUNCTION("IMPORTRANGE(""https://docs.google.com/spreadsheets/d/1QqKyyYR6Q21VydFLVH3TRQUabQu_ym0Zz7PgGX0-kHA/edit?usp=sharing"",""แผน!GB72"")"),4)</f>
        <v>4</v>
      </c>
      <c r="J489" s="214">
        <v>0</v>
      </c>
      <c r="K489" s="496">
        <f ca="1">IF(I489&gt;0,J489*100/I489,0)</f>
        <v>0</v>
      </c>
      <c r="L489" s="496"/>
      <c r="M489" s="496"/>
      <c r="N489" s="496"/>
      <c r="O489" s="496"/>
      <c r="P489" s="496"/>
      <c r="Q489" s="571"/>
      <c r="R489" s="571"/>
      <c r="S489" s="571"/>
      <c r="T489" s="571"/>
      <c r="U489" s="571"/>
      <c r="V489" s="571"/>
      <c r="W489" s="571"/>
      <c r="X489" s="571"/>
      <c r="Y489" s="571"/>
      <c r="Z489" s="571"/>
    </row>
    <row r="490" spans="1:26" ht="18.75">
      <c r="A490" s="601"/>
      <c r="B490" s="611"/>
      <c r="C490" s="611"/>
      <c r="D490" s="611"/>
      <c r="E490" s="611" t="s">
        <v>63</v>
      </c>
      <c r="F490" s="619"/>
      <c r="G490" s="753"/>
      <c r="H490" s="616"/>
      <c r="I490" s="269"/>
      <c r="J490" s="269"/>
      <c r="K490" s="496"/>
      <c r="L490" s="496"/>
      <c r="M490" s="496"/>
      <c r="N490" s="496"/>
      <c r="O490" s="496"/>
      <c r="P490" s="496"/>
      <c r="Q490" s="571"/>
      <c r="R490" s="571"/>
      <c r="S490" s="571"/>
      <c r="T490" s="571"/>
      <c r="U490" s="571"/>
      <c r="V490" s="571"/>
      <c r="W490" s="571"/>
      <c r="X490" s="571"/>
      <c r="Y490" s="571"/>
      <c r="Z490" s="571"/>
    </row>
    <row r="491" spans="1:26" ht="18.75">
      <c r="A491" s="601"/>
      <c r="B491" s="611"/>
      <c r="C491" s="611"/>
      <c r="D491" s="611"/>
      <c r="E491" s="611"/>
      <c r="F491" s="611" t="s">
        <v>213</v>
      </c>
      <c r="G491" s="753"/>
      <c r="H491" s="616" t="s">
        <v>35</v>
      </c>
      <c r="I491" s="269"/>
      <c r="J491" s="214">
        <v>0</v>
      </c>
      <c r="K491" s="496"/>
      <c r="L491" s="496"/>
      <c r="M491" s="496"/>
      <c r="N491" s="496"/>
      <c r="O491" s="496"/>
      <c r="P491" s="496"/>
      <c r="Q491" s="571"/>
      <c r="R491" s="571"/>
      <c r="S491" s="571"/>
      <c r="T491" s="571"/>
      <c r="U491" s="571"/>
      <c r="V491" s="571"/>
      <c r="W491" s="571"/>
      <c r="X491" s="571"/>
      <c r="Y491" s="571"/>
      <c r="Z491" s="571"/>
    </row>
    <row r="492" spans="1:26" ht="18.75">
      <c r="A492" s="601"/>
      <c r="B492" s="611"/>
      <c r="C492" s="611"/>
      <c r="D492" s="611"/>
      <c r="E492" s="611"/>
      <c r="F492" s="611" t="s">
        <v>214</v>
      </c>
      <c r="G492" s="753"/>
      <c r="H492" s="616" t="s">
        <v>35</v>
      </c>
      <c r="I492" s="269">
        <f ca="1">IFERROR(__xludf.DUMMYFUNCTION("IMPORTRANGE(""https://docs.google.com/spreadsheets/d/1QqKyyYR6Q21VydFLVH3TRQUabQu_ym0Zz7PgGX0-kHA/edit?usp=sharing"",""แผน!GC72"")"),1)</f>
        <v>1</v>
      </c>
      <c r="J492" s="214">
        <v>0</v>
      </c>
      <c r="K492" s="496">
        <f ca="1">IF(I492&gt;0,J492*100/I492,0)</f>
        <v>0</v>
      </c>
      <c r="L492" s="496"/>
      <c r="M492" s="496"/>
      <c r="N492" s="496"/>
      <c r="O492" s="496"/>
      <c r="P492" s="496"/>
      <c r="Q492" s="571"/>
      <c r="R492" s="571"/>
      <c r="S492" s="571"/>
      <c r="T492" s="571"/>
      <c r="U492" s="571"/>
      <c r="V492" s="571"/>
      <c r="W492" s="571"/>
      <c r="X492" s="571"/>
      <c r="Y492" s="571"/>
      <c r="Z492" s="571"/>
    </row>
    <row r="493" spans="1:26" ht="19.5">
      <c r="A493" s="601"/>
      <c r="B493" s="611"/>
      <c r="C493" s="611"/>
      <c r="D493" s="618" t="s">
        <v>59</v>
      </c>
      <c r="E493" s="611"/>
      <c r="F493" s="619"/>
      <c r="G493" s="753"/>
      <c r="H493" s="189"/>
      <c r="I493" s="269"/>
      <c r="J493" s="269"/>
      <c r="K493" s="496"/>
      <c r="L493" s="496"/>
      <c r="M493" s="496"/>
      <c r="N493" s="496"/>
      <c r="O493" s="496"/>
      <c r="P493" s="496"/>
      <c r="Q493" s="571"/>
      <c r="R493" s="571"/>
      <c r="S493" s="571"/>
      <c r="T493" s="571"/>
      <c r="U493" s="571"/>
      <c r="V493" s="571"/>
      <c r="W493" s="571"/>
      <c r="X493" s="571"/>
      <c r="Y493" s="571"/>
      <c r="Z493" s="571"/>
    </row>
    <row r="494" spans="1:26" ht="18.75">
      <c r="A494" s="601"/>
      <c r="B494" s="611"/>
      <c r="C494" s="611"/>
      <c r="D494" s="611"/>
      <c r="E494" s="611" t="s">
        <v>207</v>
      </c>
      <c r="F494" s="619"/>
      <c r="G494" s="753"/>
      <c r="H494" s="189"/>
      <c r="I494" s="269"/>
      <c r="J494" s="269"/>
      <c r="K494" s="496"/>
      <c r="L494" s="496"/>
      <c r="M494" s="496"/>
      <c r="N494" s="496"/>
      <c r="O494" s="496"/>
      <c r="P494" s="496"/>
      <c r="Q494" s="571"/>
      <c r="R494" s="571"/>
      <c r="S494" s="571"/>
      <c r="T494" s="571"/>
      <c r="U494" s="571"/>
      <c r="V494" s="571"/>
      <c r="W494" s="571"/>
      <c r="X494" s="571"/>
      <c r="Y494" s="571"/>
      <c r="Z494" s="571"/>
    </row>
    <row r="495" spans="1:26" ht="18.75">
      <c r="A495" s="601"/>
      <c r="B495" s="611"/>
      <c r="C495" s="611"/>
      <c r="D495" s="611"/>
      <c r="E495" s="611"/>
      <c r="F495" s="619" t="s">
        <v>215</v>
      </c>
      <c r="G495" s="753"/>
      <c r="H495" s="616" t="s">
        <v>46</v>
      </c>
      <c r="I495" s="269">
        <f ca="1">IFERROR(__xludf.DUMMYFUNCTION("IMPORTRANGE(""https://docs.google.com/spreadsheets/d/1QqKyyYR6Q21VydFLVH3TRQUabQu_ym0Zz7PgGX0-kHA/edit?usp=sharing"",""แผน!FY72"")"),360)</f>
        <v>360</v>
      </c>
      <c r="J495" s="214">
        <v>0</v>
      </c>
      <c r="K495" s="496">
        <f ca="1">IF(I495&gt;0,J495*100/I495,0)</f>
        <v>0</v>
      </c>
      <c r="L495" s="496"/>
      <c r="M495" s="496"/>
      <c r="N495" s="496"/>
      <c r="O495" s="496"/>
      <c r="P495" s="496"/>
      <c r="Q495" s="571"/>
      <c r="R495" s="571"/>
      <c r="S495" s="571"/>
      <c r="T495" s="571"/>
      <c r="U495" s="571"/>
      <c r="V495" s="571"/>
      <c r="W495" s="571"/>
      <c r="X495" s="571"/>
      <c r="Y495" s="571"/>
      <c r="Z495" s="571"/>
    </row>
    <row r="496" spans="1:26" ht="18.75">
      <c r="A496" s="601"/>
      <c r="B496" s="611"/>
      <c r="C496" s="611"/>
      <c r="D496" s="611"/>
      <c r="E496" s="611"/>
      <c r="F496" s="619" t="s">
        <v>216</v>
      </c>
      <c r="G496" s="753"/>
      <c r="H496" s="616" t="s">
        <v>46</v>
      </c>
      <c r="I496" s="269"/>
      <c r="J496" s="214">
        <v>0</v>
      </c>
      <c r="K496" s="496"/>
      <c r="L496" s="496"/>
      <c r="M496" s="496"/>
      <c r="N496" s="496"/>
      <c r="O496" s="496"/>
      <c r="P496" s="496"/>
      <c r="Q496" s="571"/>
      <c r="R496" s="571"/>
      <c r="S496" s="571"/>
      <c r="T496" s="571"/>
      <c r="U496" s="571"/>
      <c r="V496" s="571"/>
      <c r="W496" s="571"/>
      <c r="X496" s="571"/>
      <c r="Y496" s="571"/>
      <c r="Z496" s="571"/>
    </row>
    <row r="497" spans="1:26" ht="18.75">
      <c r="A497" s="601"/>
      <c r="B497" s="611"/>
      <c r="C497" s="611"/>
      <c r="D497" s="611"/>
      <c r="E497" s="611" t="s">
        <v>62</v>
      </c>
      <c r="F497" s="619"/>
      <c r="G497" s="753"/>
      <c r="H497" s="189"/>
      <c r="I497" s="269"/>
      <c r="J497" s="269"/>
      <c r="K497" s="496"/>
      <c r="L497" s="496"/>
      <c r="M497" s="496"/>
      <c r="N497" s="496"/>
      <c r="O497" s="496"/>
      <c r="P497" s="496"/>
      <c r="Q497" s="571"/>
      <c r="R497" s="571"/>
      <c r="S497" s="571"/>
      <c r="T497" s="571"/>
      <c r="U497" s="571"/>
      <c r="V497" s="571"/>
      <c r="W497" s="571"/>
      <c r="X497" s="571"/>
      <c r="Y497" s="571"/>
      <c r="Z497" s="571"/>
    </row>
    <row r="498" spans="1:26" ht="18.75">
      <c r="A498" s="601"/>
      <c r="B498" s="611"/>
      <c r="C498" s="611"/>
      <c r="D498" s="611"/>
      <c r="E498" s="619"/>
      <c r="F498" s="619" t="s">
        <v>217</v>
      </c>
      <c r="G498" s="753"/>
      <c r="H498" s="616" t="s">
        <v>46</v>
      </c>
      <c r="I498" s="269">
        <f ca="1">IFERROR(__xludf.DUMMYFUNCTION("IMPORTRANGE(""https://docs.google.com/spreadsheets/d/1QqKyyYR6Q21VydFLVH3TRQUabQu_ym0Zz7PgGX0-kHA/edit?usp=sharing"",""แผน!GA72"")"),40)</f>
        <v>40</v>
      </c>
      <c r="J498" s="214">
        <v>0</v>
      </c>
      <c r="K498" s="496">
        <f ca="1">IF(I498&gt;0,J498*100/I498,0)</f>
        <v>0</v>
      </c>
      <c r="L498" s="496"/>
      <c r="M498" s="496"/>
      <c r="N498" s="496"/>
      <c r="O498" s="496"/>
      <c r="P498" s="496"/>
      <c r="Q498" s="571"/>
      <c r="R498" s="571"/>
      <c r="S498" s="571"/>
      <c r="T498" s="571"/>
      <c r="U498" s="571"/>
      <c r="V498" s="571"/>
      <c r="W498" s="571"/>
      <c r="X498" s="571"/>
      <c r="Y498" s="571"/>
      <c r="Z498" s="571"/>
    </row>
    <row r="499" spans="1:26" ht="18.75">
      <c r="A499" s="601"/>
      <c r="B499" s="611"/>
      <c r="C499" s="611"/>
      <c r="D499" s="611"/>
      <c r="E499" s="619"/>
      <c r="F499" s="619" t="s">
        <v>218</v>
      </c>
      <c r="G499" s="753"/>
      <c r="H499" s="616" t="s">
        <v>46</v>
      </c>
      <c r="I499" s="269"/>
      <c r="J499" s="214">
        <v>0</v>
      </c>
      <c r="K499" s="496"/>
      <c r="L499" s="496"/>
      <c r="M499" s="496"/>
      <c r="N499" s="496"/>
      <c r="O499" s="496"/>
      <c r="P499" s="496"/>
      <c r="Q499" s="571"/>
      <c r="R499" s="571"/>
      <c r="S499" s="571"/>
      <c r="T499" s="571"/>
      <c r="U499" s="571"/>
      <c r="V499" s="571"/>
      <c r="W499" s="571"/>
      <c r="X499" s="571"/>
      <c r="Y499" s="571"/>
      <c r="Z499" s="571"/>
    </row>
    <row r="500" spans="1:26" ht="19.5" hidden="1">
      <c r="A500" s="620">
        <v>4</v>
      </c>
      <c r="B500" s="621" t="s">
        <v>219</v>
      </c>
      <c r="C500" s="622"/>
      <c r="D500" s="623"/>
      <c r="E500" s="623"/>
      <c r="F500" s="623"/>
      <c r="G500" s="624"/>
      <c r="H500" s="625" t="s">
        <v>109</v>
      </c>
      <c r="I500" s="626"/>
      <c r="J500" s="626">
        <f t="shared" ref="J500:J501" si="214">J516</f>
        <v>0</v>
      </c>
      <c r="K500" s="627">
        <f t="shared" ref="K500:K501" si="215">IF(I500&gt;0,J500*100/I500,0)</f>
        <v>0</v>
      </c>
      <c r="L500" s="628"/>
      <c r="M500" s="628"/>
      <c r="N500" s="628"/>
      <c r="O500" s="628"/>
      <c r="P500" s="628"/>
      <c r="Q500" s="597"/>
      <c r="R500" s="597"/>
      <c r="S500" s="597"/>
      <c r="T500" s="597"/>
      <c r="U500" s="597"/>
      <c r="V500" s="597"/>
      <c r="W500" s="597"/>
      <c r="X500" s="597"/>
      <c r="Y500" s="597"/>
      <c r="Z500" s="597"/>
    </row>
    <row r="501" spans="1:26" ht="19.5" hidden="1">
      <c r="A501" s="629"/>
      <c r="B501" s="631" t="s">
        <v>220</v>
      </c>
      <c r="C501" s="631"/>
      <c r="D501" s="632"/>
      <c r="E501" s="632"/>
      <c r="F501" s="632"/>
      <c r="G501" s="633"/>
      <c r="H501" s="634" t="s">
        <v>35</v>
      </c>
      <c r="I501" s="635"/>
      <c r="J501" s="635">
        <f t="shared" si="214"/>
        <v>0</v>
      </c>
      <c r="K501" s="636">
        <f t="shared" si="215"/>
        <v>0</v>
      </c>
      <c r="L501" s="637"/>
      <c r="M501" s="637"/>
      <c r="N501" s="637"/>
      <c r="O501" s="637"/>
      <c r="P501" s="637"/>
      <c r="Q501" s="597"/>
      <c r="R501" s="597"/>
      <c r="S501" s="597"/>
      <c r="T501" s="597"/>
      <c r="U501" s="597"/>
      <c r="V501" s="597"/>
      <c r="W501" s="597"/>
      <c r="X501" s="597"/>
      <c r="Y501" s="597"/>
      <c r="Z501" s="597"/>
    </row>
    <row r="502" spans="1:26" ht="19.5" hidden="1">
      <c r="A502" s="592"/>
      <c r="B502" s="750"/>
      <c r="C502" s="750" t="s">
        <v>16</v>
      </c>
      <c r="D502" s="864" t="s">
        <v>17</v>
      </c>
      <c r="E502" s="857"/>
      <c r="F502" s="857"/>
      <c r="G502" s="596"/>
      <c r="H502" s="639" t="s">
        <v>12</v>
      </c>
      <c r="I502" s="610"/>
      <c r="J502" s="610"/>
      <c r="K502" s="93"/>
      <c r="L502" s="640">
        <f t="shared" ref="L502:N502" si="216">L503+L504</f>
        <v>0</v>
      </c>
      <c r="M502" s="640">
        <f t="shared" si="216"/>
        <v>0</v>
      </c>
      <c r="N502" s="640">
        <f t="shared" si="216"/>
        <v>0</v>
      </c>
      <c r="O502" s="640">
        <f t="shared" ref="O502:O507" si="217">IF(L502&gt;0,N502*100/L502,0)</f>
        <v>0</v>
      </c>
      <c r="P502" s="640">
        <f t="shared" ref="P502:P507" si="218">IF(M502&gt;0,N502*100/M502,0)</f>
        <v>0</v>
      </c>
      <c r="Q502" s="597"/>
      <c r="R502" s="597"/>
      <c r="S502" s="597"/>
      <c r="T502" s="597"/>
      <c r="U502" s="597"/>
      <c r="V502" s="597"/>
      <c r="W502" s="597"/>
      <c r="X502" s="597"/>
      <c r="Y502" s="597"/>
      <c r="Z502" s="597"/>
    </row>
    <row r="503" spans="1:26" ht="18.75" hidden="1">
      <c r="A503" s="592"/>
      <c r="B503" s="750"/>
      <c r="C503" s="750"/>
      <c r="D503" s="711"/>
      <c r="E503" s="750" t="s">
        <v>184</v>
      </c>
      <c r="F503" s="750"/>
      <c r="G503" s="596"/>
      <c r="H503" s="165" t="s">
        <v>12</v>
      </c>
      <c r="I503" s="610"/>
      <c r="J503" s="610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597"/>
      <c r="R503" s="597"/>
      <c r="S503" s="597"/>
      <c r="T503" s="597"/>
      <c r="U503" s="597"/>
      <c r="V503" s="597"/>
      <c r="W503" s="597"/>
      <c r="X503" s="597"/>
      <c r="Y503" s="597"/>
      <c r="Z503" s="597"/>
    </row>
    <row r="504" spans="1:26" ht="18.75" hidden="1">
      <c r="A504" s="592"/>
      <c r="B504" s="600"/>
      <c r="C504" s="750"/>
      <c r="D504" s="711"/>
      <c r="E504" s="750" t="s">
        <v>185</v>
      </c>
      <c r="F504" s="750"/>
      <c r="G504" s="596"/>
      <c r="H504" s="165" t="s">
        <v>12</v>
      </c>
      <c r="I504" s="610"/>
      <c r="J504" s="610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597"/>
      <c r="R504" s="597"/>
      <c r="S504" s="597"/>
      <c r="T504" s="597"/>
      <c r="U504" s="597"/>
      <c r="V504" s="597"/>
      <c r="W504" s="597"/>
      <c r="X504" s="597"/>
      <c r="Y504" s="597"/>
      <c r="Z504" s="597"/>
    </row>
    <row r="505" spans="1:26" ht="18.75" hidden="1">
      <c r="A505" s="592"/>
      <c r="B505" s="600"/>
      <c r="C505" s="750"/>
      <c r="D505" s="641" t="s">
        <v>20</v>
      </c>
      <c r="E505" s="750"/>
      <c r="F505" s="750"/>
      <c r="G505" s="596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597"/>
      <c r="R505" s="597"/>
      <c r="S505" s="597"/>
      <c r="T505" s="597"/>
      <c r="U505" s="597"/>
      <c r="V505" s="597"/>
      <c r="W505" s="597"/>
      <c r="X505" s="597"/>
      <c r="Y505" s="597"/>
      <c r="Z505" s="597"/>
    </row>
    <row r="506" spans="1:26" ht="18.75" hidden="1">
      <c r="A506" s="592"/>
      <c r="B506" s="600"/>
      <c r="C506" s="750"/>
      <c r="D506" s="711"/>
      <c r="E506" s="750" t="s">
        <v>184</v>
      </c>
      <c r="F506" s="750"/>
      <c r="G506" s="596"/>
      <c r="H506" s="165" t="s">
        <v>12</v>
      </c>
      <c r="I506" s="610"/>
      <c r="J506" s="610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597"/>
      <c r="R506" s="597"/>
      <c r="S506" s="597"/>
      <c r="T506" s="597"/>
      <c r="U506" s="597"/>
      <c r="V506" s="597"/>
      <c r="W506" s="597"/>
      <c r="X506" s="597"/>
      <c r="Y506" s="597"/>
      <c r="Z506" s="597"/>
    </row>
    <row r="507" spans="1:26" ht="18.75" hidden="1">
      <c r="A507" s="592"/>
      <c r="B507" s="600"/>
      <c r="C507" s="750"/>
      <c r="D507" s="711"/>
      <c r="E507" s="750" t="s">
        <v>185</v>
      </c>
      <c r="F507" s="750"/>
      <c r="G507" s="596"/>
      <c r="H507" s="165" t="s">
        <v>12</v>
      </c>
      <c r="I507" s="610"/>
      <c r="J507" s="610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597"/>
      <c r="R507" s="597"/>
      <c r="S507" s="597"/>
      <c r="T507" s="597"/>
      <c r="U507" s="597"/>
      <c r="V507" s="597"/>
      <c r="W507" s="597"/>
      <c r="X507" s="597"/>
      <c r="Y507" s="597"/>
      <c r="Z507" s="597"/>
    </row>
    <row r="508" spans="1:26" ht="18.75" hidden="1">
      <c r="A508" s="642"/>
      <c r="B508" s="600"/>
      <c r="C508" s="750"/>
      <c r="D508" s="750"/>
      <c r="E508" s="750"/>
      <c r="F508" s="750" t="s">
        <v>186</v>
      </c>
      <c r="G508" s="596"/>
      <c r="H508" s="165" t="s">
        <v>12</v>
      </c>
      <c r="I508" s="610"/>
      <c r="J508" s="610"/>
      <c r="K508" s="93"/>
      <c r="L508" s="93"/>
      <c r="M508" s="93"/>
      <c r="N508" s="93">
        <v>0</v>
      </c>
      <c r="O508" s="93"/>
      <c r="P508" s="93"/>
      <c r="Q508" s="597"/>
      <c r="R508" s="597"/>
      <c r="S508" s="597"/>
      <c r="T508" s="597"/>
      <c r="U508" s="597"/>
      <c r="V508" s="597"/>
      <c r="W508" s="597"/>
      <c r="X508" s="597"/>
      <c r="Y508" s="597"/>
      <c r="Z508" s="597"/>
    </row>
    <row r="509" spans="1:26" ht="18.75" hidden="1">
      <c r="A509" s="642"/>
      <c r="B509" s="600"/>
      <c r="C509" s="750"/>
      <c r="D509" s="750"/>
      <c r="E509" s="750"/>
      <c r="F509" s="750" t="s">
        <v>187</v>
      </c>
      <c r="G509" s="596"/>
      <c r="H509" s="165" t="s">
        <v>12</v>
      </c>
      <c r="I509" s="610"/>
      <c r="J509" s="610"/>
      <c r="K509" s="93"/>
      <c r="L509" s="93"/>
      <c r="M509" s="93"/>
      <c r="N509" s="93">
        <v>0</v>
      </c>
      <c r="O509" s="93"/>
      <c r="P509" s="93"/>
      <c r="Q509" s="597"/>
      <c r="R509" s="597"/>
      <c r="S509" s="597"/>
      <c r="T509" s="597"/>
      <c r="U509" s="597"/>
      <c r="V509" s="597"/>
      <c r="W509" s="597"/>
      <c r="X509" s="597"/>
      <c r="Y509" s="597"/>
      <c r="Z509" s="597"/>
    </row>
    <row r="510" spans="1:26" ht="18.75" hidden="1">
      <c r="A510" s="642"/>
      <c r="B510" s="600"/>
      <c r="C510" s="600"/>
      <c r="D510" s="600"/>
      <c r="E510" s="750"/>
      <c r="F510" s="750" t="s">
        <v>188</v>
      </c>
      <c r="G510" s="596"/>
      <c r="H510" s="165" t="s">
        <v>12</v>
      </c>
      <c r="I510" s="610"/>
      <c r="J510" s="610"/>
      <c r="K510" s="93"/>
      <c r="L510" s="93"/>
      <c r="M510" s="93"/>
      <c r="N510" s="93">
        <v>0</v>
      </c>
      <c r="O510" s="93"/>
      <c r="P510" s="93"/>
      <c r="Q510" s="597"/>
      <c r="R510" s="597"/>
      <c r="S510" s="597"/>
      <c r="T510" s="597"/>
      <c r="U510" s="597"/>
      <c r="V510" s="597"/>
      <c r="W510" s="597"/>
      <c r="X510" s="597"/>
      <c r="Y510" s="597"/>
      <c r="Z510" s="597"/>
    </row>
    <row r="511" spans="1:26" ht="18.75" hidden="1">
      <c r="A511" s="642"/>
      <c r="B511" s="600"/>
      <c r="C511" s="600"/>
      <c r="D511" s="600"/>
      <c r="E511" s="750"/>
      <c r="F511" s="750" t="s">
        <v>189</v>
      </c>
      <c r="G511" s="596"/>
      <c r="H511" s="165" t="s">
        <v>12</v>
      </c>
      <c r="I511" s="610"/>
      <c r="J511" s="610"/>
      <c r="K511" s="93"/>
      <c r="L511" s="93"/>
      <c r="M511" s="93"/>
      <c r="N511" s="93">
        <v>0</v>
      </c>
      <c r="O511" s="93"/>
      <c r="P511" s="93"/>
      <c r="Q511" s="597"/>
      <c r="R511" s="597"/>
      <c r="S511" s="597"/>
      <c r="T511" s="597"/>
      <c r="U511" s="597"/>
      <c r="V511" s="597"/>
      <c r="W511" s="597"/>
      <c r="X511" s="597"/>
      <c r="Y511" s="597"/>
      <c r="Z511" s="597"/>
    </row>
    <row r="512" spans="1:26" ht="18.75" hidden="1">
      <c r="A512" s="592"/>
      <c r="B512" s="600"/>
      <c r="C512" s="600"/>
      <c r="D512" s="641" t="s">
        <v>21</v>
      </c>
      <c r="E512" s="600"/>
      <c r="F512" s="750"/>
      <c r="G512" s="596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597"/>
      <c r="R512" s="597"/>
      <c r="S512" s="597"/>
      <c r="T512" s="597"/>
      <c r="U512" s="597"/>
      <c r="V512" s="597"/>
      <c r="W512" s="597"/>
      <c r="X512" s="597"/>
      <c r="Y512" s="597"/>
      <c r="Z512" s="597"/>
    </row>
    <row r="513" spans="1:26" ht="18.75" hidden="1">
      <c r="A513" s="592"/>
      <c r="B513" s="600"/>
      <c r="C513" s="600"/>
      <c r="D513" s="600"/>
      <c r="E513" s="600" t="s">
        <v>18</v>
      </c>
      <c r="F513" s="750"/>
      <c r="G513" s="596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597"/>
      <c r="R513" s="597"/>
      <c r="S513" s="597"/>
      <c r="T513" s="597"/>
      <c r="U513" s="597"/>
      <c r="V513" s="597"/>
      <c r="W513" s="597"/>
      <c r="X513" s="597"/>
      <c r="Y513" s="597"/>
      <c r="Z513" s="597"/>
    </row>
    <row r="514" spans="1:26" ht="18.75" hidden="1">
      <c r="A514" s="592"/>
      <c r="B514" s="600"/>
      <c r="C514" s="600"/>
      <c r="D514" s="750"/>
      <c r="E514" s="600" t="s">
        <v>19</v>
      </c>
      <c r="F514" s="750"/>
      <c r="G514" s="596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597"/>
      <c r="R514" s="597"/>
      <c r="S514" s="597"/>
      <c r="T514" s="597"/>
      <c r="U514" s="597"/>
      <c r="V514" s="597"/>
      <c r="W514" s="597"/>
      <c r="X514" s="597"/>
      <c r="Y514" s="597"/>
      <c r="Z514" s="597"/>
    </row>
    <row r="515" spans="1:26" ht="19.5" hidden="1">
      <c r="A515" s="607"/>
      <c r="B515" s="609"/>
      <c r="C515" s="600" t="s">
        <v>16</v>
      </c>
      <c r="D515" s="838" t="s">
        <v>38</v>
      </c>
      <c r="E515" s="644"/>
      <c r="F515" s="644"/>
      <c r="G515" s="645"/>
      <c r="H515" s="365"/>
      <c r="I515" s="166"/>
      <c r="J515" s="166"/>
      <c r="K515" s="167"/>
      <c r="L515" s="167"/>
      <c r="M515" s="167"/>
      <c r="N515" s="167"/>
      <c r="O515" s="167"/>
      <c r="P515" s="167"/>
      <c r="Q515" s="597"/>
      <c r="R515" s="597"/>
      <c r="S515" s="597"/>
      <c r="T515" s="597"/>
      <c r="U515" s="597"/>
      <c r="V515" s="597"/>
      <c r="W515" s="597"/>
      <c r="X515" s="597"/>
      <c r="Y515" s="597"/>
      <c r="Z515" s="597"/>
    </row>
    <row r="516" spans="1:26" ht="18.75" hidden="1">
      <c r="A516" s="607"/>
      <c r="B516" s="609"/>
      <c r="C516" s="609"/>
      <c r="D516" s="609" t="s">
        <v>221</v>
      </c>
      <c r="E516" s="711"/>
      <c r="F516" s="711"/>
      <c r="G516" s="365"/>
      <c r="H516" s="646" t="s">
        <v>109</v>
      </c>
      <c r="I516" s="610"/>
      <c r="J516" s="610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597"/>
      <c r="R516" s="597"/>
      <c r="S516" s="597"/>
      <c r="T516" s="597"/>
      <c r="U516" s="597"/>
      <c r="V516" s="597"/>
      <c r="W516" s="597"/>
      <c r="X516" s="597"/>
      <c r="Y516" s="597"/>
      <c r="Z516" s="597"/>
    </row>
    <row r="517" spans="1:26" ht="19.5" hidden="1">
      <c r="A517" s="607"/>
      <c r="B517" s="609"/>
      <c r="C517" s="609"/>
      <c r="D517" s="609" t="s">
        <v>222</v>
      </c>
      <c r="E517" s="711"/>
      <c r="F517" s="711"/>
      <c r="G517" s="365"/>
      <c r="H517" s="647" t="s">
        <v>35</v>
      </c>
      <c r="I517" s="648"/>
      <c r="J517" s="648">
        <f>J518+J519</f>
        <v>0</v>
      </c>
      <c r="K517" s="649">
        <f t="shared" si="224"/>
        <v>0</v>
      </c>
      <c r="L517" s="167"/>
      <c r="M517" s="167"/>
      <c r="N517" s="167"/>
      <c r="O517" s="167"/>
      <c r="P517" s="167"/>
      <c r="Q517" s="597"/>
      <c r="R517" s="597"/>
      <c r="S517" s="597"/>
      <c r="T517" s="597"/>
      <c r="U517" s="597"/>
      <c r="V517" s="597"/>
      <c r="W517" s="597"/>
      <c r="X517" s="597"/>
      <c r="Y517" s="597"/>
      <c r="Z517" s="597"/>
    </row>
    <row r="518" spans="1:26" ht="18.75" hidden="1">
      <c r="A518" s="607"/>
      <c r="B518" s="609"/>
      <c r="C518" s="609"/>
      <c r="D518" s="609"/>
      <c r="E518" s="609" t="s">
        <v>223</v>
      </c>
      <c r="F518" s="711"/>
      <c r="G518" s="365"/>
      <c r="H518" s="369" t="s">
        <v>35</v>
      </c>
      <c r="I518" s="610"/>
      <c r="J518" s="610"/>
      <c r="K518" s="167"/>
      <c r="L518" s="167"/>
      <c r="M518" s="167"/>
      <c r="N518" s="167"/>
      <c r="O518" s="167"/>
      <c r="P518" s="167"/>
      <c r="Q518" s="597"/>
      <c r="R518" s="597"/>
      <c r="S518" s="597"/>
      <c r="T518" s="597"/>
      <c r="U518" s="597"/>
      <c r="V518" s="597"/>
      <c r="W518" s="597"/>
      <c r="X518" s="597"/>
      <c r="Y518" s="597"/>
      <c r="Z518" s="597"/>
    </row>
    <row r="519" spans="1:26" ht="18.75" hidden="1">
      <c r="A519" s="607"/>
      <c r="B519" s="609"/>
      <c r="C519" s="609"/>
      <c r="D519" s="609"/>
      <c r="E519" s="609" t="s">
        <v>224</v>
      </c>
      <c r="F519" s="711"/>
      <c r="G519" s="365"/>
      <c r="H519" s="646" t="s">
        <v>35</v>
      </c>
      <c r="I519" s="610"/>
      <c r="J519" s="610"/>
      <c r="K519" s="167"/>
      <c r="L519" s="167"/>
      <c r="M519" s="167"/>
      <c r="N519" s="167"/>
      <c r="O519" s="167"/>
      <c r="P519" s="167"/>
      <c r="Q519" s="597"/>
      <c r="R519" s="597"/>
      <c r="S519" s="597"/>
      <c r="T519" s="597"/>
      <c r="U519" s="597"/>
      <c r="V519" s="597"/>
      <c r="W519" s="597"/>
      <c r="X519" s="597"/>
      <c r="Y519" s="597"/>
      <c r="Z519" s="597"/>
    </row>
    <row r="520" spans="1:26" ht="19.5" hidden="1">
      <c r="A520" s="650" t="s">
        <v>137</v>
      </c>
      <c r="B520" s="651"/>
      <c r="C520" s="651"/>
      <c r="D520" s="652"/>
      <c r="E520" s="652"/>
      <c r="F520" s="652"/>
      <c r="G520" s="653"/>
      <c r="H520" s="654"/>
      <c r="I520" s="655"/>
      <c r="J520" s="655"/>
      <c r="K520" s="656"/>
      <c r="L520" s="656"/>
      <c r="M520" s="656"/>
      <c r="N520" s="656"/>
      <c r="O520" s="656"/>
      <c r="P520" s="656"/>
    </row>
    <row r="521" spans="1:26" ht="19.5" hidden="1">
      <c r="A521" s="657">
        <v>5</v>
      </c>
      <c r="B521" s="658" t="s">
        <v>225</v>
      </c>
      <c r="C521" s="659"/>
      <c r="D521" s="660"/>
      <c r="E521" s="660"/>
      <c r="F521" s="660"/>
      <c r="G521" s="660"/>
      <c r="H521" s="661"/>
      <c r="I521" s="662"/>
      <c r="J521" s="662"/>
      <c r="K521" s="663"/>
      <c r="L521" s="663"/>
      <c r="M521" s="663"/>
      <c r="N521" s="663"/>
      <c r="O521" s="663"/>
      <c r="P521" s="663"/>
      <c r="Q521" s="571"/>
      <c r="R521" s="571"/>
      <c r="S521" s="571"/>
      <c r="T521" s="571"/>
      <c r="U521" s="571"/>
      <c r="V521" s="571"/>
      <c r="W521" s="571"/>
      <c r="X521" s="571"/>
      <c r="Y521" s="571"/>
      <c r="Z521" s="571"/>
    </row>
    <row r="522" spans="1:26" ht="19.5" hidden="1">
      <c r="A522" s="664"/>
      <c r="B522" s="665" t="s">
        <v>226</v>
      </c>
      <c r="C522" s="666"/>
      <c r="D522" s="666"/>
      <c r="E522" s="666"/>
      <c r="F522" s="666"/>
      <c r="G522" s="667"/>
      <c r="H522" s="668" t="s">
        <v>35</v>
      </c>
      <c r="I522" s="699">
        <f t="shared" ref="I522:J522" ca="1" si="225">I537</f>
        <v>0</v>
      </c>
      <c r="J522" s="699">
        <f t="shared" ca="1" si="225"/>
        <v>0</v>
      </c>
      <c r="K522" s="670">
        <f ca="1">IF(I522&gt;0,J522*100/I522,0)</f>
        <v>0</v>
      </c>
      <c r="L522" s="671"/>
      <c r="M522" s="671"/>
      <c r="N522" s="671"/>
      <c r="O522" s="671"/>
      <c r="P522" s="671"/>
      <c r="Q522" s="571"/>
      <c r="R522" s="571"/>
      <c r="S522" s="571"/>
      <c r="T522" s="571"/>
      <c r="U522" s="571"/>
      <c r="V522" s="571"/>
      <c r="W522" s="571"/>
      <c r="X522" s="571"/>
      <c r="Y522" s="571"/>
      <c r="Z522" s="571"/>
    </row>
    <row r="523" spans="1:26" ht="19.5" hidden="1">
      <c r="A523" s="590"/>
      <c r="B523" s="754"/>
      <c r="C523" s="754" t="s">
        <v>16</v>
      </c>
      <c r="D523" s="863" t="s">
        <v>17</v>
      </c>
      <c r="E523" s="857"/>
      <c r="F523" s="857"/>
      <c r="G523" s="189"/>
      <c r="H523" s="591" t="s">
        <v>12</v>
      </c>
      <c r="I523" s="269"/>
      <c r="J523" s="269"/>
      <c r="K523" s="496"/>
      <c r="L523" s="195">
        <f t="shared" ref="L523:N523" ca="1" si="226">L524+L525</f>
        <v>0</v>
      </c>
      <c r="M523" s="195">
        <f t="shared" si="226"/>
        <v>0</v>
      </c>
      <c r="N523" s="195">
        <f t="shared" si="226"/>
        <v>0</v>
      </c>
      <c r="O523" s="195">
        <f t="shared" ref="O523:O528" ca="1" si="227">IF(L523&gt;0,N523*100/L523,0)</f>
        <v>0</v>
      </c>
      <c r="P523" s="195">
        <f t="shared" ref="P523:P528" si="228">IF(M523&gt;0,N523*100/M523,0)</f>
        <v>0</v>
      </c>
      <c r="Q523" s="571"/>
      <c r="R523" s="571"/>
      <c r="S523" s="571"/>
      <c r="T523" s="571"/>
      <c r="U523" s="571"/>
      <c r="V523" s="571"/>
      <c r="W523" s="571"/>
      <c r="X523" s="571"/>
      <c r="Y523" s="571"/>
      <c r="Z523" s="571"/>
    </row>
    <row r="524" spans="1:26" ht="18.75" hidden="1">
      <c r="A524" s="592"/>
      <c r="B524" s="750"/>
      <c r="C524" s="750"/>
      <c r="D524" s="711"/>
      <c r="E524" s="750" t="s">
        <v>184</v>
      </c>
      <c r="F524" s="750"/>
      <c r="G524" s="596"/>
      <c r="H524" s="165" t="s">
        <v>12</v>
      </c>
      <c r="I524" s="610"/>
      <c r="J524" s="610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597"/>
      <c r="R524" s="597"/>
      <c r="S524" s="597"/>
      <c r="T524" s="597"/>
      <c r="U524" s="597"/>
      <c r="V524" s="597"/>
      <c r="W524" s="597"/>
      <c r="X524" s="597"/>
      <c r="Y524" s="597"/>
      <c r="Z524" s="597"/>
    </row>
    <row r="525" spans="1:26" ht="18.75" hidden="1">
      <c r="A525" s="592"/>
      <c r="B525" s="600"/>
      <c r="C525" s="750"/>
      <c r="D525" s="711"/>
      <c r="E525" s="750" t="s">
        <v>185</v>
      </c>
      <c r="F525" s="750"/>
      <c r="G525" s="596"/>
      <c r="H525" s="165" t="s">
        <v>12</v>
      </c>
      <c r="I525" s="610"/>
      <c r="J525" s="610"/>
      <c r="K525" s="93"/>
      <c r="L525" s="93">
        <f t="shared" ca="1" si="229"/>
        <v>0</v>
      </c>
      <c r="M525" s="93">
        <f t="shared" si="229"/>
        <v>0</v>
      </c>
      <c r="N525" s="93">
        <f t="shared" si="229"/>
        <v>0</v>
      </c>
      <c r="O525" s="93">
        <f t="shared" ca="1" si="227"/>
        <v>0</v>
      </c>
      <c r="P525" s="93">
        <f t="shared" si="228"/>
        <v>0</v>
      </c>
      <c r="Q525" s="597"/>
      <c r="R525" s="597"/>
      <c r="S525" s="597"/>
      <c r="T525" s="597"/>
      <c r="U525" s="597"/>
      <c r="V525" s="597"/>
      <c r="W525" s="597"/>
      <c r="X525" s="597"/>
      <c r="Y525" s="597"/>
      <c r="Z525" s="597"/>
    </row>
    <row r="526" spans="1:26" ht="18.75" hidden="1">
      <c r="A526" s="590"/>
      <c r="B526" s="568"/>
      <c r="C526" s="754"/>
      <c r="D526" s="599" t="s">
        <v>20</v>
      </c>
      <c r="E526" s="754"/>
      <c r="F526" s="754"/>
      <c r="G526" s="189"/>
      <c r="H526" s="161" t="s">
        <v>12</v>
      </c>
      <c r="I526" s="184"/>
      <c r="J526" s="184"/>
      <c r="K526" s="163"/>
      <c r="L526" s="496">
        <f t="shared" ref="L526:N526" ca="1" si="230">L527+L528</f>
        <v>0</v>
      </c>
      <c r="M526" s="496">
        <f t="shared" si="230"/>
        <v>0</v>
      </c>
      <c r="N526" s="496">
        <f t="shared" si="230"/>
        <v>0</v>
      </c>
      <c r="O526" s="496">
        <f t="shared" ca="1" si="227"/>
        <v>0</v>
      </c>
      <c r="P526" s="496">
        <f t="shared" si="228"/>
        <v>0</v>
      </c>
      <c r="Q526" s="571"/>
      <c r="R526" s="571"/>
      <c r="S526" s="571"/>
      <c r="T526" s="571"/>
      <c r="U526" s="571"/>
      <c r="V526" s="571"/>
      <c r="W526" s="571"/>
      <c r="X526" s="571"/>
      <c r="Y526" s="571"/>
      <c r="Z526" s="571"/>
    </row>
    <row r="527" spans="1:26" ht="18.75" hidden="1">
      <c r="A527" s="592"/>
      <c r="B527" s="600"/>
      <c r="C527" s="750"/>
      <c r="D527" s="711"/>
      <c r="E527" s="750" t="s">
        <v>184</v>
      </c>
      <c r="F527" s="750"/>
      <c r="G527" s="596"/>
      <c r="H527" s="165" t="s">
        <v>12</v>
      </c>
      <c r="I527" s="610"/>
      <c r="J527" s="610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597"/>
      <c r="R527" s="597"/>
      <c r="S527" s="597"/>
      <c r="T527" s="597"/>
      <c r="U527" s="597"/>
      <c r="V527" s="597"/>
      <c r="W527" s="597"/>
      <c r="X527" s="597"/>
      <c r="Y527" s="597"/>
      <c r="Z527" s="597"/>
    </row>
    <row r="528" spans="1:26" ht="18.75" hidden="1">
      <c r="A528" s="592"/>
      <c r="B528" s="600"/>
      <c r="C528" s="750"/>
      <c r="D528" s="711"/>
      <c r="E528" s="750" t="s">
        <v>185</v>
      </c>
      <c r="F528" s="750"/>
      <c r="G528" s="596"/>
      <c r="H528" s="165" t="s">
        <v>12</v>
      </c>
      <c r="I528" s="610"/>
      <c r="J528" s="610"/>
      <c r="K528" s="93"/>
      <c r="L528" s="93">
        <f ca="1">IFERROR(__xludf.DUMMYFUNCTION("IMPORTRANGE(""https://docs.google.com/spreadsheets/d/1QqKyyYR6Q21VydFLVH3TRQUabQu_ym0Zz7PgGX0-kHA/edit?usp=sharing"",""แผน!GQ72"")"),0)</f>
        <v>0</v>
      </c>
      <c r="M528" s="93">
        <v>0</v>
      </c>
      <c r="N528" s="93">
        <f>N529+N530+N531+N532</f>
        <v>0</v>
      </c>
      <c r="O528" s="93">
        <f t="shared" ca="1" si="227"/>
        <v>0</v>
      </c>
      <c r="P528" s="93">
        <f t="shared" si="228"/>
        <v>0</v>
      </c>
      <c r="Q528" s="597"/>
      <c r="R528" s="597"/>
      <c r="S528" s="597"/>
      <c r="T528" s="597"/>
      <c r="U528" s="597"/>
      <c r="V528" s="597"/>
      <c r="W528" s="597"/>
      <c r="X528" s="597"/>
      <c r="Y528" s="597"/>
      <c r="Z528" s="597"/>
    </row>
    <row r="529" spans="1:26" ht="18.75" hidden="1">
      <c r="A529" s="567"/>
      <c r="B529" s="568"/>
      <c r="C529" s="754"/>
      <c r="D529" s="754"/>
      <c r="E529" s="754"/>
      <c r="F529" s="754" t="s">
        <v>186</v>
      </c>
      <c r="G529" s="189"/>
      <c r="H529" s="161" t="s">
        <v>12</v>
      </c>
      <c r="I529" s="269"/>
      <c r="J529" s="269"/>
      <c r="K529" s="496"/>
      <c r="L529" s="496"/>
      <c r="M529" s="496"/>
      <c r="N529" s="817">
        <v>0</v>
      </c>
      <c r="O529" s="496"/>
      <c r="P529" s="496"/>
      <c r="Q529" s="571"/>
      <c r="R529" s="571"/>
      <c r="S529" s="571"/>
      <c r="T529" s="571"/>
      <c r="U529" s="571"/>
      <c r="V529" s="571"/>
      <c r="W529" s="571"/>
      <c r="X529" s="571"/>
      <c r="Y529" s="571"/>
      <c r="Z529" s="571"/>
    </row>
    <row r="530" spans="1:26" ht="18.75" hidden="1">
      <c r="A530" s="567"/>
      <c r="B530" s="568"/>
      <c r="C530" s="754"/>
      <c r="D530" s="754"/>
      <c r="E530" s="754"/>
      <c r="F530" s="754" t="s">
        <v>187</v>
      </c>
      <c r="G530" s="189"/>
      <c r="H530" s="161" t="s">
        <v>12</v>
      </c>
      <c r="I530" s="269"/>
      <c r="J530" s="269"/>
      <c r="K530" s="496"/>
      <c r="L530" s="496"/>
      <c r="M530" s="496"/>
      <c r="N530" s="817">
        <v>0</v>
      </c>
      <c r="O530" s="496"/>
      <c r="P530" s="496"/>
      <c r="Q530" s="571"/>
      <c r="R530" s="571"/>
      <c r="S530" s="571"/>
      <c r="T530" s="571"/>
      <c r="U530" s="571"/>
      <c r="V530" s="571"/>
      <c r="W530" s="571"/>
      <c r="X530" s="571"/>
      <c r="Y530" s="571"/>
      <c r="Z530" s="571"/>
    </row>
    <row r="531" spans="1:26" ht="18.75" hidden="1">
      <c r="A531" s="567"/>
      <c r="B531" s="568"/>
      <c r="C531" s="754"/>
      <c r="D531" s="754"/>
      <c r="E531" s="754"/>
      <c r="F531" s="754" t="s">
        <v>188</v>
      </c>
      <c r="G531" s="189"/>
      <c r="H531" s="161" t="s">
        <v>12</v>
      </c>
      <c r="I531" s="269"/>
      <c r="J531" s="269"/>
      <c r="K531" s="496"/>
      <c r="L531" s="496"/>
      <c r="M531" s="496"/>
      <c r="N531" s="817">
        <v>0</v>
      </c>
      <c r="O531" s="496"/>
      <c r="P531" s="496"/>
      <c r="Q531" s="571"/>
      <c r="R531" s="571"/>
      <c r="S531" s="571"/>
      <c r="T531" s="571"/>
      <c r="U531" s="571"/>
      <c r="V531" s="571"/>
      <c r="W531" s="571"/>
      <c r="X531" s="571"/>
      <c r="Y531" s="571"/>
      <c r="Z531" s="571"/>
    </row>
    <row r="532" spans="1:26" ht="18.75" hidden="1">
      <c r="A532" s="567"/>
      <c r="B532" s="568"/>
      <c r="C532" s="754"/>
      <c r="D532" s="754"/>
      <c r="E532" s="754"/>
      <c r="F532" s="754" t="s">
        <v>189</v>
      </c>
      <c r="G532" s="189"/>
      <c r="H532" s="161" t="s">
        <v>12</v>
      </c>
      <c r="I532" s="269"/>
      <c r="J532" s="269"/>
      <c r="K532" s="496"/>
      <c r="L532" s="496"/>
      <c r="M532" s="496"/>
      <c r="N532" s="817">
        <v>0</v>
      </c>
      <c r="O532" s="496"/>
      <c r="P532" s="496"/>
      <c r="Q532" s="571"/>
      <c r="R532" s="571"/>
      <c r="S532" s="571"/>
      <c r="T532" s="571"/>
      <c r="U532" s="571"/>
      <c r="V532" s="571"/>
      <c r="W532" s="571"/>
      <c r="X532" s="571"/>
      <c r="Y532" s="571"/>
      <c r="Z532" s="571"/>
    </row>
    <row r="533" spans="1:26" ht="18.75" hidden="1">
      <c r="A533" s="590"/>
      <c r="B533" s="568"/>
      <c r="C533" s="754"/>
      <c r="D533" s="599" t="s">
        <v>21</v>
      </c>
      <c r="E533" s="754"/>
      <c r="F533" s="754"/>
      <c r="G533" s="189"/>
      <c r="H533" s="168" t="s">
        <v>12</v>
      </c>
      <c r="I533" s="184"/>
      <c r="J533" s="184"/>
      <c r="K533" s="163"/>
      <c r="L533" s="496">
        <f t="shared" ref="L533:N533" ca="1" si="231">L534+L535</f>
        <v>0</v>
      </c>
      <c r="M533" s="496">
        <f t="shared" si="231"/>
        <v>0</v>
      </c>
      <c r="N533" s="496">
        <f t="shared" si="231"/>
        <v>0</v>
      </c>
      <c r="O533" s="496">
        <f t="shared" ref="O533:O535" ca="1" si="232">IF(L533&gt;0,N533*100/L533,0)</f>
        <v>0</v>
      </c>
      <c r="P533" s="496">
        <f t="shared" ref="P533:P535" si="233">IF(M533&gt;0,N533*100/M533,0)</f>
        <v>0</v>
      </c>
      <c r="Q533" s="571"/>
      <c r="R533" s="571"/>
      <c r="S533" s="571"/>
      <c r="T533" s="571"/>
      <c r="U533" s="571"/>
      <c r="V533" s="571"/>
      <c r="W533" s="571"/>
      <c r="X533" s="571"/>
      <c r="Y533" s="571"/>
      <c r="Z533" s="571"/>
    </row>
    <row r="534" spans="1:26" ht="18.75" hidden="1">
      <c r="A534" s="592"/>
      <c r="B534" s="600"/>
      <c r="C534" s="750"/>
      <c r="D534" s="750"/>
      <c r="E534" s="750" t="s">
        <v>18</v>
      </c>
      <c r="F534" s="750"/>
      <c r="G534" s="596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597"/>
      <c r="R534" s="597"/>
      <c r="S534" s="597"/>
      <c r="T534" s="597"/>
      <c r="U534" s="597"/>
      <c r="V534" s="597"/>
      <c r="W534" s="597"/>
      <c r="X534" s="597"/>
      <c r="Y534" s="597"/>
      <c r="Z534" s="597"/>
    </row>
    <row r="535" spans="1:26" ht="18.75" hidden="1">
      <c r="A535" s="592"/>
      <c r="B535" s="600"/>
      <c r="C535" s="750"/>
      <c r="D535" s="750"/>
      <c r="E535" s="750" t="s">
        <v>19</v>
      </c>
      <c r="F535" s="750"/>
      <c r="G535" s="596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IFERROR(__xludf.DUMMYFUNCTION("IMPORTRANGE(""https://docs.google.com/spreadsheets/d/1QqKyyYR6Q21VydFLVH3TRQUabQu_ym0Zz7PgGX0-kHA/edit?usp=sharing"",""แผน!GT72"")"),0)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597"/>
      <c r="R535" s="597"/>
      <c r="S535" s="597"/>
      <c r="T535" s="597"/>
      <c r="U535" s="597"/>
      <c r="V535" s="597"/>
      <c r="W535" s="597"/>
      <c r="X535" s="597"/>
      <c r="Y535" s="597"/>
      <c r="Z535" s="597"/>
    </row>
    <row r="536" spans="1:26" ht="19.5" hidden="1">
      <c r="A536" s="601"/>
      <c r="B536" s="611"/>
      <c r="C536" s="754" t="s">
        <v>16</v>
      </c>
      <c r="D536" s="839" t="s">
        <v>38</v>
      </c>
      <c r="E536" s="752"/>
      <c r="F536" s="752"/>
      <c r="G536" s="606"/>
      <c r="H536" s="753"/>
      <c r="I536" s="184"/>
      <c r="J536" s="184"/>
      <c r="K536" s="163"/>
      <c r="L536" s="163"/>
      <c r="M536" s="163"/>
      <c r="N536" s="163"/>
      <c r="O536" s="163"/>
      <c r="P536" s="163"/>
      <c r="Q536" s="571"/>
      <c r="R536" s="571"/>
      <c r="S536" s="571"/>
      <c r="T536" s="571"/>
      <c r="U536" s="571"/>
      <c r="V536" s="571"/>
      <c r="W536" s="571"/>
      <c r="X536" s="571"/>
      <c r="Y536" s="571"/>
      <c r="Z536" s="571"/>
    </row>
    <row r="537" spans="1:26" ht="19.5" hidden="1">
      <c r="A537" s="567"/>
      <c r="B537" s="568"/>
      <c r="C537" s="754"/>
      <c r="D537" s="754" t="s">
        <v>227</v>
      </c>
      <c r="E537" s="754"/>
      <c r="F537" s="754"/>
      <c r="G537" s="189"/>
      <c r="H537" s="616" t="s">
        <v>35</v>
      </c>
      <c r="I537" s="674">
        <f ca="1">IFERROR(__xludf.DUMMYFUNCTION("IMPORTRANGE(""https://docs.google.com/spreadsheets/d/1QqKyyYR6Q21VydFLVH3TRQUabQu_ym0Zz7PgGX0-kHA/edit?usp=sharing"",""แผน!GU72"")"),0)</f>
        <v>0</v>
      </c>
      <c r="J537" s="674">
        <f ca="1">IF(AND(J538=I538,J539=I539,J540=I540,J541=I541),I537,0)</f>
        <v>0</v>
      </c>
      <c r="K537" s="496">
        <f t="shared" ref="K537:K543" ca="1" si="234">IF(I537&gt;0,J537*100/I537,0)</f>
        <v>0</v>
      </c>
      <c r="L537" s="496"/>
      <c r="M537" s="496"/>
      <c r="N537" s="496"/>
      <c r="O537" s="496"/>
      <c r="P537" s="496"/>
      <c r="Q537" s="675"/>
      <c r="R537" s="675"/>
      <c r="S537" s="675"/>
      <c r="T537" s="675"/>
      <c r="U537" s="675"/>
      <c r="V537" s="675"/>
      <c r="W537" s="675"/>
      <c r="X537" s="675"/>
      <c r="Y537" s="675"/>
      <c r="Z537" s="675"/>
    </row>
    <row r="538" spans="1:26" ht="18.75" hidden="1">
      <c r="A538" s="567"/>
      <c r="B538" s="568"/>
      <c r="C538" s="754"/>
      <c r="D538" s="754"/>
      <c r="E538" s="754" t="s">
        <v>228</v>
      </c>
      <c r="F538" s="754"/>
      <c r="G538" s="189"/>
      <c r="H538" s="616" t="s">
        <v>35</v>
      </c>
      <c r="I538" s="269">
        <f ca="1">IFERROR(__xludf.DUMMYFUNCTION("IMPORTRANGE(""https://docs.google.com/spreadsheets/d/1QqKyyYR6Q21VydFLVH3TRQUabQu_ym0Zz7PgGX0-kHA/edit?usp=sharing"",""แผน!GV72"")"),0)</f>
        <v>0</v>
      </c>
      <c r="J538" s="214">
        <v>0</v>
      </c>
      <c r="K538" s="496">
        <f t="shared" ca="1" si="234"/>
        <v>0</v>
      </c>
      <c r="L538" s="496"/>
      <c r="M538" s="496"/>
      <c r="N538" s="496"/>
      <c r="O538" s="496"/>
      <c r="P538" s="496"/>
      <c r="Q538" s="675"/>
      <c r="R538" s="675"/>
      <c r="S538" s="675"/>
      <c r="T538" s="675"/>
      <c r="U538" s="675"/>
      <c r="V538" s="675"/>
      <c r="W538" s="675"/>
      <c r="X538" s="675"/>
      <c r="Y538" s="675"/>
      <c r="Z538" s="675"/>
    </row>
    <row r="539" spans="1:26" ht="18.75" hidden="1">
      <c r="A539" s="567"/>
      <c r="B539" s="568"/>
      <c r="C539" s="754"/>
      <c r="D539" s="754"/>
      <c r="E539" s="754" t="s">
        <v>229</v>
      </c>
      <c r="F539" s="754"/>
      <c r="G539" s="189"/>
      <c r="H539" s="616" t="s">
        <v>35</v>
      </c>
      <c r="I539" s="269">
        <f ca="1">IFERROR(__xludf.DUMMYFUNCTION("IMPORTRANGE(""https://docs.google.com/spreadsheets/d/1QqKyyYR6Q21VydFLVH3TRQUabQu_ym0Zz7PgGX0-kHA/edit?usp=sharing"",""แผน!GW72"")"),0)</f>
        <v>0</v>
      </c>
      <c r="J539" s="214">
        <v>0</v>
      </c>
      <c r="K539" s="496">
        <f t="shared" ca="1" si="234"/>
        <v>0</v>
      </c>
      <c r="L539" s="496"/>
      <c r="M539" s="496"/>
      <c r="N539" s="496"/>
      <c r="O539" s="496"/>
      <c r="P539" s="496"/>
      <c r="Q539" s="675"/>
      <c r="R539" s="675"/>
      <c r="S539" s="675"/>
      <c r="T539" s="675"/>
      <c r="U539" s="675"/>
      <c r="V539" s="675"/>
      <c r="W539" s="675"/>
      <c r="X539" s="675"/>
      <c r="Y539" s="675"/>
      <c r="Z539" s="675"/>
    </row>
    <row r="540" spans="1:26" ht="18.75" hidden="1">
      <c r="A540" s="567"/>
      <c r="B540" s="568"/>
      <c r="C540" s="754"/>
      <c r="D540" s="754"/>
      <c r="E540" s="754" t="s">
        <v>230</v>
      </c>
      <c r="F540" s="754"/>
      <c r="G540" s="189"/>
      <c r="H540" s="616" t="s">
        <v>35</v>
      </c>
      <c r="I540" s="269">
        <f ca="1">IFERROR(__xludf.DUMMYFUNCTION("IMPORTRANGE(""https://docs.google.com/spreadsheets/d/1QqKyyYR6Q21VydFLVH3TRQUabQu_ym0Zz7PgGX0-kHA/edit?usp=sharing"",""แผน!GX72"")"),0)</f>
        <v>0</v>
      </c>
      <c r="J540" s="214">
        <v>0</v>
      </c>
      <c r="K540" s="496">
        <f t="shared" ca="1" si="234"/>
        <v>0</v>
      </c>
      <c r="L540" s="496"/>
      <c r="M540" s="496"/>
      <c r="N540" s="496"/>
      <c r="O540" s="496"/>
      <c r="P540" s="496"/>
      <c r="Q540" s="675"/>
      <c r="R540" s="675"/>
      <c r="S540" s="675"/>
      <c r="T540" s="675"/>
      <c r="U540" s="675"/>
      <c r="V540" s="675"/>
      <c r="W540" s="675"/>
      <c r="X540" s="675"/>
      <c r="Y540" s="675"/>
      <c r="Z540" s="675"/>
    </row>
    <row r="541" spans="1:26" ht="18.75" hidden="1">
      <c r="A541" s="567"/>
      <c r="B541" s="568"/>
      <c r="C541" s="754"/>
      <c r="D541" s="754"/>
      <c r="E541" s="760" t="s">
        <v>231</v>
      </c>
      <c r="F541" s="754"/>
      <c r="G541" s="189"/>
      <c r="H541" s="616" t="s">
        <v>35</v>
      </c>
      <c r="I541" s="269">
        <f ca="1">IFERROR(__xludf.DUMMYFUNCTION("IMPORTRANGE(""https://docs.google.com/spreadsheets/d/1QqKyyYR6Q21VydFLVH3TRQUabQu_ym0Zz7PgGX0-kHA/edit?usp=sharing"",""แผน!GY72"")"),0)</f>
        <v>0</v>
      </c>
      <c r="J541" s="214">
        <v>0</v>
      </c>
      <c r="K541" s="496">
        <f t="shared" ca="1" si="234"/>
        <v>0</v>
      </c>
      <c r="L541" s="496"/>
      <c r="M541" s="496"/>
      <c r="N541" s="496"/>
      <c r="O541" s="496"/>
      <c r="P541" s="496"/>
      <c r="Q541" s="675"/>
      <c r="R541" s="675"/>
      <c r="S541" s="675"/>
      <c r="T541" s="675"/>
      <c r="U541" s="675"/>
      <c r="V541" s="675"/>
      <c r="W541" s="675"/>
      <c r="X541" s="675"/>
      <c r="Y541" s="675"/>
      <c r="Z541" s="675"/>
    </row>
    <row r="542" spans="1:26" ht="18.75" hidden="1">
      <c r="A542" s="567"/>
      <c r="B542" s="568"/>
      <c r="C542" s="754"/>
      <c r="D542" s="754" t="s">
        <v>59</v>
      </c>
      <c r="E542" s="754"/>
      <c r="F542" s="754"/>
      <c r="G542" s="189"/>
      <c r="H542" s="616" t="s">
        <v>35</v>
      </c>
      <c r="I542" s="269">
        <f ca="1">IFERROR(__xludf.DUMMYFUNCTION("IMPORTRANGE(""https://docs.google.com/spreadsheets/d/1QqKyyYR6Q21VydFLVH3TRQUabQu_ym0Zz7PgGX0-kHA/edit?usp=sharing"",""แผน!GZ72"")"),0)</f>
        <v>0</v>
      </c>
      <c r="J542" s="214">
        <v>0</v>
      </c>
      <c r="K542" s="496">
        <f t="shared" ca="1" si="234"/>
        <v>0</v>
      </c>
      <c r="L542" s="496"/>
      <c r="M542" s="496"/>
      <c r="N542" s="496"/>
      <c r="O542" s="496"/>
      <c r="P542" s="496"/>
      <c r="Q542" s="675"/>
      <c r="R542" s="675"/>
      <c r="S542" s="675"/>
      <c r="T542" s="675"/>
      <c r="U542" s="675"/>
      <c r="V542" s="675"/>
      <c r="W542" s="675"/>
      <c r="X542" s="675"/>
      <c r="Y542" s="675"/>
      <c r="Z542" s="675"/>
    </row>
    <row r="543" spans="1:26" ht="19.5">
      <c r="A543" s="657">
        <v>6</v>
      </c>
      <c r="B543" s="678" t="s">
        <v>232</v>
      </c>
      <c r="C543" s="660"/>
      <c r="D543" s="660"/>
      <c r="E543" s="660"/>
      <c r="F543" s="660"/>
      <c r="G543" s="661"/>
      <c r="H543" s="679" t="s">
        <v>46</v>
      </c>
      <c r="I543" s="680">
        <f t="shared" ref="I543:J543" ca="1" si="235">I559</f>
        <v>0</v>
      </c>
      <c r="J543" s="680">
        <f t="shared" si="235"/>
        <v>0</v>
      </c>
      <c r="K543" s="681">
        <f t="shared" ca="1" si="234"/>
        <v>0</v>
      </c>
      <c r="L543" s="663"/>
      <c r="M543" s="663"/>
      <c r="N543" s="663"/>
      <c r="O543" s="663"/>
      <c r="P543" s="663"/>
      <c r="Q543" s="571"/>
      <c r="R543" s="571"/>
      <c r="S543" s="571"/>
      <c r="T543" s="571"/>
      <c r="U543" s="571"/>
      <c r="V543" s="571"/>
      <c r="W543" s="571"/>
      <c r="X543" s="571"/>
      <c r="Y543" s="571"/>
      <c r="Z543" s="571"/>
    </row>
    <row r="544" spans="1:26" ht="19.5">
      <c r="A544" s="682"/>
      <c r="B544" s="683"/>
      <c r="C544" s="683" t="s">
        <v>16</v>
      </c>
      <c r="D544" s="867" t="s">
        <v>17</v>
      </c>
      <c r="E544" s="862"/>
      <c r="F544" s="862"/>
      <c r="G544" s="684"/>
      <c r="H544" s="274" t="s">
        <v>12</v>
      </c>
      <c r="I544" s="419"/>
      <c r="J544" s="419"/>
      <c r="K544" s="154"/>
      <c r="L544" s="155">
        <f t="shared" ref="L544:N544" ca="1" si="236">L545+L546</f>
        <v>385210</v>
      </c>
      <c r="M544" s="155">
        <f t="shared" si="236"/>
        <v>0</v>
      </c>
      <c r="N544" s="155">
        <f t="shared" si="236"/>
        <v>64546</v>
      </c>
      <c r="O544" s="155">
        <f t="shared" ref="O544:O549" ca="1" si="237">IF(L544&gt;0,N544*100/L544,0)</f>
        <v>16.756055138755485</v>
      </c>
      <c r="P544" s="155">
        <f t="shared" ref="P544:P549" si="238">IF(M544&gt;0,N544*100/M544,0)</f>
        <v>0</v>
      </c>
      <c r="Q544" s="571"/>
      <c r="R544" s="571"/>
      <c r="S544" s="571"/>
      <c r="T544" s="571"/>
      <c r="U544" s="571"/>
      <c r="V544" s="571"/>
      <c r="W544" s="571"/>
      <c r="X544" s="571"/>
      <c r="Y544" s="571"/>
      <c r="Z544" s="571"/>
    </row>
    <row r="545" spans="1:26" ht="18.75" hidden="1">
      <c r="A545" s="592"/>
      <c r="B545" s="750"/>
      <c r="C545" s="750"/>
      <c r="D545" s="750"/>
      <c r="E545" s="750" t="s">
        <v>184</v>
      </c>
      <c r="F545" s="750"/>
      <c r="G545" s="596"/>
      <c r="H545" s="165" t="s">
        <v>12</v>
      </c>
      <c r="I545" s="610"/>
      <c r="J545" s="610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597"/>
      <c r="R545" s="597"/>
      <c r="S545" s="597"/>
      <c r="T545" s="597"/>
      <c r="U545" s="597"/>
      <c r="V545" s="597"/>
      <c r="W545" s="597"/>
      <c r="X545" s="597"/>
      <c r="Y545" s="597"/>
      <c r="Z545" s="597"/>
    </row>
    <row r="546" spans="1:26" ht="18.75" hidden="1">
      <c r="A546" s="592"/>
      <c r="B546" s="600"/>
      <c r="C546" s="750"/>
      <c r="D546" s="750"/>
      <c r="E546" s="750" t="s">
        <v>185</v>
      </c>
      <c r="F546" s="750"/>
      <c r="G546" s="596"/>
      <c r="H546" s="165" t="s">
        <v>12</v>
      </c>
      <c r="I546" s="610"/>
      <c r="J546" s="610"/>
      <c r="K546" s="93"/>
      <c r="L546" s="93">
        <f t="shared" ca="1" si="239"/>
        <v>385210</v>
      </c>
      <c r="M546" s="93">
        <f t="shared" si="240"/>
        <v>0</v>
      </c>
      <c r="N546" s="93">
        <f t="shared" si="240"/>
        <v>64546</v>
      </c>
      <c r="O546" s="93">
        <f t="shared" ca="1" si="237"/>
        <v>16.756055138755485</v>
      </c>
      <c r="P546" s="93">
        <f t="shared" si="238"/>
        <v>0</v>
      </c>
      <c r="Q546" s="597"/>
      <c r="R546" s="597"/>
      <c r="S546" s="597"/>
      <c r="T546" s="597"/>
      <c r="U546" s="597"/>
      <c r="V546" s="597"/>
      <c r="W546" s="597"/>
      <c r="X546" s="597"/>
      <c r="Y546" s="597"/>
      <c r="Z546" s="597"/>
    </row>
    <row r="547" spans="1:26" ht="18.75">
      <c r="A547" s="590"/>
      <c r="B547" s="568"/>
      <c r="C547" s="754"/>
      <c r="D547" s="599" t="s">
        <v>20</v>
      </c>
      <c r="E547" s="754"/>
      <c r="F547" s="754"/>
      <c r="G547" s="189"/>
      <c r="H547" s="161" t="s">
        <v>12</v>
      </c>
      <c r="I547" s="184"/>
      <c r="J547" s="184"/>
      <c r="K547" s="163"/>
      <c r="L547" s="496">
        <f t="shared" ref="L547:N547" ca="1" si="241">L548+L549</f>
        <v>385210</v>
      </c>
      <c r="M547" s="496">
        <f t="shared" si="241"/>
        <v>0</v>
      </c>
      <c r="N547" s="496">
        <f t="shared" si="241"/>
        <v>64546</v>
      </c>
      <c r="O547" s="496">
        <f t="shared" ca="1" si="237"/>
        <v>16.756055138755485</v>
      </c>
      <c r="P547" s="496">
        <f t="shared" si="238"/>
        <v>0</v>
      </c>
      <c r="Q547" s="571"/>
      <c r="R547" s="571"/>
      <c r="S547" s="571"/>
      <c r="T547" s="571"/>
      <c r="U547" s="571"/>
      <c r="V547" s="571"/>
      <c r="W547" s="571"/>
      <c r="X547" s="571"/>
      <c r="Y547" s="571"/>
      <c r="Z547" s="571"/>
    </row>
    <row r="548" spans="1:26" ht="18.75" hidden="1">
      <c r="A548" s="592"/>
      <c r="B548" s="600"/>
      <c r="C548" s="750"/>
      <c r="D548" s="711"/>
      <c r="E548" s="750" t="s">
        <v>184</v>
      </c>
      <c r="F548" s="750"/>
      <c r="G548" s="596"/>
      <c r="H548" s="165" t="s">
        <v>12</v>
      </c>
      <c r="I548" s="610"/>
      <c r="J548" s="610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597"/>
      <c r="R548" s="597"/>
      <c r="S548" s="597"/>
      <c r="T548" s="597"/>
      <c r="U548" s="597"/>
      <c r="V548" s="597"/>
      <c r="W548" s="597"/>
      <c r="X548" s="597"/>
      <c r="Y548" s="597"/>
      <c r="Z548" s="597"/>
    </row>
    <row r="549" spans="1:26" ht="18.75" hidden="1">
      <c r="A549" s="592"/>
      <c r="B549" s="600"/>
      <c r="C549" s="750"/>
      <c r="D549" s="711"/>
      <c r="E549" s="750" t="s">
        <v>185</v>
      </c>
      <c r="F549" s="750"/>
      <c r="G549" s="596"/>
      <c r="H549" s="165" t="s">
        <v>12</v>
      </c>
      <c r="I549" s="610"/>
      <c r="J549" s="610"/>
      <c r="K549" s="93"/>
      <c r="L549" s="93">
        <f ca="1">IFERROR(__xludf.DUMMYFUNCTION("IMPORTRANGE(""https://docs.google.com/spreadsheets/d/1QqKyyYR6Q21VydFLVH3TRQUabQu_ym0Zz7PgGX0-kHA/edit?usp=sharing"",""แผน!HB72"")"),385210)</f>
        <v>385210</v>
      </c>
      <c r="M549" s="93">
        <v>0</v>
      </c>
      <c r="N549" s="93">
        <f>N550+N551+N552+N553+N554</f>
        <v>64546</v>
      </c>
      <c r="O549" s="93">
        <f t="shared" ca="1" si="237"/>
        <v>16.756055138755485</v>
      </c>
      <c r="P549" s="93">
        <f t="shared" si="238"/>
        <v>0</v>
      </c>
      <c r="Q549" s="597"/>
      <c r="R549" s="597"/>
      <c r="S549" s="597"/>
      <c r="T549" s="597"/>
      <c r="U549" s="597"/>
      <c r="V549" s="597"/>
      <c r="W549" s="597"/>
      <c r="X549" s="597"/>
      <c r="Y549" s="597"/>
      <c r="Z549" s="597"/>
    </row>
    <row r="550" spans="1:26" ht="18.75">
      <c r="A550" s="567"/>
      <c r="B550" s="568"/>
      <c r="C550" s="754"/>
      <c r="D550" s="754"/>
      <c r="E550" s="754"/>
      <c r="F550" s="754" t="s">
        <v>186</v>
      </c>
      <c r="G550" s="189"/>
      <c r="H550" s="161" t="s">
        <v>12</v>
      </c>
      <c r="I550" s="269"/>
      <c r="J550" s="269"/>
      <c r="K550" s="496"/>
      <c r="L550" s="496"/>
      <c r="M550" s="496"/>
      <c r="N550" s="817">
        <v>0</v>
      </c>
      <c r="O550" s="496"/>
      <c r="P550" s="496"/>
      <c r="Q550" s="571"/>
      <c r="R550" s="571"/>
      <c r="S550" s="571"/>
      <c r="T550" s="571"/>
      <c r="U550" s="571"/>
      <c r="V550" s="571"/>
      <c r="W550" s="571"/>
      <c r="X550" s="571"/>
      <c r="Y550" s="571"/>
      <c r="Z550" s="571"/>
    </row>
    <row r="551" spans="1:26" ht="18.75">
      <c r="A551" s="567"/>
      <c r="B551" s="568"/>
      <c r="C551" s="568"/>
      <c r="D551" s="568"/>
      <c r="E551" s="754"/>
      <c r="F551" s="754" t="s">
        <v>187</v>
      </c>
      <c r="G551" s="189"/>
      <c r="H551" s="161" t="s">
        <v>12</v>
      </c>
      <c r="I551" s="269"/>
      <c r="J551" s="269"/>
      <c r="K551" s="496"/>
      <c r="L551" s="496"/>
      <c r="M551" s="496"/>
      <c r="N551" s="817">
        <v>0</v>
      </c>
      <c r="O551" s="496"/>
      <c r="P551" s="496"/>
      <c r="Q551" s="571"/>
      <c r="R551" s="571"/>
      <c r="S551" s="571"/>
      <c r="T551" s="571"/>
      <c r="U551" s="571"/>
      <c r="V551" s="571"/>
      <c r="W551" s="571"/>
      <c r="X551" s="571"/>
      <c r="Y551" s="571"/>
      <c r="Z551" s="571"/>
    </row>
    <row r="552" spans="1:26" ht="18.75">
      <c r="A552" s="567"/>
      <c r="B552" s="568"/>
      <c r="C552" s="754"/>
      <c r="D552" s="754"/>
      <c r="E552" s="754"/>
      <c r="F552" s="754" t="s">
        <v>188</v>
      </c>
      <c r="G552" s="189"/>
      <c r="H552" s="161" t="s">
        <v>12</v>
      </c>
      <c r="I552" s="269"/>
      <c r="J552" s="269"/>
      <c r="K552" s="496"/>
      <c r="L552" s="496"/>
      <c r="M552" s="496"/>
      <c r="N552" s="817">
        <v>26000</v>
      </c>
      <c r="O552" s="496"/>
      <c r="P552" s="496"/>
      <c r="Q552" s="571"/>
      <c r="R552" s="571"/>
      <c r="S552" s="571"/>
      <c r="T552" s="571"/>
      <c r="U552" s="571"/>
      <c r="V552" s="571"/>
      <c r="W552" s="571"/>
      <c r="X552" s="571"/>
      <c r="Y552" s="571"/>
      <c r="Z552" s="571"/>
    </row>
    <row r="553" spans="1:26" ht="18.75">
      <c r="A553" s="567"/>
      <c r="B553" s="568"/>
      <c r="C553" s="568"/>
      <c r="D553" s="568"/>
      <c r="E553" s="754"/>
      <c r="F553" s="754" t="s">
        <v>189</v>
      </c>
      <c r="G553" s="189"/>
      <c r="H553" s="161" t="s">
        <v>12</v>
      </c>
      <c r="I553" s="269"/>
      <c r="J553" s="269"/>
      <c r="K553" s="496"/>
      <c r="L553" s="496"/>
      <c r="M553" s="496"/>
      <c r="N553" s="817">
        <f>9580+5300+11866+10200+1600</f>
        <v>38546</v>
      </c>
      <c r="O553" s="496"/>
      <c r="P553" s="496"/>
      <c r="Q553" s="571"/>
      <c r="R553" s="571"/>
      <c r="S553" s="571"/>
      <c r="T553" s="571"/>
      <c r="U553" s="571"/>
      <c r="V553" s="571"/>
      <c r="W553" s="571"/>
      <c r="X553" s="571"/>
      <c r="Y553" s="571"/>
      <c r="Z553" s="571"/>
    </row>
    <row r="554" spans="1:26" ht="18.75">
      <c r="A554" s="567"/>
      <c r="B554" s="568"/>
      <c r="C554" s="568"/>
      <c r="D554" s="568"/>
      <c r="E554" s="754"/>
      <c r="F554" s="754" t="s">
        <v>233</v>
      </c>
      <c r="G554" s="189"/>
      <c r="H554" s="161" t="s">
        <v>12</v>
      </c>
      <c r="I554" s="269"/>
      <c r="J554" s="269"/>
      <c r="K554" s="496"/>
      <c r="L554" s="496"/>
      <c r="M554" s="496"/>
      <c r="N554" s="817">
        <v>0</v>
      </c>
      <c r="O554" s="496"/>
      <c r="P554" s="496"/>
      <c r="Q554" s="571"/>
      <c r="R554" s="571"/>
      <c r="S554" s="571"/>
      <c r="T554" s="571"/>
      <c r="U554" s="571"/>
      <c r="V554" s="571"/>
      <c r="W554" s="571"/>
      <c r="X554" s="571"/>
      <c r="Y554" s="571"/>
      <c r="Z554" s="571"/>
    </row>
    <row r="555" spans="1:26" ht="18.75">
      <c r="A555" s="590"/>
      <c r="B555" s="568"/>
      <c r="C555" s="568"/>
      <c r="D555" s="599" t="s">
        <v>21</v>
      </c>
      <c r="E555" s="754"/>
      <c r="F555" s="754"/>
      <c r="G555" s="189"/>
      <c r="H555" s="168" t="s">
        <v>12</v>
      </c>
      <c r="I555" s="184"/>
      <c r="J555" s="184"/>
      <c r="K555" s="163"/>
      <c r="L555" s="496">
        <f t="shared" ref="L555:N555" ca="1" si="242">L556+L557</f>
        <v>0</v>
      </c>
      <c r="M555" s="496">
        <f t="shared" si="242"/>
        <v>0</v>
      </c>
      <c r="N555" s="496">
        <f t="shared" si="242"/>
        <v>0</v>
      </c>
      <c r="O555" s="496">
        <f t="shared" ref="O555:O557" ca="1" si="243">IF(L555&gt;0,N555*100/L555,0)</f>
        <v>0</v>
      </c>
      <c r="P555" s="496">
        <f t="shared" ref="P555:P557" si="244">IF(M555&gt;0,N555*100/M555,0)</f>
        <v>0</v>
      </c>
      <c r="Q555" s="571"/>
      <c r="R555" s="571"/>
      <c r="S555" s="571"/>
      <c r="T555" s="571"/>
      <c r="U555" s="571"/>
      <c r="V555" s="571"/>
      <c r="W555" s="571"/>
      <c r="X555" s="571"/>
      <c r="Y555" s="571"/>
      <c r="Z555" s="571"/>
    </row>
    <row r="556" spans="1:26" ht="18.75" hidden="1">
      <c r="A556" s="592"/>
      <c r="B556" s="600"/>
      <c r="C556" s="600"/>
      <c r="D556" s="750"/>
      <c r="E556" s="750" t="s">
        <v>18</v>
      </c>
      <c r="F556" s="750"/>
      <c r="G556" s="596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597"/>
      <c r="R556" s="597"/>
      <c r="S556" s="597"/>
      <c r="T556" s="597"/>
      <c r="U556" s="597"/>
      <c r="V556" s="597"/>
      <c r="W556" s="597"/>
      <c r="X556" s="597"/>
      <c r="Y556" s="597"/>
      <c r="Z556" s="597"/>
    </row>
    <row r="557" spans="1:26" ht="18.75" hidden="1">
      <c r="A557" s="592"/>
      <c r="B557" s="600"/>
      <c r="C557" s="600"/>
      <c r="D557" s="750"/>
      <c r="E557" s="750" t="s">
        <v>19</v>
      </c>
      <c r="F557" s="750"/>
      <c r="G557" s="596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IFERROR(__xludf.DUMMYFUNCTION("IMPORTRANGE(""https://docs.google.com/spreadsheets/d/1QqKyyYR6Q21VydFLVH3TRQUabQu_ym0Zz7PgGX0-kHA/edit?usp=sharing"",""แผน!HF72"")"),0)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597"/>
      <c r="R557" s="597"/>
      <c r="S557" s="597"/>
      <c r="T557" s="597"/>
      <c r="U557" s="597"/>
      <c r="V557" s="597"/>
      <c r="W557" s="597"/>
      <c r="X557" s="597"/>
      <c r="Y557" s="597"/>
      <c r="Z557" s="597"/>
    </row>
    <row r="558" spans="1:26" ht="19.5" hidden="1">
      <c r="A558" s="601"/>
      <c r="B558" s="611"/>
      <c r="C558" s="568" t="s">
        <v>16</v>
      </c>
      <c r="D558" s="839" t="s">
        <v>38</v>
      </c>
      <c r="E558" s="752"/>
      <c r="F558" s="752"/>
      <c r="G558" s="606"/>
      <c r="H558" s="753"/>
      <c r="I558" s="184"/>
      <c r="J558" s="184"/>
      <c r="K558" s="163"/>
      <c r="L558" s="163"/>
      <c r="M558" s="163"/>
      <c r="N558" s="163"/>
      <c r="O558" s="163"/>
      <c r="P558" s="163"/>
      <c r="Q558" s="571"/>
      <c r="R558" s="571"/>
      <c r="S558" s="571"/>
      <c r="T558" s="571"/>
      <c r="U558" s="571"/>
      <c r="V558" s="571"/>
      <c r="W558" s="571"/>
      <c r="X558" s="571"/>
      <c r="Y558" s="571"/>
      <c r="Z558" s="571"/>
    </row>
    <row r="559" spans="1:26" ht="19.5" hidden="1">
      <c r="A559" s="685"/>
      <c r="B559" s="686" t="s">
        <v>234</v>
      </c>
      <c r="C559" s="687"/>
      <c r="D559" s="687"/>
      <c r="E559" s="666"/>
      <c r="F559" s="666"/>
      <c r="G559" s="667"/>
      <c r="H559" s="688" t="s">
        <v>46</v>
      </c>
      <c r="I559" s="699">
        <f t="shared" ref="I559:J559" ca="1" si="245">I576</f>
        <v>0</v>
      </c>
      <c r="J559" s="699">
        <f t="shared" si="245"/>
        <v>0</v>
      </c>
      <c r="K559" s="670">
        <f t="shared" ref="K559:K561" ca="1" si="246">IF(I559&gt;0,J559*100/I559,0)</f>
        <v>0</v>
      </c>
      <c r="L559" s="671"/>
      <c r="M559" s="671"/>
      <c r="N559" s="671"/>
      <c r="O559" s="671"/>
      <c r="P559" s="671"/>
      <c r="Q559" s="571"/>
      <c r="R559" s="571"/>
      <c r="S559" s="571"/>
      <c r="T559" s="571"/>
      <c r="U559" s="571"/>
      <c r="V559" s="571"/>
      <c r="W559" s="571"/>
      <c r="X559" s="571"/>
      <c r="Y559" s="571"/>
      <c r="Z559" s="571"/>
    </row>
    <row r="560" spans="1:26" ht="19.5" hidden="1">
      <c r="A560" s="601"/>
      <c r="B560" s="611"/>
      <c r="C560" s="618" t="s">
        <v>235</v>
      </c>
      <c r="D560" s="611"/>
      <c r="E560" s="619"/>
      <c r="F560" s="619"/>
      <c r="G560" s="753"/>
      <c r="H560" s="758" t="s">
        <v>46</v>
      </c>
      <c r="I560" s="193">
        <f ca="1">IFERROR(__xludf.DUMMYFUNCTION("IMPORTRANGE(""https://docs.google.com/spreadsheets/d/1QqKyyYR6Q21VydFLVH3TRQUabQu_ym0Zz7PgGX0-kHA/edit?usp=sharing"",""แผน!HH72"")"),0)</f>
        <v>0</v>
      </c>
      <c r="J560" s="193">
        <f t="shared" ref="J560:J561" si="247">J562+J564+J566</f>
        <v>0</v>
      </c>
      <c r="K560" s="410">
        <f t="shared" ca="1" si="246"/>
        <v>0</v>
      </c>
      <c r="L560" s="163"/>
      <c r="M560" s="163"/>
      <c r="N560" s="163"/>
      <c r="O560" s="163"/>
      <c r="P560" s="163"/>
      <c r="Q560" s="571"/>
      <c r="R560" s="571"/>
      <c r="S560" s="571"/>
      <c r="T560" s="571"/>
      <c r="U560" s="571"/>
      <c r="V560" s="571"/>
      <c r="W560" s="571"/>
      <c r="X560" s="571"/>
      <c r="Y560" s="571"/>
      <c r="Z560" s="571"/>
    </row>
    <row r="561" spans="1:26" ht="19.5" hidden="1">
      <c r="A561" s="601"/>
      <c r="B561" s="611"/>
      <c r="C561" s="611"/>
      <c r="D561" s="619"/>
      <c r="E561" s="619"/>
      <c r="F561" s="619"/>
      <c r="G561" s="753"/>
      <c r="H561" s="758" t="s">
        <v>34</v>
      </c>
      <c r="I561" s="193">
        <f ca="1">IFERROR(__xludf.DUMMYFUNCTION("IMPORTRANGE(""https://docs.google.com/spreadsheets/d/1QqKyyYR6Q21VydFLVH3TRQUabQu_ym0Zz7PgGX0-kHA/edit?usp=sharing"",""แผน!HG72"")"),0)</f>
        <v>0</v>
      </c>
      <c r="J561" s="193">
        <f t="shared" si="247"/>
        <v>0</v>
      </c>
      <c r="K561" s="410">
        <f t="shared" ca="1" si="246"/>
        <v>0</v>
      </c>
      <c r="L561" s="163"/>
      <c r="M561" s="163"/>
      <c r="N561" s="163"/>
      <c r="O561" s="163"/>
      <c r="P561" s="163"/>
      <c r="Q561" s="571"/>
      <c r="R561" s="571"/>
      <c r="S561" s="571"/>
      <c r="T561" s="571"/>
      <c r="U561" s="571"/>
      <c r="V561" s="571"/>
      <c r="W561" s="571"/>
      <c r="X561" s="571"/>
      <c r="Y561" s="571"/>
      <c r="Z561" s="571"/>
    </row>
    <row r="562" spans="1:26" ht="18.75" hidden="1">
      <c r="A562" s="601"/>
      <c r="B562" s="611"/>
      <c r="C562" s="611"/>
      <c r="D562" s="619" t="s">
        <v>236</v>
      </c>
      <c r="E562" s="619"/>
      <c r="F562" s="619"/>
      <c r="G562" s="753"/>
      <c r="H562" s="755" t="s">
        <v>46</v>
      </c>
      <c r="I562" s="184"/>
      <c r="J562" s="214">
        <v>0</v>
      </c>
      <c r="K562" s="163"/>
      <c r="L562" s="163"/>
      <c r="M562" s="163"/>
      <c r="N562" s="163"/>
      <c r="O562" s="163"/>
      <c r="P562" s="163"/>
      <c r="Q562" s="571"/>
      <c r="R562" s="571"/>
      <c r="S562" s="571"/>
      <c r="T562" s="571"/>
      <c r="U562" s="571"/>
      <c r="V562" s="571"/>
      <c r="W562" s="571"/>
      <c r="X562" s="571"/>
      <c r="Y562" s="571"/>
      <c r="Z562" s="571"/>
    </row>
    <row r="563" spans="1:26" ht="18.75" hidden="1">
      <c r="A563" s="601"/>
      <c r="B563" s="611"/>
      <c r="C563" s="611"/>
      <c r="D563" s="611"/>
      <c r="E563" s="619"/>
      <c r="F563" s="619"/>
      <c r="G563" s="753"/>
      <c r="H563" s="755" t="s">
        <v>34</v>
      </c>
      <c r="I563" s="184"/>
      <c r="J563" s="214">
        <v>0</v>
      </c>
      <c r="K563" s="163"/>
      <c r="L563" s="163"/>
      <c r="M563" s="163"/>
      <c r="N563" s="163"/>
      <c r="O563" s="163"/>
      <c r="P563" s="163"/>
      <c r="Q563" s="571"/>
      <c r="R563" s="571"/>
      <c r="S563" s="571"/>
      <c r="T563" s="571"/>
      <c r="U563" s="571"/>
      <c r="V563" s="571"/>
      <c r="W563" s="571"/>
      <c r="X563" s="571"/>
      <c r="Y563" s="571"/>
      <c r="Z563" s="571"/>
    </row>
    <row r="564" spans="1:26" ht="18.75" hidden="1">
      <c r="A564" s="601"/>
      <c r="B564" s="611"/>
      <c r="C564" s="611"/>
      <c r="D564" s="619" t="s">
        <v>237</v>
      </c>
      <c r="E564" s="619"/>
      <c r="F564" s="619"/>
      <c r="G564" s="753"/>
      <c r="H564" s="755" t="s">
        <v>46</v>
      </c>
      <c r="I564" s="184"/>
      <c r="J564" s="214">
        <v>0</v>
      </c>
      <c r="K564" s="163"/>
      <c r="L564" s="163"/>
      <c r="M564" s="163"/>
      <c r="N564" s="163"/>
      <c r="O564" s="163"/>
      <c r="P564" s="163"/>
      <c r="Q564" s="571"/>
      <c r="R564" s="571"/>
      <c r="S564" s="571"/>
      <c r="T564" s="571"/>
      <c r="U564" s="571"/>
      <c r="V564" s="571"/>
      <c r="W564" s="571"/>
      <c r="X564" s="571"/>
      <c r="Y564" s="571"/>
      <c r="Z564" s="571"/>
    </row>
    <row r="565" spans="1:26" ht="18.75" hidden="1">
      <c r="A565" s="601"/>
      <c r="B565" s="611"/>
      <c r="C565" s="611"/>
      <c r="D565" s="619"/>
      <c r="E565" s="619"/>
      <c r="F565" s="619"/>
      <c r="G565" s="753"/>
      <c r="H565" s="755" t="s">
        <v>34</v>
      </c>
      <c r="I565" s="184"/>
      <c r="J565" s="214">
        <v>0</v>
      </c>
      <c r="K565" s="163"/>
      <c r="L565" s="163"/>
      <c r="M565" s="163"/>
      <c r="N565" s="163"/>
      <c r="O565" s="163"/>
      <c r="P565" s="163"/>
      <c r="Q565" s="571"/>
      <c r="R565" s="571"/>
      <c r="S565" s="571"/>
      <c r="T565" s="571"/>
      <c r="U565" s="571"/>
      <c r="V565" s="571"/>
      <c r="W565" s="571"/>
      <c r="X565" s="571"/>
      <c r="Y565" s="571"/>
      <c r="Z565" s="571"/>
    </row>
    <row r="566" spans="1:26" ht="18.75" hidden="1">
      <c r="A566" s="601"/>
      <c r="B566" s="611"/>
      <c r="C566" s="611"/>
      <c r="D566" s="619" t="s">
        <v>238</v>
      </c>
      <c r="E566" s="619"/>
      <c r="F566" s="619"/>
      <c r="G566" s="753"/>
      <c r="H566" s="755" t="s">
        <v>46</v>
      </c>
      <c r="I566" s="184"/>
      <c r="J566" s="214">
        <v>0</v>
      </c>
      <c r="K566" s="163"/>
      <c r="L566" s="163"/>
      <c r="M566" s="163"/>
      <c r="N566" s="163"/>
      <c r="O566" s="163"/>
      <c r="P566" s="163"/>
      <c r="Q566" s="571"/>
      <c r="R566" s="571"/>
      <c r="S566" s="571"/>
      <c r="T566" s="571"/>
      <c r="U566" s="571"/>
      <c r="V566" s="571"/>
      <c r="W566" s="571"/>
      <c r="X566" s="571"/>
      <c r="Y566" s="571"/>
      <c r="Z566" s="571"/>
    </row>
    <row r="567" spans="1:26" ht="18.75" hidden="1">
      <c r="A567" s="601"/>
      <c r="B567" s="611"/>
      <c r="C567" s="611"/>
      <c r="D567" s="619"/>
      <c r="E567" s="619"/>
      <c r="F567" s="619"/>
      <c r="G567" s="753"/>
      <c r="H567" s="755" t="s">
        <v>34</v>
      </c>
      <c r="I567" s="184"/>
      <c r="J567" s="214">
        <v>0</v>
      </c>
      <c r="K567" s="163"/>
      <c r="L567" s="163"/>
      <c r="M567" s="163"/>
      <c r="N567" s="163"/>
      <c r="O567" s="163"/>
      <c r="P567" s="163"/>
      <c r="Q567" s="571"/>
      <c r="R567" s="571"/>
      <c r="S567" s="571"/>
      <c r="T567" s="571"/>
      <c r="U567" s="571"/>
      <c r="V567" s="571"/>
      <c r="W567" s="571"/>
      <c r="X567" s="571"/>
      <c r="Y567" s="571"/>
      <c r="Z567" s="571"/>
    </row>
    <row r="568" spans="1:26" ht="19.5" hidden="1">
      <c r="A568" s="601"/>
      <c r="B568" s="611"/>
      <c r="C568" s="618" t="s">
        <v>239</v>
      </c>
      <c r="D568" s="619"/>
      <c r="E568" s="619"/>
      <c r="F568" s="619"/>
      <c r="G568" s="753"/>
      <c r="H568" s="758" t="s">
        <v>46</v>
      </c>
      <c r="I568" s="193">
        <f ca="1">IFERROR(__xludf.DUMMYFUNCTION("IMPORTRANGE(""https://docs.google.com/spreadsheets/d/1QqKyyYR6Q21VydFLVH3TRQUabQu_ym0Zz7PgGX0-kHA/edit?usp=sharing"",""แผน!HH72"")"),0)</f>
        <v>0</v>
      </c>
      <c r="J568" s="674">
        <f t="shared" ref="J568:J569" si="248">J570+J572+J574</f>
        <v>0</v>
      </c>
      <c r="K568" s="410">
        <f t="shared" ref="K568:K569" ca="1" si="249">IF(I568&gt;0,J568*100/I568,0)</f>
        <v>0</v>
      </c>
      <c r="L568" s="163"/>
      <c r="M568" s="163"/>
      <c r="N568" s="163"/>
      <c r="O568" s="163"/>
      <c r="P568" s="163"/>
      <c r="Q568" s="571"/>
      <c r="R568" s="571"/>
      <c r="S568" s="571"/>
      <c r="T568" s="571"/>
      <c r="U568" s="571"/>
      <c r="V568" s="571"/>
      <c r="W568" s="571"/>
      <c r="X568" s="571"/>
      <c r="Y568" s="571"/>
      <c r="Z568" s="571"/>
    </row>
    <row r="569" spans="1:26" ht="19.5" hidden="1">
      <c r="A569" s="601"/>
      <c r="B569" s="611"/>
      <c r="C569" s="611"/>
      <c r="D569" s="611"/>
      <c r="E569" s="619"/>
      <c r="F569" s="619"/>
      <c r="G569" s="753"/>
      <c r="H569" s="758" t="s">
        <v>34</v>
      </c>
      <c r="I569" s="193">
        <f ca="1">IFERROR(__xludf.DUMMYFUNCTION("IMPORTRANGE(""https://docs.google.com/spreadsheets/d/1QqKyyYR6Q21VydFLVH3TRQUabQu_ym0Zz7PgGX0-kHA/edit?usp=sharing"",""แผน!HG72"")"),0)</f>
        <v>0</v>
      </c>
      <c r="J569" s="674">
        <f t="shared" si="248"/>
        <v>0</v>
      </c>
      <c r="K569" s="410">
        <f t="shared" ca="1" si="249"/>
        <v>0</v>
      </c>
      <c r="L569" s="163"/>
      <c r="M569" s="163"/>
      <c r="N569" s="163"/>
      <c r="O569" s="163"/>
      <c r="P569" s="163"/>
      <c r="Q569" s="571"/>
      <c r="R569" s="571"/>
      <c r="S569" s="571"/>
      <c r="T569" s="571"/>
      <c r="U569" s="571"/>
      <c r="V569" s="571"/>
      <c r="W569" s="571"/>
      <c r="X569" s="571"/>
      <c r="Y569" s="571"/>
      <c r="Z569" s="571"/>
    </row>
    <row r="570" spans="1:26" ht="18.75" hidden="1">
      <c r="A570" s="601"/>
      <c r="B570" s="611"/>
      <c r="C570" s="611"/>
      <c r="D570" s="619" t="s">
        <v>240</v>
      </c>
      <c r="E570" s="611"/>
      <c r="F570" s="619"/>
      <c r="G570" s="753"/>
      <c r="H570" s="755" t="s">
        <v>46</v>
      </c>
      <c r="I570" s="184"/>
      <c r="J570" s="214">
        <v>0</v>
      </c>
      <c r="K570" s="163"/>
      <c r="L570" s="163"/>
      <c r="M570" s="163"/>
      <c r="N570" s="163"/>
      <c r="O570" s="163"/>
      <c r="P570" s="163"/>
      <c r="Q570" s="571"/>
      <c r="R570" s="571"/>
      <c r="S570" s="571"/>
      <c r="T570" s="571"/>
      <c r="U570" s="571"/>
      <c r="V570" s="571"/>
      <c r="W570" s="571"/>
      <c r="X570" s="571"/>
      <c r="Y570" s="571"/>
      <c r="Z570" s="571"/>
    </row>
    <row r="571" spans="1:26" ht="18.75" hidden="1">
      <c r="A571" s="601"/>
      <c r="B571" s="611"/>
      <c r="C571" s="611"/>
      <c r="D571" s="611"/>
      <c r="E571" s="619"/>
      <c r="F571" s="619"/>
      <c r="G571" s="753"/>
      <c r="H571" s="755" t="s">
        <v>34</v>
      </c>
      <c r="I571" s="184"/>
      <c r="J571" s="214">
        <v>0</v>
      </c>
      <c r="K571" s="163"/>
      <c r="L571" s="163"/>
      <c r="M571" s="163"/>
      <c r="N571" s="163"/>
      <c r="O571" s="163"/>
      <c r="P571" s="163"/>
      <c r="Q571" s="571"/>
      <c r="R571" s="571"/>
      <c r="S571" s="571"/>
      <c r="T571" s="571"/>
      <c r="U571" s="571"/>
      <c r="V571" s="571"/>
      <c r="W571" s="571"/>
      <c r="X571" s="571"/>
      <c r="Y571" s="571"/>
      <c r="Z571" s="571"/>
    </row>
    <row r="572" spans="1:26" ht="18.75" hidden="1">
      <c r="A572" s="601"/>
      <c r="B572" s="611"/>
      <c r="C572" s="611"/>
      <c r="D572" s="619" t="s">
        <v>241</v>
      </c>
      <c r="E572" s="619"/>
      <c r="F572" s="619"/>
      <c r="G572" s="753"/>
      <c r="H572" s="755" t="s">
        <v>46</v>
      </c>
      <c r="I572" s="184"/>
      <c r="J572" s="214">
        <v>0</v>
      </c>
      <c r="K572" s="163"/>
      <c r="L572" s="163"/>
      <c r="M572" s="163"/>
      <c r="N572" s="163"/>
      <c r="O572" s="163"/>
      <c r="P572" s="163"/>
      <c r="Q572" s="571"/>
      <c r="R572" s="571"/>
      <c r="S572" s="571"/>
      <c r="T572" s="571"/>
      <c r="U572" s="571"/>
      <c r="V572" s="571"/>
      <c r="W572" s="571"/>
      <c r="X572" s="571"/>
      <c r="Y572" s="571"/>
      <c r="Z572" s="571"/>
    </row>
    <row r="573" spans="1:26" ht="18.75" hidden="1">
      <c r="A573" s="601"/>
      <c r="B573" s="611"/>
      <c r="C573" s="611"/>
      <c r="D573" s="619"/>
      <c r="E573" s="619"/>
      <c r="F573" s="619"/>
      <c r="G573" s="753"/>
      <c r="H573" s="755" t="s">
        <v>34</v>
      </c>
      <c r="I573" s="184"/>
      <c r="J573" s="214">
        <v>0</v>
      </c>
      <c r="K573" s="163"/>
      <c r="L573" s="163"/>
      <c r="M573" s="163"/>
      <c r="N573" s="163"/>
      <c r="O573" s="163"/>
      <c r="P573" s="163"/>
      <c r="Q573" s="571"/>
      <c r="R573" s="571"/>
      <c r="S573" s="571"/>
      <c r="T573" s="571"/>
      <c r="U573" s="571"/>
      <c r="V573" s="571"/>
      <c r="W573" s="571"/>
      <c r="X573" s="571"/>
      <c r="Y573" s="571"/>
      <c r="Z573" s="571"/>
    </row>
    <row r="574" spans="1:26" ht="18.75" hidden="1">
      <c r="A574" s="601"/>
      <c r="B574" s="611"/>
      <c r="C574" s="611"/>
      <c r="D574" s="619" t="s">
        <v>242</v>
      </c>
      <c r="E574" s="619"/>
      <c r="F574" s="619"/>
      <c r="G574" s="753"/>
      <c r="H574" s="755" t="s">
        <v>46</v>
      </c>
      <c r="I574" s="184"/>
      <c r="J574" s="214">
        <v>0</v>
      </c>
      <c r="K574" s="163"/>
      <c r="L574" s="163"/>
      <c r="M574" s="163"/>
      <c r="N574" s="163"/>
      <c r="O574" s="163"/>
      <c r="P574" s="163"/>
      <c r="Q574" s="571"/>
      <c r="R574" s="571"/>
      <c r="S574" s="571"/>
      <c r="T574" s="571"/>
      <c r="U574" s="571"/>
      <c r="V574" s="571"/>
      <c r="W574" s="571"/>
      <c r="X574" s="571"/>
      <c r="Y574" s="571"/>
      <c r="Z574" s="571"/>
    </row>
    <row r="575" spans="1:26" ht="18.75" hidden="1">
      <c r="A575" s="601"/>
      <c r="B575" s="611"/>
      <c r="C575" s="611"/>
      <c r="D575" s="611"/>
      <c r="E575" s="619"/>
      <c r="F575" s="619"/>
      <c r="G575" s="753"/>
      <c r="H575" s="755" t="s">
        <v>34</v>
      </c>
      <c r="I575" s="184"/>
      <c r="J575" s="214">
        <v>0</v>
      </c>
      <c r="K575" s="163"/>
      <c r="L575" s="163"/>
      <c r="M575" s="163"/>
      <c r="N575" s="163"/>
      <c r="O575" s="163"/>
      <c r="P575" s="163"/>
      <c r="Q575" s="571"/>
      <c r="R575" s="571"/>
      <c r="S575" s="571"/>
      <c r="T575" s="571"/>
      <c r="U575" s="571"/>
      <c r="V575" s="571"/>
      <c r="W575" s="571"/>
      <c r="X575" s="571"/>
      <c r="Y575" s="571"/>
      <c r="Z575" s="571"/>
    </row>
    <row r="576" spans="1:26" ht="19.5" hidden="1">
      <c r="A576" s="601"/>
      <c r="B576" s="611"/>
      <c r="C576" s="618" t="s">
        <v>243</v>
      </c>
      <c r="D576" s="611"/>
      <c r="E576" s="611"/>
      <c r="F576" s="619"/>
      <c r="G576" s="753"/>
      <c r="H576" s="758" t="s">
        <v>46</v>
      </c>
      <c r="I576" s="193">
        <f ca="1">IFERROR(__xludf.DUMMYFUNCTION("IMPORTRANGE(""https://docs.google.com/spreadsheets/d/1QqKyyYR6Q21VydFLVH3TRQUabQu_ym0Zz7PgGX0-kHA/edit?usp=sharing"",""แผน!HH72"")"),0)</f>
        <v>0</v>
      </c>
      <c r="J576" s="674">
        <f t="shared" ref="J576:J577" si="250">J578+J580+J582+J588+J590</f>
        <v>0</v>
      </c>
      <c r="K576" s="410">
        <f t="shared" ref="K576:K577" ca="1" si="251">IF(I576&gt;0,J576*100/I576,0)</f>
        <v>0</v>
      </c>
      <c r="L576" s="163"/>
      <c r="M576" s="163"/>
      <c r="N576" s="163"/>
      <c r="O576" s="163"/>
      <c r="P576" s="163"/>
      <c r="Q576" s="571"/>
      <c r="R576" s="571"/>
      <c r="S576" s="571"/>
      <c r="T576" s="571"/>
      <c r="U576" s="571"/>
      <c r="V576" s="571"/>
      <c r="W576" s="571"/>
      <c r="X576" s="571"/>
      <c r="Y576" s="571"/>
      <c r="Z576" s="571"/>
    </row>
    <row r="577" spans="1:26" ht="19.5" hidden="1">
      <c r="A577" s="601"/>
      <c r="B577" s="611"/>
      <c r="C577" s="611"/>
      <c r="D577" s="611"/>
      <c r="E577" s="619"/>
      <c r="F577" s="619"/>
      <c r="G577" s="753"/>
      <c r="H577" s="758" t="s">
        <v>34</v>
      </c>
      <c r="I577" s="193">
        <f ca="1">IFERROR(__xludf.DUMMYFUNCTION("IMPORTRANGE(""https://docs.google.com/spreadsheets/d/1QqKyyYR6Q21VydFLVH3TRQUabQu_ym0Zz7PgGX0-kHA/edit?usp=sharing"",""แผน!HG72"")"),0)</f>
        <v>0</v>
      </c>
      <c r="J577" s="674">
        <f t="shared" si="250"/>
        <v>0</v>
      </c>
      <c r="K577" s="410">
        <f t="shared" ca="1" si="251"/>
        <v>0</v>
      </c>
      <c r="L577" s="163"/>
      <c r="M577" s="163"/>
      <c r="N577" s="163"/>
      <c r="O577" s="163"/>
      <c r="P577" s="163"/>
      <c r="Q577" s="571"/>
      <c r="R577" s="571"/>
      <c r="S577" s="571"/>
      <c r="T577" s="571"/>
      <c r="U577" s="571"/>
      <c r="V577" s="571"/>
      <c r="W577" s="571"/>
      <c r="X577" s="571"/>
      <c r="Y577" s="571"/>
      <c r="Z577" s="571"/>
    </row>
    <row r="578" spans="1:26" ht="18.75" hidden="1">
      <c r="A578" s="601"/>
      <c r="B578" s="611"/>
      <c r="C578" s="611"/>
      <c r="D578" s="619" t="s">
        <v>244</v>
      </c>
      <c r="E578" s="619"/>
      <c r="F578" s="619"/>
      <c r="G578" s="753"/>
      <c r="H578" s="755" t="s">
        <v>46</v>
      </c>
      <c r="I578" s="184"/>
      <c r="J578" s="214">
        <v>0</v>
      </c>
      <c r="K578" s="163"/>
      <c r="L578" s="163"/>
      <c r="M578" s="163"/>
      <c r="N578" s="163"/>
      <c r="O578" s="163"/>
      <c r="P578" s="163"/>
      <c r="Q578" s="571"/>
      <c r="R578" s="571"/>
      <c r="S578" s="571"/>
      <c r="T578" s="571"/>
      <c r="U578" s="571"/>
      <c r="V578" s="571"/>
      <c r="W578" s="571"/>
      <c r="X578" s="571"/>
      <c r="Y578" s="571"/>
      <c r="Z578" s="571"/>
    </row>
    <row r="579" spans="1:26" ht="18.75" hidden="1">
      <c r="A579" s="601"/>
      <c r="B579" s="611"/>
      <c r="C579" s="611"/>
      <c r="D579" s="611"/>
      <c r="E579" s="619"/>
      <c r="F579" s="619"/>
      <c r="G579" s="753"/>
      <c r="H579" s="755" t="s">
        <v>34</v>
      </c>
      <c r="I579" s="184"/>
      <c r="J579" s="214">
        <v>0</v>
      </c>
      <c r="K579" s="163"/>
      <c r="L579" s="163"/>
      <c r="M579" s="163"/>
      <c r="N579" s="163"/>
      <c r="O579" s="163"/>
      <c r="P579" s="163"/>
      <c r="Q579" s="571"/>
      <c r="R579" s="571"/>
      <c r="S579" s="571"/>
      <c r="T579" s="571"/>
      <c r="U579" s="571"/>
      <c r="V579" s="571"/>
      <c r="W579" s="571"/>
      <c r="X579" s="571"/>
      <c r="Y579" s="571"/>
      <c r="Z579" s="571"/>
    </row>
    <row r="580" spans="1:26" ht="18.75" hidden="1">
      <c r="A580" s="601"/>
      <c r="B580" s="611"/>
      <c r="C580" s="611"/>
      <c r="D580" s="619" t="s">
        <v>245</v>
      </c>
      <c r="E580" s="619"/>
      <c r="F580" s="619"/>
      <c r="G580" s="753"/>
      <c r="H580" s="755" t="s">
        <v>46</v>
      </c>
      <c r="I580" s="184"/>
      <c r="J580" s="214">
        <v>0</v>
      </c>
      <c r="K580" s="163"/>
      <c r="L580" s="163"/>
      <c r="M580" s="163"/>
      <c r="N580" s="163"/>
      <c r="O580" s="163"/>
      <c r="P580" s="163"/>
      <c r="Q580" s="571"/>
      <c r="R580" s="571"/>
      <c r="S580" s="571"/>
      <c r="T580" s="571"/>
      <c r="U580" s="571"/>
      <c r="V580" s="571"/>
      <c r="W580" s="571"/>
      <c r="X580" s="571"/>
      <c r="Y580" s="571"/>
      <c r="Z580" s="571"/>
    </row>
    <row r="581" spans="1:26" ht="18.75" hidden="1">
      <c r="A581" s="601"/>
      <c r="B581" s="611"/>
      <c r="C581" s="611"/>
      <c r="D581" s="611"/>
      <c r="E581" s="619"/>
      <c r="F581" s="619"/>
      <c r="G581" s="753"/>
      <c r="H581" s="755" t="s">
        <v>34</v>
      </c>
      <c r="I581" s="184"/>
      <c r="J581" s="214">
        <v>0</v>
      </c>
      <c r="K581" s="163"/>
      <c r="L581" s="163"/>
      <c r="M581" s="163"/>
      <c r="N581" s="163"/>
      <c r="O581" s="163"/>
      <c r="P581" s="163"/>
      <c r="Q581" s="571"/>
      <c r="R581" s="571"/>
      <c r="S581" s="571"/>
      <c r="T581" s="571"/>
      <c r="U581" s="571"/>
      <c r="V581" s="571"/>
      <c r="W581" s="571"/>
      <c r="X581" s="571"/>
      <c r="Y581" s="571"/>
      <c r="Z581" s="571"/>
    </row>
    <row r="582" spans="1:26" ht="19.5" hidden="1">
      <c r="A582" s="601"/>
      <c r="B582" s="611"/>
      <c r="C582" s="611"/>
      <c r="D582" s="619" t="s">
        <v>246</v>
      </c>
      <c r="E582" s="619"/>
      <c r="F582" s="619"/>
      <c r="G582" s="753"/>
      <c r="H582" s="755" t="s">
        <v>46</v>
      </c>
      <c r="I582" s="184"/>
      <c r="J582" s="674">
        <f t="shared" ref="J582:J583" si="252">J584+J586</f>
        <v>0</v>
      </c>
      <c r="K582" s="410"/>
      <c r="L582" s="163"/>
      <c r="M582" s="163"/>
      <c r="N582" s="163"/>
      <c r="O582" s="163"/>
      <c r="P582" s="163"/>
      <c r="Q582" s="571"/>
      <c r="R582" s="571"/>
      <c r="S582" s="571"/>
      <c r="T582" s="571"/>
      <c r="U582" s="571"/>
      <c r="V582" s="571"/>
      <c r="W582" s="571"/>
      <c r="X582" s="571"/>
      <c r="Y582" s="571"/>
      <c r="Z582" s="571"/>
    </row>
    <row r="583" spans="1:26" ht="19.5" hidden="1">
      <c r="A583" s="601"/>
      <c r="B583" s="611"/>
      <c r="C583" s="611"/>
      <c r="D583" s="611"/>
      <c r="E583" s="619"/>
      <c r="F583" s="619"/>
      <c r="G583" s="753"/>
      <c r="H583" s="755" t="s">
        <v>34</v>
      </c>
      <c r="I583" s="184"/>
      <c r="J583" s="674">
        <f t="shared" si="252"/>
        <v>0</v>
      </c>
      <c r="K583" s="410"/>
      <c r="L583" s="163"/>
      <c r="M583" s="163"/>
      <c r="N583" s="163"/>
      <c r="O583" s="163"/>
      <c r="P583" s="163"/>
      <c r="Q583" s="571"/>
      <c r="R583" s="571"/>
      <c r="S583" s="571"/>
      <c r="T583" s="571"/>
      <c r="U583" s="571"/>
      <c r="V583" s="571"/>
      <c r="W583" s="571"/>
      <c r="X583" s="571"/>
      <c r="Y583" s="571"/>
      <c r="Z583" s="571"/>
    </row>
    <row r="584" spans="1:26" ht="18.75" hidden="1">
      <c r="A584" s="601"/>
      <c r="B584" s="611"/>
      <c r="C584" s="611"/>
      <c r="D584" s="611"/>
      <c r="E584" s="619" t="s">
        <v>247</v>
      </c>
      <c r="F584" s="619"/>
      <c r="G584" s="753"/>
      <c r="H584" s="755" t="s">
        <v>46</v>
      </c>
      <c r="I584" s="184"/>
      <c r="J584" s="214">
        <v>0</v>
      </c>
      <c r="K584" s="163"/>
      <c r="L584" s="163"/>
      <c r="M584" s="163"/>
      <c r="N584" s="163"/>
      <c r="O584" s="163"/>
      <c r="P584" s="163"/>
      <c r="Q584" s="571"/>
      <c r="R584" s="571"/>
      <c r="S584" s="571"/>
      <c r="T584" s="571"/>
      <c r="U584" s="571"/>
      <c r="V584" s="571"/>
      <c r="W584" s="571"/>
      <c r="X584" s="571"/>
      <c r="Y584" s="571"/>
      <c r="Z584" s="571"/>
    </row>
    <row r="585" spans="1:26" ht="18.75" hidden="1">
      <c r="A585" s="601"/>
      <c r="B585" s="611"/>
      <c r="C585" s="611"/>
      <c r="D585" s="611"/>
      <c r="E585" s="619"/>
      <c r="F585" s="619"/>
      <c r="G585" s="753"/>
      <c r="H585" s="755" t="s">
        <v>34</v>
      </c>
      <c r="I585" s="184"/>
      <c r="J585" s="214">
        <v>0</v>
      </c>
      <c r="K585" s="163"/>
      <c r="L585" s="163"/>
      <c r="M585" s="163"/>
      <c r="N585" s="163"/>
      <c r="O585" s="163"/>
      <c r="P585" s="163"/>
      <c r="Q585" s="571"/>
      <c r="R585" s="571"/>
      <c r="S585" s="571"/>
      <c r="T585" s="571"/>
      <c r="U585" s="571"/>
      <c r="V585" s="571"/>
      <c r="W585" s="571"/>
      <c r="X585" s="571"/>
      <c r="Y585" s="571"/>
      <c r="Z585" s="571"/>
    </row>
    <row r="586" spans="1:26" ht="18.75" hidden="1">
      <c r="A586" s="601"/>
      <c r="B586" s="611"/>
      <c r="C586" s="611"/>
      <c r="D586" s="611"/>
      <c r="E586" s="619" t="s">
        <v>248</v>
      </c>
      <c r="F586" s="619"/>
      <c r="G586" s="753"/>
      <c r="H586" s="755" t="s">
        <v>46</v>
      </c>
      <c r="I586" s="184"/>
      <c r="J586" s="214">
        <v>0</v>
      </c>
      <c r="K586" s="163"/>
      <c r="L586" s="163"/>
      <c r="M586" s="163"/>
      <c r="N586" s="163"/>
      <c r="O586" s="163"/>
      <c r="P586" s="163"/>
      <c r="Q586" s="571"/>
      <c r="R586" s="571"/>
      <c r="S586" s="571"/>
      <c r="T586" s="571"/>
      <c r="U586" s="571"/>
      <c r="V586" s="571"/>
      <c r="W586" s="571"/>
      <c r="X586" s="571"/>
      <c r="Y586" s="571"/>
      <c r="Z586" s="571"/>
    </row>
    <row r="587" spans="1:26" ht="18.75" hidden="1">
      <c r="A587" s="601"/>
      <c r="B587" s="611"/>
      <c r="C587" s="611"/>
      <c r="D587" s="611"/>
      <c r="E587" s="611"/>
      <c r="F587" s="619"/>
      <c r="G587" s="753"/>
      <c r="H587" s="755" t="s">
        <v>34</v>
      </c>
      <c r="I587" s="184"/>
      <c r="J587" s="214">
        <v>0</v>
      </c>
      <c r="K587" s="163"/>
      <c r="L587" s="163"/>
      <c r="M587" s="163"/>
      <c r="N587" s="163"/>
      <c r="O587" s="163"/>
      <c r="P587" s="163"/>
      <c r="Q587" s="571"/>
      <c r="R587" s="571"/>
      <c r="S587" s="571"/>
      <c r="T587" s="571"/>
      <c r="U587" s="571"/>
      <c r="V587" s="571"/>
      <c r="W587" s="571"/>
      <c r="X587" s="571"/>
      <c r="Y587" s="571"/>
      <c r="Z587" s="571"/>
    </row>
    <row r="588" spans="1:26" ht="18.75" hidden="1">
      <c r="A588" s="601"/>
      <c r="B588" s="611"/>
      <c r="C588" s="611"/>
      <c r="D588" s="619" t="s">
        <v>249</v>
      </c>
      <c r="E588" s="619"/>
      <c r="F588" s="619"/>
      <c r="G588" s="753"/>
      <c r="H588" s="755" t="s">
        <v>46</v>
      </c>
      <c r="I588" s="184"/>
      <c r="J588" s="214">
        <v>0</v>
      </c>
      <c r="K588" s="163"/>
      <c r="L588" s="163"/>
      <c r="M588" s="163"/>
      <c r="N588" s="163"/>
      <c r="O588" s="163"/>
      <c r="P588" s="163"/>
      <c r="Q588" s="571"/>
      <c r="R588" s="571"/>
      <c r="S588" s="571"/>
      <c r="T588" s="571"/>
      <c r="U588" s="571"/>
      <c r="V588" s="571"/>
      <c r="W588" s="571"/>
      <c r="X588" s="571"/>
      <c r="Y588" s="571"/>
      <c r="Z588" s="571"/>
    </row>
    <row r="589" spans="1:26" ht="18.75" hidden="1">
      <c r="A589" s="601"/>
      <c r="B589" s="611"/>
      <c r="C589" s="611"/>
      <c r="D589" s="611"/>
      <c r="E589" s="611"/>
      <c r="F589" s="619"/>
      <c r="G589" s="753"/>
      <c r="H589" s="755" t="s">
        <v>34</v>
      </c>
      <c r="I589" s="184"/>
      <c r="J589" s="214">
        <v>0</v>
      </c>
      <c r="K589" s="163"/>
      <c r="L589" s="163"/>
      <c r="M589" s="163"/>
      <c r="N589" s="163"/>
      <c r="O589" s="163"/>
      <c r="P589" s="163"/>
      <c r="Q589" s="571"/>
      <c r="R589" s="571"/>
      <c r="S589" s="571"/>
      <c r="T589" s="571"/>
      <c r="U589" s="571"/>
      <c r="V589" s="571"/>
      <c r="W589" s="571"/>
      <c r="X589" s="571"/>
      <c r="Y589" s="571"/>
      <c r="Z589" s="571"/>
    </row>
    <row r="590" spans="1:26" ht="18.75" hidden="1">
      <c r="A590" s="601"/>
      <c r="B590" s="611"/>
      <c r="C590" s="611"/>
      <c r="D590" s="619" t="s">
        <v>250</v>
      </c>
      <c r="E590" s="619"/>
      <c r="F590" s="619"/>
      <c r="G590" s="753"/>
      <c r="H590" s="755" t="s">
        <v>46</v>
      </c>
      <c r="I590" s="184"/>
      <c r="J590" s="214">
        <v>0</v>
      </c>
      <c r="K590" s="163"/>
      <c r="L590" s="163"/>
      <c r="M590" s="163"/>
      <c r="N590" s="163"/>
      <c r="O590" s="163"/>
      <c r="P590" s="163"/>
      <c r="Q590" s="571"/>
      <c r="R590" s="571"/>
      <c r="S590" s="571"/>
      <c r="T590" s="571"/>
      <c r="U590" s="571"/>
      <c r="V590" s="571"/>
      <c r="W590" s="571"/>
      <c r="X590" s="571"/>
      <c r="Y590" s="571"/>
      <c r="Z590" s="571"/>
    </row>
    <row r="591" spans="1:26" ht="18.75" hidden="1">
      <c r="A591" s="689"/>
      <c r="B591" s="690"/>
      <c r="C591" s="690"/>
      <c r="D591" s="690"/>
      <c r="E591" s="571"/>
      <c r="F591" s="571"/>
      <c r="G591" s="691"/>
      <c r="H591" s="692" t="s">
        <v>34</v>
      </c>
      <c r="I591" s="693"/>
      <c r="J591" s="694">
        <v>0</v>
      </c>
      <c r="K591" s="695"/>
      <c r="L591" s="695"/>
      <c r="M591" s="695"/>
      <c r="N591" s="695"/>
      <c r="O591" s="695"/>
      <c r="P591" s="695"/>
      <c r="Q591" s="571"/>
      <c r="R591" s="571"/>
      <c r="S591" s="571"/>
      <c r="T591" s="571"/>
      <c r="U591" s="571"/>
      <c r="V591" s="571"/>
      <c r="W591" s="571"/>
      <c r="X591" s="571"/>
      <c r="Y591" s="571"/>
      <c r="Z591" s="571"/>
    </row>
    <row r="592" spans="1:26" ht="19.5">
      <c r="A592" s="685"/>
      <c r="B592" s="686" t="s">
        <v>251</v>
      </c>
      <c r="C592" s="687"/>
      <c r="D592" s="687"/>
      <c r="E592" s="666"/>
      <c r="F592" s="666"/>
      <c r="G592" s="667"/>
      <c r="H592" s="688" t="s">
        <v>46</v>
      </c>
      <c r="I592" s="699">
        <f t="shared" ref="I592:J592" ca="1" si="253">I593</f>
        <v>4097</v>
      </c>
      <c r="J592" s="699">
        <f t="shared" si="253"/>
        <v>0</v>
      </c>
      <c r="K592" s="670">
        <f t="shared" ref="K592:K594" ca="1" si="254">IF(I592&gt;0,J592*100/I592,0)</f>
        <v>0</v>
      </c>
      <c r="L592" s="671"/>
      <c r="M592" s="671"/>
      <c r="N592" s="671"/>
      <c r="O592" s="671"/>
      <c r="P592" s="671"/>
      <c r="Q592" s="571"/>
      <c r="R592" s="571"/>
      <c r="S592" s="571"/>
      <c r="T592" s="571"/>
      <c r="U592" s="571"/>
      <c r="V592" s="571"/>
      <c r="W592" s="571"/>
      <c r="X592" s="571"/>
      <c r="Y592" s="571"/>
      <c r="Z592" s="571"/>
    </row>
    <row r="593" spans="1:26" ht="19.5">
      <c r="A593" s="601"/>
      <c r="B593" s="611"/>
      <c r="C593" s="618" t="s">
        <v>252</v>
      </c>
      <c r="D593" s="611"/>
      <c r="E593" s="611"/>
      <c r="F593" s="619"/>
      <c r="G593" s="753"/>
      <c r="H593" s="758" t="s">
        <v>46</v>
      </c>
      <c r="I593" s="193">
        <f ca="1">IFERROR(__xludf.DUMMYFUNCTION("IMPORTRANGE(""https://docs.google.com/spreadsheets/d/1QqKyyYR6Q21VydFLVH3TRQUabQu_ym0Zz7PgGX0-kHA/edit?usp=sharing"",""แผน!HJ72"")"),4097)</f>
        <v>4097</v>
      </c>
      <c r="J593" s="193">
        <f t="shared" ref="J593:J594" si="255">J595+J603+J609</f>
        <v>0</v>
      </c>
      <c r="K593" s="410">
        <f t="shared" ca="1" si="254"/>
        <v>0</v>
      </c>
      <c r="L593" s="163"/>
      <c r="M593" s="163"/>
      <c r="N593" s="163"/>
      <c r="O593" s="163"/>
      <c r="P593" s="163"/>
      <c r="Q593" s="571"/>
      <c r="R593" s="571"/>
      <c r="S593" s="571"/>
      <c r="T593" s="571"/>
      <c r="U593" s="571"/>
      <c r="V593" s="571"/>
      <c r="W593" s="571"/>
      <c r="X593" s="571"/>
      <c r="Y593" s="571"/>
      <c r="Z593" s="571"/>
    </row>
    <row r="594" spans="1:26" ht="19.5">
      <c r="A594" s="601"/>
      <c r="B594" s="611"/>
      <c r="C594" s="611"/>
      <c r="D594" s="611"/>
      <c r="E594" s="619"/>
      <c r="F594" s="619"/>
      <c r="G594" s="753"/>
      <c r="H594" s="758" t="s">
        <v>34</v>
      </c>
      <c r="I594" s="193">
        <f ca="1">IFERROR(__xludf.DUMMYFUNCTION("IMPORTRANGE(""https://docs.google.com/spreadsheets/d/1QqKyyYR6Q21VydFLVH3TRQUabQu_ym0Zz7PgGX0-kHA/edit?usp=sharing"",""แผน!HI72"")"),489)</f>
        <v>489</v>
      </c>
      <c r="J594" s="193">
        <f t="shared" si="255"/>
        <v>0</v>
      </c>
      <c r="K594" s="410">
        <f t="shared" ca="1" si="254"/>
        <v>0</v>
      </c>
      <c r="L594" s="163"/>
      <c r="M594" s="163"/>
      <c r="N594" s="163"/>
      <c r="O594" s="163"/>
      <c r="P594" s="163"/>
      <c r="Q594" s="571"/>
      <c r="R594" s="571"/>
      <c r="S594" s="571"/>
      <c r="T594" s="571"/>
      <c r="U594" s="571"/>
      <c r="V594" s="571"/>
      <c r="W594" s="571"/>
      <c r="X594" s="571"/>
      <c r="Y594" s="571"/>
      <c r="Z594" s="571"/>
    </row>
    <row r="595" spans="1:26" ht="18.75">
      <c r="A595" s="601"/>
      <c r="B595" s="611"/>
      <c r="C595" s="611" t="s">
        <v>253</v>
      </c>
      <c r="D595" s="611"/>
      <c r="E595" s="611"/>
      <c r="F595" s="619"/>
      <c r="G595" s="753"/>
      <c r="H595" s="755" t="s">
        <v>46</v>
      </c>
      <c r="I595" s="184"/>
      <c r="J595" s="184">
        <f t="shared" ref="J595:J596" si="256">J597+J599</f>
        <v>0</v>
      </c>
      <c r="K595" s="163"/>
      <c r="L595" s="163"/>
      <c r="M595" s="163"/>
      <c r="N595" s="163"/>
      <c r="O595" s="163"/>
      <c r="P595" s="163"/>
      <c r="Q595" s="571"/>
      <c r="R595" s="571"/>
      <c r="S595" s="571"/>
      <c r="T595" s="571"/>
      <c r="U595" s="571"/>
      <c r="V595" s="571"/>
      <c r="W595" s="571"/>
      <c r="X595" s="571"/>
      <c r="Y595" s="571"/>
      <c r="Z595" s="571"/>
    </row>
    <row r="596" spans="1:26" ht="18.75">
      <c r="A596" s="601"/>
      <c r="B596" s="611"/>
      <c r="C596" s="611"/>
      <c r="D596" s="611"/>
      <c r="E596" s="619"/>
      <c r="F596" s="619"/>
      <c r="G596" s="753"/>
      <c r="H596" s="755" t="s">
        <v>34</v>
      </c>
      <c r="I596" s="184"/>
      <c r="J596" s="184">
        <f t="shared" si="256"/>
        <v>0</v>
      </c>
      <c r="K596" s="163"/>
      <c r="L596" s="163"/>
      <c r="M596" s="163"/>
      <c r="N596" s="163"/>
      <c r="O596" s="163"/>
      <c r="P596" s="163"/>
      <c r="Q596" s="571"/>
      <c r="R596" s="571"/>
      <c r="S596" s="571"/>
      <c r="T596" s="571"/>
      <c r="U596" s="571"/>
      <c r="V596" s="571"/>
      <c r="W596" s="571"/>
      <c r="X596" s="571"/>
      <c r="Y596" s="571"/>
      <c r="Z596" s="571"/>
    </row>
    <row r="597" spans="1:26" ht="18.75">
      <c r="A597" s="601"/>
      <c r="B597" s="611"/>
      <c r="C597" s="611"/>
      <c r="D597" s="737" t="s">
        <v>254</v>
      </c>
      <c r="E597" s="619"/>
      <c r="F597" s="619"/>
      <c r="G597" s="753"/>
      <c r="H597" s="755" t="s">
        <v>46</v>
      </c>
      <c r="I597" s="184"/>
      <c r="J597" s="214">
        <v>0</v>
      </c>
      <c r="K597" s="163"/>
      <c r="L597" s="163"/>
      <c r="M597" s="163"/>
      <c r="N597" s="163"/>
      <c r="O597" s="163"/>
      <c r="P597" s="163"/>
      <c r="Q597" s="571"/>
      <c r="R597" s="571"/>
      <c r="S597" s="571"/>
      <c r="T597" s="571"/>
      <c r="U597" s="571"/>
      <c r="V597" s="571"/>
      <c r="W597" s="571"/>
      <c r="X597" s="571"/>
      <c r="Y597" s="571"/>
      <c r="Z597" s="571"/>
    </row>
    <row r="598" spans="1:26" ht="18.75">
      <c r="A598" s="601"/>
      <c r="B598" s="611"/>
      <c r="C598" s="611"/>
      <c r="D598" s="611"/>
      <c r="E598" s="619"/>
      <c r="F598" s="619"/>
      <c r="G598" s="753"/>
      <c r="H598" s="755" t="s">
        <v>34</v>
      </c>
      <c r="I598" s="269"/>
      <c r="J598" s="214">
        <v>0</v>
      </c>
      <c r="K598" s="163"/>
      <c r="L598" s="163"/>
      <c r="M598" s="163"/>
      <c r="N598" s="163"/>
      <c r="O598" s="163"/>
      <c r="P598" s="163"/>
      <c r="Q598" s="571"/>
      <c r="R598" s="571"/>
      <c r="S598" s="571"/>
      <c r="T598" s="571"/>
      <c r="U598" s="571"/>
      <c r="V598" s="571"/>
      <c r="W598" s="571"/>
      <c r="X598" s="571"/>
      <c r="Y598" s="571"/>
      <c r="Z598" s="571"/>
    </row>
    <row r="599" spans="1:26" ht="18.75">
      <c r="A599" s="601"/>
      <c r="B599" s="611"/>
      <c r="C599" s="611"/>
      <c r="D599" s="737" t="s">
        <v>255</v>
      </c>
      <c r="E599" s="619"/>
      <c r="F599" s="619"/>
      <c r="G599" s="753"/>
      <c r="H599" s="755" t="s">
        <v>46</v>
      </c>
      <c r="I599" s="269"/>
      <c r="J599" s="214">
        <v>0</v>
      </c>
      <c r="K599" s="163"/>
      <c r="L599" s="163"/>
      <c r="M599" s="163"/>
      <c r="N599" s="163"/>
      <c r="O599" s="163"/>
      <c r="P599" s="163"/>
      <c r="Q599" s="571"/>
      <c r="R599" s="571"/>
      <c r="S599" s="571"/>
      <c r="T599" s="571"/>
      <c r="U599" s="571"/>
      <c r="V599" s="571"/>
      <c r="W599" s="571"/>
      <c r="X599" s="571"/>
      <c r="Y599" s="571"/>
      <c r="Z599" s="571"/>
    </row>
    <row r="600" spans="1:26" ht="18.75">
      <c r="A600" s="601"/>
      <c r="B600" s="611"/>
      <c r="C600" s="611"/>
      <c r="D600" s="611"/>
      <c r="E600" s="619"/>
      <c r="F600" s="619"/>
      <c r="G600" s="753"/>
      <c r="H600" s="755" t="s">
        <v>34</v>
      </c>
      <c r="I600" s="269"/>
      <c r="J600" s="214">
        <v>0</v>
      </c>
      <c r="K600" s="163"/>
      <c r="L600" s="163"/>
      <c r="M600" s="163"/>
      <c r="N600" s="163"/>
      <c r="O600" s="163"/>
      <c r="P600" s="163"/>
      <c r="Q600" s="571"/>
      <c r="R600" s="571"/>
      <c r="S600" s="571"/>
      <c r="T600" s="571"/>
      <c r="U600" s="571"/>
      <c r="V600" s="571"/>
      <c r="W600" s="571"/>
      <c r="X600" s="571"/>
      <c r="Y600" s="571"/>
      <c r="Z600" s="571"/>
    </row>
    <row r="601" spans="1:26" ht="18.75">
      <c r="A601" s="601"/>
      <c r="B601" s="611"/>
      <c r="C601" s="611"/>
      <c r="D601" s="737" t="s">
        <v>256</v>
      </c>
      <c r="E601" s="619"/>
      <c r="F601" s="619"/>
      <c r="G601" s="753"/>
      <c r="H601" s="755" t="s">
        <v>46</v>
      </c>
      <c r="I601" s="269"/>
      <c r="J601" s="214">
        <v>0</v>
      </c>
      <c r="K601" s="163"/>
      <c r="L601" s="163"/>
      <c r="M601" s="163"/>
      <c r="N601" s="163"/>
      <c r="O601" s="163"/>
      <c r="P601" s="163"/>
      <c r="Q601" s="571"/>
      <c r="R601" s="571"/>
      <c r="S601" s="571"/>
      <c r="T601" s="571"/>
      <c r="U601" s="571"/>
      <c r="V601" s="571"/>
      <c r="W601" s="571"/>
      <c r="X601" s="571"/>
      <c r="Y601" s="571"/>
      <c r="Z601" s="571"/>
    </row>
    <row r="602" spans="1:26" ht="18.75">
      <c r="A602" s="601"/>
      <c r="B602" s="611"/>
      <c r="C602" s="611"/>
      <c r="D602" s="611"/>
      <c r="E602" s="619"/>
      <c r="F602" s="619"/>
      <c r="G602" s="753"/>
      <c r="H602" s="755" t="s">
        <v>34</v>
      </c>
      <c r="I602" s="269"/>
      <c r="J602" s="214">
        <v>0</v>
      </c>
      <c r="K602" s="163"/>
      <c r="L602" s="163"/>
      <c r="M602" s="163"/>
      <c r="N602" s="163"/>
      <c r="O602" s="163"/>
      <c r="P602" s="163"/>
      <c r="Q602" s="571"/>
      <c r="R602" s="571"/>
      <c r="S602" s="571"/>
      <c r="T602" s="571"/>
      <c r="U602" s="571"/>
      <c r="V602" s="571"/>
      <c r="W602" s="571"/>
      <c r="X602" s="571"/>
      <c r="Y602" s="571"/>
      <c r="Z602" s="571"/>
    </row>
    <row r="603" spans="1:26" ht="18.75">
      <c r="A603" s="601"/>
      <c r="B603" s="611"/>
      <c r="C603" s="696" t="s">
        <v>257</v>
      </c>
      <c r="D603" s="611"/>
      <c r="E603" s="611"/>
      <c r="F603" s="619"/>
      <c r="G603" s="753"/>
      <c r="H603" s="755" t="s">
        <v>46</v>
      </c>
      <c r="I603" s="269"/>
      <c r="J603" s="269">
        <f t="shared" ref="J603:J604" si="257">J605+J607</f>
        <v>0</v>
      </c>
      <c r="K603" s="163"/>
      <c r="L603" s="163"/>
      <c r="M603" s="163"/>
      <c r="N603" s="163"/>
      <c r="O603" s="163"/>
      <c r="P603" s="163"/>
      <c r="Q603" s="571"/>
      <c r="R603" s="571"/>
      <c r="S603" s="571"/>
      <c r="T603" s="571"/>
      <c r="U603" s="571"/>
      <c r="V603" s="571"/>
      <c r="W603" s="571"/>
      <c r="X603" s="571"/>
      <c r="Y603" s="571"/>
      <c r="Z603" s="571"/>
    </row>
    <row r="604" spans="1:26" ht="18.75">
      <c r="A604" s="601"/>
      <c r="B604" s="611"/>
      <c r="C604" s="611"/>
      <c r="D604" s="611"/>
      <c r="E604" s="619"/>
      <c r="F604" s="619"/>
      <c r="G604" s="753"/>
      <c r="H604" s="755" t="s">
        <v>34</v>
      </c>
      <c r="I604" s="269"/>
      <c r="J604" s="269">
        <f t="shared" si="257"/>
        <v>0</v>
      </c>
      <c r="K604" s="163"/>
      <c r="L604" s="163"/>
      <c r="M604" s="163"/>
      <c r="N604" s="163"/>
      <c r="O604" s="163"/>
      <c r="P604" s="163"/>
      <c r="Q604" s="571"/>
      <c r="R604" s="571"/>
      <c r="S604" s="571"/>
      <c r="T604" s="571"/>
      <c r="U604" s="571"/>
      <c r="V604" s="571"/>
      <c r="W604" s="571"/>
      <c r="X604" s="571"/>
      <c r="Y604" s="571"/>
      <c r="Z604" s="571"/>
    </row>
    <row r="605" spans="1:26" ht="18.75">
      <c r="A605" s="601"/>
      <c r="B605" s="611"/>
      <c r="C605" s="611"/>
      <c r="D605" s="696" t="s">
        <v>258</v>
      </c>
      <c r="E605" s="619"/>
      <c r="F605" s="619"/>
      <c r="G605" s="753"/>
      <c r="H605" s="755" t="s">
        <v>46</v>
      </c>
      <c r="I605" s="269"/>
      <c r="J605" s="214">
        <v>0</v>
      </c>
      <c r="K605" s="163"/>
      <c r="L605" s="163"/>
      <c r="M605" s="163"/>
      <c r="N605" s="163"/>
      <c r="O605" s="163"/>
      <c r="P605" s="163"/>
      <c r="Q605" s="571"/>
      <c r="R605" s="571"/>
      <c r="S605" s="571"/>
      <c r="T605" s="571"/>
      <c r="U605" s="571"/>
      <c r="V605" s="571"/>
      <c r="W605" s="571"/>
      <c r="X605" s="571"/>
      <c r="Y605" s="571"/>
      <c r="Z605" s="571"/>
    </row>
    <row r="606" spans="1:26" ht="18.75">
      <c r="A606" s="601"/>
      <c r="B606" s="611"/>
      <c r="C606" s="611"/>
      <c r="D606" s="611"/>
      <c r="E606" s="611"/>
      <c r="F606" s="619"/>
      <c r="G606" s="753"/>
      <c r="H606" s="755" t="s">
        <v>34</v>
      </c>
      <c r="I606" s="269"/>
      <c r="J606" s="214">
        <v>0</v>
      </c>
      <c r="K606" s="163"/>
      <c r="L606" s="163"/>
      <c r="M606" s="163"/>
      <c r="N606" s="163"/>
      <c r="O606" s="163"/>
      <c r="P606" s="163"/>
      <c r="Q606" s="571"/>
      <c r="R606" s="571"/>
      <c r="S606" s="571"/>
      <c r="T606" s="571"/>
      <c r="U606" s="571"/>
      <c r="V606" s="571"/>
      <c r="W606" s="571"/>
      <c r="X606" s="571"/>
      <c r="Y606" s="571"/>
      <c r="Z606" s="571"/>
    </row>
    <row r="607" spans="1:26" ht="18.75">
      <c r="A607" s="601"/>
      <c r="B607" s="611"/>
      <c r="C607" s="611"/>
      <c r="D607" s="696" t="s">
        <v>259</v>
      </c>
      <c r="E607" s="611"/>
      <c r="F607" s="619"/>
      <c r="G607" s="753"/>
      <c r="H607" s="755" t="s">
        <v>46</v>
      </c>
      <c r="I607" s="269"/>
      <c r="J607" s="214">
        <v>0</v>
      </c>
      <c r="K607" s="163"/>
      <c r="L607" s="163"/>
      <c r="M607" s="163"/>
      <c r="N607" s="163"/>
      <c r="O607" s="163"/>
      <c r="P607" s="163"/>
      <c r="Q607" s="571"/>
      <c r="R607" s="571"/>
      <c r="S607" s="571"/>
      <c r="T607" s="571"/>
      <c r="U607" s="571"/>
      <c r="V607" s="571"/>
      <c r="W607" s="571"/>
      <c r="X607" s="571"/>
      <c r="Y607" s="571"/>
      <c r="Z607" s="571"/>
    </row>
    <row r="608" spans="1:26" ht="18.75">
      <c r="A608" s="601"/>
      <c r="B608" s="611"/>
      <c r="C608" s="611"/>
      <c r="D608" s="611"/>
      <c r="E608" s="619"/>
      <c r="F608" s="619"/>
      <c r="G608" s="753"/>
      <c r="H608" s="755" t="s">
        <v>34</v>
      </c>
      <c r="I608" s="269"/>
      <c r="J608" s="214">
        <v>0</v>
      </c>
      <c r="K608" s="163"/>
      <c r="L608" s="163"/>
      <c r="M608" s="163"/>
      <c r="N608" s="163"/>
      <c r="O608" s="163"/>
      <c r="P608" s="163"/>
      <c r="Q608" s="571"/>
      <c r="R608" s="571"/>
      <c r="S608" s="571"/>
      <c r="T608" s="571"/>
      <c r="U608" s="571"/>
      <c r="V608" s="571"/>
      <c r="W608" s="571"/>
      <c r="X608" s="571"/>
      <c r="Y608" s="571"/>
      <c r="Z608" s="571"/>
    </row>
    <row r="609" spans="1:26" ht="18.75">
      <c r="A609" s="601"/>
      <c r="B609" s="611"/>
      <c r="C609" s="611" t="s">
        <v>260</v>
      </c>
      <c r="D609" s="611"/>
      <c r="E609" s="611"/>
      <c r="F609" s="619"/>
      <c r="G609" s="753"/>
      <c r="H609" s="755" t="s">
        <v>46</v>
      </c>
      <c r="I609" s="269"/>
      <c r="J609" s="214">
        <v>0</v>
      </c>
      <c r="K609" s="163"/>
      <c r="L609" s="163"/>
      <c r="M609" s="163"/>
      <c r="N609" s="163"/>
      <c r="O609" s="163"/>
      <c r="P609" s="163"/>
      <c r="Q609" s="571"/>
      <c r="R609" s="571"/>
      <c r="S609" s="571"/>
      <c r="T609" s="571"/>
      <c r="U609" s="571"/>
      <c r="V609" s="571"/>
      <c r="W609" s="571"/>
      <c r="X609" s="571"/>
      <c r="Y609" s="571"/>
      <c r="Z609" s="571"/>
    </row>
    <row r="610" spans="1:26" ht="18.75">
      <c r="A610" s="601"/>
      <c r="B610" s="611"/>
      <c r="C610" s="611"/>
      <c r="D610" s="611"/>
      <c r="E610" s="619"/>
      <c r="F610" s="619"/>
      <c r="G610" s="753"/>
      <c r="H610" s="755" t="s">
        <v>34</v>
      </c>
      <c r="I610" s="269"/>
      <c r="J610" s="214">
        <v>0</v>
      </c>
      <c r="K610" s="163"/>
      <c r="L610" s="163"/>
      <c r="M610" s="163"/>
      <c r="N610" s="163"/>
      <c r="O610" s="163"/>
      <c r="P610" s="163"/>
      <c r="Q610" s="571"/>
      <c r="R610" s="571"/>
      <c r="S610" s="571"/>
      <c r="T610" s="571"/>
      <c r="U610" s="571"/>
      <c r="V610" s="571"/>
      <c r="W610" s="571"/>
      <c r="X610" s="571"/>
      <c r="Y610" s="571"/>
      <c r="Z610" s="571"/>
    </row>
    <row r="611" spans="1:26" ht="19.5" hidden="1">
      <c r="A611" s="685"/>
      <c r="B611" s="697" t="s">
        <v>261</v>
      </c>
      <c r="C611" s="687"/>
      <c r="D611" s="687"/>
      <c r="E611" s="666"/>
      <c r="F611" s="666"/>
      <c r="G611" s="667"/>
      <c r="H611" s="698" t="s">
        <v>46</v>
      </c>
      <c r="I611" s="699">
        <v>0</v>
      </c>
      <c r="J611" s="699">
        <f>J614+J616</f>
        <v>0</v>
      </c>
      <c r="K611" s="670">
        <f t="shared" ref="K611:K613" si="258">IF(I611&gt;0,J611*100/I611,0)</f>
        <v>0</v>
      </c>
      <c r="L611" s="671"/>
      <c r="M611" s="671"/>
      <c r="N611" s="671"/>
      <c r="O611" s="671"/>
      <c r="P611" s="671"/>
      <c r="Q611" s="571"/>
      <c r="R611" s="571"/>
      <c r="S611" s="571"/>
      <c r="T611" s="571"/>
      <c r="U611" s="571"/>
      <c r="V611" s="571"/>
      <c r="W611" s="571"/>
      <c r="X611" s="571"/>
      <c r="Y611" s="571"/>
      <c r="Z611" s="571"/>
    </row>
    <row r="612" spans="1:26" ht="19.5" hidden="1">
      <c r="A612" s="700"/>
      <c r="B612" s="710"/>
      <c r="C612" s="702" t="s">
        <v>262</v>
      </c>
      <c r="D612" s="710"/>
      <c r="E612" s="710"/>
      <c r="F612" s="703"/>
      <c r="G612" s="704"/>
      <c r="H612" s="705" t="s">
        <v>46</v>
      </c>
      <c r="I612" s="707">
        <v>0</v>
      </c>
      <c r="J612" s="707">
        <f t="shared" ref="J612:J613" si="259">J614+J616</f>
        <v>0</v>
      </c>
      <c r="K612" s="708">
        <f t="shared" si="258"/>
        <v>0</v>
      </c>
      <c r="L612" s="709"/>
      <c r="M612" s="709"/>
      <c r="N612" s="709"/>
      <c r="O612" s="709"/>
      <c r="P612" s="709"/>
      <c r="Q612" s="597"/>
      <c r="R612" s="597"/>
      <c r="S612" s="597"/>
      <c r="T612" s="597"/>
      <c r="U612" s="597"/>
      <c r="V612" s="597"/>
      <c r="W612" s="597"/>
      <c r="X612" s="597"/>
      <c r="Y612" s="597"/>
      <c r="Z612" s="597"/>
    </row>
    <row r="613" spans="1:26" ht="19.5" hidden="1">
      <c r="A613" s="700"/>
      <c r="B613" s="710"/>
      <c r="C613" s="710" t="s">
        <v>263</v>
      </c>
      <c r="D613" s="710"/>
      <c r="E613" s="710"/>
      <c r="F613" s="703"/>
      <c r="G613" s="704"/>
      <c r="H613" s="705" t="s">
        <v>34</v>
      </c>
      <c r="I613" s="707">
        <v>0</v>
      </c>
      <c r="J613" s="707">
        <f t="shared" si="259"/>
        <v>0</v>
      </c>
      <c r="K613" s="708">
        <f t="shared" si="258"/>
        <v>0</v>
      </c>
      <c r="L613" s="709"/>
      <c r="M613" s="709"/>
      <c r="N613" s="709"/>
      <c r="O613" s="709"/>
      <c r="P613" s="709"/>
      <c r="Q613" s="597"/>
      <c r="R613" s="597"/>
      <c r="S613" s="597"/>
      <c r="T613" s="597"/>
      <c r="U613" s="597"/>
      <c r="V613" s="597"/>
      <c r="W613" s="597"/>
      <c r="X613" s="597"/>
      <c r="Y613" s="597"/>
      <c r="Z613" s="597"/>
    </row>
    <row r="614" spans="1:26" ht="18.75" hidden="1">
      <c r="A614" s="607"/>
      <c r="B614" s="609"/>
      <c r="C614" s="609"/>
      <c r="D614" s="711" t="s">
        <v>264</v>
      </c>
      <c r="E614" s="609"/>
      <c r="F614" s="711"/>
      <c r="G614" s="365"/>
      <c r="H614" s="369" t="s">
        <v>46</v>
      </c>
      <c r="I614" s="610"/>
      <c r="J614" s="610">
        <v>0</v>
      </c>
      <c r="K614" s="167"/>
      <c r="L614" s="167"/>
      <c r="M614" s="167"/>
      <c r="N614" s="167"/>
      <c r="O614" s="167"/>
      <c r="P614" s="167"/>
      <c r="Q614" s="597"/>
      <c r="R614" s="597"/>
      <c r="S614" s="597"/>
      <c r="T614" s="597"/>
      <c r="U614" s="597"/>
      <c r="V614" s="597"/>
      <c r="W614" s="597"/>
      <c r="X614" s="597"/>
      <c r="Y614" s="597"/>
      <c r="Z614" s="597"/>
    </row>
    <row r="615" spans="1:26" ht="18.75" hidden="1">
      <c r="A615" s="607"/>
      <c r="B615" s="609"/>
      <c r="C615" s="609"/>
      <c r="D615" s="609"/>
      <c r="E615" s="609"/>
      <c r="F615" s="711"/>
      <c r="G615" s="365"/>
      <c r="H615" s="369" t="s">
        <v>34</v>
      </c>
      <c r="I615" s="610"/>
      <c r="J615" s="610">
        <v>0</v>
      </c>
      <c r="K615" s="167"/>
      <c r="L615" s="167"/>
      <c r="M615" s="167"/>
      <c r="N615" s="167"/>
      <c r="O615" s="167"/>
      <c r="P615" s="167"/>
      <c r="Q615" s="597"/>
      <c r="R615" s="597"/>
      <c r="S615" s="597"/>
      <c r="T615" s="597"/>
      <c r="U615" s="597"/>
      <c r="V615" s="597"/>
      <c r="W615" s="597"/>
      <c r="X615" s="597"/>
      <c r="Y615" s="597"/>
      <c r="Z615" s="597"/>
    </row>
    <row r="616" spans="1:26" ht="18.75" hidden="1">
      <c r="A616" s="607"/>
      <c r="B616" s="609"/>
      <c r="C616" s="609"/>
      <c r="D616" s="712" t="s">
        <v>264</v>
      </c>
      <c r="E616" s="711"/>
      <c r="F616" s="711"/>
      <c r="G616" s="365"/>
      <c r="H616" s="369" t="s">
        <v>46</v>
      </c>
      <c r="I616" s="610"/>
      <c r="J616" s="610">
        <v>0</v>
      </c>
      <c r="K616" s="167"/>
      <c r="L616" s="167"/>
      <c r="M616" s="167"/>
      <c r="N616" s="167"/>
      <c r="O616" s="167"/>
      <c r="P616" s="167"/>
      <c r="Q616" s="597"/>
      <c r="R616" s="597"/>
      <c r="S616" s="597"/>
      <c r="T616" s="597"/>
      <c r="U616" s="597"/>
      <c r="V616" s="597"/>
      <c r="W616" s="597"/>
      <c r="X616" s="597"/>
      <c r="Y616" s="597"/>
      <c r="Z616" s="597"/>
    </row>
    <row r="617" spans="1:26" ht="18.75" hidden="1">
      <c r="A617" s="607"/>
      <c r="B617" s="609"/>
      <c r="C617" s="609"/>
      <c r="D617" s="609"/>
      <c r="E617" s="711"/>
      <c r="F617" s="711"/>
      <c r="G617" s="365"/>
      <c r="H617" s="369" t="s">
        <v>34</v>
      </c>
      <c r="I617" s="610"/>
      <c r="J617" s="610">
        <v>0</v>
      </c>
      <c r="K617" s="167"/>
      <c r="L617" s="167"/>
      <c r="M617" s="167"/>
      <c r="N617" s="167"/>
      <c r="O617" s="167"/>
      <c r="P617" s="167"/>
      <c r="Q617" s="597"/>
      <c r="R617" s="597"/>
      <c r="S617" s="597"/>
      <c r="T617" s="597"/>
      <c r="U617" s="597"/>
      <c r="V617" s="597"/>
      <c r="W617" s="597"/>
      <c r="X617" s="597"/>
      <c r="Y617" s="597"/>
      <c r="Z617" s="597"/>
    </row>
    <row r="618" spans="1:26" ht="18.75" hidden="1">
      <c r="A618" s="607"/>
      <c r="B618" s="609"/>
      <c r="C618" s="609"/>
      <c r="D618" s="712" t="s">
        <v>265</v>
      </c>
      <c r="E618" s="711"/>
      <c r="F618" s="711"/>
      <c r="G618" s="365"/>
      <c r="H618" s="369" t="s">
        <v>46</v>
      </c>
      <c r="I618" s="610"/>
      <c r="J618" s="610">
        <v>0</v>
      </c>
      <c r="K618" s="167"/>
      <c r="L618" s="167"/>
      <c r="M618" s="167"/>
      <c r="N618" s="167"/>
      <c r="O618" s="167"/>
      <c r="P618" s="167"/>
      <c r="Q618" s="597"/>
      <c r="R618" s="597"/>
      <c r="S618" s="597"/>
      <c r="T618" s="597"/>
      <c r="U618" s="597"/>
      <c r="V618" s="597"/>
      <c r="W618" s="597"/>
      <c r="X618" s="597"/>
      <c r="Y618" s="597"/>
      <c r="Z618" s="597"/>
    </row>
    <row r="619" spans="1:26" ht="18.75" hidden="1">
      <c r="A619" s="607"/>
      <c r="B619" s="609"/>
      <c r="C619" s="609"/>
      <c r="D619" s="609"/>
      <c r="E619" s="711"/>
      <c r="F619" s="711"/>
      <c r="G619" s="365"/>
      <c r="H619" s="369" t="s">
        <v>34</v>
      </c>
      <c r="I619" s="610"/>
      <c r="J619" s="610">
        <v>0</v>
      </c>
      <c r="K619" s="167"/>
      <c r="L619" s="167"/>
      <c r="M619" s="167"/>
      <c r="N619" s="167"/>
      <c r="O619" s="167"/>
      <c r="P619" s="167"/>
      <c r="Q619" s="597"/>
      <c r="R619" s="597"/>
      <c r="S619" s="597"/>
      <c r="T619" s="597"/>
      <c r="U619" s="597"/>
      <c r="V619" s="597"/>
      <c r="W619" s="597"/>
      <c r="X619" s="597"/>
      <c r="Y619" s="597"/>
      <c r="Z619" s="597"/>
    </row>
    <row r="620" spans="1:26" ht="19.5" hidden="1">
      <c r="A620" s="713"/>
      <c r="B620" s="722"/>
      <c r="C620" s="715" t="s">
        <v>266</v>
      </c>
      <c r="D620" s="722"/>
      <c r="E620" s="722"/>
      <c r="F620" s="716"/>
      <c r="G620" s="717"/>
      <c r="H620" s="718" t="s">
        <v>46</v>
      </c>
      <c r="I620" s="719">
        <f ca="1">IFERROR(__xludf.DUMMYFUNCTION("IMPORTRANGE(""https://docs.google.com/spreadsheets/d/1QqKyyYR6Q21VydFLVH3TRQUabQu_ym0Zz7PgGX0-kHA/edit?usp=sharing"",""แผน!HL72"")"),0)</f>
        <v>0</v>
      </c>
      <c r="J620" s="719">
        <f t="shared" ref="J620:J621" si="260">J622+J624+J626</f>
        <v>0</v>
      </c>
      <c r="K620" s="720">
        <f t="shared" ref="K620:K621" ca="1" si="261">IF(I620&gt;0,J620*100/I620,0)</f>
        <v>0</v>
      </c>
      <c r="L620" s="721"/>
      <c r="M620" s="721"/>
      <c r="N620" s="721"/>
      <c r="O620" s="721"/>
      <c r="P620" s="721"/>
      <c r="Q620" s="571"/>
      <c r="R620" s="571"/>
      <c r="S620" s="571"/>
      <c r="T620" s="571"/>
      <c r="U620" s="571"/>
      <c r="V620" s="571"/>
      <c r="W620" s="571"/>
      <c r="X620" s="571"/>
      <c r="Y620" s="571"/>
      <c r="Z620" s="571"/>
    </row>
    <row r="621" spans="1:26" ht="19.5" hidden="1">
      <c r="A621" s="713"/>
      <c r="B621" s="722"/>
      <c r="C621" s="722" t="s">
        <v>267</v>
      </c>
      <c r="D621" s="722"/>
      <c r="E621" s="722"/>
      <c r="F621" s="716"/>
      <c r="G621" s="717"/>
      <c r="H621" s="718" t="s">
        <v>34</v>
      </c>
      <c r="I621" s="719">
        <f ca="1">IFERROR(__xludf.DUMMYFUNCTION("IMPORTRANGE(""https://docs.google.com/spreadsheets/d/1QqKyyYR6Q21VydFLVH3TRQUabQu_ym0Zz7PgGX0-kHA/edit?usp=sharing"",""แผน!HK72"")"),0)</f>
        <v>0</v>
      </c>
      <c r="J621" s="719">
        <f t="shared" si="260"/>
        <v>0</v>
      </c>
      <c r="K621" s="720">
        <f t="shared" ca="1" si="261"/>
        <v>0</v>
      </c>
      <c r="L621" s="721"/>
      <c r="M621" s="721"/>
      <c r="N621" s="721"/>
      <c r="O621" s="721"/>
      <c r="P621" s="721"/>
      <c r="Q621" s="571"/>
      <c r="R621" s="571"/>
      <c r="S621" s="571"/>
      <c r="T621" s="571"/>
      <c r="U621" s="571"/>
      <c r="V621" s="571"/>
      <c r="W621" s="571"/>
      <c r="X621" s="571"/>
      <c r="Y621" s="571"/>
      <c r="Z621" s="571"/>
    </row>
    <row r="622" spans="1:26" ht="18.75" hidden="1">
      <c r="A622" s="601"/>
      <c r="B622" s="611"/>
      <c r="C622" s="611"/>
      <c r="D622" s="737" t="s">
        <v>268</v>
      </c>
      <c r="E622" s="619"/>
      <c r="F622" s="619"/>
      <c r="G622" s="753"/>
      <c r="H622" s="755" t="s">
        <v>46</v>
      </c>
      <c r="I622" s="269"/>
      <c r="J622" s="214">
        <v>0</v>
      </c>
      <c r="K622" s="163"/>
      <c r="L622" s="163"/>
      <c r="M622" s="163"/>
      <c r="N622" s="163"/>
      <c r="O622" s="163"/>
      <c r="P622" s="163"/>
      <c r="Q622" s="571"/>
      <c r="R622" s="571"/>
      <c r="S622" s="571"/>
      <c r="T622" s="571"/>
      <c r="U622" s="571"/>
      <c r="V622" s="571"/>
      <c r="W622" s="571"/>
      <c r="X622" s="571"/>
      <c r="Y622" s="571"/>
      <c r="Z622" s="571"/>
    </row>
    <row r="623" spans="1:26" ht="18.75" hidden="1">
      <c r="A623" s="601"/>
      <c r="B623" s="611"/>
      <c r="C623" s="611"/>
      <c r="D623" s="611"/>
      <c r="E623" s="619"/>
      <c r="F623" s="619"/>
      <c r="G623" s="753"/>
      <c r="H623" s="755" t="s">
        <v>34</v>
      </c>
      <c r="I623" s="269"/>
      <c r="J623" s="214">
        <v>0</v>
      </c>
      <c r="K623" s="163"/>
      <c r="L623" s="163"/>
      <c r="M623" s="163"/>
      <c r="N623" s="163"/>
      <c r="O623" s="163"/>
      <c r="P623" s="163"/>
      <c r="Q623" s="571"/>
      <c r="R623" s="571"/>
      <c r="S623" s="571"/>
      <c r="T623" s="571"/>
      <c r="U623" s="571"/>
      <c r="V623" s="571"/>
      <c r="W623" s="571"/>
      <c r="X623" s="571"/>
      <c r="Y623" s="571"/>
      <c r="Z623" s="571"/>
    </row>
    <row r="624" spans="1:26" ht="18.75" hidden="1">
      <c r="A624" s="601"/>
      <c r="B624" s="611"/>
      <c r="C624" s="611"/>
      <c r="D624" s="737" t="s">
        <v>264</v>
      </c>
      <c r="E624" s="619"/>
      <c r="F624" s="619"/>
      <c r="G624" s="753"/>
      <c r="H624" s="755" t="s">
        <v>46</v>
      </c>
      <c r="I624" s="269"/>
      <c r="J624" s="214">
        <v>0</v>
      </c>
      <c r="K624" s="163"/>
      <c r="L624" s="163"/>
      <c r="M624" s="163"/>
      <c r="N624" s="163"/>
      <c r="O624" s="163"/>
      <c r="P624" s="163"/>
      <c r="Q624" s="571"/>
      <c r="R624" s="571"/>
      <c r="S624" s="571"/>
      <c r="T624" s="571"/>
      <c r="U624" s="571"/>
      <c r="V624" s="571"/>
      <c r="W624" s="571"/>
      <c r="X624" s="571"/>
      <c r="Y624" s="571"/>
      <c r="Z624" s="571"/>
    </row>
    <row r="625" spans="1:26" ht="18.75" hidden="1">
      <c r="A625" s="601"/>
      <c r="B625" s="611"/>
      <c r="C625" s="611"/>
      <c r="D625" s="611"/>
      <c r="E625" s="619"/>
      <c r="F625" s="619"/>
      <c r="G625" s="753"/>
      <c r="H625" s="755" t="s">
        <v>34</v>
      </c>
      <c r="I625" s="269"/>
      <c r="J625" s="214">
        <v>0</v>
      </c>
      <c r="K625" s="163"/>
      <c r="L625" s="163"/>
      <c r="M625" s="163"/>
      <c r="N625" s="163"/>
      <c r="O625" s="163"/>
      <c r="P625" s="163"/>
      <c r="Q625" s="571"/>
      <c r="R625" s="571"/>
      <c r="S625" s="571"/>
      <c r="T625" s="571"/>
      <c r="U625" s="571"/>
      <c r="V625" s="571"/>
      <c r="W625" s="571"/>
      <c r="X625" s="571"/>
      <c r="Y625" s="571"/>
      <c r="Z625" s="571"/>
    </row>
    <row r="626" spans="1:26" ht="18.75" hidden="1">
      <c r="A626" s="601"/>
      <c r="B626" s="611"/>
      <c r="C626" s="611"/>
      <c r="D626" s="737" t="s">
        <v>269</v>
      </c>
      <c r="E626" s="619"/>
      <c r="F626" s="619"/>
      <c r="G626" s="753"/>
      <c r="H626" s="755" t="s">
        <v>46</v>
      </c>
      <c r="I626" s="269"/>
      <c r="J626" s="214">
        <v>0</v>
      </c>
      <c r="K626" s="163"/>
      <c r="L626" s="163"/>
      <c r="M626" s="163"/>
      <c r="N626" s="163"/>
      <c r="O626" s="163"/>
      <c r="P626" s="163"/>
      <c r="Q626" s="571"/>
      <c r="R626" s="571"/>
      <c r="S626" s="571"/>
      <c r="T626" s="571"/>
      <c r="U626" s="571"/>
      <c r="V626" s="571"/>
      <c r="W626" s="571"/>
      <c r="X626" s="571"/>
      <c r="Y626" s="571"/>
      <c r="Z626" s="571"/>
    </row>
    <row r="627" spans="1:26" ht="18.75" hidden="1">
      <c r="A627" s="723"/>
      <c r="B627" s="724"/>
      <c r="C627" s="724"/>
      <c r="D627" s="724"/>
      <c r="E627" s="725"/>
      <c r="F627" s="725"/>
      <c r="G627" s="726"/>
      <c r="H627" s="421" t="s">
        <v>34</v>
      </c>
      <c r="I627" s="499"/>
      <c r="J627" s="423">
        <v>0</v>
      </c>
      <c r="K627" s="384"/>
      <c r="L627" s="384"/>
      <c r="M627" s="384"/>
      <c r="N627" s="384"/>
      <c r="O627" s="384"/>
      <c r="P627" s="384"/>
      <c r="Q627" s="571"/>
      <c r="R627" s="571"/>
      <c r="S627" s="571"/>
      <c r="T627" s="571"/>
      <c r="U627" s="571"/>
      <c r="V627" s="571"/>
      <c r="W627" s="571"/>
      <c r="X627" s="571"/>
      <c r="Y627" s="571"/>
      <c r="Z627" s="571"/>
    </row>
    <row r="628" spans="1:26" ht="19.5">
      <c r="A628" s="727">
        <v>7</v>
      </c>
      <c r="B628" s="728" t="s">
        <v>270</v>
      </c>
      <c r="C628" s="729"/>
      <c r="D628" s="729"/>
      <c r="E628" s="729"/>
      <c r="F628" s="729"/>
      <c r="G628" s="730"/>
      <c r="H628" s="731" t="s">
        <v>35</v>
      </c>
      <c r="I628" s="732">
        <f t="shared" ref="I628:J628" ca="1" si="262">I651</f>
        <v>100</v>
      </c>
      <c r="J628" s="732">
        <f t="shared" ca="1" si="262"/>
        <v>0</v>
      </c>
      <c r="K628" s="733">
        <f ca="1">IF(I628&gt;0,J628*100/I628,0)</f>
        <v>0</v>
      </c>
      <c r="L628" s="734"/>
      <c r="M628" s="734"/>
      <c r="N628" s="734"/>
      <c r="O628" s="734"/>
      <c r="P628" s="734"/>
      <c r="Q628" s="571"/>
      <c r="R628" s="571"/>
      <c r="S628" s="571"/>
      <c r="T628" s="571"/>
      <c r="U628" s="571"/>
      <c r="V628" s="571"/>
      <c r="W628" s="571"/>
      <c r="X628" s="571"/>
      <c r="Y628" s="571"/>
      <c r="Z628" s="571"/>
    </row>
    <row r="629" spans="1:26" ht="19.5">
      <c r="A629" s="590"/>
      <c r="B629" s="754"/>
      <c r="C629" s="754" t="s">
        <v>16</v>
      </c>
      <c r="D629" s="863" t="s">
        <v>17</v>
      </c>
      <c r="E629" s="857"/>
      <c r="F629" s="857"/>
      <c r="G629" s="189"/>
      <c r="H629" s="591" t="s">
        <v>12</v>
      </c>
      <c r="I629" s="269"/>
      <c r="J629" s="269"/>
      <c r="K629" s="496"/>
      <c r="L629" s="195">
        <f t="shared" ref="L629:N629" ca="1" si="263">L630+L631</f>
        <v>381515</v>
      </c>
      <c r="M629" s="195">
        <f t="shared" si="263"/>
        <v>0</v>
      </c>
      <c r="N629" s="195">
        <f t="shared" si="263"/>
        <v>68860</v>
      </c>
      <c r="O629" s="195">
        <f t="shared" ref="O629:O634" ca="1" si="264">IF(L629&gt;0,N629*100/L629,0)</f>
        <v>18.049093744675833</v>
      </c>
      <c r="P629" s="195">
        <f t="shared" ref="P629:P634" si="265">IF(M629&gt;0,N629*100/M629,0)</f>
        <v>0</v>
      </c>
      <c r="Q629" s="571"/>
      <c r="R629" s="571"/>
      <c r="S629" s="571"/>
      <c r="T629" s="571"/>
      <c r="U629" s="571"/>
      <c r="V629" s="571"/>
      <c r="W629" s="571"/>
      <c r="X629" s="571"/>
      <c r="Y629" s="571"/>
      <c r="Z629" s="571"/>
    </row>
    <row r="630" spans="1:26" ht="18.75" hidden="1">
      <c r="A630" s="592"/>
      <c r="B630" s="750"/>
      <c r="C630" s="750"/>
      <c r="D630" s="711"/>
      <c r="E630" s="750" t="s">
        <v>184</v>
      </c>
      <c r="F630" s="750"/>
      <c r="G630" s="596"/>
      <c r="H630" s="165" t="s">
        <v>12</v>
      </c>
      <c r="I630" s="610"/>
      <c r="J630" s="610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597"/>
      <c r="R630" s="597"/>
      <c r="S630" s="597"/>
      <c r="T630" s="597"/>
      <c r="U630" s="597"/>
      <c r="V630" s="597"/>
      <c r="W630" s="597"/>
      <c r="X630" s="597"/>
      <c r="Y630" s="597"/>
      <c r="Z630" s="597"/>
    </row>
    <row r="631" spans="1:26" ht="18.75" hidden="1">
      <c r="A631" s="592"/>
      <c r="B631" s="600"/>
      <c r="C631" s="750"/>
      <c r="D631" s="711"/>
      <c r="E631" s="750" t="s">
        <v>185</v>
      </c>
      <c r="F631" s="750"/>
      <c r="G631" s="596"/>
      <c r="H631" s="165" t="s">
        <v>12</v>
      </c>
      <c r="I631" s="610"/>
      <c r="J631" s="610"/>
      <c r="K631" s="93"/>
      <c r="L631" s="93">
        <f t="shared" ca="1" si="266"/>
        <v>381515</v>
      </c>
      <c r="M631" s="93">
        <f t="shared" si="266"/>
        <v>0</v>
      </c>
      <c r="N631" s="93">
        <f t="shared" si="266"/>
        <v>68860</v>
      </c>
      <c r="O631" s="93">
        <f t="shared" ca="1" si="264"/>
        <v>18.049093744675833</v>
      </c>
      <c r="P631" s="93">
        <f t="shared" si="265"/>
        <v>0</v>
      </c>
      <c r="Q631" s="597"/>
      <c r="R631" s="597"/>
      <c r="S631" s="597"/>
      <c r="T631" s="597"/>
      <c r="U631" s="597"/>
      <c r="V631" s="597"/>
      <c r="W631" s="597"/>
      <c r="X631" s="597"/>
      <c r="Y631" s="597"/>
      <c r="Z631" s="597"/>
    </row>
    <row r="632" spans="1:26" ht="18.75">
      <c r="A632" s="590"/>
      <c r="B632" s="568"/>
      <c r="C632" s="754"/>
      <c r="D632" s="599" t="s">
        <v>20</v>
      </c>
      <c r="E632" s="754"/>
      <c r="F632" s="754"/>
      <c r="G632" s="189"/>
      <c r="H632" s="161" t="s">
        <v>12</v>
      </c>
      <c r="I632" s="184"/>
      <c r="J632" s="184"/>
      <c r="K632" s="163"/>
      <c r="L632" s="496">
        <f t="shared" ref="L632:N632" ca="1" si="267">L633+L634</f>
        <v>381515</v>
      </c>
      <c r="M632" s="496">
        <f t="shared" si="267"/>
        <v>0</v>
      </c>
      <c r="N632" s="496">
        <f t="shared" si="267"/>
        <v>68860</v>
      </c>
      <c r="O632" s="496">
        <f t="shared" ca="1" si="264"/>
        <v>18.049093744675833</v>
      </c>
      <c r="P632" s="496">
        <f t="shared" si="265"/>
        <v>0</v>
      </c>
      <c r="Q632" s="571"/>
      <c r="R632" s="571"/>
      <c r="S632" s="571"/>
      <c r="T632" s="571"/>
      <c r="U632" s="571"/>
      <c r="V632" s="571"/>
      <c r="W632" s="571"/>
      <c r="X632" s="571"/>
      <c r="Y632" s="571"/>
      <c r="Z632" s="571"/>
    </row>
    <row r="633" spans="1:26" ht="18.75" hidden="1">
      <c r="A633" s="592"/>
      <c r="B633" s="600"/>
      <c r="C633" s="750"/>
      <c r="D633" s="711"/>
      <c r="E633" s="750" t="s">
        <v>184</v>
      </c>
      <c r="F633" s="750"/>
      <c r="G633" s="596"/>
      <c r="H633" s="165" t="s">
        <v>12</v>
      </c>
      <c r="I633" s="610"/>
      <c r="J633" s="610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597"/>
      <c r="R633" s="597"/>
      <c r="S633" s="597"/>
      <c r="T633" s="597"/>
      <c r="U633" s="597"/>
      <c r="V633" s="597"/>
      <c r="W633" s="597"/>
      <c r="X633" s="597"/>
      <c r="Y633" s="597"/>
      <c r="Z633" s="597"/>
    </row>
    <row r="634" spans="1:26" ht="18.75" hidden="1">
      <c r="A634" s="592"/>
      <c r="B634" s="600"/>
      <c r="C634" s="750"/>
      <c r="D634" s="711"/>
      <c r="E634" s="750" t="s">
        <v>185</v>
      </c>
      <c r="F634" s="750"/>
      <c r="G634" s="596"/>
      <c r="H634" s="165" t="s">
        <v>12</v>
      </c>
      <c r="I634" s="610"/>
      <c r="J634" s="610"/>
      <c r="K634" s="93"/>
      <c r="L634" s="93">
        <f ca="1">IFERROR(__xludf.DUMMYFUNCTION("IMPORTRANGE(""https://docs.google.com/spreadsheets/d/1QqKyyYR6Q21VydFLVH3TRQUabQu_ym0Zz7PgGX0-kHA/edit?usp=sharing"",""แผน!HN72"")"),381515)</f>
        <v>381515</v>
      </c>
      <c r="M634" s="93">
        <v>0</v>
      </c>
      <c r="N634" s="93">
        <f>N635+N636+N637+N638</f>
        <v>68860</v>
      </c>
      <c r="O634" s="93">
        <f t="shared" ca="1" si="264"/>
        <v>18.049093744675833</v>
      </c>
      <c r="P634" s="93">
        <f t="shared" si="265"/>
        <v>0</v>
      </c>
      <c r="Q634" s="597"/>
      <c r="R634" s="597"/>
      <c r="S634" s="597"/>
      <c r="T634" s="597"/>
      <c r="U634" s="597"/>
      <c r="V634" s="597"/>
      <c r="W634" s="597"/>
      <c r="X634" s="597"/>
      <c r="Y634" s="597"/>
      <c r="Z634" s="597"/>
    </row>
    <row r="635" spans="1:26" ht="18.75">
      <c r="A635" s="567"/>
      <c r="B635" s="568"/>
      <c r="C635" s="754"/>
      <c r="D635" s="754"/>
      <c r="E635" s="754"/>
      <c r="F635" s="754" t="s">
        <v>186</v>
      </c>
      <c r="G635" s="189"/>
      <c r="H635" s="161" t="s">
        <v>12</v>
      </c>
      <c r="I635" s="269"/>
      <c r="J635" s="269"/>
      <c r="K635" s="496"/>
      <c r="L635" s="496"/>
      <c r="M635" s="496"/>
      <c r="N635" s="817">
        <v>0</v>
      </c>
      <c r="O635" s="496"/>
      <c r="P635" s="496"/>
      <c r="Q635" s="571"/>
      <c r="R635" s="571"/>
      <c r="S635" s="571"/>
      <c r="T635" s="571"/>
      <c r="U635" s="571"/>
      <c r="V635" s="571"/>
      <c r="W635" s="571"/>
      <c r="X635" s="571"/>
      <c r="Y635" s="571"/>
      <c r="Z635" s="571"/>
    </row>
    <row r="636" spans="1:26" ht="18.75">
      <c r="A636" s="567"/>
      <c r="B636" s="568"/>
      <c r="C636" s="754"/>
      <c r="D636" s="754"/>
      <c r="E636" s="754"/>
      <c r="F636" s="754" t="s">
        <v>187</v>
      </c>
      <c r="G636" s="189"/>
      <c r="H636" s="161" t="s">
        <v>12</v>
      </c>
      <c r="I636" s="269"/>
      <c r="J636" s="269"/>
      <c r="K636" s="496"/>
      <c r="L636" s="496"/>
      <c r="M636" s="496"/>
      <c r="N636" s="817">
        <v>0</v>
      </c>
      <c r="O636" s="496"/>
      <c r="P636" s="496"/>
      <c r="Q636" s="571"/>
      <c r="R636" s="571"/>
      <c r="S636" s="571"/>
      <c r="T636" s="571"/>
      <c r="U636" s="571"/>
      <c r="V636" s="571"/>
      <c r="W636" s="571"/>
      <c r="X636" s="571"/>
      <c r="Y636" s="571"/>
      <c r="Z636" s="571"/>
    </row>
    <row r="637" spans="1:26" ht="18.75">
      <c r="A637" s="567"/>
      <c r="B637" s="568"/>
      <c r="C637" s="754"/>
      <c r="D637" s="754"/>
      <c r="E637" s="754"/>
      <c r="F637" s="754" t="s">
        <v>188</v>
      </c>
      <c r="G637" s="189"/>
      <c r="H637" s="161" t="s">
        <v>12</v>
      </c>
      <c r="I637" s="269"/>
      <c r="J637" s="269"/>
      <c r="K637" s="496"/>
      <c r="L637" s="496"/>
      <c r="M637" s="496"/>
      <c r="N637" s="817">
        <v>26000</v>
      </c>
      <c r="O637" s="496"/>
      <c r="P637" s="496"/>
      <c r="Q637" s="571"/>
      <c r="R637" s="571"/>
      <c r="S637" s="571"/>
      <c r="T637" s="571"/>
      <c r="U637" s="571"/>
      <c r="V637" s="571"/>
      <c r="W637" s="571"/>
      <c r="X637" s="571"/>
      <c r="Y637" s="571"/>
      <c r="Z637" s="571"/>
    </row>
    <row r="638" spans="1:26" ht="18.75">
      <c r="A638" s="567"/>
      <c r="B638" s="568"/>
      <c r="C638" s="754"/>
      <c r="D638" s="754"/>
      <c r="E638" s="754"/>
      <c r="F638" s="754" t="s">
        <v>189</v>
      </c>
      <c r="G638" s="189"/>
      <c r="H638" s="161" t="s">
        <v>12</v>
      </c>
      <c r="I638" s="269"/>
      <c r="J638" s="269"/>
      <c r="K638" s="496"/>
      <c r="L638" s="496"/>
      <c r="M638" s="496"/>
      <c r="N638" s="817">
        <f>42860</f>
        <v>42860</v>
      </c>
      <c r="O638" s="496"/>
      <c r="P638" s="496"/>
      <c r="Q638" s="571"/>
      <c r="R638" s="571"/>
      <c r="S638" s="571"/>
      <c r="T638" s="571"/>
      <c r="U638" s="571"/>
      <c r="V638" s="571"/>
      <c r="W638" s="571"/>
      <c r="X638" s="571"/>
      <c r="Y638" s="571"/>
      <c r="Z638" s="571"/>
    </row>
    <row r="639" spans="1:26" ht="18.75">
      <c r="A639" s="590"/>
      <c r="B639" s="568"/>
      <c r="C639" s="754"/>
      <c r="D639" s="599" t="s">
        <v>21</v>
      </c>
      <c r="E639" s="754"/>
      <c r="F639" s="754"/>
      <c r="G639" s="189"/>
      <c r="H639" s="168" t="s">
        <v>12</v>
      </c>
      <c r="I639" s="184"/>
      <c r="J639" s="184"/>
      <c r="K639" s="163"/>
      <c r="L639" s="496">
        <f t="shared" ref="L639:N639" ca="1" si="268">L640+L641</f>
        <v>0</v>
      </c>
      <c r="M639" s="496">
        <f t="shared" si="268"/>
        <v>0</v>
      </c>
      <c r="N639" s="496">
        <f t="shared" si="268"/>
        <v>0</v>
      </c>
      <c r="O639" s="496">
        <f t="shared" ref="O639:O641" ca="1" si="269">IF(L639&gt;0,N639*100/L639,0)</f>
        <v>0</v>
      </c>
      <c r="P639" s="496">
        <f t="shared" ref="P639:P641" si="270">IF(M639&gt;0,N639*100/M639,0)</f>
        <v>0</v>
      </c>
      <c r="Q639" s="571"/>
      <c r="R639" s="571"/>
      <c r="S639" s="571"/>
      <c r="T639" s="571"/>
      <c r="U639" s="571"/>
      <c r="V639" s="571"/>
      <c r="W639" s="571"/>
      <c r="X639" s="571"/>
      <c r="Y639" s="571"/>
      <c r="Z639" s="571"/>
    </row>
    <row r="640" spans="1:26" ht="18.75" hidden="1">
      <c r="A640" s="592"/>
      <c r="B640" s="600"/>
      <c r="C640" s="750"/>
      <c r="D640" s="750"/>
      <c r="E640" s="750" t="s">
        <v>18</v>
      </c>
      <c r="F640" s="750"/>
      <c r="G640" s="596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597"/>
      <c r="R640" s="597"/>
      <c r="S640" s="597"/>
      <c r="T640" s="597"/>
      <c r="U640" s="597"/>
      <c r="V640" s="597"/>
      <c r="W640" s="597"/>
      <c r="X640" s="597"/>
      <c r="Y640" s="597"/>
      <c r="Z640" s="597"/>
    </row>
    <row r="641" spans="1:26" ht="18.75" hidden="1">
      <c r="A641" s="592"/>
      <c r="B641" s="600"/>
      <c r="C641" s="750"/>
      <c r="D641" s="750"/>
      <c r="E641" s="750" t="s">
        <v>19</v>
      </c>
      <c r="F641" s="750"/>
      <c r="G641" s="596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IFERROR(__xludf.DUMMYFUNCTION("IMPORTRANGE(""https://docs.google.com/spreadsheets/d/1QqKyyYR6Q21VydFLVH3TRQUabQu_ym0Zz7PgGX0-kHA/edit?usp=sharing"",""แผน!HQ72"")"),0)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597"/>
      <c r="R641" s="597"/>
      <c r="S641" s="597"/>
      <c r="T641" s="597"/>
      <c r="U641" s="597"/>
      <c r="V641" s="597"/>
      <c r="W641" s="597"/>
      <c r="X641" s="597"/>
      <c r="Y641" s="597"/>
      <c r="Z641" s="597"/>
    </row>
    <row r="642" spans="1:26" ht="19.5">
      <c r="A642" s="601"/>
      <c r="B642" s="611"/>
      <c r="C642" s="754" t="s">
        <v>16</v>
      </c>
      <c r="D642" s="839" t="s">
        <v>38</v>
      </c>
      <c r="E642" s="752"/>
      <c r="F642" s="752"/>
      <c r="G642" s="606"/>
      <c r="H642" s="753"/>
      <c r="I642" s="184"/>
      <c r="J642" s="184"/>
      <c r="K642" s="163"/>
      <c r="L642" s="163"/>
      <c r="M642" s="163"/>
      <c r="N642" s="163"/>
      <c r="O642" s="163"/>
      <c r="P642" s="163"/>
      <c r="Q642" s="571"/>
      <c r="R642" s="571"/>
      <c r="S642" s="571"/>
      <c r="T642" s="571"/>
      <c r="U642" s="571"/>
      <c r="V642" s="571"/>
      <c r="W642" s="571"/>
      <c r="X642" s="571"/>
      <c r="Y642" s="571"/>
      <c r="Z642" s="571"/>
    </row>
    <row r="643" spans="1:26" ht="18.75">
      <c r="A643" s="735"/>
      <c r="B643" s="568"/>
      <c r="C643" s="754"/>
      <c r="D643" s="619"/>
      <c r="E643" s="737" t="s">
        <v>271</v>
      </c>
      <c r="F643" s="619"/>
      <c r="G643" s="753"/>
      <c r="H643" s="755" t="s">
        <v>272</v>
      </c>
      <c r="I643" s="269">
        <f ca="1">IFERROR(__xludf.DUMMYFUNCTION("IMPORTRANGE(""https://docs.google.com/spreadsheets/d/1QqKyyYR6Q21VydFLVH3TRQUabQu_ym0Zz7PgGX0-kHA/edit?usp=sharing"",""แผน!HR72"")"),0)</f>
        <v>0</v>
      </c>
      <c r="J643" s="214">
        <v>0</v>
      </c>
      <c r="K643" s="163">
        <f t="shared" ref="K643:K652" ca="1" si="271">IF(I643&gt;0,J643*100/I643,0)</f>
        <v>0</v>
      </c>
      <c r="L643" s="163"/>
      <c r="M643" s="163"/>
      <c r="N643" s="496"/>
      <c r="O643" s="163"/>
      <c r="P643" s="163"/>
      <c r="Q643" s="571"/>
      <c r="R643" s="571"/>
      <c r="S643" s="571"/>
      <c r="T643" s="571"/>
      <c r="U643" s="571"/>
      <c r="V643" s="571"/>
      <c r="W643" s="571"/>
      <c r="X643" s="571"/>
      <c r="Y643" s="571"/>
      <c r="Z643" s="571"/>
    </row>
    <row r="644" spans="1:26" ht="18.75">
      <c r="A644" s="735"/>
      <c r="B644" s="568"/>
      <c r="C644" s="754"/>
      <c r="D644" s="619"/>
      <c r="E644" s="737" t="s">
        <v>273</v>
      </c>
      <c r="F644" s="619"/>
      <c r="G644" s="753"/>
      <c r="H644" s="755" t="s">
        <v>274</v>
      </c>
      <c r="I644" s="269">
        <f ca="1">IFERROR(__xludf.DUMMYFUNCTION("IMPORTRANGE(""https://docs.google.com/spreadsheets/d/1QqKyyYR6Q21VydFLVH3TRQUabQu_ym0Zz7PgGX0-kHA/edit?usp=sharing"",""แผน!HR72"")"),0)</f>
        <v>0</v>
      </c>
      <c r="J644" s="214">
        <v>0</v>
      </c>
      <c r="K644" s="163">
        <f t="shared" ca="1" si="271"/>
        <v>0</v>
      </c>
      <c r="L644" s="163"/>
      <c r="M644" s="163"/>
      <c r="N644" s="496"/>
      <c r="O644" s="163"/>
      <c r="P644" s="163"/>
      <c r="Q644" s="571"/>
      <c r="R644" s="571"/>
      <c r="S644" s="571"/>
      <c r="T644" s="571"/>
      <c r="U644" s="571"/>
      <c r="V644" s="571"/>
      <c r="W644" s="571"/>
      <c r="X644" s="571"/>
      <c r="Y644" s="571"/>
      <c r="Z644" s="571"/>
    </row>
    <row r="645" spans="1:26" ht="18.75">
      <c r="A645" s="735"/>
      <c r="B645" s="568"/>
      <c r="C645" s="754"/>
      <c r="D645" s="619"/>
      <c r="E645" s="737" t="s">
        <v>275</v>
      </c>
      <c r="F645" s="619"/>
      <c r="G645" s="753"/>
      <c r="H645" s="755" t="s">
        <v>34</v>
      </c>
      <c r="I645" s="269">
        <v>0</v>
      </c>
      <c r="J645" s="269">
        <f ca="1">IFERROR(__xludf.DUMMYFUNCTION("IMPORTRANGE(""https://docs.google.com/spreadsheets/d/1XWAQStnk-4SwqDmLtmXYiTMKHgktTP8We1SCoS47DrQ/edit?usp=sharing"",""จัดที่ดิน!AS72"")"),43)</f>
        <v>43</v>
      </c>
      <c r="K645" s="163">
        <f t="shared" si="271"/>
        <v>0</v>
      </c>
      <c r="L645" s="163"/>
      <c r="M645" s="163"/>
      <c r="N645" s="496"/>
      <c r="O645" s="163"/>
      <c r="P645" s="163"/>
      <c r="Q645" s="571"/>
      <c r="R645" s="571"/>
      <c r="S645" s="571"/>
      <c r="T645" s="571"/>
      <c r="U645" s="571"/>
      <c r="V645" s="571"/>
      <c r="W645" s="571"/>
      <c r="X645" s="571"/>
      <c r="Y645" s="571"/>
      <c r="Z645" s="571"/>
    </row>
    <row r="646" spans="1:26" ht="18.75">
      <c r="A646" s="735"/>
      <c r="B646" s="568"/>
      <c r="C646" s="754"/>
      <c r="D646" s="619"/>
      <c r="E646" s="619"/>
      <c r="F646" s="619"/>
      <c r="G646" s="753"/>
      <c r="H646" s="755" t="s">
        <v>46</v>
      </c>
      <c r="I646" s="269">
        <v>0</v>
      </c>
      <c r="J646" s="269">
        <f ca="1">IFERROR(__xludf.DUMMYFUNCTION("IMPORTRANGE(""https://docs.google.com/spreadsheets/d/1XWAQStnk-4SwqDmLtmXYiTMKHgktTP8We1SCoS47DrQ/edit?usp=sharing"",""จัดที่ดิน!AT72"")"),31.09)</f>
        <v>31.09</v>
      </c>
      <c r="K646" s="496">
        <f t="shared" si="271"/>
        <v>0</v>
      </c>
      <c r="L646" s="163"/>
      <c r="M646" s="163"/>
      <c r="N646" s="496"/>
      <c r="O646" s="163"/>
      <c r="P646" s="163"/>
      <c r="Q646" s="571"/>
      <c r="R646" s="571"/>
      <c r="S646" s="571"/>
      <c r="T646" s="571"/>
      <c r="U646" s="571"/>
      <c r="V646" s="571"/>
      <c r="W646" s="571"/>
      <c r="X646" s="571"/>
      <c r="Y646" s="571"/>
      <c r="Z646" s="571"/>
    </row>
    <row r="647" spans="1:26" ht="18.75">
      <c r="A647" s="735"/>
      <c r="B647" s="568"/>
      <c r="C647" s="754"/>
      <c r="D647" s="619"/>
      <c r="E647" s="737" t="s">
        <v>162</v>
      </c>
      <c r="F647" s="619"/>
      <c r="G647" s="753"/>
      <c r="H647" s="755" t="s">
        <v>35</v>
      </c>
      <c r="I647" s="269">
        <f ca="1">IFERROR(__xludf.DUMMYFUNCTION("IMPORTRANGE(""https://docs.google.com/spreadsheets/d/1QqKyyYR6Q21VydFLVH3TRQUabQu_ym0Zz7PgGX0-kHA/edit?usp=sharing"",""แผน!HS72"")"),100)</f>
        <v>100</v>
      </c>
      <c r="J647" s="269">
        <f ca="1">IFERROR(__xludf.DUMMYFUNCTION("IMPORTRANGE(""https://docs.google.com/spreadsheets/d/1XWAQStnk-4SwqDmLtmXYiTMKHgktTP8We1SCoS47DrQ/edit?usp=sharing"",""จัดที่ดิน!AU72"")"),0)</f>
        <v>0</v>
      </c>
      <c r="K647" s="163">
        <f t="shared" ca="1" si="271"/>
        <v>0</v>
      </c>
      <c r="L647" s="163"/>
      <c r="M647" s="163"/>
      <c r="N647" s="163"/>
      <c r="O647" s="163"/>
      <c r="P647" s="163"/>
      <c r="Q647" s="571"/>
      <c r="R647" s="571"/>
      <c r="S647" s="571"/>
      <c r="T647" s="571"/>
      <c r="U647" s="571"/>
      <c r="V647" s="571"/>
      <c r="W647" s="571"/>
      <c r="X647" s="571"/>
      <c r="Y647" s="571"/>
      <c r="Z647" s="571"/>
    </row>
    <row r="648" spans="1:26" ht="18.75">
      <c r="A648" s="735"/>
      <c r="B648" s="568"/>
      <c r="C648" s="754"/>
      <c r="D648" s="619"/>
      <c r="E648" s="619"/>
      <c r="F648" s="619"/>
      <c r="G648" s="753"/>
      <c r="H648" s="755" t="s">
        <v>46</v>
      </c>
      <c r="I648" s="269">
        <v>0</v>
      </c>
      <c r="J648" s="269">
        <f ca="1">IFERROR(__xludf.DUMMYFUNCTION("IMPORTRANGE(""https://docs.google.com/spreadsheets/d/1XWAQStnk-4SwqDmLtmXYiTMKHgktTP8We1SCoS47DrQ/edit?usp=sharing"",""จัดที่ดิน!AV72"")"),0)</f>
        <v>0</v>
      </c>
      <c r="K648" s="496">
        <f t="shared" si="271"/>
        <v>0</v>
      </c>
      <c r="L648" s="163"/>
      <c r="M648" s="163"/>
      <c r="N648" s="163"/>
      <c r="O648" s="163"/>
      <c r="P648" s="163"/>
      <c r="Q648" s="571"/>
      <c r="R648" s="571"/>
      <c r="S648" s="571"/>
      <c r="T648" s="571"/>
      <c r="U648" s="571"/>
      <c r="V648" s="571"/>
      <c r="W648" s="571"/>
      <c r="X648" s="571"/>
      <c r="Y648" s="571"/>
      <c r="Z648" s="571"/>
    </row>
    <row r="649" spans="1:26" ht="18.75">
      <c r="A649" s="735"/>
      <c r="B649" s="568"/>
      <c r="C649" s="754"/>
      <c r="D649" s="619"/>
      <c r="E649" s="737" t="s">
        <v>276</v>
      </c>
      <c r="F649" s="619"/>
      <c r="G649" s="753"/>
      <c r="H649" s="755" t="s">
        <v>35</v>
      </c>
      <c r="I649" s="269">
        <f ca="1">IFERROR(__xludf.DUMMYFUNCTION("IMPORTRANGE(""https://docs.google.com/spreadsheets/d/1QqKyyYR6Q21VydFLVH3TRQUabQu_ym0Zz7PgGX0-kHA/edit?usp=sharing"",""แผน!HS72"")"),100)</f>
        <v>100</v>
      </c>
      <c r="J649" s="269">
        <f ca="1">IFERROR(__xludf.DUMMYFUNCTION("IMPORTRANGE(""https://docs.google.com/spreadsheets/d/1XWAQStnk-4SwqDmLtmXYiTMKHgktTP8We1SCoS47DrQ/edit?usp=sharing"",""จัดที่ดิน!AW72"")"),0)</f>
        <v>0</v>
      </c>
      <c r="K649" s="163">
        <f t="shared" ca="1" si="271"/>
        <v>0</v>
      </c>
      <c r="L649" s="163"/>
      <c r="M649" s="163"/>
      <c r="N649" s="163"/>
      <c r="O649" s="163"/>
      <c r="P649" s="163"/>
      <c r="Q649" s="571"/>
      <c r="R649" s="571"/>
      <c r="S649" s="571"/>
      <c r="T649" s="571"/>
      <c r="U649" s="571"/>
      <c r="V649" s="571"/>
      <c r="W649" s="571"/>
      <c r="X649" s="571"/>
      <c r="Y649" s="571"/>
      <c r="Z649" s="571"/>
    </row>
    <row r="650" spans="1:26" ht="18.75">
      <c r="A650" s="735"/>
      <c r="B650" s="568"/>
      <c r="C650" s="754"/>
      <c r="D650" s="619"/>
      <c r="E650" s="619"/>
      <c r="F650" s="619"/>
      <c r="G650" s="753"/>
      <c r="H650" s="755" t="s">
        <v>46</v>
      </c>
      <c r="I650" s="269">
        <v>0</v>
      </c>
      <c r="J650" s="269">
        <f ca="1">IFERROR(__xludf.DUMMYFUNCTION("IMPORTRANGE(""https://docs.google.com/spreadsheets/d/1XWAQStnk-4SwqDmLtmXYiTMKHgktTP8We1SCoS47DrQ/edit?usp=sharing"",""จัดที่ดิน!AX72"")"),0)</f>
        <v>0</v>
      </c>
      <c r="K650" s="496">
        <f t="shared" si="271"/>
        <v>0</v>
      </c>
      <c r="L650" s="163"/>
      <c r="M650" s="163"/>
      <c r="N650" s="163"/>
      <c r="O650" s="163"/>
      <c r="P650" s="163"/>
      <c r="Q650" s="571"/>
      <c r="R650" s="571"/>
      <c r="S650" s="571"/>
      <c r="T650" s="571"/>
      <c r="U650" s="571"/>
      <c r="V650" s="571"/>
      <c r="W650" s="571"/>
      <c r="X650" s="571"/>
      <c r="Y650" s="571"/>
      <c r="Z650" s="571"/>
    </row>
    <row r="651" spans="1:26" ht="18.75">
      <c r="A651" s="735"/>
      <c r="B651" s="568"/>
      <c r="C651" s="754"/>
      <c r="D651" s="619"/>
      <c r="E651" s="737" t="s">
        <v>277</v>
      </c>
      <c r="F651" s="619"/>
      <c r="G651" s="753"/>
      <c r="H651" s="755" t="s">
        <v>35</v>
      </c>
      <c r="I651" s="269">
        <f ca="1">IFERROR(__xludf.DUMMYFUNCTION("IMPORTRANGE(""https://docs.google.com/spreadsheets/d/1QqKyyYR6Q21VydFLVH3TRQUabQu_ym0Zz7PgGX0-kHA/edit?usp=sharing"",""แผน!HS72"")"),100)</f>
        <v>100</v>
      </c>
      <c r="J651" s="269">
        <f ca="1">IFERROR(__xludf.DUMMYFUNCTION("IMPORTRANGE(""https://docs.google.com/spreadsheets/d/1XWAQStnk-4SwqDmLtmXYiTMKHgktTP8We1SCoS47DrQ/edit?usp=sharing"",""จัดที่ดิน!AY72"")"),0)</f>
        <v>0</v>
      </c>
      <c r="K651" s="163">
        <f t="shared" ca="1" si="271"/>
        <v>0</v>
      </c>
      <c r="L651" s="163"/>
      <c r="M651" s="163"/>
      <c r="N651" s="163"/>
      <c r="O651" s="163"/>
      <c r="P651" s="163"/>
      <c r="Q651" s="571"/>
      <c r="R651" s="571"/>
      <c r="S651" s="571"/>
      <c r="T651" s="571"/>
      <c r="U651" s="571"/>
      <c r="V651" s="571"/>
      <c r="W651" s="571"/>
      <c r="X651" s="571"/>
      <c r="Y651" s="571"/>
      <c r="Z651" s="571"/>
    </row>
    <row r="652" spans="1:26" ht="18.75">
      <c r="A652" s="738"/>
      <c r="B652" s="739"/>
      <c r="C652" s="740"/>
      <c r="D652" s="725"/>
      <c r="E652" s="725"/>
      <c r="F652" s="725"/>
      <c r="G652" s="726"/>
      <c r="H652" s="498" t="s">
        <v>46</v>
      </c>
      <c r="I652" s="499">
        <v>0</v>
      </c>
      <c r="J652" s="499">
        <f ca="1">IFERROR(__xludf.DUMMYFUNCTION("IMPORTRANGE(""https://docs.google.com/spreadsheets/d/1XWAQStnk-4SwqDmLtmXYiTMKHgktTP8We1SCoS47DrQ/edit?usp=sharing"",""จัดที่ดิน!AZ72"")"),0)</f>
        <v>0</v>
      </c>
      <c r="K652" s="500">
        <f t="shared" si="271"/>
        <v>0</v>
      </c>
      <c r="L652" s="384"/>
      <c r="M652" s="384"/>
      <c r="N652" s="384"/>
      <c r="O652" s="384"/>
      <c r="P652" s="384"/>
      <c r="Q652" s="571"/>
      <c r="R652" s="571"/>
      <c r="S652" s="571"/>
      <c r="T652" s="571"/>
      <c r="U652" s="571"/>
      <c r="V652" s="571"/>
      <c r="W652" s="571"/>
      <c r="X652" s="571"/>
      <c r="Y652" s="571"/>
      <c r="Z652" s="571"/>
    </row>
    <row r="653" spans="1:26" ht="19.5">
      <c r="A653" s="741">
        <v>8</v>
      </c>
      <c r="B653" s="728" t="s">
        <v>278</v>
      </c>
      <c r="C653" s="729"/>
      <c r="D653" s="729"/>
      <c r="E653" s="729"/>
      <c r="F653" s="729"/>
      <c r="G653" s="730"/>
      <c r="H653" s="730"/>
      <c r="I653" s="742"/>
      <c r="J653" s="742"/>
      <c r="K653" s="734"/>
      <c r="L653" s="734"/>
      <c r="M653" s="734"/>
      <c r="N653" s="734"/>
      <c r="O653" s="734"/>
      <c r="P653" s="734"/>
      <c r="Q653" s="571"/>
      <c r="R653" s="571"/>
      <c r="S653" s="571"/>
      <c r="T653" s="571"/>
      <c r="U653" s="571"/>
      <c r="V653" s="571"/>
      <c r="W653" s="571"/>
      <c r="X653" s="571"/>
      <c r="Y653" s="571"/>
      <c r="Z653" s="571"/>
    </row>
    <row r="654" spans="1:26" ht="19.5">
      <c r="A654" s="666"/>
      <c r="B654" s="665" t="s">
        <v>279</v>
      </c>
      <c r="C654" s="666"/>
      <c r="D654" s="666"/>
      <c r="E654" s="666"/>
      <c r="F654" s="666"/>
      <c r="G654" s="667"/>
      <c r="H654" s="698" t="s">
        <v>46</v>
      </c>
      <c r="I654" s="699">
        <f t="shared" ref="I654:J654" ca="1" si="272">I669</f>
        <v>100</v>
      </c>
      <c r="J654" s="699">
        <f t="shared" si="272"/>
        <v>0</v>
      </c>
      <c r="K654" s="670">
        <f ca="1">IF(I654&gt;0,J654*100/I654,0)</f>
        <v>0</v>
      </c>
      <c r="L654" s="671"/>
      <c r="M654" s="671"/>
      <c r="N654" s="671"/>
      <c r="O654" s="671"/>
      <c r="P654" s="671"/>
      <c r="Q654" s="571"/>
      <c r="R654" s="571"/>
      <c r="S654" s="571"/>
      <c r="T654" s="571"/>
      <c r="U654" s="571"/>
      <c r="V654" s="571"/>
      <c r="W654" s="571"/>
      <c r="X654" s="571"/>
      <c r="Y654" s="571"/>
      <c r="Z654" s="571"/>
    </row>
    <row r="655" spans="1:26" ht="19.5">
      <c r="A655" s="590"/>
      <c r="B655" s="754"/>
      <c r="C655" s="754" t="s">
        <v>16</v>
      </c>
      <c r="D655" s="863" t="s">
        <v>17</v>
      </c>
      <c r="E655" s="857"/>
      <c r="F655" s="857"/>
      <c r="G655" s="189"/>
      <c r="H655" s="591" t="s">
        <v>12</v>
      </c>
      <c r="I655" s="269"/>
      <c r="J655" s="269"/>
      <c r="K655" s="496"/>
      <c r="L655" s="195">
        <f t="shared" ref="L655:N655" ca="1" si="273">L656+L657</f>
        <v>12400</v>
      </c>
      <c r="M655" s="195">
        <f t="shared" si="273"/>
        <v>0</v>
      </c>
      <c r="N655" s="195">
        <f t="shared" si="273"/>
        <v>0</v>
      </c>
      <c r="O655" s="195">
        <f t="shared" ref="O655:O660" ca="1" si="274">IF(L655&gt;0,N655*100/L655,0)</f>
        <v>0</v>
      </c>
      <c r="P655" s="195">
        <f t="shared" ref="P655:P660" si="275">IF(M655&gt;0,N655*100/M655,0)</f>
        <v>0</v>
      </c>
      <c r="Q655" s="571"/>
      <c r="R655" s="571"/>
      <c r="S655" s="571"/>
      <c r="T655" s="571"/>
      <c r="U655" s="571"/>
      <c r="V655" s="571"/>
      <c r="W655" s="571"/>
      <c r="X655" s="571"/>
      <c r="Y655" s="571"/>
      <c r="Z655" s="571"/>
    </row>
    <row r="656" spans="1:26" ht="18.75" hidden="1">
      <c r="A656" s="592"/>
      <c r="B656" s="750"/>
      <c r="C656" s="750"/>
      <c r="D656" s="711"/>
      <c r="E656" s="750" t="s">
        <v>184</v>
      </c>
      <c r="F656" s="750"/>
      <c r="G656" s="596"/>
      <c r="H656" s="165" t="s">
        <v>12</v>
      </c>
      <c r="I656" s="610"/>
      <c r="J656" s="610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597"/>
      <c r="R656" s="597"/>
      <c r="S656" s="597"/>
      <c r="T656" s="597"/>
      <c r="U656" s="597"/>
      <c r="V656" s="597"/>
      <c r="W656" s="597"/>
      <c r="X656" s="597"/>
      <c r="Y656" s="597"/>
      <c r="Z656" s="597"/>
    </row>
    <row r="657" spans="1:26" ht="18.75" hidden="1">
      <c r="A657" s="592"/>
      <c r="B657" s="600"/>
      <c r="C657" s="750"/>
      <c r="D657" s="711"/>
      <c r="E657" s="750" t="s">
        <v>185</v>
      </c>
      <c r="F657" s="750"/>
      <c r="G657" s="596"/>
      <c r="H657" s="165" t="s">
        <v>12</v>
      </c>
      <c r="I657" s="610"/>
      <c r="J657" s="610"/>
      <c r="K657" s="93"/>
      <c r="L657" s="93">
        <f t="shared" ca="1" si="276"/>
        <v>12400</v>
      </c>
      <c r="M657" s="93">
        <f t="shared" si="276"/>
        <v>0</v>
      </c>
      <c r="N657" s="93">
        <f t="shared" si="276"/>
        <v>0</v>
      </c>
      <c r="O657" s="93">
        <f t="shared" ca="1" si="274"/>
        <v>0</v>
      </c>
      <c r="P657" s="93">
        <f t="shared" si="275"/>
        <v>0</v>
      </c>
      <c r="Q657" s="597"/>
      <c r="R657" s="597"/>
      <c r="S657" s="597"/>
      <c r="T657" s="597"/>
      <c r="U657" s="597"/>
      <c r="V657" s="597"/>
      <c r="W657" s="597"/>
      <c r="X657" s="597"/>
      <c r="Y657" s="597"/>
      <c r="Z657" s="597"/>
    </row>
    <row r="658" spans="1:26" ht="18.75">
      <c r="A658" s="590"/>
      <c r="B658" s="568"/>
      <c r="C658" s="754"/>
      <c r="D658" s="599" t="s">
        <v>20</v>
      </c>
      <c r="E658" s="754"/>
      <c r="F658" s="754"/>
      <c r="G658" s="189"/>
      <c r="H658" s="161" t="s">
        <v>12</v>
      </c>
      <c r="I658" s="184"/>
      <c r="J658" s="184"/>
      <c r="K658" s="163"/>
      <c r="L658" s="496">
        <f t="shared" ref="L658:N658" ca="1" si="277">L659+L660</f>
        <v>12400</v>
      </c>
      <c r="M658" s="496">
        <f t="shared" si="277"/>
        <v>0</v>
      </c>
      <c r="N658" s="496">
        <f t="shared" si="277"/>
        <v>0</v>
      </c>
      <c r="O658" s="496">
        <f t="shared" ca="1" si="274"/>
        <v>0</v>
      </c>
      <c r="P658" s="496">
        <f t="shared" si="275"/>
        <v>0</v>
      </c>
      <c r="Q658" s="571"/>
      <c r="R658" s="571"/>
      <c r="S658" s="571"/>
      <c r="T658" s="571"/>
      <c r="U658" s="571"/>
      <c r="V658" s="571"/>
      <c r="W658" s="571"/>
      <c r="X658" s="571"/>
      <c r="Y658" s="571"/>
      <c r="Z658" s="571"/>
    </row>
    <row r="659" spans="1:26" ht="18.75" hidden="1">
      <c r="A659" s="592"/>
      <c r="B659" s="600"/>
      <c r="C659" s="750"/>
      <c r="D659" s="711"/>
      <c r="E659" s="750" t="s">
        <v>184</v>
      </c>
      <c r="F659" s="750"/>
      <c r="G659" s="596"/>
      <c r="H659" s="165" t="s">
        <v>12</v>
      </c>
      <c r="I659" s="610"/>
      <c r="J659" s="610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597"/>
      <c r="R659" s="597"/>
      <c r="S659" s="597"/>
      <c r="T659" s="597"/>
      <c r="U659" s="597"/>
      <c r="V659" s="597"/>
      <c r="W659" s="597"/>
      <c r="X659" s="597"/>
      <c r="Y659" s="597"/>
      <c r="Z659" s="597"/>
    </row>
    <row r="660" spans="1:26" ht="18.75" hidden="1">
      <c r="A660" s="592"/>
      <c r="B660" s="600"/>
      <c r="C660" s="750"/>
      <c r="D660" s="711"/>
      <c r="E660" s="750" t="s">
        <v>185</v>
      </c>
      <c r="F660" s="750"/>
      <c r="G660" s="596"/>
      <c r="H660" s="165" t="s">
        <v>12</v>
      </c>
      <c r="I660" s="610"/>
      <c r="J660" s="610"/>
      <c r="K660" s="93"/>
      <c r="L660" s="93">
        <f ca="1">IFERROR(__xludf.DUMMYFUNCTION("IMPORTRANGE(""https://docs.google.com/spreadsheets/d/1QqKyyYR6Q21VydFLVH3TRQUabQu_ym0Zz7PgGX0-kHA/edit?usp=sharing"",""แผน!HV72"")"),12400)</f>
        <v>12400</v>
      </c>
      <c r="M660" s="93">
        <v>0</v>
      </c>
      <c r="N660" s="93">
        <f>N661+N662+N663+N664</f>
        <v>0</v>
      </c>
      <c r="O660" s="93">
        <f t="shared" ca="1" si="274"/>
        <v>0</v>
      </c>
      <c r="P660" s="93">
        <f t="shared" si="275"/>
        <v>0</v>
      </c>
      <c r="Q660" s="597"/>
      <c r="R660" s="597"/>
      <c r="S660" s="597"/>
      <c r="T660" s="597"/>
      <c r="U660" s="597"/>
      <c r="V660" s="597"/>
      <c r="W660" s="597"/>
      <c r="X660" s="597"/>
      <c r="Y660" s="597"/>
      <c r="Z660" s="597"/>
    </row>
    <row r="661" spans="1:26" ht="18.75">
      <c r="A661" s="567"/>
      <c r="B661" s="568"/>
      <c r="C661" s="754"/>
      <c r="D661" s="754"/>
      <c r="E661" s="754"/>
      <c r="F661" s="754" t="s">
        <v>186</v>
      </c>
      <c r="G661" s="189"/>
      <c r="H661" s="161" t="s">
        <v>12</v>
      </c>
      <c r="I661" s="269"/>
      <c r="J661" s="269"/>
      <c r="K661" s="496"/>
      <c r="L661" s="496"/>
      <c r="M661" s="496"/>
      <c r="N661" s="817">
        <v>0</v>
      </c>
      <c r="O661" s="496"/>
      <c r="P661" s="496"/>
      <c r="Q661" s="571"/>
      <c r="R661" s="571"/>
      <c r="S661" s="571"/>
      <c r="T661" s="571"/>
      <c r="U661" s="571"/>
      <c r="V661" s="571"/>
      <c r="W661" s="571"/>
      <c r="X661" s="571"/>
      <c r="Y661" s="571"/>
      <c r="Z661" s="571"/>
    </row>
    <row r="662" spans="1:26" ht="18.75">
      <c r="A662" s="567"/>
      <c r="B662" s="568"/>
      <c r="C662" s="754"/>
      <c r="D662" s="754"/>
      <c r="E662" s="754"/>
      <c r="F662" s="754" t="s">
        <v>187</v>
      </c>
      <c r="G662" s="189"/>
      <c r="H662" s="161" t="s">
        <v>12</v>
      </c>
      <c r="I662" s="269"/>
      <c r="J662" s="269"/>
      <c r="K662" s="496"/>
      <c r="L662" s="496"/>
      <c r="M662" s="496"/>
      <c r="N662" s="817">
        <v>0</v>
      </c>
      <c r="O662" s="496"/>
      <c r="P662" s="496"/>
      <c r="Q662" s="571"/>
      <c r="R662" s="571"/>
      <c r="S662" s="571"/>
      <c r="T662" s="571"/>
      <c r="U662" s="571"/>
      <c r="V662" s="571"/>
      <c r="W662" s="571"/>
      <c r="X662" s="571"/>
      <c r="Y662" s="571"/>
      <c r="Z662" s="571"/>
    </row>
    <row r="663" spans="1:26" ht="18.75">
      <c r="A663" s="567"/>
      <c r="B663" s="568"/>
      <c r="C663" s="568"/>
      <c r="D663" s="754"/>
      <c r="E663" s="754"/>
      <c r="F663" s="754" t="s">
        <v>188</v>
      </c>
      <c r="G663" s="189"/>
      <c r="H663" s="161" t="s">
        <v>12</v>
      </c>
      <c r="I663" s="269"/>
      <c r="J663" s="269"/>
      <c r="K663" s="496"/>
      <c r="L663" s="496"/>
      <c r="M663" s="496"/>
      <c r="N663" s="817">
        <v>0</v>
      </c>
      <c r="O663" s="496"/>
      <c r="P663" s="496"/>
      <c r="Q663" s="571"/>
      <c r="R663" s="571"/>
      <c r="S663" s="571"/>
      <c r="T663" s="571"/>
      <c r="U663" s="571"/>
      <c r="V663" s="571"/>
      <c r="W663" s="571"/>
      <c r="X663" s="571"/>
      <c r="Y663" s="571"/>
      <c r="Z663" s="571"/>
    </row>
    <row r="664" spans="1:26" ht="18.75">
      <c r="A664" s="567"/>
      <c r="B664" s="568"/>
      <c r="C664" s="568"/>
      <c r="D664" s="568"/>
      <c r="E664" s="754"/>
      <c r="F664" s="754" t="s">
        <v>189</v>
      </c>
      <c r="G664" s="189"/>
      <c r="H664" s="161" t="s">
        <v>12</v>
      </c>
      <c r="I664" s="269"/>
      <c r="J664" s="269"/>
      <c r="K664" s="496"/>
      <c r="L664" s="496"/>
      <c r="M664" s="496"/>
      <c r="N664" s="817">
        <v>0</v>
      </c>
      <c r="O664" s="496"/>
      <c r="P664" s="496"/>
      <c r="Q664" s="571"/>
      <c r="R664" s="571"/>
      <c r="S664" s="571"/>
      <c r="T664" s="571"/>
      <c r="U664" s="571"/>
      <c r="V664" s="571"/>
      <c r="W664" s="571"/>
      <c r="X664" s="571"/>
      <c r="Y664" s="571"/>
      <c r="Z664" s="571"/>
    </row>
    <row r="665" spans="1:26" ht="18.75">
      <c r="A665" s="590"/>
      <c r="B665" s="568"/>
      <c r="C665" s="568"/>
      <c r="D665" s="599" t="s">
        <v>21</v>
      </c>
      <c r="E665" s="754"/>
      <c r="F665" s="754"/>
      <c r="G665" s="189"/>
      <c r="H665" s="168" t="s">
        <v>12</v>
      </c>
      <c r="I665" s="184"/>
      <c r="J665" s="184"/>
      <c r="K665" s="163"/>
      <c r="L665" s="496">
        <f t="shared" ref="L665:N665" si="278">L666+L667</f>
        <v>0</v>
      </c>
      <c r="M665" s="496">
        <f t="shared" si="278"/>
        <v>0</v>
      </c>
      <c r="N665" s="496">
        <f t="shared" si="278"/>
        <v>0</v>
      </c>
      <c r="O665" s="496">
        <f t="shared" ref="O665:O667" si="279">IF(L665&gt;0,N665*100/L665,0)</f>
        <v>0</v>
      </c>
      <c r="P665" s="496">
        <f t="shared" ref="P665:P667" si="280">IF(M665&gt;0,N665*100/M665,0)</f>
        <v>0</v>
      </c>
      <c r="Q665" s="571"/>
      <c r="R665" s="571"/>
      <c r="S665" s="571"/>
      <c r="T665" s="571"/>
      <c r="U665" s="571"/>
      <c r="V665" s="571"/>
      <c r="W665" s="571"/>
      <c r="X665" s="571"/>
      <c r="Y665" s="571"/>
      <c r="Z665" s="571"/>
    </row>
    <row r="666" spans="1:26" ht="18.75" hidden="1">
      <c r="A666" s="592"/>
      <c r="B666" s="600"/>
      <c r="C666" s="600"/>
      <c r="D666" s="600"/>
      <c r="E666" s="750" t="s">
        <v>18</v>
      </c>
      <c r="F666" s="750"/>
      <c r="G666" s="596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597"/>
      <c r="R666" s="597"/>
      <c r="S666" s="597"/>
      <c r="T666" s="597"/>
      <c r="U666" s="597"/>
      <c r="V666" s="597"/>
      <c r="W666" s="597"/>
      <c r="X666" s="597"/>
      <c r="Y666" s="597"/>
      <c r="Z666" s="597"/>
    </row>
    <row r="667" spans="1:26" ht="18.75" hidden="1">
      <c r="A667" s="592"/>
      <c r="B667" s="600"/>
      <c r="C667" s="600"/>
      <c r="D667" s="600"/>
      <c r="E667" s="750" t="s">
        <v>19</v>
      </c>
      <c r="F667" s="750"/>
      <c r="G667" s="596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597"/>
      <c r="R667" s="597"/>
      <c r="S667" s="597"/>
      <c r="T667" s="597"/>
      <c r="U667" s="597"/>
      <c r="V667" s="597"/>
      <c r="W667" s="597"/>
      <c r="X667" s="597"/>
      <c r="Y667" s="597"/>
      <c r="Z667" s="597"/>
    </row>
    <row r="668" spans="1:26" ht="19.5">
      <c r="A668" s="601"/>
      <c r="B668" s="611"/>
      <c r="C668" s="568" t="s">
        <v>16</v>
      </c>
      <c r="D668" s="836" t="s">
        <v>38</v>
      </c>
      <c r="E668" s="752"/>
      <c r="F668" s="752"/>
      <c r="G668" s="606"/>
      <c r="H668" s="753"/>
      <c r="I668" s="184"/>
      <c r="J668" s="184"/>
      <c r="K668" s="163"/>
      <c r="L668" s="163"/>
      <c r="M668" s="163"/>
      <c r="N668" s="163"/>
      <c r="O668" s="163"/>
      <c r="P668" s="163"/>
      <c r="Q668" s="571"/>
      <c r="R668" s="571"/>
      <c r="S668" s="571"/>
      <c r="T668" s="571"/>
      <c r="U668" s="571"/>
      <c r="V668" s="571"/>
      <c r="W668" s="571"/>
      <c r="X668" s="571"/>
      <c r="Y668" s="571"/>
      <c r="Z668" s="571"/>
    </row>
    <row r="669" spans="1:26" ht="19.5">
      <c r="A669" s="601"/>
      <c r="B669" s="611"/>
      <c r="C669" s="611"/>
      <c r="D669" s="611" t="s">
        <v>280</v>
      </c>
      <c r="E669" s="619"/>
      <c r="F669" s="619"/>
      <c r="G669" s="753"/>
      <c r="H669" s="758" t="s">
        <v>46</v>
      </c>
      <c r="I669" s="674">
        <f ca="1">IFERROR(__xludf.DUMMYFUNCTION("IMPORTRANGE(""https://docs.google.com/spreadsheets/d/1QqKyyYR6Q21VydFLVH3TRQUabQu_ym0Zz7PgGX0-kHA/edit?usp=sharing"",""แผน!IA72"")"),100)</f>
        <v>100</v>
      </c>
      <c r="J669" s="674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1"/>
      <c r="R669" s="571"/>
      <c r="S669" s="571"/>
      <c r="T669" s="571"/>
      <c r="U669" s="571"/>
      <c r="V669" s="571"/>
      <c r="W669" s="571"/>
      <c r="X669" s="571"/>
      <c r="Y669" s="571"/>
      <c r="Z669" s="571"/>
    </row>
    <row r="670" spans="1:26" ht="18.75">
      <c r="A670" s="601"/>
      <c r="B670" s="611"/>
      <c r="C670" s="611"/>
      <c r="D670" s="611"/>
      <c r="E670" s="619" t="s">
        <v>281</v>
      </c>
      <c r="F670" s="619"/>
      <c r="G670" s="753"/>
      <c r="H670" s="755" t="s">
        <v>69</v>
      </c>
      <c r="I670" s="269">
        <f ca="1">IFERROR(__xludf.DUMMYFUNCTION("IMPORTRANGE(""https://docs.google.com/spreadsheets/d/1QqKyyYR6Q21VydFLVH3TRQUabQu_ym0Zz7PgGX0-kHA/edit?usp=sharing"",""แผน!HZ72"")"),4)</f>
        <v>4</v>
      </c>
      <c r="J670" s="214">
        <v>0</v>
      </c>
      <c r="K670" s="496">
        <f ca="1">IF(I670&gt;0,(J670*100)/I670,0)</f>
        <v>0</v>
      </c>
      <c r="L670" s="163"/>
      <c r="M670" s="163"/>
      <c r="N670" s="163"/>
      <c r="O670" s="163"/>
      <c r="P670" s="163"/>
      <c r="Q670" s="571"/>
      <c r="R670" s="571"/>
      <c r="S670" s="571"/>
      <c r="T670" s="571"/>
      <c r="U670" s="571"/>
      <c r="V670" s="571"/>
      <c r="W670" s="571"/>
      <c r="X670" s="571"/>
      <c r="Y670" s="571"/>
      <c r="Z670" s="571"/>
    </row>
    <row r="671" spans="1:26" ht="18.75">
      <c r="A671" s="601"/>
      <c r="B671" s="611"/>
      <c r="C671" s="611"/>
      <c r="D671" s="611"/>
      <c r="E671" s="619" t="s">
        <v>282</v>
      </c>
      <c r="F671" s="619"/>
      <c r="G671" s="753"/>
      <c r="H671" s="755" t="s">
        <v>69</v>
      </c>
      <c r="I671" s="269">
        <f ca="1">IFERROR(__xludf.DUMMYFUNCTION("IMPORTRANGE(""https://docs.google.com/spreadsheets/d/1QqKyyYR6Q21VydFLVH3TRQUabQu_ym0Zz7PgGX0-kHA/edit?usp=sharing"",""แผน!HZ72"")"),4)</f>
        <v>4</v>
      </c>
      <c r="J671" s="214">
        <v>0</v>
      </c>
      <c r="K671" s="496">
        <f ca="1">IF(I$671&gt;0,J671*100/I$671,0)</f>
        <v>0</v>
      </c>
      <c r="L671" s="163"/>
      <c r="M671" s="163"/>
      <c r="N671" s="163"/>
      <c r="O671" s="163"/>
      <c r="P671" s="163"/>
      <c r="Q671" s="571"/>
      <c r="R671" s="571"/>
      <c r="S671" s="571"/>
      <c r="T671" s="571"/>
      <c r="U671" s="571"/>
      <c r="V671" s="571"/>
      <c r="W671" s="571"/>
      <c r="X671" s="571"/>
      <c r="Y671" s="571"/>
      <c r="Z671" s="571"/>
    </row>
    <row r="672" spans="1:26" ht="18.75">
      <c r="A672" s="601"/>
      <c r="B672" s="611"/>
      <c r="C672" s="611"/>
      <c r="D672" s="611"/>
      <c r="E672" s="619" t="s">
        <v>283</v>
      </c>
      <c r="F672" s="619"/>
      <c r="G672" s="753"/>
      <c r="H672" s="755" t="s">
        <v>46</v>
      </c>
      <c r="I672" s="269"/>
      <c r="J672" s="214">
        <v>0</v>
      </c>
      <c r="K672" s="496">
        <f t="shared" ref="K672:K675" ca="1" si="281">IF(I$669&gt;0,J672*100/I$669,0)</f>
        <v>0</v>
      </c>
      <c r="L672" s="163"/>
      <c r="M672" s="163"/>
      <c r="N672" s="163"/>
      <c r="O672" s="163"/>
      <c r="P672" s="163"/>
      <c r="Q672" s="571"/>
      <c r="R672" s="571"/>
      <c r="S672" s="571"/>
      <c r="T672" s="571"/>
      <c r="U672" s="571"/>
      <c r="V672" s="571"/>
      <c r="W672" s="571"/>
      <c r="X672" s="571"/>
      <c r="Y672" s="571"/>
      <c r="Z672" s="571"/>
    </row>
    <row r="673" spans="1:26" ht="18.75">
      <c r="A673" s="601"/>
      <c r="B673" s="611"/>
      <c r="C673" s="611"/>
      <c r="D673" s="611"/>
      <c r="E673" s="619" t="s">
        <v>284</v>
      </c>
      <c r="F673" s="619"/>
      <c r="G673" s="753"/>
      <c r="H673" s="755" t="s">
        <v>46</v>
      </c>
      <c r="I673" s="269"/>
      <c r="J673" s="214">
        <v>0</v>
      </c>
      <c r="K673" s="496">
        <f t="shared" ca="1" si="281"/>
        <v>0</v>
      </c>
      <c r="L673" s="163"/>
      <c r="M673" s="163"/>
      <c r="N673" s="163"/>
      <c r="O673" s="163"/>
      <c r="P673" s="163"/>
      <c r="Q673" s="571"/>
      <c r="R673" s="571"/>
      <c r="S673" s="571"/>
      <c r="T673" s="571"/>
      <c r="U673" s="571"/>
      <c r="V673" s="571"/>
      <c r="W673" s="571"/>
      <c r="X673" s="571"/>
      <c r="Y673" s="571"/>
      <c r="Z673" s="571"/>
    </row>
    <row r="674" spans="1:26" ht="18.75">
      <c r="A674" s="601"/>
      <c r="B674" s="611"/>
      <c r="C674" s="611"/>
      <c r="D674" s="611"/>
      <c r="E674" s="619" t="s">
        <v>285</v>
      </c>
      <c r="F674" s="619"/>
      <c r="G674" s="753"/>
      <c r="H674" s="755" t="s">
        <v>46</v>
      </c>
      <c r="I674" s="269"/>
      <c r="J674" s="214">
        <v>0</v>
      </c>
      <c r="K674" s="496">
        <f t="shared" ca="1" si="281"/>
        <v>0</v>
      </c>
      <c r="L674" s="163"/>
      <c r="M674" s="163"/>
      <c r="N674" s="163"/>
      <c r="O674" s="163"/>
      <c r="P674" s="163"/>
      <c r="Q674" s="571"/>
      <c r="R674" s="571"/>
      <c r="S674" s="571"/>
      <c r="T674" s="571"/>
      <c r="U674" s="571"/>
      <c r="V674" s="571"/>
      <c r="W674" s="571"/>
      <c r="X674" s="571"/>
      <c r="Y674" s="571"/>
      <c r="Z674" s="571"/>
    </row>
    <row r="675" spans="1:26" ht="19.5">
      <c r="A675" s="601"/>
      <c r="B675" s="611"/>
      <c r="C675" s="611"/>
      <c r="D675" s="611"/>
      <c r="E675" s="619" t="s">
        <v>286</v>
      </c>
      <c r="F675" s="619"/>
      <c r="G675" s="753"/>
      <c r="H675" s="755" t="s">
        <v>46</v>
      </c>
      <c r="I675" s="269"/>
      <c r="J675" s="674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71"/>
      <c r="R675" s="571"/>
      <c r="S675" s="571"/>
      <c r="T675" s="571"/>
      <c r="U675" s="571"/>
      <c r="V675" s="571"/>
      <c r="W675" s="571"/>
      <c r="X675" s="571"/>
      <c r="Y675" s="571"/>
      <c r="Z675" s="571"/>
    </row>
    <row r="676" spans="1:26" ht="18.75">
      <c r="A676" s="601"/>
      <c r="B676" s="611"/>
      <c r="C676" s="611"/>
      <c r="D676" s="611"/>
      <c r="E676" s="619"/>
      <c r="F676" s="619" t="s">
        <v>287</v>
      </c>
      <c r="G676" s="753"/>
      <c r="H676" s="755" t="s">
        <v>46</v>
      </c>
      <c r="I676" s="269"/>
      <c r="J676" s="214">
        <v>0</v>
      </c>
      <c r="K676" s="496"/>
      <c r="L676" s="163"/>
      <c r="M676" s="163"/>
      <c r="N676" s="163"/>
      <c r="O676" s="163"/>
      <c r="P676" s="163"/>
      <c r="Q676" s="571"/>
      <c r="R676" s="571"/>
      <c r="S676" s="571"/>
      <c r="T676" s="571"/>
      <c r="U676" s="571"/>
      <c r="V676" s="571"/>
      <c r="W676" s="571"/>
      <c r="X676" s="571"/>
      <c r="Y676" s="571"/>
      <c r="Z676" s="571"/>
    </row>
    <row r="677" spans="1:26" ht="18.75">
      <c r="A677" s="601"/>
      <c r="B677" s="611"/>
      <c r="C677" s="611"/>
      <c r="D677" s="611"/>
      <c r="E677" s="619"/>
      <c r="F677" s="619" t="s">
        <v>288</v>
      </c>
      <c r="G677" s="753"/>
      <c r="H677" s="755" t="s">
        <v>46</v>
      </c>
      <c r="I677" s="269"/>
      <c r="J677" s="214">
        <v>0</v>
      </c>
      <c r="K677" s="496"/>
      <c r="L677" s="163"/>
      <c r="M677" s="163"/>
      <c r="N677" s="163"/>
      <c r="O677" s="163"/>
      <c r="P677" s="163"/>
      <c r="Q677" s="571"/>
      <c r="R677" s="571"/>
      <c r="S677" s="571"/>
      <c r="T677" s="571"/>
      <c r="U677" s="571"/>
      <c r="V677" s="571"/>
      <c r="W677" s="571"/>
      <c r="X677" s="571"/>
      <c r="Y677" s="571"/>
      <c r="Z677" s="571"/>
    </row>
    <row r="678" spans="1:26" ht="19.5">
      <c r="A678" s="601"/>
      <c r="B678" s="611"/>
      <c r="C678" s="611"/>
      <c r="D678" s="611" t="s">
        <v>289</v>
      </c>
      <c r="E678" s="619"/>
      <c r="F678" s="619"/>
      <c r="G678" s="753"/>
      <c r="H678" s="755" t="s">
        <v>46</v>
      </c>
      <c r="I678" s="674">
        <f ca="1">IFERROR(__xludf.DUMMYFUNCTION("IMPORTRANGE(""https://docs.google.com/spreadsheets/d/1QqKyyYR6Q21VydFLVH3TRQUabQu_ym0Zz7PgGX0-kHA/edit?usp=sharing"",""แผน!IB72"")"),0)</f>
        <v>0</v>
      </c>
      <c r="J678" s="674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1"/>
      <c r="R678" s="571"/>
      <c r="S678" s="571"/>
      <c r="T678" s="571"/>
      <c r="U678" s="571"/>
      <c r="V678" s="571"/>
      <c r="W678" s="571"/>
      <c r="X678" s="571"/>
      <c r="Y678" s="571"/>
      <c r="Z678" s="571"/>
    </row>
    <row r="679" spans="1:26" ht="18.75">
      <c r="A679" s="601"/>
      <c r="B679" s="611"/>
      <c r="C679" s="611"/>
      <c r="D679" s="611"/>
      <c r="E679" s="619" t="s">
        <v>290</v>
      </c>
      <c r="F679" s="619"/>
      <c r="G679" s="753"/>
      <c r="H679" s="755" t="s">
        <v>46</v>
      </c>
      <c r="I679" s="269"/>
      <c r="J679" s="269">
        <f>J680+J681</f>
        <v>0</v>
      </c>
      <c r="K679" s="496"/>
      <c r="L679" s="163"/>
      <c r="M679" s="163"/>
      <c r="N679" s="163"/>
      <c r="O679" s="163"/>
      <c r="P679" s="163"/>
      <c r="Q679" s="571"/>
      <c r="R679" s="571"/>
      <c r="S679" s="571"/>
      <c r="T679" s="571"/>
      <c r="U679" s="571"/>
      <c r="V679" s="571"/>
      <c r="W679" s="571"/>
      <c r="X679" s="571"/>
      <c r="Y679" s="571"/>
      <c r="Z679" s="571"/>
    </row>
    <row r="680" spans="1:26" ht="18.75">
      <c r="A680" s="601"/>
      <c r="B680" s="611"/>
      <c r="C680" s="611"/>
      <c r="D680" s="611"/>
      <c r="E680" s="619"/>
      <c r="F680" s="619" t="s">
        <v>287</v>
      </c>
      <c r="G680" s="753"/>
      <c r="H680" s="755" t="s">
        <v>46</v>
      </c>
      <c r="I680" s="269"/>
      <c r="J680" s="214">
        <v>0</v>
      </c>
      <c r="K680" s="496"/>
      <c r="L680" s="163"/>
      <c r="M680" s="163"/>
      <c r="N680" s="163"/>
      <c r="O680" s="163"/>
      <c r="P680" s="163"/>
      <c r="Q680" s="571"/>
      <c r="R680" s="571"/>
      <c r="S680" s="571"/>
      <c r="T680" s="571"/>
      <c r="U680" s="571"/>
      <c r="V680" s="571"/>
      <c r="W680" s="571"/>
      <c r="X680" s="571"/>
      <c r="Y680" s="571"/>
      <c r="Z680" s="571"/>
    </row>
    <row r="681" spans="1:26" ht="18.75">
      <c r="A681" s="601"/>
      <c r="B681" s="611"/>
      <c r="C681" s="611"/>
      <c r="D681" s="611"/>
      <c r="E681" s="619"/>
      <c r="F681" s="619" t="s">
        <v>288</v>
      </c>
      <c r="G681" s="753"/>
      <c r="H681" s="755" t="s">
        <v>46</v>
      </c>
      <c r="I681" s="269"/>
      <c r="J681" s="214">
        <v>0</v>
      </c>
      <c r="K681" s="496"/>
      <c r="L681" s="163"/>
      <c r="M681" s="163"/>
      <c r="N681" s="163"/>
      <c r="O681" s="163"/>
      <c r="P681" s="163"/>
      <c r="Q681" s="571"/>
      <c r="R681" s="571"/>
      <c r="S681" s="571"/>
      <c r="T681" s="571"/>
      <c r="U681" s="571"/>
      <c r="V681" s="571"/>
      <c r="W681" s="571"/>
      <c r="X681" s="571"/>
      <c r="Y681" s="571"/>
      <c r="Z681" s="571"/>
    </row>
    <row r="682" spans="1:26" ht="18.75">
      <c r="A682" s="601"/>
      <c r="B682" s="611"/>
      <c r="C682" s="611"/>
      <c r="D682" s="611"/>
      <c r="E682" s="619" t="s">
        <v>291</v>
      </c>
      <c r="F682" s="619"/>
      <c r="G682" s="753"/>
      <c r="H682" s="755" t="s">
        <v>46</v>
      </c>
      <c r="I682" s="269"/>
      <c r="J682" s="214">
        <v>0</v>
      </c>
      <c r="K682" s="496"/>
      <c r="L682" s="163"/>
      <c r="M682" s="163"/>
      <c r="N682" s="163"/>
      <c r="O682" s="163"/>
      <c r="P682" s="163"/>
      <c r="Q682" s="571"/>
      <c r="R682" s="571"/>
      <c r="S682" s="571"/>
      <c r="T682" s="571"/>
      <c r="U682" s="571"/>
      <c r="V682" s="571"/>
      <c r="W682" s="571"/>
      <c r="X682" s="571"/>
      <c r="Y682" s="571"/>
      <c r="Z682" s="571"/>
    </row>
    <row r="683" spans="1:26" ht="18.75">
      <c r="A683" s="601"/>
      <c r="B683" s="611"/>
      <c r="C683" s="611"/>
      <c r="D683" s="611"/>
      <c r="E683" s="619"/>
      <c r="F683" s="619" t="s">
        <v>292</v>
      </c>
      <c r="G683" s="753"/>
      <c r="H683" s="755" t="s">
        <v>46</v>
      </c>
      <c r="I683" s="269"/>
      <c r="J683" s="214">
        <v>0</v>
      </c>
      <c r="K683" s="496"/>
      <c r="L683" s="163"/>
      <c r="M683" s="163"/>
      <c r="N683" s="163"/>
      <c r="O683" s="163"/>
      <c r="P683" s="163"/>
      <c r="Q683" s="571"/>
      <c r="R683" s="571"/>
      <c r="S683" s="571"/>
      <c r="T683" s="571"/>
      <c r="U683" s="571"/>
      <c r="V683" s="571"/>
      <c r="W683" s="571"/>
      <c r="X683" s="571"/>
      <c r="Y683" s="571"/>
      <c r="Z683" s="571"/>
    </row>
    <row r="684" spans="1:26" ht="19.5">
      <c r="A684" s="744"/>
      <c r="B684" s="745" t="s">
        <v>293</v>
      </c>
      <c r="C684" s="744"/>
      <c r="D684" s="744"/>
      <c r="E684" s="744"/>
      <c r="F684" s="744"/>
      <c r="G684" s="746"/>
      <c r="H684" s="746"/>
      <c r="I684" s="747"/>
      <c r="J684" s="747"/>
      <c r="K684" s="748"/>
      <c r="L684" s="748"/>
      <c r="M684" s="748"/>
      <c r="N684" s="748"/>
      <c r="O684" s="748"/>
      <c r="P684" s="748"/>
      <c r="Q684" s="571"/>
      <c r="R684" s="571"/>
      <c r="S684" s="571"/>
      <c r="T684" s="571"/>
      <c r="U684" s="571"/>
      <c r="V684" s="571"/>
      <c r="W684" s="571"/>
      <c r="X684" s="571"/>
      <c r="Y684" s="571"/>
      <c r="Z684" s="571"/>
    </row>
    <row r="685" spans="1:26" ht="19.5">
      <c r="A685" s="590"/>
      <c r="B685" s="754"/>
      <c r="C685" s="754" t="s">
        <v>16</v>
      </c>
      <c r="D685" s="863" t="s">
        <v>17</v>
      </c>
      <c r="E685" s="857"/>
      <c r="F685" s="857"/>
      <c r="G685" s="189"/>
      <c r="H685" s="591" t="s">
        <v>12</v>
      </c>
      <c r="I685" s="269"/>
      <c r="J685" s="269"/>
      <c r="K685" s="496"/>
      <c r="L685" s="195">
        <f t="shared" ref="L685:N685" ca="1" si="282">L686+L687</f>
        <v>24580</v>
      </c>
      <c r="M685" s="195">
        <f t="shared" si="282"/>
        <v>0</v>
      </c>
      <c r="N685" s="195">
        <f t="shared" si="282"/>
        <v>0</v>
      </c>
      <c r="O685" s="195">
        <f t="shared" ref="O685:O688" ca="1" si="283">IF(L685&gt;0,N685*100/L685,0)</f>
        <v>0</v>
      </c>
      <c r="P685" s="195">
        <f t="shared" ref="P685:P688" si="284">IF(M685&gt;0,N685*100/M685,0)</f>
        <v>0</v>
      </c>
      <c r="Q685" s="571"/>
      <c r="R685" s="571"/>
      <c r="S685" s="571"/>
      <c r="T685" s="571"/>
      <c r="U685" s="571"/>
      <c r="V685" s="571"/>
      <c r="W685" s="571"/>
      <c r="X685" s="571"/>
      <c r="Y685" s="571"/>
      <c r="Z685" s="571"/>
    </row>
    <row r="686" spans="1:26" ht="18.75" hidden="1">
      <c r="A686" s="592"/>
      <c r="B686" s="750"/>
      <c r="C686" s="750"/>
      <c r="D686" s="711"/>
      <c r="E686" s="750" t="s">
        <v>184</v>
      </c>
      <c r="F686" s="750"/>
      <c r="G686" s="596"/>
      <c r="H686" s="165" t="s">
        <v>12</v>
      </c>
      <c r="I686" s="610"/>
      <c r="J686" s="610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597"/>
      <c r="R686" s="597"/>
      <c r="S686" s="597"/>
      <c r="T686" s="597"/>
      <c r="U686" s="597"/>
      <c r="V686" s="597"/>
      <c r="W686" s="597"/>
      <c r="X686" s="597"/>
      <c r="Y686" s="597"/>
      <c r="Z686" s="597"/>
    </row>
    <row r="687" spans="1:26" ht="18.75" hidden="1">
      <c r="A687" s="592"/>
      <c r="B687" s="600"/>
      <c r="C687" s="750"/>
      <c r="D687" s="711"/>
      <c r="E687" s="750" t="s">
        <v>185</v>
      </c>
      <c r="F687" s="750"/>
      <c r="G687" s="596"/>
      <c r="H687" s="165" t="s">
        <v>12</v>
      </c>
      <c r="I687" s="610"/>
      <c r="J687" s="610"/>
      <c r="K687" s="93"/>
      <c r="L687" s="93">
        <f t="shared" ca="1" si="285"/>
        <v>24580</v>
      </c>
      <c r="M687" s="93">
        <f t="shared" si="285"/>
        <v>0</v>
      </c>
      <c r="N687" s="93">
        <f t="shared" si="285"/>
        <v>0</v>
      </c>
      <c r="O687" s="93">
        <f t="shared" ca="1" si="283"/>
        <v>0</v>
      </c>
      <c r="P687" s="93">
        <f t="shared" si="284"/>
        <v>0</v>
      </c>
      <c r="Q687" s="597"/>
      <c r="R687" s="597"/>
      <c r="S687" s="597"/>
      <c r="T687" s="597"/>
      <c r="U687" s="597"/>
      <c r="V687" s="597"/>
      <c r="W687" s="597"/>
      <c r="X687" s="597"/>
      <c r="Y687" s="597"/>
      <c r="Z687" s="597"/>
    </row>
    <row r="688" spans="1:26" ht="18.75">
      <c r="A688" s="590"/>
      <c r="B688" s="568"/>
      <c r="C688" s="754"/>
      <c r="D688" s="599" t="s">
        <v>20</v>
      </c>
      <c r="E688" s="754"/>
      <c r="F688" s="754"/>
      <c r="G688" s="189"/>
      <c r="H688" s="161" t="s">
        <v>12</v>
      </c>
      <c r="I688" s="184"/>
      <c r="J688" s="184"/>
      <c r="K688" s="163"/>
      <c r="L688" s="496">
        <f t="shared" ref="L688:N688" ca="1" si="286">L689+L690</f>
        <v>24580</v>
      </c>
      <c r="M688" s="496">
        <f t="shared" si="286"/>
        <v>0</v>
      </c>
      <c r="N688" s="496">
        <f t="shared" si="286"/>
        <v>0</v>
      </c>
      <c r="O688" s="496">
        <f t="shared" ca="1" si="283"/>
        <v>0</v>
      </c>
      <c r="P688" s="496">
        <f t="shared" si="284"/>
        <v>0</v>
      </c>
      <c r="Q688" s="571"/>
      <c r="R688" s="571"/>
      <c r="S688" s="571"/>
      <c r="T688" s="571"/>
      <c r="U688" s="571"/>
      <c r="V688" s="571"/>
      <c r="W688" s="571"/>
      <c r="X688" s="571"/>
      <c r="Y688" s="571"/>
      <c r="Z688" s="571"/>
    </row>
    <row r="689" spans="1:26" ht="18.75" hidden="1">
      <c r="A689" s="592"/>
      <c r="B689" s="600"/>
      <c r="C689" s="750"/>
      <c r="D689" s="711"/>
      <c r="E689" s="750" t="s">
        <v>184</v>
      </c>
      <c r="F689" s="750"/>
      <c r="G689" s="596"/>
      <c r="H689" s="165" t="s">
        <v>12</v>
      </c>
      <c r="I689" s="610"/>
      <c r="J689" s="610"/>
      <c r="K689" s="93"/>
      <c r="L689" s="93">
        <v>0</v>
      </c>
      <c r="M689" s="93">
        <v>0</v>
      </c>
      <c r="N689" s="93">
        <v>0</v>
      </c>
      <c r="O689" s="93"/>
      <c r="P689" s="93"/>
      <c r="Q689" s="597"/>
      <c r="R689" s="597"/>
      <c r="S689" s="597"/>
      <c r="T689" s="597"/>
      <c r="U689" s="597"/>
      <c r="V689" s="597"/>
      <c r="W689" s="597"/>
      <c r="X689" s="597"/>
      <c r="Y689" s="597"/>
      <c r="Z689" s="597"/>
    </row>
    <row r="690" spans="1:26" ht="18.75" hidden="1">
      <c r="A690" s="592"/>
      <c r="B690" s="600"/>
      <c r="C690" s="750"/>
      <c r="D690" s="711"/>
      <c r="E690" s="750" t="s">
        <v>185</v>
      </c>
      <c r="F690" s="750"/>
      <c r="G690" s="596"/>
      <c r="H690" s="165" t="s">
        <v>12</v>
      </c>
      <c r="I690" s="610"/>
      <c r="J690" s="610"/>
      <c r="K690" s="93"/>
      <c r="L690" s="93">
        <f ca="1">IFERROR(__xludf.DUMMYFUNCTION("IMPORTRANGE(""https://docs.google.com/spreadsheets/d/1QqKyyYR6Q21VydFLVH3TRQUabQu_ym0Zz7PgGX0-kHA/edit?usp=sharing"",""แผน!HW72"")"),24580)</f>
        <v>24580</v>
      </c>
      <c r="M690" s="93">
        <v>0</v>
      </c>
      <c r="N690" s="93">
        <f>N691+N692+N693+N694</f>
        <v>0</v>
      </c>
      <c r="O690" s="93">
        <f ca="1">IF(L690&gt;0,N690*100/L690,0)</f>
        <v>0</v>
      </c>
      <c r="P690" s="93">
        <f>IF(M690&gt;0,N690*100/M690,0)</f>
        <v>0</v>
      </c>
      <c r="Q690" s="597"/>
      <c r="R690" s="597"/>
      <c r="S690" s="597"/>
      <c r="T690" s="597"/>
      <c r="U690" s="597"/>
      <c r="V690" s="597"/>
      <c r="W690" s="597"/>
      <c r="X690" s="597"/>
      <c r="Y690" s="597"/>
      <c r="Z690" s="597"/>
    </row>
    <row r="691" spans="1:26" ht="18.75">
      <c r="A691" s="567"/>
      <c r="B691" s="568"/>
      <c r="C691" s="754"/>
      <c r="D691" s="754"/>
      <c r="E691" s="754"/>
      <c r="F691" s="754" t="s">
        <v>186</v>
      </c>
      <c r="G691" s="189"/>
      <c r="H691" s="161" t="s">
        <v>12</v>
      </c>
      <c r="I691" s="269"/>
      <c r="J691" s="269"/>
      <c r="K691" s="496"/>
      <c r="L691" s="496"/>
      <c r="M691" s="496"/>
      <c r="N691" s="817">
        <v>0</v>
      </c>
      <c r="O691" s="496"/>
      <c r="P691" s="496"/>
      <c r="Q691" s="571"/>
      <c r="R691" s="571"/>
      <c r="S691" s="571"/>
      <c r="T691" s="571"/>
      <c r="U691" s="571"/>
      <c r="V691" s="571"/>
      <c r="W691" s="571"/>
      <c r="X691" s="571"/>
      <c r="Y691" s="571"/>
      <c r="Z691" s="571"/>
    </row>
    <row r="692" spans="1:26" ht="18.75">
      <c r="A692" s="567"/>
      <c r="B692" s="568"/>
      <c r="C692" s="754"/>
      <c r="D692" s="754"/>
      <c r="E692" s="754"/>
      <c r="F692" s="754" t="s">
        <v>187</v>
      </c>
      <c r="G692" s="189"/>
      <c r="H692" s="161" t="s">
        <v>12</v>
      </c>
      <c r="I692" s="269"/>
      <c r="J692" s="269"/>
      <c r="K692" s="496"/>
      <c r="L692" s="496"/>
      <c r="M692" s="496"/>
      <c r="N692" s="817">
        <v>0</v>
      </c>
      <c r="O692" s="496"/>
      <c r="P692" s="496"/>
      <c r="Q692" s="571"/>
      <c r="R692" s="571"/>
      <c r="S692" s="571"/>
      <c r="T692" s="571"/>
      <c r="U692" s="571"/>
      <c r="V692" s="571"/>
      <c r="W692" s="571"/>
      <c r="X692" s="571"/>
      <c r="Y692" s="571"/>
      <c r="Z692" s="571"/>
    </row>
    <row r="693" spans="1:26" ht="18.75">
      <c r="A693" s="567"/>
      <c r="B693" s="568"/>
      <c r="C693" s="754"/>
      <c r="D693" s="754"/>
      <c r="E693" s="754"/>
      <c r="F693" s="754" t="s">
        <v>188</v>
      </c>
      <c r="G693" s="189"/>
      <c r="H693" s="161" t="s">
        <v>12</v>
      </c>
      <c r="I693" s="269"/>
      <c r="J693" s="269"/>
      <c r="K693" s="496"/>
      <c r="L693" s="496"/>
      <c r="M693" s="496"/>
      <c r="N693" s="817">
        <v>0</v>
      </c>
      <c r="O693" s="496"/>
      <c r="P693" s="496"/>
      <c r="Q693" s="571"/>
      <c r="R693" s="571"/>
      <c r="S693" s="571"/>
      <c r="T693" s="571"/>
      <c r="U693" s="571"/>
      <c r="V693" s="571"/>
      <c r="W693" s="571"/>
      <c r="X693" s="571"/>
      <c r="Y693" s="571"/>
      <c r="Z693" s="571"/>
    </row>
    <row r="694" spans="1:26" ht="18.75">
      <c r="A694" s="567"/>
      <c r="B694" s="568"/>
      <c r="C694" s="754"/>
      <c r="D694" s="754"/>
      <c r="E694" s="754"/>
      <c r="F694" s="754" t="s">
        <v>189</v>
      </c>
      <c r="G694" s="189"/>
      <c r="H694" s="161" t="s">
        <v>12</v>
      </c>
      <c r="I694" s="269"/>
      <c r="J694" s="269"/>
      <c r="K694" s="496"/>
      <c r="L694" s="496"/>
      <c r="M694" s="496"/>
      <c r="N694" s="817">
        <v>0</v>
      </c>
      <c r="O694" s="496"/>
      <c r="P694" s="496"/>
      <c r="Q694" s="571"/>
      <c r="R694" s="571"/>
      <c r="S694" s="571"/>
      <c r="T694" s="571"/>
      <c r="U694" s="571"/>
      <c r="V694" s="571"/>
      <c r="W694" s="571"/>
      <c r="X694" s="571"/>
      <c r="Y694" s="571"/>
      <c r="Z694" s="571"/>
    </row>
    <row r="695" spans="1:26" ht="18.75">
      <c r="A695" s="590"/>
      <c r="B695" s="568"/>
      <c r="C695" s="754"/>
      <c r="D695" s="599" t="s">
        <v>21</v>
      </c>
      <c r="E695" s="754"/>
      <c r="F695" s="754"/>
      <c r="G695" s="189"/>
      <c r="H695" s="168" t="s">
        <v>12</v>
      </c>
      <c r="I695" s="184"/>
      <c r="J695" s="184"/>
      <c r="K695" s="163"/>
      <c r="L695" s="496">
        <f t="shared" ref="L695:N695" si="287">L696+L697</f>
        <v>0</v>
      </c>
      <c r="M695" s="496">
        <f t="shared" si="287"/>
        <v>0</v>
      </c>
      <c r="N695" s="496">
        <f t="shared" si="287"/>
        <v>0</v>
      </c>
      <c r="O695" s="496">
        <f t="shared" ref="O695:O697" si="288">IF(L695&gt;0,N695*100/L695,0)</f>
        <v>0</v>
      </c>
      <c r="P695" s="496">
        <f t="shared" ref="P695:P697" si="289">IF(M695&gt;0,N695*100/M695,0)</f>
        <v>0</v>
      </c>
      <c r="Q695" s="571"/>
      <c r="R695" s="571"/>
      <c r="S695" s="571"/>
      <c r="T695" s="571"/>
      <c r="U695" s="571"/>
      <c r="V695" s="571"/>
      <c r="W695" s="571"/>
      <c r="X695" s="571"/>
      <c r="Y695" s="571"/>
      <c r="Z695" s="571"/>
    </row>
    <row r="696" spans="1:26" ht="18.75" hidden="1">
      <c r="A696" s="592"/>
      <c r="B696" s="600"/>
      <c r="C696" s="750"/>
      <c r="D696" s="750"/>
      <c r="E696" s="750" t="s">
        <v>18</v>
      </c>
      <c r="F696" s="750"/>
      <c r="G696" s="596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597"/>
      <c r="R696" s="597"/>
      <c r="S696" s="597"/>
      <c r="T696" s="597"/>
      <c r="U696" s="597"/>
      <c r="V696" s="597"/>
      <c r="W696" s="597"/>
      <c r="X696" s="597"/>
      <c r="Y696" s="597"/>
      <c r="Z696" s="597"/>
    </row>
    <row r="697" spans="1:26" ht="18.75" hidden="1">
      <c r="A697" s="592"/>
      <c r="B697" s="600"/>
      <c r="C697" s="750"/>
      <c r="D697" s="750"/>
      <c r="E697" s="750" t="s">
        <v>19</v>
      </c>
      <c r="F697" s="750"/>
      <c r="G697" s="596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597"/>
      <c r="R697" s="597"/>
      <c r="S697" s="597"/>
      <c r="T697" s="597"/>
      <c r="U697" s="597"/>
      <c r="V697" s="597"/>
      <c r="W697" s="597"/>
      <c r="X697" s="597"/>
      <c r="Y697" s="597"/>
      <c r="Z697" s="597"/>
    </row>
    <row r="698" spans="1:26" ht="19.5">
      <c r="A698" s="601"/>
      <c r="B698" s="611"/>
      <c r="C698" s="754" t="s">
        <v>16</v>
      </c>
      <c r="D698" s="840" t="s">
        <v>38</v>
      </c>
      <c r="E698" s="752"/>
      <c r="F698" s="752"/>
      <c r="G698" s="606"/>
      <c r="H698" s="753"/>
      <c r="I698" s="184"/>
      <c r="J698" s="184"/>
      <c r="K698" s="163"/>
      <c r="L698" s="163"/>
      <c r="M698" s="163"/>
      <c r="N698" s="163"/>
      <c r="O698" s="163"/>
      <c r="P698" s="163"/>
      <c r="Q698" s="571"/>
      <c r="R698" s="571"/>
      <c r="S698" s="571"/>
      <c r="T698" s="571"/>
      <c r="U698" s="571"/>
      <c r="V698" s="571"/>
      <c r="W698" s="571"/>
      <c r="X698" s="571"/>
      <c r="Y698" s="571"/>
      <c r="Z698" s="571"/>
    </row>
    <row r="699" spans="1:26" ht="18.75">
      <c r="A699" s="735"/>
      <c r="B699" s="754"/>
      <c r="C699" s="754"/>
      <c r="D699" s="754" t="s">
        <v>294</v>
      </c>
      <c r="E699" s="754"/>
      <c r="F699" s="754"/>
      <c r="G699" s="189"/>
      <c r="H699" s="755" t="s">
        <v>46</v>
      </c>
      <c r="I699" s="756">
        <f ca="1">IFERROR(__xludf.DUMMYFUNCTION("IMPORTRANGE(""https://docs.google.com/spreadsheets/d/1QqKyyYR6Q21VydFLVH3TRQUabQu_ym0Zz7PgGX0-kHA/edit?usp=sharing"",""แผน!IC72"")"),0)</f>
        <v>0</v>
      </c>
      <c r="J699" s="269">
        <f ca="1">IFERROR(__xludf.DUMMYFUNCTION("IMPORTRANGE(""https://docs.google.com/spreadsheets/d/1XWAQStnk-4SwqDmLtmXYiTMKHgktTP8We1SCoS47DrQ/edit?usp=sharing"",""จัดที่ดิน!BB72"")"),0)</f>
        <v>0</v>
      </c>
      <c r="K699" s="496">
        <f t="shared" ref="K699:K701" ca="1" si="290">IF(I699&gt;0,J699*100/I699,0)</f>
        <v>0</v>
      </c>
      <c r="L699" s="496"/>
      <c r="M699" s="189"/>
      <c r="N699" s="757"/>
      <c r="O699" s="496"/>
      <c r="P699" s="496"/>
      <c r="Q699" s="571"/>
      <c r="R699" s="571"/>
      <c r="S699" s="571"/>
      <c r="T699" s="571"/>
      <c r="U699" s="571"/>
      <c r="V699" s="571"/>
      <c r="W699" s="571"/>
      <c r="X699" s="571"/>
      <c r="Y699" s="571"/>
      <c r="Z699" s="571"/>
    </row>
    <row r="700" spans="1:26" ht="18.75">
      <c r="A700" s="735"/>
      <c r="B700" s="754"/>
      <c r="C700" s="754"/>
      <c r="D700" s="754" t="s">
        <v>295</v>
      </c>
      <c r="E700" s="754"/>
      <c r="F700" s="754"/>
      <c r="G700" s="189"/>
      <c r="H700" s="755" t="s">
        <v>35</v>
      </c>
      <c r="I700" s="756">
        <f ca="1">IFERROR(__xludf.DUMMYFUNCTION("IMPORTRANGE(""https://docs.google.com/spreadsheets/d/1QqKyyYR6Q21VydFLVH3TRQUabQu_ym0Zz7PgGX0-kHA/edit?usp=sharing"",""แผน!ID72"")"),0)</f>
        <v>0</v>
      </c>
      <c r="J700" s="269">
        <f ca="1">IFERROR(__xludf.DUMMYFUNCTION("IMPORTRANGE(""https://docs.google.com/spreadsheets/d/1XWAQStnk-4SwqDmLtmXYiTMKHgktTP8We1SCoS47DrQ/edit?usp=sharing"",""จัดที่ดิน!BD72"")"),0)</f>
        <v>0</v>
      </c>
      <c r="K700" s="496">
        <f t="shared" ca="1" si="290"/>
        <v>0</v>
      </c>
      <c r="L700" s="496"/>
      <c r="M700" s="189"/>
      <c r="N700" s="757"/>
      <c r="O700" s="496"/>
      <c r="P700" s="496"/>
      <c r="Q700" s="571"/>
      <c r="R700" s="571"/>
      <c r="S700" s="571"/>
      <c r="T700" s="571"/>
      <c r="U700" s="571"/>
      <c r="V700" s="571"/>
      <c r="W700" s="571"/>
      <c r="X700" s="571"/>
      <c r="Y700" s="571"/>
      <c r="Z700" s="571"/>
    </row>
    <row r="701" spans="1:26" ht="19.5">
      <c r="A701" s="735"/>
      <c r="B701" s="754"/>
      <c r="C701" s="754"/>
      <c r="D701" s="754" t="s">
        <v>296</v>
      </c>
      <c r="E701" s="754"/>
      <c r="F701" s="754"/>
      <c r="G701" s="189"/>
      <c r="H701" s="758" t="s">
        <v>46</v>
      </c>
      <c r="I701" s="759">
        <f ca="1">IFERROR(__xludf.DUMMYFUNCTION("IMPORTRANGE(""https://docs.google.com/spreadsheets/d/1QqKyyYR6Q21VydFLVH3TRQUabQu_ym0Zz7PgGX0-kHA/edit?usp=sharing"",""แผน!IE72"")"),30)</f>
        <v>30</v>
      </c>
      <c r="J701" s="674">
        <f>J704+J707</f>
        <v>0</v>
      </c>
      <c r="K701" s="195">
        <f t="shared" ca="1" si="290"/>
        <v>0</v>
      </c>
      <c r="L701" s="496"/>
      <c r="M701" s="189"/>
      <c r="N701" s="757"/>
      <c r="O701" s="496"/>
      <c r="P701" s="496"/>
      <c r="Q701" s="571"/>
      <c r="R701" s="571"/>
      <c r="S701" s="571"/>
      <c r="T701" s="571"/>
      <c r="U701" s="571"/>
      <c r="V701" s="571"/>
      <c r="W701" s="571"/>
      <c r="X701" s="571"/>
      <c r="Y701" s="571"/>
      <c r="Z701" s="571"/>
    </row>
    <row r="702" spans="1:26" ht="18.75">
      <c r="A702" s="735"/>
      <c r="B702" s="754"/>
      <c r="C702" s="754"/>
      <c r="D702" s="754"/>
      <c r="E702" s="754" t="s">
        <v>297</v>
      </c>
      <c r="F702" s="754"/>
      <c r="G702" s="189"/>
      <c r="H702" s="755" t="s">
        <v>35</v>
      </c>
      <c r="I702" s="756"/>
      <c r="J702" s="214">
        <v>0</v>
      </c>
      <c r="K702" s="496"/>
      <c r="L702" s="496"/>
      <c r="M702" s="189"/>
      <c r="N702" s="757"/>
      <c r="O702" s="496"/>
      <c r="P702" s="496"/>
      <c r="Q702" s="571"/>
      <c r="R702" s="571"/>
      <c r="S702" s="571"/>
      <c r="T702" s="571"/>
      <c r="U702" s="571"/>
      <c r="V702" s="571"/>
      <c r="W702" s="571"/>
      <c r="X702" s="571"/>
      <c r="Y702" s="571"/>
      <c r="Z702" s="571"/>
    </row>
    <row r="703" spans="1:26" ht="18.75">
      <c r="A703" s="735"/>
      <c r="B703" s="754"/>
      <c r="C703" s="754"/>
      <c r="D703" s="754"/>
      <c r="E703" s="754"/>
      <c r="F703" s="754"/>
      <c r="G703" s="189"/>
      <c r="H703" s="755" t="s">
        <v>34</v>
      </c>
      <c r="I703" s="756"/>
      <c r="J703" s="214">
        <v>0</v>
      </c>
      <c r="K703" s="496"/>
      <c r="L703" s="496"/>
      <c r="M703" s="189"/>
      <c r="N703" s="757"/>
      <c r="O703" s="496"/>
      <c r="P703" s="496"/>
      <c r="Q703" s="571"/>
      <c r="R703" s="571"/>
      <c r="S703" s="571"/>
      <c r="T703" s="571"/>
      <c r="U703" s="571"/>
      <c r="V703" s="571"/>
      <c r="W703" s="571"/>
      <c r="X703" s="571"/>
      <c r="Y703" s="571"/>
      <c r="Z703" s="571"/>
    </row>
    <row r="704" spans="1:26" ht="18.75">
      <c r="A704" s="735"/>
      <c r="B704" s="754"/>
      <c r="C704" s="754"/>
      <c r="D704" s="754"/>
      <c r="E704" s="754"/>
      <c r="F704" s="754"/>
      <c r="G704" s="189"/>
      <c r="H704" s="755" t="s">
        <v>46</v>
      </c>
      <c r="I704" s="756">
        <f ca="1">IFERROR(__xludf.DUMMYFUNCTION("IMPORTRANGE(""https://docs.google.com/spreadsheets/d/1QqKyyYR6Q21VydFLVH3TRQUabQu_ym0Zz7PgGX0-kHA/edit?usp=sharing"",""แผน!IF72"")"),30)</f>
        <v>30</v>
      </c>
      <c r="J704" s="214">
        <v>0</v>
      </c>
      <c r="K704" s="496"/>
      <c r="L704" s="496"/>
      <c r="M704" s="189"/>
      <c r="N704" s="757"/>
      <c r="O704" s="496"/>
      <c r="P704" s="496"/>
      <c r="Q704" s="571"/>
      <c r="R704" s="571"/>
      <c r="S704" s="571"/>
      <c r="T704" s="571"/>
      <c r="U704" s="571"/>
      <c r="V704" s="571"/>
      <c r="W704" s="571"/>
      <c r="X704" s="571"/>
      <c r="Y704" s="571"/>
      <c r="Z704" s="571"/>
    </row>
    <row r="705" spans="1:26" ht="18.75">
      <c r="A705" s="735"/>
      <c r="B705" s="754"/>
      <c r="C705" s="754"/>
      <c r="D705" s="754"/>
      <c r="E705" s="754" t="s">
        <v>298</v>
      </c>
      <c r="F705" s="754"/>
      <c r="G705" s="189"/>
      <c r="H705" s="755" t="s">
        <v>35</v>
      </c>
      <c r="I705" s="756"/>
      <c r="J705" s="214">
        <v>0</v>
      </c>
      <c r="K705" s="496"/>
      <c r="L705" s="496"/>
      <c r="M705" s="189"/>
      <c r="N705" s="757"/>
      <c r="O705" s="496"/>
      <c r="P705" s="496"/>
      <c r="Q705" s="571"/>
      <c r="R705" s="571"/>
      <c r="S705" s="571"/>
      <c r="T705" s="571"/>
      <c r="U705" s="571"/>
      <c r="V705" s="571"/>
      <c r="W705" s="571"/>
      <c r="X705" s="571"/>
      <c r="Y705" s="571"/>
      <c r="Z705" s="571"/>
    </row>
    <row r="706" spans="1:26" ht="18.75">
      <c r="A706" s="735"/>
      <c r="B706" s="754"/>
      <c r="C706" s="754"/>
      <c r="D706" s="754"/>
      <c r="E706" s="754"/>
      <c r="F706" s="754"/>
      <c r="G706" s="189"/>
      <c r="H706" s="755" t="s">
        <v>34</v>
      </c>
      <c r="I706" s="756"/>
      <c r="J706" s="214">
        <v>0</v>
      </c>
      <c r="K706" s="496"/>
      <c r="L706" s="496"/>
      <c r="M706" s="189"/>
      <c r="N706" s="757"/>
      <c r="O706" s="496"/>
      <c r="P706" s="496"/>
      <c r="Q706" s="571"/>
      <c r="R706" s="571"/>
      <c r="S706" s="571"/>
      <c r="T706" s="571"/>
      <c r="U706" s="571"/>
      <c r="V706" s="571"/>
      <c r="W706" s="571"/>
      <c r="X706" s="571"/>
      <c r="Y706" s="571"/>
      <c r="Z706" s="571"/>
    </row>
    <row r="707" spans="1:26" ht="18.75">
      <c r="A707" s="735"/>
      <c r="B707" s="754"/>
      <c r="C707" s="754"/>
      <c r="D707" s="754"/>
      <c r="E707" s="754"/>
      <c r="F707" s="754"/>
      <c r="G707" s="189"/>
      <c r="H707" s="755" t="s">
        <v>46</v>
      </c>
      <c r="I707" s="756">
        <f ca="1">IFERROR(__xludf.DUMMYFUNCTION("IMPORTRANGE(""https://docs.google.com/spreadsheets/d/1QqKyyYR6Q21VydFLVH3TRQUabQu_ym0Zz7PgGX0-kHA/edit?usp=sharing"",""แผน!IG72"")"),0)</f>
        <v>0</v>
      </c>
      <c r="J707" s="214">
        <v>0</v>
      </c>
      <c r="K707" s="496"/>
      <c r="L707" s="496"/>
      <c r="M707" s="189"/>
      <c r="N707" s="757"/>
      <c r="O707" s="496"/>
      <c r="P707" s="496"/>
      <c r="Q707" s="571"/>
      <c r="R707" s="571"/>
      <c r="S707" s="571"/>
      <c r="T707" s="571"/>
      <c r="U707" s="571"/>
      <c r="V707" s="571"/>
      <c r="W707" s="571"/>
      <c r="X707" s="571"/>
      <c r="Y707" s="571"/>
      <c r="Z707" s="571"/>
    </row>
    <row r="708" spans="1:26" ht="19.5">
      <c r="A708" s="735"/>
      <c r="B708" s="754"/>
      <c r="C708" s="754"/>
      <c r="D708" s="760" t="s">
        <v>299</v>
      </c>
      <c r="E708" s="754"/>
      <c r="F708" s="754"/>
      <c r="G708" s="189"/>
      <c r="H708" s="758" t="s">
        <v>46</v>
      </c>
      <c r="I708" s="759">
        <f ca="1">IFERROR(__xludf.DUMMYFUNCTION("IMPORTRANGE(""https://docs.google.com/spreadsheets/d/1QqKyyYR6Q21VydFLVH3TRQUabQu_ym0Zz7PgGX0-kHA/edit?usp=sharing"",""แผน!IH72"")"),120)</f>
        <v>120</v>
      </c>
      <c r="J708" s="674">
        <f>J714+J717</f>
        <v>0</v>
      </c>
      <c r="K708" s="195">
        <f ca="1">IF(I708&gt;0,J708*100/I708,0)</f>
        <v>0</v>
      </c>
      <c r="L708" s="496"/>
      <c r="M708" s="189"/>
      <c r="N708" s="757"/>
      <c r="O708" s="496"/>
      <c r="P708" s="496"/>
      <c r="Q708" s="571"/>
      <c r="R708" s="571"/>
      <c r="S708" s="571"/>
      <c r="T708" s="571"/>
      <c r="U708" s="571"/>
      <c r="V708" s="571"/>
      <c r="W708" s="571"/>
      <c r="X708" s="571"/>
      <c r="Y708" s="571"/>
      <c r="Z708" s="571"/>
    </row>
    <row r="709" spans="1:26" ht="18.75">
      <c r="A709" s="735"/>
      <c r="B709" s="754"/>
      <c r="C709" s="754"/>
      <c r="D709" s="754"/>
      <c r="E709" s="754" t="s">
        <v>300</v>
      </c>
      <c r="F709" s="754"/>
      <c r="G709" s="189"/>
      <c r="H709" s="755" t="s">
        <v>34</v>
      </c>
      <c r="I709" s="756"/>
      <c r="J709" s="214">
        <v>0</v>
      </c>
      <c r="K709" s="496"/>
      <c r="L709" s="757"/>
      <c r="M709" s="189"/>
      <c r="N709" s="757"/>
      <c r="O709" s="496"/>
      <c r="P709" s="496"/>
      <c r="Q709" s="571"/>
      <c r="R709" s="571"/>
      <c r="S709" s="571"/>
      <c r="T709" s="571"/>
      <c r="U709" s="571"/>
      <c r="V709" s="571"/>
      <c r="W709" s="571"/>
      <c r="X709" s="571"/>
      <c r="Y709" s="571"/>
      <c r="Z709" s="571"/>
    </row>
    <row r="710" spans="1:26" ht="18.75">
      <c r="A710" s="735"/>
      <c r="B710" s="754"/>
      <c r="C710" s="754"/>
      <c r="D710" s="754"/>
      <c r="E710" s="754"/>
      <c r="F710" s="754"/>
      <c r="G710" s="189"/>
      <c r="H710" s="755" t="s">
        <v>46</v>
      </c>
      <c r="I710" s="756"/>
      <c r="J710" s="214">
        <v>0</v>
      </c>
      <c r="K710" s="496"/>
      <c r="L710" s="757"/>
      <c r="M710" s="189"/>
      <c r="N710" s="757"/>
      <c r="O710" s="496"/>
      <c r="P710" s="496"/>
      <c r="Q710" s="571"/>
      <c r="R710" s="571"/>
      <c r="S710" s="571"/>
      <c r="T710" s="571"/>
      <c r="U710" s="571"/>
      <c r="V710" s="571"/>
      <c r="W710" s="571"/>
      <c r="X710" s="571"/>
      <c r="Y710" s="571"/>
      <c r="Z710" s="571"/>
    </row>
    <row r="711" spans="1:26" ht="18.75">
      <c r="A711" s="735"/>
      <c r="B711" s="754"/>
      <c r="C711" s="754"/>
      <c r="D711" s="754"/>
      <c r="E711" s="754" t="s">
        <v>301</v>
      </c>
      <c r="F711" s="754"/>
      <c r="G711" s="189"/>
      <c r="H711" s="753"/>
      <c r="I711" s="756"/>
      <c r="J711" s="269"/>
      <c r="K711" s="496"/>
      <c r="L711" s="757"/>
      <c r="M711" s="189"/>
      <c r="N711" s="757"/>
      <c r="O711" s="496"/>
      <c r="P711" s="496"/>
      <c r="Q711" s="571"/>
      <c r="R711" s="571"/>
      <c r="S711" s="571"/>
      <c r="T711" s="571"/>
      <c r="U711" s="571"/>
      <c r="V711" s="571"/>
      <c r="W711" s="571"/>
      <c r="X711" s="571"/>
      <c r="Y711" s="571"/>
      <c r="Z711" s="571"/>
    </row>
    <row r="712" spans="1:26" ht="18.75">
      <c r="A712" s="735"/>
      <c r="B712" s="754"/>
      <c r="C712" s="754"/>
      <c r="D712" s="754"/>
      <c r="E712" s="754"/>
      <c r="F712" s="754" t="s">
        <v>302</v>
      </c>
      <c r="G712" s="189"/>
      <c r="H712" s="755" t="s">
        <v>35</v>
      </c>
      <c r="I712" s="756"/>
      <c r="J712" s="214">
        <v>0</v>
      </c>
      <c r="K712" s="496"/>
      <c r="L712" s="757"/>
      <c r="M712" s="189"/>
      <c r="N712" s="757"/>
      <c r="O712" s="496"/>
      <c r="P712" s="496"/>
      <c r="Q712" s="571"/>
      <c r="R712" s="571"/>
      <c r="S712" s="571"/>
      <c r="T712" s="571"/>
      <c r="U712" s="571"/>
      <c r="V712" s="571"/>
      <c r="W712" s="571"/>
      <c r="X712" s="571"/>
      <c r="Y712" s="571"/>
      <c r="Z712" s="571"/>
    </row>
    <row r="713" spans="1:26" ht="18.75">
      <c r="A713" s="735"/>
      <c r="B713" s="754"/>
      <c r="C713" s="754"/>
      <c r="D713" s="754"/>
      <c r="E713" s="754"/>
      <c r="F713" s="754"/>
      <c r="G713" s="189"/>
      <c r="H713" s="755" t="s">
        <v>34</v>
      </c>
      <c r="I713" s="756"/>
      <c r="J713" s="214">
        <v>0</v>
      </c>
      <c r="K713" s="496"/>
      <c r="L713" s="757"/>
      <c r="M713" s="189"/>
      <c r="N713" s="757"/>
      <c r="O713" s="496"/>
      <c r="P713" s="496"/>
      <c r="Q713" s="571"/>
      <c r="R713" s="571"/>
      <c r="S713" s="571"/>
      <c r="T713" s="571"/>
      <c r="U713" s="571"/>
      <c r="V713" s="571"/>
      <c r="W713" s="571"/>
      <c r="X713" s="571"/>
      <c r="Y713" s="571"/>
      <c r="Z713" s="571"/>
    </row>
    <row r="714" spans="1:26" ht="18.75">
      <c r="A714" s="735"/>
      <c r="B714" s="754"/>
      <c r="C714" s="754"/>
      <c r="D714" s="754"/>
      <c r="E714" s="754"/>
      <c r="F714" s="754"/>
      <c r="G714" s="189"/>
      <c r="H714" s="755" t="s">
        <v>46</v>
      </c>
      <c r="I714" s="756"/>
      <c r="J714" s="214">
        <v>0</v>
      </c>
      <c r="K714" s="496"/>
      <c r="L714" s="757"/>
      <c r="M714" s="189"/>
      <c r="N714" s="757"/>
      <c r="O714" s="496"/>
      <c r="P714" s="496"/>
      <c r="Q714" s="571"/>
      <c r="R714" s="571"/>
      <c r="S714" s="571"/>
      <c r="T714" s="571"/>
      <c r="U714" s="571"/>
      <c r="V714" s="571"/>
      <c r="W714" s="571"/>
      <c r="X714" s="571"/>
      <c r="Y714" s="571"/>
      <c r="Z714" s="571"/>
    </row>
    <row r="715" spans="1:26" ht="18.75">
      <c r="A715" s="735"/>
      <c r="B715" s="754"/>
      <c r="C715" s="754"/>
      <c r="D715" s="754"/>
      <c r="E715" s="754"/>
      <c r="F715" s="754" t="s">
        <v>303</v>
      </c>
      <c r="G715" s="189"/>
      <c r="H715" s="755" t="s">
        <v>35</v>
      </c>
      <c r="I715" s="756"/>
      <c r="J715" s="214">
        <v>0</v>
      </c>
      <c r="K715" s="496"/>
      <c r="L715" s="757"/>
      <c r="M715" s="189"/>
      <c r="N715" s="757"/>
      <c r="O715" s="496"/>
      <c r="P715" s="496"/>
      <c r="Q715" s="571"/>
      <c r="R715" s="571"/>
      <c r="S715" s="571"/>
      <c r="T715" s="571"/>
      <c r="U715" s="571"/>
      <c r="V715" s="571"/>
      <c r="W715" s="571"/>
      <c r="X715" s="571"/>
      <c r="Y715" s="571"/>
      <c r="Z715" s="571"/>
    </row>
    <row r="716" spans="1:26" ht="18.75">
      <c r="A716" s="735"/>
      <c r="B716" s="754"/>
      <c r="C716" s="754"/>
      <c r="D716" s="754"/>
      <c r="E716" s="754"/>
      <c r="F716" s="754"/>
      <c r="G716" s="189"/>
      <c r="H716" s="755" t="s">
        <v>34</v>
      </c>
      <c r="I716" s="756"/>
      <c r="J716" s="214">
        <v>0</v>
      </c>
      <c r="K716" s="496"/>
      <c r="L716" s="757"/>
      <c r="M716" s="189"/>
      <c r="N716" s="757"/>
      <c r="O716" s="496"/>
      <c r="P716" s="496"/>
      <c r="Q716" s="571"/>
      <c r="R716" s="571"/>
      <c r="S716" s="571"/>
      <c r="T716" s="571"/>
      <c r="U716" s="571"/>
      <c r="V716" s="571"/>
      <c r="W716" s="571"/>
      <c r="X716" s="571"/>
      <c r="Y716" s="571"/>
      <c r="Z716" s="571"/>
    </row>
    <row r="717" spans="1:26" ht="18.75">
      <c r="A717" s="735"/>
      <c r="B717" s="754"/>
      <c r="C717" s="754"/>
      <c r="D717" s="754"/>
      <c r="E717" s="754"/>
      <c r="F717" s="754"/>
      <c r="G717" s="189"/>
      <c r="H717" s="755" t="s">
        <v>46</v>
      </c>
      <c r="I717" s="756"/>
      <c r="J717" s="214">
        <v>0</v>
      </c>
      <c r="K717" s="496"/>
      <c r="L717" s="757"/>
      <c r="M717" s="189"/>
      <c r="N717" s="757"/>
      <c r="O717" s="496"/>
      <c r="P717" s="496"/>
      <c r="Q717" s="571"/>
      <c r="R717" s="571"/>
      <c r="S717" s="571"/>
      <c r="T717" s="571"/>
      <c r="U717" s="571"/>
      <c r="V717" s="571"/>
      <c r="W717" s="571"/>
      <c r="X717" s="571"/>
      <c r="Y717" s="571"/>
      <c r="Z717" s="571"/>
    </row>
    <row r="718" spans="1:26" ht="18.75">
      <c r="A718" s="735"/>
      <c r="B718" s="754"/>
      <c r="C718" s="754"/>
      <c r="D718" s="754" t="s">
        <v>304</v>
      </c>
      <c r="E718" s="754"/>
      <c r="F718" s="754"/>
      <c r="G718" s="189"/>
      <c r="H718" s="755" t="s">
        <v>35</v>
      </c>
      <c r="I718" s="756"/>
      <c r="J718" s="269">
        <f ca="1">IFERROR(__xludf.DUMMYFUNCTION("IMPORTRANGE(""https://docs.google.com/spreadsheets/d/1XWAQStnk-4SwqDmLtmXYiTMKHgktTP8We1SCoS47DrQ/edit?usp=sharing"",""จัดที่ดิน!BF72"")"),0)</f>
        <v>0</v>
      </c>
      <c r="K718" s="496"/>
      <c r="L718" s="496"/>
      <c r="M718" s="189"/>
      <c r="N718" s="757"/>
      <c r="O718" s="496"/>
      <c r="P718" s="496"/>
      <c r="Q718" s="571"/>
      <c r="R718" s="571"/>
      <c r="S718" s="571"/>
      <c r="T718" s="571"/>
      <c r="U718" s="571"/>
      <c r="V718" s="571"/>
      <c r="W718" s="571"/>
      <c r="X718" s="571"/>
      <c r="Y718" s="571"/>
      <c r="Z718" s="571"/>
    </row>
    <row r="719" spans="1:26" ht="18.75">
      <c r="A719" s="735"/>
      <c r="B719" s="754"/>
      <c r="C719" s="754"/>
      <c r="D719" s="754"/>
      <c r="E719" s="754"/>
      <c r="F719" s="754"/>
      <c r="G719" s="189"/>
      <c r="H719" s="755" t="s">
        <v>34</v>
      </c>
      <c r="I719" s="756"/>
      <c r="J719" s="269">
        <f ca="1">IFERROR(__xludf.DUMMYFUNCTION("IMPORTRANGE(""https://docs.google.com/spreadsheets/d/1XWAQStnk-4SwqDmLtmXYiTMKHgktTP8We1SCoS47DrQ/edit?usp=sharing"",""จัดที่ดิน!BG72"")"),0)</f>
        <v>0</v>
      </c>
      <c r="K719" s="496"/>
      <c r="L719" s="757"/>
      <c r="M719" s="189"/>
      <c r="N719" s="757"/>
      <c r="O719" s="496"/>
      <c r="P719" s="496"/>
      <c r="Q719" s="571"/>
      <c r="R719" s="571"/>
      <c r="S719" s="571"/>
      <c r="T719" s="571"/>
      <c r="U719" s="571"/>
      <c r="V719" s="571"/>
      <c r="W719" s="571"/>
      <c r="X719" s="571"/>
      <c r="Y719" s="571"/>
      <c r="Z719" s="571"/>
    </row>
    <row r="720" spans="1:26" ht="18.75">
      <c r="A720" s="735"/>
      <c r="B720" s="754"/>
      <c r="C720" s="754"/>
      <c r="D720" s="754"/>
      <c r="E720" s="754"/>
      <c r="F720" s="754"/>
      <c r="G720" s="189"/>
      <c r="H720" s="755" t="s">
        <v>46</v>
      </c>
      <c r="I720" s="756">
        <f ca="1">IFERROR(__xludf.DUMMYFUNCTION("IMPORTRANGE(""https://docs.google.com/spreadsheets/d/1QqKyyYR6Q21VydFLVH3TRQUabQu_ym0Zz7PgGX0-kHA/edit?usp=sharing"",""แผน!II72"")"),170)</f>
        <v>170</v>
      </c>
      <c r="J720" s="269">
        <f ca="1">IFERROR(__xludf.DUMMYFUNCTION("IMPORTRANGE(""https://docs.google.com/spreadsheets/d/1XWAQStnk-4SwqDmLtmXYiTMKHgktTP8We1SCoS47DrQ/edit?usp=sharing"",""จัดที่ดิน!BH72"")"),0)</f>
        <v>0</v>
      </c>
      <c r="K720" s="496">
        <f t="shared" ref="K720:K723" ca="1" si="291">IF(I720&gt;0,J720*100/I720,0)</f>
        <v>0</v>
      </c>
      <c r="L720" s="757"/>
      <c r="M720" s="189"/>
      <c r="N720" s="757"/>
      <c r="O720" s="496"/>
      <c r="P720" s="496"/>
      <c r="Q720" s="571"/>
      <c r="R720" s="571"/>
      <c r="S720" s="571"/>
      <c r="T720" s="571"/>
      <c r="U720" s="571"/>
      <c r="V720" s="571"/>
      <c r="W720" s="571"/>
      <c r="X720" s="571"/>
      <c r="Y720" s="571"/>
      <c r="Z720" s="571"/>
    </row>
    <row r="721" spans="1:26" ht="19.5">
      <c r="A721" s="735"/>
      <c r="B721" s="754"/>
      <c r="C721" s="754"/>
      <c r="D721" s="754" t="s">
        <v>305</v>
      </c>
      <c r="E721" s="754"/>
      <c r="F721" s="754"/>
      <c r="G721" s="189"/>
      <c r="H721" s="758" t="s">
        <v>35</v>
      </c>
      <c r="I721" s="759">
        <f ca="1">IFERROR(__xludf.DUMMYFUNCTION("IMPORTRANGE(""https://docs.google.com/spreadsheets/d/1QqKyyYR6Q21VydFLVH3TRQUabQu_ym0Zz7PgGX0-kHA/edit?usp=sharing"",""แผน!IJ72"")"),29)</f>
        <v>29</v>
      </c>
      <c r="J721" s="674">
        <f ca="1">J723+J726</f>
        <v>1</v>
      </c>
      <c r="K721" s="195">
        <f t="shared" ca="1" si="291"/>
        <v>3.4482758620689653</v>
      </c>
      <c r="L721" s="757"/>
      <c r="M721" s="189"/>
      <c r="N721" s="757"/>
      <c r="O721" s="496"/>
      <c r="P721" s="496"/>
      <c r="Q721" s="571"/>
      <c r="R721" s="571"/>
      <c r="S721" s="571"/>
      <c r="T721" s="571"/>
      <c r="U721" s="571"/>
      <c r="V721" s="571"/>
      <c r="W721" s="571"/>
      <c r="X721" s="571"/>
      <c r="Y721" s="571"/>
      <c r="Z721" s="571"/>
    </row>
    <row r="722" spans="1:26" ht="19.5">
      <c r="A722" s="735"/>
      <c r="B722" s="754"/>
      <c r="C722" s="754"/>
      <c r="D722" s="754"/>
      <c r="E722" s="754"/>
      <c r="F722" s="754"/>
      <c r="G722" s="189"/>
      <c r="H722" s="758" t="s">
        <v>46</v>
      </c>
      <c r="I722" s="759">
        <f ca="1">IFERROR(__xludf.DUMMYFUNCTION("IMPORTRANGE(""https://docs.google.com/spreadsheets/d/1QqKyyYR6Q21VydFLVH3TRQUabQu_ym0Zz7PgGX0-kHA/edit?usp=sharing"",""แผน!IK72"")"),300)</f>
        <v>300</v>
      </c>
      <c r="J722" s="674">
        <f ca="1">J725+J728</f>
        <v>11</v>
      </c>
      <c r="K722" s="195">
        <f t="shared" ca="1" si="291"/>
        <v>3.6666666666666665</v>
      </c>
      <c r="L722" s="496"/>
      <c r="M722" s="189"/>
      <c r="N722" s="757"/>
      <c r="O722" s="496"/>
      <c r="P722" s="496"/>
      <c r="Q722" s="571"/>
      <c r="R722" s="571"/>
      <c r="S722" s="571"/>
      <c r="T722" s="571"/>
      <c r="U722" s="571"/>
      <c r="V722" s="571"/>
      <c r="W722" s="571"/>
      <c r="X722" s="571"/>
      <c r="Y722" s="571"/>
      <c r="Z722" s="571"/>
    </row>
    <row r="723" spans="1:26" ht="18.75">
      <c r="A723" s="735"/>
      <c r="B723" s="754"/>
      <c r="C723" s="754"/>
      <c r="D723" s="754"/>
      <c r="E723" s="754" t="s">
        <v>306</v>
      </c>
      <c r="F723" s="754"/>
      <c r="G723" s="189"/>
      <c r="H723" s="755" t="s">
        <v>35</v>
      </c>
      <c r="I723" s="756">
        <f ca="1">IFERROR(__xludf.DUMMYFUNCTION("IMPORTRANGE(""https://docs.google.com/spreadsheets/d/1QqKyyYR6Q21VydFLVH3TRQUabQu_ym0Zz7PgGX0-kHA/edit?usp=sharing"",""แผน!IL72"")"),20)</f>
        <v>20</v>
      </c>
      <c r="J723" s="269">
        <f ca="1">IFERROR(__xludf.DUMMYFUNCTION("IMPORTRANGE(""https://docs.google.com/spreadsheets/d/1XWAQStnk-4SwqDmLtmXYiTMKHgktTP8We1SCoS47DrQ/edit?usp=sharing"",""จัดที่ดิน!BM72"")"),1)</f>
        <v>1</v>
      </c>
      <c r="K723" s="496">
        <f t="shared" ca="1" si="291"/>
        <v>5</v>
      </c>
      <c r="L723" s="496"/>
      <c r="M723" s="189"/>
      <c r="N723" s="757"/>
      <c r="O723" s="496"/>
      <c r="P723" s="496"/>
      <c r="Q723" s="571"/>
      <c r="R723" s="571"/>
      <c r="S723" s="571"/>
      <c r="T723" s="571"/>
      <c r="U723" s="571"/>
      <c r="V723" s="571"/>
      <c r="W723" s="571"/>
      <c r="X723" s="571"/>
      <c r="Y723" s="571"/>
      <c r="Z723" s="571"/>
    </row>
    <row r="724" spans="1:26" ht="18.75">
      <c r="A724" s="735"/>
      <c r="B724" s="754"/>
      <c r="C724" s="754"/>
      <c r="D724" s="754"/>
      <c r="E724" s="754"/>
      <c r="F724" s="754"/>
      <c r="G724" s="189"/>
      <c r="H724" s="755" t="s">
        <v>34</v>
      </c>
      <c r="I724" s="756"/>
      <c r="J724" s="269">
        <f ca="1">IFERROR(__xludf.DUMMYFUNCTION("IMPORTRANGE(""https://docs.google.com/spreadsheets/d/1XWAQStnk-4SwqDmLtmXYiTMKHgktTP8We1SCoS47DrQ/edit?usp=sharing"",""จัดที่ดิน!BN72"")"),1)</f>
        <v>1</v>
      </c>
      <c r="K724" s="496"/>
      <c r="L724" s="757"/>
      <c r="M724" s="189"/>
      <c r="N724" s="757"/>
      <c r="O724" s="496"/>
      <c r="P724" s="496"/>
      <c r="Q724" s="571"/>
      <c r="R724" s="571"/>
      <c r="S724" s="571"/>
      <c r="T724" s="571"/>
      <c r="U724" s="571"/>
      <c r="V724" s="571"/>
      <c r="W724" s="571"/>
      <c r="X724" s="571"/>
      <c r="Y724" s="571"/>
      <c r="Z724" s="571"/>
    </row>
    <row r="725" spans="1:26" ht="18.75">
      <c r="A725" s="735"/>
      <c r="B725" s="754"/>
      <c r="C725" s="754"/>
      <c r="D725" s="754"/>
      <c r="E725" s="754"/>
      <c r="F725" s="754"/>
      <c r="G725" s="189"/>
      <c r="H725" s="755" t="s">
        <v>46</v>
      </c>
      <c r="I725" s="756">
        <f ca="1">IFERROR(__xludf.DUMMYFUNCTION("IMPORTRANGE(""https://docs.google.com/spreadsheets/d/1QqKyyYR6Q21VydFLVH3TRQUabQu_ym0Zz7PgGX0-kHA/edit?usp=sharing"",""แผน!IM72"")"),200)</f>
        <v>200</v>
      </c>
      <c r="J725" s="269">
        <f ca="1">IFERROR(__xludf.DUMMYFUNCTION("IMPORTRANGE(""https://docs.google.com/spreadsheets/d/1XWAQStnk-4SwqDmLtmXYiTMKHgktTP8We1SCoS47DrQ/edit?usp=sharing"",""จัดที่ดิน!BO72"")"),11)</f>
        <v>11</v>
      </c>
      <c r="K725" s="496">
        <f t="shared" ref="K725:K726" ca="1" si="292">IF(I725&gt;0,J725*100/I725,0)</f>
        <v>5.5</v>
      </c>
      <c r="L725" s="757"/>
      <c r="M725" s="189"/>
      <c r="N725" s="757"/>
      <c r="O725" s="496"/>
      <c r="P725" s="496"/>
      <c r="Q725" s="571"/>
      <c r="R725" s="571"/>
      <c r="S725" s="571"/>
      <c r="T725" s="571"/>
      <c r="U725" s="571"/>
      <c r="V725" s="571"/>
      <c r="W725" s="571"/>
      <c r="X725" s="571"/>
      <c r="Y725" s="571"/>
      <c r="Z725" s="571"/>
    </row>
    <row r="726" spans="1:26" ht="18.75">
      <c r="A726" s="735"/>
      <c r="B726" s="754"/>
      <c r="C726" s="754"/>
      <c r="D726" s="754"/>
      <c r="E726" s="754" t="s">
        <v>307</v>
      </c>
      <c r="F726" s="754"/>
      <c r="G726" s="189"/>
      <c r="H726" s="755" t="s">
        <v>35</v>
      </c>
      <c r="I726" s="756">
        <f ca="1">IFERROR(__xludf.DUMMYFUNCTION("IMPORTRANGE(""https://docs.google.com/spreadsheets/d/1QqKyyYR6Q21VydFLVH3TRQUabQu_ym0Zz7PgGX0-kHA/edit?usp=sharing"",""แผน!IN72"")"),9)</f>
        <v>9</v>
      </c>
      <c r="J726" s="269">
        <f ca="1">IFERROR(__xludf.DUMMYFUNCTION("IMPORTRANGE(""https://docs.google.com/spreadsheets/d/1XWAQStnk-4SwqDmLtmXYiTMKHgktTP8We1SCoS47DrQ/edit?usp=sharing"",""จัดที่ดิน!BR72"")"),0)</f>
        <v>0</v>
      </c>
      <c r="K726" s="496">
        <f t="shared" ca="1" si="292"/>
        <v>0</v>
      </c>
      <c r="L726" s="496"/>
      <c r="M726" s="189"/>
      <c r="N726" s="757"/>
      <c r="O726" s="496"/>
      <c r="P726" s="496"/>
      <c r="Q726" s="571"/>
      <c r="R726" s="571"/>
      <c r="S726" s="571"/>
      <c r="T726" s="571"/>
      <c r="U726" s="571"/>
      <c r="V726" s="571"/>
      <c r="W726" s="571"/>
      <c r="X726" s="571"/>
      <c r="Y726" s="571"/>
      <c r="Z726" s="571"/>
    </row>
    <row r="727" spans="1:26" ht="18.75">
      <c r="A727" s="735"/>
      <c r="B727" s="754"/>
      <c r="C727" s="754"/>
      <c r="D727" s="754"/>
      <c r="E727" s="754"/>
      <c r="F727" s="754"/>
      <c r="G727" s="189"/>
      <c r="H727" s="755" t="s">
        <v>34</v>
      </c>
      <c r="I727" s="756"/>
      <c r="J727" s="269">
        <f ca="1">IFERROR(__xludf.DUMMYFUNCTION("IMPORTRANGE(""https://docs.google.com/spreadsheets/d/1XWAQStnk-4SwqDmLtmXYiTMKHgktTP8We1SCoS47DrQ/edit?usp=sharing"",""จัดที่ดิน!BS72"")"),0)</f>
        <v>0</v>
      </c>
      <c r="K727" s="496"/>
      <c r="L727" s="757"/>
      <c r="M727" s="189"/>
      <c r="N727" s="757"/>
      <c r="O727" s="496"/>
      <c r="P727" s="496"/>
      <c r="Q727" s="571"/>
      <c r="R727" s="571"/>
      <c r="S727" s="571"/>
      <c r="T727" s="571"/>
      <c r="U727" s="571"/>
      <c r="V727" s="571"/>
      <c r="W727" s="571"/>
      <c r="X727" s="571"/>
      <c r="Y727" s="571"/>
      <c r="Z727" s="571"/>
    </row>
    <row r="728" spans="1:26" ht="18.75">
      <c r="A728" s="735"/>
      <c r="B728" s="754"/>
      <c r="C728" s="754"/>
      <c r="D728" s="754"/>
      <c r="E728" s="754"/>
      <c r="F728" s="754"/>
      <c r="G728" s="189"/>
      <c r="H728" s="755" t="s">
        <v>46</v>
      </c>
      <c r="I728" s="756">
        <f ca="1">IFERROR(__xludf.DUMMYFUNCTION("IMPORTRANGE(""https://docs.google.com/spreadsheets/d/1QqKyyYR6Q21VydFLVH3TRQUabQu_ym0Zz7PgGX0-kHA/edit?usp=sharing"",""แผน!IO72"")"),100)</f>
        <v>100</v>
      </c>
      <c r="J728" s="269">
        <f ca="1">IFERROR(__xludf.DUMMYFUNCTION("IMPORTRANGE(""https://docs.google.com/spreadsheets/d/1XWAQStnk-4SwqDmLtmXYiTMKHgktTP8We1SCoS47DrQ/edit?usp=sharing"",""จัดที่ดิน!BT72"")"),0)</f>
        <v>0</v>
      </c>
      <c r="K728" s="496">
        <f t="shared" ref="K728:K729" ca="1" si="293">IF(I728&gt;0,J728*100/I728,0)</f>
        <v>0</v>
      </c>
      <c r="L728" s="757"/>
      <c r="M728" s="189"/>
      <c r="N728" s="757"/>
      <c r="O728" s="496"/>
      <c r="P728" s="496"/>
      <c r="Q728" s="571"/>
      <c r="R728" s="571"/>
      <c r="S728" s="571"/>
      <c r="T728" s="571"/>
      <c r="U728" s="571"/>
      <c r="V728" s="571"/>
      <c r="W728" s="571"/>
      <c r="X728" s="571"/>
      <c r="Y728" s="571"/>
      <c r="Z728" s="571"/>
    </row>
    <row r="729" spans="1:26" ht="19.5">
      <c r="A729" s="735"/>
      <c r="B729" s="754"/>
      <c r="C729" s="754"/>
      <c r="D729" s="754" t="s">
        <v>308</v>
      </c>
      <c r="E729" s="754"/>
      <c r="F729" s="754"/>
      <c r="G729" s="189"/>
      <c r="H729" s="758" t="s">
        <v>46</v>
      </c>
      <c r="I729" s="759">
        <f ca="1">IFERROR(__xludf.DUMMYFUNCTION("IMPORTRANGE(""https://docs.google.com/spreadsheets/d/1QqKyyYR6Q21VydFLVH3TRQUabQu_ym0Zz7PgGX0-kHA/edit?usp=sharing"",""แผน!IP72"")"),20)</f>
        <v>20</v>
      </c>
      <c r="J729" s="674">
        <f>J732+J735</f>
        <v>0</v>
      </c>
      <c r="K729" s="195">
        <f t="shared" ca="1" si="293"/>
        <v>0</v>
      </c>
      <c r="L729" s="496"/>
      <c r="M729" s="189"/>
      <c r="N729" s="757"/>
      <c r="O729" s="496"/>
      <c r="P729" s="496"/>
      <c r="Q729" s="571"/>
      <c r="R729" s="571"/>
      <c r="S729" s="571"/>
      <c r="T729" s="571"/>
      <c r="U729" s="571"/>
      <c r="V729" s="571"/>
      <c r="W729" s="571"/>
      <c r="X729" s="571"/>
      <c r="Y729" s="571"/>
      <c r="Z729" s="571"/>
    </row>
    <row r="730" spans="1:26" ht="18.75">
      <c r="A730" s="735"/>
      <c r="B730" s="754"/>
      <c r="C730" s="754"/>
      <c r="D730" s="754"/>
      <c r="E730" s="754" t="s">
        <v>309</v>
      </c>
      <c r="F730" s="754"/>
      <c r="G730" s="189"/>
      <c r="H730" s="755" t="s">
        <v>35</v>
      </c>
      <c r="I730" s="756"/>
      <c r="J730" s="214">
        <v>0</v>
      </c>
      <c r="K730" s="496"/>
      <c r="L730" s="757"/>
      <c r="M730" s="496"/>
      <c r="N730" s="757"/>
      <c r="O730" s="496"/>
      <c r="P730" s="496"/>
      <c r="Q730" s="571"/>
      <c r="R730" s="571"/>
      <c r="S730" s="571"/>
      <c r="T730" s="571"/>
      <c r="U730" s="571"/>
      <c r="V730" s="571"/>
      <c r="W730" s="571"/>
      <c r="X730" s="571"/>
      <c r="Y730" s="571"/>
      <c r="Z730" s="571"/>
    </row>
    <row r="731" spans="1:26" ht="18.75">
      <c r="A731" s="735"/>
      <c r="B731" s="754"/>
      <c r="C731" s="754"/>
      <c r="D731" s="754"/>
      <c r="E731" s="754"/>
      <c r="F731" s="754"/>
      <c r="G731" s="189"/>
      <c r="H731" s="755" t="s">
        <v>34</v>
      </c>
      <c r="I731" s="756"/>
      <c r="J731" s="214">
        <v>0</v>
      </c>
      <c r="K731" s="496"/>
      <c r="L731" s="757"/>
      <c r="M731" s="496"/>
      <c r="N731" s="757"/>
      <c r="O731" s="496"/>
      <c r="P731" s="496"/>
      <c r="Q731" s="571"/>
      <c r="R731" s="571"/>
      <c r="S731" s="571"/>
      <c r="T731" s="571"/>
      <c r="U731" s="571"/>
      <c r="V731" s="571"/>
      <c r="W731" s="571"/>
      <c r="X731" s="571"/>
      <c r="Y731" s="571"/>
      <c r="Z731" s="571"/>
    </row>
    <row r="732" spans="1:26" ht="18.75">
      <c r="A732" s="735"/>
      <c r="B732" s="754"/>
      <c r="C732" s="754"/>
      <c r="D732" s="754"/>
      <c r="E732" s="754"/>
      <c r="F732" s="754"/>
      <c r="G732" s="189"/>
      <c r="H732" s="755" t="s">
        <v>46</v>
      </c>
      <c r="I732" s="756"/>
      <c r="J732" s="214">
        <v>0</v>
      </c>
      <c r="K732" s="496"/>
      <c r="L732" s="757"/>
      <c r="M732" s="496"/>
      <c r="N732" s="757"/>
      <c r="O732" s="496"/>
      <c r="P732" s="496"/>
      <c r="Q732" s="571"/>
      <c r="R732" s="571"/>
      <c r="S732" s="571"/>
      <c r="T732" s="571"/>
      <c r="U732" s="571"/>
      <c r="V732" s="571"/>
      <c r="W732" s="571"/>
      <c r="X732" s="571"/>
      <c r="Y732" s="571"/>
      <c r="Z732" s="571"/>
    </row>
    <row r="733" spans="1:26" ht="18.75">
      <c r="A733" s="735"/>
      <c r="B733" s="754"/>
      <c r="C733" s="754"/>
      <c r="D733" s="754"/>
      <c r="E733" s="754" t="s">
        <v>310</v>
      </c>
      <c r="F733" s="754"/>
      <c r="G733" s="189"/>
      <c r="H733" s="755" t="s">
        <v>35</v>
      </c>
      <c r="I733" s="756"/>
      <c r="J733" s="214">
        <v>0</v>
      </c>
      <c r="K733" s="496"/>
      <c r="L733" s="757"/>
      <c r="M733" s="496"/>
      <c r="N733" s="757"/>
      <c r="O733" s="496"/>
      <c r="P733" s="496"/>
      <c r="Q733" s="571"/>
      <c r="R733" s="571"/>
      <c r="S733" s="571"/>
      <c r="T733" s="571"/>
      <c r="U733" s="571"/>
      <c r="V733" s="571"/>
      <c r="W733" s="571"/>
      <c r="X733" s="571"/>
      <c r="Y733" s="571"/>
      <c r="Z733" s="571"/>
    </row>
    <row r="734" spans="1:26" ht="18.75">
      <c r="A734" s="735"/>
      <c r="B734" s="754"/>
      <c r="C734" s="754"/>
      <c r="D734" s="754"/>
      <c r="E734" s="754"/>
      <c r="F734" s="754"/>
      <c r="G734" s="189"/>
      <c r="H734" s="755" t="s">
        <v>34</v>
      </c>
      <c r="I734" s="756"/>
      <c r="J734" s="214">
        <v>0</v>
      </c>
      <c r="K734" s="496"/>
      <c r="L734" s="757"/>
      <c r="M734" s="496"/>
      <c r="N734" s="757"/>
      <c r="O734" s="496"/>
      <c r="P734" s="496"/>
      <c r="Q734" s="571"/>
      <c r="R734" s="571"/>
      <c r="S734" s="571"/>
      <c r="T734" s="571"/>
      <c r="U734" s="571"/>
      <c r="V734" s="571"/>
      <c r="W734" s="571"/>
      <c r="X734" s="571"/>
      <c r="Y734" s="571"/>
      <c r="Z734" s="571"/>
    </row>
    <row r="735" spans="1:26" ht="19.5">
      <c r="A735" s="761"/>
      <c r="B735" s="762" t="s">
        <v>311</v>
      </c>
      <c r="C735" s="725"/>
      <c r="D735" s="725"/>
      <c r="E735" s="725"/>
      <c r="F735" s="725"/>
      <c r="G735" s="726"/>
      <c r="H735" s="421" t="s">
        <v>46</v>
      </c>
      <c r="I735" s="763"/>
      <c r="J735" s="423">
        <v>0</v>
      </c>
      <c r="K735" s="500"/>
      <c r="L735" s="764"/>
      <c r="M735" s="500"/>
      <c r="N735" s="764"/>
      <c r="O735" s="500"/>
      <c r="P735" s="500"/>
      <c r="Q735" s="571"/>
      <c r="R735" s="571"/>
      <c r="S735" s="571"/>
      <c r="T735" s="571"/>
      <c r="U735" s="571"/>
      <c r="V735" s="571"/>
      <c r="W735" s="571"/>
      <c r="X735" s="571"/>
      <c r="Y735" s="571"/>
      <c r="Z735" s="571"/>
    </row>
    <row r="736" spans="1:26" ht="19.5" hidden="1">
      <c r="A736" s="765">
        <v>9</v>
      </c>
      <c r="B736" s="766" t="s">
        <v>312</v>
      </c>
      <c r="C736" s="767"/>
      <c r="D736" s="767"/>
      <c r="E736" s="767"/>
      <c r="F736" s="767"/>
      <c r="G736" s="768"/>
      <c r="H736" s="769" t="s">
        <v>46</v>
      </c>
      <c r="I736" s="770"/>
      <c r="J736" s="770">
        <f>J751</f>
        <v>0</v>
      </c>
      <c r="K736" s="771">
        <f>IF(I736&gt;0,J736*100/I736,0)</f>
        <v>0</v>
      </c>
      <c r="L736" s="772"/>
      <c r="M736" s="772"/>
      <c r="N736" s="772"/>
      <c r="O736" s="772"/>
      <c r="P736" s="772"/>
      <c r="Q736" s="597"/>
      <c r="R736" s="597"/>
      <c r="S736" s="597"/>
      <c r="T736" s="597"/>
      <c r="U736" s="597"/>
      <c r="V736" s="597"/>
      <c r="W736" s="597"/>
      <c r="X736" s="597"/>
      <c r="Y736" s="597"/>
      <c r="Z736" s="597"/>
    </row>
    <row r="737" spans="1:26" ht="19.5" hidden="1">
      <c r="A737" s="592"/>
      <c r="B737" s="750"/>
      <c r="C737" s="750" t="s">
        <v>16</v>
      </c>
      <c r="D737" s="864" t="s">
        <v>17</v>
      </c>
      <c r="E737" s="857"/>
      <c r="F737" s="857"/>
      <c r="G737" s="596"/>
      <c r="H737" s="639" t="s">
        <v>12</v>
      </c>
      <c r="I737" s="610"/>
      <c r="J737" s="610"/>
      <c r="K737" s="93"/>
      <c r="L737" s="640">
        <f t="shared" ref="L737:N737" si="294">L738+L739</f>
        <v>0</v>
      </c>
      <c r="M737" s="640">
        <f t="shared" si="294"/>
        <v>0</v>
      </c>
      <c r="N737" s="640">
        <f t="shared" si="294"/>
        <v>0</v>
      </c>
      <c r="O737" s="640">
        <f t="shared" ref="O737:O742" si="295">IF(L737&gt;0,N737*100/L737,0)</f>
        <v>0</v>
      </c>
      <c r="P737" s="640">
        <f t="shared" ref="P737:P742" si="296">IF(M737&gt;0,N737*100/M737,0)</f>
        <v>0</v>
      </c>
      <c r="Q737" s="597"/>
      <c r="R737" s="597"/>
      <c r="S737" s="597"/>
      <c r="T737" s="597"/>
      <c r="U737" s="597"/>
      <c r="V737" s="597"/>
      <c r="W737" s="597"/>
      <c r="X737" s="597"/>
      <c r="Y737" s="597"/>
      <c r="Z737" s="597"/>
    </row>
    <row r="738" spans="1:26" ht="18.75" hidden="1">
      <c r="A738" s="592"/>
      <c r="B738" s="750"/>
      <c r="C738" s="750"/>
      <c r="D738" s="711"/>
      <c r="E738" s="750" t="s">
        <v>184</v>
      </c>
      <c r="F738" s="750"/>
      <c r="G738" s="596"/>
      <c r="H738" s="165" t="s">
        <v>12</v>
      </c>
      <c r="I738" s="610"/>
      <c r="J738" s="610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597"/>
      <c r="R738" s="597"/>
      <c r="S738" s="597"/>
      <c r="T738" s="597"/>
      <c r="U738" s="597"/>
      <c r="V738" s="597"/>
      <c r="W738" s="597"/>
      <c r="X738" s="597"/>
      <c r="Y738" s="597"/>
      <c r="Z738" s="597"/>
    </row>
    <row r="739" spans="1:26" ht="18.75" hidden="1">
      <c r="A739" s="592"/>
      <c r="B739" s="600"/>
      <c r="C739" s="750"/>
      <c r="D739" s="711"/>
      <c r="E739" s="750" t="s">
        <v>185</v>
      </c>
      <c r="F739" s="750"/>
      <c r="G739" s="596"/>
      <c r="H739" s="165" t="s">
        <v>12</v>
      </c>
      <c r="I739" s="610"/>
      <c r="J739" s="610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597"/>
      <c r="R739" s="597"/>
      <c r="S739" s="597"/>
      <c r="T739" s="597"/>
      <c r="U739" s="597"/>
      <c r="V739" s="597"/>
      <c r="W739" s="597"/>
      <c r="X739" s="597"/>
      <c r="Y739" s="597"/>
      <c r="Z739" s="597"/>
    </row>
    <row r="740" spans="1:26" ht="19.5" hidden="1">
      <c r="A740" s="592"/>
      <c r="B740" s="600"/>
      <c r="C740" s="750"/>
      <c r="D740" s="638" t="s">
        <v>20</v>
      </c>
      <c r="E740" s="750"/>
      <c r="F740" s="750"/>
      <c r="G740" s="596"/>
      <c r="H740" s="639" t="s">
        <v>12</v>
      </c>
      <c r="I740" s="166"/>
      <c r="J740" s="166"/>
      <c r="K740" s="167"/>
      <c r="L740" s="640">
        <f t="shared" ref="L740:N740" si="298">L741+L742</f>
        <v>0</v>
      </c>
      <c r="M740" s="640">
        <f t="shared" si="298"/>
        <v>0</v>
      </c>
      <c r="N740" s="640">
        <f t="shared" si="298"/>
        <v>0</v>
      </c>
      <c r="O740" s="640">
        <f t="shared" si="295"/>
        <v>0</v>
      </c>
      <c r="P740" s="640">
        <f t="shared" si="296"/>
        <v>0</v>
      </c>
      <c r="Q740" s="597"/>
      <c r="R740" s="597"/>
      <c r="S740" s="597"/>
      <c r="T740" s="597"/>
      <c r="U740" s="597"/>
      <c r="V740" s="597"/>
      <c r="W740" s="597"/>
      <c r="X740" s="597"/>
      <c r="Y740" s="597"/>
      <c r="Z740" s="597"/>
    </row>
    <row r="741" spans="1:26" ht="18.75" hidden="1">
      <c r="A741" s="592"/>
      <c r="B741" s="600"/>
      <c r="C741" s="750"/>
      <c r="D741" s="711"/>
      <c r="E741" s="750" t="s">
        <v>184</v>
      </c>
      <c r="F741" s="750"/>
      <c r="G741" s="596"/>
      <c r="H741" s="165" t="s">
        <v>12</v>
      </c>
      <c r="I741" s="610"/>
      <c r="J741" s="610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597"/>
      <c r="R741" s="597"/>
      <c r="S741" s="597"/>
      <c r="T741" s="597"/>
      <c r="U741" s="597"/>
      <c r="V741" s="597"/>
      <c r="W741" s="597"/>
      <c r="X741" s="597"/>
      <c r="Y741" s="597"/>
      <c r="Z741" s="597"/>
    </row>
    <row r="742" spans="1:26" ht="18.75" hidden="1">
      <c r="A742" s="592"/>
      <c r="B742" s="600"/>
      <c r="C742" s="750"/>
      <c r="D742" s="711"/>
      <c r="E742" s="750" t="s">
        <v>185</v>
      </c>
      <c r="F742" s="750"/>
      <c r="G742" s="596"/>
      <c r="H742" s="165" t="s">
        <v>12</v>
      </c>
      <c r="I742" s="610"/>
      <c r="J742" s="610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597"/>
      <c r="R742" s="597"/>
      <c r="S742" s="597"/>
      <c r="T742" s="597"/>
      <c r="U742" s="597"/>
      <c r="V742" s="597"/>
      <c r="W742" s="597"/>
      <c r="X742" s="597"/>
      <c r="Y742" s="597"/>
      <c r="Z742" s="597"/>
    </row>
    <row r="743" spans="1:26" ht="18.75" hidden="1">
      <c r="A743" s="642"/>
      <c r="B743" s="600"/>
      <c r="C743" s="750"/>
      <c r="D743" s="750"/>
      <c r="E743" s="750"/>
      <c r="F743" s="750" t="s">
        <v>186</v>
      </c>
      <c r="G743" s="596"/>
      <c r="H743" s="165" t="s">
        <v>12</v>
      </c>
      <c r="I743" s="610"/>
      <c r="J743" s="610"/>
      <c r="K743" s="93"/>
      <c r="L743" s="93"/>
      <c r="M743" s="93"/>
      <c r="N743" s="93"/>
      <c r="O743" s="93"/>
      <c r="P743" s="93"/>
      <c r="Q743" s="597"/>
      <c r="R743" s="597"/>
      <c r="S743" s="597"/>
      <c r="T743" s="597"/>
      <c r="U743" s="597"/>
      <c r="V743" s="597"/>
      <c r="W743" s="597"/>
      <c r="X743" s="597"/>
      <c r="Y743" s="597"/>
      <c r="Z743" s="597"/>
    </row>
    <row r="744" spans="1:26" ht="18.75" hidden="1">
      <c r="A744" s="642"/>
      <c r="B744" s="600"/>
      <c r="C744" s="750"/>
      <c r="D744" s="750"/>
      <c r="E744" s="750"/>
      <c r="F744" s="750" t="s">
        <v>187</v>
      </c>
      <c r="G744" s="596"/>
      <c r="H744" s="165" t="s">
        <v>12</v>
      </c>
      <c r="I744" s="610"/>
      <c r="J744" s="610"/>
      <c r="K744" s="93"/>
      <c r="L744" s="93"/>
      <c r="M744" s="93"/>
      <c r="N744" s="93"/>
      <c r="O744" s="93"/>
      <c r="P744" s="93"/>
      <c r="Q744" s="597"/>
      <c r="R744" s="597"/>
      <c r="S744" s="597"/>
      <c r="T744" s="597"/>
      <c r="U744" s="597"/>
      <c r="V744" s="597"/>
      <c r="W744" s="597"/>
      <c r="X744" s="597"/>
      <c r="Y744" s="597"/>
      <c r="Z744" s="597"/>
    </row>
    <row r="745" spans="1:26" ht="18.75" hidden="1">
      <c r="A745" s="642"/>
      <c r="B745" s="600"/>
      <c r="C745" s="750"/>
      <c r="D745" s="750"/>
      <c r="E745" s="750"/>
      <c r="F745" s="750" t="s">
        <v>188</v>
      </c>
      <c r="G745" s="596"/>
      <c r="H745" s="165" t="s">
        <v>12</v>
      </c>
      <c r="I745" s="610"/>
      <c r="J745" s="610"/>
      <c r="K745" s="93"/>
      <c r="L745" s="93"/>
      <c r="M745" s="93"/>
      <c r="N745" s="93"/>
      <c r="O745" s="93"/>
      <c r="P745" s="93"/>
      <c r="Q745" s="597"/>
      <c r="R745" s="597"/>
      <c r="S745" s="597"/>
      <c r="T745" s="597"/>
      <c r="U745" s="597"/>
      <c r="V745" s="597"/>
      <c r="W745" s="597"/>
      <c r="X745" s="597"/>
      <c r="Y745" s="597"/>
      <c r="Z745" s="597"/>
    </row>
    <row r="746" spans="1:26" ht="18.75" hidden="1">
      <c r="A746" s="642"/>
      <c r="B746" s="600"/>
      <c r="C746" s="750"/>
      <c r="D746" s="750"/>
      <c r="E746" s="750"/>
      <c r="F746" s="750" t="s">
        <v>189</v>
      </c>
      <c r="G746" s="596"/>
      <c r="H746" s="165" t="s">
        <v>12</v>
      </c>
      <c r="I746" s="610"/>
      <c r="J746" s="610"/>
      <c r="K746" s="93"/>
      <c r="L746" s="93"/>
      <c r="M746" s="93"/>
      <c r="N746" s="93"/>
      <c r="O746" s="93"/>
      <c r="P746" s="93"/>
      <c r="Q746" s="597"/>
      <c r="R746" s="597"/>
      <c r="S746" s="597"/>
      <c r="T746" s="597"/>
      <c r="U746" s="597"/>
      <c r="V746" s="597"/>
      <c r="W746" s="597"/>
      <c r="X746" s="597"/>
      <c r="Y746" s="597"/>
      <c r="Z746" s="597"/>
    </row>
    <row r="747" spans="1:26" ht="19.5" hidden="1">
      <c r="A747" s="592"/>
      <c r="B747" s="600"/>
      <c r="C747" s="750"/>
      <c r="D747" s="638" t="s">
        <v>21</v>
      </c>
      <c r="E747" s="750"/>
      <c r="F747" s="750"/>
      <c r="G747" s="596"/>
      <c r="H747" s="774" t="s">
        <v>12</v>
      </c>
      <c r="I747" s="166"/>
      <c r="J747" s="166"/>
      <c r="K747" s="167"/>
      <c r="L747" s="640">
        <f t="shared" ref="L747:N747" si="299">L748+L749</f>
        <v>0</v>
      </c>
      <c r="M747" s="640">
        <f t="shared" si="299"/>
        <v>0</v>
      </c>
      <c r="N747" s="640">
        <f t="shared" si="299"/>
        <v>0</v>
      </c>
      <c r="O747" s="640">
        <f t="shared" ref="O747:O749" si="300">IF(L747&gt;0,N747*100/L747,0)</f>
        <v>0</v>
      </c>
      <c r="P747" s="640">
        <f t="shared" ref="P747:P749" si="301">IF(M747&gt;0,N747*100/M747,0)</f>
        <v>0</v>
      </c>
      <c r="Q747" s="597"/>
      <c r="R747" s="597"/>
      <c r="S747" s="597"/>
      <c r="T747" s="597"/>
      <c r="U747" s="597"/>
      <c r="V747" s="597"/>
      <c r="W747" s="597"/>
      <c r="X747" s="597"/>
      <c r="Y747" s="597"/>
      <c r="Z747" s="597"/>
    </row>
    <row r="748" spans="1:26" ht="18.75" hidden="1">
      <c r="A748" s="592"/>
      <c r="B748" s="600"/>
      <c r="C748" s="750"/>
      <c r="D748" s="750"/>
      <c r="E748" s="750" t="s">
        <v>18</v>
      </c>
      <c r="F748" s="750"/>
      <c r="G748" s="596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597"/>
      <c r="R748" s="597"/>
      <c r="S748" s="597"/>
      <c r="T748" s="597"/>
      <c r="U748" s="597"/>
      <c r="V748" s="597"/>
      <c r="W748" s="597"/>
      <c r="X748" s="597"/>
      <c r="Y748" s="597"/>
      <c r="Z748" s="597"/>
    </row>
    <row r="749" spans="1:26" ht="18.75" hidden="1">
      <c r="A749" s="592"/>
      <c r="B749" s="600"/>
      <c r="C749" s="750"/>
      <c r="D749" s="750"/>
      <c r="E749" s="750" t="s">
        <v>19</v>
      </c>
      <c r="F749" s="750"/>
      <c r="G749" s="596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597"/>
      <c r="R749" s="597"/>
      <c r="S749" s="597"/>
      <c r="T749" s="597"/>
      <c r="U749" s="597"/>
      <c r="V749" s="597"/>
      <c r="W749" s="597"/>
      <c r="X749" s="597"/>
      <c r="Y749" s="597"/>
      <c r="Z749" s="597"/>
    </row>
    <row r="750" spans="1:26" ht="19.5" hidden="1">
      <c r="A750" s="607"/>
      <c r="B750" s="609"/>
      <c r="C750" s="750" t="s">
        <v>16</v>
      </c>
      <c r="D750" s="841" t="s">
        <v>38</v>
      </c>
      <c r="E750" s="644"/>
      <c r="F750" s="644"/>
      <c r="G750" s="645"/>
      <c r="H750" s="365"/>
      <c r="I750" s="166"/>
      <c r="J750" s="166"/>
      <c r="K750" s="167"/>
      <c r="L750" s="167"/>
      <c r="M750" s="167"/>
      <c r="N750" s="167"/>
      <c r="O750" s="167"/>
      <c r="P750" s="167"/>
      <c r="Q750" s="597"/>
      <c r="R750" s="597"/>
      <c r="S750" s="597"/>
      <c r="T750" s="597"/>
      <c r="U750" s="597"/>
      <c r="V750" s="597"/>
      <c r="W750" s="597"/>
      <c r="X750" s="597"/>
      <c r="Y750" s="597"/>
      <c r="Z750" s="597"/>
    </row>
    <row r="751" spans="1:26" ht="18.75" hidden="1">
      <c r="A751" s="642"/>
      <c r="B751" s="600"/>
      <c r="C751" s="750"/>
      <c r="D751" s="750"/>
      <c r="E751" s="750" t="s">
        <v>313</v>
      </c>
      <c r="F751" s="750"/>
      <c r="G751" s="596"/>
      <c r="H751" s="165" t="s">
        <v>46</v>
      </c>
      <c r="I751" s="610"/>
      <c r="J751" s="610"/>
      <c r="K751" s="93"/>
      <c r="L751" s="93"/>
      <c r="M751" s="93"/>
      <c r="N751" s="93"/>
      <c r="O751" s="93"/>
      <c r="P751" s="93"/>
      <c r="Q751" s="597"/>
      <c r="R751" s="597"/>
      <c r="S751" s="597"/>
      <c r="T751" s="597"/>
      <c r="U751" s="597"/>
      <c r="V751" s="597"/>
      <c r="W751" s="597"/>
      <c r="X751" s="597"/>
      <c r="Y751" s="597"/>
      <c r="Z751" s="597"/>
    </row>
    <row r="752" spans="1:26" ht="18.75" hidden="1">
      <c r="A752" s="642"/>
      <c r="B752" s="600"/>
      <c r="C752" s="750"/>
      <c r="D752" s="750"/>
      <c r="E752" s="750"/>
      <c r="F752" s="750"/>
      <c r="G752" s="596"/>
      <c r="H752" s="165" t="s">
        <v>314</v>
      </c>
      <c r="I752" s="610"/>
      <c r="J752" s="610"/>
      <c r="K752" s="93"/>
      <c r="L752" s="93"/>
      <c r="M752" s="93"/>
      <c r="N752" s="93"/>
      <c r="O752" s="93"/>
      <c r="P752" s="93"/>
      <c r="Q752" s="597"/>
      <c r="R752" s="597"/>
      <c r="S752" s="597"/>
      <c r="T752" s="597"/>
      <c r="U752" s="597"/>
      <c r="V752" s="597"/>
      <c r="W752" s="597"/>
      <c r="X752" s="597"/>
      <c r="Y752" s="597"/>
      <c r="Z752" s="597"/>
    </row>
    <row r="753" spans="1:26" ht="19.5" hidden="1">
      <c r="A753" s="776">
        <v>10</v>
      </c>
      <c r="B753" s="777" t="s">
        <v>315</v>
      </c>
      <c r="C753" s="778"/>
      <c r="D753" s="778"/>
      <c r="E753" s="778"/>
      <c r="F753" s="778"/>
      <c r="G753" s="779"/>
      <c r="H753" s="780" t="s">
        <v>46</v>
      </c>
      <c r="I753" s="781"/>
      <c r="J753" s="781">
        <f>J768</f>
        <v>0</v>
      </c>
      <c r="K753" s="782">
        <f>IF(I753&gt;0,J753*100/I753,0)</f>
        <v>0</v>
      </c>
      <c r="L753" s="783"/>
      <c r="M753" s="783"/>
      <c r="N753" s="783"/>
      <c r="O753" s="783"/>
      <c r="P753" s="783"/>
      <c r="Q753" s="597"/>
      <c r="R753" s="597"/>
      <c r="S753" s="597"/>
      <c r="T753" s="597"/>
      <c r="U753" s="597"/>
      <c r="V753" s="597"/>
      <c r="W753" s="597"/>
      <c r="X753" s="597"/>
      <c r="Y753" s="597"/>
      <c r="Z753" s="597"/>
    </row>
    <row r="754" spans="1:26" ht="19.5" hidden="1">
      <c r="A754" s="592"/>
      <c r="B754" s="750"/>
      <c r="C754" s="750" t="s">
        <v>16</v>
      </c>
      <c r="D754" s="864" t="s">
        <v>17</v>
      </c>
      <c r="E754" s="857"/>
      <c r="F754" s="857"/>
      <c r="G754" s="596"/>
      <c r="H754" s="639" t="s">
        <v>12</v>
      </c>
      <c r="I754" s="610"/>
      <c r="J754" s="610"/>
      <c r="K754" s="93"/>
      <c r="L754" s="640">
        <f t="shared" ref="L754:N754" si="302">L755+L756</f>
        <v>0</v>
      </c>
      <c r="M754" s="640">
        <f t="shared" si="302"/>
        <v>0</v>
      </c>
      <c r="N754" s="640">
        <f t="shared" si="302"/>
        <v>0</v>
      </c>
      <c r="O754" s="640">
        <f t="shared" ref="O754:O759" si="303">IF(L754&gt;0,N754*100/L754,0)</f>
        <v>0</v>
      </c>
      <c r="P754" s="640">
        <f t="shared" ref="P754:P759" si="304">IF(M754&gt;0,N754*100/M754,0)</f>
        <v>0</v>
      </c>
      <c r="Q754" s="597"/>
      <c r="R754" s="597"/>
      <c r="S754" s="597"/>
      <c r="T754" s="597"/>
      <c r="U754" s="597"/>
      <c r="V754" s="597"/>
      <c r="W754" s="597"/>
      <c r="X754" s="597"/>
      <c r="Y754" s="597"/>
      <c r="Z754" s="597"/>
    </row>
    <row r="755" spans="1:26" ht="18.75" hidden="1">
      <c r="A755" s="592"/>
      <c r="B755" s="750"/>
      <c r="C755" s="750"/>
      <c r="D755" s="711"/>
      <c r="E755" s="750" t="s">
        <v>184</v>
      </c>
      <c r="F755" s="750"/>
      <c r="G755" s="596"/>
      <c r="H755" s="165" t="s">
        <v>12</v>
      </c>
      <c r="I755" s="610"/>
      <c r="J755" s="610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597"/>
      <c r="R755" s="597"/>
      <c r="S755" s="597"/>
      <c r="T755" s="597"/>
      <c r="U755" s="597"/>
      <c r="V755" s="597"/>
      <c r="W755" s="597"/>
      <c r="X755" s="597"/>
      <c r="Y755" s="597"/>
      <c r="Z755" s="597"/>
    </row>
    <row r="756" spans="1:26" ht="18.75" hidden="1">
      <c r="A756" s="592"/>
      <c r="B756" s="600"/>
      <c r="C756" s="750"/>
      <c r="D756" s="711"/>
      <c r="E756" s="750" t="s">
        <v>185</v>
      </c>
      <c r="F756" s="750"/>
      <c r="G756" s="596"/>
      <c r="H756" s="165" t="s">
        <v>12</v>
      </c>
      <c r="I756" s="610"/>
      <c r="J756" s="610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597"/>
      <c r="R756" s="597"/>
      <c r="S756" s="597"/>
      <c r="T756" s="597"/>
      <c r="U756" s="597"/>
      <c r="V756" s="597"/>
      <c r="W756" s="597"/>
      <c r="X756" s="597"/>
      <c r="Y756" s="597"/>
      <c r="Z756" s="597"/>
    </row>
    <row r="757" spans="1:26" ht="19.5" hidden="1">
      <c r="A757" s="592"/>
      <c r="B757" s="600"/>
      <c r="C757" s="750"/>
      <c r="D757" s="638" t="s">
        <v>20</v>
      </c>
      <c r="E757" s="750"/>
      <c r="F757" s="750"/>
      <c r="G757" s="596"/>
      <c r="H757" s="639" t="s">
        <v>12</v>
      </c>
      <c r="I757" s="166"/>
      <c r="J757" s="166"/>
      <c r="K757" s="167"/>
      <c r="L757" s="640">
        <f t="shared" ref="L757:N757" si="306">L758+L759</f>
        <v>0</v>
      </c>
      <c r="M757" s="640">
        <f t="shared" si="306"/>
        <v>0</v>
      </c>
      <c r="N757" s="640">
        <f t="shared" si="306"/>
        <v>0</v>
      </c>
      <c r="O757" s="640">
        <f t="shared" si="303"/>
        <v>0</v>
      </c>
      <c r="P757" s="640">
        <f t="shared" si="304"/>
        <v>0</v>
      </c>
      <c r="Q757" s="597"/>
      <c r="R757" s="597"/>
      <c r="S757" s="597"/>
      <c r="T757" s="597"/>
      <c r="U757" s="597"/>
      <c r="V757" s="597"/>
      <c r="W757" s="597"/>
      <c r="X757" s="597"/>
      <c r="Y757" s="597"/>
      <c r="Z757" s="597"/>
    </row>
    <row r="758" spans="1:26" ht="18.75" hidden="1">
      <c r="A758" s="592"/>
      <c r="B758" s="600"/>
      <c r="C758" s="750"/>
      <c r="D758" s="711"/>
      <c r="E758" s="750" t="s">
        <v>184</v>
      </c>
      <c r="F758" s="750"/>
      <c r="G758" s="596"/>
      <c r="H758" s="165" t="s">
        <v>12</v>
      </c>
      <c r="I758" s="610"/>
      <c r="J758" s="610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597"/>
      <c r="R758" s="597"/>
      <c r="S758" s="597"/>
      <c r="T758" s="597"/>
      <c r="U758" s="597"/>
      <c r="V758" s="597"/>
      <c r="W758" s="597"/>
      <c r="X758" s="597"/>
      <c r="Y758" s="597"/>
      <c r="Z758" s="597"/>
    </row>
    <row r="759" spans="1:26" ht="18.75" hidden="1">
      <c r="A759" s="592"/>
      <c r="B759" s="600"/>
      <c r="C759" s="750"/>
      <c r="D759" s="711"/>
      <c r="E759" s="750" t="s">
        <v>185</v>
      </c>
      <c r="F759" s="750"/>
      <c r="G759" s="596"/>
      <c r="H759" s="165" t="s">
        <v>12</v>
      </c>
      <c r="I759" s="610"/>
      <c r="J759" s="610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597"/>
      <c r="R759" s="597"/>
      <c r="S759" s="597"/>
      <c r="T759" s="597"/>
      <c r="U759" s="597"/>
      <c r="V759" s="597"/>
      <c r="W759" s="597"/>
      <c r="X759" s="597"/>
      <c r="Y759" s="597"/>
      <c r="Z759" s="597"/>
    </row>
    <row r="760" spans="1:26" ht="18.75" hidden="1">
      <c r="A760" s="642"/>
      <c r="B760" s="600"/>
      <c r="C760" s="750"/>
      <c r="D760" s="750"/>
      <c r="E760" s="750"/>
      <c r="F760" s="750" t="s">
        <v>186</v>
      </c>
      <c r="G760" s="596"/>
      <c r="H760" s="165" t="s">
        <v>12</v>
      </c>
      <c r="I760" s="610"/>
      <c r="J760" s="610"/>
      <c r="K760" s="93"/>
      <c r="L760" s="93"/>
      <c r="M760" s="93"/>
      <c r="N760" s="93"/>
      <c r="O760" s="93"/>
      <c r="P760" s="93"/>
      <c r="Q760" s="597"/>
      <c r="R760" s="597"/>
      <c r="S760" s="597"/>
      <c r="T760" s="597"/>
      <c r="U760" s="597"/>
      <c r="V760" s="597"/>
      <c r="W760" s="597"/>
      <c r="X760" s="597"/>
      <c r="Y760" s="597"/>
      <c r="Z760" s="597"/>
    </row>
    <row r="761" spans="1:26" ht="18.75" hidden="1">
      <c r="A761" s="642"/>
      <c r="B761" s="600"/>
      <c r="C761" s="750"/>
      <c r="D761" s="750"/>
      <c r="E761" s="750"/>
      <c r="F761" s="750" t="s">
        <v>187</v>
      </c>
      <c r="G761" s="596"/>
      <c r="H761" s="165" t="s">
        <v>12</v>
      </c>
      <c r="I761" s="610"/>
      <c r="J761" s="610"/>
      <c r="K761" s="93"/>
      <c r="L761" s="93"/>
      <c r="M761" s="93"/>
      <c r="N761" s="93"/>
      <c r="O761" s="93"/>
      <c r="P761" s="93"/>
      <c r="Q761" s="597"/>
      <c r="R761" s="597"/>
      <c r="S761" s="597"/>
      <c r="T761" s="597"/>
      <c r="U761" s="597"/>
      <c r="V761" s="597"/>
      <c r="W761" s="597"/>
      <c r="X761" s="597"/>
      <c r="Y761" s="597"/>
      <c r="Z761" s="597"/>
    </row>
    <row r="762" spans="1:26" ht="18.75" hidden="1">
      <c r="A762" s="642"/>
      <c r="B762" s="600"/>
      <c r="C762" s="750"/>
      <c r="D762" s="750"/>
      <c r="E762" s="750"/>
      <c r="F762" s="750" t="s">
        <v>188</v>
      </c>
      <c r="G762" s="596"/>
      <c r="H762" s="165" t="s">
        <v>12</v>
      </c>
      <c r="I762" s="610"/>
      <c r="J762" s="610"/>
      <c r="K762" s="93"/>
      <c r="L762" s="93"/>
      <c r="M762" s="93"/>
      <c r="N762" s="93"/>
      <c r="O762" s="93"/>
      <c r="P762" s="93"/>
      <c r="Q762" s="597"/>
      <c r="R762" s="597"/>
      <c r="S762" s="597"/>
      <c r="T762" s="597"/>
      <c r="U762" s="597"/>
      <c r="V762" s="597"/>
      <c r="W762" s="597"/>
      <c r="X762" s="597"/>
      <c r="Y762" s="597"/>
      <c r="Z762" s="597"/>
    </row>
    <row r="763" spans="1:26" ht="18.75" hidden="1">
      <c r="A763" s="642"/>
      <c r="B763" s="600"/>
      <c r="C763" s="750"/>
      <c r="D763" s="750"/>
      <c r="E763" s="750"/>
      <c r="F763" s="750" t="s">
        <v>189</v>
      </c>
      <c r="G763" s="596"/>
      <c r="H763" s="165" t="s">
        <v>12</v>
      </c>
      <c r="I763" s="610"/>
      <c r="J763" s="610"/>
      <c r="K763" s="93"/>
      <c r="L763" s="93"/>
      <c r="M763" s="93"/>
      <c r="N763" s="93"/>
      <c r="O763" s="93"/>
      <c r="P763" s="93"/>
      <c r="Q763" s="597"/>
      <c r="R763" s="597"/>
      <c r="S763" s="597"/>
      <c r="T763" s="597"/>
      <c r="U763" s="597"/>
      <c r="V763" s="597"/>
      <c r="W763" s="597"/>
      <c r="X763" s="597"/>
      <c r="Y763" s="597"/>
      <c r="Z763" s="597"/>
    </row>
    <row r="764" spans="1:26" ht="19.5" hidden="1">
      <c r="A764" s="592"/>
      <c r="B764" s="600"/>
      <c r="C764" s="750"/>
      <c r="D764" s="638" t="s">
        <v>21</v>
      </c>
      <c r="E764" s="750"/>
      <c r="F764" s="750"/>
      <c r="G764" s="596"/>
      <c r="H764" s="774" t="s">
        <v>12</v>
      </c>
      <c r="I764" s="166"/>
      <c r="J764" s="166"/>
      <c r="K764" s="167"/>
      <c r="L764" s="640">
        <f t="shared" ref="L764:N764" si="307">L765+L766</f>
        <v>0</v>
      </c>
      <c r="M764" s="640">
        <f t="shared" si="307"/>
        <v>0</v>
      </c>
      <c r="N764" s="640">
        <f t="shared" si="307"/>
        <v>0</v>
      </c>
      <c r="O764" s="640">
        <f t="shared" ref="O764:O766" si="308">IF(L764&gt;0,N764*100/L764,0)</f>
        <v>0</v>
      </c>
      <c r="P764" s="640">
        <f t="shared" ref="P764:P766" si="309">IF(M764&gt;0,N764*100/M764,0)</f>
        <v>0</v>
      </c>
      <c r="Q764" s="597"/>
      <c r="R764" s="597"/>
      <c r="S764" s="597"/>
      <c r="T764" s="597"/>
      <c r="U764" s="597"/>
      <c r="V764" s="597"/>
      <c r="W764" s="597"/>
      <c r="X764" s="597"/>
      <c r="Y764" s="597"/>
      <c r="Z764" s="597"/>
    </row>
    <row r="765" spans="1:26" ht="18.75" hidden="1">
      <c r="A765" s="592"/>
      <c r="B765" s="600"/>
      <c r="C765" s="750"/>
      <c r="D765" s="750"/>
      <c r="E765" s="750" t="s">
        <v>18</v>
      </c>
      <c r="F765" s="750"/>
      <c r="G765" s="596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597"/>
      <c r="R765" s="597"/>
      <c r="S765" s="597"/>
      <c r="T765" s="597"/>
      <c r="U765" s="597"/>
      <c r="V765" s="597"/>
      <c r="W765" s="597"/>
      <c r="X765" s="597"/>
      <c r="Y765" s="597"/>
      <c r="Z765" s="597"/>
    </row>
    <row r="766" spans="1:26" ht="18.75" hidden="1">
      <c r="A766" s="592"/>
      <c r="B766" s="600"/>
      <c r="C766" s="750"/>
      <c r="D766" s="750"/>
      <c r="E766" s="750" t="s">
        <v>19</v>
      </c>
      <c r="F766" s="750"/>
      <c r="G766" s="596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597"/>
      <c r="R766" s="597"/>
      <c r="S766" s="597"/>
      <c r="T766" s="597"/>
      <c r="U766" s="597"/>
      <c r="V766" s="597"/>
      <c r="W766" s="597"/>
      <c r="X766" s="597"/>
      <c r="Y766" s="597"/>
      <c r="Z766" s="597"/>
    </row>
    <row r="767" spans="1:26" ht="19.5" hidden="1">
      <c r="A767" s="607"/>
      <c r="B767" s="609"/>
      <c r="C767" s="750" t="s">
        <v>16</v>
      </c>
      <c r="D767" s="841" t="s">
        <v>38</v>
      </c>
      <c r="E767" s="644"/>
      <c r="F767" s="644"/>
      <c r="G767" s="645"/>
      <c r="H767" s="365"/>
      <c r="I767" s="166"/>
      <c r="J767" s="166"/>
      <c r="K767" s="167"/>
      <c r="L767" s="167"/>
      <c r="M767" s="167"/>
      <c r="N767" s="167"/>
      <c r="O767" s="167"/>
      <c r="P767" s="167"/>
      <c r="Q767" s="597"/>
      <c r="R767" s="597"/>
      <c r="S767" s="597"/>
      <c r="T767" s="597"/>
      <c r="U767" s="597"/>
      <c r="V767" s="597"/>
      <c r="W767" s="597"/>
      <c r="X767" s="597"/>
      <c r="Y767" s="597"/>
      <c r="Z767" s="597"/>
    </row>
    <row r="768" spans="1:26" ht="18.75" hidden="1">
      <c r="A768" s="642"/>
      <c r="B768" s="600"/>
      <c r="C768" s="750"/>
      <c r="D768" s="750"/>
      <c r="E768" s="750" t="s">
        <v>316</v>
      </c>
      <c r="F768" s="750"/>
      <c r="G768" s="596"/>
      <c r="H768" s="165" t="s">
        <v>46</v>
      </c>
      <c r="I768" s="610"/>
      <c r="J768" s="610"/>
      <c r="K768" s="93"/>
      <c r="L768" s="93"/>
      <c r="M768" s="93"/>
      <c r="N768" s="93"/>
      <c r="O768" s="93"/>
      <c r="P768" s="93"/>
      <c r="Q768" s="597"/>
      <c r="R768" s="597"/>
      <c r="S768" s="597"/>
      <c r="T768" s="597"/>
      <c r="U768" s="597"/>
      <c r="V768" s="597"/>
      <c r="W768" s="597"/>
      <c r="X768" s="597"/>
      <c r="Y768" s="597"/>
      <c r="Z768" s="597"/>
    </row>
    <row r="769" spans="1:26" ht="19.5" hidden="1">
      <c r="A769" s="784">
        <v>11</v>
      </c>
      <c r="B769" s="785" t="s">
        <v>317</v>
      </c>
      <c r="C769" s="786"/>
      <c r="D769" s="786"/>
      <c r="E769" s="786"/>
      <c r="F769" s="786"/>
      <c r="G769" s="787"/>
      <c r="H769" s="788" t="s">
        <v>46</v>
      </c>
      <c r="I769" s="789"/>
      <c r="J769" s="789">
        <f>J784</f>
        <v>0</v>
      </c>
      <c r="K769" s="790">
        <f>IF(I769&gt;0,J769*100/I769,0)</f>
        <v>0</v>
      </c>
      <c r="L769" s="791"/>
      <c r="M769" s="791"/>
      <c r="N769" s="791"/>
      <c r="O769" s="791"/>
      <c r="P769" s="791"/>
      <c r="Q769" s="597"/>
      <c r="R769" s="597"/>
      <c r="S769" s="597"/>
      <c r="T769" s="597"/>
      <c r="U769" s="597"/>
      <c r="V769" s="597"/>
      <c r="W769" s="597"/>
      <c r="X769" s="597"/>
      <c r="Y769" s="597"/>
      <c r="Z769" s="597"/>
    </row>
    <row r="770" spans="1:26" ht="19.5" hidden="1">
      <c r="A770" s="592"/>
      <c r="B770" s="750"/>
      <c r="C770" s="750" t="s">
        <v>16</v>
      </c>
      <c r="D770" s="864" t="s">
        <v>17</v>
      </c>
      <c r="E770" s="857"/>
      <c r="F770" s="857"/>
      <c r="G770" s="596"/>
      <c r="H770" s="639" t="s">
        <v>12</v>
      </c>
      <c r="I770" s="610"/>
      <c r="J770" s="610"/>
      <c r="K770" s="93"/>
      <c r="L770" s="640">
        <f t="shared" ref="L770:N770" si="310">L771+L772</f>
        <v>0</v>
      </c>
      <c r="M770" s="640">
        <f t="shared" si="310"/>
        <v>0</v>
      </c>
      <c r="N770" s="640">
        <f t="shared" si="310"/>
        <v>0</v>
      </c>
      <c r="O770" s="640">
        <f t="shared" ref="O770:O775" si="311">IF(L770&gt;0,N770*100/L770,0)</f>
        <v>0</v>
      </c>
      <c r="P770" s="640">
        <f t="shared" ref="P770:P775" si="312">IF(M770&gt;0,N770*100/M770,0)</f>
        <v>0</v>
      </c>
      <c r="Q770" s="597"/>
      <c r="R770" s="597"/>
      <c r="S770" s="597"/>
      <c r="T770" s="597"/>
      <c r="U770" s="597"/>
      <c r="V770" s="597"/>
      <c r="W770" s="597"/>
      <c r="X770" s="597"/>
      <c r="Y770" s="597"/>
      <c r="Z770" s="597"/>
    </row>
    <row r="771" spans="1:26" ht="18.75" hidden="1">
      <c r="A771" s="592"/>
      <c r="B771" s="750"/>
      <c r="C771" s="750"/>
      <c r="D771" s="711"/>
      <c r="E771" s="750" t="s">
        <v>184</v>
      </c>
      <c r="F771" s="750"/>
      <c r="G771" s="596"/>
      <c r="H771" s="165" t="s">
        <v>12</v>
      </c>
      <c r="I771" s="610"/>
      <c r="J771" s="610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597"/>
      <c r="R771" s="597"/>
      <c r="S771" s="597"/>
      <c r="T771" s="597"/>
      <c r="U771" s="597"/>
      <c r="V771" s="597"/>
      <c r="W771" s="597"/>
      <c r="X771" s="597"/>
      <c r="Y771" s="597"/>
      <c r="Z771" s="597"/>
    </row>
    <row r="772" spans="1:26" ht="18.75" hidden="1">
      <c r="A772" s="592"/>
      <c r="B772" s="600"/>
      <c r="C772" s="750"/>
      <c r="D772" s="711"/>
      <c r="E772" s="750" t="s">
        <v>185</v>
      </c>
      <c r="F772" s="750"/>
      <c r="G772" s="596"/>
      <c r="H772" s="165" t="s">
        <v>12</v>
      </c>
      <c r="I772" s="610"/>
      <c r="J772" s="610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597"/>
      <c r="R772" s="597"/>
      <c r="S772" s="597"/>
      <c r="T772" s="597"/>
      <c r="U772" s="597"/>
      <c r="V772" s="597"/>
      <c r="W772" s="597"/>
      <c r="X772" s="597"/>
      <c r="Y772" s="597"/>
      <c r="Z772" s="597"/>
    </row>
    <row r="773" spans="1:26" ht="19.5" hidden="1">
      <c r="A773" s="592"/>
      <c r="B773" s="600"/>
      <c r="C773" s="750"/>
      <c r="D773" s="638" t="s">
        <v>20</v>
      </c>
      <c r="E773" s="750"/>
      <c r="F773" s="750"/>
      <c r="G773" s="596"/>
      <c r="H773" s="639" t="s">
        <v>12</v>
      </c>
      <c r="I773" s="166"/>
      <c r="J773" s="166"/>
      <c r="K773" s="167"/>
      <c r="L773" s="640">
        <f t="shared" ref="L773:N773" si="314">L774+L775</f>
        <v>0</v>
      </c>
      <c r="M773" s="640">
        <f t="shared" si="314"/>
        <v>0</v>
      </c>
      <c r="N773" s="640">
        <f t="shared" si="314"/>
        <v>0</v>
      </c>
      <c r="O773" s="640">
        <f t="shared" si="311"/>
        <v>0</v>
      </c>
      <c r="P773" s="640">
        <f t="shared" si="312"/>
        <v>0</v>
      </c>
      <c r="Q773" s="597"/>
      <c r="R773" s="597"/>
      <c r="S773" s="597"/>
      <c r="T773" s="597"/>
      <c r="U773" s="597"/>
      <c r="V773" s="597"/>
      <c r="W773" s="597"/>
      <c r="X773" s="597"/>
      <c r="Y773" s="597"/>
      <c r="Z773" s="597"/>
    </row>
    <row r="774" spans="1:26" ht="18.75" hidden="1">
      <c r="A774" s="592"/>
      <c r="B774" s="600"/>
      <c r="C774" s="750"/>
      <c r="D774" s="711"/>
      <c r="E774" s="750" t="s">
        <v>184</v>
      </c>
      <c r="F774" s="750"/>
      <c r="G774" s="596"/>
      <c r="H774" s="165" t="s">
        <v>12</v>
      </c>
      <c r="I774" s="610"/>
      <c r="J774" s="610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597"/>
      <c r="R774" s="597"/>
      <c r="S774" s="597"/>
      <c r="T774" s="597"/>
      <c r="U774" s="597"/>
      <c r="V774" s="597"/>
      <c r="W774" s="597"/>
      <c r="X774" s="597"/>
      <c r="Y774" s="597"/>
      <c r="Z774" s="597"/>
    </row>
    <row r="775" spans="1:26" ht="18.75" hidden="1">
      <c r="A775" s="592"/>
      <c r="B775" s="600"/>
      <c r="C775" s="750"/>
      <c r="D775" s="711"/>
      <c r="E775" s="750" t="s">
        <v>185</v>
      </c>
      <c r="F775" s="750"/>
      <c r="G775" s="596"/>
      <c r="H775" s="165" t="s">
        <v>12</v>
      </c>
      <c r="I775" s="610"/>
      <c r="J775" s="610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597"/>
      <c r="R775" s="597"/>
      <c r="S775" s="597"/>
      <c r="T775" s="597"/>
      <c r="U775" s="597"/>
      <c r="V775" s="597"/>
      <c r="W775" s="597"/>
      <c r="X775" s="597"/>
      <c r="Y775" s="597"/>
      <c r="Z775" s="597"/>
    </row>
    <row r="776" spans="1:26" ht="18.75" hidden="1">
      <c r="A776" s="642"/>
      <c r="B776" s="600"/>
      <c r="C776" s="750"/>
      <c r="D776" s="750"/>
      <c r="E776" s="750"/>
      <c r="F776" s="750" t="s">
        <v>186</v>
      </c>
      <c r="G776" s="596"/>
      <c r="H776" s="165" t="s">
        <v>12</v>
      </c>
      <c r="I776" s="610"/>
      <c r="J776" s="610"/>
      <c r="K776" s="93"/>
      <c r="L776" s="93"/>
      <c r="M776" s="93"/>
      <c r="N776" s="93"/>
      <c r="O776" s="93"/>
      <c r="P776" s="93"/>
      <c r="Q776" s="597"/>
      <c r="R776" s="597"/>
      <c r="S776" s="597"/>
      <c r="T776" s="597"/>
      <c r="U776" s="597"/>
      <c r="V776" s="597"/>
      <c r="W776" s="597"/>
      <c r="X776" s="597"/>
      <c r="Y776" s="597"/>
      <c r="Z776" s="597"/>
    </row>
    <row r="777" spans="1:26" ht="18.75" hidden="1">
      <c r="A777" s="642"/>
      <c r="B777" s="600"/>
      <c r="C777" s="750"/>
      <c r="D777" s="750"/>
      <c r="E777" s="750"/>
      <c r="F777" s="750" t="s">
        <v>187</v>
      </c>
      <c r="G777" s="596"/>
      <c r="H777" s="165" t="s">
        <v>12</v>
      </c>
      <c r="I777" s="610"/>
      <c r="J777" s="610"/>
      <c r="K777" s="93"/>
      <c r="L777" s="93"/>
      <c r="M777" s="93"/>
      <c r="N777" s="93"/>
      <c r="O777" s="93"/>
      <c r="P777" s="93"/>
      <c r="Q777" s="597"/>
      <c r="R777" s="597"/>
      <c r="S777" s="597"/>
      <c r="T777" s="597"/>
      <c r="U777" s="597"/>
      <c r="V777" s="597"/>
      <c r="W777" s="597"/>
      <c r="X777" s="597"/>
      <c r="Y777" s="597"/>
      <c r="Z777" s="597"/>
    </row>
    <row r="778" spans="1:26" ht="18.75" hidden="1">
      <c r="A778" s="642"/>
      <c r="B778" s="600"/>
      <c r="C778" s="750"/>
      <c r="D778" s="750"/>
      <c r="E778" s="750"/>
      <c r="F778" s="750" t="s">
        <v>188</v>
      </c>
      <c r="G778" s="596"/>
      <c r="H778" s="165" t="s">
        <v>12</v>
      </c>
      <c r="I778" s="610"/>
      <c r="J778" s="610"/>
      <c r="K778" s="93"/>
      <c r="L778" s="93"/>
      <c r="M778" s="93"/>
      <c r="N778" s="93"/>
      <c r="O778" s="93"/>
      <c r="P778" s="93"/>
      <c r="Q778" s="597"/>
      <c r="R778" s="597"/>
      <c r="S778" s="597"/>
      <c r="T778" s="597"/>
      <c r="U778" s="597"/>
      <c r="V778" s="597"/>
      <c r="W778" s="597"/>
      <c r="X778" s="597"/>
      <c r="Y778" s="597"/>
      <c r="Z778" s="597"/>
    </row>
    <row r="779" spans="1:26" ht="18.75" hidden="1">
      <c r="A779" s="642"/>
      <c r="B779" s="600"/>
      <c r="C779" s="750"/>
      <c r="D779" s="750"/>
      <c r="E779" s="750"/>
      <c r="F779" s="750" t="s">
        <v>189</v>
      </c>
      <c r="G779" s="596"/>
      <c r="H779" s="165" t="s">
        <v>12</v>
      </c>
      <c r="I779" s="610"/>
      <c r="J779" s="610"/>
      <c r="K779" s="93"/>
      <c r="L779" s="93"/>
      <c r="M779" s="93"/>
      <c r="N779" s="93"/>
      <c r="O779" s="93"/>
      <c r="P779" s="93"/>
      <c r="Q779" s="597"/>
      <c r="R779" s="597"/>
      <c r="S779" s="597"/>
      <c r="T779" s="597"/>
      <c r="U779" s="597"/>
      <c r="V779" s="597"/>
      <c r="W779" s="597"/>
      <c r="X779" s="597"/>
      <c r="Y779" s="597"/>
      <c r="Z779" s="597"/>
    </row>
    <row r="780" spans="1:26" ht="19.5" hidden="1">
      <c r="A780" s="592"/>
      <c r="B780" s="600"/>
      <c r="C780" s="750"/>
      <c r="D780" s="638" t="s">
        <v>21</v>
      </c>
      <c r="E780" s="750"/>
      <c r="F780" s="750"/>
      <c r="G780" s="596"/>
      <c r="H780" s="774" t="s">
        <v>12</v>
      </c>
      <c r="I780" s="166"/>
      <c r="J780" s="166"/>
      <c r="K780" s="167"/>
      <c r="L780" s="640">
        <f t="shared" ref="L780:N780" si="315">L781+L782</f>
        <v>0</v>
      </c>
      <c r="M780" s="640">
        <f t="shared" si="315"/>
        <v>0</v>
      </c>
      <c r="N780" s="640">
        <f t="shared" si="315"/>
        <v>0</v>
      </c>
      <c r="O780" s="640">
        <f t="shared" ref="O780:O782" si="316">IF(L780&gt;0,N780*100/L780,0)</f>
        <v>0</v>
      </c>
      <c r="P780" s="640">
        <f t="shared" ref="P780:P782" si="317">IF(M780&gt;0,N780*100/M780,0)</f>
        <v>0</v>
      </c>
      <c r="Q780" s="597"/>
      <c r="R780" s="597"/>
      <c r="S780" s="597"/>
      <c r="T780" s="597"/>
      <c r="U780" s="597"/>
      <c r="V780" s="597"/>
      <c r="W780" s="597"/>
      <c r="X780" s="597"/>
      <c r="Y780" s="597"/>
      <c r="Z780" s="597"/>
    </row>
    <row r="781" spans="1:26" ht="18.75" hidden="1">
      <c r="A781" s="592"/>
      <c r="B781" s="600"/>
      <c r="C781" s="750"/>
      <c r="D781" s="750"/>
      <c r="E781" s="750" t="s">
        <v>18</v>
      </c>
      <c r="F781" s="750"/>
      <c r="G781" s="596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597"/>
      <c r="R781" s="597"/>
      <c r="S781" s="597"/>
      <c r="T781" s="597"/>
      <c r="U781" s="597"/>
      <c r="V781" s="597"/>
      <c r="W781" s="597"/>
      <c r="X781" s="597"/>
      <c r="Y781" s="597"/>
      <c r="Z781" s="597"/>
    </row>
    <row r="782" spans="1:26" ht="18.75" hidden="1">
      <c r="A782" s="592"/>
      <c r="B782" s="600"/>
      <c r="C782" s="750"/>
      <c r="D782" s="750"/>
      <c r="E782" s="750" t="s">
        <v>19</v>
      </c>
      <c r="F782" s="750"/>
      <c r="G782" s="596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597"/>
      <c r="R782" s="597"/>
      <c r="S782" s="597"/>
      <c r="T782" s="597"/>
      <c r="U782" s="597"/>
      <c r="V782" s="597"/>
      <c r="W782" s="597"/>
      <c r="X782" s="597"/>
      <c r="Y782" s="597"/>
      <c r="Z782" s="597"/>
    </row>
    <row r="783" spans="1:26" ht="19.5" hidden="1">
      <c r="A783" s="607"/>
      <c r="B783" s="609"/>
      <c r="C783" s="750" t="s">
        <v>16</v>
      </c>
      <c r="D783" s="841" t="s">
        <v>38</v>
      </c>
      <c r="E783" s="644"/>
      <c r="F783" s="644"/>
      <c r="G783" s="645"/>
      <c r="H783" s="792"/>
      <c r="I783" s="166"/>
      <c r="J783" s="166"/>
      <c r="K783" s="167"/>
      <c r="L783" s="167"/>
      <c r="M783" s="167"/>
      <c r="N783" s="167"/>
      <c r="O783" s="167"/>
      <c r="P783" s="167"/>
      <c r="Q783" s="597"/>
      <c r="R783" s="597"/>
      <c r="S783" s="597"/>
      <c r="T783" s="597"/>
      <c r="U783" s="597"/>
      <c r="V783" s="597"/>
      <c r="W783" s="597"/>
      <c r="X783" s="597"/>
      <c r="Y783" s="597"/>
      <c r="Z783" s="597"/>
    </row>
    <row r="784" spans="1:26" ht="18.75" hidden="1">
      <c r="A784" s="642"/>
      <c r="B784" s="600"/>
      <c r="C784" s="750"/>
      <c r="D784" s="750"/>
      <c r="E784" s="750" t="s">
        <v>318</v>
      </c>
      <c r="F784" s="750"/>
      <c r="G784" s="596"/>
      <c r="H784" s="165" t="s">
        <v>46</v>
      </c>
      <c r="I784" s="610"/>
      <c r="J784" s="610"/>
      <c r="K784" s="93"/>
      <c r="L784" s="93"/>
      <c r="M784" s="93"/>
      <c r="N784" s="93"/>
      <c r="O784" s="93"/>
      <c r="P784" s="93"/>
      <c r="Q784" s="597"/>
      <c r="R784" s="597"/>
      <c r="S784" s="597"/>
      <c r="T784" s="597"/>
      <c r="U784" s="597"/>
      <c r="V784" s="597"/>
      <c r="W784" s="597"/>
      <c r="X784" s="597"/>
      <c r="Y784" s="597"/>
      <c r="Z784" s="597"/>
    </row>
    <row r="785" spans="1:26" ht="19.5" hidden="1">
      <c r="A785" s="793">
        <v>12</v>
      </c>
      <c r="B785" s="794" t="s">
        <v>319</v>
      </c>
      <c r="C785" s="795"/>
      <c r="D785" s="795"/>
      <c r="E785" s="795"/>
      <c r="F785" s="795"/>
      <c r="G785" s="796"/>
      <c r="H785" s="797" t="s">
        <v>46</v>
      </c>
      <c r="I785" s="798">
        <f t="shared" ref="I785:J785" ca="1" si="318">I800</f>
        <v>0</v>
      </c>
      <c r="J785" s="799">
        <f t="shared" ca="1" si="318"/>
        <v>0</v>
      </c>
      <c r="K785" s="800">
        <f ca="1">IF(I785&gt;0,J785*100/I785,0)</f>
        <v>0</v>
      </c>
      <c r="L785" s="801"/>
      <c r="M785" s="801"/>
      <c r="N785" s="801"/>
      <c r="O785" s="801"/>
      <c r="P785" s="801"/>
      <c r="Q785" s="571"/>
      <c r="R785" s="571"/>
      <c r="S785" s="571"/>
      <c r="T785" s="571"/>
      <c r="U785" s="571"/>
      <c r="V785" s="571"/>
      <c r="W785" s="571"/>
      <c r="X785" s="571"/>
      <c r="Y785" s="571"/>
      <c r="Z785" s="571"/>
    </row>
    <row r="786" spans="1:26" ht="19.5" hidden="1">
      <c r="A786" s="590"/>
      <c r="B786" s="568"/>
      <c r="C786" s="754" t="s">
        <v>16</v>
      </c>
      <c r="D786" s="863" t="s">
        <v>17</v>
      </c>
      <c r="E786" s="857"/>
      <c r="F786" s="857"/>
      <c r="G786" s="189"/>
      <c r="H786" s="591" t="s">
        <v>12</v>
      </c>
      <c r="I786" s="269"/>
      <c r="J786" s="269"/>
      <c r="K786" s="496"/>
      <c r="L786" s="195">
        <f t="shared" ref="L786:N786" ca="1" si="319">L787+L788</f>
        <v>0</v>
      </c>
      <c r="M786" s="195">
        <f t="shared" si="319"/>
        <v>0</v>
      </c>
      <c r="N786" s="195">
        <f t="shared" si="319"/>
        <v>0</v>
      </c>
      <c r="O786" s="195">
        <f t="shared" ref="O786:O791" ca="1" si="320">IF(L786&gt;0,N786*100/L786,0)</f>
        <v>0</v>
      </c>
      <c r="P786" s="195">
        <f t="shared" ref="P786:P791" si="321">IF(M786&gt;0,N786*100/M786,0)</f>
        <v>0</v>
      </c>
      <c r="Q786" s="571"/>
      <c r="R786" s="571"/>
      <c r="S786" s="571"/>
      <c r="T786" s="571"/>
      <c r="U786" s="571"/>
      <c r="V786" s="571"/>
      <c r="W786" s="571"/>
      <c r="X786" s="571"/>
      <c r="Y786" s="571"/>
      <c r="Z786" s="571"/>
    </row>
    <row r="787" spans="1:26" ht="18.75" hidden="1">
      <c r="A787" s="592"/>
      <c r="B787" s="600"/>
      <c r="C787" s="750"/>
      <c r="D787" s="711"/>
      <c r="E787" s="750" t="s">
        <v>184</v>
      </c>
      <c r="F787" s="750"/>
      <c r="G787" s="596"/>
      <c r="H787" s="165" t="s">
        <v>12</v>
      </c>
      <c r="I787" s="610"/>
      <c r="J787" s="610"/>
      <c r="K787" s="93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597"/>
      <c r="R787" s="597"/>
      <c r="S787" s="597"/>
      <c r="T787" s="597"/>
      <c r="U787" s="597"/>
      <c r="V787" s="597"/>
      <c r="W787" s="597"/>
      <c r="X787" s="597"/>
      <c r="Y787" s="597"/>
      <c r="Z787" s="597"/>
    </row>
    <row r="788" spans="1:26" ht="18.75" hidden="1">
      <c r="A788" s="592"/>
      <c r="B788" s="600"/>
      <c r="C788" s="600"/>
      <c r="D788" s="609"/>
      <c r="E788" s="750" t="s">
        <v>185</v>
      </c>
      <c r="F788" s="750"/>
      <c r="G788" s="596"/>
      <c r="H788" s="165" t="s">
        <v>12</v>
      </c>
      <c r="I788" s="610"/>
      <c r="J788" s="610"/>
      <c r="K788" s="93"/>
      <c r="L788" s="93">
        <f t="shared" ca="1" si="322"/>
        <v>0</v>
      </c>
      <c r="M788" s="93">
        <f t="shared" si="322"/>
        <v>0</v>
      </c>
      <c r="N788" s="93">
        <f t="shared" si="322"/>
        <v>0</v>
      </c>
      <c r="O788" s="93">
        <f t="shared" ca="1" si="320"/>
        <v>0</v>
      </c>
      <c r="P788" s="93">
        <f t="shared" si="321"/>
        <v>0</v>
      </c>
      <c r="Q788" s="597"/>
      <c r="R788" s="597"/>
      <c r="S788" s="597"/>
      <c r="T788" s="597"/>
      <c r="U788" s="597"/>
      <c r="V788" s="597"/>
      <c r="W788" s="597"/>
      <c r="X788" s="597"/>
      <c r="Y788" s="597"/>
      <c r="Z788" s="597"/>
    </row>
    <row r="789" spans="1:26" ht="18.75" hidden="1">
      <c r="A789" s="590"/>
      <c r="B789" s="568"/>
      <c r="C789" s="568"/>
      <c r="D789" s="599" t="s">
        <v>20</v>
      </c>
      <c r="E789" s="754"/>
      <c r="F789" s="754"/>
      <c r="G789" s="189"/>
      <c r="H789" s="161" t="s">
        <v>12</v>
      </c>
      <c r="I789" s="184"/>
      <c r="J789" s="184"/>
      <c r="K789" s="163"/>
      <c r="L789" s="496">
        <f t="shared" ref="L789:N789" ca="1" si="323">L790+L791</f>
        <v>0</v>
      </c>
      <c r="M789" s="496">
        <f t="shared" si="323"/>
        <v>0</v>
      </c>
      <c r="N789" s="496">
        <f t="shared" si="323"/>
        <v>0</v>
      </c>
      <c r="O789" s="496">
        <f t="shared" ca="1" si="320"/>
        <v>0</v>
      </c>
      <c r="P789" s="496">
        <f t="shared" si="321"/>
        <v>0</v>
      </c>
      <c r="Q789" s="571"/>
      <c r="R789" s="571"/>
      <c r="S789" s="571"/>
      <c r="T789" s="571"/>
      <c r="U789" s="571"/>
      <c r="V789" s="571"/>
      <c r="W789" s="571"/>
      <c r="X789" s="571"/>
      <c r="Y789" s="571"/>
      <c r="Z789" s="571"/>
    </row>
    <row r="790" spans="1:26" ht="18.75" hidden="1">
      <c r="A790" s="592"/>
      <c r="B790" s="600"/>
      <c r="C790" s="600"/>
      <c r="D790" s="609"/>
      <c r="E790" s="750" t="s">
        <v>184</v>
      </c>
      <c r="F790" s="750"/>
      <c r="G790" s="596"/>
      <c r="H790" s="165" t="s">
        <v>12</v>
      </c>
      <c r="I790" s="610"/>
      <c r="J790" s="610"/>
      <c r="K790" s="93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597"/>
      <c r="R790" s="597"/>
      <c r="S790" s="597"/>
      <c r="T790" s="597"/>
      <c r="U790" s="597"/>
      <c r="V790" s="597"/>
      <c r="W790" s="597"/>
      <c r="X790" s="597"/>
      <c r="Y790" s="597"/>
      <c r="Z790" s="597"/>
    </row>
    <row r="791" spans="1:26" ht="18.75" hidden="1">
      <c r="A791" s="592"/>
      <c r="B791" s="600"/>
      <c r="C791" s="600"/>
      <c r="D791" s="609"/>
      <c r="E791" s="750" t="s">
        <v>185</v>
      </c>
      <c r="F791" s="750"/>
      <c r="G791" s="596"/>
      <c r="H791" s="165" t="s">
        <v>12</v>
      </c>
      <c r="I791" s="610"/>
      <c r="J791" s="610"/>
      <c r="K791" s="93"/>
      <c r="L791" s="93">
        <f ca="1">IFERROR(__xludf.DUMMYFUNCTION("IMPORTRANGE(""https://docs.google.com/spreadsheets/d/1QqKyyYR6Q21VydFLVH3TRQUabQu_ym0Zz7PgGX0-kHA/edit?usp=sharing"",""แผน!JJ72"")"),0)</f>
        <v>0</v>
      </c>
      <c r="M791" s="93">
        <v>0</v>
      </c>
      <c r="N791" s="93">
        <f>N792+N793+N794+N795</f>
        <v>0</v>
      </c>
      <c r="O791" s="93">
        <f t="shared" ca="1" si="320"/>
        <v>0</v>
      </c>
      <c r="P791" s="93">
        <f t="shared" si="321"/>
        <v>0</v>
      </c>
      <c r="Q791" s="597"/>
      <c r="R791" s="597"/>
      <c r="S791" s="597"/>
      <c r="T791" s="597"/>
      <c r="U791" s="597"/>
      <c r="V791" s="597"/>
      <c r="W791" s="597"/>
      <c r="X791" s="597"/>
      <c r="Y791" s="597"/>
      <c r="Z791" s="597"/>
    </row>
    <row r="792" spans="1:26" ht="18.75" hidden="1">
      <c r="A792" s="567"/>
      <c r="B792" s="568"/>
      <c r="C792" s="754"/>
      <c r="D792" s="754"/>
      <c r="E792" s="754"/>
      <c r="F792" s="754" t="s">
        <v>186</v>
      </c>
      <c r="G792" s="189"/>
      <c r="H792" s="161" t="s">
        <v>12</v>
      </c>
      <c r="I792" s="269"/>
      <c r="J792" s="269"/>
      <c r="K792" s="496"/>
      <c r="L792" s="496"/>
      <c r="M792" s="496"/>
      <c r="N792" s="817">
        <v>0</v>
      </c>
      <c r="O792" s="496"/>
      <c r="P792" s="496"/>
      <c r="Q792" s="571"/>
      <c r="R792" s="571"/>
      <c r="S792" s="571"/>
      <c r="T792" s="571"/>
      <c r="U792" s="571"/>
      <c r="V792" s="571"/>
      <c r="W792" s="571"/>
      <c r="X792" s="571"/>
      <c r="Y792" s="571"/>
      <c r="Z792" s="571"/>
    </row>
    <row r="793" spans="1:26" ht="18.75" hidden="1">
      <c r="A793" s="567"/>
      <c r="B793" s="568"/>
      <c r="C793" s="754"/>
      <c r="D793" s="754"/>
      <c r="E793" s="754"/>
      <c r="F793" s="754" t="s">
        <v>187</v>
      </c>
      <c r="G793" s="189"/>
      <c r="H793" s="161" t="s">
        <v>12</v>
      </c>
      <c r="I793" s="269"/>
      <c r="J793" s="269"/>
      <c r="K793" s="496"/>
      <c r="L793" s="496"/>
      <c r="M793" s="496"/>
      <c r="N793" s="817">
        <v>0</v>
      </c>
      <c r="O793" s="496"/>
      <c r="P793" s="496"/>
      <c r="Q793" s="571"/>
      <c r="R793" s="571"/>
      <c r="S793" s="571"/>
      <c r="T793" s="571"/>
      <c r="U793" s="571"/>
      <c r="V793" s="571"/>
      <c r="W793" s="571"/>
      <c r="X793" s="571"/>
      <c r="Y793" s="571"/>
      <c r="Z793" s="571"/>
    </row>
    <row r="794" spans="1:26" ht="18.75" hidden="1">
      <c r="A794" s="567"/>
      <c r="B794" s="568"/>
      <c r="C794" s="754"/>
      <c r="D794" s="754"/>
      <c r="E794" s="754"/>
      <c r="F794" s="754" t="s">
        <v>188</v>
      </c>
      <c r="G794" s="189"/>
      <c r="H794" s="161" t="s">
        <v>12</v>
      </c>
      <c r="I794" s="269"/>
      <c r="J794" s="269"/>
      <c r="K794" s="496"/>
      <c r="L794" s="496"/>
      <c r="M794" s="496"/>
      <c r="N794" s="817">
        <v>0</v>
      </c>
      <c r="O794" s="496"/>
      <c r="P794" s="496"/>
      <c r="Q794" s="571"/>
      <c r="R794" s="571"/>
      <c r="S794" s="571"/>
      <c r="T794" s="571"/>
      <c r="U794" s="571"/>
      <c r="V794" s="571"/>
      <c r="W794" s="571"/>
      <c r="X794" s="571"/>
      <c r="Y794" s="571"/>
      <c r="Z794" s="571"/>
    </row>
    <row r="795" spans="1:26" ht="18.75" hidden="1">
      <c r="A795" s="567"/>
      <c r="B795" s="568"/>
      <c r="C795" s="754"/>
      <c r="D795" s="754"/>
      <c r="E795" s="754"/>
      <c r="F795" s="754" t="s">
        <v>189</v>
      </c>
      <c r="G795" s="189"/>
      <c r="H795" s="161" t="s">
        <v>12</v>
      </c>
      <c r="I795" s="269"/>
      <c r="J795" s="269"/>
      <c r="K795" s="496"/>
      <c r="L795" s="496"/>
      <c r="M795" s="496"/>
      <c r="N795" s="817">
        <v>0</v>
      </c>
      <c r="O795" s="496"/>
      <c r="P795" s="496"/>
      <c r="Q795" s="571"/>
      <c r="R795" s="571"/>
      <c r="S795" s="571"/>
      <c r="T795" s="571"/>
      <c r="U795" s="571"/>
      <c r="V795" s="571"/>
      <c r="W795" s="571"/>
      <c r="X795" s="571"/>
      <c r="Y795" s="571"/>
      <c r="Z795" s="571"/>
    </row>
    <row r="796" spans="1:26" ht="18.75" hidden="1">
      <c r="A796" s="590"/>
      <c r="B796" s="568"/>
      <c r="C796" s="754"/>
      <c r="D796" s="599" t="s">
        <v>21</v>
      </c>
      <c r="E796" s="754"/>
      <c r="F796" s="754"/>
      <c r="G796" s="189"/>
      <c r="H796" s="168" t="s">
        <v>12</v>
      </c>
      <c r="I796" s="184"/>
      <c r="J796" s="184"/>
      <c r="K796" s="163"/>
      <c r="L796" s="496">
        <f t="shared" ref="L796:N796" si="324">L797+L798</f>
        <v>0</v>
      </c>
      <c r="M796" s="496">
        <f t="shared" si="324"/>
        <v>0</v>
      </c>
      <c r="N796" s="496">
        <f t="shared" si="324"/>
        <v>0</v>
      </c>
      <c r="O796" s="496">
        <f t="shared" ref="O796:O798" si="325">IF(L796&gt;0,N796*100/L796,0)</f>
        <v>0</v>
      </c>
      <c r="P796" s="496">
        <f t="shared" ref="P796:P798" si="326">IF(M796&gt;0,N796*100/M796,0)</f>
        <v>0</v>
      </c>
      <c r="Q796" s="571"/>
      <c r="R796" s="571"/>
      <c r="S796" s="571"/>
      <c r="T796" s="571"/>
      <c r="U796" s="571"/>
      <c r="V796" s="571"/>
      <c r="W796" s="571"/>
      <c r="X796" s="571"/>
      <c r="Y796" s="571"/>
      <c r="Z796" s="571"/>
    </row>
    <row r="797" spans="1:26" ht="18.75" hidden="1">
      <c r="A797" s="592"/>
      <c r="B797" s="600"/>
      <c r="C797" s="750"/>
      <c r="D797" s="750"/>
      <c r="E797" s="750" t="s">
        <v>18</v>
      </c>
      <c r="F797" s="750"/>
      <c r="G797" s="596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597"/>
      <c r="R797" s="597"/>
      <c r="S797" s="597"/>
      <c r="T797" s="597"/>
      <c r="U797" s="597"/>
      <c r="V797" s="597"/>
      <c r="W797" s="597"/>
      <c r="X797" s="597"/>
      <c r="Y797" s="597"/>
      <c r="Z797" s="597"/>
    </row>
    <row r="798" spans="1:26" ht="18.75" hidden="1">
      <c r="A798" s="592"/>
      <c r="B798" s="600"/>
      <c r="C798" s="750"/>
      <c r="D798" s="750"/>
      <c r="E798" s="750" t="s">
        <v>19</v>
      </c>
      <c r="F798" s="750"/>
      <c r="G798" s="596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597"/>
      <c r="R798" s="597"/>
      <c r="S798" s="597"/>
      <c r="T798" s="597"/>
      <c r="U798" s="597"/>
      <c r="V798" s="597"/>
      <c r="W798" s="597"/>
      <c r="X798" s="597"/>
      <c r="Y798" s="597"/>
      <c r="Z798" s="597"/>
    </row>
    <row r="799" spans="1:26" ht="19.5" hidden="1">
      <c r="A799" s="601"/>
      <c r="B799" s="611"/>
      <c r="C799" s="754" t="s">
        <v>16</v>
      </c>
      <c r="D799" s="840" t="s">
        <v>38</v>
      </c>
      <c r="E799" s="752"/>
      <c r="F799" s="752"/>
      <c r="G799" s="606"/>
      <c r="H799" s="802"/>
      <c r="I799" s="184"/>
      <c r="J799" s="184"/>
      <c r="K799" s="163"/>
      <c r="L799" s="163"/>
      <c r="M799" s="163"/>
      <c r="N799" s="163"/>
      <c r="O799" s="163"/>
      <c r="P799" s="163"/>
      <c r="Q799" s="571"/>
      <c r="R799" s="571"/>
      <c r="S799" s="571"/>
      <c r="T799" s="571"/>
      <c r="U799" s="571"/>
      <c r="V799" s="571"/>
      <c r="W799" s="571"/>
      <c r="X799" s="571"/>
      <c r="Y799" s="571"/>
      <c r="Z799" s="571"/>
    </row>
    <row r="800" spans="1:26" ht="18.75" hidden="1">
      <c r="A800" s="601"/>
      <c r="B800" s="611"/>
      <c r="C800" s="611"/>
      <c r="D800" s="611"/>
      <c r="E800" s="619"/>
      <c r="F800" s="619" t="s">
        <v>320</v>
      </c>
      <c r="G800" s="753"/>
      <c r="H800" s="185" t="s">
        <v>46</v>
      </c>
      <c r="I800" s="184">
        <f ca="1">IFERROR(__xludf.DUMMYFUNCTION("IMPORTRANGE(""https://docs.google.com/spreadsheets/d/1QqKyyYR6Q21VydFLVH3TRQUabQu_ym0Zz7PgGX0-kHA/edit?usp=sharing"",""แผน!JN72"")"),0)</f>
        <v>0</v>
      </c>
      <c r="J800" s="184">
        <f ca="1">IFERROR(__xludf.DUMMYFUNCTION("IMPORTRANGE(""https://docs.google.com/spreadsheets/d/1MaWodYyGHDf7siQLGxnXhG4mBNTNIuy296niS2xXulU/edit?usp=sharing"",""RTK!H72"")"),0)</f>
        <v>0</v>
      </c>
      <c r="K800" s="496">
        <f ca="1">IF(I800&gt;0,J800*100/I800,0)</f>
        <v>0</v>
      </c>
      <c r="L800" s="496"/>
      <c r="M800" s="496"/>
      <c r="N800" s="496"/>
      <c r="O800" s="163"/>
      <c r="P800" s="163"/>
      <c r="Q800" s="571"/>
      <c r="R800" s="571"/>
      <c r="S800" s="571"/>
      <c r="T800" s="571"/>
      <c r="U800" s="571"/>
      <c r="V800" s="571"/>
      <c r="W800" s="571"/>
      <c r="X800" s="571"/>
      <c r="Y800" s="571"/>
      <c r="Z800" s="571"/>
    </row>
    <row r="801" spans="1:26" ht="18.75" hidden="1">
      <c r="A801" s="601"/>
      <c r="B801" s="611"/>
      <c r="C801" s="611"/>
      <c r="D801" s="611"/>
      <c r="E801" s="619"/>
      <c r="F801" s="619"/>
      <c r="G801" s="753"/>
      <c r="H801" s="161" t="s">
        <v>34</v>
      </c>
      <c r="I801" s="184"/>
      <c r="J801" s="269">
        <f ca="1">IFERROR(__xludf.DUMMYFUNCTION("IMPORTRANGE(""https://docs.google.com/spreadsheets/d/1MaWodYyGHDf7siQLGxnXhG4mBNTNIuy296niS2xXulU/edit?usp=sharing"",""RTK!I72"")"),0)</f>
        <v>0</v>
      </c>
      <c r="K801" s="496"/>
      <c r="L801" s="496"/>
      <c r="M801" s="496"/>
      <c r="N801" s="496"/>
      <c r="O801" s="163"/>
      <c r="P801" s="163"/>
      <c r="Q801" s="571"/>
      <c r="R801" s="571"/>
      <c r="S801" s="571"/>
      <c r="T801" s="571"/>
      <c r="U801" s="571"/>
      <c r="V801" s="571"/>
      <c r="W801" s="571"/>
      <c r="X801" s="571"/>
      <c r="Y801" s="571"/>
      <c r="Z801" s="571"/>
    </row>
    <row r="802" spans="1:26" ht="18.75" hidden="1">
      <c r="A802" s="607"/>
      <c r="B802" s="609"/>
      <c r="C802" s="609"/>
      <c r="D802" s="609"/>
      <c r="E802" s="711"/>
      <c r="F802" s="711" t="s">
        <v>321</v>
      </c>
      <c r="G802" s="365"/>
      <c r="H802" s="646" t="s">
        <v>46</v>
      </c>
      <c r="I802" s="166"/>
      <c r="J802" s="610"/>
      <c r="K802" s="167">
        <f>IF(I802&gt;0,J802*100/I802,0)</f>
        <v>0</v>
      </c>
      <c r="L802" s="167"/>
      <c r="M802" s="167"/>
      <c r="N802" s="167"/>
      <c r="O802" s="167"/>
      <c r="P802" s="167"/>
      <c r="Q802" s="597"/>
      <c r="R802" s="597"/>
      <c r="S802" s="597"/>
      <c r="T802" s="597"/>
      <c r="U802" s="597"/>
      <c r="V802" s="597"/>
      <c r="W802" s="597"/>
      <c r="X802" s="597"/>
      <c r="Y802" s="597"/>
      <c r="Z802" s="597"/>
    </row>
    <row r="803" spans="1:26" ht="18.75" hidden="1">
      <c r="A803" s="607"/>
      <c r="B803" s="609"/>
      <c r="C803" s="609"/>
      <c r="D803" s="609"/>
      <c r="E803" s="711"/>
      <c r="F803" s="711"/>
      <c r="G803" s="365"/>
      <c r="H803" s="646" t="s">
        <v>34</v>
      </c>
      <c r="I803" s="166"/>
      <c r="J803" s="610"/>
      <c r="K803" s="167"/>
      <c r="L803" s="167"/>
      <c r="M803" s="167"/>
      <c r="N803" s="167"/>
      <c r="O803" s="167"/>
      <c r="P803" s="167"/>
      <c r="Q803" s="597"/>
      <c r="R803" s="597"/>
      <c r="S803" s="597"/>
      <c r="T803" s="597"/>
      <c r="U803" s="597"/>
      <c r="V803" s="597"/>
      <c r="W803" s="597"/>
      <c r="X803" s="597"/>
      <c r="Y803" s="597"/>
      <c r="Z803" s="597"/>
    </row>
    <row r="804" spans="1:26" ht="19.5" hidden="1">
      <c r="A804" s="784">
        <v>13</v>
      </c>
      <c r="B804" s="785" t="s">
        <v>322</v>
      </c>
      <c r="C804" s="786"/>
      <c r="D804" s="803"/>
      <c r="E804" s="786"/>
      <c r="F804" s="786"/>
      <c r="G804" s="787"/>
      <c r="H804" s="788" t="s">
        <v>46</v>
      </c>
      <c r="I804" s="789"/>
      <c r="J804" s="789">
        <f>J819</f>
        <v>0</v>
      </c>
      <c r="K804" s="790">
        <f>IF(I804&gt;0,J804*100/I804,0)</f>
        <v>0</v>
      </c>
      <c r="L804" s="791"/>
      <c r="M804" s="791"/>
      <c r="N804" s="791"/>
      <c r="O804" s="791"/>
      <c r="P804" s="791"/>
      <c r="Q804" s="597"/>
      <c r="R804" s="597"/>
      <c r="S804" s="597"/>
      <c r="T804" s="597"/>
      <c r="U804" s="597"/>
      <c r="V804" s="597"/>
      <c r="W804" s="597"/>
      <c r="X804" s="597"/>
      <c r="Y804" s="597"/>
      <c r="Z804" s="597"/>
    </row>
    <row r="805" spans="1:26" ht="19.5" hidden="1">
      <c r="A805" s="592"/>
      <c r="B805" s="750"/>
      <c r="C805" s="750" t="s">
        <v>16</v>
      </c>
      <c r="D805" s="864" t="s">
        <v>17</v>
      </c>
      <c r="E805" s="857"/>
      <c r="F805" s="857"/>
      <c r="G805" s="596"/>
      <c r="H805" s="639" t="s">
        <v>12</v>
      </c>
      <c r="I805" s="610"/>
      <c r="J805" s="610"/>
      <c r="K805" s="93"/>
      <c r="L805" s="640">
        <f t="shared" ref="L805:N805" si="327">L806+L807</f>
        <v>0</v>
      </c>
      <c r="M805" s="640">
        <f t="shared" si="327"/>
        <v>0</v>
      </c>
      <c r="N805" s="640">
        <f t="shared" si="327"/>
        <v>0</v>
      </c>
      <c r="O805" s="640">
        <f t="shared" ref="O805:O810" si="328">IF(L805&gt;0,N805*100/L805,0)</f>
        <v>0</v>
      </c>
      <c r="P805" s="640">
        <f t="shared" ref="P805:P810" si="329">IF(M805&gt;0,N805*100/M805,0)</f>
        <v>0</v>
      </c>
      <c r="Q805" s="597"/>
      <c r="R805" s="597"/>
      <c r="S805" s="597"/>
      <c r="T805" s="597"/>
      <c r="U805" s="597"/>
      <c r="V805" s="597"/>
      <c r="W805" s="597"/>
      <c r="X805" s="597"/>
      <c r="Y805" s="597"/>
      <c r="Z805" s="597"/>
    </row>
    <row r="806" spans="1:26" ht="18.75" hidden="1">
      <c r="A806" s="592"/>
      <c r="B806" s="750"/>
      <c r="C806" s="750"/>
      <c r="D806" s="609"/>
      <c r="E806" s="750" t="s">
        <v>184</v>
      </c>
      <c r="F806" s="750"/>
      <c r="G806" s="596"/>
      <c r="H806" s="165" t="s">
        <v>12</v>
      </c>
      <c r="I806" s="610"/>
      <c r="J806" s="610"/>
      <c r="K806" s="93"/>
      <c r="L806" s="93">
        <f t="shared" ref="L806:N807" si="330">L809+L816</f>
        <v>0</v>
      </c>
      <c r="M806" s="93">
        <f t="shared" si="330"/>
        <v>0</v>
      </c>
      <c r="N806" s="93">
        <f t="shared" si="330"/>
        <v>0</v>
      </c>
      <c r="O806" s="93">
        <f t="shared" si="328"/>
        <v>0</v>
      </c>
      <c r="P806" s="93">
        <f t="shared" si="329"/>
        <v>0</v>
      </c>
      <c r="Q806" s="597"/>
      <c r="R806" s="597"/>
      <c r="S806" s="597"/>
      <c r="T806" s="597"/>
      <c r="U806" s="597"/>
      <c r="V806" s="597"/>
      <c r="W806" s="597"/>
      <c r="X806" s="597"/>
      <c r="Y806" s="597"/>
      <c r="Z806" s="597"/>
    </row>
    <row r="807" spans="1:26" ht="18.75" hidden="1">
      <c r="A807" s="592"/>
      <c r="B807" s="750"/>
      <c r="C807" s="750"/>
      <c r="D807" s="609"/>
      <c r="E807" s="750" t="s">
        <v>185</v>
      </c>
      <c r="F807" s="750"/>
      <c r="G807" s="596"/>
      <c r="H807" s="165" t="s">
        <v>12</v>
      </c>
      <c r="I807" s="610"/>
      <c r="J807" s="610"/>
      <c r="K807" s="93"/>
      <c r="L807" s="93">
        <f t="shared" si="330"/>
        <v>0</v>
      </c>
      <c r="M807" s="93">
        <f t="shared" si="330"/>
        <v>0</v>
      </c>
      <c r="N807" s="93">
        <f t="shared" si="330"/>
        <v>0</v>
      </c>
      <c r="O807" s="93">
        <f t="shared" si="328"/>
        <v>0</v>
      </c>
      <c r="P807" s="93">
        <f t="shared" si="329"/>
        <v>0</v>
      </c>
      <c r="Q807" s="597"/>
      <c r="R807" s="597"/>
      <c r="S807" s="597"/>
      <c r="T807" s="597"/>
      <c r="U807" s="597"/>
      <c r="V807" s="597"/>
      <c r="W807" s="597"/>
      <c r="X807" s="597"/>
      <c r="Y807" s="597"/>
      <c r="Z807" s="597"/>
    </row>
    <row r="808" spans="1:26" ht="19.5" hidden="1">
      <c r="A808" s="592"/>
      <c r="B808" s="600"/>
      <c r="C808" s="750"/>
      <c r="D808" s="869" t="s">
        <v>20</v>
      </c>
      <c r="E808" s="857"/>
      <c r="F808" s="857"/>
      <c r="G808" s="596"/>
      <c r="H808" s="639" t="s">
        <v>12</v>
      </c>
      <c r="I808" s="166"/>
      <c r="J808" s="166"/>
      <c r="K808" s="167"/>
      <c r="L808" s="640">
        <f t="shared" ref="L808:N808" si="331">L809+L810</f>
        <v>0</v>
      </c>
      <c r="M808" s="640">
        <f t="shared" si="331"/>
        <v>0</v>
      </c>
      <c r="N808" s="640">
        <f t="shared" si="331"/>
        <v>0</v>
      </c>
      <c r="O808" s="640">
        <f t="shared" si="328"/>
        <v>0</v>
      </c>
      <c r="P808" s="640">
        <f t="shared" si="329"/>
        <v>0</v>
      </c>
      <c r="Q808" s="597"/>
      <c r="R808" s="597"/>
      <c r="S808" s="597"/>
      <c r="T808" s="597"/>
      <c r="U808" s="597"/>
      <c r="V808" s="597"/>
      <c r="W808" s="597"/>
      <c r="X808" s="597"/>
      <c r="Y808" s="597"/>
      <c r="Z808" s="597"/>
    </row>
    <row r="809" spans="1:26" ht="18.75" hidden="1">
      <c r="A809" s="592"/>
      <c r="B809" s="750"/>
      <c r="C809" s="750"/>
      <c r="D809" s="609"/>
      <c r="E809" s="750" t="s">
        <v>184</v>
      </c>
      <c r="F809" s="750"/>
      <c r="G809" s="596"/>
      <c r="H809" s="165" t="s">
        <v>12</v>
      </c>
      <c r="I809" s="610"/>
      <c r="J809" s="610"/>
      <c r="K809" s="93"/>
      <c r="L809" s="93">
        <v>0</v>
      </c>
      <c r="M809" s="93">
        <v>0</v>
      </c>
      <c r="N809" s="93">
        <v>0</v>
      </c>
      <c r="O809" s="93">
        <f t="shared" si="328"/>
        <v>0</v>
      </c>
      <c r="P809" s="93">
        <f t="shared" si="329"/>
        <v>0</v>
      </c>
      <c r="Q809" s="597"/>
      <c r="R809" s="597"/>
      <c r="S809" s="597"/>
      <c r="T809" s="597"/>
      <c r="U809" s="597"/>
      <c r="V809" s="597"/>
      <c r="W809" s="597"/>
      <c r="X809" s="597"/>
      <c r="Y809" s="597"/>
      <c r="Z809" s="597"/>
    </row>
    <row r="810" spans="1:26" ht="18.75" hidden="1">
      <c r="A810" s="592"/>
      <c r="B810" s="750"/>
      <c r="C810" s="750"/>
      <c r="D810" s="609"/>
      <c r="E810" s="750" t="s">
        <v>185</v>
      </c>
      <c r="F810" s="750"/>
      <c r="G810" s="596"/>
      <c r="H810" s="165" t="s">
        <v>12</v>
      </c>
      <c r="I810" s="610"/>
      <c r="J810" s="610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8"/>
        <v>0</v>
      </c>
      <c r="P810" s="93">
        <f t="shared" si="329"/>
        <v>0</v>
      </c>
      <c r="Q810" s="597"/>
      <c r="R810" s="597"/>
      <c r="S810" s="597"/>
      <c r="T810" s="597"/>
      <c r="U810" s="597"/>
      <c r="V810" s="597"/>
      <c r="W810" s="597"/>
      <c r="X810" s="597"/>
      <c r="Y810" s="597"/>
      <c r="Z810" s="597"/>
    </row>
    <row r="811" spans="1:26" ht="18.75" hidden="1">
      <c r="A811" s="642"/>
      <c r="B811" s="600"/>
      <c r="C811" s="750"/>
      <c r="D811" s="600"/>
      <c r="E811" s="750"/>
      <c r="F811" s="750" t="s">
        <v>186</v>
      </c>
      <c r="G811" s="596"/>
      <c r="H811" s="165" t="s">
        <v>12</v>
      </c>
      <c r="I811" s="610"/>
      <c r="J811" s="610"/>
      <c r="K811" s="93"/>
      <c r="L811" s="93"/>
      <c r="M811" s="93"/>
      <c r="N811" s="93"/>
      <c r="O811" s="93"/>
      <c r="P811" s="93"/>
      <c r="Q811" s="597"/>
      <c r="R811" s="597"/>
      <c r="S811" s="597"/>
      <c r="T811" s="597"/>
      <c r="U811" s="597"/>
      <c r="V811" s="597"/>
      <c r="W811" s="597"/>
      <c r="X811" s="597"/>
      <c r="Y811" s="597"/>
      <c r="Z811" s="597"/>
    </row>
    <row r="812" spans="1:26" ht="18.75" hidden="1">
      <c r="A812" s="642"/>
      <c r="B812" s="600"/>
      <c r="C812" s="750"/>
      <c r="D812" s="600"/>
      <c r="E812" s="750"/>
      <c r="F812" s="750" t="s">
        <v>187</v>
      </c>
      <c r="G812" s="596"/>
      <c r="H812" s="165" t="s">
        <v>12</v>
      </c>
      <c r="I812" s="610"/>
      <c r="J812" s="610"/>
      <c r="K812" s="93"/>
      <c r="L812" s="93"/>
      <c r="M812" s="93"/>
      <c r="N812" s="93"/>
      <c r="O812" s="93"/>
      <c r="P812" s="93"/>
      <c r="Q812" s="597"/>
      <c r="R812" s="597"/>
      <c r="S812" s="597"/>
      <c r="T812" s="597"/>
      <c r="U812" s="597"/>
      <c r="V812" s="597"/>
      <c r="W812" s="597"/>
      <c r="X812" s="597"/>
      <c r="Y812" s="597"/>
      <c r="Z812" s="597"/>
    </row>
    <row r="813" spans="1:26" ht="18.75" hidden="1">
      <c r="A813" s="642"/>
      <c r="B813" s="600"/>
      <c r="C813" s="750"/>
      <c r="D813" s="600"/>
      <c r="E813" s="750"/>
      <c r="F813" s="750" t="s">
        <v>188</v>
      </c>
      <c r="G813" s="596"/>
      <c r="H813" s="165" t="s">
        <v>12</v>
      </c>
      <c r="I813" s="610"/>
      <c r="J813" s="610"/>
      <c r="K813" s="93"/>
      <c r="L813" s="93"/>
      <c r="M813" s="93"/>
      <c r="N813" s="93"/>
      <c r="O813" s="93"/>
      <c r="P813" s="93"/>
      <c r="Q813" s="597"/>
      <c r="R813" s="597"/>
      <c r="S813" s="597"/>
      <c r="T813" s="597"/>
      <c r="U813" s="597"/>
      <c r="V813" s="597"/>
      <c r="W813" s="597"/>
      <c r="X813" s="597"/>
      <c r="Y813" s="597"/>
      <c r="Z813" s="597"/>
    </row>
    <row r="814" spans="1:26" ht="18.75" hidden="1">
      <c r="A814" s="642"/>
      <c r="B814" s="600"/>
      <c r="C814" s="750"/>
      <c r="D814" s="600"/>
      <c r="E814" s="750"/>
      <c r="F814" s="750" t="s">
        <v>189</v>
      </c>
      <c r="G814" s="596"/>
      <c r="H814" s="165" t="s">
        <v>12</v>
      </c>
      <c r="I814" s="610"/>
      <c r="J814" s="610"/>
      <c r="K814" s="93"/>
      <c r="L814" s="93"/>
      <c r="M814" s="93"/>
      <c r="N814" s="93"/>
      <c r="O814" s="93"/>
      <c r="P814" s="93"/>
      <c r="Q814" s="597"/>
      <c r="R814" s="597"/>
      <c r="S814" s="597"/>
      <c r="T814" s="597"/>
      <c r="U814" s="597"/>
      <c r="V814" s="597"/>
      <c r="W814" s="597"/>
      <c r="X814" s="597"/>
      <c r="Y814" s="597"/>
      <c r="Z814" s="597"/>
    </row>
    <row r="815" spans="1:26" ht="19.5" hidden="1">
      <c r="A815" s="592"/>
      <c r="B815" s="600"/>
      <c r="C815" s="750"/>
      <c r="D815" s="869" t="s">
        <v>21</v>
      </c>
      <c r="E815" s="857"/>
      <c r="F815" s="857"/>
      <c r="G815" s="596"/>
      <c r="H815" s="774" t="s">
        <v>12</v>
      </c>
      <c r="I815" s="166"/>
      <c r="J815" s="166"/>
      <c r="K815" s="167"/>
      <c r="L815" s="640">
        <f t="shared" ref="L815:N815" si="332">L816+L817</f>
        <v>0</v>
      </c>
      <c r="M815" s="640">
        <f t="shared" si="332"/>
        <v>0</v>
      </c>
      <c r="N815" s="640">
        <f t="shared" si="332"/>
        <v>0</v>
      </c>
      <c r="O815" s="640">
        <f t="shared" ref="O815:O817" si="333">IF(L815&gt;0,N815*100/L815,0)</f>
        <v>0</v>
      </c>
      <c r="P815" s="640">
        <f t="shared" ref="P815:P817" si="334">IF(M815&gt;0,N815*100/M815,0)</f>
        <v>0</v>
      </c>
      <c r="Q815" s="597"/>
      <c r="R815" s="597"/>
      <c r="S815" s="597"/>
      <c r="T815" s="597"/>
      <c r="U815" s="597"/>
      <c r="V815" s="597"/>
      <c r="W815" s="597"/>
      <c r="X815" s="597"/>
      <c r="Y815" s="597"/>
      <c r="Z815" s="597"/>
    </row>
    <row r="816" spans="1:26" ht="18.75" hidden="1">
      <c r="A816" s="592"/>
      <c r="B816" s="600"/>
      <c r="C816" s="750"/>
      <c r="D816" s="600"/>
      <c r="E816" s="750" t="s">
        <v>18</v>
      </c>
      <c r="F816" s="750"/>
      <c r="G816" s="596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3"/>
        <v>0</v>
      </c>
      <c r="P816" s="93">
        <f t="shared" si="334"/>
        <v>0</v>
      </c>
      <c r="Q816" s="597"/>
      <c r="R816" s="597"/>
      <c r="S816" s="597"/>
      <c r="T816" s="597"/>
      <c r="U816" s="597"/>
      <c r="V816" s="597"/>
      <c r="W816" s="597"/>
      <c r="X816" s="597"/>
      <c r="Y816" s="597"/>
      <c r="Z816" s="597"/>
    </row>
    <row r="817" spans="1:26" ht="18.75" hidden="1">
      <c r="A817" s="592"/>
      <c r="B817" s="600"/>
      <c r="C817" s="750"/>
      <c r="D817" s="600"/>
      <c r="E817" s="750" t="s">
        <v>19</v>
      </c>
      <c r="F817" s="750"/>
      <c r="G817" s="596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3"/>
        <v>0</v>
      </c>
      <c r="P817" s="93">
        <f t="shared" si="334"/>
        <v>0</v>
      </c>
      <c r="Q817" s="597"/>
      <c r="R817" s="597"/>
      <c r="S817" s="597"/>
      <c r="T817" s="597"/>
      <c r="U817" s="597"/>
      <c r="V817" s="597"/>
      <c r="W817" s="597"/>
      <c r="X817" s="597"/>
      <c r="Y817" s="597"/>
      <c r="Z817" s="597"/>
    </row>
    <row r="818" spans="1:26" ht="19.5" hidden="1">
      <c r="A818" s="607"/>
      <c r="B818" s="609"/>
      <c r="C818" s="750" t="s">
        <v>16</v>
      </c>
      <c r="D818" s="842" t="s">
        <v>38</v>
      </c>
      <c r="E818" s="644"/>
      <c r="F818" s="644"/>
      <c r="G818" s="645"/>
      <c r="H818" s="365"/>
      <c r="I818" s="166"/>
      <c r="J818" s="166"/>
      <c r="K818" s="167"/>
      <c r="L818" s="167"/>
      <c r="M818" s="167"/>
      <c r="N818" s="167"/>
      <c r="O818" s="167"/>
      <c r="P818" s="167"/>
      <c r="Q818" s="597"/>
      <c r="R818" s="597"/>
      <c r="S818" s="597"/>
      <c r="T818" s="597"/>
      <c r="U818" s="597"/>
      <c r="V818" s="597"/>
      <c r="W818" s="597"/>
      <c r="X818" s="597"/>
      <c r="Y818" s="597"/>
      <c r="Z818" s="597"/>
    </row>
    <row r="819" spans="1:26" ht="19.5" hidden="1" thickBot="1">
      <c r="A819" s="805"/>
      <c r="B819" s="806"/>
      <c r="C819" s="808"/>
      <c r="D819" s="806"/>
      <c r="E819" s="808" t="s">
        <v>323</v>
      </c>
      <c r="F819" s="808"/>
      <c r="G819" s="809"/>
      <c r="H819" s="810" t="s">
        <v>46</v>
      </c>
      <c r="I819" s="811"/>
      <c r="J819" s="811"/>
      <c r="K819" s="812"/>
      <c r="L819" s="812"/>
      <c r="M819" s="812"/>
      <c r="N819" s="812"/>
      <c r="O819" s="812"/>
      <c r="P819" s="812"/>
      <c r="Q819" s="597"/>
      <c r="R819" s="597"/>
      <c r="S819" s="597"/>
      <c r="T819" s="597"/>
      <c r="U819" s="597"/>
      <c r="V819" s="597"/>
      <c r="W819" s="597"/>
      <c r="X819" s="597"/>
      <c r="Y819" s="597"/>
      <c r="Z819" s="597"/>
    </row>
    <row r="820" spans="1:26" ht="19.5">
      <c r="A820" s="813" t="s">
        <v>331</v>
      </c>
      <c r="B820" s="814"/>
      <c r="C820" s="814"/>
      <c r="D820" s="815"/>
      <c r="E820" s="814"/>
      <c r="F820" s="814"/>
      <c r="G820" s="816"/>
      <c r="H820" s="816"/>
      <c r="I820" s="214"/>
      <c r="J820" s="214"/>
      <c r="K820" s="817"/>
      <c r="L820" s="817"/>
      <c r="M820" s="817"/>
      <c r="N820" s="817"/>
      <c r="O820" s="817"/>
      <c r="P820" s="817"/>
      <c r="Q820" s="571"/>
      <c r="R820" s="571"/>
      <c r="S820" s="571"/>
      <c r="T820" s="571"/>
      <c r="U820" s="571"/>
      <c r="V820" s="571"/>
      <c r="W820" s="571"/>
      <c r="X820" s="571"/>
      <c r="Y820" s="571"/>
      <c r="Z820" s="571"/>
    </row>
    <row r="821" spans="1:26" ht="18.75">
      <c r="A821" s="735"/>
      <c r="B821" s="754" t="s">
        <v>325</v>
      </c>
      <c r="C821" s="754"/>
      <c r="D821" s="568"/>
      <c r="E821" s="754"/>
      <c r="F821" s="754"/>
      <c r="G821" s="189"/>
      <c r="H821" s="616" t="s">
        <v>12</v>
      </c>
      <c r="I821" s="269">
        <f ca="1">IFERROR(__xludf.DUMMYFUNCTION("IMPORTRANGE(""https://docs.google.com/spreadsheets/d/19vJNZY_5yjcGF2XGBMNZRCAIB0Kwfpjp8YEOfu-bneM/edit?usp=sharing"",""งานกองทุน!D72"")"),23399923)</f>
        <v>23399923</v>
      </c>
      <c r="J821" s="269">
        <f ca="1">IFERROR(__xludf.DUMMYFUNCTION("IMPORTRANGE(""https://docs.google.com/spreadsheets/d/19vJNZY_5yjcGF2XGBMNZRCAIB0Kwfpjp8YEOfu-bneM/edit?usp=sharing"",""งานกองทุน!F72"")"),1040000)</f>
        <v>1040000</v>
      </c>
      <c r="K821" s="496">
        <f t="shared" ref="K821:K828" ca="1" si="335">IF(I821&gt;0,J821*100/I821,0)</f>
        <v>4.4444590693738606</v>
      </c>
      <c r="L821" s="496"/>
      <c r="M821" s="496"/>
      <c r="N821" s="496"/>
      <c r="O821" s="496"/>
      <c r="P821" s="496"/>
      <c r="Q821" s="571"/>
      <c r="R821" s="571"/>
      <c r="S821" s="571"/>
      <c r="T821" s="571"/>
      <c r="U821" s="571"/>
      <c r="V821" s="571"/>
      <c r="W821" s="571"/>
      <c r="X821" s="571"/>
      <c r="Y821" s="571"/>
      <c r="Z821" s="571"/>
    </row>
    <row r="822" spans="1:26" ht="18.75">
      <c r="A822" s="735"/>
      <c r="B822" s="754"/>
      <c r="C822" s="754"/>
      <c r="D822" s="568"/>
      <c r="E822" s="754"/>
      <c r="F822" s="754"/>
      <c r="G822" s="189"/>
      <c r="H822" s="616" t="s">
        <v>35</v>
      </c>
      <c r="I822" s="269">
        <f ca="1">IFERROR(__xludf.DUMMYFUNCTION("IMPORTRANGE(""https://docs.google.com/spreadsheets/d/19vJNZY_5yjcGF2XGBMNZRCAIB0Kwfpjp8YEOfu-bneM/edit?usp=sharing"",""งานกองทุน!C72"")"),576)</f>
        <v>576</v>
      </c>
      <c r="J822" s="269">
        <f ca="1">IFERROR(__xludf.DUMMYFUNCTION("IMPORTRANGE(""https://docs.google.com/spreadsheets/d/19vJNZY_5yjcGF2XGBMNZRCAIB0Kwfpjp8YEOfu-bneM/edit?usp=sharing"",""งานกองทุน!E72"")"),24)</f>
        <v>24</v>
      </c>
      <c r="K822" s="496">
        <f t="shared" ca="1" si="335"/>
        <v>4.166666666666667</v>
      </c>
      <c r="L822" s="496"/>
      <c r="M822" s="496"/>
      <c r="N822" s="496"/>
      <c r="O822" s="496"/>
      <c r="P822" s="496"/>
      <c r="Q822" s="571"/>
      <c r="R822" s="571"/>
      <c r="S822" s="571"/>
      <c r="T822" s="571"/>
      <c r="U822" s="571"/>
      <c r="V822" s="571"/>
      <c r="W822" s="571"/>
      <c r="X822" s="571"/>
      <c r="Y822" s="571"/>
      <c r="Z822" s="571"/>
    </row>
    <row r="823" spans="1:26" ht="18.75">
      <c r="A823" s="735"/>
      <c r="B823" s="754" t="s">
        <v>326</v>
      </c>
      <c r="C823" s="754"/>
      <c r="D823" s="568"/>
      <c r="E823" s="754"/>
      <c r="F823" s="754"/>
      <c r="G823" s="189"/>
      <c r="H823" s="616" t="s">
        <v>12</v>
      </c>
      <c r="I823" s="269">
        <f ca="1">IFERROR(__xludf.DUMMYFUNCTION("IMPORTRANGE(""https://docs.google.com/spreadsheets/d/19vJNZY_5yjcGF2XGBMNZRCAIB0Kwfpjp8YEOfu-bneM/edit?usp=sharing"",""งานกองทุน!I72"")"),3196236.83)</f>
        <v>3196236.83</v>
      </c>
      <c r="J823" s="269">
        <f ca="1">IFERROR(__xludf.DUMMYFUNCTION("IMPORTRANGE(""https://docs.google.com/spreadsheets/d/19vJNZY_5yjcGF2XGBMNZRCAIB0Kwfpjp8YEOfu-bneM/edit?usp=sharing"",""งานกองทุน!K72"")"),134738.55)</f>
        <v>134738.54999999999</v>
      </c>
      <c r="K823" s="496">
        <f t="shared" ca="1" si="335"/>
        <v>4.2155371196320264</v>
      </c>
      <c r="L823" s="496"/>
      <c r="M823" s="496"/>
      <c r="N823" s="496"/>
      <c r="O823" s="496"/>
      <c r="P823" s="496"/>
      <c r="Q823" s="571"/>
      <c r="R823" s="571"/>
      <c r="S823" s="571"/>
      <c r="T823" s="571"/>
      <c r="U823" s="571"/>
      <c r="V823" s="571"/>
      <c r="W823" s="571"/>
      <c r="X823" s="571"/>
      <c r="Y823" s="571"/>
      <c r="Z823" s="571"/>
    </row>
    <row r="824" spans="1:26" ht="18.75">
      <c r="A824" s="735"/>
      <c r="B824" s="754"/>
      <c r="C824" s="754"/>
      <c r="D824" s="568"/>
      <c r="E824" s="754"/>
      <c r="F824" s="754"/>
      <c r="G824" s="189"/>
      <c r="H824" s="616" t="s">
        <v>35</v>
      </c>
      <c r="I824" s="269">
        <f ca="1">IFERROR(__xludf.DUMMYFUNCTION("IMPORTRANGE(""https://docs.google.com/spreadsheets/d/19vJNZY_5yjcGF2XGBMNZRCAIB0Kwfpjp8YEOfu-bneM/edit?usp=sharing"",""งานกองทุน!H72"")"),61)</f>
        <v>61</v>
      </c>
      <c r="J824" s="269">
        <f ca="1">IFERROR(__xludf.DUMMYFUNCTION("IMPORTRANGE(""https://docs.google.com/spreadsheets/d/19vJNZY_5yjcGF2XGBMNZRCAIB0Kwfpjp8YEOfu-bneM/edit?usp=sharing"",""งานกองทุน!J72"")"),46)</f>
        <v>46</v>
      </c>
      <c r="K824" s="496">
        <f t="shared" ca="1" si="335"/>
        <v>75.409836065573771</v>
      </c>
      <c r="L824" s="496"/>
      <c r="M824" s="496"/>
      <c r="N824" s="496"/>
      <c r="O824" s="496"/>
      <c r="P824" s="496"/>
      <c r="Q824" s="571"/>
      <c r="R824" s="571"/>
      <c r="S824" s="571"/>
      <c r="T824" s="571"/>
      <c r="U824" s="571"/>
      <c r="V824" s="571"/>
      <c r="W824" s="571"/>
      <c r="X824" s="571"/>
      <c r="Y824" s="571"/>
      <c r="Z824" s="571"/>
    </row>
    <row r="825" spans="1:26" ht="18.75">
      <c r="A825" s="735"/>
      <c r="B825" s="754" t="s">
        <v>327</v>
      </c>
      <c r="C825" s="754"/>
      <c r="D825" s="568"/>
      <c r="E825" s="754"/>
      <c r="F825" s="754"/>
      <c r="G825" s="189"/>
      <c r="H825" s="616" t="s">
        <v>12</v>
      </c>
      <c r="I825" s="269">
        <f ca="1">IFERROR(__xludf.DUMMYFUNCTION("IMPORTRANGE(""https://docs.google.com/spreadsheets/d/19vJNZY_5yjcGF2XGBMNZRCAIB0Kwfpjp8YEOfu-bneM/edit?usp=sharing"",""งานกองทุน!N72"")"),2020298.72)</f>
        <v>2020298.72</v>
      </c>
      <c r="J825" s="269">
        <f ca="1">IFERROR(__xludf.DUMMYFUNCTION("IMPORTRANGE(""https://docs.google.com/spreadsheets/d/19vJNZY_5yjcGF2XGBMNZRCAIB0Kwfpjp8YEOfu-bneM/edit?usp=sharing"",""งานกองทุน!P72"")"),161429.13)</f>
        <v>161429.13</v>
      </c>
      <c r="K825" s="496">
        <f t="shared" ca="1" si="335"/>
        <v>7.9903594652576926</v>
      </c>
      <c r="L825" s="496"/>
      <c r="M825" s="496"/>
      <c r="N825" s="496"/>
      <c r="O825" s="496"/>
      <c r="P825" s="496"/>
      <c r="Q825" s="571"/>
      <c r="R825" s="571"/>
      <c r="S825" s="571"/>
      <c r="T825" s="571"/>
      <c r="U825" s="571"/>
      <c r="V825" s="571"/>
      <c r="W825" s="571"/>
      <c r="X825" s="571"/>
      <c r="Y825" s="571"/>
      <c r="Z825" s="571"/>
    </row>
    <row r="826" spans="1:26" ht="18.75">
      <c r="A826" s="735"/>
      <c r="B826" s="754"/>
      <c r="C826" s="754"/>
      <c r="D826" s="568"/>
      <c r="E826" s="754"/>
      <c r="F826" s="754"/>
      <c r="G826" s="189"/>
      <c r="H826" s="616" t="s">
        <v>35</v>
      </c>
      <c r="I826" s="269">
        <f ca="1">IFERROR(__xludf.DUMMYFUNCTION("IMPORTRANGE(""https://docs.google.com/spreadsheets/d/19vJNZY_5yjcGF2XGBMNZRCAIB0Kwfpjp8YEOfu-bneM/edit?usp=sharing"",""งานกองทุน!M72"")"),495)</f>
        <v>495</v>
      </c>
      <c r="J826" s="269">
        <f ca="1">IFERROR(__xludf.DUMMYFUNCTION("IMPORTRANGE(""https://docs.google.com/spreadsheets/d/19vJNZY_5yjcGF2XGBMNZRCAIB0Kwfpjp8YEOfu-bneM/edit?usp=sharing"",""งานกองทุน!O72"")"),24)</f>
        <v>24</v>
      </c>
      <c r="K826" s="496">
        <f t="shared" ca="1" si="335"/>
        <v>4.8484848484848486</v>
      </c>
      <c r="L826" s="496"/>
      <c r="M826" s="496"/>
      <c r="N826" s="496"/>
      <c r="O826" s="496"/>
      <c r="P826" s="496"/>
      <c r="Q826" s="571"/>
      <c r="R826" s="571"/>
      <c r="S826" s="571"/>
      <c r="T826" s="571"/>
      <c r="U826" s="571"/>
      <c r="V826" s="571"/>
      <c r="W826" s="571"/>
      <c r="X826" s="571"/>
      <c r="Y826" s="571"/>
      <c r="Z826" s="571"/>
    </row>
    <row r="827" spans="1:26" ht="18.75">
      <c r="A827" s="735"/>
      <c r="B827" s="754" t="s">
        <v>328</v>
      </c>
      <c r="C827" s="754"/>
      <c r="D827" s="568"/>
      <c r="E827" s="754"/>
      <c r="F827" s="754"/>
      <c r="G827" s="189"/>
      <c r="H827" s="616" t="s">
        <v>12</v>
      </c>
      <c r="I827" s="269">
        <f ca="1">IFERROR(__xludf.DUMMYFUNCTION("IMPORTRANGE(""https://docs.google.com/spreadsheets/d/19vJNZY_5yjcGF2XGBMNZRCAIB0Kwfpjp8YEOfu-bneM/edit?usp=sharing"",""งานกองทุน!S72"")"),20000000)</f>
        <v>20000000</v>
      </c>
      <c r="J827" s="269">
        <f ca="1">IFERROR(__xludf.DUMMYFUNCTION("IMPORTRANGE(""https://docs.google.com/spreadsheets/d/19vJNZY_5yjcGF2XGBMNZRCAIB0Kwfpjp8YEOfu-bneM/edit?usp=sharing"",""งานกองทุน!U72"")"),790000)</f>
        <v>790000</v>
      </c>
      <c r="K827" s="496">
        <f t="shared" ca="1" si="335"/>
        <v>3.95</v>
      </c>
      <c r="L827" s="496"/>
      <c r="M827" s="496"/>
      <c r="N827" s="496"/>
      <c r="O827" s="496"/>
      <c r="P827" s="496"/>
      <c r="Q827" s="571"/>
      <c r="R827" s="571"/>
      <c r="S827" s="571"/>
      <c r="T827" s="571"/>
      <c r="U827" s="571"/>
      <c r="V827" s="571"/>
      <c r="W827" s="571"/>
      <c r="X827" s="571"/>
      <c r="Y827" s="571"/>
      <c r="Z827" s="571"/>
    </row>
    <row r="828" spans="1:26" ht="18.75">
      <c r="A828" s="738"/>
      <c r="B828" s="740"/>
      <c r="C828" s="740"/>
      <c r="D828" s="739"/>
      <c r="E828" s="740"/>
      <c r="F828" s="740"/>
      <c r="G828" s="818"/>
      <c r="H828" s="819" t="s">
        <v>35</v>
      </c>
      <c r="I828" s="499">
        <f ca="1">IFERROR(__xludf.DUMMYFUNCTION("IMPORTRANGE(""https://docs.google.com/spreadsheets/d/19vJNZY_5yjcGF2XGBMNZRCAIB0Kwfpjp8YEOfu-bneM/edit?usp=sharing"",""งานกองทุน!R72"")"),548)</f>
        <v>548</v>
      </c>
      <c r="J828" s="499">
        <f ca="1">IFERROR(__xludf.DUMMYFUNCTION("IMPORTRANGE(""https://docs.google.com/spreadsheets/d/19vJNZY_5yjcGF2XGBMNZRCAIB0Kwfpjp8YEOfu-bneM/edit?usp=sharing"",""งานกองทุน!T72"")"),19)</f>
        <v>19</v>
      </c>
      <c r="K828" s="500">
        <f t="shared" ca="1" si="335"/>
        <v>3.4671532846715327</v>
      </c>
      <c r="L828" s="500"/>
      <c r="M828" s="500"/>
      <c r="N828" s="500"/>
      <c r="O828" s="500"/>
      <c r="P828" s="500"/>
      <c r="Q828" s="571"/>
      <c r="R828" s="571"/>
      <c r="S828" s="571"/>
      <c r="T828" s="571"/>
      <c r="U828" s="571"/>
      <c r="V828" s="571"/>
      <c r="W828" s="571"/>
      <c r="X828" s="571"/>
      <c r="Y828" s="571"/>
      <c r="Z828" s="571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544:F544"/>
    <mergeCell ref="A7:G7"/>
    <mergeCell ref="A17:G17"/>
    <mergeCell ref="A27:G27"/>
    <mergeCell ref="B40:G40"/>
    <mergeCell ref="A50:G50"/>
    <mergeCell ref="B51:G51"/>
    <mergeCell ref="D419:F419"/>
    <mergeCell ref="D444:F444"/>
    <mergeCell ref="D467:F467"/>
    <mergeCell ref="D502:F502"/>
    <mergeCell ref="D523:F523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 gridLines="1"/>
  <pageMargins left="0.23622047244094491" right="0.23622047244094491" top="0.74803149606299213" bottom="0.74803149606299213" header="0" footer="0"/>
  <pageSetup paperSize="9" scale="42" fitToHeight="0" pageOrder="overThenDown" orientation="portrait" cellComments="atEnd" r:id="rId1"/>
  <headerFooter>
    <oddFooter>&amp;Cหน้า &amp;P/&amp;N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53FEFB-80E9-4C78-A910-98CCD1351067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activeCell="A2" sqref="A2:P2"/>
      <selection pane="bottomLeft" activeCell="A2" sqref="A2:P2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9" width="14.42578125" bestFit="1" customWidth="1"/>
    <col min="10" max="10" width="11.28515625" bestFit="1" customWidth="1"/>
    <col min="11" max="11" width="12.5703125" customWidth="1"/>
    <col min="12" max="12" width="21.28515625" bestFit="1" customWidth="1"/>
    <col min="13" max="14" width="18.7109375" bestFit="1" customWidth="1"/>
    <col min="15" max="16" width="17.5703125" customWidth="1"/>
  </cols>
  <sheetData>
    <row r="1" spans="1:26" ht="19.5">
      <c r="A1" s="844" t="s">
        <v>0</v>
      </c>
      <c r="B1" s="845"/>
      <c r="C1" s="845"/>
      <c r="D1" s="845"/>
      <c r="E1" s="845"/>
      <c r="F1" s="845"/>
      <c r="G1" s="845"/>
      <c r="H1" s="845"/>
      <c r="I1" s="845"/>
      <c r="J1" s="845"/>
      <c r="K1" s="845"/>
      <c r="L1" s="845"/>
      <c r="M1" s="845"/>
      <c r="N1" s="845"/>
      <c r="O1" s="845"/>
      <c r="P1" s="845"/>
    </row>
    <row r="2" spans="1:26" ht="19.5">
      <c r="A2" s="844" t="s">
        <v>359</v>
      </c>
      <c r="B2" s="845"/>
      <c r="C2" s="845"/>
      <c r="D2" s="845"/>
      <c r="E2" s="845"/>
      <c r="F2" s="845"/>
      <c r="G2" s="845"/>
      <c r="H2" s="845"/>
      <c r="I2" s="845"/>
      <c r="J2" s="845"/>
      <c r="K2" s="845"/>
      <c r="L2" s="845"/>
      <c r="M2" s="845"/>
      <c r="N2" s="845"/>
      <c r="O2" s="845"/>
      <c r="P2" s="845"/>
    </row>
    <row r="3" spans="1:26" ht="19.5">
      <c r="A3" s="844" t="s">
        <v>347</v>
      </c>
      <c r="B3" s="845"/>
      <c r="C3" s="845"/>
      <c r="D3" s="845"/>
      <c r="E3" s="845"/>
      <c r="F3" s="845"/>
      <c r="G3" s="845"/>
      <c r="H3" s="845"/>
      <c r="I3" s="845"/>
      <c r="J3" s="845"/>
      <c r="K3" s="845"/>
      <c r="L3" s="845"/>
      <c r="M3" s="845"/>
      <c r="N3" s="845"/>
      <c r="O3" s="845"/>
      <c r="P3" s="845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52" t="s">
        <v>2</v>
      </c>
      <c r="B5" s="845"/>
      <c r="C5" s="845"/>
      <c r="D5" s="845"/>
      <c r="E5" s="845"/>
      <c r="F5" s="845"/>
      <c r="G5" s="853"/>
      <c r="H5" s="846" t="s">
        <v>3</v>
      </c>
      <c r="I5" s="848" t="s">
        <v>4</v>
      </c>
      <c r="J5" s="849"/>
      <c r="K5" s="847"/>
      <c r="L5" s="850" t="s">
        <v>5</v>
      </c>
      <c r="M5" s="847"/>
      <c r="N5" s="851" t="s">
        <v>6</v>
      </c>
      <c r="O5" s="849"/>
      <c r="P5" s="847"/>
    </row>
    <row r="6" spans="1:26" ht="39">
      <c r="A6" s="854"/>
      <c r="B6" s="849"/>
      <c r="C6" s="849"/>
      <c r="D6" s="849"/>
      <c r="E6" s="849"/>
      <c r="F6" s="849"/>
      <c r="G6" s="847"/>
      <c r="H6" s="847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55" t="s">
        <v>15</v>
      </c>
      <c r="B7" s="849"/>
      <c r="C7" s="849"/>
      <c r="D7" s="849"/>
      <c r="E7" s="849"/>
      <c r="F7" s="849"/>
      <c r="G7" s="847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1971590</v>
      </c>
      <c r="M8" s="22">
        <f t="shared" ca="1" si="0"/>
        <v>885410</v>
      </c>
      <c r="N8" s="22">
        <f t="shared" ca="1" si="0"/>
        <v>586569.35</v>
      </c>
      <c r="O8" s="22">
        <f t="shared" ref="O8:O16" ca="1" si="1">IF(L8&gt;0,N8*100/L8,0)</f>
        <v>29.751081614331579</v>
      </c>
      <c r="P8" s="22">
        <f t="shared" ref="P8:P16" ca="1" si="2">IF(M8&gt;0,N8*100/M8,0)</f>
        <v>66.248331281553178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1971590</v>
      </c>
      <c r="M10" s="30">
        <f t="shared" ca="1" si="3"/>
        <v>885410</v>
      </c>
      <c r="N10" s="30">
        <f t="shared" ca="1" si="3"/>
        <v>586569.35</v>
      </c>
      <c r="O10" s="30">
        <f t="shared" ca="1" si="1"/>
        <v>29.751081614331579</v>
      </c>
      <c r="P10" s="30">
        <f t="shared" ca="1" si="2"/>
        <v>66.248331281553178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16" t="s">
        <v>12</v>
      </c>
      <c r="I11" s="269"/>
      <c r="J11" s="269"/>
      <c r="K11" s="496"/>
      <c r="L11" s="496">
        <f t="shared" ref="L11:N11" ca="1" si="4">L12+L13</f>
        <v>1941590</v>
      </c>
      <c r="M11" s="496">
        <f t="shared" ca="1" si="4"/>
        <v>855410</v>
      </c>
      <c r="N11" s="496">
        <f t="shared" ca="1" si="4"/>
        <v>556569.35</v>
      </c>
      <c r="O11" s="496">
        <f t="shared" ca="1" si="1"/>
        <v>28.665647742314288</v>
      </c>
      <c r="P11" s="496">
        <f t="shared" ca="1" si="2"/>
        <v>65.064629826632839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2" t="s">
        <v>18</v>
      </c>
      <c r="F12" s="40"/>
      <c r="G12" s="42"/>
      <c r="H12" s="43" t="s">
        <v>12</v>
      </c>
      <c r="I12" s="610"/>
      <c r="J12" s="610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2" t="s">
        <v>19</v>
      </c>
      <c r="F13" s="40"/>
      <c r="G13" s="42"/>
      <c r="H13" s="43" t="s">
        <v>12</v>
      </c>
      <c r="I13" s="610"/>
      <c r="J13" s="610"/>
      <c r="K13" s="93"/>
      <c r="L13" s="93">
        <f t="shared" ca="1" si="5"/>
        <v>1941590</v>
      </c>
      <c r="M13" s="93">
        <f t="shared" ca="1" si="5"/>
        <v>855410</v>
      </c>
      <c r="N13" s="93">
        <f t="shared" ca="1" si="5"/>
        <v>556569.35</v>
      </c>
      <c r="O13" s="93">
        <f t="shared" ca="1" si="1"/>
        <v>28.665647742314288</v>
      </c>
      <c r="P13" s="93">
        <f t="shared" ca="1" si="2"/>
        <v>65.064629826632839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16" t="s">
        <v>12</v>
      </c>
      <c r="I14" s="269"/>
      <c r="J14" s="269"/>
      <c r="K14" s="496"/>
      <c r="L14" s="496">
        <f t="shared" ref="L14:N14" ca="1" si="6">L15+L16</f>
        <v>30000</v>
      </c>
      <c r="M14" s="496">
        <f t="shared" ca="1" si="6"/>
        <v>30000</v>
      </c>
      <c r="N14" s="496">
        <f t="shared" ca="1" si="6"/>
        <v>30000</v>
      </c>
      <c r="O14" s="496">
        <f t="shared" ca="1" si="1"/>
        <v>100</v>
      </c>
      <c r="P14" s="496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2" t="s">
        <v>18</v>
      </c>
      <c r="F15" s="40"/>
      <c r="G15" s="42"/>
      <c r="H15" s="43" t="s">
        <v>12</v>
      </c>
      <c r="I15" s="610"/>
      <c r="J15" s="610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30000</v>
      </c>
      <c r="M16" s="52">
        <f t="shared" ca="1" si="7"/>
        <v>30000</v>
      </c>
      <c r="N16" s="52">
        <f t="shared" ca="1" si="7"/>
        <v>30000</v>
      </c>
      <c r="O16" s="52">
        <f t="shared" ca="1" si="1"/>
        <v>100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55" t="s">
        <v>22</v>
      </c>
      <c r="B17" s="849"/>
      <c r="C17" s="849"/>
      <c r="D17" s="849"/>
      <c r="E17" s="849"/>
      <c r="F17" s="849"/>
      <c r="G17" s="847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1739210</v>
      </c>
      <c r="M18" s="22">
        <f t="shared" ca="1" si="8"/>
        <v>885410</v>
      </c>
      <c r="N18" s="22">
        <f t="shared" ca="1" si="8"/>
        <v>552061.35</v>
      </c>
      <c r="O18" s="22">
        <f t="shared" ref="O18:O26" ca="1" si="9">IF(L18&gt;0,N18*100/L18,0)</f>
        <v>31.742075425049304</v>
      </c>
      <c r="P18" s="22">
        <f t="shared" ref="P18:P26" ca="1" si="10">IF(M18&gt;0,N18*100/M18,0)</f>
        <v>62.350927818750634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1739210</v>
      </c>
      <c r="M20" s="30">
        <f t="shared" ca="1" si="11"/>
        <v>885410</v>
      </c>
      <c r="N20" s="30">
        <f t="shared" ca="1" si="11"/>
        <v>552061.35</v>
      </c>
      <c r="O20" s="30">
        <f t="shared" ca="1" si="9"/>
        <v>31.742075425049304</v>
      </c>
      <c r="P20" s="30">
        <f t="shared" ca="1" si="10"/>
        <v>62.350927818750634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16" t="s">
        <v>12</v>
      </c>
      <c r="I21" s="269"/>
      <c r="J21" s="269"/>
      <c r="K21" s="496"/>
      <c r="L21" s="496">
        <f t="shared" ref="L21:N21" ca="1" si="12">L22+L23</f>
        <v>1709210</v>
      </c>
      <c r="M21" s="496">
        <f t="shared" ca="1" si="12"/>
        <v>855410</v>
      </c>
      <c r="N21" s="496">
        <f t="shared" ca="1" si="12"/>
        <v>522061.35</v>
      </c>
      <c r="O21" s="496">
        <f t="shared" ca="1" si="9"/>
        <v>30.544014486224629</v>
      </c>
      <c r="P21" s="496">
        <f t="shared" ca="1" si="10"/>
        <v>61.030540910206803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2" t="s">
        <v>18</v>
      </c>
      <c r="F22" s="40"/>
      <c r="G22" s="42"/>
      <c r="H22" s="43" t="s">
        <v>12</v>
      </c>
      <c r="I22" s="610"/>
      <c r="J22" s="610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2" t="s">
        <v>19</v>
      </c>
      <c r="F23" s="40"/>
      <c r="G23" s="42"/>
      <c r="H23" s="43" t="s">
        <v>12</v>
      </c>
      <c r="I23" s="610"/>
      <c r="J23" s="610"/>
      <c r="K23" s="93"/>
      <c r="L23" s="93">
        <f t="shared" ca="1" si="13"/>
        <v>1709210</v>
      </c>
      <c r="M23" s="93">
        <f t="shared" ca="1" si="13"/>
        <v>855410</v>
      </c>
      <c r="N23" s="93">
        <f t="shared" ca="1" si="13"/>
        <v>522061.35</v>
      </c>
      <c r="O23" s="93">
        <f t="shared" ca="1" si="9"/>
        <v>30.544014486224629</v>
      </c>
      <c r="P23" s="93">
        <f t="shared" ca="1" si="10"/>
        <v>61.030540910206803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16" t="s">
        <v>12</v>
      </c>
      <c r="I24" s="269"/>
      <c r="J24" s="269"/>
      <c r="K24" s="496"/>
      <c r="L24" s="496">
        <f t="shared" ref="L24:N24" ca="1" si="14">L25+L26</f>
        <v>30000</v>
      </c>
      <c r="M24" s="496">
        <f t="shared" ca="1" si="14"/>
        <v>30000</v>
      </c>
      <c r="N24" s="496">
        <f t="shared" ca="1" si="14"/>
        <v>30000</v>
      </c>
      <c r="O24" s="496">
        <f t="shared" ca="1" si="9"/>
        <v>100</v>
      </c>
      <c r="P24" s="496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2" t="s">
        <v>18</v>
      </c>
      <c r="F25" s="40"/>
      <c r="G25" s="42"/>
      <c r="H25" s="43" t="s">
        <v>12</v>
      </c>
      <c r="I25" s="610"/>
      <c r="J25" s="610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30000</v>
      </c>
      <c r="M26" s="52">
        <f t="shared" ca="1" si="15"/>
        <v>30000</v>
      </c>
      <c r="N26" s="52">
        <f t="shared" ca="1" si="15"/>
        <v>30000</v>
      </c>
      <c r="O26" s="52">
        <f t="shared" ca="1" si="9"/>
        <v>100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55" t="s">
        <v>23</v>
      </c>
      <c r="B27" s="849"/>
      <c r="C27" s="849"/>
      <c r="D27" s="849"/>
      <c r="E27" s="849"/>
      <c r="F27" s="849"/>
      <c r="G27" s="847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232380</v>
      </c>
      <c r="M28" s="22">
        <f t="shared" si="16"/>
        <v>0</v>
      </c>
      <c r="N28" s="22">
        <f t="shared" si="16"/>
        <v>34508</v>
      </c>
      <c r="O28" s="22">
        <f t="shared" ref="O28:O37" ca="1" si="17">IF(L28&gt;0,N28*100/L28,0)</f>
        <v>14.849814958258026</v>
      </c>
      <c r="P28" s="22">
        <f t="shared" ref="P28:P37" si="18">IF(M28&gt;0,N28*100/M28,0)</f>
        <v>0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232380</v>
      </c>
      <c r="M30" s="30">
        <f t="shared" si="19"/>
        <v>0</v>
      </c>
      <c r="N30" s="30">
        <f t="shared" si="19"/>
        <v>34508</v>
      </c>
      <c r="O30" s="30">
        <f t="shared" ca="1" si="17"/>
        <v>14.849814958258026</v>
      </c>
      <c r="P30" s="30">
        <f t="shared" si="18"/>
        <v>0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16" t="s">
        <v>12</v>
      </c>
      <c r="I31" s="269"/>
      <c r="J31" s="269"/>
      <c r="K31" s="496"/>
      <c r="L31" s="496">
        <f t="shared" ref="L31:N31" ca="1" si="20">L32+L33</f>
        <v>232380</v>
      </c>
      <c r="M31" s="496">
        <f t="shared" si="20"/>
        <v>0</v>
      </c>
      <c r="N31" s="496">
        <f t="shared" si="20"/>
        <v>34508</v>
      </c>
      <c r="O31" s="496">
        <f t="shared" ca="1" si="17"/>
        <v>14.849814958258026</v>
      </c>
      <c r="P31" s="496">
        <f t="shared" si="18"/>
        <v>0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2" t="s">
        <v>18</v>
      </c>
      <c r="F32" s="40"/>
      <c r="G32" s="42"/>
      <c r="H32" s="43" t="s">
        <v>12</v>
      </c>
      <c r="I32" s="610"/>
      <c r="J32" s="610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2" t="s">
        <v>19</v>
      </c>
      <c r="F33" s="40"/>
      <c r="G33" s="42"/>
      <c r="H33" s="43" t="s">
        <v>12</v>
      </c>
      <c r="I33" s="610"/>
      <c r="J33" s="610"/>
      <c r="K33" s="93"/>
      <c r="L33" s="93">
        <f t="shared" ca="1" si="21"/>
        <v>232380</v>
      </c>
      <c r="M33" s="93">
        <f t="shared" si="21"/>
        <v>0</v>
      </c>
      <c r="N33" s="93">
        <f t="shared" si="21"/>
        <v>34508</v>
      </c>
      <c r="O33" s="93">
        <f t="shared" ca="1" si="17"/>
        <v>14.849814958258026</v>
      </c>
      <c r="P33" s="93">
        <f t="shared" si="18"/>
        <v>0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16" t="s">
        <v>12</v>
      </c>
      <c r="I34" s="269"/>
      <c r="J34" s="269"/>
      <c r="K34" s="496"/>
      <c r="L34" s="496">
        <f t="shared" ref="L34:N34" ca="1" si="22">L35+L36</f>
        <v>0</v>
      </c>
      <c r="M34" s="496">
        <f t="shared" si="22"/>
        <v>0</v>
      </c>
      <c r="N34" s="496">
        <f t="shared" si="22"/>
        <v>0</v>
      </c>
      <c r="O34" s="496">
        <f t="shared" ca="1" si="17"/>
        <v>0</v>
      </c>
      <c r="P34" s="496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2" t="s">
        <v>18</v>
      </c>
      <c r="F35" s="40"/>
      <c r="G35" s="42"/>
      <c r="H35" s="43" t="s">
        <v>12</v>
      </c>
      <c r="I35" s="610"/>
      <c r="J35" s="610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53" t="s">
        <v>24</v>
      </c>
      <c r="B37" s="54"/>
      <c r="C37" s="54"/>
      <c r="D37" s="54"/>
      <c r="E37" s="54"/>
      <c r="F37" s="54"/>
      <c r="G37" s="55"/>
      <c r="H37" s="56"/>
      <c r="I37" s="423"/>
      <c r="J37" s="423"/>
      <c r="K37" s="58"/>
      <c r="L37" s="59">
        <f t="shared" ref="L37:N37" ca="1" si="24">L41+L53+L66+L88+L119+L132+L149+L165+L181+L261+L277+L298+L315+L328+L345+L389+L402</f>
        <v>1739210</v>
      </c>
      <c r="M37" s="59">
        <f t="shared" ca="1" si="24"/>
        <v>885410</v>
      </c>
      <c r="N37" s="59">
        <f t="shared" ca="1" si="24"/>
        <v>552061.35</v>
      </c>
      <c r="O37" s="59">
        <f t="shared" ca="1" si="17"/>
        <v>31.742075425049304</v>
      </c>
      <c r="P37" s="59">
        <f t="shared" ca="1" si="18"/>
        <v>62.350927818750634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56" t="s">
        <v>27</v>
      </c>
      <c r="C40" s="857"/>
      <c r="D40" s="857"/>
      <c r="E40" s="857"/>
      <c r="F40" s="857"/>
      <c r="G40" s="858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20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122700</v>
      </c>
      <c r="M41" s="85">
        <f t="shared" ca="1" si="25"/>
        <v>67200</v>
      </c>
      <c r="N41" s="85">
        <f t="shared" ca="1" si="25"/>
        <v>37200</v>
      </c>
      <c r="O41" s="85">
        <f t="shared" ref="O41:O49" ca="1" si="26">IF(L41&gt;0,N41*100/L41,0)</f>
        <v>30.317848410757946</v>
      </c>
      <c r="P41" s="85">
        <f t="shared" ref="P41:P49" ca="1" si="27">IF(M41&gt;0,N41*100/M41,0)</f>
        <v>55.357142857142854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122700</v>
      </c>
      <c r="M43" s="92">
        <f t="shared" ca="1" si="28"/>
        <v>67200</v>
      </c>
      <c r="N43" s="92">
        <f t="shared" ca="1" si="28"/>
        <v>37200</v>
      </c>
      <c r="O43" s="92">
        <f t="shared" ca="1" si="26"/>
        <v>30.317848410757946</v>
      </c>
      <c r="P43" s="92">
        <f t="shared" ca="1" si="27"/>
        <v>55.357142857142854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16" t="s">
        <v>12</v>
      </c>
      <c r="I44" s="269"/>
      <c r="J44" s="269"/>
      <c r="K44" s="496"/>
      <c r="L44" s="496">
        <f t="shared" ref="L44:N44" ca="1" si="29">L45+L46</f>
        <v>122700</v>
      </c>
      <c r="M44" s="496">
        <f t="shared" ca="1" si="29"/>
        <v>67200</v>
      </c>
      <c r="N44" s="496">
        <f t="shared" ca="1" si="29"/>
        <v>37200</v>
      </c>
      <c r="O44" s="496">
        <f t="shared" ca="1" si="26"/>
        <v>30.317848410757946</v>
      </c>
      <c r="P44" s="496">
        <f t="shared" ca="1" si="27"/>
        <v>55.357142857142854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2" t="s">
        <v>18</v>
      </c>
      <c r="F45" s="40"/>
      <c r="G45" s="42"/>
      <c r="H45" s="43" t="s">
        <v>12</v>
      </c>
      <c r="I45" s="610"/>
      <c r="J45" s="610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2" t="s">
        <v>19</v>
      </c>
      <c r="F46" s="40"/>
      <c r="G46" s="42"/>
      <c r="H46" s="43" t="s">
        <v>12</v>
      </c>
      <c r="I46" s="610"/>
      <c r="J46" s="610"/>
      <c r="K46" s="93"/>
      <c r="L46" s="93">
        <f ca="1">IFERROR(__xludf.DUMMYFUNCTION("IMPORTRANGE(""https://docs.google.com/spreadsheets/d/1MeEWN-I1oV_STSDYn1IFDPWt_1FKiwhDph83XaGc0o0/edit?usp=sharing"",""งบพรบ!M73"")"),122700)</f>
        <v>122700</v>
      </c>
      <c r="M46" s="93">
        <f ca="1">IFERROR(__xludf.DUMMYFUNCTION("IMPORTRANGE(""https://docs.google.com/spreadsheets/d/1MeEWN-I1oV_STSDYn1IFDPWt_1FKiwhDph83XaGc0o0/edit?usp=sharing"",""งบพรบ!R73"")"),67200)</f>
        <v>67200</v>
      </c>
      <c r="N46" s="93">
        <f ca="1">IFERROR(__xludf.DUMMYFUNCTION("IMPORTRANGE(""https://docs.google.com/spreadsheets/d/1MeEWN-I1oV_STSDYn1IFDPWt_1FKiwhDph83XaGc0o0/edit?usp=sharing"",""งบพรบ!T73"")"),37200)</f>
        <v>37200</v>
      </c>
      <c r="O46" s="93">
        <f t="shared" ca="1" si="26"/>
        <v>30.317848410757946</v>
      </c>
      <c r="P46" s="93">
        <f t="shared" ca="1" si="27"/>
        <v>55.357142857142854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16" t="s">
        <v>12</v>
      </c>
      <c r="I47" s="269"/>
      <c r="J47" s="269"/>
      <c r="K47" s="496"/>
      <c r="L47" s="496">
        <f t="shared" ref="L47:N47" ca="1" si="30">L48+L49</f>
        <v>0</v>
      </c>
      <c r="M47" s="496">
        <f t="shared" ca="1" si="30"/>
        <v>0</v>
      </c>
      <c r="N47" s="496">
        <f t="shared" ca="1" si="30"/>
        <v>0</v>
      </c>
      <c r="O47" s="496">
        <f t="shared" ca="1" si="26"/>
        <v>0</v>
      </c>
      <c r="P47" s="496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2" t="s">
        <v>18</v>
      </c>
      <c r="F48" s="40"/>
      <c r="G48" s="42"/>
      <c r="H48" s="43" t="s">
        <v>12</v>
      </c>
      <c r="I48" s="610"/>
      <c r="J48" s="610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IFERROR(__xludf.DUMMYFUNCTION("IMPORTRANGE(""https://docs.google.com/spreadsheets/d/1MeEWN-I1oV_STSDYn1IFDPWt_1FKiwhDph83XaGc0o0/edit?usp=sharing"",""งบพรบ!P73"")"),0)</f>
        <v>0</v>
      </c>
      <c r="M49" s="52">
        <f ca="1">IFERROR(__xludf.DUMMYFUNCTION("IMPORTRANGE(""https://docs.google.com/spreadsheets/d/1MeEWN-I1oV_STSDYn1IFDPWt_1FKiwhDph83XaGc0o0/edit?usp=sharing"",""งบพรบ!S73"")"),0)</f>
        <v>0</v>
      </c>
      <c r="N49" s="52">
        <f ca="1">IFERROR(__xludf.DUMMYFUNCTION("IMPORTRANGE(""https://docs.google.com/spreadsheets/d/1MeEWN-I1oV_STSDYn1IFDPWt_1FKiwhDph83XaGc0o0/edit?usp=sharing"",""งบพรบ!U73"")"),0)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59" t="s">
        <v>28</v>
      </c>
      <c r="B50" s="849"/>
      <c r="C50" s="849"/>
      <c r="D50" s="849"/>
      <c r="E50" s="849"/>
      <c r="F50" s="849"/>
      <c r="G50" s="847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60" t="s">
        <v>29</v>
      </c>
      <c r="C51" s="857"/>
      <c r="D51" s="857"/>
      <c r="E51" s="857"/>
      <c r="F51" s="857"/>
      <c r="G51" s="858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21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839900</v>
      </c>
      <c r="M53" s="116">
        <f t="shared" ca="1" si="31"/>
        <v>419950</v>
      </c>
      <c r="N53" s="116">
        <f t="shared" ca="1" si="31"/>
        <v>327755.84999999998</v>
      </c>
      <c r="O53" s="116">
        <f t="shared" ref="O53:O61" ca="1" si="32">IF(L53&gt;0,N53*100/L53,0)</f>
        <v>39.023199190379806</v>
      </c>
      <c r="P53" s="116">
        <f t="shared" ref="P53:P61" ca="1" si="33">IF(M53&gt;0,N53*100/M53,0)</f>
        <v>78.046398380759612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839900</v>
      </c>
      <c r="M55" s="123">
        <f t="shared" ca="1" si="34"/>
        <v>419950</v>
      </c>
      <c r="N55" s="123">
        <f t="shared" ca="1" si="34"/>
        <v>327755.84999999998</v>
      </c>
      <c r="O55" s="123">
        <f t="shared" ca="1" si="32"/>
        <v>39.023199190379806</v>
      </c>
      <c r="P55" s="123">
        <f t="shared" ca="1" si="33"/>
        <v>78.046398380759612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16" t="s">
        <v>12</v>
      </c>
      <c r="I56" s="269"/>
      <c r="J56" s="269"/>
      <c r="K56" s="496"/>
      <c r="L56" s="496">
        <f t="shared" ref="L56:N56" ca="1" si="35">L57+L58</f>
        <v>839900</v>
      </c>
      <c r="M56" s="496">
        <f t="shared" ca="1" si="35"/>
        <v>419950</v>
      </c>
      <c r="N56" s="496">
        <f t="shared" ca="1" si="35"/>
        <v>327755.84999999998</v>
      </c>
      <c r="O56" s="496">
        <f t="shared" ca="1" si="32"/>
        <v>39.023199190379806</v>
      </c>
      <c r="P56" s="496">
        <f t="shared" ca="1" si="33"/>
        <v>78.046398380759612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2" t="s">
        <v>18</v>
      </c>
      <c r="F57" s="40"/>
      <c r="G57" s="42"/>
      <c r="H57" s="43" t="s">
        <v>12</v>
      </c>
      <c r="I57" s="610"/>
      <c r="J57" s="610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2" t="s">
        <v>19</v>
      </c>
      <c r="F58" s="40"/>
      <c r="G58" s="42"/>
      <c r="H58" s="43" t="s">
        <v>12</v>
      </c>
      <c r="I58" s="610"/>
      <c r="J58" s="610"/>
      <c r="K58" s="93"/>
      <c r="L58" s="93">
        <f ca="1">IFERROR(__xludf.DUMMYFUNCTION("IMPORTRANGE(""https://docs.google.com/spreadsheets/d/1MeEWN-I1oV_STSDYn1IFDPWt_1FKiwhDph83XaGc0o0/edit?usp=sharing"",""งบพรบ!W73"")"),839900)</f>
        <v>839900</v>
      </c>
      <c r="M58" s="93">
        <f ca="1">IFERROR(__xludf.DUMMYFUNCTION("IMPORTRANGE(""https://docs.google.com/spreadsheets/d/1MeEWN-I1oV_STSDYn1IFDPWt_1FKiwhDph83XaGc0o0/edit?usp=sharing"",""งบพรบ!AB73"")"),419950)</f>
        <v>419950</v>
      </c>
      <c r="N58" s="93">
        <f ca="1">IFERROR(__xludf.DUMMYFUNCTION("IMPORTRANGE(""https://docs.google.com/spreadsheets/d/1MeEWN-I1oV_STSDYn1IFDPWt_1FKiwhDph83XaGc0o0/edit?usp=sharing"",""งบพรบ!AD73"")"),327755.85)</f>
        <v>327755.84999999998</v>
      </c>
      <c r="O58" s="93">
        <f t="shared" ca="1" si="32"/>
        <v>39.023199190379806</v>
      </c>
      <c r="P58" s="93">
        <f t="shared" ca="1" si="33"/>
        <v>78.046398380759612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16" t="s">
        <v>12</v>
      </c>
      <c r="I59" s="269"/>
      <c r="J59" s="269"/>
      <c r="K59" s="496"/>
      <c r="L59" s="496">
        <f t="shared" ref="L59:N59" ca="1" si="36">L60+L61</f>
        <v>0</v>
      </c>
      <c r="M59" s="496">
        <f t="shared" ca="1" si="36"/>
        <v>0</v>
      </c>
      <c r="N59" s="496">
        <f t="shared" ca="1" si="36"/>
        <v>0</v>
      </c>
      <c r="O59" s="496">
        <f t="shared" ca="1" si="32"/>
        <v>0</v>
      </c>
      <c r="P59" s="496">
        <f t="shared" ca="1" si="33"/>
        <v>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2" t="s">
        <v>18</v>
      </c>
      <c r="F60" s="40"/>
      <c r="G60" s="42"/>
      <c r="H60" s="43" t="s">
        <v>12</v>
      </c>
      <c r="I60" s="610"/>
      <c r="J60" s="610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IFERROR(__xludf.DUMMYFUNCTION("IMPORTRANGE(""https://docs.google.com/spreadsheets/d/1MeEWN-I1oV_STSDYn1IFDPWt_1FKiwhDph83XaGc0o0/edit?usp=sharing"",""งบพรบ!Z73"")"),0)</f>
        <v>0</v>
      </c>
      <c r="M61" s="52">
        <f ca="1">IFERROR(__xludf.DUMMYFUNCTION("IMPORTRANGE(""https://docs.google.com/spreadsheets/d/1MeEWN-I1oV_STSDYn1IFDPWt_1FKiwhDph83XaGc0o0/edit?usp=sharing"",""งบพรบ!AC73"")"),0)</f>
        <v>0</v>
      </c>
      <c r="N61" s="52">
        <f ca="1">IFERROR(__xludf.DUMMYFUNCTION("IMPORTRANGE(""https://docs.google.com/spreadsheets/d/1MeEWN-I1oV_STSDYn1IFDPWt_1FKiwhDph83XaGc0o0/edit?usp=sharing"",""งบพรบ!AE73"")"),0)</f>
        <v>0</v>
      </c>
      <c r="O61" s="52">
        <f t="shared" ca="1" si="32"/>
        <v>0</v>
      </c>
      <c r="P61" s="52">
        <f t="shared" ca="1" si="33"/>
        <v>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 hidden="1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 hidden="1">
      <c r="A64" s="138"/>
      <c r="B64" s="208" t="s">
        <v>33</v>
      </c>
      <c r="C64" s="140"/>
      <c r="D64" s="141"/>
      <c r="E64" s="140"/>
      <c r="F64" s="140"/>
      <c r="G64" s="142"/>
      <c r="H64" s="143" t="s">
        <v>34</v>
      </c>
      <c r="I64" s="144">
        <f t="shared" ref="I64:J65" ca="1" si="37">I76</f>
        <v>0</v>
      </c>
      <c r="J64" s="144">
        <f t="shared" si="37"/>
        <v>0</v>
      </c>
      <c r="K64" s="145">
        <f t="shared" ref="K64:K65" ca="1" si="38">IF(I64&gt;0,J64*100/I64,0)</f>
        <v>0</v>
      </c>
      <c r="L64" s="146"/>
      <c r="M64" s="146"/>
      <c r="N64" s="146"/>
      <c r="O64" s="146"/>
      <c r="P64" s="146"/>
    </row>
    <row r="65" spans="1:26" ht="19.5" hidden="1">
      <c r="A65" s="138"/>
      <c r="B65" s="140"/>
      <c r="C65" s="140"/>
      <c r="D65" s="141"/>
      <c r="E65" s="140"/>
      <c r="F65" s="140"/>
      <c r="G65" s="142"/>
      <c r="H65" s="143" t="s">
        <v>35</v>
      </c>
      <c r="I65" s="144">
        <f t="shared" ca="1" si="37"/>
        <v>0</v>
      </c>
      <c r="J65" s="144">
        <f t="shared" si="37"/>
        <v>0</v>
      </c>
      <c r="K65" s="145">
        <f t="shared" ca="1" si="38"/>
        <v>0</v>
      </c>
      <c r="L65" s="146"/>
      <c r="M65" s="146"/>
      <c r="N65" s="146"/>
      <c r="O65" s="146"/>
      <c r="P65" s="146"/>
    </row>
    <row r="66" spans="1:26" ht="19.5" hidden="1">
      <c r="A66" s="147"/>
      <c r="B66" s="148"/>
      <c r="C66" s="149" t="s">
        <v>16</v>
      </c>
      <c r="D66" s="822" t="s">
        <v>17</v>
      </c>
      <c r="E66" s="148"/>
      <c r="F66" s="148"/>
      <c r="G66" s="151"/>
      <c r="H66" s="152" t="s">
        <v>12</v>
      </c>
      <c r="I66" s="419"/>
      <c r="J66" s="419"/>
      <c r="K66" s="154"/>
      <c r="L66" s="155">
        <f t="shared" ref="L66:N66" ca="1" si="39">L67+L68</f>
        <v>0</v>
      </c>
      <c r="M66" s="155">
        <f t="shared" ca="1" si="39"/>
        <v>0</v>
      </c>
      <c r="N66" s="155">
        <f t="shared" ca="1" si="39"/>
        <v>0</v>
      </c>
      <c r="O66" s="155">
        <f t="shared" ref="O66:O74" ca="1" si="40">IF(L66&gt;0,N66*100/L66,0)</f>
        <v>0</v>
      </c>
      <c r="P66" s="155">
        <f t="shared" ref="P66:P74" ca="1" si="41">IF(M66&gt;0,N66*100/M66,0)</f>
        <v>0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2" t="s">
        <v>18</v>
      </c>
      <c r="F67" s="40"/>
      <c r="G67" s="157"/>
      <c r="H67" s="158" t="s">
        <v>12</v>
      </c>
      <c r="I67" s="610"/>
      <c r="J67" s="610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2" t="s">
        <v>19</v>
      </c>
      <c r="F68" s="40"/>
      <c r="G68" s="157"/>
      <c r="H68" s="158" t="s">
        <v>12</v>
      </c>
      <c r="I68" s="610"/>
      <c r="J68" s="610"/>
      <c r="K68" s="93"/>
      <c r="L68" s="93">
        <f t="shared" ca="1" si="42"/>
        <v>0</v>
      </c>
      <c r="M68" s="93">
        <f t="shared" ca="1" si="42"/>
        <v>0</v>
      </c>
      <c r="N68" s="93">
        <f t="shared" ca="1" si="42"/>
        <v>0</v>
      </c>
      <c r="O68" s="93">
        <f t="shared" ca="1" si="40"/>
        <v>0</v>
      </c>
      <c r="P68" s="93">
        <f t="shared" ca="1" si="41"/>
        <v>0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 hidden="1">
      <c r="A69" s="159"/>
      <c r="B69" s="33"/>
      <c r="C69" s="281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6">
        <f t="shared" ref="L69:N69" ca="1" si="43">L70+L71</f>
        <v>0</v>
      </c>
      <c r="M69" s="496">
        <f t="shared" ca="1" si="43"/>
        <v>0</v>
      </c>
      <c r="N69" s="496">
        <f t="shared" ca="1" si="43"/>
        <v>0</v>
      </c>
      <c r="O69" s="496">
        <f t="shared" ca="1" si="40"/>
        <v>0</v>
      </c>
      <c r="P69" s="496">
        <f t="shared" ca="1" si="41"/>
        <v>0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2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2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IFERROR(__xludf.DUMMYFUNCTION("IMPORTRANGE(""https://docs.google.com/spreadsheets/d/1MeEWN-I1oV_STSDYn1IFDPWt_1FKiwhDph83XaGc0o0/edit?usp=sharing"",""งบพรบ!AG73"")"),0)</f>
        <v>0</v>
      </c>
      <c r="M71" s="93">
        <f ca="1">IFERROR(__xludf.DUMMYFUNCTION("IMPORTRANGE(""https://docs.google.com/spreadsheets/d/1MeEWN-I1oV_STSDYn1IFDPWt_1FKiwhDph83XaGc0o0/edit?usp=sharing"",""งบพรบ!AL73"")"),0)</f>
        <v>0</v>
      </c>
      <c r="N71" s="93">
        <f ca="1">IFERROR(__xludf.DUMMYFUNCTION("IMPORTRANGE(""https://docs.google.com/spreadsheets/d/1MeEWN-I1oV_STSDYn1IFDPWt_1FKiwhDph83XaGc0o0/edit?usp=sharing"",""งบพรบ!AN73"")"),0)</f>
        <v>0</v>
      </c>
      <c r="O71" s="93">
        <f t="shared" ca="1" si="40"/>
        <v>0</v>
      </c>
      <c r="P71" s="93">
        <f t="shared" ca="1" si="41"/>
        <v>0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 hidden="1">
      <c r="A72" s="159"/>
      <c r="B72" s="33"/>
      <c r="C72" s="281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6">
        <f t="shared" ref="L72:N72" ca="1" si="44">L73+L74</f>
        <v>0</v>
      </c>
      <c r="M72" s="496">
        <f t="shared" ca="1" si="44"/>
        <v>0</v>
      </c>
      <c r="N72" s="496">
        <f t="shared" ca="1" si="44"/>
        <v>0</v>
      </c>
      <c r="O72" s="496">
        <f t="shared" ca="1" si="40"/>
        <v>0</v>
      </c>
      <c r="P72" s="496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2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2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IFERROR(__xludf.DUMMYFUNCTION("IMPORTRANGE(""https://docs.google.com/spreadsheets/d/1MeEWN-I1oV_STSDYn1IFDPWt_1FKiwhDph83XaGc0o0/edit?usp=sharing"",""งบพรบ!AJ73"")"),0)</f>
        <v>0</v>
      </c>
      <c r="M74" s="93">
        <f ca="1">IFERROR(__xludf.DUMMYFUNCTION("IMPORTRANGE(""https://docs.google.com/spreadsheets/d/1MeEWN-I1oV_STSDYn1IFDPWt_1FKiwhDph83XaGc0o0/edit?usp=sharing"",""งบพรบ!AM73"")"),0)</f>
        <v>0</v>
      </c>
      <c r="N74" s="93">
        <f ca="1">IFERROR(__xludf.DUMMYFUNCTION("IMPORTRANGE(""https://docs.google.com/spreadsheets/d/1MeEWN-I1oV_STSDYn1IFDPWt_1FKiwhDph83XaGc0o0/edit?usp=sharing"",""งบพรบ!AO73"")"),0)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 hidden="1">
      <c r="A75" s="170"/>
      <c r="B75" s="171"/>
      <c r="C75" s="164" t="s">
        <v>16</v>
      </c>
      <c r="D75" s="823" t="s">
        <v>38</v>
      </c>
      <c r="E75" s="173"/>
      <c r="F75" s="173"/>
      <c r="G75" s="174"/>
      <c r="H75" s="753"/>
      <c r="I75" s="184"/>
      <c r="J75" s="184"/>
      <c r="K75" s="163"/>
      <c r="L75" s="163"/>
      <c r="M75" s="163"/>
      <c r="N75" s="163"/>
      <c r="O75" s="163"/>
      <c r="P75" s="163"/>
    </row>
    <row r="76" spans="1:26" ht="19.5" hidden="1">
      <c r="A76" s="170"/>
      <c r="B76" s="171"/>
      <c r="C76" s="171"/>
      <c r="D76" s="176" t="s">
        <v>39</v>
      </c>
      <c r="E76" s="446"/>
      <c r="F76" s="178"/>
      <c r="G76" s="179"/>
      <c r="H76" s="180" t="s">
        <v>34</v>
      </c>
      <c r="I76" s="269">
        <f t="shared" ref="I76:J77" ca="1" si="45">I78+I80+I82</f>
        <v>0</v>
      </c>
      <c r="J76" s="269">
        <f t="shared" si="45"/>
        <v>0</v>
      </c>
      <c r="K76" s="163">
        <f t="shared" ref="K76:K84" ca="1" si="46">IF(I76&gt;0,J76*100/I76,0)</f>
        <v>0</v>
      </c>
      <c r="L76" s="163"/>
      <c r="M76" s="163"/>
      <c r="N76" s="163"/>
      <c r="O76" s="163"/>
      <c r="P76" s="163"/>
    </row>
    <row r="77" spans="1:26" ht="19.5" hidden="1">
      <c r="A77" s="170"/>
      <c r="B77" s="171"/>
      <c r="C77" s="171"/>
      <c r="D77" s="171"/>
      <c r="E77" s="178"/>
      <c r="F77" s="178"/>
      <c r="G77" s="179"/>
      <c r="H77" s="180" t="s">
        <v>35</v>
      </c>
      <c r="I77" s="269">
        <f t="shared" ca="1" si="45"/>
        <v>0</v>
      </c>
      <c r="J77" s="269">
        <f t="shared" si="45"/>
        <v>0</v>
      </c>
      <c r="K77" s="163">
        <f t="shared" ca="1" si="46"/>
        <v>0</v>
      </c>
      <c r="L77" s="163"/>
      <c r="M77" s="163"/>
      <c r="N77" s="163"/>
      <c r="O77" s="163"/>
      <c r="P77" s="163"/>
    </row>
    <row r="78" spans="1:26" ht="18.75" hidden="1">
      <c r="A78" s="170"/>
      <c r="B78" s="171"/>
      <c r="C78" s="171"/>
      <c r="D78" s="171"/>
      <c r="E78" s="446" t="s">
        <v>40</v>
      </c>
      <c r="F78" s="446"/>
      <c r="G78" s="179"/>
      <c r="H78" s="755" t="s">
        <v>34</v>
      </c>
      <c r="I78" s="184">
        <f ca="1">IFERROR(__xludf.DUMMYFUNCTION("IMPORTRANGE(""https://docs.google.com/spreadsheets/d/1QqKyyYR6Q21VydFLVH3TRQUabQu_ym0Zz7PgGX0-kHA/edit?usp=sharing"",""แผน!H73"")"),0)</f>
        <v>0</v>
      </c>
      <c r="J78" s="214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 hidden="1">
      <c r="A79" s="170"/>
      <c r="B79" s="171"/>
      <c r="C79" s="171"/>
      <c r="D79" s="171"/>
      <c r="E79" s="178"/>
      <c r="F79" s="178"/>
      <c r="G79" s="179"/>
      <c r="H79" s="755" t="s">
        <v>35</v>
      </c>
      <c r="I79" s="184">
        <f ca="1">IFERROR(__xludf.DUMMYFUNCTION("IMPORTRANGE(""https://docs.google.com/spreadsheets/d/1QqKyyYR6Q21VydFLVH3TRQUabQu_ym0Zz7PgGX0-kHA/edit?usp=sharing"",""แผน!I73"")"),0)</f>
        <v>0</v>
      </c>
      <c r="J79" s="214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 hidden="1">
      <c r="A80" s="170"/>
      <c r="B80" s="171"/>
      <c r="C80" s="171"/>
      <c r="D80" s="171"/>
      <c r="E80" s="446" t="s">
        <v>41</v>
      </c>
      <c r="F80" s="446"/>
      <c r="G80" s="179"/>
      <c r="H80" s="755" t="s">
        <v>34</v>
      </c>
      <c r="I80" s="184">
        <f ca="1">IFERROR(__xludf.DUMMYFUNCTION("IMPORTRANGE(""https://docs.google.com/spreadsheets/d/1QqKyyYR6Q21VydFLVH3TRQUabQu_ym0Zz7PgGX0-kHA/edit?usp=sharing"",""แผน!F73"")"),0)</f>
        <v>0</v>
      </c>
      <c r="J80" s="214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 hidden="1">
      <c r="A81" s="170"/>
      <c r="B81" s="171"/>
      <c r="C81" s="171"/>
      <c r="D81" s="171"/>
      <c r="E81" s="178"/>
      <c r="F81" s="178"/>
      <c r="G81" s="179"/>
      <c r="H81" s="755" t="s">
        <v>35</v>
      </c>
      <c r="I81" s="184">
        <f ca="1">IFERROR(__xludf.DUMMYFUNCTION("IMPORTRANGE(""https://docs.google.com/spreadsheets/d/1QqKyyYR6Q21VydFLVH3TRQUabQu_ym0Zz7PgGX0-kHA/edit?usp=sharing"",""แผน!G73"")"),0)</f>
        <v>0</v>
      </c>
      <c r="J81" s="214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 hidden="1">
      <c r="A82" s="170"/>
      <c r="B82" s="171"/>
      <c r="C82" s="171"/>
      <c r="D82" s="171"/>
      <c r="E82" s="446" t="s">
        <v>42</v>
      </c>
      <c r="F82" s="446"/>
      <c r="G82" s="179"/>
      <c r="H82" s="755" t="s">
        <v>34</v>
      </c>
      <c r="I82" s="184">
        <f ca="1">IFERROR(__xludf.DUMMYFUNCTION("IMPORTRANGE(""https://docs.google.com/spreadsheets/d/1QqKyyYR6Q21VydFLVH3TRQUabQu_ym0Zz7PgGX0-kHA/edit?usp=sharing"",""แผน!D73"")"),0)</f>
        <v>0</v>
      </c>
      <c r="J82" s="214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 hidden="1">
      <c r="A83" s="170"/>
      <c r="B83" s="171"/>
      <c r="C83" s="171"/>
      <c r="D83" s="171"/>
      <c r="E83" s="178"/>
      <c r="F83" s="178"/>
      <c r="G83" s="179"/>
      <c r="H83" s="755" t="s">
        <v>35</v>
      </c>
      <c r="I83" s="184">
        <f ca="1">IFERROR(__xludf.DUMMYFUNCTION("IMPORTRANGE(""https://docs.google.com/spreadsheets/d/1QqKyyYR6Q21VydFLVH3TRQUabQu_ym0Zz7PgGX0-kHA/edit?usp=sharing"",""แผน!E73"")"),0)</f>
        <v>0</v>
      </c>
      <c r="J83" s="214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 hidden="1">
      <c r="A84" s="170"/>
      <c r="B84" s="171"/>
      <c r="C84" s="171"/>
      <c r="D84" s="176" t="s">
        <v>43</v>
      </c>
      <c r="E84" s="446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IFERROR(__xludf.DUMMYFUNCTION("IMPORTRANGE(""https://docs.google.com/spreadsheets/d/1QqKyyYR6Q21VydFLVH3TRQUabQu_ym0Zz7PgGX0-kHA/edit?usp=sharing"",""แผน!J73"")"),0)</f>
        <v>0</v>
      </c>
      <c r="J84" s="214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8" t="s">
        <v>45</v>
      </c>
      <c r="C86" s="140"/>
      <c r="D86" s="141"/>
      <c r="E86" s="140"/>
      <c r="F86" s="140"/>
      <c r="G86" s="142"/>
      <c r="H86" s="143" t="s">
        <v>46</v>
      </c>
      <c r="I86" s="144">
        <f t="shared" ref="I86:J87" ca="1" si="47">I98</f>
        <v>0</v>
      </c>
      <c r="J86" s="144">
        <f t="shared" si="47"/>
        <v>0</v>
      </c>
      <c r="K86" s="145">
        <f t="shared" ref="K86:K87" ca="1" si="48">IF(I86&gt;0,J86*100/I86,0)</f>
        <v>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143" t="s">
        <v>35</v>
      </c>
      <c r="I87" s="144">
        <f t="shared" ca="1" si="47"/>
        <v>0</v>
      </c>
      <c r="J87" s="144">
        <f t="shared" si="47"/>
        <v>0</v>
      </c>
      <c r="K87" s="145">
        <f t="shared" ca="1" si="48"/>
        <v>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22" t="s">
        <v>17</v>
      </c>
      <c r="E88" s="148"/>
      <c r="F88" s="148"/>
      <c r="G88" s="151"/>
      <c r="H88" s="152" t="s">
        <v>12</v>
      </c>
      <c r="I88" s="419"/>
      <c r="J88" s="419"/>
      <c r="K88" s="154"/>
      <c r="L88" s="155">
        <f t="shared" ref="L88:N88" ca="1" si="49">L89+L90</f>
        <v>174500</v>
      </c>
      <c r="M88" s="155">
        <f t="shared" ca="1" si="49"/>
        <v>99400</v>
      </c>
      <c r="N88" s="155">
        <f t="shared" ca="1" si="49"/>
        <v>49247.5</v>
      </c>
      <c r="O88" s="155">
        <f t="shared" ref="O88:O96" ca="1" si="50">IF(L88&gt;0,N88*100/L88,0)</f>
        <v>28.222063037249285</v>
      </c>
      <c r="P88" s="155">
        <f t="shared" ref="P88:P96" ca="1" si="51">IF(M88&gt;0,N88*100/M88,0)</f>
        <v>49.544768611670023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2" t="s">
        <v>18</v>
      </c>
      <c r="F89" s="40"/>
      <c r="G89" s="157"/>
      <c r="H89" s="158" t="s">
        <v>12</v>
      </c>
      <c r="I89" s="610"/>
      <c r="J89" s="610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2" t="s">
        <v>19</v>
      </c>
      <c r="F90" s="40"/>
      <c r="G90" s="157"/>
      <c r="H90" s="158" t="s">
        <v>12</v>
      </c>
      <c r="I90" s="610"/>
      <c r="J90" s="610"/>
      <c r="K90" s="93"/>
      <c r="L90" s="93">
        <f t="shared" ca="1" si="52"/>
        <v>174500</v>
      </c>
      <c r="M90" s="93">
        <f t="shared" ca="1" si="52"/>
        <v>99400</v>
      </c>
      <c r="N90" s="93">
        <f t="shared" ca="1" si="52"/>
        <v>49247.5</v>
      </c>
      <c r="O90" s="93">
        <f t="shared" ca="1" si="50"/>
        <v>28.222063037249285</v>
      </c>
      <c r="P90" s="93">
        <f t="shared" ca="1" si="51"/>
        <v>49.544768611670023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1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6">
        <f t="shared" ref="L91:N91" ca="1" si="53">L92+L93</f>
        <v>174500</v>
      </c>
      <c r="M91" s="496">
        <f t="shared" ca="1" si="53"/>
        <v>99400</v>
      </c>
      <c r="N91" s="496">
        <f t="shared" ca="1" si="53"/>
        <v>49247.5</v>
      </c>
      <c r="O91" s="496">
        <f t="shared" ca="1" si="50"/>
        <v>28.222063037249285</v>
      </c>
      <c r="P91" s="496">
        <f t="shared" ca="1" si="51"/>
        <v>49.544768611670023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2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2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IFERROR(__xludf.DUMMYFUNCTION("IMPORTRANGE(""https://docs.google.com/spreadsheets/d/1MeEWN-I1oV_STSDYn1IFDPWt_1FKiwhDph83XaGc0o0/edit?usp=sharing"",""งบพรบ!AQ73"")"),174500)</f>
        <v>174500</v>
      </c>
      <c r="M93" s="93">
        <f ca="1">IFERROR(__xludf.DUMMYFUNCTION("IMPORTRANGE(""https://docs.google.com/spreadsheets/d/1MeEWN-I1oV_STSDYn1IFDPWt_1FKiwhDph83XaGc0o0/edit?usp=sharing"",""งบพรบ!AV73"")"),99400)</f>
        <v>99400</v>
      </c>
      <c r="N93" s="93">
        <f ca="1">IFERROR(__xludf.DUMMYFUNCTION("IMPORTRANGE(""https://docs.google.com/spreadsheets/d/1MeEWN-I1oV_STSDYn1IFDPWt_1FKiwhDph83XaGc0o0/edit?usp=sharing"",""งบพรบ!AX73"")"),49247.5)</f>
        <v>49247.5</v>
      </c>
      <c r="O93" s="93">
        <f t="shared" ca="1" si="50"/>
        <v>28.222063037249285</v>
      </c>
      <c r="P93" s="93">
        <f t="shared" ca="1" si="51"/>
        <v>49.544768611670023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1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6">
        <f t="shared" ref="L94:N94" ca="1" si="54">L95+L96</f>
        <v>0</v>
      </c>
      <c r="M94" s="496">
        <f t="shared" ca="1" si="54"/>
        <v>0</v>
      </c>
      <c r="N94" s="496">
        <f t="shared" ca="1" si="54"/>
        <v>0</v>
      </c>
      <c r="O94" s="496">
        <f t="shared" ca="1" si="50"/>
        <v>0</v>
      </c>
      <c r="P94" s="496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2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2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IFERROR(__xludf.DUMMYFUNCTION("IMPORTRANGE(""https://docs.google.com/spreadsheets/d/1MeEWN-I1oV_STSDYn1IFDPWt_1FKiwhDph83XaGc0o0/edit?usp=sharing"",""งบพรบ!AT73"")"),0)</f>
        <v>0</v>
      </c>
      <c r="M96" s="93">
        <f ca="1">IFERROR(__xludf.DUMMYFUNCTION("IMPORTRANGE(""https://docs.google.com/spreadsheets/d/1MeEWN-I1oV_STSDYn1IFDPWt_1FKiwhDph83XaGc0o0/edit?usp=sharing"",""งบพรบ!AW73"")"),0)</f>
        <v>0</v>
      </c>
      <c r="N96" s="93">
        <f ca="1">IFERROR(__xludf.DUMMYFUNCTION("IMPORTRANGE(""https://docs.google.com/spreadsheets/d/1MeEWN-I1oV_STSDYn1IFDPWt_1FKiwhDph83XaGc0o0/edit?usp=sharing"",""งบพรบ!AY73"")"),0)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23" t="s">
        <v>38</v>
      </c>
      <c r="E97" s="173"/>
      <c r="F97" s="173"/>
      <c r="G97" s="174"/>
      <c r="H97" s="753"/>
      <c r="I97" s="184"/>
      <c r="J97" s="269"/>
      <c r="K97" s="496"/>
      <c r="L97" s="496"/>
      <c r="M97" s="496"/>
      <c r="N97" s="496"/>
      <c r="O97" s="163"/>
      <c r="P97" s="163"/>
    </row>
    <row r="98" spans="1:16" ht="18.75">
      <c r="A98" s="170"/>
      <c r="B98" s="171"/>
      <c r="C98" s="171"/>
      <c r="D98" s="446" t="s">
        <v>47</v>
      </c>
      <c r="E98" s="446"/>
      <c r="F98" s="178"/>
      <c r="G98" s="179"/>
      <c r="H98" s="616" t="s">
        <v>46</v>
      </c>
      <c r="I98" s="269">
        <f ca="1">IFERROR(__xludf.DUMMYFUNCTION("IMPORTRANGE(""https://docs.google.com/spreadsheets/d/1QqKyyYR6Q21VydFLVH3TRQUabQu_ym0Zz7PgGX0-kHA/edit?usp=sharing"",""แผน!K73"")"),0)</f>
        <v>0</v>
      </c>
      <c r="J98" s="269">
        <f>J102</f>
        <v>0</v>
      </c>
      <c r="K98" s="496">
        <f t="shared" ref="K98:K100" ca="1" si="55">IF(I98&gt;0,J98*100/I98,0)</f>
        <v>0</v>
      </c>
      <c r="L98" s="496"/>
      <c r="M98" s="496"/>
      <c r="N98" s="496"/>
      <c r="O98" s="163"/>
      <c r="P98" s="163"/>
    </row>
    <row r="99" spans="1:16" ht="18.75">
      <c r="A99" s="170"/>
      <c r="B99" s="171"/>
      <c r="C99" s="171"/>
      <c r="D99" s="446" t="s">
        <v>48</v>
      </c>
      <c r="E99" s="446"/>
      <c r="F99" s="178"/>
      <c r="G99" s="179"/>
      <c r="H99" s="616" t="s">
        <v>35</v>
      </c>
      <c r="I99" s="269">
        <f ca="1">IFERROR(__xludf.DUMMYFUNCTION("IMPORTRANGE(""https://docs.google.com/spreadsheets/d/1QqKyyYR6Q21VydFLVH3TRQUabQu_ym0Zz7PgGX0-kHA/edit?usp=sharing"",""แผน!L73"")"),0)</f>
        <v>0</v>
      </c>
      <c r="J99" s="269">
        <f>J104</f>
        <v>0</v>
      </c>
      <c r="K99" s="496">
        <f t="shared" ca="1" si="55"/>
        <v>0</v>
      </c>
      <c r="L99" s="496"/>
      <c r="M99" s="496"/>
      <c r="N99" s="496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16" t="s">
        <v>49</v>
      </c>
      <c r="I100" s="269">
        <f ca="1">IFERROR(__xludf.DUMMYFUNCTION("IMPORTRANGE(""https://docs.google.com/spreadsheets/d/1QqKyyYR6Q21VydFLVH3TRQUabQu_ym0Zz7PgGX0-kHA/edit?usp=sharing"",""แผน!M73"")"),1)</f>
        <v>1</v>
      </c>
      <c r="J100" s="269">
        <f>J107+J110</f>
        <v>0</v>
      </c>
      <c r="K100" s="496">
        <f t="shared" ca="1" si="55"/>
        <v>0</v>
      </c>
      <c r="L100" s="496"/>
      <c r="M100" s="496"/>
      <c r="N100" s="496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16"/>
      <c r="I101" s="269"/>
      <c r="J101" s="269"/>
      <c r="K101" s="496"/>
      <c r="L101" s="496"/>
      <c r="M101" s="496"/>
      <c r="N101" s="496"/>
      <c r="O101" s="163"/>
      <c r="P101" s="163"/>
    </row>
    <row r="102" spans="1:16" ht="18.75">
      <c r="A102" s="170"/>
      <c r="B102" s="171"/>
      <c r="C102" s="171"/>
      <c r="D102" s="178"/>
      <c r="E102" s="619" t="s">
        <v>47</v>
      </c>
      <c r="F102" s="178"/>
      <c r="G102" s="179"/>
      <c r="H102" s="616" t="s">
        <v>46</v>
      </c>
      <c r="I102" s="269">
        <f ca="1">IFERROR(__xludf.DUMMYFUNCTION("IMPORTRANGE(""https://docs.google.com/spreadsheets/d/1QqKyyYR6Q21VydFLVH3TRQUabQu_ym0Zz7PgGX0-kHA/edit?usp=sharing"",""แผน!N73"")"),0)</f>
        <v>0</v>
      </c>
      <c r="J102" s="214">
        <v>0</v>
      </c>
      <c r="K102" s="496">
        <f t="shared" ref="K102:K104" ca="1" si="56">IF(I102&gt;0,J102*100/I102,0)</f>
        <v>0</v>
      </c>
      <c r="L102" s="496"/>
      <c r="M102" s="496"/>
      <c r="N102" s="496"/>
      <c r="O102" s="163"/>
      <c r="P102" s="163"/>
    </row>
    <row r="103" spans="1:16" ht="19.5">
      <c r="A103" s="170"/>
      <c r="B103" s="171"/>
      <c r="C103" s="171"/>
      <c r="D103" s="178"/>
      <c r="E103" s="446" t="s">
        <v>51</v>
      </c>
      <c r="F103" s="178"/>
      <c r="G103" s="179"/>
      <c r="H103" s="616" t="s">
        <v>35</v>
      </c>
      <c r="I103" s="269">
        <f ca="1">IFERROR(__xludf.DUMMYFUNCTION("IMPORTRANGE(""https://docs.google.com/spreadsheets/d/1QqKyyYR6Q21VydFLVH3TRQUabQu_ym0Zz7PgGX0-kHA/edit?usp=sharing"",""แผน!O73"")"),0)</f>
        <v>0</v>
      </c>
      <c r="J103" s="214">
        <v>0</v>
      </c>
      <c r="K103" s="496">
        <f t="shared" ca="1" si="56"/>
        <v>0</v>
      </c>
      <c r="L103" s="496"/>
      <c r="M103" s="496"/>
      <c r="N103" s="496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16" t="s">
        <v>35</v>
      </c>
      <c r="I104" s="269">
        <f ca="1">IFERROR(__xludf.DUMMYFUNCTION("IMPORTRANGE(""https://docs.google.com/spreadsheets/d/1QqKyyYR6Q21VydFLVH3TRQUabQu_ym0Zz7PgGX0-kHA/edit?usp=sharing"",""แผน!O73"")"),0)</f>
        <v>0</v>
      </c>
      <c r="J104" s="214">
        <v>0</v>
      </c>
      <c r="K104" s="496">
        <f t="shared" ca="1" si="56"/>
        <v>0</v>
      </c>
      <c r="L104" s="496"/>
      <c r="M104" s="496"/>
      <c r="N104" s="496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69"/>
      <c r="J105" s="269"/>
      <c r="K105" s="496"/>
      <c r="L105" s="496"/>
      <c r="M105" s="496"/>
      <c r="N105" s="496"/>
      <c r="O105" s="163"/>
      <c r="P105" s="163"/>
    </row>
    <row r="106" spans="1:16" ht="19.5">
      <c r="A106" s="170"/>
      <c r="B106" s="171"/>
      <c r="C106" s="171"/>
      <c r="D106" s="178"/>
      <c r="E106" s="446" t="s">
        <v>54</v>
      </c>
      <c r="F106" s="178"/>
      <c r="G106" s="179"/>
      <c r="H106" s="616" t="s">
        <v>49</v>
      </c>
      <c r="I106" s="269">
        <f ca="1">IFERROR(__xludf.DUMMYFUNCTION("IMPORTRANGE(""https://docs.google.com/spreadsheets/d/1QqKyyYR6Q21VydFLVH3TRQUabQu_ym0Zz7PgGX0-kHA/edit?usp=sharing"",""แผน!P73"")"),0)</f>
        <v>0</v>
      </c>
      <c r="J106" s="214">
        <v>0</v>
      </c>
      <c r="K106" s="496">
        <f t="shared" ref="K106:K107" ca="1" si="57">IF(I106&gt;0,J106*100/I106,0)</f>
        <v>0</v>
      </c>
      <c r="L106" s="496"/>
      <c r="M106" s="496"/>
      <c r="N106" s="496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16" t="s">
        <v>49</v>
      </c>
      <c r="I107" s="269">
        <f ca="1">IFERROR(__xludf.DUMMYFUNCTION("IMPORTRANGE(""https://docs.google.com/spreadsheets/d/1QqKyyYR6Q21VydFLVH3TRQUabQu_ym0Zz7PgGX0-kHA/edit?usp=sharing"",""แผน!P73"")"),0)</f>
        <v>0</v>
      </c>
      <c r="J107" s="214">
        <v>0</v>
      </c>
      <c r="K107" s="496">
        <f t="shared" ca="1" si="57"/>
        <v>0</v>
      </c>
      <c r="L107" s="496"/>
      <c r="M107" s="496"/>
      <c r="N107" s="496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69"/>
      <c r="J108" s="269"/>
      <c r="K108" s="496"/>
      <c r="L108" s="496"/>
      <c r="M108" s="496"/>
      <c r="N108" s="496"/>
      <c r="O108" s="163"/>
      <c r="P108" s="163"/>
    </row>
    <row r="109" spans="1:16" ht="19.5">
      <c r="A109" s="170"/>
      <c r="B109" s="171"/>
      <c r="C109" s="171"/>
      <c r="D109" s="178"/>
      <c r="E109" s="446" t="s">
        <v>57</v>
      </c>
      <c r="F109" s="178"/>
      <c r="G109" s="179"/>
      <c r="H109" s="616" t="s">
        <v>49</v>
      </c>
      <c r="I109" s="269">
        <f ca="1">IFERROR(__xludf.DUMMYFUNCTION("IMPORTRANGE(""https://docs.google.com/spreadsheets/d/1QqKyyYR6Q21VydFLVH3TRQUabQu_ym0Zz7PgGX0-kHA/edit?usp=sharing"",""แผน!Q73"")"),1)</f>
        <v>1</v>
      </c>
      <c r="J109" s="214">
        <v>0</v>
      </c>
      <c r="K109" s="496">
        <f t="shared" ref="K109:K116" ca="1" si="58">IF(I109&gt;0,J109*100/I109,0)</f>
        <v>0</v>
      </c>
      <c r="L109" s="496"/>
      <c r="M109" s="496"/>
      <c r="N109" s="496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16" t="s">
        <v>49</v>
      </c>
      <c r="I110" s="269">
        <f ca="1">IFERROR(__xludf.DUMMYFUNCTION("IMPORTRANGE(""https://docs.google.com/spreadsheets/d/1QqKyyYR6Q21VydFLVH3TRQUabQu_ym0Zz7PgGX0-kHA/edit?usp=sharing"",""แผน!Q73"")"),1)</f>
        <v>1</v>
      </c>
      <c r="J110" s="214">
        <v>0</v>
      </c>
      <c r="K110" s="496">
        <f t="shared" ca="1" si="58"/>
        <v>0</v>
      </c>
      <c r="L110" s="496"/>
      <c r="M110" s="496"/>
      <c r="N110" s="496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58" t="s">
        <v>35</v>
      </c>
      <c r="I111" s="193">
        <f ca="1">IFERROR(__xludf.DUMMYFUNCTION("IMPORTRANGE(""https://docs.google.com/spreadsheets/d/1QqKyyYR6Q21VydFLVH3TRQUabQu_ym0Zz7PgGX0-kHA/edit?usp=sharing"",""แผน!R73"")"),0)</f>
        <v>0</v>
      </c>
      <c r="J111" s="674">
        <f>J114</f>
        <v>0</v>
      </c>
      <c r="K111" s="195">
        <f t="shared" ca="1" si="58"/>
        <v>0</v>
      </c>
      <c r="L111" s="496"/>
      <c r="M111" s="496"/>
      <c r="N111" s="496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1</v>
      </c>
      <c r="J112" s="674">
        <f t="shared" si="59"/>
        <v>0</v>
      </c>
      <c r="K112" s="195">
        <f t="shared" ca="1" si="58"/>
        <v>0</v>
      </c>
      <c r="L112" s="496"/>
      <c r="M112" s="496"/>
      <c r="N112" s="496"/>
      <c r="O112" s="163"/>
      <c r="P112" s="163"/>
    </row>
    <row r="113" spans="1:26" ht="19.5">
      <c r="A113" s="170"/>
      <c r="B113" s="171"/>
      <c r="C113" s="171"/>
      <c r="D113" s="171"/>
      <c r="E113" s="525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IFERROR(__xludf.DUMMYFUNCTION("IMPORTRANGE(""https://docs.google.com/spreadsheets/d/1QqKyyYR6Q21VydFLVH3TRQUabQu_ym0Zz7PgGX0-kHA/edit?usp=sharing"",""แผน!R73"")"),0)</f>
        <v>0</v>
      </c>
      <c r="J113" s="214">
        <v>0</v>
      </c>
      <c r="K113" s="496">
        <f t="shared" ca="1" si="58"/>
        <v>0</v>
      </c>
      <c r="L113" s="496"/>
      <c r="M113" s="496"/>
      <c r="N113" s="496"/>
      <c r="O113" s="163"/>
      <c r="P113" s="163"/>
    </row>
    <row r="114" spans="1:26" ht="19.5">
      <c r="A114" s="170"/>
      <c r="B114" s="171"/>
      <c r="C114" s="171"/>
      <c r="D114" s="171"/>
      <c r="E114" s="446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IFERROR(__xludf.DUMMYFUNCTION("IMPORTRANGE(""https://docs.google.com/spreadsheets/d/1QqKyyYR6Q21VydFLVH3TRQUabQu_ym0Zz7PgGX0-kHA/edit?usp=sharing"",""แผน!R73"")"),0)</f>
        <v>0</v>
      </c>
      <c r="J114" s="214">
        <v>0</v>
      </c>
      <c r="K114" s="496">
        <f t="shared" ca="1" si="58"/>
        <v>0</v>
      </c>
      <c r="L114" s="496"/>
      <c r="M114" s="496"/>
      <c r="N114" s="496"/>
      <c r="O114" s="163"/>
      <c r="P114" s="163"/>
    </row>
    <row r="115" spans="1:26" ht="18.75">
      <c r="A115" s="170"/>
      <c r="B115" s="171"/>
      <c r="C115" s="171"/>
      <c r="D115" s="171"/>
      <c r="E115" s="446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IFERROR(__xludf.DUMMYFUNCTION("IMPORTRANGE(""https://docs.google.com/spreadsheets/d/1QqKyyYR6Q21VydFLVH3TRQUabQu_ym0Zz7PgGX0-kHA/edit?usp=sharing"",""แผน!S73"")"),0)</f>
        <v>0</v>
      </c>
      <c r="J115" s="214">
        <v>0</v>
      </c>
      <c r="K115" s="496">
        <f t="shared" ca="1" si="58"/>
        <v>0</v>
      </c>
      <c r="L115" s="496"/>
      <c r="M115" s="496"/>
      <c r="N115" s="496"/>
      <c r="O115" s="163"/>
      <c r="P115" s="163"/>
    </row>
    <row r="116" spans="1:26" ht="18.75">
      <c r="A116" s="170"/>
      <c r="B116" s="171"/>
      <c r="C116" s="171"/>
      <c r="D116" s="171"/>
      <c r="E116" s="446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IFERROR(__xludf.DUMMYFUNCTION("IMPORTRANGE(""https://docs.google.com/spreadsheets/d/1QqKyyYR6Q21VydFLVH3TRQUabQu_ym0Zz7PgGX0-kHA/edit?usp=sharing"",""แผน!T73"")"),1)</f>
        <v>1</v>
      </c>
      <c r="J116" s="214">
        <v>0</v>
      </c>
      <c r="K116" s="496">
        <f t="shared" ca="1" si="58"/>
        <v>0</v>
      </c>
      <c r="L116" s="496"/>
      <c r="M116" s="496"/>
      <c r="N116" s="496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8" t="s">
        <v>65</v>
      </c>
      <c r="C118" s="204"/>
      <c r="D118" s="141"/>
      <c r="E118" s="140"/>
      <c r="F118" s="140"/>
      <c r="G118" s="142"/>
      <c r="H118" s="143"/>
      <c r="I118" s="205"/>
      <c r="J118" s="205"/>
      <c r="K118" s="146"/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22" t="s">
        <v>17</v>
      </c>
      <c r="E119" s="148"/>
      <c r="F119" s="148"/>
      <c r="G119" s="151"/>
      <c r="H119" s="152" t="s">
        <v>12</v>
      </c>
      <c r="I119" s="419"/>
      <c r="J119" s="419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2" t="s">
        <v>18</v>
      </c>
      <c r="F120" s="40"/>
      <c r="G120" s="157"/>
      <c r="H120" s="158" t="s">
        <v>12</v>
      </c>
      <c r="I120" s="610"/>
      <c r="J120" s="610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2" t="s">
        <v>19</v>
      </c>
      <c r="F121" s="40"/>
      <c r="G121" s="157"/>
      <c r="H121" s="158" t="s">
        <v>12</v>
      </c>
      <c r="I121" s="610"/>
      <c r="J121" s="610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1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6">
        <f t="shared" ref="L122:N122" ca="1" si="64">L123+L124</f>
        <v>0</v>
      </c>
      <c r="M122" s="496">
        <f t="shared" ca="1" si="64"/>
        <v>0</v>
      </c>
      <c r="N122" s="496">
        <f t="shared" ca="1" si="64"/>
        <v>0</v>
      </c>
      <c r="O122" s="496">
        <f t="shared" ca="1" si="61"/>
        <v>0</v>
      </c>
      <c r="P122" s="496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2"/>
      <c r="D123" s="40"/>
      <c r="E123" s="222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2"/>
      <c r="D124" s="40"/>
      <c r="E124" s="222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IFERROR(__xludf.DUMMYFUNCTION("IMPORTRANGE(""https://docs.google.com/spreadsheets/d/1MeEWN-I1oV_STSDYn1IFDPWt_1FKiwhDph83XaGc0o0/edit?usp=sharing"",""งบพรบ!BA73"")"),0)</f>
        <v>0</v>
      </c>
      <c r="M124" s="93">
        <f ca="1">IFERROR(__xludf.DUMMYFUNCTION("IMPORTRANGE(""https://docs.google.com/spreadsheets/d/1MeEWN-I1oV_STSDYn1IFDPWt_1FKiwhDph83XaGc0o0/edit?usp=sharing"",""งบพรบ!BF73"")"),0)</f>
        <v>0</v>
      </c>
      <c r="N124" s="93">
        <f ca="1">IFERROR(__xludf.DUMMYFUNCTION("IMPORTRANGE(""https://docs.google.com/spreadsheets/d/1MeEWN-I1oV_STSDYn1IFDPWt_1FKiwhDph83XaGc0o0/edit?usp=sharing"",""งบพรบ!BH73"")"),0)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1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6">
        <f t="shared" ref="L125:N125" ca="1" si="65">L126+L127</f>
        <v>0</v>
      </c>
      <c r="M125" s="496">
        <f t="shared" ca="1" si="65"/>
        <v>0</v>
      </c>
      <c r="N125" s="496">
        <f t="shared" ca="1" si="65"/>
        <v>0</v>
      </c>
      <c r="O125" s="496">
        <f t="shared" ca="1" si="61"/>
        <v>0</v>
      </c>
      <c r="P125" s="496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2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2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IFERROR(__xludf.DUMMYFUNCTION("IMPORTRANGE(""https://docs.google.com/spreadsheets/d/1MeEWN-I1oV_STSDYn1IFDPWt_1FKiwhDph83XaGc0o0/edit?usp=sharing"",""งบพรบ!BD73"")"),0)</f>
        <v>0</v>
      </c>
      <c r="M127" s="93">
        <f ca="1">IFERROR(__xludf.DUMMYFUNCTION("IMPORTRANGE(""https://docs.google.com/spreadsheets/d/1MeEWN-I1oV_STSDYn1IFDPWt_1FKiwhDph83XaGc0o0/edit?usp=sharing"",""งบพรบ!BG73"")"),0)</f>
        <v>0</v>
      </c>
      <c r="N127" s="93">
        <f ca="1">IFERROR(__xludf.DUMMYFUNCTION("IMPORTRANGE(""https://docs.google.com/spreadsheets/d/1MeEWN-I1oV_STSDYn1IFDPWt_1FKiwhDph83XaGc0o0/edit?usp=sharing"",""งบพรบ!BI73"")"),0)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66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8" t="s">
        <v>67</v>
      </c>
      <c r="C129" s="204"/>
      <c r="D129" s="141"/>
      <c r="E129" s="140"/>
      <c r="F129" s="140"/>
      <c r="G129" s="140"/>
      <c r="H129" s="207"/>
      <c r="I129" s="205"/>
      <c r="J129" s="205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8"/>
      <c r="C130" s="209" t="s">
        <v>68</v>
      </c>
      <c r="D130" s="141"/>
      <c r="E130" s="140"/>
      <c r="F130" s="140"/>
      <c r="G130" s="142"/>
      <c r="H130" s="143" t="s">
        <v>69</v>
      </c>
      <c r="I130" s="144">
        <f t="shared" ref="I130:J130" ca="1" si="66">I146</f>
        <v>0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8"/>
      <c r="C131" s="209" t="s">
        <v>70</v>
      </c>
      <c r="D131" s="141"/>
      <c r="E131" s="140"/>
      <c r="F131" s="140"/>
      <c r="G131" s="142"/>
      <c r="H131" s="143" t="s">
        <v>35</v>
      </c>
      <c r="I131" s="144">
        <f t="shared" ref="I131:J131" ca="1" si="68">I143</f>
        <v>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822" t="s">
        <v>17</v>
      </c>
      <c r="E132" s="148"/>
      <c r="F132" s="148"/>
      <c r="G132" s="151"/>
      <c r="H132" s="152" t="s">
        <v>12</v>
      </c>
      <c r="I132" s="419"/>
      <c r="J132" s="419"/>
      <c r="K132" s="154"/>
      <c r="L132" s="155">
        <f t="shared" ref="L132:N132" ca="1" si="69">L133+L134</f>
        <v>0</v>
      </c>
      <c r="M132" s="155">
        <f t="shared" ca="1" si="69"/>
        <v>0</v>
      </c>
      <c r="N132" s="155">
        <f t="shared" ca="1" si="69"/>
        <v>0</v>
      </c>
      <c r="O132" s="155">
        <f t="shared" ref="O132:O140" ca="1" si="70">IF(L132&gt;0,N132*100/L132,0)</f>
        <v>0</v>
      </c>
      <c r="P132" s="155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2" t="s">
        <v>18</v>
      </c>
      <c r="F133" s="40"/>
      <c r="G133" s="157"/>
      <c r="H133" s="158" t="s">
        <v>12</v>
      </c>
      <c r="I133" s="610"/>
      <c r="J133" s="610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2" t="s">
        <v>19</v>
      </c>
      <c r="F134" s="40"/>
      <c r="G134" s="157"/>
      <c r="H134" s="158" t="s">
        <v>12</v>
      </c>
      <c r="I134" s="610"/>
      <c r="J134" s="610"/>
      <c r="K134" s="93"/>
      <c r="L134" s="93">
        <f t="shared" ca="1" si="72"/>
        <v>0</v>
      </c>
      <c r="M134" s="93">
        <f t="shared" ca="1" si="72"/>
        <v>0</v>
      </c>
      <c r="N134" s="93">
        <f t="shared" ca="1" si="72"/>
        <v>0</v>
      </c>
      <c r="O134" s="93">
        <f t="shared" ca="1" si="70"/>
        <v>0</v>
      </c>
      <c r="P134" s="93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1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6">
        <f t="shared" ref="L135:N135" ca="1" si="73">L136+L137</f>
        <v>0</v>
      </c>
      <c r="M135" s="496">
        <f t="shared" ca="1" si="73"/>
        <v>0</v>
      </c>
      <c r="N135" s="496">
        <f t="shared" ca="1" si="73"/>
        <v>0</v>
      </c>
      <c r="O135" s="496">
        <f t="shared" ca="1" si="70"/>
        <v>0</v>
      </c>
      <c r="P135" s="496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2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2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IFERROR(__xludf.DUMMYFUNCTION("IMPORTRANGE(""https://docs.google.com/spreadsheets/d/1MeEWN-I1oV_STSDYn1IFDPWt_1FKiwhDph83XaGc0o0/edit?usp=sharing"",""งบพรบ!BK73"")"),0)</f>
        <v>0</v>
      </c>
      <c r="M137" s="93">
        <f ca="1">IFERROR(__xludf.DUMMYFUNCTION("IMPORTRANGE(""https://docs.google.com/spreadsheets/d/1MeEWN-I1oV_STSDYn1IFDPWt_1FKiwhDph83XaGc0o0/edit?usp=sharing"",""งบพรบ!BP73"")"),0)</f>
        <v>0</v>
      </c>
      <c r="N137" s="93">
        <f ca="1">IFERROR(__xludf.DUMMYFUNCTION("IMPORTRANGE(""https://docs.google.com/spreadsheets/d/1MeEWN-I1oV_STSDYn1IFDPWt_1FKiwhDph83XaGc0o0/edit?usp=sharing"",""งบพรบ!BR73"")"),0)</f>
        <v>0</v>
      </c>
      <c r="O137" s="93">
        <f t="shared" ca="1" si="70"/>
        <v>0</v>
      </c>
      <c r="P137" s="93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1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6">
        <f t="shared" ref="L138:N138" ca="1" si="74">L139+L140</f>
        <v>0</v>
      </c>
      <c r="M138" s="496">
        <f t="shared" ca="1" si="74"/>
        <v>0</v>
      </c>
      <c r="N138" s="496">
        <f t="shared" ca="1" si="74"/>
        <v>0</v>
      </c>
      <c r="O138" s="496">
        <f t="shared" ca="1" si="70"/>
        <v>0</v>
      </c>
      <c r="P138" s="496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2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2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IFERROR(__xludf.DUMMYFUNCTION("IMPORTRANGE(""https://docs.google.com/spreadsheets/d/1MeEWN-I1oV_STSDYn1IFDPWt_1FKiwhDph83XaGc0o0/edit?usp=sharing"",""งบพรบ!BN73"")"),0)</f>
        <v>0</v>
      </c>
      <c r="M140" s="93">
        <f ca="1">IFERROR(__xludf.DUMMYFUNCTION("IMPORTRANGE(""https://docs.google.com/spreadsheets/d/1MeEWN-I1oV_STSDYn1IFDPWt_1FKiwhDph83XaGc0o0/edit?usp=sharing"",""งบพรบ!BQ73"")"),0)</f>
        <v>0</v>
      </c>
      <c r="N140" s="93">
        <f ca="1">IFERROR(__xludf.DUMMYFUNCTION("IMPORTRANGE(""https://docs.google.com/spreadsheets/d/1MeEWN-I1oV_STSDYn1IFDPWt_1FKiwhDph83XaGc0o0/edit?usp=sharing"",""งบพรบ!BS73"")"),0)</f>
        <v>0</v>
      </c>
      <c r="O140" s="93">
        <f t="shared" ca="1" si="70"/>
        <v>0</v>
      </c>
      <c r="P140" s="93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823" t="s">
        <v>38</v>
      </c>
      <c r="E141" s="173"/>
      <c r="F141" s="173"/>
      <c r="G141" s="174"/>
      <c r="H141" s="168"/>
      <c r="I141" s="269"/>
      <c r="J141" s="269"/>
      <c r="K141" s="496"/>
      <c r="L141" s="496"/>
      <c r="M141" s="496"/>
      <c r="N141" s="496"/>
      <c r="O141" s="496"/>
      <c r="P141" s="496"/>
    </row>
    <row r="142" spans="1:26" ht="19.5" hidden="1">
      <c r="A142" s="159"/>
      <c r="B142" s="33"/>
      <c r="C142" s="210"/>
      <c r="D142" s="281" t="s">
        <v>71</v>
      </c>
      <c r="E142" s="34"/>
      <c r="F142" s="33"/>
      <c r="G142" s="213"/>
      <c r="H142" s="168"/>
      <c r="I142" s="269"/>
      <c r="J142" s="214">
        <v>0</v>
      </c>
      <c r="K142" s="496"/>
      <c r="L142" s="496"/>
      <c r="M142" s="496"/>
      <c r="N142" s="496"/>
      <c r="O142" s="496"/>
      <c r="P142" s="496"/>
    </row>
    <row r="143" spans="1:26" ht="19.5" hidden="1">
      <c r="A143" s="159"/>
      <c r="B143" s="33"/>
      <c r="C143" s="210"/>
      <c r="D143" s="281" t="s">
        <v>72</v>
      </c>
      <c r="E143" s="34"/>
      <c r="F143" s="33"/>
      <c r="G143" s="213"/>
      <c r="H143" s="168" t="s">
        <v>35</v>
      </c>
      <c r="I143" s="269">
        <f ca="1">I145</f>
        <v>0</v>
      </c>
      <c r="J143" s="269">
        <f ca="1">IF(AND(J144&gt;=I144,J145&gt;=I145),J145,0)</f>
        <v>0</v>
      </c>
      <c r="K143" s="496">
        <f t="shared" ref="K143:K146" ca="1" si="75">IF(I143&gt;0,J143*100/I143,0)</f>
        <v>0</v>
      </c>
      <c r="L143" s="496"/>
      <c r="M143" s="496"/>
      <c r="N143" s="496"/>
      <c r="O143" s="496"/>
      <c r="P143" s="496"/>
    </row>
    <row r="144" spans="1:26" ht="19.5" hidden="1">
      <c r="A144" s="159"/>
      <c r="B144" s="33"/>
      <c r="C144" s="210"/>
      <c r="D144" s="178"/>
      <c r="E144" s="281" t="s">
        <v>73</v>
      </c>
      <c r="F144" s="33"/>
      <c r="G144" s="213"/>
      <c r="H144" s="168" t="s">
        <v>35</v>
      </c>
      <c r="I144" s="269">
        <f ca="1">IFERROR(__xludf.DUMMYFUNCTION("IMPORTRANGE(""https://docs.google.com/spreadsheets/d/1QqKyyYR6Q21VydFLVH3TRQUabQu_ym0Zz7PgGX0-kHA/edit?usp=sharing"",""แผน!U73"")"),0)</f>
        <v>0</v>
      </c>
      <c r="J144" s="214">
        <v>0</v>
      </c>
      <c r="K144" s="496">
        <f t="shared" ca="1" si="75"/>
        <v>0</v>
      </c>
      <c r="L144" s="496"/>
      <c r="M144" s="496"/>
      <c r="N144" s="496"/>
      <c r="O144" s="496"/>
      <c r="P144" s="496"/>
    </row>
    <row r="145" spans="1:26" ht="19.5" hidden="1">
      <c r="A145" s="159"/>
      <c r="B145" s="33"/>
      <c r="C145" s="210"/>
      <c r="D145" s="178"/>
      <c r="E145" s="281" t="s">
        <v>74</v>
      </c>
      <c r="F145" s="33"/>
      <c r="G145" s="213"/>
      <c r="H145" s="168" t="s">
        <v>35</v>
      </c>
      <c r="I145" s="269">
        <f ca="1">IFERROR(__xludf.DUMMYFUNCTION("IMPORTRANGE(""https://docs.google.com/spreadsheets/d/1QqKyyYR6Q21VydFLVH3TRQUabQu_ym0Zz7PgGX0-kHA/edit?usp=sharing"",""แผน!V73"")"),0)</f>
        <v>0</v>
      </c>
      <c r="J145" s="214">
        <v>0</v>
      </c>
      <c r="K145" s="496">
        <f t="shared" ca="1" si="75"/>
        <v>0</v>
      </c>
      <c r="L145" s="496"/>
      <c r="M145" s="496"/>
      <c r="N145" s="496"/>
      <c r="O145" s="496"/>
      <c r="P145" s="496"/>
    </row>
    <row r="146" spans="1:26" ht="19.5" hidden="1">
      <c r="A146" s="159"/>
      <c r="B146" s="33"/>
      <c r="C146" s="210"/>
      <c r="D146" s="281" t="s">
        <v>75</v>
      </c>
      <c r="E146" s="34"/>
      <c r="F146" s="33"/>
      <c r="G146" s="213"/>
      <c r="H146" s="168" t="s">
        <v>69</v>
      </c>
      <c r="I146" s="269">
        <f ca="1">IFERROR(__xludf.DUMMYFUNCTION("IMPORTRANGE(""https://docs.google.com/spreadsheets/d/1QqKyyYR6Q21VydFLVH3TRQUabQu_ym0Zz7PgGX0-kHA/edit?usp=sharing"",""แผน!W73"")"),0)</f>
        <v>0</v>
      </c>
      <c r="J146" s="214">
        <v>0</v>
      </c>
      <c r="K146" s="496">
        <f t="shared" ca="1" si="75"/>
        <v>0</v>
      </c>
      <c r="L146" s="496"/>
      <c r="M146" s="496"/>
      <c r="N146" s="496"/>
      <c r="O146" s="496"/>
      <c r="P146" s="496"/>
    </row>
    <row r="147" spans="1:26" ht="19.5" hidden="1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 hidden="1">
      <c r="A148" s="216"/>
      <c r="B148" s="208" t="s">
        <v>77</v>
      </c>
      <c r="C148" s="208"/>
      <c r="D148" s="208"/>
      <c r="E148" s="824"/>
      <c r="F148" s="218"/>
      <c r="G148" s="219"/>
      <c r="H148" s="220" t="s">
        <v>35</v>
      </c>
      <c r="I148" s="144">
        <f t="shared" ref="I148:J148" ca="1" si="76">I159</f>
        <v>0</v>
      </c>
      <c r="J148" s="144">
        <f t="shared" si="76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1"/>
      <c r="R148" s="221"/>
      <c r="S148" s="221"/>
      <c r="T148" s="221"/>
      <c r="U148" s="221"/>
      <c r="V148" s="221"/>
      <c r="W148" s="221"/>
      <c r="X148" s="221"/>
      <c r="Y148" s="221"/>
      <c r="Z148" s="221"/>
    </row>
    <row r="149" spans="1:26" ht="19.5" hidden="1">
      <c r="A149" s="147"/>
      <c r="B149" s="148"/>
      <c r="C149" s="149" t="s">
        <v>16</v>
      </c>
      <c r="D149" s="822" t="s">
        <v>17</v>
      </c>
      <c r="E149" s="148"/>
      <c r="F149" s="148"/>
      <c r="G149" s="151"/>
      <c r="H149" s="152" t="s">
        <v>12</v>
      </c>
      <c r="I149" s="419"/>
      <c r="J149" s="419"/>
      <c r="K149" s="154"/>
      <c r="L149" s="155">
        <f t="shared" ref="L149:N149" ca="1" si="77">L150+L151</f>
        <v>0</v>
      </c>
      <c r="M149" s="155">
        <f t="shared" ca="1" si="77"/>
        <v>0</v>
      </c>
      <c r="N149" s="155">
        <f t="shared" ca="1" si="77"/>
        <v>0</v>
      </c>
      <c r="O149" s="155">
        <f t="shared" ref="O149:O157" ca="1" si="78">IF(L149&gt;0,N149*100/L149,0)</f>
        <v>0</v>
      </c>
      <c r="P149" s="155">
        <f t="shared" ref="P149:P157" ca="1" si="79">IF(M149&gt;0,N149*100/M149,0)</f>
        <v>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2" t="s">
        <v>18</v>
      </c>
      <c r="F150" s="40"/>
      <c r="G150" s="157"/>
      <c r="H150" s="158" t="s">
        <v>12</v>
      </c>
      <c r="I150" s="610"/>
      <c r="J150" s="610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2" t="s">
        <v>19</v>
      </c>
      <c r="F151" s="40"/>
      <c r="G151" s="157"/>
      <c r="H151" s="158" t="s">
        <v>12</v>
      </c>
      <c r="I151" s="610"/>
      <c r="J151" s="610"/>
      <c r="K151" s="93"/>
      <c r="L151" s="93">
        <f t="shared" ca="1" si="80"/>
        <v>0</v>
      </c>
      <c r="M151" s="93">
        <f t="shared" ca="1" si="80"/>
        <v>0</v>
      </c>
      <c r="N151" s="93">
        <f t="shared" ca="1" si="80"/>
        <v>0</v>
      </c>
      <c r="O151" s="93">
        <f t="shared" ca="1" si="78"/>
        <v>0</v>
      </c>
      <c r="P151" s="93">
        <f t="shared" ca="1" si="79"/>
        <v>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 hidden="1">
      <c r="A152" s="159"/>
      <c r="B152" s="33"/>
      <c r="C152" s="281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6">
        <f t="shared" ref="L152:N152" ca="1" si="81">L153+L154</f>
        <v>0</v>
      </c>
      <c r="M152" s="496">
        <f t="shared" ca="1" si="81"/>
        <v>0</v>
      </c>
      <c r="N152" s="496">
        <f t="shared" ca="1" si="81"/>
        <v>0</v>
      </c>
      <c r="O152" s="496">
        <f t="shared" ca="1" si="78"/>
        <v>0</v>
      </c>
      <c r="P152" s="496">
        <f t="shared" ca="1" si="79"/>
        <v>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2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2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IFERROR(__xludf.DUMMYFUNCTION("IMPORTRANGE(""https://docs.google.com/spreadsheets/d/1MeEWN-I1oV_STSDYn1IFDPWt_1FKiwhDph83XaGc0o0/edit?usp=sharing"",""งบพรบ!BU73"")"),0)</f>
        <v>0</v>
      </c>
      <c r="M154" s="93">
        <f ca="1">IFERROR(__xludf.DUMMYFUNCTION("IMPORTRANGE(""https://docs.google.com/spreadsheets/d/1MeEWN-I1oV_STSDYn1IFDPWt_1FKiwhDph83XaGc0o0/edit?usp=sharing"",""งบพรบ!BZ73"")"),0)</f>
        <v>0</v>
      </c>
      <c r="N154" s="93">
        <f ca="1">IFERROR(__xludf.DUMMYFUNCTION("IMPORTRANGE(""https://docs.google.com/spreadsheets/d/1MeEWN-I1oV_STSDYn1IFDPWt_1FKiwhDph83XaGc0o0/edit?usp=sharing"",""งบพรบ!CB73"")"),0)</f>
        <v>0</v>
      </c>
      <c r="O154" s="93">
        <f t="shared" ca="1" si="78"/>
        <v>0</v>
      </c>
      <c r="P154" s="93">
        <f t="shared" ca="1" si="79"/>
        <v>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 hidden="1">
      <c r="A155" s="159"/>
      <c r="B155" s="33"/>
      <c r="C155" s="281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6">
        <f t="shared" ref="L155:N155" ca="1" si="82">L156+L157</f>
        <v>0</v>
      </c>
      <c r="M155" s="496">
        <f t="shared" ca="1" si="82"/>
        <v>0</v>
      </c>
      <c r="N155" s="496">
        <f t="shared" ca="1" si="82"/>
        <v>0</v>
      </c>
      <c r="O155" s="496">
        <f t="shared" ca="1" si="78"/>
        <v>0</v>
      </c>
      <c r="P155" s="496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2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2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IFERROR(__xludf.DUMMYFUNCTION("IMPORTRANGE(""https://docs.google.com/spreadsheets/d/1MeEWN-I1oV_STSDYn1IFDPWt_1FKiwhDph83XaGc0o0/edit?usp=sharing"",""งบพรบ!BX73"")"),0)</f>
        <v>0</v>
      </c>
      <c r="M157" s="93">
        <f ca="1">IFERROR(__xludf.DUMMYFUNCTION("IMPORTRANGE(""https://docs.google.com/spreadsheets/d/1MeEWN-I1oV_STSDYn1IFDPWt_1FKiwhDph83XaGc0o0/edit?usp=sharing"",""งบพรบ!CA73"")"),0)</f>
        <v>0</v>
      </c>
      <c r="N157" s="93">
        <f ca="1">IFERROR(__xludf.DUMMYFUNCTION("IMPORTRANGE(""https://docs.google.com/spreadsheets/d/1MeEWN-I1oV_STSDYn1IFDPWt_1FKiwhDph83XaGc0o0/edit?usp=sharing"",""งบพรบ!CC73"")"),0)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 hidden="1">
      <c r="A158" s="170"/>
      <c r="B158" s="171"/>
      <c r="C158" s="164" t="s">
        <v>16</v>
      </c>
      <c r="D158" s="823" t="s">
        <v>38</v>
      </c>
      <c r="E158" s="173"/>
      <c r="F158" s="173"/>
      <c r="G158" s="174"/>
      <c r="H158" s="168"/>
      <c r="I158" s="269"/>
      <c r="J158" s="269"/>
      <c r="K158" s="496"/>
      <c r="L158" s="496"/>
      <c r="M158" s="496"/>
      <c r="N158" s="496"/>
      <c r="O158" s="496"/>
      <c r="P158" s="496"/>
    </row>
    <row r="159" spans="1:26" ht="19.5" hidden="1">
      <c r="A159" s="159"/>
      <c r="B159" s="33"/>
      <c r="C159" s="210"/>
      <c r="D159" s="281" t="s">
        <v>78</v>
      </c>
      <c r="E159" s="34"/>
      <c r="F159" s="33"/>
      <c r="G159" s="213"/>
      <c r="H159" s="168" t="s">
        <v>35</v>
      </c>
      <c r="I159" s="269">
        <f ca="1">IFERROR(__xludf.DUMMYFUNCTION("IMPORTRANGE(""https://docs.google.com/spreadsheets/d/1QqKyyYR6Q21VydFLVH3TRQUabQu_ym0Zz7PgGX0-kHA/edit?usp=sharing"",""แผน!X73"")"),0)</f>
        <v>0</v>
      </c>
      <c r="J159" s="214">
        <v>0</v>
      </c>
      <c r="K159" s="496">
        <f ca="1">IF(I159&gt;0,J159*100/I159,0)</f>
        <v>0</v>
      </c>
      <c r="L159" s="496"/>
      <c r="M159" s="496"/>
      <c r="N159" s="496"/>
      <c r="O159" s="496"/>
      <c r="P159" s="496"/>
    </row>
    <row r="160" spans="1:26" ht="19.5" hidden="1">
      <c r="A160" s="156"/>
      <c r="B160" s="40"/>
      <c r="C160" s="164"/>
      <c r="D160" s="222" t="s">
        <v>79</v>
      </c>
      <c r="E160" s="223"/>
      <c r="F160" s="40"/>
      <c r="G160" s="157"/>
      <c r="H160" s="169" t="s">
        <v>35</v>
      </c>
      <c r="I160" s="610"/>
      <c r="J160" s="610"/>
      <c r="K160" s="93"/>
      <c r="L160" s="93"/>
      <c r="M160" s="93"/>
      <c r="N160" s="93"/>
      <c r="O160" s="93"/>
      <c r="P160" s="93"/>
      <c r="Q160" s="224"/>
      <c r="R160" s="224"/>
      <c r="S160" s="224"/>
      <c r="T160" s="224"/>
      <c r="U160" s="224"/>
      <c r="V160" s="224"/>
      <c r="W160" s="224"/>
      <c r="X160" s="224"/>
      <c r="Y160" s="224"/>
      <c r="Z160" s="224"/>
    </row>
    <row r="161" spans="1:26" ht="19.5" hidden="1">
      <c r="A161" s="225"/>
      <c r="B161" s="226"/>
      <c r="C161" s="227"/>
      <c r="D161" s="228" t="s">
        <v>80</v>
      </c>
      <c r="E161" s="825"/>
      <c r="F161" s="226"/>
      <c r="G161" s="230"/>
      <c r="H161" s="231" t="s">
        <v>35</v>
      </c>
      <c r="I161" s="232"/>
      <c r="J161" s="232"/>
      <c r="K161" s="233"/>
      <c r="L161" s="233"/>
      <c r="M161" s="233"/>
      <c r="N161" s="233"/>
      <c r="O161" s="233"/>
      <c r="P161" s="233"/>
      <c r="Q161" s="224"/>
      <c r="R161" s="224"/>
      <c r="S161" s="224"/>
      <c r="T161" s="224"/>
      <c r="U161" s="224"/>
      <c r="V161" s="224"/>
      <c r="W161" s="224"/>
      <c r="X161" s="224"/>
      <c r="Y161" s="224"/>
      <c r="Z161" s="224"/>
    </row>
    <row r="162" spans="1:26" ht="19.5">
      <c r="A162" s="234" t="s">
        <v>81</v>
      </c>
      <c r="B162" s="235"/>
      <c r="C162" s="235"/>
      <c r="D162" s="235"/>
      <c r="E162" s="236"/>
      <c r="F162" s="236"/>
      <c r="G162" s="237"/>
      <c r="H162" s="238"/>
      <c r="I162" s="239"/>
      <c r="J162" s="239"/>
      <c r="K162" s="240"/>
      <c r="L162" s="240"/>
      <c r="M162" s="240"/>
      <c r="N162" s="240"/>
      <c r="O162" s="240"/>
      <c r="P162" s="240"/>
    </row>
    <row r="163" spans="1:26" ht="19.5">
      <c r="A163" s="241" t="s">
        <v>82</v>
      </c>
      <c r="B163" s="242"/>
      <c r="C163" s="242"/>
      <c r="D163" s="243"/>
      <c r="E163" s="243"/>
      <c r="F163" s="243"/>
      <c r="G163" s="244"/>
      <c r="H163" s="245"/>
      <c r="I163" s="246"/>
      <c r="J163" s="246"/>
      <c r="K163" s="247"/>
      <c r="L163" s="247"/>
      <c r="M163" s="247"/>
      <c r="N163" s="247"/>
      <c r="O163" s="247"/>
      <c r="P163" s="247"/>
    </row>
    <row r="164" spans="1:26" ht="19.5" hidden="1">
      <c r="A164" s="248"/>
      <c r="B164" s="249" t="s">
        <v>83</v>
      </c>
      <c r="C164" s="250"/>
      <c r="D164" s="173"/>
      <c r="E164" s="173"/>
      <c r="F164" s="173"/>
      <c r="G164" s="174"/>
      <c r="H164" s="251" t="s">
        <v>35</v>
      </c>
      <c r="I164" s="843">
        <f t="shared" ref="I164:J164" ca="1" si="83">I174+I177</f>
        <v>0</v>
      </c>
      <c r="J164" s="843">
        <f t="shared" si="83"/>
        <v>0</v>
      </c>
      <c r="K164" s="254">
        <f ca="1">IF(I164&gt;0,J164*100/I164,0)</f>
        <v>0</v>
      </c>
      <c r="L164" s="254"/>
      <c r="M164" s="254"/>
      <c r="N164" s="254"/>
      <c r="O164" s="254"/>
      <c r="P164" s="254"/>
    </row>
    <row r="165" spans="1:26" ht="19.5" hidden="1">
      <c r="A165" s="147"/>
      <c r="B165" s="148"/>
      <c r="C165" s="149" t="s">
        <v>16</v>
      </c>
      <c r="D165" s="822" t="s">
        <v>17</v>
      </c>
      <c r="E165" s="148"/>
      <c r="F165" s="148"/>
      <c r="G165" s="151"/>
      <c r="H165" s="152" t="s">
        <v>12</v>
      </c>
      <c r="I165" s="419"/>
      <c r="J165" s="419"/>
      <c r="K165" s="154"/>
      <c r="L165" s="154">
        <f t="shared" ref="L165:N165" ca="1" si="84">L166+L167</f>
        <v>0</v>
      </c>
      <c r="M165" s="154">
        <f t="shared" ca="1" si="84"/>
        <v>0</v>
      </c>
      <c r="N165" s="154">
        <f t="shared" ca="1" si="84"/>
        <v>0</v>
      </c>
      <c r="O165" s="154">
        <f t="shared" ref="O165:O173" ca="1" si="85">IF(L165&gt;0,N165*100/L165,0)</f>
        <v>0</v>
      </c>
      <c r="P165" s="154">
        <f t="shared" ref="P165:P173" ca="1" si="86">IF(M165&gt;0,N165*100/M165,0)</f>
        <v>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2" t="s">
        <v>18</v>
      </c>
      <c r="F166" s="40"/>
      <c r="G166" s="157"/>
      <c r="H166" s="158" t="s">
        <v>12</v>
      </c>
      <c r="I166" s="610"/>
      <c r="J166" s="610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2" t="s">
        <v>19</v>
      </c>
      <c r="F167" s="40"/>
      <c r="G167" s="157"/>
      <c r="H167" s="158" t="s">
        <v>12</v>
      </c>
      <c r="I167" s="610"/>
      <c r="J167" s="610"/>
      <c r="K167" s="93"/>
      <c r="L167" s="93">
        <f t="shared" ca="1" si="87"/>
        <v>0</v>
      </c>
      <c r="M167" s="93">
        <f t="shared" ca="1" si="87"/>
        <v>0</v>
      </c>
      <c r="N167" s="93">
        <f t="shared" ca="1" si="87"/>
        <v>0</v>
      </c>
      <c r="O167" s="93">
        <f t="shared" ca="1" si="85"/>
        <v>0</v>
      </c>
      <c r="P167" s="93">
        <f t="shared" ca="1" si="86"/>
        <v>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 hidden="1">
      <c r="A168" s="159"/>
      <c r="B168" s="33"/>
      <c r="C168" s="281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6">
        <f t="shared" ref="L168:N168" ca="1" si="88">L169+L170</f>
        <v>0</v>
      </c>
      <c r="M168" s="496">
        <f t="shared" ca="1" si="88"/>
        <v>0</v>
      </c>
      <c r="N168" s="496">
        <f t="shared" ca="1" si="88"/>
        <v>0</v>
      </c>
      <c r="O168" s="496">
        <f t="shared" ca="1" si="85"/>
        <v>0</v>
      </c>
      <c r="P168" s="496">
        <f t="shared" ca="1" si="86"/>
        <v>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2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2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IFERROR(__xludf.DUMMYFUNCTION("IMPORTRANGE(""https://docs.google.com/spreadsheets/d/1MeEWN-I1oV_STSDYn1IFDPWt_1FKiwhDph83XaGc0o0/edit?usp=sharing"",""งบพรบ!CE73"")"),0)</f>
        <v>0</v>
      </c>
      <c r="M170" s="93">
        <f ca="1">IFERROR(__xludf.DUMMYFUNCTION("IMPORTRANGE(""https://docs.google.com/spreadsheets/d/1MeEWN-I1oV_STSDYn1IFDPWt_1FKiwhDph83XaGc0o0/edit?usp=sharing"",""งบพรบ!CJ73"")"),0)</f>
        <v>0</v>
      </c>
      <c r="N170" s="93">
        <f ca="1">IFERROR(__xludf.DUMMYFUNCTION("IMPORTRANGE(""https://docs.google.com/spreadsheets/d/1MeEWN-I1oV_STSDYn1IFDPWt_1FKiwhDph83XaGc0o0/edit?usp=sharing"",""งบพรบ!CL73"")"),0)</f>
        <v>0</v>
      </c>
      <c r="O170" s="93">
        <f t="shared" ca="1" si="85"/>
        <v>0</v>
      </c>
      <c r="P170" s="93">
        <f t="shared" ca="1" si="86"/>
        <v>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 hidden="1">
      <c r="A171" s="159"/>
      <c r="B171" s="33"/>
      <c r="C171" s="281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6">
        <f t="shared" ref="L171:N171" ca="1" si="89">L172+L173</f>
        <v>0</v>
      </c>
      <c r="M171" s="496">
        <f t="shared" ca="1" si="89"/>
        <v>0</v>
      </c>
      <c r="N171" s="496">
        <f t="shared" ca="1" si="89"/>
        <v>0</v>
      </c>
      <c r="O171" s="496">
        <f t="shared" ca="1" si="85"/>
        <v>0</v>
      </c>
      <c r="P171" s="496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2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2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IFERROR(__xludf.DUMMYFUNCTION("IMPORTRANGE(""https://docs.google.com/spreadsheets/d/1MeEWN-I1oV_STSDYn1IFDPWt_1FKiwhDph83XaGc0o0/edit?usp=sharing"",""งบพรบ!CH73"")"),0)</f>
        <v>0</v>
      </c>
      <c r="M173" s="93">
        <f ca="1">IFERROR(__xludf.DUMMYFUNCTION("IMPORTRANGE(""https://docs.google.com/spreadsheets/d/1MeEWN-I1oV_STSDYn1IFDPWt_1FKiwhDph83XaGc0o0/edit?usp=sharing"",""งบพรบ!CK73"")"),0)</f>
        <v>0</v>
      </c>
      <c r="N173" s="93">
        <f ca="1">IFERROR(__xludf.DUMMYFUNCTION("IMPORTRANGE(""https://docs.google.com/spreadsheets/d/1MeEWN-I1oV_STSDYn1IFDPWt_1FKiwhDph83XaGc0o0/edit?usp=sharing"",""งบพรบ!CM73"")"),0)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 hidden="1">
      <c r="A174" s="255"/>
      <c r="B174" s="256"/>
      <c r="C174" s="257" t="s">
        <v>84</v>
      </c>
      <c r="D174" s="256"/>
      <c r="E174" s="256"/>
      <c r="F174" s="256"/>
      <c r="G174" s="258"/>
      <c r="H174" s="259" t="s">
        <v>35</v>
      </c>
      <c r="I174" s="260">
        <f t="shared" ref="I174:J174" ca="1" si="90">I176</f>
        <v>0</v>
      </c>
      <c r="J174" s="260">
        <f t="shared" si="90"/>
        <v>0</v>
      </c>
      <c r="K174" s="261">
        <f ca="1">IF(I174&gt;0,J174*100/I174,0)</f>
        <v>0</v>
      </c>
      <c r="L174" s="261"/>
      <c r="M174" s="261"/>
      <c r="N174" s="261"/>
      <c r="O174" s="261"/>
      <c r="P174" s="261"/>
    </row>
    <row r="175" spans="1:26" ht="19.5" hidden="1">
      <c r="A175" s="170"/>
      <c r="B175" s="171"/>
      <c r="C175" s="164" t="s">
        <v>16</v>
      </c>
      <c r="D175" s="823" t="s">
        <v>38</v>
      </c>
      <c r="E175" s="173"/>
      <c r="F175" s="173"/>
      <c r="G175" s="174"/>
      <c r="H175" s="753"/>
      <c r="I175" s="184"/>
      <c r="J175" s="184"/>
      <c r="K175" s="163"/>
      <c r="L175" s="163"/>
      <c r="M175" s="163"/>
      <c r="N175" s="163"/>
      <c r="O175" s="163"/>
      <c r="P175" s="163"/>
    </row>
    <row r="176" spans="1:26" ht="18.75" hidden="1">
      <c r="A176" s="170"/>
      <c r="B176" s="171"/>
      <c r="C176" s="171"/>
      <c r="D176" s="737" t="s">
        <v>85</v>
      </c>
      <c r="E176" s="178"/>
      <c r="F176" s="178"/>
      <c r="G176" s="179"/>
      <c r="H176" s="616" t="s">
        <v>35</v>
      </c>
      <c r="I176" s="269">
        <f ca="1">IFERROR(__xludf.DUMMYFUNCTION("IMPORTRANGE(""https://docs.google.com/spreadsheets/d/1QqKyyYR6Q21VydFLVH3TRQUabQu_ym0Zz7PgGX0-kHA/edit?usp=sharing"",""แผน!Y73"")"),0)</f>
        <v>0</v>
      </c>
      <c r="J176" s="214">
        <v>0</v>
      </c>
      <c r="K176" s="163">
        <f ca="1">IF(I176&gt;0,J176*100/I176,0)</f>
        <v>0</v>
      </c>
      <c r="L176" s="163"/>
      <c r="M176" s="163"/>
      <c r="N176" s="163"/>
      <c r="O176" s="163"/>
      <c r="P176" s="163"/>
    </row>
    <row r="177" spans="1:26" ht="19.5" hidden="1">
      <c r="A177" s="255"/>
      <c r="B177" s="263"/>
      <c r="C177" s="264" t="s">
        <v>86</v>
      </c>
      <c r="D177" s="263"/>
      <c r="E177" s="256"/>
      <c r="F177" s="256"/>
      <c r="G177" s="258"/>
      <c r="H177" s="265" t="s">
        <v>35</v>
      </c>
      <c r="I177" s="260"/>
      <c r="J177" s="260">
        <f>J179</f>
        <v>0</v>
      </c>
      <c r="K177" s="261"/>
      <c r="L177" s="261"/>
      <c r="M177" s="261"/>
      <c r="N177" s="261"/>
      <c r="O177" s="261"/>
      <c r="P177" s="261"/>
    </row>
    <row r="178" spans="1:26" ht="19.5" hidden="1">
      <c r="A178" s="170"/>
      <c r="B178" s="171"/>
      <c r="C178" s="164" t="s">
        <v>16</v>
      </c>
      <c r="D178" s="266" t="s">
        <v>38</v>
      </c>
      <c r="E178" s="173"/>
      <c r="F178" s="173"/>
      <c r="G178" s="174"/>
      <c r="H178" s="753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3" t="s">
        <v>87</v>
      </c>
      <c r="E179" s="178"/>
      <c r="F179" s="366"/>
      <c r="G179" s="179"/>
      <c r="H179" s="43" t="s">
        <v>35</v>
      </c>
      <c r="I179" s="269"/>
      <c r="J179" s="269"/>
      <c r="K179" s="163"/>
      <c r="L179" s="163"/>
      <c r="M179" s="163"/>
      <c r="N179" s="163"/>
      <c r="O179" s="163"/>
      <c r="P179" s="163"/>
    </row>
    <row r="180" spans="1:26" ht="19.5">
      <c r="A180" s="248"/>
      <c r="B180" s="249" t="s">
        <v>88</v>
      </c>
      <c r="C180" s="250"/>
      <c r="D180" s="173"/>
      <c r="E180" s="173"/>
      <c r="F180" s="173"/>
      <c r="G180" s="174"/>
      <c r="H180" s="251" t="s">
        <v>35</v>
      </c>
      <c r="I180" s="252">
        <f t="shared" ref="I180:J180" ca="1" si="91">I225+I226</f>
        <v>0</v>
      </c>
      <c r="J180" s="252">
        <f t="shared" si="91"/>
        <v>0</v>
      </c>
      <c r="K180" s="253">
        <f ca="1">IF(I180&gt;0,J180*100/I180,0)</f>
        <v>0</v>
      </c>
      <c r="L180" s="254"/>
      <c r="M180" s="254"/>
      <c r="N180" s="254"/>
      <c r="O180" s="254"/>
      <c r="P180" s="254"/>
    </row>
    <row r="181" spans="1:26" ht="19.5">
      <c r="A181" s="147"/>
      <c r="B181" s="148"/>
      <c r="C181" s="149" t="s">
        <v>16</v>
      </c>
      <c r="D181" s="822" t="s">
        <v>17</v>
      </c>
      <c r="E181" s="148"/>
      <c r="F181" s="148"/>
      <c r="G181" s="151"/>
      <c r="H181" s="152" t="s">
        <v>12</v>
      </c>
      <c r="I181" s="419"/>
      <c r="J181" s="419"/>
      <c r="K181" s="154"/>
      <c r="L181" s="155">
        <f t="shared" ref="L181:N181" ca="1" si="92">L182+L183</f>
        <v>11900</v>
      </c>
      <c r="M181" s="155">
        <f t="shared" ca="1" si="92"/>
        <v>3000</v>
      </c>
      <c r="N181" s="155">
        <f t="shared" ca="1" si="92"/>
        <v>0</v>
      </c>
      <c r="O181" s="155">
        <f t="shared" ref="O181:O189" ca="1" si="93">IF(L181&gt;0,N181*100/L181,0)</f>
        <v>0</v>
      </c>
      <c r="P181" s="155">
        <f t="shared" ref="P181:P189" ca="1" si="94">IF(M181&gt;0,N181*100/M181,0)</f>
        <v>0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2" t="s">
        <v>18</v>
      </c>
      <c r="F182" s="40"/>
      <c r="G182" s="157"/>
      <c r="H182" s="158" t="s">
        <v>12</v>
      </c>
      <c r="I182" s="610"/>
      <c r="J182" s="610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2" t="s">
        <v>19</v>
      </c>
      <c r="F183" s="40"/>
      <c r="G183" s="157"/>
      <c r="H183" s="158" t="s">
        <v>12</v>
      </c>
      <c r="I183" s="610"/>
      <c r="J183" s="610"/>
      <c r="K183" s="93"/>
      <c r="L183" s="93">
        <f t="shared" ca="1" si="95"/>
        <v>11900</v>
      </c>
      <c r="M183" s="93">
        <f t="shared" ca="1" si="95"/>
        <v>3000</v>
      </c>
      <c r="N183" s="93">
        <f t="shared" ca="1" si="95"/>
        <v>0</v>
      </c>
      <c r="O183" s="93">
        <f t="shared" ca="1" si="93"/>
        <v>0</v>
      </c>
      <c r="P183" s="93">
        <f t="shared" ca="1" si="94"/>
        <v>0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1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6">
        <f t="shared" ref="L184:N184" ca="1" si="96">L185+L186</f>
        <v>11900</v>
      </c>
      <c r="M184" s="496">
        <f t="shared" ca="1" si="96"/>
        <v>3000</v>
      </c>
      <c r="N184" s="496">
        <f t="shared" ca="1" si="96"/>
        <v>0</v>
      </c>
      <c r="O184" s="496">
        <f t="shared" ca="1" si="93"/>
        <v>0</v>
      </c>
      <c r="P184" s="496">
        <f t="shared" ca="1" si="94"/>
        <v>0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2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2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IFERROR(__xludf.DUMMYFUNCTION("IMPORTRANGE(""https://docs.google.com/spreadsheets/d/1MeEWN-I1oV_STSDYn1IFDPWt_1FKiwhDph83XaGc0o0/edit?usp=sharing"",""งบพรบ!CO73"")"),11900)</f>
        <v>11900</v>
      </c>
      <c r="M186" s="93">
        <f ca="1">IFERROR(__xludf.DUMMYFUNCTION("IMPORTRANGE(""https://docs.google.com/spreadsheets/d/1MeEWN-I1oV_STSDYn1IFDPWt_1FKiwhDph83XaGc0o0/edit?usp=sharing"",""งบพรบ!CT73"")"),3000)</f>
        <v>3000</v>
      </c>
      <c r="N186" s="93">
        <f ca="1">IFERROR(__xludf.DUMMYFUNCTION("IMPORTRANGE(""https://docs.google.com/spreadsheets/d/1MeEWN-I1oV_STSDYn1IFDPWt_1FKiwhDph83XaGc0o0/edit?usp=sharing"",""งบพรบ!CV73"")"),0)</f>
        <v>0</v>
      </c>
      <c r="O186" s="93">
        <f t="shared" ca="1" si="93"/>
        <v>0</v>
      </c>
      <c r="P186" s="93">
        <f t="shared" ca="1" si="94"/>
        <v>0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1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6">
        <f t="shared" ref="L187:N187" ca="1" si="97">L188+L189</f>
        <v>0</v>
      </c>
      <c r="M187" s="496">
        <f t="shared" ca="1" si="97"/>
        <v>0</v>
      </c>
      <c r="N187" s="496">
        <f t="shared" ca="1" si="97"/>
        <v>0</v>
      </c>
      <c r="O187" s="496">
        <f t="shared" ca="1" si="93"/>
        <v>0</v>
      </c>
      <c r="P187" s="496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2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2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IFERROR(__xludf.DUMMYFUNCTION("IMPORTRANGE(""https://docs.google.com/spreadsheets/d/1MeEWN-I1oV_STSDYn1IFDPWt_1FKiwhDph83XaGc0o0/edit?usp=sharing"",""งบพรบ!CR73"")"),0)</f>
        <v>0</v>
      </c>
      <c r="M189" s="93">
        <f ca="1">IFERROR(__xludf.DUMMYFUNCTION("IMPORTRANGE(""https://docs.google.com/spreadsheets/d/1MeEWN-I1oV_STSDYn1IFDPWt_1FKiwhDph83XaGc0o0/edit?usp=sharing"",""งบพรบ!CU73"")"),0)</f>
        <v>0</v>
      </c>
      <c r="N189" s="93">
        <f ca="1">IFERROR(__xludf.DUMMYFUNCTION("IMPORTRANGE(""https://docs.google.com/spreadsheets/d/1MeEWN-I1oV_STSDYn1IFDPWt_1FKiwhDph83XaGc0o0/edit?usp=sharing"",""งบพรบ!CW73"")"),0)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5"/>
      <c r="B190" s="263"/>
      <c r="C190" s="270" t="s">
        <v>89</v>
      </c>
      <c r="D190" s="256"/>
      <c r="E190" s="256"/>
      <c r="F190" s="256"/>
      <c r="G190" s="258"/>
      <c r="H190" s="259" t="s">
        <v>90</v>
      </c>
      <c r="I190" s="271">
        <f t="shared" ref="I190:J190" ca="1" si="98">I193</f>
        <v>4</v>
      </c>
      <c r="J190" s="271">
        <f t="shared" si="98"/>
        <v>0</v>
      </c>
      <c r="K190" s="272">
        <f ca="1">IF(I190&gt;0,J190*100/I190,0)</f>
        <v>0</v>
      </c>
      <c r="L190" s="261"/>
      <c r="M190" s="261"/>
      <c r="N190" s="261"/>
      <c r="O190" s="261"/>
      <c r="P190" s="261"/>
    </row>
    <row r="191" spans="1:26" ht="19.5">
      <c r="A191" s="147"/>
      <c r="B191" s="148"/>
      <c r="C191" s="149" t="s">
        <v>16</v>
      </c>
      <c r="D191" s="826" t="s">
        <v>17</v>
      </c>
      <c r="E191" s="148"/>
      <c r="F191" s="148"/>
      <c r="G191" s="151"/>
      <c r="H191" s="274" t="s">
        <v>12</v>
      </c>
      <c r="I191" s="419"/>
      <c r="J191" s="419"/>
      <c r="K191" s="154"/>
      <c r="L191" s="155">
        <f ca="1">IFERROR(__xludf.DUMMYFUNCTION("IMPORTRANGE(""https://docs.google.com/spreadsheets/d/1QqKyyYR6Q21VydFLVH3TRQUabQu_ym0Zz7PgGX0-kHA/edit?usp=sharing"",""แผน!Z73"")"),6000)</f>
        <v>6000</v>
      </c>
      <c r="M191" s="155"/>
      <c r="N191" s="275">
        <v>0</v>
      </c>
      <c r="O191" s="155">
        <f ca="1">IF(L191&gt;0,N191*100/L191,0)</f>
        <v>0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0" t="s">
        <v>16</v>
      </c>
      <c r="D192" s="823" t="s">
        <v>38</v>
      </c>
      <c r="E192" s="173"/>
      <c r="F192" s="173"/>
      <c r="G192" s="174"/>
      <c r="H192" s="753"/>
      <c r="I192" s="269"/>
      <c r="J192" s="269"/>
      <c r="K192" s="496"/>
      <c r="L192" s="496"/>
      <c r="M192" s="496"/>
      <c r="N192" s="496"/>
      <c r="O192" s="496"/>
      <c r="P192" s="496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6" t="s">
        <v>91</v>
      </c>
      <c r="E193" s="178"/>
      <c r="F193" s="178"/>
      <c r="G193" s="179"/>
      <c r="H193" s="755" t="s">
        <v>90</v>
      </c>
      <c r="I193" s="269">
        <f ca="1">IFERROR(__xludf.DUMMYFUNCTION("IMPORTRANGE(""https://docs.google.com/spreadsheets/d/1QqKyyYR6Q21VydFLVH3TRQUabQu_ym0Zz7PgGX0-kHA/edit?usp=sharing"",""แผน!AC73"")"),4)</f>
        <v>4</v>
      </c>
      <c r="J193" s="214">
        <v>0</v>
      </c>
      <c r="K193" s="496">
        <f ca="1">IF(I193&gt;0,J193*100/I193,0)</f>
        <v>0</v>
      </c>
      <c r="L193" s="496"/>
      <c r="M193" s="496"/>
      <c r="N193" s="496"/>
      <c r="O193" s="496"/>
      <c r="P193" s="496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6" t="s">
        <v>92</v>
      </c>
      <c r="E194" s="178"/>
      <c r="F194" s="178"/>
      <c r="G194" s="179"/>
      <c r="H194" s="276" t="s">
        <v>35</v>
      </c>
      <c r="I194" s="269"/>
      <c r="J194" s="269">
        <f>J195+J196</f>
        <v>0</v>
      </c>
      <c r="K194" s="496"/>
      <c r="L194" s="496"/>
      <c r="M194" s="496"/>
      <c r="N194" s="496"/>
      <c r="O194" s="496"/>
      <c r="P194" s="496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6" t="s">
        <v>93</v>
      </c>
      <c r="F195" s="178"/>
      <c r="G195" s="179"/>
      <c r="H195" s="276" t="s">
        <v>35</v>
      </c>
      <c r="I195" s="269"/>
      <c r="J195" s="214">
        <v>0</v>
      </c>
      <c r="K195" s="496"/>
      <c r="L195" s="496"/>
      <c r="M195" s="496"/>
      <c r="N195" s="496"/>
      <c r="O195" s="496"/>
      <c r="P195" s="496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6" t="s">
        <v>94</v>
      </c>
      <c r="F196" s="178"/>
      <c r="G196" s="179"/>
      <c r="H196" s="276" t="s">
        <v>35</v>
      </c>
      <c r="I196" s="269"/>
      <c r="J196" s="214">
        <v>0</v>
      </c>
      <c r="K196" s="496"/>
      <c r="L196" s="496"/>
      <c r="M196" s="496"/>
      <c r="N196" s="496"/>
      <c r="O196" s="496"/>
      <c r="P196" s="496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 hidden="1">
      <c r="A197" s="255"/>
      <c r="B197" s="263"/>
      <c r="C197" s="270" t="s">
        <v>95</v>
      </c>
      <c r="D197" s="256"/>
      <c r="E197" s="256"/>
      <c r="F197" s="256"/>
      <c r="G197" s="258"/>
      <c r="H197" s="277" t="s">
        <v>96</v>
      </c>
      <c r="I197" s="271">
        <f t="shared" ref="I197:J197" ca="1" si="99">I204</f>
        <v>0</v>
      </c>
      <c r="J197" s="271">
        <f t="shared" si="99"/>
        <v>0</v>
      </c>
      <c r="K197" s="272">
        <f ca="1">IF(I197&gt;0,J197*100/I197,0)</f>
        <v>0</v>
      </c>
      <c r="L197" s="261"/>
      <c r="M197" s="261"/>
      <c r="N197" s="261"/>
      <c r="O197" s="261"/>
      <c r="P197" s="261"/>
    </row>
    <row r="198" spans="1:26" ht="19.5" hidden="1">
      <c r="A198" s="147"/>
      <c r="B198" s="148"/>
      <c r="C198" s="149" t="s">
        <v>16</v>
      </c>
      <c r="D198" s="826" t="s">
        <v>17</v>
      </c>
      <c r="E198" s="148"/>
      <c r="F198" s="148"/>
      <c r="G198" s="151"/>
      <c r="H198" s="274" t="s">
        <v>12</v>
      </c>
      <c r="I198" s="418"/>
      <c r="J198" s="418"/>
      <c r="K198" s="279"/>
      <c r="L198" s="155">
        <f ca="1">L199+L200+L201+L202</f>
        <v>0</v>
      </c>
      <c r="M198" s="155"/>
      <c r="N198" s="155">
        <f>N199+N200+N201+N202</f>
        <v>0</v>
      </c>
      <c r="O198" s="155">
        <f ca="1">IF(L198&gt;0,N198*100/L198,0)</f>
        <v>0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 hidden="1">
      <c r="A199" s="159"/>
      <c r="B199" s="280"/>
      <c r="C199" s="33"/>
      <c r="D199" s="281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6">
        <f ca="1">IFERROR(__xludf.DUMMYFUNCTION("IMPORTRANGE(""https://docs.google.com/spreadsheets/d/1QqKyyYR6Q21VydFLVH3TRQUabQu_ym0Zz7PgGX0-kHA/edit?usp=sharing"",""แผน!AE73"")"),0)</f>
        <v>0</v>
      </c>
      <c r="M199" s="496"/>
      <c r="N199" s="817">
        <v>0</v>
      </c>
      <c r="O199" s="496"/>
      <c r="P199" s="496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 hidden="1">
      <c r="A200" s="284"/>
      <c r="B200" s="280"/>
      <c r="C200" s="210"/>
      <c r="D200" s="281" t="s">
        <v>98</v>
      </c>
      <c r="E200" s="33"/>
      <c r="F200" s="33"/>
      <c r="G200" s="35"/>
      <c r="H200" s="616" t="s">
        <v>12</v>
      </c>
      <c r="I200" s="269"/>
      <c r="J200" s="269"/>
      <c r="K200" s="496"/>
      <c r="L200" s="496">
        <f ca="1">IFERROR(__xludf.DUMMYFUNCTION("IMPORTRANGE(""https://docs.google.com/spreadsheets/d/1QqKyyYR6Q21VydFLVH3TRQUabQu_ym0Zz7PgGX0-kHA/edit?usp=sharing"",""แผน!AF73"")"),0)</f>
        <v>0</v>
      </c>
      <c r="M200" s="496"/>
      <c r="N200" s="817">
        <v>0</v>
      </c>
      <c r="O200" s="496"/>
      <c r="P200" s="496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 hidden="1">
      <c r="A201" s="284"/>
      <c r="B201" s="280"/>
      <c r="C201" s="210"/>
      <c r="D201" s="281" t="s">
        <v>99</v>
      </c>
      <c r="E201" s="33"/>
      <c r="F201" s="33"/>
      <c r="G201" s="35"/>
      <c r="H201" s="616" t="s">
        <v>12</v>
      </c>
      <c r="I201" s="269"/>
      <c r="J201" s="269"/>
      <c r="K201" s="496"/>
      <c r="L201" s="496">
        <f ca="1">IFERROR(__xludf.DUMMYFUNCTION("IMPORTRANGE(""https://docs.google.com/spreadsheets/d/1QqKyyYR6Q21VydFLVH3TRQUabQu_ym0Zz7PgGX0-kHA/edit?usp=sharing"",""แผน!AG73"")"),0)</f>
        <v>0</v>
      </c>
      <c r="M201" s="496"/>
      <c r="N201" s="817">
        <v>0</v>
      </c>
      <c r="O201" s="496"/>
      <c r="P201" s="496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 hidden="1">
      <c r="A202" s="284"/>
      <c r="B202" s="280"/>
      <c r="C202" s="210"/>
      <c r="D202" s="281" t="s">
        <v>100</v>
      </c>
      <c r="E202" s="33"/>
      <c r="F202" s="33"/>
      <c r="G202" s="35"/>
      <c r="H202" s="616" t="s">
        <v>12</v>
      </c>
      <c r="I202" s="269"/>
      <c r="J202" s="269"/>
      <c r="K202" s="496"/>
      <c r="L202" s="496">
        <f ca="1">IFERROR(__xludf.DUMMYFUNCTION("IMPORTRANGE(""https://docs.google.com/spreadsheets/d/1QqKyyYR6Q21VydFLVH3TRQUabQu_ym0Zz7PgGX0-kHA/edit?usp=sharing"",""แผน!AH73"")"),0)</f>
        <v>0</v>
      </c>
      <c r="M202" s="496"/>
      <c r="N202" s="817">
        <v>0</v>
      </c>
      <c r="O202" s="496"/>
      <c r="P202" s="496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 hidden="1">
      <c r="A203" s="170"/>
      <c r="B203" s="171"/>
      <c r="C203" s="210" t="s">
        <v>16</v>
      </c>
      <c r="D203" s="823" t="s">
        <v>38</v>
      </c>
      <c r="E203" s="173"/>
      <c r="F203" s="173"/>
      <c r="G203" s="174"/>
      <c r="H203" s="753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 hidden="1">
      <c r="A204" s="170"/>
      <c r="B204" s="171"/>
      <c r="C204" s="171"/>
      <c r="D204" s="176" t="s">
        <v>101</v>
      </c>
      <c r="E204" s="178"/>
      <c r="F204" s="178"/>
      <c r="G204" s="179"/>
      <c r="H204" s="753" t="s">
        <v>96</v>
      </c>
      <c r="I204" s="269">
        <f ca="1">IFERROR(__xludf.DUMMYFUNCTION("IMPORTRANGE(""https://docs.google.com/spreadsheets/d/1QqKyyYR6Q21VydFLVH3TRQUabQu_ym0Zz7PgGX0-kHA/edit?usp=sharing"",""แผน!AI73"")"),0)</f>
        <v>0</v>
      </c>
      <c r="J204" s="214">
        <v>0</v>
      </c>
      <c r="K204" s="163">
        <f ca="1">IF(I204&gt;0,J204*100/I204,0)</f>
        <v>0</v>
      </c>
      <c r="L204" s="496"/>
      <c r="M204" s="496"/>
      <c r="N204" s="496"/>
      <c r="O204" s="496"/>
      <c r="P204" s="496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 hidden="1">
      <c r="A205" s="170"/>
      <c r="B205" s="171"/>
      <c r="C205" s="171"/>
      <c r="D205" s="446" t="s">
        <v>59</v>
      </c>
      <c r="E205" s="178"/>
      <c r="F205" s="178"/>
      <c r="G205" s="179"/>
      <c r="H205" s="753"/>
      <c r="I205" s="269"/>
      <c r="J205" s="269"/>
      <c r="K205" s="163"/>
      <c r="L205" s="496"/>
      <c r="M205" s="496"/>
      <c r="N205" s="496"/>
      <c r="O205" s="496"/>
      <c r="P205" s="496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 hidden="1">
      <c r="A206" s="170"/>
      <c r="B206" s="171"/>
      <c r="C206" s="171"/>
      <c r="D206" s="178"/>
      <c r="E206" s="446" t="s">
        <v>343</v>
      </c>
      <c r="F206" s="178"/>
      <c r="G206" s="179"/>
      <c r="H206" s="753" t="s">
        <v>96</v>
      </c>
      <c r="I206" s="269"/>
      <c r="J206" s="214">
        <v>0</v>
      </c>
      <c r="K206" s="163"/>
      <c r="L206" s="496"/>
      <c r="M206" s="496"/>
      <c r="N206" s="496"/>
      <c r="O206" s="496"/>
      <c r="P206" s="496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 hidden="1">
      <c r="A207" s="170"/>
      <c r="B207" s="171"/>
      <c r="C207" s="171"/>
      <c r="D207" s="446"/>
      <c r="E207" s="446" t="s">
        <v>344</v>
      </c>
      <c r="F207" s="178"/>
      <c r="G207" s="179"/>
      <c r="H207" s="755" t="s">
        <v>69</v>
      </c>
      <c r="I207" s="269"/>
      <c r="J207" s="214">
        <v>0</v>
      </c>
      <c r="K207" s="163"/>
      <c r="L207" s="496"/>
      <c r="M207" s="496"/>
      <c r="N207" s="496"/>
      <c r="O207" s="496"/>
      <c r="P207" s="496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 hidden="1">
      <c r="A208" s="255"/>
      <c r="B208" s="263"/>
      <c r="C208" s="270" t="s">
        <v>105</v>
      </c>
      <c r="D208" s="256"/>
      <c r="E208" s="256"/>
      <c r="F208" s="291"/>
      <c r="G208" s="258"/>
      <c r="H208" s="277" t="s">
        <v>96</v>
      </c>
      <c r="I208" s="271">
        <f t="shared" ref="I208:J208" ca="1" si="100">I215</f>
        <v>0</v>
      </c>
      <c r="J208" s="271">
        <f t="shared" si="100"/>
        <v>0</v>
      </c>
      <c r="K208" s="272">
        <f ca="1">IF(I208&gt;0,J208*100/I208,0)</f>
        <v>0</v>
      </c>
      <c r="L208" s="261"/>
      <c r="M208" s="261"/>
      <c r="N208" s="261"/>
      <c r="O208" s="261"/>
      <c r="P208" s="261"/>
    </row>
    <row r="209" spans="1:26" ht="19.5" hidden="1">
      <c r="A209" s="147"/>
      <c r="B209" s="148"/>
      <c r="C209" s="149" t="s">
        <v>16</v>
      </c>
      <c r="D209" s="826" t="s">
        <v>17</v>
      </c>
      <c r="E209" s="148"/>
      <c r="F209" s="148"/>
      <c r="G209" s="151"/>
      <c r="H209" s="274" t="s">
        <v>12</v>
      </c>
      <c r="I209" s="418"/>
      <c r="J209" s="418"/>
      <c r="K209" s="279"/>
      <c r="L209" s="155">
        <f ca="1">L210+L211+L212</f>
        <v>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 hidden="1">
      <c r="A210" s="159"/>
      <c r="B210" s="280"/>
      <c r="C210" s="33"/>
      <c r="D210" s="281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6">
        <f ca="1">IFERROR(__xludf.DUMMYFUNCTION("IMPORTRANGE(""https://docs.google.com/spreadsheets/d/1QqKyyYR6Q21VydFLVH3TRQUabQu_ym0Zz7PgGX0-kHA/edit?usp=sharing"",""แผน!AK73"")"),0)</f>
        <v>0</v>
      </c>
      <c r="M210" s="496"/>
      <c r="N210" s="817">
        <v>0</v>
      </c>
      <c r="O210" s="496"/>
      <c r="P210" s="496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 hidden="1">
      <c r="A211" s="284"/>
      <c r="B211" s="280"/>
      <c r="C211" s="292"/>
      <c r="D211" s="281" t="s">
        <v>99</v>
      </c>
      <c r="E211" s="33"/>
      <c r="F211" s="33"/>
      <c r="G211" s="35"/>
      <c r="H211" s="161" t="s">
        <v>12</v>
      </c>
      <c r="I211" s="269"/>
      <c r="J211" s="269"/>
      <c r="K211" s="496"/>
      <c r="L211" s="496">
        <f ca="1">IFERROR(__xludf.DUMMYFUNCTION("IMPORTRANGE(""https://docs.google.com/spreadsheets/d/1QqKyyYR6Q21VydFLVH3TRQUabQu_ym0Zz7PgGX0-kHA/edit?usp=sharing"",""แผน!AL73"")"),0)</f>
        <v>0</v>
      </c>
      <c r="M211" s="496"/>
      <c r="N211" s="817">
        <v>0</v>
      </c>
      <c r="O211" s="496"/>
      <c r="P211" s="496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 hidden="1">
      <c r="A212" s="284"/>
      <c r="B212" s="280"/>
      <c r="C212" s="292"/>
      <c r="D212" s="281" t="s">
        <v>98</v>
      </c>
      <c r="E212" s="33"/>
      <c r="F212" s="33"/>
      <c r="G212" s="35"/>
      <c r="H212" s="161" t="s">
        <v>12</v>
      </c>
      <c r="I212" s="269"/>
      <c r="J212" s="269"/>
      <c r="K212" s="496"/>
      <c r="L212" s="496">
        <f ca="1">IFERROR(__xludf.DUMMYFUNCTION("IMPORTRANGE(""https://docs.google.com/spreadsheets/d/1QqKyyYR6Q21VydFLVH3TRQUabQu_ym0Zz7PgGX0-kHA/edit?usp=sharing"",""แผน!AM73"")"),0)</f>
        <v>0</v>
      </c>
      <c r="M212" s="496"/>
      <c r="N212" s="817">
        <v>0</v>
      </c>
      <c r="O212" s="496"/>
      <c r="P212" s="496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 hidden="1">
      <c r="A213" s="170"/>
      <c r="B213" s="171"/>
      <c r="C213" s="292" t="s">
        <v>16</v>
      </c>
      <c r="D213" s="823" t="s">
        <v>38</v>
      </c>
      <c r="E213" s="173"/>
      <c r="F213" s="173"/>
      <c r="G213" s="174"/>
      <c r="H213" s="753"/>
      <c r="I213" s="184"/>
      <c r="J213" s="269"/>
      <c r="K213" s="496"/>
      <c r="L213" s="496"/>
      <c r="M213" s="496"/>
      <c r="N213" s="496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 hidden="1">
      <c r="A214" s="170"/>
      <c r="B214" s="171"/>
      <c r="C214" s="171"/>
      <c r="D214" s="176" t="s">
        <v>106</v>
      </c>
      <c r="E214" s="178"/>
      <c r="F214" s="178"/>
      <c r="G214" s="179"/>
      <c r="H214" s="753" t="s">
        <v>96</v>
      </c>
      <c r="I214" s="269">
        <f ca="1">IFERROR(__xludf.DUMMYFUNCTION("IMPORTRANGE(""https://docs.google.com/spreadsheets/d/1QqKyyYR6Q21VydFLVH3TRQUabQu_ym0Zz7PgGX0-kHA/edit?usp=sharing"",""แผน!AN73"")"),0)</f>
        <v>0</v>
      </c>
      <c r="J214" s="214">
        <v>0</v>
      </c>
      <c r="K214" s="496">
        <f t="shared" ref="K214:K216" ca="1" si="101">IF(I214&gt;0,J214*100/I214,0)</f>
        <v>0</v>
      </c>
      <c r="L214" s="496"/>
      <c r="M214" s="496"/>
      <c r="N214" s="496"/>
      <c r="O214" s="496"/>
      <c r="P214" s="496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 hidden="1">
      <c r="A215" s="170"/>
      <c r="B215" s="171"/>
      <c r="C215" s="171"/>
      <c r="D215" s="176" t="s">
        <v>107</v>
      </c>
      <c r="E215" s="178"/>
      <c r="F215" s="178"/>
      <c r="G215" s="179"/>
      <c r="H215" s="753" t="s">
        <v>96</v>
      </c>
      <c r="I215" s="269">
        <f ca="1">IFERROR(__xludf.DUMMYFUNCTION("IMPORTRANGE(""https://docs.google.com/spreadsheets/d/1QqKyyYR6Q21VydFLVH3TRQUabQu_ym0Zz7PgGX0-kHA/edit?usp=sharing"",""แผน!AN73"")"),0)</f>
        <v>0</v>
      </c>
      <c r="J215" s="214">
        <v>0</v>
      </c>
      <c r="K215" s="496">
        <f t="shared" ca="1" si="101"/>
        <v>0</v>
      </c>
      <c r="L215" s="496"/>
      <c r="M215" s="496"/>
      <c r="N215" s="496"/>
      <c r="O215" s="496"/>
      <c r="P215" s="496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5"/>
      <c r="B216" s="263"/>
      <c r="C216" s="270" t="s">
        <v>108</v>
      </c>
      <c r="D216" s="256"/>
      <c r="E216" s="256"/>
      <c r="F216" s="291"/>
      <c r="G216" s="258"/>
      <c r="H216" s="259" t="s">
        <v>109</v>
      </c>
      <c r="I216" s="271">
        <f t="shared" ref="I216:J216" ca="1" si="102">I224</f>
        <v>5000</v>
      </c>
      <c r="J216" s="271">
        <f t="shared" si="102"/>
        <v>0</v>
      </c>
      <c r="K216" s="272">
        <f t="shared" ca="1" si="101"/>
        <v>0</v>
      </c>
      <c r="L216" s="261"/>
      <c r="M216" s="261"/>
      <c r="N216" s="261"/>
      <c r="O216" s="261"/>
      <c r="P216" s="261"/>
    </row>
    <row r="217" spans="1:26" ht="19.5">
      <c r="A217" s="147"/>
      <c r="B217" s="148"/>
      <c r="C217" s="149" t="s">
        <v>16</v>
      </c>
      <c r="D217" s="826" t="s">
        <v>17</v>
      </c>
      <c r="E217" s="148"/>
      <c r="F217" s="148"/>
      <c r="G217" s="151"/>
      <c r="H217" s="274" t="s">
        <v>12</v>
      </c>
      <c r="I217" s="418"/>
      <c r="J217" s="418"/>
      <c r="K217" s="279"/>
      <c r="L217" s="155">
        <f ca="1">L218+L219+L220</f>
        <v>5900</v>
      </c>
      <c r="M217" s="155"/>
      <c r="N217" s="155">
        <f>N218+N219+N220</f>
        <v>0</v>
      </c>
      <c r="O217" s="155">
        <f ca="1">IF(L217&gt;0,N217*100/L217,0)</f>
        <v>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0"/>
      <c r="C218" s="33"/>
      <c r="D218" s="281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6">
        <f ca="1">IFERROR(__xludf.DUMMYFUNCTION("IMPORTRANGE(""https://docs.google.com/spreadsheets/d/1QqKyyYR6Q21VydFLVH3TRQUabQu_ym0Zz7PgGX0-kHA/edit?usp=sharing"",""แผน!AP73"")"),3000)</f>
        <v>3000</v>
      </c>
      <c r="M218" s="496"/>
      <c r="N218" s="817"/>
      <c r="O218" s="496"/>
      <c r="P218" s="496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4"/>
      <c r="B219" s="280"/>
      <c r="C219" s="292"/>
      <c r="D219" s="281" t="s">
        <v>110</v>
      </c>
      <c r="E219" s="33"/>
      <c r="F219" s="33"/>
      <c r="G219" s="35"/>
      <c r="H219" s="161" t="s">
        <v>12</v>
      </c>
      <c r="I219" s="269"/>
      <c r="J219" s="269"/>
      <c r="K219" s="496"/>
      <c r="L219" s="496">
        <f ca="1">IFERROR(__xludf.DUMMYFUNCTION("IMPORTRANGE(""https://docs.google.com/spreadsheets/d/1QqKyyYR6Q21VydFLVH3TRQUabQu_ym0Zz7PgGX0-kHA/edit?usp=sharing"",""แผน!AQ73"")"),2900)</f>
        <v>2900</v>
      </c>
      <c r="M219" s="496"/>
      <c r="N219" s="817">
        <v>0</v>
      </c>
      <c r="O219" s="496"/>
      <c r="P219" s="496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0"/>
      <c r="C220" s="292"/>
      <c r="D220" s="281" t="s">
        <v>98</v>
      </c>
      <c r="E220" s="33"/>
      <c r="F220" s="33"/>
      <c r="G220" s="35"/>
      <c r="H220" s="161" t="s">
        <v>12</v>
      </c>
      <c r="I220" s="269"/>
      <c r="J220" s="269"/>
      <c r="K220" s="496"/>
      <c r="L220" s="496">
        <f ca="1">IFERROR(__xludf.DUMMYFUNCTION("IMPORTRANGE(""https://docs.google.com/spreadsheets/d/1QqKyyYR6Q21VydFLVH3TRQUabQu_ym0Zz7PgGX0-kHA/edit?usp=sharing"",""แผน!AR73"")"),0)</f>
        <v>0</v>
      </c>
      <c r="M220" s="496"/>
      <c r="N220" s="817">
        <v>0</v>
      </c>
      <c r="O220" s="496"/>
      <c r="P220" s="496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70"/>
      <c r="B221" s="171"/>
      <c r="C221" s="292" t="s">
        <v>16</v>
      </c>
      <c r="D221" s="823" t="s">
        <v>38</v>
      </c>
      <c r="E221" s="173"/>
      <c r="F221" s="173"/>
      <c r="G221" s="174"/>
      <c r="H221" s="753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1" t="s">
        <v>111</v>
      </c>
      <c r="E222" s="178"/>
      <c r="F222" s="178"/>
      <c r="G222" s="179"/>
      <c r="H222" s="753"/>
      <c r="I222" s="269"/>
      <c r="J222" s="269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55" t="s">
        <v>109</v>
      </c>
      <c r="I223" s="269">
        <f ca="1">IFERROR(__xludf.DUMMYFUNCTION("IMPORTRANGE(""https://docs.google.com/spreadsheets/d/1QqKyyYR6Q21VydFLVH3TRQUabQu_ym0Zz7PgGX0-kHA/edit?usp=sharing"",""แผน!AT73"")"),5000)</f>
        <v>5000</v>
      </c>
      <c r="J223" s="214">
        <v>0</v>
      </c>
      <c r="K223" s="163">
        <f t="shared" ref="K223:K226" ca="1" si="103">IF(I223&gt;0,J223*100/I223,0)</f>
        <v>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55" t="s">
        <v>109</v>
      </c>
      <c r="I224" s="269">
        <f ca="1">IFERROR(__xludf.DUMMYFUNCTION("IMPORTRANGE(""https://docs.google.com/spreadsheets/d/1QqKyyYR6Q21VydFLVH3TRQUabQu_ym0Zz7PgGX0-kHA/edit?usp=sharing"",""แผน!AT73"")"),5000)</f>
        <v>5000</v>
      </c>
      <c r="J224" s="214">
        <v>0</v>
      </c>
      <c r="K224" s="163">
        <f t="shared" ca="1" si="103"/>
        <v>0</v>
      </c>
      <c r="L224" s="496"/>
      <c r="M224" s="496"/>
      <c r="N224" s="496"/>
      <c r="O224" s="496"/>
      <c r="P224" s="496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1" t="s">
        <v>114</v>
      </c>
      <c r="E225" s="178"/>
      <c r="F225" s="178"/>
      <c r="G225" s="179"/>
      <c r="H225" s="755" t="s">
        <v>35</v>
      </c>
      <c r="I225" s="269">
        <f ca="1">IFERROR(__xludf.DUMMYFUNCTION("IMPORTRANGE(""https://docs.google.com/spreadsheets/d/1QqKyyYR6Q21VydFLVH3TRQUabQu_ym0Zz7PgGX0-kHA/edit?usp=sharing"",""แผน!AS73"")"),0)</f>
        <v>0</v>
      </c>
      <c r="J225" s="214">
        <v>0</v>
      </c>
      <c r="K225" s="163">
        <f t="shared" ca="1" si="103"/>
        <v>0</v>
      </c>
      <c r="L225" s="496"/>
      <c r="M225" s="496"/>
      <c r="N225" s="496"/>
      <c r="O225" s="496"/>
      <c r="P225" s="496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5"/>
      <c r="B226" s="263"/>
      <c r="C226" s="341" t="s">
        <v>115</v>
      </c>
      <c r="D226" s="256"/>
      <c r="E226" s="256"/>
      <c r="F226" s="256"/>
      <c r="G226" s="258"/>
      <c r="H226" s="265" t="s">
        <v>35</v>
      </c>
      <c r="I226" s="344">
        <f t="shared" ref="I226:J226" ca="1" si="104">I237+I248</f>
        <v>0</v>
      </c>
      <c r="J226" s="344">
        <f t="shared" si="104"/>
        <v>0</v>
      </c>
      <c r="K226" s="345">
        <f t="shared" ca="1" si="103"/>
        <v>0</v>
      </c>
      <c r="L226" s="261"/>
      <c r="M226" s="261"/>
      <c r="N226" s="261"/>
      <c r="O226" s="261"/>
      <c r="P226" s="261"/>
    </row>
    <row r="227" spans="1:26" ht="19.5" hidden="1">
      <c r="A227" s="347"/>
      <c r="B227" s="348"/>
      <c r="C227" s="349" t="s">
        <v>16</v>
      </c>
      <c r="D227" s="827" t="s">
        <v>17</v>
      </c>
      <c r="E227" s="348"/>
      <c r="F227" s="348"/>
      <c r="G227" s="351"/>
      <c r="H227" s="352" t="s">
        <v>12</v>
      </c>
      <c r="I227" s="353"/>
      <c r="J227" s="353"/>
      <c r="K227" s="354"/>
      <c r="L227" s="355">
        <f t="shared" ref="L227:L231" ca="1" si="105">L238+L249</f>
        <v>0</v>
      </c>
      <c r="M227" s="355"/>
      <c r="N227" s="355">
        <f t="shared" ref="N227:N231" si="106">N238+N249</f>
        <v>0</v>
      </c>
      <c r="O227" s="828"/>
      <c r="P227" s="828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6"/>
      <c r="C228" s="40"/>
      <c r="D228" s="222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5"/>
        <v>0</v>
      </c>
      <c r="M228" s="93"/>
      <c r="N228" s="93">
        <f t="shared" si="106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8"/>
      <c r="B229" s="356"/>
      <c r="C229" s="359"/>
      <c r="D229" s="222" t="s">
        <v>98</v>
      </c>
      <c r="E229" s="40"/>
      <c r="F229" s="40"/>
      <c r="G229" s="42"/>
      <c r="H229" s="165" t="s">
        <v>12</v>
      </c>
      <c r="I229" s="610"/>
      <c r="J229" s="610"/>
      <c r="K229" s="93"/>
      <c r="L229" s="93">
        <f t="shared" ca="1" si="105"/>
        <v>0</v>
      </c>
      <c r="M229" s="93"/>
      <c r="N229" s="93">
        <f t="shared" si="106"/>
        <v>0</v>
      </c>
      <c r="O229" s="93"/>
      <c r="P229" s="93"/>
      <c r="Q229" s="360"/>
      <c r="R229" s="360"/>
      <c r="S229" s="360"/>
      <c r="T229" s="360"/>
      <c r="U229" s="360"/>
      <c r="V229" s="360"/>
      <c r="W229" s="360"/>
      <c r="X229" s="360"/>
      <c r="Y229" s="360"/>
      <c r="Z229" s="360"/>
    </row>
    <row r="230" spans="1:26" ht="19.5" hidden="1">
      <c r="A230" s="358"/>
      <c r="B230" s="356"/>
      <c r="C230" s="359"/>
      <c r="D230" s="222" t="s">
        <v>116</v>
      </c>
      <c r="E230" s="40"/>
      <c r="F230" s="40"/>
      <c r="G230" s="42"/>
      <c r="H230" s="165" t="s">
        <v>12</v>
      </c>
      <c r="I230" s="610"/>
      <c r="J230" s="610"/>
      <c r="K230" s="93"/>
      <c r="L230" s="93">
        <f t="shared" ca="1" si="105"/>
        <v>0</v>
      </c>
      <c r="M230" s="93"/>
      <c r="N230" s="93">
        <f t="shared" si="106"/>
        <v>0</v>
      </c>
      <c r="O230" s="93"/>
      <c r="P230" s="93"/>
      <c r="Q230" s="360"/>
      <c r="R230" s="360"/>
      <c r="S230" s="360"/>
      <c r="T230" s="360"/>
      <c r="U230" s="360"/>
      <c r="V230" s="360"/>
      <c r="W230" s="360"/>
      <c r="X230" s="360"/>
      <c r="Y230" s="360"/>
      <c r="Z230" s="360"/>
    </row>
    <row r="231" spans="1:26" ht="19.5" hidden="1">
      <c r="A231" s="358"/>
      <c r="B231" s="356"/>
      <c r="C231" s="359"/>
      <c r="D231" s="222" t="s">
        <v>100</v>
      </c>
      <c r="E231" s="40"/>
      <c r="F231" s="40"/>
      <c r="G231" s="42"/>
      <c r="H231" s="165" t="s">
        <v>12</v>
      </c>
      <c r="I231" s="610"/>
      <c r="J231" s="610"/>
      <c r="K231" s="93"/>
      <c r="L231" s="93">
        <f t="shared" ca="1" si="105"/>
        <v>0</v>
      </c>
      <c r="M231" s="93"/>
      <c r="N231" s="93">
        <f t="shared" si="106"/>
        <v>0</v>
      </c>
      <c r="O231" s="93"/>
      <c r="P231" s="93"/>
      <c r="Q231" s="360"/>
      <c r="R231" s="360"/>
      <c r="S231" s="360"/>
      <c r="T231" s="360"/>
      <c r="U231" s="360"/>
      <c r="V231" s="360"/>
      <c r="W231" s="360"/>
      <c r="X231" s="360"/>
      <c r="Y231" s="360"/>
      <c r="Z231" s="360"/>
    </row>
    <row r="232" spans="1:26" ht="19.5" hidden="1">
      <c r="A232" s="361"/>
      <c r="B232" s="362"/>
      <c r="C232" s="359" t="s">
        <v>16</v>
      </c>
      <c r="D232" s="266" t="s">
        <v>38</v>
      </c>
      <c r="E232" s="363"/>
      <c r="F232" s="363"/>
      <c r="G232" s="364"/>
      <c r="H232" s="365"/>
      <c r="I232" s="166"/>
      <c r="J232" s="610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1"/>
      <c r="B233" s="362"/>
      <c r="C233" s="362"/>
      <c r="D233" s="366" t="s">
        <v>117</v>
      </c>
      <c r="E233" s="372"/>
      <c r="F233" s="372"/>
      <c r="G233" s="368"/>
      <c r="H233" s="369" t="s">
        <v>35</v>
      </c>
      <c r="I233" s="610">
        <f t="shared" ref="I233:J233" ca="1" si="107">I244+I255</f>
        <v>0</v>
      </c>
      <c r="J233" s="610">
        <f t="shared" si="107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1"/>
      <c r="B234" s="362"/>
      <c r="C234" s="362"/>
      <c r="D234" s="371" t="s">
        <v>43</v>
      </c>
      <c r="E234" s="372"/>
      <c r="F234" s="372"/>
      <c r="G234" s="368"/>
      <c r="H234" s="369"/>
      <c r="I234" s="610"/>
      <c r="J234" s="610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1"/>
      <c r="B235" s="362"/>
      <c r="C235" s="362"/>
      <c r="D235" s="362"/>
      <c r="E235" s="373" t="s">
        <v>118</v>
      </c>
      <c r="F235" s="372"/>
      <c r="G235" s="368"/>
      <c r="H235" s="369" t="s">
        <v>35</v>
      </c>
      <c r="I235" s="610">
        <f t="shared" ref="I235:J236" si="108">I246+I257</f>
        <v>0</v>
      </c>
      <c r="J235" s="610">
        <f t="shared" si="108"/>
        <v>0</v>
      </c>
      <c r="K235" s="93">
        <f t="shared" ref="K235:K237" si="109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1"/>
      <c r="B236" s="362"/>
      <c r="C236" s="362"/>
      <c r="D236" s="362"/>
      <c r="E236" s="373" t="s">
        <v>119</v>
      </c>
      <c r="F236" s="372"/>
      <c r="G236" s="368"/>
      <c r="H236" s="369" t="s">
        <v>69</v>
      </c>
      <c r="I236" s="610">
        <f t="shared" si="108"/>
        <v>0</v>
      </c>
      <c r="J236" s="610">
        <f t="shared" si="108"/>
        <v>0</v>
      </c>
      <c r="K236" s="93">
        <f t="shared" si="109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5"/>
      <c r="B237" s="263"/>
      <c r="C237" s="270" t="s">
        <v>120</v>
      </c>
      <c r="D237" s="256"/>
      <c r="E237" s="256"/>
      <c r="F237" s="256"/>
      <c r="G237" s="258"/>
      <c r="H237" s="259" t="s">
        <v>35</v>
      </c>
      <c r="I237" s="271">
        <f t="shared" ref="I237:J237" ca="1" si="110">I244</f>
        <v>0</v>
      </c>
      <c r="J237" s="271">
        <f t="shared" si="110"/>
        <v>0</v>
      </c>
      <c r="K237" s="272">
        <f t="shared" ca="1" si="109"/>
        <v>0</v>
      </c>
      <c r="L237" s="261"/>
      <c r="M237" s="261"/>
      <c r="N237" s="261"/>
      <c r="O237" s="261"/>
      <c r="P237" s="261"/>
    </row>
    <row r="238" spans="1:26" ht="19.5" hidden="1">
      <c r="A238" s="147"/>
      <c r="B238" s="148"/>
      <c r="C238" s="149" t="s">
        <v>16</v>
      </c>
      <c r="D238" s="822" t="s">
        <v>17</v>
      </c>
      <c r="E238" s="148"/>
      <c r="F238" s="148"/>
      <c r="G238" s="151"/>
      <c r="H238" s="274" t="s">
        <v>12</v>
      </c>
      <c r="I238" s="418"/>
      <c r="J238" s="418"/>
      <c r="K238" s="279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4"/>
      <c r="B239" s="315"/>
      <c r="C239" s="316"/>
      <c r="D239" s="324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282">
        <f ca="1">IFERROR(__xludf.DUMMYFUNCTION("IMPORTRANGE(""https://docs.google.com/spreadsheets/d/1QqKyyYR6Q21VydFLVH3TRQUabQu_ym0Zz7PgGX0-kHA/edit?usp=sharing"",""แผน!AV73"")"),0)</f>
        <v>0</v>
      </c>
      <c r="M239" s="282"/>
      <c r="N239" s="829">
        <v>0</v>
      </c>
      <c r="O239" s="282"/>
      <c r="P239" s="28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 hidden="1">
      <c r="A240" s="322"/>
      <c r="B240" s="315"/>
      <c r="C240" s="323"/>
      <c r="D240" s="324" t="s">
        <v>98</v>
      </c>
      <c r="E240" s="316"/>
      <c r="F240" s="316"/>
      <c r="G240" s="318"/>
      <c r="H240" s="319" t="s">
        <v>12</v>
      </c>
      <c r="I240" s="325"/>
      <c r="J240" s="325"/>
      <c r="K240" s="282"/>
      <c r="L240" s="282">
        <f ca="1">IFERROR(__xludf.DUMMYFUNCTION("IMPORTRANGE(""https://docs.google.com/spreadsheets/d/1QqKyyYR6Q21VydFLVH3TRQUabQu_ym0Zz7PgGX0-kHA/edit?usp=sharing"",""แผน!AW73"")"),0)</f>
        <v>0</v>
      </c>
      <c r="M240" s="282"/>
      <c r="N240" s="829">
        <v>0</v>
      </c>
      <c r="O240" s="282"/>
      <c r="P240" s="282"/>
      <c r="Q240" s="326"/>
      <c r="R240" s="326"/>
      <c r="S240" s="326"/>
      <c r="T240" s="326"/>
      <c r="U240" s="326"/>
      <c r="V240" s="326"/>
      <c r="W240" s="326"/>
      <c r="X240" s="326"/>
      <c r="Y240" s="326"/>
      <c r="Z240" s="326"/>
    </row>
    <row r="241" spans="1:26" ht="19.5" hidden="1">
      <c r="A241" s="322"/>
      <c r="B241" s="315"/>
      <c r="C241" s="323"/>
      <c r="D241" s="324" t="s">
        <v>116</v>
      </c>
      <c r="E241" s="316"/>
      <c r="F241" s="316"/>
      <c r="G241" s="318"/>
      <c r="H241" s="319" t="s">
        <v>12</v>
      </c>
      <c r="I241" s="325"/>
      <c r="J241" s="325"/>
      <c r="K241" s="282"/>
      <c r="L241" s="282">
        <f ca="1">IFERROR(__xludf.DUMMYFUNCTION("IMPORTRANGE(""https://docs.google.com/spreadsheets/d/1QqKyyYR6Q21VydFLVH3TRQUabQu_ym0Zz7PgGX0-kHA/edit?usp=sharing"",""แผน!AX73"")"),0)</f>
        <v>0</v>
      </c>
      <c r="M241" s="282"/>
      <c r="N241" s="829">
        <v>0</v>
      </c>
      <c r="O241" s="282"/>
      <c r="P241" s="282"/>
      <c r="Q241" s="326"/>
      <c r="R241" s="326"/>
      <c r="S241" s="326"/>
      <c r="T241" s="326"/>
      <c r="U241" s="326"/>
      <c r="V241" s="326"/>
      <c r="W241" s="326"/>
      <c r="X241" s="326"/>
      <c r="Y241" s="326"/>
      <c r="Z241" s="326"/>
    </row>
    <row r="242" spans="1:26" ht="19.5" hidden="1">
      <c r="A242" s="322"/>
      <c r="B242" s="315"/>
      <c r="C242" s="323"/>
      <c r="D242" s="324" t="s">
        <v>100</v>
      </c>
      <c r="E242" s="316"/>
      <c r="F242" s="316"/>
      <c r="G242" s="318"/>
      <c r="H242" s="319" t="s">
        <v>12</v>
      </c>
      <c r="I242" s="325"/>
      <c r="J242" s="325"/>
      <c r="K242" s="282"/>
      <c r="L242" s="282">
        <f ca="1">IFERROR(__xludf.DUMMYFUNCTION("IMPORTRANGE(""https://docs.google.com/spreadsheets/d/1QqKyyYR6Q21VydFLVH3TRQUabQu_ym0Zz7PgGX0-kHA/edit?usp=sharing"",""แผน!AY73"")"),0)</f>
        <v>0</v>
      </c>
      <c r="M242" s="282"/>
      <c r="N242" s="829">
        <v>0</v>
      </c>
      <c r="O242" s="282"/>
      <c r="P242" s="282"/>
      <c r="Q242" s="326"/>
      <c r="R242" s="326"/>
      <c r="S242" s="326"/>
      <c r="T242" s="326"/>
      <c r="U242" s="326"/>
      <c r="V242" s="326"/>
      <c r="W242" s="326"/>
      <c r="X242" s="326"/>
      <c r="Y242" s="326"/>
      <c r="Z242" s="326"/>
    </row>
    <row r="243" spans="1:26" ht="19.5" hidden="1">
      <c r="A243" s="170"/>
      <c r="B243" s="171"/>
      <c r="C243" s="292" t="s">
        <v>16</v>
      </c>
      <c r="D243" s="823" t="s">
        <v>38</v>
      </c>
      <c r="E243" s="173"/>
      <c r="F243" s="173"/>
      <c r="G243" s="174"/>
      <c r="H243" s="753"/>
      <c r="I243" s="184"/>
      <c r="J243" s="269"/>
      <c r="K243" s="496"/>
      <c r="L243" s="496"/>
      <c r="M243" s="496"/>
      <c r="N243" s="496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46" t="s">
        <v>117</v>
      </c>
      <c r="E244" s="178"/>
      <c r="F244" s="178"/>
      <c r="G244" s="179"/>
      <c r="H244" s="755" t="s">
        <v>35</v>
      </c>
      <c r="I244" s="269">
        <f ca="1">IFERROR(__xludf.DUMMYFUNCTION("IMPORTRANGE(""https://docs.google.com/spreadsheets/d/1QqKyyYR6Q21VydFLVH3TRQUabQu_ym0Zz7PgGX0-kHA/edit?usp=sharing"",""แผน!BE73"")"),0)</f>
        <v>0</v>
      </c>
      <c r="J244" s="214">
        <v>0</v>
      </c>
      <c r="K244" s="496">
        <f ca="1">IF(I244&gt;0,J244*100/I244,0)</f>
        <v>0</v>
      </c>
      <c r="L244" s="496"/>
      <c r="M244" s="496"/>
      <c r="N244" s="496"/>
      <c r="O244" s="496"/>
      <c r="P244" s="496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830" t="s">
        <v>43</v>
      </c>
      <c r="E245" s="178"/>
      <c r="F245" s="178"/>
      <c r="G245" s="179"/>
      <c r="H245" s="755"/>
      <c r="I245" s="269"/>
      <c r="J245" s="269"/>
      <c r="K245" s="496"/>
      <c r="L245" s="496"/>
      <c r="M245" s="496"/>
      <c r="N245" s="496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176" t="s">
        <v>118</v>
      </c>
      <c r="F246" s="178"/>
      <c r="G246" s="179"/>
      <c r="H246" s="755" t="s">
        <v>35</v>
      </c>
      <c r="I246" s="269"/>
      <c r="J246" s="214">
        <v>0</v>
      </c>
      <c r="K246" s="496">
        <f t="shared" ref="K246:K248" si="111">IF(I246&gt;0,J246*100/I246,0)</f>
        <v>0</v>
      </c>
      <c r="L246" s="496"/>
      <c r="M246" s="496"/>
      <c r="N246" s="496"/>
      <c r="O246" s="496"/>
      <c r="P246" s="496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176" t="s">
        <v>119</v>
      </c>
      <c r="F247" s="178"/>
      <c r="G247" s="179"/>
      <c r="H247" s="755" t="s">
        <v>69</v>
      </c>
      <c r="I247" s="269"/>
      <c r="J247" s="214">
        <v>0</v>
      </c>
      <c r="K247" s="496">
        <f t="shared" si="111"/>
        <v>0</v>
      </c>
      <c r="L247" s="496"/>
      <c r="M247" s="496"/>
      <c r="N247" s="496"/>
      <c r="O247" s="496"/>
      <c r="P247" s="496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5"/>
      <c r="B248" s="263"/>
      <c r="C248" s="270" t="s">
        <v>121</v>
      </c>
      <c r="D248" s="256"/>
      <c r="E248" s="256"/>
      <c r="F248" s="256"/>
      <c r="G248" s="258"/>
      <c r="H248" s="259" t="s">
        <v>35</v>
      </c>
      <c r="I248" s="271">
        <f t="shared" ref="I248:J248" ca="1" si="112">I255</f>
        <v>0</v>
      </c>
      <c r="J248" s="271">
        <f t="shared" si="112"/>
        <v>0</v>
      </c>
      <c r="K248" s="272">
        <f t="shared" ca="1" si="111"/>
        <v>0</v>
      </c>
      <c r="L248" s="261"/>
      <c r="M248" s="261"/>
      <c r="N248" s="261"/>
      <c r="O248" s="261"/>
      <c r="P248" s="261"/>
    </row>
    <row r="249" spans="1:26" ht="19.5" hidden="1">
      <c r="A249" s="147"/>
      <c r="B249" s="148"/>
      <c r="C249" s="149" t="s">
        <v>16</v>
      </c>
      <c r="D249" s="826" t="s">
        <v>17</v>
      </c>
      <c r="E249" s="148"/>
      <c r="F249" s="148"/>
      <c r="G249" s="151"/>
      <c r="H249" s="274" t="s">
        <v>12</v>
      </c>
      <c r="I249" s="418"/>
      <c r="J249" s="418"/>
      <c r="K249" s="279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4"/>
      <c r="B250" s="315"/>
      <c r="C250" s="316"/>
      <c r="D250" s="324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282">
        <f ca="1">IFERROR(__xludf.DUMMYFUNCTION("IMPORTRANGE(""https://docs.google.com/spreadsheets/d/1QqKyyYR6Q21VydFLVH3TRQUabQu_ym0Zz7PgGX0-kHA/edit?usp=sharing"",""แผน!AZ73"")"),0)</f>
        <v>0</v>
      </c>
      <c r="M250" s="282"/>
      <c r="N250" s="829">
        <v>0</v>
      </c>
      <c r="O250" s="282"/>
      <c r="P250" s="282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9.5" hidden="1">
      <c r="A251" s="322"/>
      <c r="B251" s="315"/>
      <c r="C251" s="323"/>
      <c r="D251" s="324" t="s">
        <v>98</v>
      </c>
      <c r="E251" s="316"/>
      <c r="F251" s="316"/>
      <c r="G251" s="318"/>
      <c r="H251" s="319" t="s">
        <v>12</v>
      </c>
      <c r="I251" s="325"/>
      <c r="J251" s="325"/>
      <c r="K251" s="282"/>
      <c r="L251" s="282">
        <f ca="1">IFERROR(__xludf.DUMMYFUNCTION("IMPORTRANGE(""https://docs.google.com/spreadsheets/d/1QqKyyYR6Q21VydFLVH3TRQUabQu_ym0Zz7PgGX0-kHA/edit?usp=sharing"",""แผน!BA73"")"),0)</f>
        <v>0</v>
      </c>
      <c r="M251" s="282"/>
      <c r="N251" s="829">
        <v>0</v>
      </c>
      <c r="O251" s="282"/>
      <c r="P251" s="282"/>
      <c r="Q251" s="326"/>
      <c r="R251" s="326"/>
      <c r="S251" s="326"/>
      <c r="T251" s="326"/>
      <c r="U251" s="326"/>
      <c r="V251" s="326"/>
      <c r="W251" s="326"/>
      <c r="X251" s="326"/>
      <c r="Y251" s="326"/>
      <c r="Z251" s="326"/>
    </row>
    <row r="252" spans="1:26" ht="19.5" hidden="1">
      <c r="A252" s="322"/>
      <c r="B252" s="315"/>
      <c r="C252" s="323"/>
      <c r="D252" s="324" t="s">
        <v>116</v>
      </c>
      <c r="E252" s="316"/>
      <c r="F252" s="316"/>
      <c r="G252" s="318"/>
      <c r="H252" s="319" t="s">
        <v>12</v>
      </c>
      <c r="I252" s="325"/>
      <c r="J252" s="325"/>
      <c r="K252" s="282"/>
      <c r="L252" s="282">
        <f ca="1">IFERROR(__xludf.DUMMYFUNCTION("IMPORTRANGE(""https://docs.google.com/spreadsheets/d/1QqKyyYR6Q21VydFLVH3TRQUabQu_ym0Zz7PgGX0-kHA/edit?usp=sharing"",""แผน!BB73"")"),0)</f>
        <v>0</v>
      </c>
      <c r="M252" s="282"/>
      <c r="N252" s="829">
        <v>0</v>
      </c>
      <c r="O252" s="282"/>
      <c r="P252" s="282"/>
      <c r="Q252" s="326"/>
      <c r="R252" s="326"/>
      <c r="S252" s="326"/>
      <c r="T252" s="326"/>
      <c r="U252" s="326"/>
      <c r="V252" s="326"/>
      <c r="W252" s="326"/>
      <c r="X252" s="326"/>
      <c r="Y252" s="326"/>
      <c r="Z252" s="326"/>
    </row>
    <row r="253" spans="1:26" ht="19.5" hidden="1">
      <c r="A253" s="322"/>
      <c r="B253" s="315"/>
      <c r="C253" s="323"/>
      <c r="D253" s="324" t="s">
        <v>100</v>
      </c>
      <c r="E253" s="316"/>
      <c r="F253" s="316"/>
      <c r="G253" s="318"/>
      <c r="H253" s="319" t="s">
        <v>12</v>
      </c>
      <c r="I253" s="325"/>
      <c r="J253" s="325"/>
      <c r="K253" s="282"/>
      <c r="L253" s="282">
        <f ca="1">IFERROR(__xludf.DUMMYFUNCTION("IMPORTRANGE(""https://docs.google.com/spreadsheets/d/1QqKyyYR6Q21VydFLVH3TRQUabQu_ym0Zz7PgGX0-kHA/edit?usp=sharing"",""แผน!BC73"")"),0)</f>
        <v>0</v>
      </c>
      <c r="M253" s="282"/>
      <c r="N253" s="829">
        <v>0</v>
      </c>
      <c r="O253" s="282"/>
      <c r="P253" s="282"/>
      <c r="Q253" s="326"/>
      <c r="R253" s="326"/>
      <c r="S253" s="326"/>
      <c r="T253" s="326"/>
      <c r="U253" s="326"/>
      <c r="V253" s="326"/>
      <c r="W253" s="326"/>
      <c r="X253" s="326"/>
      <c r="Y253" s="326"/>
      <c r="Z253" s="326"/>
    </row>
    <row r="254" spans="1:26" ht="19.5" hidden="1">
      <c r="A254" s="170"/>
      <c r="B254" s="171"/>
      <c r="C254" s="292" t="s">
        <v>16</v>
      </c>
      <c r="D254" s="823" t="s">
        <v>38</v>
      </c>
      <c r="E254" s="173"/>
      <c r="F254" s="173"/>
      <c r="G254" s="174"/>
      <c r="H254" s="753"/>
      <c r="I254" s="184"/>
      <c r="J254" s="269"/>
      <c r="K254" s="496"/>
      <c r="L254" s="496"/>
      <c r="M254" s="496"/>
      <c r="N254" s="496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6" t="s">
        <v>117</v>
      </c>
      <c r="E255" s="178"/>
      <c r="F255" s="178"/>
      <c r="G255" s="179"/>
      <c r="H255" s="755" t="s">
        <v>35</v>
      </c>
      <c r="I255" s="269">
        <f ca="1">IFERROR(__xludf.DUMMYFUNCTION("IMPORTRANGE(""https://docs.google.com/spreadsheets/d/1QqKyyYR6Q21VydFLVH3TRQUabQu_ym0Zz7PgGX0-kHA/edit?usp=sharing"",""แผน!BF73"")"),0)</f>
        <v>0</v>
      </c>
      <c r="J255" s="214">
        <v>0</v>
      </c>
      <c r="K255" s="496">
        <f ca="1">IF(I255&gt;0,J255*100/I255,0)</f>
        <v>0</v>
      </c>
      <c r="L255" s="496"/>
      <c r="M255" s="496"/>
      <c r="N255" s="496"/>
      <c r="O255" s="496"/>
      <c r="P255" s="496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30" t="s">
        <v>43</v>
      </c>
      <c r="E256" s="178"/>
      <c r="F256" s="178"/>
      <c r="G256" s="179"/>
      <c r="H256" s="755"/>
      <c r="I256" s="269"/>
      <c r="J256" s="269"/>
      <c r="K256" s="496"/>
      <c r="L256" s="496"/>
      <c r="M256" s="496"/>
      <c r="N256" s="496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55" t="s">
        <v>35</v>
      </c>
      <c r="I257" s="269"/>
      <c r="J257" s="214">
        <v>0</v>
      </c>
      <c r="K257" s="496">
        <f t="shared" ref="K257:K258" si="113">IF(I257&gt;0,J257*100/I257,0)</f>
        <v>0</v>
      </c>
      <c r="L257" s="496"/>
      <c r="M257" s="496"/>
      <c r="N257" s="496"/>
      <c r="O257" s="496"/>
      <c r="P257" s="496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55" t="s">
        <v>69</v>
      </c>
      <c r="I258" s="269"/>
      <c r="J258" s="214">
        <v>0</v>
      </c>
      <c r="K258" s="496">
        <f t="shared" si="113"/>
        <v>0</v>
      </c>
      <c r="L258" s="496"/>
      <c r="M258" s="496"/>
      <c r="N258" s="496"/>
      <c r="O258" s="496"/>
      <c r="P258" s="496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1" t="s">
        <v>122</v>
      </c>
      <c r="B259" s="242"/>
      <c r="C259" s="242"/>
      <c r="D259" s="243"/>
      <c r="E259" s="243"/>
      <c r="F259" s="243"/>
      <c r="G259" s="244"/>
      <c r="H259" s="245"/>
      <c r="I259" s="246"/>
      <c r="J259" s="246"/>
      <c r="K259" s="247"/>
      <c r="L259" s="247"/>
      <c r="M259" s="247"/>
      <c r="N259" s="247"/>
      <c r="O259" s="247"/>
      <c r="P259" s="247"/>
    </row>
    <row r="260" spans="1:26" ht="19.5">
      <c r="A260" s="248"/>
      <c r="B260" s="249" t="s">
        <v>123</v>
      </c>
      <c r="C260" s="250"/>
      <c r="D260" s="173"/>
      <c r="E260" s="173"/>
      <c r="F260" s="173"/>
      <c r="G260" s="174"/>
      <c r="H260" s="251" t="s">
        <v>35</v>
      </c>
      <c r="I260" s="252">
        <f t="shared" ref="I260:J260" ca="1" si="114">I271</f>
        <v>10</v>
      </c>
      <c r="J260" s="252">
        <f t="shared" si="114"/>
        <v>0</v>
      </c>
      <c r="K260" s="253">
        <f ca="1">IF(I260&gt;0,J260*100/I260,0)</f>
        <v>0</v>
      </c>
      <c r="L260" s="254"/>
      <c r="M260" s="254"/>
      <c r="N260" s="254"/>
      <c r="O260" s="254"/>
      <c r="P260" s="254"/>
    </row>
    <row r="261" spans="1:26" ht="19.5">
      <c r="A261" s="147"/>
      <c r="B261" s="148"/>
      <c r="C261" s="149" t="s">
        <v>16</v>
      </c>
      <c r="D261" s="822" t="s">
        <v>17</v>
      </c>
      <c r="E261" s="148"/>
      <c r="F261" s="148"/>
      <c r="G261" s="151"/>
      <c r="H261" s="152" t="s">
        <v>12</v>
      </c>
      <c r="I261" s="419"/>
      <c r="J261" s="419"/>
      <c r="K261" s="154"/>
      <c r="L261" s="155">
        <f t="shared" ref="L261:N261" ca="1" si="115">L262+L263</f>
        <v>158500</v>
      </c>
      <c r="M261" s="155">
        <f t="shared" ca="1" si="115"/>
        <v>65000</v>
      </c>
      <c r="N261" s="155">
        <f t="shared" ca="1" si="115"/>
        <v>28664</v>
      </c>
      <c r="O261" s="155">
        <f t="shared" ref="O261:O269" ca="1" si="116">IF(L261&gt;0,N261*100/L261,0)</f>
        <v>18.084542586750789</v>
      </c>
      <c r="P261" s="155">
        <f t="shared" ref="P261:P269" ca="1" si="117">IF(M261&gt;0,N261*100/M261,0)</f>
        <v>44.098461538461535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2" t="s">
        <v>18</v>
      </c>
      <c r="F262" s="40"/>
      <c r="G262" s="157"/>
      <c r="H262" s="158" t="s">
        <v>12</v>
      </c>
      <c r="I262" s="610"/>
      <c r="J262" s="610"/>
      <c r="K262" s="93"/>
      <c r="L262" s="93">
        <f t="shared" ref="L262:N263" si="118">L265+L268</f>
        <v>0</v>
      </c>
      <c r="M262" s="93">
        <f t="shared" si="118"/>
        <v>0</v>
      </c>
      <c r="N262" s="93">
        <f t="shared" si="118"/>
        <v>0</v>
      </c>
      <c r="O262" s="93">
        <f t="shared" si="116"/>
        <v>0</v>
      </c>
      <c r="P262" s="93">
        <f t="shared" si="117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2" t="s">
        <v>19</v>
      </c>
      <c r="F263" s="40"/>
      <c r="G263" s="157"/>
      <c r="H263" s="158" t="s">
        <v>12</v>
      </c>
      <c r="I263" s="610"/>
      <c r="J263" s="610"/>
      <c r="K263" s="93"/>
      <c r="L263" s="93">
        <f t="shared" ca="1" si="118"/>
        <v>158500</v>
      </c>
      <c r="M263" s="93">
        <f t="shared" ca="1" si="118"/>
        <v>65000</v>
      </c>
      <c r="N263" s="93">
        <f t="shared" ca="1" si="118"/>
        <v>28664</v>
      </c>
      <c r="O263" s="93">
        <f t="shared" ca="1" si="116"/>
        <v>18.084542586750789</v>
      </c>
      <c r="P263" s="93">
        <f t="shared" ca="1" si="117"/>
        <v>44.098461538461535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1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6">
        <f t="shared" ref="L264:N264" ca="1" si="119">L265+L266</f>
        <v>158500</v>
      </c>
      <c r="M264" s="496">
        <f t="shared" ca="1" si="119"/>
        <v>65000</v>
      </c>
      <c r="N264" s="496">
        <f t="shared" ca="1" si="119"/>
        <v>28664</v>
      </c>
      <c r="O264" s="496">
        <f t="shared" ca="1" si="116"/>
        <v>18.084542586750789</v>
      </c>
      <c r="P264" s="496">
        <f t="shared" ca="1" si="117"/>
        <v>44.098461538461535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2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6"/>
        <v>0</v>
      </c>
      <c r="P265" s="93">
        <f t="shared" si="117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2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IFERROR(__xludf.DUMMYFUNCTION("IMPORTRANGE(""https://docs.google.com/spreadsheets/d/1MeEWN-I1oV_STSDYn1IFDPWt_1FKiwhDph83XaGc0o0/edit?usp=sharing"",""งบพรบ!CY73"")"),158500)</f>
        <v>158500</v>
      </c>
      <c r="M266" s="93">
        <f ca="1">IFERROR(__xludf.DUMMYFUNCTION("IMPORTRANGE(""https://docs.google.com/spreadsheets/d/1MeEWN-I1oV_STSDYn1IFDPWt_1FKiwhDph83XaGc0o0/edit?usp=sharing"",""งบพรบ!DD73"")"),65000)</f>
        <v>65000</v>
      </c>
      <c r="N266" s="93">
        <f ca="1">IFERROR(__xludf.DUMMYFUNCTION("IMPORTRANGE(""https://docs.google.com/spreadsheets/d/1MeEWN-I1oV_STSDYn1IFDPWt_1FKiwhDph83XaGc0o0/edit?usp=sharing"",""งบพรบ!DF73"")"),28664)</f>
        <v>28664</v>
      </c>
      <c r="O266" s="93">
        <f t="shared" ca="1" si="116"/>
        <v>18.084542586750789</v>
      </c>
      <c r="P266" s="93">
        <f t="shared" ca="1" si="117"/>
        <v>44.098461538461535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1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6">
        <f t="shared" ref="L267:N267" ca="1" si="120">L268+L269</f>
        <v>0</v>
      </c>
      <c r="M267" s="496">
        <f t="shared" ca="1" si="120"/>
        <v>0</v>
      </c>
      <c r="N267" s="496">
        <f t="shared" ca="1" si="120"/>
        <v>0</v>
      </c>
      <c r="O267" s="496">
        <f t="shared" ca="1" si="116"/>
        <v>0</v>
      </c>
      <c r="P267" s="496">
        <f t="shared" ca="1" si="117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2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6"/>
        <v>0</v>
      </c>
      <c r="P268" s="93">
        <f t="shared" si="117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2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IFERROR(__xludf.DUMMYFUNCTION("IMPORTRANGE(""https://docs.google.com/spreadsheets/d/1MeEWN-I1oV_STSDYn1IFDPWt_1FKiwhDph83XaGc0o0/edit?usp=sharing"",""งบพรบ!DB73"")"),0)</f>
        <v>0</v>
      </c>
      <c r="M269" s="93">
        <f ca="1">IFERROR(__xludf.DUMMYFUNCTION("IMPORTRANGE(""https://docs.google.com/spreadsheets/d/1MeEWN-I1oV_STSDYn1IFDPWt_1FKiwhDph83XaGc0o0/edit?usp=sharing"",""งบพรบ!DE73"")"),0)</f>
        <v>0</v>
      </c>
      <c r="N269" s="93">
        <f ca="1">IFERROR(__xludf.DUMMYFUNCTION("IMPORTRANGE(""https://docs.google.com/spreadsheets/d/1MeEWN-I1oV_STSDYn1IFDPWt_1FKiwhDph83XaGc0o0/edit?usp=sharing"",""งบพรบ!DG73"")"),0)</f>
        <v>0</v>
      </c>
      <c r="O269" s="93">
        <f t="shared" ca="1" si="116"/>
        <v>0</v>
      </c>
      <c r="P269" s="93">
        <f t="shared" ca="1" si="117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1" t="s">
        <v>16</v>
      </c>
      <c r="D270" s="823" t="s">
        <v>38</v>
      </c>
      <c r="E270" s="173"/>
      <c r="F270" s="173"/>
      <c r="G270" s="174"/>
      <c r="H270" s="753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5" t="s">
        <v>124</v>
      </c>
      <c r="E271" s="178"/>
      <c r="F271" s="366"/>
      <c r="G271" s="179"/>
      <c r="H271" s="376" t="s">
        <v>35</v>
      </c>
      <c r="I271" s="269">
        <f ca="1">IFERROR(__xludf.DUMMYFUNCTION("IMPORTRANGE(""https://docs.google.com/spreadsheets/d/1QqKyyYR6Q21VydFLVH3TRQUabQu_ym0Zz7PgGX0-kHA/edit?usp=sharing"",""แผน!EA73"")"),10)</f>
        <v>10</v>
      </c>
      <c r="J271" s="214">
        <v>0</v>
      </c>
      <c r="K271" s="163">
        <f ca="1">IF(I271&gt;0,J271*100/I271,0)</f>
        <v>0</v>
      </c>
      <c r="L271" s="163"/>
      <c r="M271" s="163"/>
      <c r="N271" s="163"/>
      <c r="O271" s="163"/>
      <c r="P271" s="163"/>
    </row>
    <row r="272" spans="1:26" ht="18.75" hidden="1">
      <c r="A272" s="377"/>
      <c r="B272" s="378"/>
      <c r="C272" s="378"/>
      <c r="D272" s="379" t="s">
        <v>125</v>
      </c>
      <c r="E272" s="380"/>
      <c r="F272" s="380"/>
      <c r="G272" s="381"/>
      <c r="H272" s="50" t="s">
        <v>35</v>
      </c>
      <c r="I272" s="499">
        <v>0</v>
      </c>
      <c r="J272" s="499">
        <v>0</v>
      </c>
      <c r="K272" s="384">
        <v>0</v>
      </c>
      <c r="L272" s="384"/>
      <c r="M272" s="384"/>
      <c r="N272" s="384"/>
      <c r="O272" s="384"/>
      <c r="P272" s="384"/>
    </row>
    <row r="273" spans="1:26" ht="19.5">
      <c r="A273" s="385" t="s">
        <v>126</v>
      </c>
      <c r="B273" s="386"/>
      <c r="C273" s="386"/>
      <c r="D273" s="386"/>
      <c r="E273" s="387"/>
      <c r="F273" s="387"/>
      <c r="G273" s="388"/>
      <c r="H273" s="389"/>
      <c r="I273" s="390"/>
      <c r="J273" s="390"/>
      <c r="K273" s="391"/>
      <c r="L273" s="391"/>
      <c r="M273" s="391"/>
      <c r="N273" s="391"/>
      <c r="O273" s="391"/>
      <c r="P273" s="391"/>
    </row>
    <row r="274" spans="1:26" ht="19.5" hidden="1">
      <c r="A274" s="392" t="s">
        <v>127</v>
      </c>
      <c r="B274" s="393"/>
      <c r="C274" s="394"/>
      <c r="D274" s="393"/>
      <c r="E274" s="393"/>
      <c r="F274" s="393"/>
      <c r="G274" s="393"/>
      <c r="H274" s="395"/>
      <c r="I274" s="396"/>
      <c r="J274" s="397"/>
      <c r="K274" s="398"/>
      <c r="L274" s="398"/>
      <c r="M274" s="398"/>
      <c r="N274" s="398"/>
      <c r="O274" s="398"/>
      <c r="P274" s="398"/>
    </row>
    <row r="275" spans="1:26" ht="19.5" hidden="1">
      <c r="A275" s="399"/>
      <c r="B275" s="408" t="s">
        <v>128</v>
      </c>
      <c r="C275" s="401"/>
      <c r="D275" s="402"/>
      <c r="E275" s="401"/>
      <c r="F275" s="401"/>
      <c r="G275" s="403"/>
      <c r="H275" s="404" t="s">
        <v>35</v>
      </c>
      <c r="I275" s="405">
        <f t="shared" ref="I275:J275" ca="1" si="121">I288</f>
        <v>0</v>
      </c>
      <c r="J275" s="405">
        <f t="shared" ca="1" si="121"/>
        <v>0</v>
      </c>
      <c r="K275" s="406">
        <f t="shared" ref="K275:K276" ca="1" si="122">IF(I275&gt;0,J275*100/I275,0)</f>
        <v>0</v>
      </c>
      <c r="L275" s="407"/>
      <c r="M275" s="407"/>
      <c r="N275" s="407"/>
      <c r="O275" s="407"/>
      <c r="P275" s="407"/>
    </row>
    <row r="276" spans="1:26" ht="19.5" hidden="1">
      <c r="A276" s="399"/>
      <c r="B276" s="408"/>
      <c r="C276" s="401"/>
      <c r="D276" s="402"/>
      <c r="E276" s="401"/>
      <c r="F276" s="401"/>
      <c r="G276" s="403"/>
      <c r="H276" s="404" t="s">
        <v>46</v>
      </c>
      <c r="I276" s="831">
        <f t="shared" ref="I276:J276" ca="1" si="123">I287</f>
        <v>0</v>
      </c>
      <c r="J276" s="831">
        <f t="shared" si="123"/>
        <v>0</v>
      </c>
      <c r="K276" s="407">
        <f t="shared" ca="1" si="122"/>
        <v>0</v>
      </c>
      <c r="L276" s="407"/>
      <c r="M276" s="407"/>
      <c r="N276" s="407"/>
      <c r="O276" s="407"/>
      <c r="P276" s="407"/>
    </row>
    <row r="277" spans="1:26" ht="19.5" hidden="1">
      <c r="A277" s="147"/>
      <c r="B277" s="148"/>
      <c r="C277" s="149" t="s">
        <v>16</v>
      </c>
      <c r="D277" s="822" t="s">
        <v>17</v>
      </c>
      <c r="E277" s="148"/>
      <c r="F277" s="148"/>
      <c r="G277" s="151"/>
      <c r="H277" s="152" t="s">
        <v>12</v>
      </c>
      <c r="I277" s="419"/>
      <c r="J277" s="419"/>
      <c r="K277" s="154"/>
      <c r="L277" s="155">
        <f t="shared" ref="L277:N277" ca="1" si="124">L278+L279</f>
        <v>0</v>
      </c>
      <c r="M277" s="155">
        <f t="shared" ca="1" si="124"/>
        <v>0</v>
      </c>
      <c r="N277" s="155">
        <f t="shared" ca="1" si="124"/>
        <v>0</v>
      </c>
      <c r="O277" s="155">
        <f t="shared" ref="O277:O285" ca="1" si="125">IF(L277&gt;0,N277*100/L277,0)</f>
        <v>0</v>
      </c>
      <c r="P277" s="155">
        <f t="shared" ref="P277:P285" ca="1" si="126">IF(M277&gt;0,N277*100/M277,0)</f>
        <v>0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2" t="s">
        <v>18</v>
      </c>
      <c r="F278" s="40"/>
      <c r="G278" s="157"/>
      <c r="H278" s="158" t="s">
        <v>12</v>
      </c>
      <c r="I278" s="610"/>
      <c r="J278" s="610"/>
      <c r="K278" s="93"/>
      <c r="L278" s="93">
        <f t="shared" ref="L278:N279" si="127">L281+L284</f>
        <v>0</v>
      </c>
      <c r="M278" s="93">
        <f t="shared" si="127"/>
        <v>0</v>
      </c>
      <c r="N278" s="93">
        <f t="shared" si="127"/>
        <v>0</v>
      </c>
      <c r="O278" s="93">
        <f t="shared" si="125"/>
        <v>0</v>
      </c>
      <c r="P278" s="93">
        <f t="shared" si="126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2" t="s">
        <v>19</v>
      </c>
      <c r="F279" s="40"/>
      <c r="G279" s="157"/>
      <c r="H279" s="158" t="s">
        <v>12</v>
      </c>
      <c r="I279" s="610"/>
      <c r="J279" s="610"/>
      <c r="K279" s="93"/>
      <c r="L279" s="93">
        <f t="shared" ca="1" si="127"/>
        <v>0</v>
      </c>
      <c r="M279" s="93">
        <f t="shared" ca="1" si="127"/>
        <v>0</v>
      </c>
      <c r="N279" s="93">
        <f t="shared" ca="1" si="127"/>
        <v>0</v>
      </c>
      <c r="O279" s="93">
        <f t="shared" ca="1" si="125"/>
        <v>0</v>
      </c>
      <c r="P279" s="93">
        <f t="shared" ca="1" si="126"/>
        <v>0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 hidden="1">
      <c r="A280" s="159"/>
      <c r="B280" s="33"/>
      <c r="C280" s="281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6">
        <f t="shared" ref="L280:N280" ca="1" si="128">L281+L282</f>
        <v>0</v>
      </c>
      <c r="M280" s="496">
        <f t="shared" ca="1" si="128"/>
        <v>0</v>
      </c>
      <c r="N280" s="496">
        <f t="shared" ca="1" si="128"/>
        <v>0</v>
      </c>
      <c r="O280" s="496">
        <f t="shared" ca="1" si="125"/>
        <v>0</v>
      </c>
      <c r="P280" s="496">
        <f t="shared" ca="1" si="126"/>
        <v>0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2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5"/>
        <v>0</v>
      </c>
      <c r="P281" s="93">
        <f t="shared" si="126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2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IFERROR(__xludf.DUMMYFUNCTION("IMPORTRANGE(""https://docs.google.com/spreadsheets/d/1MeEWN-I1oV_STSDYn1IFDPWt_1FKiwhDph83XaGc0o0/edit?usp=sharing"",""งบพรบ!DI73"")"),0)</f>
        <v>0</v>
      </c>
      <c r="M282" s="93">
        <f ca="1">IFERROR(__xludf.DUMMYFUNCTION("IMPORTRANGE(""https://docs.google.com/spreadsheets/d/1MeEWN-I1oV_STSDYn1IFDPWt_1FKiwhDph83XaGc0o0/edit?usp=sharing"",""งบพรบ!DN73"")"),0)</f>
        <v>0</v>
      </c>
      <c r="N282" s="93">
        <f ca="1">IFERROR(__xludf.DUMMYFUNCTION("IMPORTRANGE(""https://docs.google.com/spreadsheets/d/1MeEWN-I1oV_STSDYn1IFDPWt_1FKiwhDph83XaGc0o0/edit?usp=sharing"",""งบพรบ!DP73"")"),0)</f>
        <v>0</v>
      </c>
      <c r="O282" s="93">
        <f t="shared" ca="1" si="125"/>
        <v>0</v>
      </c>
      <c r="P282" s="93">
        <f t="shared" ca="1" si="126"/>
        <v>0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 hidden="1">
      <c r="A283" s="159"/>
      <c r="B283" s="33"/>
      <c r="C283" s="281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6">
        <f t="shared" ref="L283:N283" ca="1" si="129">L284+L285</f>
        <v>0</v>
      </c>
      <c r="M283" s="496">
        <f t="shared" ca="1" si="129"/>
        <v>0</v>
      </c>
      <c r="N283" s="496">
        <f t="shared" ca="1" si="129"/>
        <v>0</v>
      </c>
      <c r="O283" s="496">
        <f t="shared" ca="1" si="125"/>
        <v>0</v>
      </c>
      <c r="P283" s="496">
        <f t="shared" ca="1" si="126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2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5"/>
        <v>0</v>
      </c>
      <c r="P284" s="93">
        <f t="shared" si="126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2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IFERROR(__xludf.DUMMYFUNCTION("IMPORTRANGE(""https://docs.google.com/spreadsheets/d/1MeEWN-I1oV_STSDYn1IFDPWt_1FKiwhDph83XaGc0o0/edit?usp=sharing"",""งบพรบ!DL73"")"),0)</f>
        <v>0</v>
      </c>
      <c r="M285" s="93">
        <f ca="1">IFERROR(__xludf.DUMMYFUNCTION("IMPORTRANGE(""https://docs.google.com/spreadsheets/d/1MeEWN-I1oV_STSDYn1IFDPWt_1FKiwhDph83XaGc0o0/edit?usp=sharing"",""งบพรบ!DO73"")"),0)</f>
        <v>0</v>
      </c>
      <c r="N285" s="93">
        <f ca="1">IFERROR(__xludf.DUMMYFUNCTION("IMPORTRANGE(""https://docs.google.com/spreadsheets/d/1MeEWN-I1oV_STSDYn1IFDPWt_1FKiwhDph83XaGc0o0/edit?usp=sharing"",""งบพรบ!DQ73"")"),0)</f>
        <v>0</v>
      </c>
      <c r="O285" s="93">
        <f t="shared" ca="1" si="125"/>
        <v>0</v>
      </c>
      <c r="P285" s="93">
        <f t="shared" ca="1" si="126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 hidden="1">
      <c r="A286" s="170"/>
      <c r="B286" s="171"/>
      <c r="C286" s="164" t="s">
        <v>16</v>
      </c>
      <c r="D286" s="823" t="s">
        <v>38</v>
      </c>
      <c r="E286" s="173"/>
      <c r="F286" s="173"/>
      <c r="G286" s="174"/>
      <c r="H286" s="753"/>
      <c r="I286" s="184"/>
      <c r="J286" s="184"/>
      <c r="K286" s="163"/>
      <c r="L286" s="163"/>
      <c r="M286" s="163"/>
      <c r="N286" s="163"/>
      <c r="O286" s="163"/>
      <c r="P286" s="163"/>
    </row>
    <row r="287" spans="1:26" ht="18.75" hidden="1">
      <c r="A287" s="170"/>
      <c r="B287" s="171"/>
      <c r="C287" s="171"/>
      <c r="D287" s="619" t="s">
        <v>129</v>
      </c>
      <c r="E287" s="171"/>
      <c r="F287" s="178"/>
      <c r="G287" s="179"/>
      <c r="H287" s="185" t="s">
        <v>46</v>
      </c>
      <c r="I287" s="269">
        <f ca="1">IFERROR(__xludf.DUMMYFUNCTION("IMPORTRANGE(""https://docs.google.com/spreadsheets/d/1QqKyyYR6Q21VydFLVH3TRQUabQu_ym0Zz7PgGX0-kHA/edit?usp=sharing"",""แผน!EC73"")"),0)</f>
        <v>0</v>
      </c>
      <c r="J287" s="269">
        <v>0</v>
      </c>
      <c r="K287" s="163">
        <f t="shared" ref="K287:K288" ca="1" si="130">IF(I287&gt;0,J287*100/I287,0)</f>
        <v>0</v>
      </c>
      <c r="L287" s="163"/>
      <c r="M287" s="163"/>
      <c r="N287" s="163"/>
      <c r="O287" s="163"/>
      <c r="P287" s="163"/>
    </row>
    <row r="288" spans="1:26" ht="19.5" hidden="1">
      <c r="A288" s="170"/>
      <c r="B288" s="171"/>
      <c r="C288" s="171"/>
      <c r="D288" s="619" t="s">
        <v>130</v>
      </c>
      <c r="E288" s="171"/>
      <c r="F288" s="178"/>
      <c r="G288" s="179"/>
      <c r="H288" s="180" t="s">
        <v>35</v>
      </c>
      <c r="I288" s="674">
        <f ca="1">IFERROR(__xludf.DUMMYFUNCTION("IMPORTRANGE(""https://docs.google.com/spreadsheets/d/1QqKyyYR6Q21VydFLVH3TRQUabQu_ym0Zz7PgGX0-kHA/edit?usp=sharing"",""แผน!EB73"")"),0)</f>
        <v>0</v>
      </c>
      <c r="J288" s="674">
        <f ca="1">IF(AND(J291&gt;=I288,J294&gt;=I288),J294,0)</f>
        <v>0</v>
      </c>
      <c r="K288" s="410">
        <f t="shared" ca="1" si="130"/>
        <v>0</v>
      </c>
      <c r="L288" s="163"/>
      <c r="M288" s="163"/>
      <c r="N288" s="163"/>
      <c r="O288" s="163"/>
      <c r="P288" s="163"/>
    </row>
    <row r="289" spans="1:26" ht="19.5" hidden="1">
      <c r="A289" s="170"/>
      <c r="B289" s="171"/>
      <c r="C289" s="171"/>
      <c r="D289" s="411"/>
      <c r="E289" s="412" t="s">
        <v>131</v>
      </c>
      <c r="F289" s="178"/>
      <c r="G289" s="179"/>
      <c r="H289" s="755"/>
      <c r="I289" s="184"/>
      <c r="J289" s="269"/>
      <c r="K289" s="163"/>
      <c r="L289" s="163"/>
      <c r="M289" s="163"/>
      <c r="N289" s="163"/>
      <c r="O289" s="163"/>
      <c r="P289" s="163"/>
    </row>
    <row r="290" spans="1:26" ht="19.5" hidden="1">
      <c r="A290" s="170"/>
      <c r="B290" s="171"/>
      <c r="C290" s="171"/>
      <c r="D290" s="411"/>
      <c r="E290" s="619" t="s">
        <v>132</v>
      </c>
      <c r="F290" s="178"/>
      <c r="G290" s="179"/>
      <c r="H290" s="755" t="s">
        <v>35</v>
      </c>
      <c r="I290" s="184">
        <f ca="1">IFERROR(__xludf.DUMMYFUNCTION("IMPORTRANGE(""https://docs.google.com/spreadsheets/d/1QqKyyYR6Q21VydFLVH3TRQUabQu_ym0Zz7PgGX0-kHA/edit?usp=sharing"",""แผน!EB73"")"),0)</f>
        <v>0</v>
      </c>
      <c r="J290" s="214">
        <v>0</v>
      </c>
      <c r="K290" s="163">
        <f t="shared" ref="K290:K291" ca="1" si="131">IF(I290&gt;0,J290*100/I290,0)</f>
        <v>0</v>
      </c>
      <c r="L290" s="163"/>
      <c r="M290" s="163"/>
      <c r="N290" s="163"/>
      <c r="O290" s="163"/>
      <c r="P290" s="163"/>
    </row>
    <row r="291" spans="1:26" ht="19.5" hidden="1">
      <c r="A291" s="170"/>
      <c r="B291" s="171"/>
      <c r="C291" s="171"/>
      <c r="D291" s="178"/>
      <c r="E291" s="619" t="s">
        <v>333</v>
      </c>
      <c r="F291" s="178"/>
      <c r="G291" s="179"/>
      <c r="H291" s="755" t="s">
        <v>35</v>
      </c>
      <c r="I291" s="184">
        <f ca="1">IFERROR(__xludf.DUMMYFUNCTION("IMPORTRANGE(""https://docs.google.com/spreadsheets/d/1QqKyyYR6Q21VydFLVH3TRQUabQu_ym0Zz7PgGX0-kHA/edit?usp=sharing"",""แผน!EB73"")"),0)</f>
        <v>0</v>
      </c>
      <c r="J291" s="214">
        <v>0</v>
      </c>
      <c r="K291" s="163">
        <f t="shared" ca="1" si="131"/>
        <v>0</v>
      </c>
      <c r="L291" s="163"/>
      <c r="M291" s="163"/>
      <c r="N291" s="163"/>
      <c r="O291" s="163"/>
      <c r="P291" s="163"/>
    </row>
    <row r="292" spans="1:26" ht="19.5" hidden="1">
      <c r="A292" s="413"/>
      <c r="B292" s="414"/>
      <c r="C292" s="414"/>
      <c r="D292" s="415"/>
      <c r="E292" s="416" t="s">
        <v>134</v>
      </c>
      <c r="F292" s="287"/>
      <c r="G292" s="288"/>
      <c r="H292" s="417"/>
      <c r="I292" s="418"/>
      <c r="J292" s="419"/>
      <c r="K292" s="279"/>
      <c r="L292" s="279"/>
      <c r="M292" s="279"/>
      <c r="N292" s="279"/>
      <c r="O292" s="279"/>
      <c r="P292" s="279"/>
    </row>
    <row r="293" spans="1:26" ht="19.5" hidden="1">
      <c r="A293" s="170"/>
      <c r="B293" s="171"/>
      <c r="C293" s="171"/>
      <c r="D293" s="411"/>
      <c r="E293" s="619" t="s">
        <v>132</v>
      </c>
      <c r="F293" s="178"/>
      <c r="G293" s="179"/>
      <c r="H293" s="755" t="s">
        <v>35</v>
      </c>
      <c r="I293" s="184">
        <f ca="1">IFERROR(__xludf.DUMMYFUNCTION("IMPORTRANGE(""https://docs.google.com/spreadsheets/d/1QqKyyYR6Q21VydFLVH3TRQUabQu_ym0Zz7PgGX0-kHA/edit?usp=sharing"",""แผน!EB73"")"),0)</f>
        <v>0</v>
      </c>
      <c r="J293" s="214">
        <v>0</v>
      </c>
      <c r="K293" s="163">
        <f t="shared" ref="K293:K294" ca="1" si="132">IF(I293&gt;0,J293*100/I293,0)</f>
        <v>0</v>
      </c>
      <c r="L293" s="163"/>
      <c r="M293" s="163"/>
      <c r="N293" s="163"/>
      <c r="O293" s="163"/>
      <c r="P293" s="163"/>
    </row>
    <row r="294" spans="1:26" ht="19.5" hidden="1">
      <c r="A294" s="377"/>
      <c r="B294" s="378"/>
      <c r="C294" s="378"/>
      <c r="D294" s="380"/>
      <c r="E294" s="725" t="s">
        <v>333</v>
      </c>
      <c r="F294" s="380"/>
      <c r="G294" s="381"/>
      <c r="H294" s="421" t="s">
        <v>35</v>
      </c>
      <c r="I294" s="422">
        <f ca="1">IFERROR(__xludf.DUMMYFUNCTION("IMPORTRANGE(""https://docs.google.com/spreadsheets/d/1QqKyyYR6Q21VydFLVH3TRQUabQu_ym0Zz7PgGX0-kHA/edit?usp=sharing"",""แผน!EB73"")"),0)</f>
        <v>0</v>
      </c>
      <c r="J294" s="423">
        <v>0</v>
      </c>
      <c r="K294" s="384">
        <f t="shared" ca="1" si="132"/>
        <v>0</v>
      </c>
      <c r="L294" s="384"/>
      <c r="M294" s="384"/>
      <c r="N294" s="384"/>
      <c r="O294" s="384"/>
      <c r="P294" s="384"/>
    </row>
    <row r="295" spans="1:26" ht="19.5">
      <c r="A295" s="424" t="s">
        <v>137</v>
      </c>
      <c r="B295" s="425"/>
      <c r="C295" s="425"/>
      <c r="D295" s="425"/>
      <c r="E295" s="426"/>
      <c r="F295" s="426"/>
      <c r="G295" s="427"/>
      <c r="H295" s="428"/>
      <c r="I295" s="429"/>
      <c r="J295" s="429"/>
      <c r="K295" s="430"/>
      <c r="L295" s="430"/>
      <c r="M295" s="430"/>
      <c r="N295" s="430"/>
      <c r="O295" s="430"/>
      <c r="P295" s="430"/>
    </row>
    <row r="296" spans="1:26" ht="19.5" hidden="1">
      <c r="A296" s="431" t="s">
        <v>138</v>
      </c>
      <c r="B296" s="432"/>
      <c r="C296" s="432"/>
      <c r="D296" s="433"/>
      <c r="E296" s="433"/>
      <c r="F296" s="433"/>
      <c r="G296" s="434"/>
      <c r="H296" s="435"/>
      <c r="I296" s="436"/>
      <c r="J296" s="436"/>
      <c r="K296" s="437"/>
      <c r="L296" s="437"/>
      <c r="M296" s="437"/>
      <c r="N296" s="437"/>
      <c r="O296" s="437"/>
      <c r="P296" s="437"/>
    </row>
    <row r="297" spans="1:26" ht="19.5" hidden="1">
      <c r="A297" s="438"/>
      <c r="B297" s="439" t="s">
        <v>139</v>
      </c>
      <c r="C297" s="440"/>
      <c r="D297" s="440"/>
      <c r="E297" s="440"/>
      <c r="F297" s="440"/>
      <c r="G297" s="441"/>
      <c r="H297" s="442" t="s">
        <v>35</v>
      </c>
      <c r="I297" s="443">
        <f t="shared" ref="I297:J297" ca="1" si="133">I309</f>
        <v>0</v>
      </c>
      <c r="J297" s="443">
        <f t="shared" si="133"/>
        <v>0</v>
      </c>
      <c r="K297" s="444">
        <f ca="1">IF(I297&gt;0,J297*100/I297,0)</f>
        <v>0</v>
      </c>
      <c r="L297" s="445"/>
      <c r="M297" s="445"/>
      <c r="N297" s="445"/>
      <c r="O297" s="445"/>
      <c r="P297" s="445"/>
    </row>
    <row r="298" spans="1:26" ht="19.5" hidden="1">
      <c r="A298" s="147"/>
      <c r="B298" s="148"/>
      <c r="C298" s="149" t="s">
        <v>16</v>
      </c>
      <c r="D298" s="822" t="s">
        <v>17</v>
      </c>
      <c r="E298" s="148"/>
      <c r="F298" s="148"/>
      <c r="G298" s="151"/>
      <c r="H298" s="152" t="s">
        <v>12</v>
      </c>
      <c r="I298" s="419"/>
      <c r="J298" s="419"/>
      <c r="K298" s="154"/>
      <c r="L298" s="155">
        <f t="shared" ref="L298:N298" ca="1" si="134">L299+L300</f>
        <v>0</v>
      </c>
      <c r="M298" s="155">
        <f t="shared" ca="1" si="134"/>
        <v>0</v>
      </c>
      <c r="N298" s="155">
        <f t="shared" ca="1" si="134"/>
        <v>0</v>
      </c>
      <c r="O298" s="155">
        <f t="shared" ref="O298:O306" ca="1" si="135">IF(L298&gt;0,N298*100/L298,0)</f>
        <v>0</v>
      </c>
      <c r="P298" s="155">
        <f t="shared" ref="P298:P306" ca="1" si="136">IF(M298&gt;0,N298*100/M298,0)</f>
        <v>0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2" t="s">
        <v>18</v>
      </c>
      <c r="F299" s="40"/>
      <c r="G299" s="157"/>
      <c r="H299" s="158" t="s">
        <v>12</v>
      </c>
      <c r="I299" s="610"/>
      <c r="J299" s="610"/>
      <c r="K299" s="93"/>
      <c r="L299" s="93">
        <f t="shared" ref="L299:N300" si="137">L302+L305</f>
        <v>0</v>
      </c>
      <c r="M299" s="93">
        <f t="shared" si="137"/>
        <v>0</v>
      </c>
      <c r="N299" s="93">
        <f t="shared" si="137"/>
        <v>0</v>
      </c>
      <c r="O299" s="93">
        <f t="shared" si="135"/>
        <v>0</v>
      </c>
      <c r="P299" s="93">
        <f t="shared" si="136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2" t="s">
        <v>19</v>
      </c>
      <c r="F300" s="40"/>
      <c r="G300" s="157"/>
      <c r="H300" s="158" t="s">
        <v>12</v>
      </c>
      <c r="I300" s="610"/>
      <c r="J300" s="610"/>
      <c r="K300" s="93"/>
      <c r="L300" s="93">
        <f t="shared" ca="1" si="137"/>
        <v>0</v>
      </c>
      <c r="M300" s="93">
        <f t="shared" ca="1" si="137"/>
        <v>0</v>
      </c>
      <c r="N300" s="93">
        <f t="shared" ca="1" si="137"/>
        <v>0</v>
      </c>
      <c r="O300" s="93">
        <f t="shared" ca="1" si="135"/>
        <v>0</v>
      </c>
      <c r="P300" s="93">
        <f t="shared" ca="1" si="136"/>
        <v>0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 hidden="1">
      <c r="A301" s="159"/>
      <c r="B301" s="33"/>
      <c r="C301" s="281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6">
        <f t="shared" ref="L301:N301" ca="1" si="138">L302+L303</f>
        <v>0</v>
      </c>
      <c r="M301" s="496">
        <f t="shared" ca="1" si="138"/>
        <v>0</v>
      </c>
      <c r="N301" s="496">
        <f t="shared" ca="1" si="138"/>
        <v>0</v>
      </c>
      <c r="O301" s="496">
        <f t="shared" ca="1" si="135"/>
        <v>0</v>
      </c>
      <c r="P301" s="496">
        <f t="shared" ca="1" si="136"/>
        <v>0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2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5"/>
        <v>0</v>
      </c>
      <c r="P302" s="93">
        <f t="shared" si="136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2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IFERROR(__xludf.DUMMYFUNCTION("IMPORTRANGE(""https://docs.google.com/spreadsheets/d/1MeEWN-I1oV_STSDYn1IFDPWt_1FKiwhDph83XaGc0o0/edit?usp=sharing"",""งบพรบ!DS73"")"),0)</f>
        <v>0</v>
      </c>
      <c r="M303" s="93">
        <f ca="1">IFERROR(__xludf.DUMMYFUNCTION("IMPORTRANGE(""https://docs.google.com/spreadsheets/d/1MeEWN-I1oV_STSDYn1IFDPWt_1FKiwhDph83XaGc0o0/edit?usp=sharing"",""งบพรบ!DX73"")"),0)</f>
        <v>0</v>
      </c>
      <c r="N303" s="93">
        <f ca="1">IFERROR(__xludf.DUMMYFUNCTION("IMPORTRANGE(""https://docs.google.com/spreadsheets/d/1MeEWN-I1oV_STSDYn1IFDPWt_1FKiwhDph83XaGc0o0/edit?usp=sharing"",""งบพรบ!DZ73"")"),0)</f>
        <v>0</v>
      </c>
      <c r="O303" s="93">
        <f t="shared" ca="1" si="135"/>
        <v>0</v>
      </c>
      <c r="P303" s="93">
        <f t="shared" ca="1" si="136"/>
        <v>0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 hidden="1">
      <c r="A304" s="159"/>
      <c r="B304" s="33"/>
      <c r="C304" s="281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6">
        <f t="shared" ref="L304:N304" ca="1" si="139">L305+L306</f>
        <v>0</v>
      </c>
      <c r="M304" s="496">
        <f t="shared" ca="1" si="139"/>
        <v>0</v>
      </c>
      <c r="N304" s="496">
        <f t="shared" ca="1" si="139"/>
        <v>0</v>
      </c>
      <c r="O304" s="496">
        <f t="shared" ca="1" si="135"/>
        <v>0</v>
      </c>
      <c r="P304" s="496">
        <f t="shared" ca="1" si="136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2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5"/>
        <v>0</v>
      </c>
      <c r="P305" s="93">
        <f t="shared" si="136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2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IFERROR(__xludf.DUMMYFUNCTION("IMPORTRANGE(""https://docs.google.com/spreadsheets/d/1MeEWN-I1oV_STSDYn1IFDPWt_1FKiwhDph83XaGc0o0/edit?usp=sharing"",""งบพรบ!DV73"")"),0)</f>
        <v>0</v>
      </c>
      <c r="M306" s="93">
        <f ca="1">IFERROR(__xludf.DUMMYFUNCTION("IMPORTRANGE(""https://docs.google.com/spreadsheets/d/1MeEWN-I1oV_STSDYn1IFDPWt_1FKiwhDph83XaGc0o0/edit?usp=sharing"",""งบพรบ!DY73"")"),0)</f>
        <v>0</v>
      </c>
      <c r="N306" s="93">
        <f ca="1">IFERROR(__xludf.DUMMYFUNCTION("IMPORTRANGE(""https://docs.google.com/spreadsheets/d/1MeEWN-I1oV_STSDYn1IFDPWt_1FKiwhDph83XaGc0o0/edit?usp=sharing"",""งบพรบ!EA73"")"),0)</f>
        <v>0</v>
      </c>
      <c r="O306" s="93">
        <f t="shared" ca="1" si="135"/>
        <v>0</v>
      </c>
      <c r="P306" s="93">
        <f t="shared" ca="1" si="136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 hidden="1">
      <c r="A307" s="170"/>
      <c r="B307" s="171"/>
      <c r="C307" s="164" t="s">
        <v>16</v>
      </c>
      <c r="D307" s="823" t="s">
        <v>38</v>
      </c>
      <c r="E307" s="173"/>
      <c r="F307" s="173"/>
      <c r="G307" s="174"/>
      <c r="H307" s="753"/>
      <c r="I307" s="269"/>
      <c r="J307" s="269"/>
      <c r="K307" s="496"/>
      <c r="L307" s="496"/>
      <c r="M307" s="496"/>
      <c r="N307" s="496"/>
      <c r="O307" s="496"/>
      <c r="P307" s="496"/>
    </row>
    <row r="308" spans="1:26" ht="18.75" hidden="1">
      <c r="A308" s="170"/>
      <c r="B308" s="171"/>
      <c r="C308" s="171"/>
      <c r="D308" s="446" t="s">
        <v>140</v>
      </c>
      <c r="E308" s="446"/>
      <c r="F308" s="446"/>
      <c r="G308" s="179"/>
      <c r="H308" s="755"/>
      <c r="I308" s="269"/>
      <c r="J308" s="214">
        <v>0</v>
      </c>
      <c r="K308" s="496"/>
      <c r="L308" s="496"/>
      <c r="M308" s="496"/>
      <c r="N308" s="496"/>
      <c r="O308" s="496"/>
      <c r="P308" s="496"/>
    </row>
    <row r="309" spans="1:26" ht="18.75" hidden="1">
      <c r="A309" s="170"/>
      <c r="B309" s="171"/>
      <c r="C309" s="171"/>
      <c r="D309" s="446" t="s">
        <v>141</v>
      </c>
      <c r="E309" s="446"/>
      <c r="F309" s="446"/>
      <c r="G309" s="179"/>
      <c r="H309" s="755" t="s">
        <v>35</v>
      </c>
      <c r="I309" s="269">
        <f ca="1">IFERROR(__xludf.DUMMYFUNCTION("IMPORTRANGE(""https://docs.google.com/spreadsheets/d/1QqKyyYR6Q21VydFLVH3TRQUabQu_ym0Zz7PgGX0-kHA/edit?usp=sharing"",""แผน!ED73"")"),0)</f>
        <v>0</v>
      </c>
      <c r="J309" s="214">
        <v>0</v>
      </c>
      <c r="K309" s="496">
        <f t="shared" ref="K309:K312" ca="1" si="140">IF(I309&gt;0,J309*100/I309,0)</f>
        <v>0</v>
      </c>
      <c r="L309" s="496"/>
      <c r="M309" s="496"/>
      <c r="N309" s="496"/>
      <c r="O309" s="496"/>
      <c r="P309" s="496"/>
    </row>
    <row r="310" spans="1:26" ht="18.75" hidden="1">
      <c r="A310" s="170"/>
      <c r="B310" s="171"/>
      <c r="C310" s="171"/>
      <c r="D310" s="446" t="s">
        <v>142</v>
      </c>
      <c r="E310" s="446"/>
      <c r="F310" s="446"/>
      <c r="G310" s="179"/>
      <c r="H310" s="755" t="s">
        <v>35</v>
      </c>
      <c r="I310" s="269">
        <f ca="1">IFERROR(__xludf.DUMMYFUNCTION("IMPORTRANGE(""https://docs.google.com/spreadsheets/d/1QqKyyYR6Q21VydFLVH3TRQUabQu_ym0Zz7PgGX0-kHA/edit?usp=sharing"",""แผน!ED73"")"),0)</f>
        <v>0</v>
      </c>
      <c r="J310" s="214">
        <v>0</v>
      </c>
      <c r="K310" s="496">
        <f t="shared" ca="1" si="140"/>
        <v>0</v>
      </c>
      <c r="L310" s="496"/>
      <c r="M310" s="496"/>
      <c r="N310" s="496"/>
      <c r="O310" s="496"/>
      <c r="P310" s="496"/>
    </row>
    <row r="311" spans="1:26" ht="18.75" hidden="1">
      <c r="A311" s="170"/>
      <c r="B311" s="171"/>
      <c r="C311" s="171"/>
      <c r="D311" s="446" t="s">
        <v>59</v>
      </c>
      <c r="E311" s="446"/>
      <c r="F311" s="446"/>
      <c r="G311" s="179"/>
      <c r="H311" s="755" t="s">
        <v>35</v>
      </c>
      <c r="I311" s="269">
        <f ca="1">IFERROR(__xludf.DUMMYFUNCTION("IMPORTRANGE(""https://docs.google.com/spreadsheets/d/1QqKyyYR6Q21VydFLVH3TRQUabQu_ym0Zz7PgGX0-kHA/edit?usp=sharing"",""แผน!ED73"")"),0)</f>
        <v>0</v>
      </c>
      <c r="J311" s="214">
        <v>0</v>
      </c>
      <c r="K311" s="496">
        <f t="shared" ca="1" si="140"/>
        <v>0</v>
      </c>
      <c r="L311" s="496"/>
      <c r="M311" s="496"/>
      <c r="N311" s="496"/>
      <c r="O311" s="496"/>
      <c r="P311" s="496"/>
    </row>
    <row r="312" spans="1:26" ht="18.75" hidden="1">
      <c r="A312" s="170"/>
      <c r="B312" s="171"/>
      <c r="C312" s="171"/>
      <c r="D312" s="446" t="s">
        <v>143</v>
      </c>
      <c r="E312" s="446"/>
      <c r="F312" s="446"/>
      <c r="G312" s="179"/>
      <c r="H312" s="755" t="s">
        <v>35</v>
      </c>
      <c r="I312" s="269">
        <f ca="1">IFERROR(__xludf.DUMMYFUNCTION("IMPORTRANGE(""https://docs.google.com/spreadsheets/d/1QqKyyYR6Q21VydFLVH3TRQUabQu_ym0Zz7PgGX0-kHA/edit?usp=sharing"",""แผน!EE73"")"),0)</f>
        <v>0</v>
      </c>
      <c r="J312" s="214">
        <v>0</v>
      </c>
      <c r="K312" s="496">
        <f t="shared" ca="1" si="140"/>
        <v>0</v>
      </c>
      <c r="L312" s="496"/>
      <c r="M312" s="496"/>
      <c r="N312" s="496"/>
      <c r="O312" s="496"/>
      <c r="P312" s="496"/>
    </row>
    <row r="313" spans="1:26" ht="19.5" hidden="1">
      <c r="A313" s="431" t="s">
        <v>144</v>
      </c>
      <c r="B313" s="432"/>
      <c r="C313" s="432"/>
      <c r="D313" s="433"/>
      <c r="E313" s="432"/>
      <c r="F313" s="432"/>
      <c r="G313" s="432"/>
      <c r="H313" s="448"/>
      <c r="I313" s="436"/>
      <c r="J313" s="436"/>
      <c r="K313" s="437"/>
      <c r="L313" s="437"/>
      <c r="M313" s="437"/>
      <c r="N313" s="437"/>
      <c r="O313" s="437"/>
      <c r="P313" s="437"/>
    </row>
    <row r="314" spans="1:26" ht="19.5" hidden="1">
      <c r="A314" s="449"/>
      <c r="B314" s="439" t="s">
        <v>145</v>
      </c>
      <c r="C314" s="450"/>
      <c r="D314" s="451"/>
      <c r="E314" s="440"/>
      <c r="F314" s="440"/>
      <c r="G314" s="441"/>
      <c r="H314" s="442" t="s">
        <v>146</v>
      </c>
      <c r="I314" s="443">
        <f t="shared" ref="I314:J314" ca="1" si="141">I325</f>
        <v>0</v>
      </c>
      <c r="J314" s="443">
        <f t="shared" si="141"/>
        <v>0</v>
      </c>
      <c r="K314" s="444">
        <f ca="1">IF(I314&gt;0,J314*100/I314,0)</f>
        <v>0</v>
      </c>
      <c r="L314" s="445"/>
      <c r="M314" s="445"/>
      <c r="N314" s="445"/>
      <c r="O314" s="445"/>
      <c r="P314" s="445"/>
    </row>
    <row r="315" spans="1:26" ht="19.5" hidden="1">
      <c r="A315" s="147"/>
      <c r="B315" s="148"/>
      <c r="C315" s="149" t="s">
        <v>16</v>
      </c>
      <c r="D315" s="822" t="s">
        <v>17</v>
      </c>
      <c r="E315" s="148"/>
      <c r="F315" s="148"/>
      <c r="G315" s="151"/>
      <c r="H315" s="152" t="s">
        <v>12</v>
      </c>
      <c r="I315" s="419"/>
      <c r="J315" s="419"/>
      <c r="K315" s="154"/>
      <c r="L315" s="155">
        <f t="shared" ref="L315:N315" ca="1" si="142">L316+L317</f>
        <v>0</v>
      </c>
      <c r="M315" s="155">
        <f t="shared" ca="1" si="142"/>
        <v>0</v>
      </c>
      <c r="N315" s="155">
        <f t="shared" ca="1" si="142"/>
        <v>0</v>
      </c>
      <c r="O315" s="155">
        <f t="shared" ref="O315:O323" ca="1" si="143">IF(L315&gt;0,N315*100/L315,0)</f>
        <v>0</v>
      </c>
      <c r="P315" s="155">
        <f t="shared" ref="P315:P323" ca="1" si="144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2" t="s">
        <v>18</v>
      </c>
      <c r="F316" s="40"/>
      <c r="G316" s="157"/>
      <c r="H316" s="158" t="s">
        <v>12</v>
      </c>
      <c r="I316" s="610"/>
      <c r="J316" s="610"/>
      <c r="K316" s="93"/>
      <c r="L316" s="93">
        <f t="shared" ref="L316:N317" si="145">L319+L322</f>
        <v>0</v>
      </c>
      <c r="M316" s="93">
        <f t="shared" si="145"/>
        <v>0</v>
      </c>
      <c r="N316" s="93">
        <f t="shared" si="145"/>
        <v>0</v>
      </c>
      <c r="O316" s="93">
        <f t="shared" si="143"/>
        <v>0</v>
      </c>
      <c r="P316" s="93">
        <f t="shared" si="144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2" t="s">
        <v>19</v>
      </c>
      <c r="F317" s="40"/>
      <c r="G317" s="157"/>
      <c r="H317" s="158" t="s">
        <v>12</v>
      </c>
      <c r="I317" s="610"/>
      <c r="J317" s="610"/>
      <c r="K317" s="93"/>
      <c r="L317" s="93">
        <f t="shared" ca="1" si="145"/>
        <v>0</v>
      </c>
      <c r="M317" s="93">
        <f t="shared" ca="1" si="145"/>
        <v>0</v>
      </c>
      <c r="N317" s="93">
        <f t="shared" ca="1" si="145"/>
        <v>0</v>
      </c>
      <c r="O317" s="93">
        <f t="shared" ca="1" si="143"/>
        <v>0</v>
      </c>
      <c r="P317" s="93">
        <f t="shared" ca="1" si="144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1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6">
        <f t="shared" ref="L318:N318" ca="1" si="146">L319+L320</f>
        <v>0</v>
      </c>
      <c r="M318" s="496">
        <f t="shared" ca="1" si="146"/>
        <v>0</v>
      </c>
      <c r="N318" s="496">
        <f t="shared" ca="1" si="146"/>
        <v>0</v>
      </c>
      <c r="O318" s="496">
        <f t="shared" ca="1" si="143"/>
        <v>0</v>
      </c>
      <c r="P318" s="496">
        <f t="shared" ca="1" si="144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2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3"/>
        <v>0</v>
      </c>
      <c r="P319" s="93">
        <f t="shared" si="144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2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IFERROR(__xludf.DUMMYFUNCTION("IMPORTRANGE(""https://docs.google.com/spreadsheets/d/1MeEWN-I1oV_STSDYn1IFDPWt_1FKiwhDph83XaGc0o0/edit?usp=sharing"",""งบพรบ!EC73"")"),0)</f>
        <v>0</v>
      </c>
      <c r="M320" s="93">
        <f ca="1">IFERROR(__xludf.DUMMYFUNCTION("IMPORTRANGE(""https://docs.google.com/spreadsheets/d/1MeEWN-I1oV_STSDYn1IFDPWt_1FKiwhDph83XaGc0o0/edit?usp=sharing"",""งบพรบ!EH73"")"),0)</f>
        <v>0</v>
      </c>
      <c r="N320" s="93">
        <f ca="1">IFERROR(__xludf.DUMMYFUNCTION("IMPORTRANGE(""https://docs.google.com/spreadsheets/d/1MeEWN-I1oV_STSDYn1IFDPWt_1FKiwhDph83XaGc0o0/edit?usp=sharing"",""งบพรบ!EJ73"")"),0)</f>
        <v>0</v>
      </c>
      <c r="O320" s="93">
        <f t="shared" ca="1" si="143"/>
        <v>0</v>
      </c>
      <c r="P320" s="93">
        <f t="shared" ca="1" si="144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1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6">
        <f t="shared" ref="L321:N321" ca="1" si="147">L322+L323</f>
        <v>0</v>
      </c>
      <c r="M321" s="496">
        <f t="shared" ca="1" si="147"/>
        <v>0</v>
      </c>
      <c r="N321" s="496">
        <f t="shared" ca="1" si="147"/>
        <v>0</v>
      </c>
      <c r="O321" s="496">
        <f t="shared" ca="1" si="143"/>
        <v>0</v>
      </c>
      <c r="P321" s="496">
        <f t="shared" ca="1" si="144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2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3"/>
        <v>0</v>
      </c>
      <c r="P322" s="93">
        <f t="shared" si="144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2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IFERROR(__xludf.DUMMYFUNCTION("IMPORTRANGE(""https://docs.google.com/spreadsheets/d/1MeEWN-I1oV_STSDYn1IFDPWt_1FKiwhDph83XaGc0o0/edit?usp=sharing"",""งบพรบ!EF73"")"),0)</f>
        <v>0</v>
      </c>
      <c r="M323" s="93">
        <f ca="1">IFERROR(__xludf.DUMMYFUNCTION("IMPORTRANGE(""https://docs.google.com/spreadsheets/d/1MeEWN-I1oV_STSDYn1IFDPWt_1FKiwhDph83XaGc0o0/edit?usp=sharing"",""งบพรบ!EI73"")"),0)</f>
        <v>0</v>
      </c>
      <c r="N323" s="93">
        <f ca="1">IFERROR(__xludf.DUMMYFUNCTION("IMPORTRANGE(""https://docs.google.com/spreadsheets/d/1MeEWN-I1oV_STSDYn1IFDPWt_1FKiwhDph83XaGc0o0/edit?usp=sharing"",""งบพรบ!EK73"")"),0)</f>
        <v>0</v>
      </c>
      <c r="O323" s="93">
        <f t="shared" ca="1" si="143"/>
        <v>0</v>
      </c>
      <c r="P323" s="93">
        <f t="shared" ca="1" si="144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23" t="s">
        <v>38</v>
      </c>
      <c r="E324" s="173"/>
      <c r="F324" s="173"/>
      <c r="G324" s="174"/>
      <c r="H324" s="753"/>
      <c r="I324" s="184"/>
      <c r="J324" s="269"/>
      <c r="K324" s="496"/>
      <c r="L324" s="496"/>
      <c r="M324" s="496"/>
      <c r="N324" s="496"/>
      <c r="O324" s="163"/>
      <c r="P324" s="163"/>
    </row>
    <row r="325" spans="1:26" ht="18.75" hidden="1">
      <c r="A325" s="170"/>
      <c r="B325" s="171"/>
      <c r="C325" s="171"/>
      <c r="D325" s="176" t="s">
        <v>147</v>
      </c>
      <c r="E325" s="178"/>
      <c r="F325" s="446"/>
      <c r="G325" s="179"/>
      <c r="H325" s="616" t="s">
        <v>146</v>
      </c>
      <c r="I325" s="269">
        <f ca="1">IFERROR(__xludf.DUMMYFUNCTION("IMPORTRANGE(""https://docs.google.com/spreadsheets/d/1QqKyyYR6Q21VydFLVH3TRQUabQu_ym0Zz7PgGX0-kHA/edit?usp=sharing"",""แผน!EF73"")"),0)</f>
        <v>0</v>
      </c>
      <c r="J325" s="214">
        <v>0</v>
      </c>
      <c r="K325" s="496">
        <f ca="1">IF(I325&gt;0,J325*100/I325,0)</f>
        <v>0</v>
      </c>
      <c r="L325" s="496"/>
      <c r="M325" s="496"/>
      <c r="N325" s="496"/>
      <c r="O325" s="163"/>
      <c r="P325" s="163"/>
    </row>
    <row r="326" spans="1:26" ht="19.5">
      <c r="A326" s="431" t="s">
        <v>148</v>
      </c>
      <c r="B326" s="432"/>
      <c r="C326" s="432"/>
      <c r="D326" s="433"/>
      <c r="E326" s="432"/>
      <c r="F326" s="432"/>
      <c r="G326" s="432"/>
      <c r="H326" s="448"/>
      <c r="I326" s="436"/>
      <c r="J326" s="436"/>
      <c r="K326" s="437"/>
      <c r="L326" s="437"/>
      <c r="M326" s="437"/>
      <c r="N326" s="437"/>
      <c r="O326" s="437"/>
      <c r="P326" s="437"/>
    </row>
    <row r="327" spans="1:26" ht="19.5">
      <c r="A327" s="438"/>
      <c r="B327" s="439" t="s">
        <v>149</v>
      </c>
      <c r="C327" s="451"/>
      <c r="D327" s="440"/>
      <c r="E327" s="440"/>
      <c r="F327" s="440"/>
      <c r="G327" s="441"/>
      <c r="H327" s="442" t="s">
        <v>35</v>
      </c>
      <c r="I327" s="443">
        <f ca="1">IFERROR(__xludf.DUMMYFUNCTION("IMPORTRANGE(""https://docs.google.com/spreadsheets/d/1QqKyyYR6Q21VydFLVH3TRQUabQu_ym0Zz7PgGX0-kHA/edit?usp=sharing"",""แผน!EG73"")"),50)</f>
        <v>50</v>
      </c>
      <c r="J327" s="443">
        <f ca="1">J338+J341+J342+J343</f>
        <v>9</v>
      </c>
      <c r="K327" s="444">
        <f ca="1">IF(I327&gt;0,J327*100/I327,0)</f>
        <v>18</v>
      </c>
      <c r="L327" s="445"/>
      <c r="M327" s="445"/>
      <c r="N327" s="445"/>
      <c r="O327" s="445"/>
      <c r="P327" s="445"/>
    </row>
    <row r="328" spans="1:26" ht="19.5">
      <c r="A328" s="147"/>
      <c r="B328" s="148"/>
      <c r="C328" s="149" t="s">
        <v>16</v>
      </c>
      <c r="D328" s="822" t="s">
        <v>17</v>
      </c>
      <c r="E328" s="148"/>
      <c r="F328" s="148"/>
      <c r="G328" s="151"/>
      <c r="H328" s="152" t="s">
        <v>12</v>
      </c>
      <c r="I328" s="419"/>
      <c r="J328" s="419"/>
      <c r="K328" s="154"/>
      <c r="L328" s="155">
        <f t="shared" ref="L328:N328" ca="1" si="148">L329+L330</f>
        <v>353600</v>
      </c>
      <c r="M328" s="155">
        <f t="shared" ca="1" si="148"/>
        <v>176800</v>
      </c>
      <c r="N328" s="155">
        <f t="shared" ca="1" si="148"/>
        <v>79194</v>
      </c>
      <c r="O328" s="155">
        <f t="shared" ref="O328:O336" ca="1" si="149">IF(L328&gt;0,N328*100/L328,0)</f>
        <v>22.396493212669682</v>
      </c>
      <c r="P328" s="155">
        <f t="shared" ref="P328:P336" ca="1" si="150">IF(M328&gt;0,N328*100/M328,0)</f>
        <v>44.792986425339365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2" t="s">
        <v>18</v>
      </c>
      <c r="F329" s="40"/>
      <c r="G329" s="157"/>
      <c r="H329" s="158" t="s">
        <v>12</v>
      </c>
      <c r="I329" s="610"/>
      <c r="J329" s="610"/>
      <c r="K329" s="93"/>
      <c r="L329" s="93">
        <f t="shared" ref="L329:N330" si="151">L332+L335</f>
        <v>0</v>
      </c>
      <c r="M329" s="93">
        <f t="shared" si="151"/>
        <v>0</v>
      </c>
      <c r="N329" s="93">
        <f t="shared" si="151"/>
        <v>0</v>
      </c>
      <c r="O329" s="93">
        <f t="shared" si="149"/>
        <v>0</v>
      </c>
      <c r="P329" s="93">
        <f t="shared" si="150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2" t="s">
        <v>19</v>
      </c>
      <c r="F330" s="40"/>
      <c r="G330" s="157"/>
      <c r="H330" s="158" t="s">
        <v>12</v>
      </c>
      <c r="I330" s="610"/>
      <c r="J330" s="610"/>
      <c r="K330" s="93"/>
      <c r="L330" s="93">
        <f t="shared" ca="1" si="151"/>
        <v>353600</v>
      </c>
      <c r="M330" s="93">
        <f t="shared" ca="1" si="151"/>
        <v>176800</v>
      </c>
      <c r="N330" s="93">
        <f t="shared" ca="1" si="151"/>
        <v>79194</v>
      </c>
      <c r="O330" s="93">
        <f t="shared" ca="1" si="149"/>
        <v>22.396493212669682</v>
      </c>
      <c r="P330" s="93">
        <f t="shared" ca="1" si="150"/>
        <v>44.792986425339365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1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6">
        <f t="shared" ref="L331:N331" ca="1" si="152">L332+L333</f>
        <v>353600</v>
      </c>
      <c r="M331" s="496">
        <f t="shared" ca="1" si="152"/>
        <v>176800</v>
      </c>
      <c r="N331" s="496">
        <f t="shared" ca="1" si="152"/>
        <v>79194</v>
      </c>
      <c r="O331" s="496">
        <f t="shared" ca="1" si="149"/>
        <v>22.396493212669682</v>
      </c>
      <c r="P331" s="496">
        <f t="shared" ca="1" si="150"/>
        <v>44.792986425339365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2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49"/>
        <v>0</v>
      </c>
      <c r="P332" s="93">
        <f t="shared" si="150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2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IFERROR(__xludf.DUMMYFUNCTION("IMPORTRANGE(""https://docs.google.com/spreadsheets/d/1MeEWN-I1oV_STSDYn1IFDPWt_1FKiwhDph83XaGc0o0/edit?usp=sharing"",""งบพรบ!EM73"")"),353600)</f>
        <v>353600</v>
      </c>
      <c r="M333" s="93">
        <f ca="1">IFERROR(__xludf.DUMMYFUNCTION("IMPORTRANGE(""https://docs.google.com/spreadsheets/d/1MeEWN-I1oV_STSDYn1IFDPWt_1FKiwhDph83XaGc0o0/edit?usp=sharing"",""งบพรบ!ER73"")"),176800)</f>
        <v>176800</v>
      </c>
      <c r="N333" s="93">
        <f ca="1">IFERROR(__xludf.DUMMYFUNCTION("IMPORTRANGE(""https://docs.google.com/spreadsheets/d/1MeEWN-I1oV_STSDYn1IFDPWt_1FKiwhDph83XaGc0o0/edit?usp=sharing"",""งบพรบ!ET73"")"),79194)</f>
        <v>79194</v>
      </c>
      <c r="O333" s="93">
        <f t="shared" ca="1" si="149"/>
        <v>22.396493212669682</v>
      </c>
      <c r="P333" s="93">
        <f t="shared" ca="1" si="150"/>
        <v>44.792986425339365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1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6">
        <f t="shared" ref="L334:N334" ca="1" si="153">L335+L336</f>
        <v>0</v>
      </c>
      <c r="M334" s="496">
        <f t="shared" ca="1" si="153"/>
        <v>0</v>
      </c>
      <c r="N334" s="496">
        <f t="shared" ca="1" si="153"/>
        <v>0</v>
      </c>
      <c r="O334" s="496">
        <f t="shared" ca="1" si="149"/>
        <v>0</v>
      </c>
      <c r="P334" s="496">
        <f t="shared" ca="1" si="150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2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49"/>
        <v>0</v>
      </c>
      <c r="P335" s="93">
        <f t="shared" si="150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2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IFERROR(__xludf.DUMMYFUNCTION("IMPORTRANGE(""https://docs.google.com/spreadsheets/d/1MeEWN-I1oV_STSDYn1IFDPWt_1FKiwhDph83XaGc0o0/edit?usp=sharing"",""งบพรบ!EP73"")"),0)</f>
        <v>0</v>
      </c>
      <c r="M336" s="93">
        <f ca="1">IFERROR(__xludf.DUMMYFUNCTION("IMPORTRANGE(""https://docs.google.com/spreadsheets/d/1MeEWN-I1oV_STSDYn1IFDPWt_1FKiwhDph83XaGc0o0/edit?usp=sharing"",""งบพรบ!ES73"")"),0)</f>
        <v>0</v>
      </c>
      <c r="N336" s="93">
        <f ca="1">IFERROR(__xludf.DUMMYFUNCTION("IMPORTRANGE(""https://docs.google.com/spreadsheets/d/1MeEWN-I1oV_STSDYn1IFDPWt_1FKiwhDph83XaGc0o0/edit?usp=sharing"",""งบพรบ!EU73"")"),0)</f>
        <v>0</v>
      </c>
      <c r="O336" s="93">
        <f t="shared" ca="1" si="149"/>
        <v>0</v>
      </c>
      <c r="P336" s="93">
        <f t="shared" ca="1" si="150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23" t="s">
        <v>38</v>
      </c>
      <c r="E337" s="173"/>
      <c r="F337" s="173"/>
      <c r="G337" s="174"/>
      <c r="H337" s="753"/>
      <c r="I337" s="184"/>
      <c r="J337" s="269"/>
      <c r="K337" s="496"/>
      <c r="L337" s="496"/>
      <c r="M337" s="496"/>
      <c r="N337" s="496"/>
      <c r="O337" s="163"/>
      <c r="P337" s="163"/>
    </row>
    <row r="338" spans="1:26" ht="18.75">
      <c r="A338" s="284"/>
      <c r="B338" s="33"/>
      <c r="C338" s="280"/>
      <c r="D338" s="446" t="s">
        <v>150</v>
      </c>
      <c r="E338" s="171"/>
      <c r="F338" s="33"/>
      <c r="G338" s="35"/>
      <c r="H338" s="276" t="s">
        <v>35</v>
      </c>
      <c r="I338" s="269">
        <f ca="1">IFERROR(__xludf.DUMMYFUNCTION("IMPORTRANGE(""https://docs.google.com/spreadsheets/d/1QqKyyYR6Q21VydFLVH3TRQUabQu_ym0Zz7PgGX0-kHA/edit?usp=sharing"",""แผน!EG73"")"),50)</f>
        <v>50</v>
      </c>
      <c r="J338" s="269">
        <f ca="1">IFERROR(__xludf.DUMMYFUNCTION("IMPORTRANGE(""https://docs.google.com/spreadsheets/d/1kVcqe37tkHyjCSG3S0O1AXqVkqjo8mSIZil3BcpIysc/edit?usp=sharing"",""ศูนย์!D73"")"),9)</f>
        <v>9</v>
      </c>
      <c r="K338" s="496">
        <f ca="1">IF(I338&gt;0,J338*100/I338,0)</f>
        <v>18</v>
      </c>
      <c r="L338" s="496"/>
      <c r="M338" s="496"/>
      <c r="N338" s="496"/>
      <c r="O338" s="496"/>
      <c r="P338" s="496"/>
    </row>
    <row r="339" spans="1:26" ht="18.75">
      <c r="A339" s="284"/>
      <c r="B339" s="33"/>
      <c r="C339" s="280"/>
      <c r="D339" s="446" t="s">
        <v>151</v>
      </c>
      <c r="E339" s="171"/>
      <c r="F339" s="33"/>
      <c r="G339" s="35"/>
      <c r="H339" s="276"/>
      <c r="I339" s="269"/>
      <c r="J339" s="269"/>
      <c r="K339" s="496"/>
      <c r="L339" s="496"/>
      <c r="M339" s="496"/>
      <c r="N339" s="496"/>
      <c r="O339" s="496"/>
      <c r="P339" s="496"/>
    </row>
    <row r="340" spans="1:26" ht="18.75">
      <c r="A340" s="284"/>
      <c r="B340" s="33"/>
      <c r="C340" s="280"/>
      <c r="D340" s="178"/>
      <c r="E340" s="446" t="s">
        <v>152</v>
      </c>
      <c r="F340" s="33"/>
      <c r="G340" s="35"/>
      <c r="H340" s="276" t="s">
        <v>153</v>
      </c>
      <c r="I340" s="269">
        <f ca="1">IFERROR(__xludf.DUMMYFUNCTION("IMPORTRANGE(""https://docs.google.com/spreadsheets/d/1QqKyyYR6Q21VydFLVH3TRQUabQu_ym0Zz7PgGX0-kHA/edit?usp=sharing"",""แผน!EH73"")"),2)</f>
        <v>2</v>
      </c>
      <c r="J340" s="269">
        <f ca="1">IFERROR(__xludf.DUMMYFUNCTION("IMPORTRANGE(""https://docs.google.com/spreadsheets/d/1kVcqe37tkHyjCSG3S0O1AXqVkqjo8mSIZil3BcpIysc/edit?usp=sharing"",""ศูนย์!E73"")"),0)</f>
        <v>0</v>
      </c>
      <c r="K340" s="496">
        <f ca="1">IF(I340&gt;0,J340*100/I340,0)</f>
        <v>0</v>
      </c>
      <c r="L340" s="496"/>
      <c r="M340" s="496"/>
      <c r="N340" s="496"/>
      <c r="O340" s="496"/>
      <c r="P340" s="496"/>
    </row>
    <row r="341" spans="1:26" ht="18.75">
      <c r="A341" s="284"/>
      <c r="B341" s="33"/>
      <c r="C341" s="280"/>
      <c r="D341" s="178"/>
      <c r="E341" s="446" t="s">
        <v>154</v>
      </c>
      <c r="F341" s="33"/>
      <c r="G341" s="35"/>
      <c r="H341" s="276" t="s">
        <v>35</v>
      </c>
      <c r="I341" s="269"/>
      <c r="J341" s="269">
        <f ca="1">IFERROR(__xludf.DUMMYFUNCTION("IMPORTRANGE(""https://docs.google.com/spreadsheets/d/1kVcqe37tkHyjCSG3S0O1AXqVkqjo8mSIZil3BcpIysc/edit?usp=sharing"",""ศูนย์!F73"")"),0)</f>
        <v>0</v>
      </c>
      <c r="K341" s="496"/>
      <c r="L341" s="496"/>
      <c r="M341" s="496"/>
      <c r="N341" s="496"/>
      <c r="O341" s="496"/>
      <c r="P341" s="496"/>
    </row>
    <row r="342" spans="1:26" ht="18.75">
      <c r="A342" s="284"/>
      <c r="B342" s="33"/>
      <c r="C342" s="280"/>
      <c r="D342" s="446" t="s">
        <v>155</v>
      </c>
      <c r="E342" s="178"/>
      <c r="F342" s="178"/>
      <c r="G342" s="35"/>
      <c r="H342" s="276" t="s">
        <v>35</v>
      </c>
      <c r="I342" s="269"/>
      <c r="J342" s="269">
        <f ca="1">IFERROR(__xludf.DUMMYFUNCTION("IMPORTRANGE(""https://docs.google.com/spreadsheets/d/1kVcqe37tkHyjCSG3S0O1AXqVkqjo8mSIZil3BcpIysc/edit?usp=sharing"",""ศูนย์!G73"")"),0)</f>
        <v>0</v>
      </c>
      <c r="K342" s="496"/>
      <c r="L342" s="496"/>
      <c r="M342" s="496"/>
      <c r="N342" s="496"/>
      <c r="O342" s="496"/>
      <c r="P342" s="496"/>
    </row>
    <row r="343" spans="1:26" ht="18.75">
      <c r="A343" s="284"/>
      <c r="B343" s="33"/>
      <c r="C343" s="280"/>
      <c r="D343" s="446" t="s">
        <v>156</v>
      </c>
      <c r="E343" s="178"/>
      <c r="F343" s="178"/>
      <c r="G343" s="35"/>
      <c r="H343" s="276" t="s">
        <v>35</v>
      </c>
      <c r="I343" s="269"/>
      <c r="J343" s="269">
        <f ca="1">IFERROR(__xludf.DUMMYFUNCTION("IMPORTRANGE(""https://docs.google.com/spreadsheets/d/1kVcqe37tkHyjCSG3S0O1AXqVkqjo8mSIZil3BcpIysc/edit?usp=sharing"",""ศูนย์!H73"")"),0)</f>
        <v>0</v>
      </c>
      <c r="K343" s="496"/>
      <c r="L343" s="496"/>
      <c r="M343" s="496"/>
      <c r="N343" s="496"/>
      <c r="O343" s="496"/>
      <c r="P343" s="496"/>
    </row>
    <row r="344" spans="1:26" ht="19.5">
      <c r="A344" s="438"/>
      <c r="B344" s="439" t="s">
        <v>157</v>
      </c>
      <c r="C344" s="451"/>
      <c r="D344" s="440"/>
      <c r="E344" s="440"/>
      <c r="F344" s="440"/>
      <c r="G344" s="441"/>
      <c r="H344" s="442"/>
      <c r="I344" s="452"/>
      <c r="J344" s="452"/>
      <c r="K344" s="445"/>
      <c r="L344" s="445"/>
      <c r="M344" s="445"/>
      <c r="N344" s="445"/>
      <c r="O344" s="445"/>
      <c r="P344" s="445"/>
    </row>
    <row r="345" spans="1:26" ht="19.5">
      <c r="A345" s="147"/>
      <c r="B345" s="148"/>
      <c r="C345" s="149" t="s">
        <v>16</v>
      </c>
      <c r="D345" s="822" t="s">
        <v>17</v>
      </c>
      <c r="E345" s="148"/>
      <c r="F345" s="148"/>
      <c r="G345" s="151"/>
      <c r="H345" s="152" t="s">
        <v>12</v>
      </c>
      <c r="I345" s="419"/>
      <c r="J345" s="419"/>
      <c r="K345" s="154"/>
      <c r="L345" s="155">
        <f t="shared" ref="L345:N345" ca="1" si="154">L346+L347</f>
        <v>78110</v>
      </c>
      <c r="M345" s="155">
        <f t="shared" ca="1" si="154"/>
        <v>54060</v>
      </c>
      <c r="N345" s="155">
        <f t="shared" ca="1" si="154"/>
        <v>30000</v>
      </c>
      <c r="O345" s="155">
        <f t="shared" ref="O345:O353" ca="1" si="155">IF(L345&gt;0,N345*100/L345,0)</f>
        <v>38.407374215849444</v>
      </c>
      <c r="P345" s="155">
        <f t="shared" ref="P345:P353" ca="1" si="156">IF(M345&gt;0,N345*100/M345,0)</f>
        <v>55.493895671476139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2" t="s">
        <v>18</v>
      </c>
      <c r="F346" s="40"/>
      <c r="G346" s="157"/>
      <c r="H346" s="158" t="s">
        <v>12</v>
      </c>
      <c r="I346" s="610"/>
      <c r="J346" s="610"/>
      <c r="K346" s="93"/>
      <c r="L346" s="93">
        <f t="shared" ref="L346:N347" si="157">L349+L352</f>
        <v>0</v>
      </c>
      <c r="M346" s="93">
        <f t="shared" si="157"/>
        <v>0</v>
      </c>
      <c r="N346" s="93">
        <f t="shared" si="157"/>
        <v>0</v>
      </c>
      <c r="O346" s="93">
        <f t="shared" si="155"/>
        <v>0</v>
      </c>
      <c r="P346" s="93">
        <f t="shared" si="156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2" t="s">
        <v>19</v>
      </c>
      <c r="F347" s="40"/>
      <c r="G347" s="157"/>
      <c r="H347" s="158" t="s">
        <v>12</v>
      </c>
      <c r="I347" s="610"/>
      <c r="J347" s="610"/>
      <c r="K347" s="93"/>
      <c r="L347" s="93">
        <f t="shared" ca="1" si="157"/>
        <v>78110</v>
      </c>
      <c r="M347" s="93">
        <f t="shared" ca="1" si="157"/>
        <v>54060</v>
      </c>
      <c r="N347" s="93">
        <f t="shared" ca="1" si="157"/>
        <v>30000</v>
      </c>
      <c r="O347" s="93">
        <f t="shared" ca="1" si="155"/>
        <v>38.407374215849444</v>
      </c>
      <c r="P347" s="93">
        <f t="shared" ca="1" si="156"/>
        <v>55.493895671476139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1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6">
        <f t="shared" ref="L348:N348" ca="1" si="158">L349+L350</f>
        <v>48110</v>
      </c>
      <c r="M348" s="496">
        <f t="shared" ca="1" si="158"/>
        <v>24060</v>
      </c>
      <c r="N348" s="496">
        <f t="shared" ca="1" si="158"/>
        <v>0</v>
      </c>
      <c r="O348" s="496">
        <f t="shared" ca="1" si="155"/>
        <v>0</v>
      </c>
      <c r="P348" s="496">
        <f t="shared" ca="1" si="156"/>
        <v>0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2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5"/>
        <v>0</v>
      </c>
      <c r="P349" s="93">
        <f t="shared" si="156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2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IFERROR(__xludf.DUMMYFUNCTION("IMPORTRANGE(""https://docs.google.com/spreadsheets/d/1MeEWN-I1oV_STSDYn1IFDPWt_1FKiwhDph83XaGc0o0/edit?usp=sharing"",""งบพรบ!EW73"")"),48110)</f>
        <v>48110</v>
      </c>
      <c r="M350" s="93">
        <f ca="1">IFERROR(__xludf.DUMMYFUNCTION("IMPORTRANGE(""https://docs.google.com/spreadsheets/d/1MeEWN-I1oV_STSDYn1IFDPWt_1FKiwhDph83XaGc0o0/edit?usp=sharing"",""งบพรบ!FB73"")"),24060)</f>
        <v>24060</v>
      </c>
      <c r="N350" s="93">
        <f ca="1">IFERROR(__xludf.DUMMYFUNCTION("IMPORTRANGE(""https://docs.google.com/spreadsheets/d/1MeEWN-I1oV_STSDYn1IFDPWt_1FKiwhDph83XaGc0o0/edit?usp=sharing"",""งบพรบ!FD73"")"),0)</f>
        <v>0</v>
      </c>
      <c r="O350" s="93">
        <f t="shared" ca="1" si="155"/>
        <v>0</v>
      </c>
      <c r="P350" s="93">
        <f t="shared" ca="1" si="156"/>
        <v>0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1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6">
        <f t="shared" ref="L351:N351" ca="1" si="159">L352+L353</f>
        <v>30000</v>
      </c>
      <c r="M351" s="496">
        <f t="shared" ca="1" si="159"/>
        <v>30000</v>
      </c>
      <c r="N351" s="496">
        <f t="shared" ca="1" si="159"/>
        <v>30000</v>
      </c>
      <c r="O351" s="496">
        <f t="shared" ca="1" si="155"/>
        <v>100</v>
      </c>
      <c r="P351" s="496">
        <f t="shared" ca="1" si="156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2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5"/>
        <v>0</v>
      </c>
      <c r="P352" s="93">
        <f t="shared" si="156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2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IFERROR(__xludf.DUMMYFUNCTION("IMPORTRANGE(""https://docs.google.com/spreadsheets/d/1MeEWN-I1oV_STSDYn1IFDPWt_1FKiwhDph83XaGc0o0/edit?usp=sharing"",""งบพรบ!EZ73"")"),30000)</f>
        <v>30000</v>
      </c>
      <c r="M353" s="93">
        <f ca="1">IFERROR(__xludf.DUMMYFUNCTION("IMPORTRANGE(""https://docs.google.com/spreadsheets/d/1MeEWN-I1oV_STSDYn1IFDPWt_1FKiwhDph83XaGc0o0/edit?usp=sharing"",""งบพรบ!FC73"")"),30000)</f>
        <v>30000</v>
      </c>
      <c r="N353" s="93">
        <f ca="1">IFERROR(__xludf.DUMMYFUNCTION("IMPORTRANGE(""https://docs.google.com/spreadsheets/d/1MeEWN-I1oV_STSDYn1IFDPWt_1FKiwhDph83XaGc0o0/edit?usp=sharing"",""งบพรบ!FE73"")"),30000)</f>
        <v>30000</v>
      </c>
      <c r="O353" s="93">
        <f t="shared" ca="1" si="155"/>
        <v>100</v>
      </c>
      <c r="P353" s="93">
        <f t="shared" ca="1" si="156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 hidden="1">
      <c r="A354" s="255"/>
      <c r="B354" s="263"/>
      <c r="C354" s="256"/>
      <c r="D354" s="832" t="s">
        <v>158</v>
      </c>
      <c r="E354" s="256"/>
      <c r="F354" s="256"/>
      <c r="G354" s="258"/>
      <c r="H354" s="454"/>
      <c r="I354" s="260"/>
      <c r="J354" s="260"/>
      <c r="K354" s="261"/>
      <c r="L354" s="261"/>
      <c r="M354" s="261"/>
      <c r="N354" s="261"/>
      <c r="O354" s="261"/>
      <c r="P354" s="261"/>
    </row>
    <row r="355" spans="1:26" ht="19.5" hidden="1">
      <c r="A355" s="455"/>
      <c r="B355" s="456"/>
      <c r="C355" s="457"/>
      <c r="D355" s="833" t="s">
        <v>159</v>
      </c>
      <c r="E355" s="459"/>
      <c r="F355" s="459"/>
      <c r="G355" s="460"/>
      <c r="H355" s="461" t="s">
        <v>35</v>
      </c>
      <c r="I355" s="463">
        <f ca="1">IFERROR(__xludf.DUMMYFUNCTION("IMPORTRANGE(""https://docs.google.com/spreadsheets/d/1QqKyyYR6Q21VydFLVH3TRQUabQu_ym0Zz7PgGX0-kHA/edit?usp=sharing"",""แผน!EP73"")"),0)</f>
        <v>0</v>
      </c>
      <c r="J355" s="463">
        <f ca="1">J362</f>
        <v>0</v>
      </c>
      <c r="K355" s="464">
        <f ca="1">IF(I355&gt;0,J355*100/I355,0)</f>
        <v>0</v>
      </c>
      <c r="L355" s="465"/>
      <c r="M355" s="465"/>
      <c r="N355" s="465"/>
      <c r="O355" s="465"/>
      <c r="P355" s="465"/>
    </row>
    <row r="356" spans="1:26" ht="19.5" hidden="1">
      <c r="A356" s="455"/>
      <c r="B356" s="456"/>
      <c r="C356" s="457"/>
      <c r="D356" s="466" t="s">
        <v>160</v>
      </c>
      <c r="E356" s="459"/>
      <c r="F356" s="459"/>
      <c r="G356" s="460"/>
      <c r="H356" s="467"/>
      <c r="I356" s="468"/>
      <c r="J356" s="468"/>
      <c r="K356" s="465"/>
      <c r="L356" s="465"/>
      <c r="M356" s="465"/>
      <c r="N356" s="465"/>
      <c r="O356" s="465"/>
      <c r="P356" s="465"/>
    </row>
    <row r="357" spans="1:26" ht="19.5" hidden="1">
      <c r="A357" s="170"/>
      <c r="B357" s="171"/>
      <c r="C357" s="164" t="s">
        <v>16</v>
      </c>
      <c r="D357" s="823" t="s">
        <v>38</v>
      </c>
      <c r="E357" s="173"/>
      <c r="F357" s="173"/>
      <c r="G357" s="174"/>
      <c r="H357" s="753"/>
      <c r="I357" s="269"/>
      <c r="J357" s="269"/>
      <c r="K357" s="496"/>
      <c r="L357" s="163"/>
      <c r="M357" s="163"/>
      <c r="N357" s="163"/>
      <c r="O357" s="163"/>
      <c r="P357" s="163"/>
    </row>
    <row r="358" spans="1:26" ht="18.75" hidden="1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69">
        <v>0</v>
      </c>
      <c r="J358" s="269">
        <f ca="1">IFERROR(__xludf.DUMMYFUNCTION("IMPORTRANGE(""https://docs.google.com/spreadsheets/d/1XWAQStnk-4SwqDmLtmXYiTMKHgktTP8We1SCoS47DrQ/edit?usp=sharing"",""จัดที่ดิน!W73"")"),0)</f>
        <v>0</v>
      </c>
      <c r="K358" s="496">
        <f t="shared" ref="K358:K365" si="160">IF(I358&gt;0,J358*100/I358,0)</f>
        <v>0</v>
      </c>
      <c r="L358" s="163"/>
      <c r="M358" s="163"/>
      <c r="N358" s="163"/>
      <c r="O358" s="163"/>
      <c r="P358" s="163"/>
    </row>
    <row r="359" spans="1:26" ht="18.75" hidden="1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69">
        <f ca="1">IFERROR(__xludf.DUMMYFUNCTION("IMPORTRANGE(""https://docs.google.com/spreadsheets/d/1QqKyyYR6Q21VydFLVH3TRQUabQu_ym0Zz7PgGX0-kHA/edit?usp=sharing"",""แผน!EO73"")"),0)</f>
        <v>0</v>
      </c>
      <c r="J359" s="269">
        <f ca="1">IFERROR(__xludf.DUMMYFUNCTION("IMPORTRANGE(""https://docs.google.com/spreadsheets/d/1XWAQStnk-4SwqDmLtmXYiTMKHgktTP8We1SCoS47DrQ/edit?usp=sharing"",""จัดที่ดิน!X73"")"),0)</f>
        <v>0</v>
      </c>
      <c r="K359" s="496">
        <f t="shared" ca="1" si="160"/>
        <v>0</v>
      </c>
      <c r="L359" s="163"/>
      <c r="M359" s="163"/>
      <c r="N359" s="163"/>
      <c r="O359" s="163"/>
      <c r="P359" s="163"/>
    </row>
    <row r="360" spans="1:26" ht="18.75" hidden="1">
      <c r="A360" s="170"/>
      <c r="B360" s="178"/>
      <c r="C360" s="171"/>
      <c r="D360" s="178"/>
      <c r="E360" s="176" t="s">
        <v>162</v>
      </c>
      <c r="F360" s="178"/>
      <c r="G360" s="179"/>
      <c r="H360" s="755" t="s">
        <v>35</v>
      </c>
      <c r="I360" s="269">
        <f ca="1">IFERROR(__xludf.DUMMYFUNCTION("IMPORTRANGE(""https://docs.google.com/spreadsheets/d/1QqKyyYR6Q21VydFLVH3TRQUabQu_ym0Zz7PgGX0-kHA/edit?usp=sharing"",""แผน!EP73"")"),0)</f>
        <v>0</v>
      </c>
      <c r="J360" s="269">
        <f ca="1">IFERROR(__xludf.DUMMYFUNCTION("IMPORTRANGE(""https://docs.google.com/spreadsheets/d/1XWAQStnk-4SwqDmLtmXYiTMKHgktTP8We1SCoS47DrQ/edit?usp=sharing"",""จัดที่ดิน!Y73"")"),0)</f>
        <v>0</v>
      </c>
      <c r="K360" s="496">
        <f t="shared" ca="1" si="160"/>
        <v>0</v>
      </c>
      <c r="L360" s="163"/>
      <c r="M360" s="163"/>
      <c r="N360" s="163"/>
      <c r="O360" s="163"/>
      <c r="P360" s="163"/>
    </row>
    <row r="361" spans="1:26" ht="18.75" hidden="1">
      <c r="A361" s="170"/>
      <c r="B361" s="178"/>
      <c r="C361" s="171"/>
      <c r="D361" s="178"/>
      <c r="E361" s="178"/>
      <c r="F361" s="178"/>
      <c r="G361" s="179"/>
      <c r="H361" s="755" t="s">
        <v>46</v>
      </c>
      <c r="I361" s="269">
        <v>0</v>
      </c>
      <c r="J361" s="269">
        <f ca="1">IFERROR(__xludf.DUMMYFUNCTION("IMPORTRANGE(""https://docs.google.com/spreadsheets/d/1XWAQStnk-4SwqDmLtmXYiTMKHgktTP8We1SCoS47DrQ/edit?usp=sharing"",""จัดที่ดิน!Z73"")"),0)</f>
        <v>0</v>
      </c>
      <c r="K361" s="496">
        <f t="shared" si="160"/>
        <v>0</v>
      </c>
      <c r="L361" s="163"/>
      <c r="M361" s="163"/>
      <c r="N361" s="163"/>
      <c r="O361" s="163"/>
      <c r="P361" s="163"/>
    </row>
    <row r="362" spans="1:26" ht="18.75" hidden="1">
      <c r="A362" s="170"/>
      <c r="B362" s="178"/>
      <c r="C362" s="171"/>
      <c r="D362" s="178"/>
      <c r="E362" s="176" t="s">
        <v>163</v>
      </c>
      <c r="F362" s="178"/>
      <c r="G362" s="179"/>
      <c r="H362" s="755" t="s">
        <v>35</v>
      </c>
      <c r="I362" s="269">
        <f ca="1">IFERROR(__xludf.DUMMYFUNCTION("IMPORTRANGE(""https://docs.google.com/spreadsheets/d/1QqKyyYR6Q21VydFLVH3TRQUabQu_ym0Zz7PgGX0-kHA/edit?usp=sharing"",""แผน!EP73"")"),0)</f>
        <v>0</v>
      </c>
      <c r="J362" s="269">
        <f ca="1">IFERROR(__xludf.DUMMYFUNCTION("IMPORTRANGE(""https://docs.google.com/spreadsheets/d/1XWAQStnk-4SwqDmLtmXYiTMKHgktTP8We1SCoS47DrQ/edit?usp=sharing"",""จัดที่ดิน!AA73"")"),0)</f>
        <v>0</v>
      </c>
      <c r="K362" s="496">
        <f t="shared" ca="1" si="160"/>
        <v>0</v>
      </c>
      <c r="L362" s="163"/>
      <c r="M362" s="163"/>
      <c r="N362" s="163"/>
      <c r="O362" s="163"/>
      <c r="P362" s="163"/>
    </row>
    <row r="363" spans="1:26" ht="18.75" hidden="1">
      <c r="A363" s="469" t="s">
        <v>164</v>
      </c>
      <c r="B363" s="178"/>
      <c r="C363" s="171"/>
      <c r="D363" s="178"/>
      <c r="E363" s="446"/>
      <c r="F363" s="178"/>
      <c r="G363" s="179"/>
      <c r="H363" s="755" t="s">
        <v>46</v>
      </c>
      <c r="I363" s="269">
        <v>0</v>
      </c>
      <c r="J363" s="269">
        <f ca="1">IFERROR(__xludf.DUMMYFUNCTION("IMPORTRANGE(""https://docs.google.com/spreadsheets/d/1XWAQStnk-4SwqDmLtmXYiTMKHgktTP8We1SCoS47DrQ/edit?usp=sharing"",""จัดที่ดิน!AB73"")"),0)</f>
        <v>0</v>
      </c>
      <c r="K363" s="496">
        <f t="shared" si="160"/>
        <v>0</v>
      </c>
      <c r="L363" s="163"/>
      <c r="M363" s="163"/>
      <c r="N363" s="163"/>
      <c r="O363" s="163"/>
      <c r="P363" s="163"/>
    </row>
    <row r="364" spans="1:26" ht="19.5" hidden="1">
      <c r="A364" s="470"/>
      <c r="B364" s="471"/>
      <c r="C364" s="472"/>
      <c r="D364" s="473" t="s">
        <v>165</v>
      </c>
      <c r="E364" s="474"/>
      <c r="F364" s="474"/>
      <c r="G364" s="475"/>
      <c r="H364" s="476" t="s">
        <v>35</v>
      </c>
      <c r="I364" s="477">
        <f t="shared" ref="I364:J364" ca="1" si="161">I365+I374</f>
        <v>0</v>
      </c>
      <c r="J364" s="477">
        <f t="shared" ca="1" si="161"/>
        <v>0</v>
      </c>
      <c r="K364" s="478">
        <f t="shared" ca="1" si="160"/>
        <v>0</v>
      </c>
      <c r="L364" s="479"/>
      <c r="M364" s="479"/>
      <c r="N364" s="479"/>
      <c r="O364" s="479"/>
      <c r="P364" s="479"/>
      <c r="Q364" s="480"/>
      <c r="R364" s="480"/>
      <c r="S364" s="480"/>
      <c r="T364" s="480"/>
      <c r="U364" s="480"/>
      <c r="V364" s="480"/>
      <c r="W364" s="480"/>
      <c r="X364" s="480"/>
      <c r="Y364" s="480"/>
      <c r="Z364" s="480"/>
    </row>
    <row r="365" spans="1:26" ht="19.5" hidden="1">
      <c r="A365" s="481"/>
      <c r="B365" s="482"/>
      <c r="C365" s="484"/>
      <c r="D365" s="484" t="s">
        <v>166</v>
      </c>
      <c r="E365" s="485"/>
      <c r="F365" s="485"/>
      <c r="G365" s="486"/>
      <c r="H365" s="487" t="s">
        <v>35</v>
      </c>
      <c r="I365" s="489">
        <f ca="1">IFERROR(__xludf.DUMMYFUNCTION("IMPORTRANGE(""https://docs.google.com/spreadsheets/d/1QqKyyYR6Q21VydFLVH3TRQUabQu_ym0Zz7PgGX0-kHA/edit?usp=sharing"",""แผน!EJ73"")"),0)</f>
        <v>0</v>
      </c>
      <c r="J365" s="489">
        <f ca="1">J372</f>
        <v>0</v>
      </c>
      <c r="K365" s="490">
        <f t="shared" ca="1" si="160"/>
        <v>0</v>
      </c>
      <c r="L365" s="491"/>
      <c r="M365" s="491"/>
      <c r="N365" s="491"/>
      <c r="O365" s="491"/>
      <c r="P365" s="491"/>
      <c r="Q365" s="480"/>
      <c r="R365" s="480"/>
      <c r="S365" s="480"/>
      <c r="T365" s="480"/>
      <c r="U365" s="480"/>
      <c r="V365" s="480"/>
      <c r="W365" s="480"/>
      <c r="X365" s="480"/>
      <c r="Y365" s="480"/>
      <c r="Z365" s="480"/>
    </row>
    <row r="366" spans="1:26" ht="19.5" hidden="1">
      <c r="A366" s="481"/>
      <c r="B366" s="482"/>
      <c r="C366" s="484"/>
      <c r="D366" s="492" t="s">
        <v>167</v>
      </c>
      <c r="E366" s="485"/>
      <c r="F366" s="485"/>
      <c r="G366" s="486"/>
      <c r="H366" s="493"/>
      <c r="I366" s="494"/>
      <c r="J366" s="494"/>
      <c r="K366" s="491"/>
      <c r="L366" s="491"/>
      <c r="M366" s="491"/>
      <c r="N366" s="491"/>
      <c r="O366" s="491"/>
      <c r="P366" s="491"/>
      <c r="Q366" s="480"/>
      <c r="R366" s="480"/>
      <c r="S366" s="480"/>
      <c r="T366" s="480"/>
      <c r="U366" s="480"/>
      <c r="V366" s="480"/>
      <c r="W366" s="480"/>
      <c r="X366" s="480"/>
      <c r="Y366" s="480"/>
      <c r="Z366" s="480"/>
    </row>
    <row r="367" spans="1:26" ht="19.5" hidden="1">
      <c r="A367" s="170"/>
      <c r="B367" s="171"/>
      <c r="C367" s="164" t="s">
        <v>16</v>
      </c>
      <c r="D367" s="823" t="s">
        <v>38</v>
      </c>
      <c r="E367" s="173"/>
      <c r="F367" s="173"/>
      <c r="G367" s="174"/>
      <c r="H367" s="753"/>
      <c r="I367" s="269"/>
      <c r="J367" s="269"/>
      <c r="K367" s="496"/>
      <c r="L367" s="163"/>
      <c r="M367" s="163"/>
      <c r="N367" s="163"/>
      <c r="O367" s="163"/>
      <c r="P367" s="163"/>
    </row>
    <row r="368" spans="1:26" ht="18.75" hidden="1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69">
        <v>0</v>
      </c>
      <c r="J368" s="269">
        <f ca="1">IFERROR(__xludf.DUMMYFUNCTION("IMPORTRANGE(""https://docs.google.com/spreadsheets/d/1XWAQStnk-4SwqDmLtmXYiTMKHgktTP8We1SCoS47DrQ/edit?usp=sharing"",""จัดที่ดิน!E73"")"),0)</f>
        <v>0</v>
      </c>
      <c r="K368" s="496">
        <f t="shared" ref="K368:K374" si="162">IF(I368&gt;0,J368*100/I368,0)</f>
        <v>0</v>
      </c>
      <c r="L368" s="163"/>
      <c r="M368" s="163"/>
      <c r="N368" s="163"/>
      <c r="O368" s="163"/>
      <c r="P368" s="163"/>
    </row>
    <row r="369" spans="1:26" ht="18.75" hidden="1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69">
        <f ca="1">IFERROR(__xludf.DUMMYFUNCTION("IMPORTRANGE(""https://docs.google.com/spreadsheets/d/1QqKyyYR6Q21VydFLVH3TRQUabQu_ym0Zz7PgGX0-kHA/edit?usp=sharing"",""แผน!EI73"")"),0)</f>
        <v>0</v>
      </c>
      <c r="J369" s="269">
        <f ca="1">IFERROR(__xludf.DUMMYFUNCTION("IMPORTRANGE(""https://docs.google.com/spreadsheets/d/1XWAQStnk-4SwqDmLtmXYiTMKHgktTP8We1SCoS47DrQ/edit?usp=sharing"",""จัดที่ดิน!F73"")"),0)</f>
        <v>0</v>
      </c>
      <c r="K369" s="496">
        <f t="shared" ca="1" si="162"/>
        <v>0</v>
      </c>
      <c r="L369" s="163"/>
      <c r="M369" s="163"/>
      <c r="N369" s="163"/>
      <c r="O369" s="163"/>
      <c r="P369" s="163"/>
    </row>
    <row r="370" spans="1:26" ht="18.75" hidden="1">
      <c r="A370" s="170"/>
      <c r="B370" s="178"/>
      <c r="C370" s="171"/>
      <c r="D370" s="178"/>
      <c r="E370" s="176" t="s">
        <v>162</v>
      </c>
      <c r="F370" s="178"/>
      <c r="G370" s="179"/>
      <c r="H370" s="755" t="s">
        <v>35</v>
      </c>
      <c r="I370" s="269">
        <f ca="1">IFERROR(__xludf.DUMMYFUNCTION("IMPORTRANGE(""https://docs.google.com/spreadsheets/d/1QqKyyYR6Q21VydFLVH3TRQUabQu_ym0Zz7PgGX0-kHA/edit?usp=sharing"",""แผน!EJ73"")"),0)</f>
        <v>0</v>
      </c>
      <c r="J370" s="269">
        <f ca="1">IFERROR(__xludf.DUMMYFUNCTION("IMPORTRANGE(""https://docs.google.com/spreadsheets/d/1XWAQStnk-4SwqDmLtmXYiTMKHgktTP8We1SCoS47DrQ/edit?usp=sharing"",""จัดที่ดิน!G73"")"),0)</f>
        <v>0</v>
      </c>
      <c r="K370" s="496">
        <f t="shared" ca="1" si="162"/>
        <v>0</v>
      </c>
      <c r="L370" s="163"/>
      <c r="M370" s="163"/>
      <c r="N370" s="163"/>
      <c r="O370" s="163"/>
      <c r="P370" s="163"/>
    </row>
    <row r="371" spans="1:26" ht="18.75" hidden="1">
      <c r="A371" s="170"/>
      <c r="B371" s="178"/>
      <c r="C371" s="171"/>
      <c r="D371" s="178"/>
      <c r="E371" s="178"/>
      <c r="F371" s="178"/>
      <c r="G371" s="179"/>
      <c r="H371" s="755" t="s">
        <v>46</v>
      </c>
      <c r="I371" s="269">
        <v>0</v>
      </c>
      <c r="J371" s="269">
        <f ca="1">IFERROR(__xludf.DUMMYFUNCTION("IMPORTRANGE(""https://docs.google.com/spreadsheets/d/1XWAQStnk-4SwqDmLtmXYiTMKHgktTP8We1SCoS47DrQ/edit?usp=sharing"",""จัดที่ดิน!H73"")"),0)</f>
        <v>0</v>
      </c>
      <c r="K371" s="496">
        <f t="shared" si="162"/>
        <v>0</v>
      </c>
      <c r="L371" s="163"/>
      <c r="M371" s="163"/>
      <c r="N371" s="163"/>
      <c r="O371" s="163"/>
      <c r="P371" s="163"/>
    </row>
    <row r="372" spans="1:26" ht="18.75" hidden="1">
      <c r="A372" s="170"/>
      <c r="B372" s="178"/>
      <c r="C372" s="171"/>
      <c r="D372" s="178"/>
      <c r="E372" s="176" t="s">
        <v>163</v>
      </c>
      <c r="F372" s="178"/>
      <c r="G372" s="179"/>
      <c r="H372" s="755" t="s">
        <v>35</v>
      </c>
      <c r="I372" s="269">
        <f ca="1">IFERROR(__xludf.DUMMYFUNCTION("IMPORTRANGE(""https://docs.google.com/spreadsheets/d/1QqKyyYR6Q21VydFLVH3TRQUabQu_ym0Zz7PgGX0-kHA/edit?usp=sharing"",""แผน!EJ73"")"),0)</f>
        <v>0</v>
      </c>
      <c r="J372" s="269">
        <f ca="1">IFERROR(__xludf.DUMMYFUNCTION("IMPORTRANGE(""https://docs.google.com/spreadsheets/d/1XWAQStnk-4SwqDmLtmXYiTMKHgktTP8We1SCoS47DrQ/edit?usp=sharing"",""จัดที่ดิน!I73"")"),0)</f>
        <v>0</v>
      </c>
      <c r="K372" s="496">
        <f t="shared" ca="1" si="162"/>
        <v>0</v>
      </c>
      <c r="L372" s="163"/>
      <c r="M372" s="163"/>
      <c r="N372" s="163"/>
      <c r="O372" s="163"/>
      <c r="P372" s="163"/>
    </row>
    <row r="373" spans="1:26" ht="18.75" hidden="1">
      <c r="A373" s="469" t="s">
        <v>164</v>
      </c>
      <c r="B373" s="178"/>
      <c r="C373" s="171"/>
      <c r="D373" s="178"/>
      <c r="E373" s="446"/>
      <c r="F373" s="178"/>
      <c r="G373" s="179"/>
      <c r="H373" s="755" t="s">
        <v>46</v>
      </c>
      <c r="I373" s="269">
        <v>0</v>
      </c>
      <c r="J373" s="269">
        <f ca="1">IFERROR(__xludf.DUMMYFUNCTION("IMPORTRANGE(""https://docs.google.com/spreadsheets/d/1XWAQStnk-4SwqDmLtmXYiTMKHgktTP8We1SCoS47DrQ/edit?usp=sharing"",""จัดที่ดิน!J73"")"),0)</f>
        <v>0</v>
      </c>
      <c r="K373" s="496">
        <f t="shared" si="162"/>
        <v>0</v>
      </c>
      <c r="L373" s="163"/>
      <c r="M373" s="163"/>
      <c r="N373" s="163"/>
      <c r="O373" s="163"/>
      <c r="P373" s="163"/>
    </row>
    <row r="374" spans="1:26" ht="19.5" hidden="1">
      <c r="A374" s="481"/>
      <c r="B374" s="482"/>
      <c r="C374" s="484"/>
      <c r="D374" s="484" t="s">
        <v>168</v>
      </c>
      <c r="E374" s="485"/>
      <c r="F374" s="485"/>
      <c r="G374" s="486"/>
      <c r="H374" s="487" t="s">
        <v>35</v>
      </c>
      <c r="I374" s="495">
        <f ca="1">IFERROR(__xludf.DUMMYFUNCTION("IMPORTRANGE(""https://docs.google.com/spreadsheets/d/1QqKyyYR6Q21VydFLVH3TRQUabQu_ym0Zz7PgGX0-kHA/edit?usp=sharing"",""แผน!EU73"")"),0)</f>
        <v>0</v>
      </c>
      <c r="J374" s="489">
        <f ca="1">J381</f>
        <v>0</v>
      </c>
      <c r="K374" s="490">
        <f t="shared" ca="1" si="162"/>
        <v>0</v>
      </c>
      <c r="L374" s="491"/>
      <c r="M374" s="491"/>
      <c r="N374" s="491"/>
      <c r="O374" s="491"/>
      <c r="P374" s="491"/>
      <c r="Q374" s="480"/>
      <c r="R374" s="480"/>
      <c r="S374" s="480"/>
      <c r="T374" s="480"/>
      <c r="U374" s="480"/>
      <c r="V374" s="480"/>
      <c r="W374" s="480"/>
      <c r="X374" s="480"/>
      <c r="Y374" s="480"/>
      <c r="Z374" s="480"/>
    </row>
    <row r="375" spans="1:26" ht="19.5" hidden="1">
      <c r="A375" s="481"/>
      <c r="B375" s="482"/>
      <c r="C375" s="484"/>
      <c r="D375" s="492" t="s">
        <v>169</v>
      </c>
      <c r="E375" s="485"/>
      <c r="F375" s="485"/>
      <c r="G375" s="486"/>
      <c r="H375" s="493"/>
      <c r="I375" s="494"/>
      <c r="J375" s="494"/>
      <c r="K375" s="491"/>
      <c r="L375" s="491"/>
      <c r="M375" s="491"/>
      <c r="N375" s="491"/>
      <c r="O375" s="491"/>
      <c r="P375" s="491"/>
      <c r="Q375" s="480"/>
      <c r="R375" s="480"/>
      <c r="S375" s="480"/>
      <c r="T375" s="480"/>
      <c r="U375" s="480"/>
      <c r="V375" s="480"/>
      <c r="W375" s="480"/>
      <c r="X375" s="480"/>
      <c r="Y375" s="480"/>
      <c r="Z375" s="480"/>
    </row>
    <row r="376" spans="1:26" ht="19.5" hidden="1">
      <c r="A376" s="170"/>
      <c r="B376" s="171"/>
      <c r="C376" s="164" t="s">
        <v>16</v>
      </c>
      <c r="D376" s="823" t="s">
        <v>38</v>
      </c>
      <c r="E376" s="173"/>
      <c r="F376" s="173"/>
      <c r="G376" s="174"/>
      <c r="H376" s="753"/>
      <c r="I376" s="269"/>
      <c r="J376" s="269"/>
      <c r="K376" s="496"/>
      <c r="L376" s="163"/>
      <c r="M376" s="163"/>
      <c r="N376" s="163"/>
      <c r="O376" s="163"/>
      <c r="P376" s="163"/>
    </row>
    <row r="377" spans="1:26" ht="18.75" hidden="1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69">
        <v>0</v>
      </c>
      <c r="J377" s="269">
        <f ca="1">IFERROR(__xludf.DUMMYFUNCTION("IMPORTRANGE(""https://docs.google.com/spreadsheets/d/1XWAQStnk-4SwqDmLtmXYiTMKHgktTP8We1SCoS47DrQ/edit?usp=sharing"",""จัดที่ดิน!AH73"")"),0)</f>
        <v>0</v>
      </c>
      <c r="K377" s="496">
        <f t="shared" ref="K377:K382" si="163">IF(I377&gt;0,J377*100/I377,0)</f>
        <v>0</v>
      </c>
      <c r="L377" s="163"/>
      <c r="M377" s="163"/>
      <c r="N377" s="163"/>
      <c r="O377" s="163"/>
      <c r="P377" s="163"/>
    </row>
    <row r="378" spans="1:26" ht="18.75" hidden="1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69">
        <f ca="1">IFERROR(__xludf.DUMMYFUNCTION("IMPORTRANGE(""https://docs.google.com/spreadsheets/d/1QqKyyYR6Q21VydFLVH3TRQUabQu_ym0Zz7PgGX0-kHA/edit?usp=sharing"",""แผน!ET73"")"),0)</f>
        <v>0</v>
      </c>
      <c r="J378" s="269">
        <f ca="1">IFERROR(__xludf.DUMMYFUNCTION("IMPORTRANGE(""https://docs.google.com/spreadsheets/d/1XWAQStnk-4SwqDmLtmXYiTMKHgktTP8We1SCoS47DrQ/edit?usp=sharing"",""จัดที่ดิน!AI73"")"),0)</f>
        <v>0</v>
      </c>
      <c r="K378" s="496">
        <f t="shared" ca="1" si="163"/>
        <v>0</v>
      </c>
      <c r="L378" s="163"/>
      <c r="M378" s="163"/>
      <c r="N378" s="163"/>
      <c r="O378" s="163"/>
      <c r="P378" s="163"/>
    </row>
    <row r="379" spans="1:26" ht="18.75" hidden="1">
      <c r="A379" s="170"/>
      <c r="B379" s="178"/>
      <c r="C379" s="171"/>
      <c r="D379" s="178"/>
      <c r="E379" s="176" t="s">
        <v>162</v>
      </c>
      <c r="F379" s="178"/>
      <c r="G379" s="179"/>
      <c r="H379" s="755" t="s">
        <v>35</v>
      </c>
      <c r="I379" s="269">
        <f ca="1">IFERROR(__xludf.DUMMYFUNCTION("IMPORTRANGE(""https://docs.google.com/spreadsheets/d/1QqKyyYR6Q21VydFLVH3TRQUabQu_ym0Zz7PgGX0-kHA/edit?usp=sharing"",""แผน!EU73"")"),0)</f>
        <v>0</v>
      </c>
      <c r="J379" s="269">
        <f ca="1">IFERROR(__xludf.DUMMYFUNCTION("IMPORTRANGE(""https://docs.google.com/spreadsheets/d/1XWAQStnk-4SwqDmLtmXYiTMKHgktTP8We1SCoS47DrQ/edit?usp=sharing"",""จัดที่ดิน!AJ73"")"),0)</f>
        <v>0</v>
      </c>
      <c r="K379" s="496">
        <f t="shared" ca="1" si="163"/>
        <v>0</v>
      </c>
      <c r="L379" s="163"/>
      <c r="M379" s="163"/>
      <c r="N379" s="163"/>
      <c r="O379" s="163"/>
      <c r="P379" s="163"/>
    </row>
    <row r="380" spans="1:26" ht="18.75" hidden="1">
      <c r="A380" s="170"/>
      <c r="B380" s="178"/>
      <c r="C380" s="171"/>
      <c r="D380" s="178"/>
      <c r="E380" s="178"/>
      <c r="F380" s="178"/>
      <c r="G380" s="179"/>
      <c r="H380" s="755" t="s">
        <v>46</v>
      </c>
      <c r="I380" s="269">
        <v>0</v>
      </c>
      <c r="J380" s="269">
        <f ca="1">IFERROR(__xludf.DUMMYFUNCTION("IMPORTRANGE(""https://docs.google.com/spreadsheets/d/1XWAQStnk-4SwqDmLtmXYiTMKHgktTP8We1SCoS47DrQ/edit?usp=sharing"",""จัดที่ดิน!AK73"")"),0)</f>
        <v>0</v>
      </c>
      <c r="K380" s="496">
        <f t="shared" si="163"/>
        <v>0</v>
      </c>
      <c r="L380" s="163"/>
      <c r="M380" s="163"/>
      <c r="N380" s="163"/>
      <c r="O380" s="163"/>
      <c r="P380" s="163"/>
    </row>
    <row r="381" spans="1:26" ht="18.75" hidden="1">
      <c r="A381" s="170"/>
      <c r="B381" s="178"/>
      <c r="C381" s="171"/>
      <c r="D381" s="178"/>
      <c r="E381" s="176" t="s">
        <v>163</v>
      </c>
      <c r="F381" s="178"/>
      <c r="G381" s="179"/>
      <c r="H381" s="755" t="s">
        <v>35</v>
      </c>
      <c r="I381" s="269">
        <f ca="1">IFERROR(__xludf.DUMMYFUNCTION("IMPORTRANGE(""https://docs.google.com/spreadsheets/d/1QqKyyYR6Q21VydFLVH3TRQUabQu_ym0Zz7PgGX0-kHA/edit?usp=sharing"",""แผน!EU73"")"),0)</f>
        <v>0</v>
      </c>
      <c r="J381" s="269">
        <f ca="1">IFERROR(__xludf.DUMMYFUNCTION("IMPORTRANGE(""https://docs.google.com/spreadsheets/d/1XWAQStnk-4SwqDmLtmXYiTMKHgktTP8We1SCoS47DrQ/edit?usp=sharing"",""จัดที่ดิน!AL73"")"),0)</f>
        <v>0</v>
      </c>
      <c r="K381" s="496">
        <f t="shared" ca="1" si="163"/>
        <v>0</v>
      </c>
      <c r="L381" s="163"/>
      <c r="M381" s="163"/>
      <c r="N381" s="163"/>
      <c r="O381" s="163"/>
      <c r="P381" s="163"/>
    </row>
    <row r="382" spans="1:26" ht="18.75" hidden="1">
      <c r="A382" s="469" t="s">
        <v>164</v>
      </c>
      <c r="B382" s="178"/>
      <c r="C382" s="171"/>
      <c r="D382" s="178"/>
      <c r="E382" s="446"/>
      <c r="F382" s="178"/>
      <c r="G382" s="179"/>
      <c r="H382" s="755" t="s">
        <v>46</v>
      </c>
      <c r="I382" s="269">
        <v>0</v>
      </c>
      <c r="J382" s="269">
        <f ca="1">IFERROR(__xludf.DUMMYFUNCTION("IMPORTRANGE(""https://docs.google.com/spreadsheets/d/1XWAQStnk-4SwqDmLtmXYiTMKHgktTP8We1SCoS47DrQ/edit?usp=sharing"",""จัดที่ดิน!AM73"")"),0)</f>
        <v>0</v>
      </c>
      <c r="K382" s="496">
        <f t="shared" si="163"/>
        <v>0</v>
      </c>
      <c r="L382" s="163"/>
      <c r="M382" s="163"/>
      <c r="N382" s="163"/>
      <c r="O382" s="163"/>
      <c r="P382" s="163"/>
    </row>
    <row r="383" spans="1:26" ht="19.5" hidden="1">
      <c r="A383" s="255"/>
      <c r="B383" s="263"/>
      <c r="C383" s="256"/>
      <c r="D383" s="832" t="s">
        <v>170</v>
      </c>
      <c r="E383" s="256"/>
      <c r="F383" s="256"/>
      <c r="G383" s="258"/>
      <c r="H383" s="454"/>
      <c r="I383" s="260"/>
      <c r="J383" s="260"/>
      <c r="K383" s="261"/>
      <c r="L383" s="261"/>
      <c r="M383" s="261"/>
      <c r="N383" s="261"/>
      <c r="O383" s="261"/>
      <c r="P383" s="261"/>
    </row>
    <row r="384" spans="1:26" ht="19.5" hidden="1">
      <c r="A384" s="170"/>
      <c r="B384" s="171"/>
      <c r="C384" s="33" t="s">
        <v>16</v>
      </c>
      <c r="D384" s="823" t="s">
        <v>38</v>
      </c>
      <c r="E384" s="173"/>
      <c r="F384" s="173"/>
      <c r="G384" s="174"/>
      <c r="H384" s="753"/>
      <c r="I384" s="269"/>
      <c r="J384" s="269"/>
      <c r="K384" s="496"/>
      <c r="L384" s="163"/>
      <c r="M384" s="163"/>
      <c r="N384" s="163"/>
      <c r="O384" s="163"/>
      <c r="P384" s="163"/>
    </row>
    <row r="385" spans="1:26" ht="18.75" hidden="1">
      <c r="A385" s="377"/>
      <c r="B385" s="380"/>
      <c r="C385" s="378"/>
      <c r="D385" s="380"/>
      <c r="E385" s="497" t="s">
        <v>163</v>
      </c>
      <c r="F385" s="380"/>
      <c r="G385" s="381"/>
      <c r="H385" s="498" t="s">
        <v>35</v>
      </c>
      <c r="I385" s="499">
        <f ca="1">IFERROR(__xludf.DUMMYFUNCTION("IMPORTRANGE(""https://docs.google.com/spreadsheets/d/1QqKyyYR6Q21VydFLVH3TRQUabQu_ym0Zz7PgGX0-kHA/edit?usp=sharing"",""แผน!EW73"")"),0)</f>
        <v>0</v>
      </c>
      <c r="J385" s="499">
        <f ca="1">IFERROR(__xludf.DUMMYFUNCTION("IMPORTRANGE(""https://docs.google.com/spreadsheets/d/1XWAQStnk-4SwqDmLtmXYiTMKHgktTP8We1SCoS47DrQ/edit?usp=sharing"",""จัดที่ดิน!AP73"")"),0)</f>
        <v>0</v>
      </c>
      <c r="K385" s="500">
        <f ca="1">IF(I385&gt;0,J385*100/I385,0)</f>
        <v>0</v>
      </c>
      <c r="L385" s="384"/>
      <c r="M385" s="384"/>
      <c r="N385" s="384"/>
      <c r="O385" s="384"/>
      <c r="P385" s="384"/>
    </row>
    <row r="386" spans="1:26" ht="19.5" hidden="1">
      <c r="A386" s="501" t="s">
        <v>171</v>
      </c>
      <c r="B386" s="502"/>
      <c r="C386" s="502"/>
      <c r="D386" s="502"/>
      <c r="E386" s="503"/>
      <c r="F386" s="503"/>
      <c r="G386" s="504"/>
      <c r="H386" s="505"/>
      <c r="I386" s="506"/>
      <c r="J386" s="506"/>
      <c r="K386" s="507"/>
      <c r="L386" s="507"/>
      <c r="M386" s="507"/>
      <c r="N386" s="507"/>
      <c r="O386" s="507"/>
      <c r="P386" s="507"/>
    </row>
    <row r="387" spans="1:26" ht="19.5" hidden="1">
      <c r="A387" s="508" t="s">
        <v>172</v>
      </c>
      <c r="B387" s="509"/>
      <c r="C387" s="509"/>
      <c r="D387" s="510"/>
      <c r="E387" s="509"/>
      <c r="F387" s="509"/>
      <c r="G387" s="509"/>
      <c r="H387" s="511"/>
      <c r="I387" s="512"/>
      <c r="J387" s="512"/>
      <c r="K387" s="513"/>
      <c r="L387" s="513"/>
      <c r="M387" s="513"/>
      <c r="N387" s="513"/>
      <c r="O387" s="513"/>
      <c r="P387" s="513"/>
    </row>
    <row r="388" spans="1:26" ht="19.5" hidden="1">
      <c r="A388" s="514"/>
      <c r="B388" s="515" t="s">
        <v>173</v>
      </c>
      <c r="C388" s="516"/>
      <c r="D388" s="517"/>
      <c r="E388" s="517"/>
      <c r="F388" s="517"/>
      <c r="G388" s="518"/>
      <c r="H388" s="519" t="s">
        <v>69</v>
      </c>
      <c r="I388" s="520">
        <f t="shared" ref="I388:J388" si="164">I400</f>
        <v>0</v>
      </c>
      <c r="J388" s="520">
        <f t="shared" si="164"/>
        <v>0</v>
      </c>
      <c r="K388" s="521">
        <f>IF(I388&gt;0,J388*100/I388,0)</f>
        <v>0</v>
      </c>
      <c r="L388" s="522"/>
      <c r="M388" s="522"/>
      <c r="N388" s="522"/>
      <c r="O388" s="522"/>
      <c r="P388" s="522"/>
    </row>
    <row r="389" spans="1:26" ht="19.5" hidden="1">
      <c r="A389" s="147"/>
      <c r="B389" s="148"/>
      <c r="C389" s="149" t="s">
        <v>16</v>
      </c>
      <c r="D389" s="822" t="s">
        <v>17</v>
      </c>
      <c r="E389" s="148"/>
      <c r="F389" s="148"/>
      <c r="G389" s="151"/>
      <c r="H389" s="152" t="s">
        <v>12</v>
      </c>
      <c r="I389" s="419"/>
      <c r="J389" s="419"/>
      <c r="K389" s="154"/>
      <c r="L389" s="155">
        <f t="shared" ref="L389:N389" ca="1" si="165">L390+L391</f>
        <v>0</v>
      </c>
      <c r="M389" s="155">
        <f t="shared" ca="1" si="165"/>
        <v>0</v>
      </c>
      <c r="N389" s="155">
        <f t="shared" ca="1" si="165"/>
        <v>0</v>
      </c>
      <c r="O389" s="155">
        <f t="shared" ref="O389:O397" ca="1" si="166">IF(L389&gt;0,N389*100/L389,0)</f>
        <v>0</v>
      </c>
      <c r="P389" s="155">
        <f t="shared" ref="P389:P397" ca="1" si="167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2" t="s">
        <v>18</v>
      </c>
      <c r="F390" s="40"/>
      <c r="G390" s="157"/>
      <c r="H390" s="158" t="s">
        <v>12</v>
      </c>
      <c r="I390" s="610"/>
      <c r="J390" s="610"/>
      <c r="K390" s="93"/>
      <c r="L390" s="93">
        <f t="shared" ref="L390:N391" si="168">L393+L396</f>
        <v>0</v>
      </c>
      <c r="M390" s="93">
        <f t="shared" si="168"/>
        <v>0</v>
      </c>
      <c r="N390" s="93">
        <f t="shared" si="168"/>
        <v>0</v>
      </c>
      <c r="O390" s="93">
        <f t="shared" si="166"/>
        <v>0</v>
      </c>
      <c r="P390" s="93">
        <f t="shared" si="167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2" t="s">
        <v>19</v>
      </c>
      <c r="F391" s="40"/>
      <c r="G391" s="157"/>
      <c r="H391" s="158" t="s">
        <v>12</v>
      </c>
      <c r="I391" s="610"/>
      <c r="J391" s="610"/>
      <c r="K391" s="93"/>
      <c r="L391" s="93">
        <f t="shared" ca="1" si="168"/>
        <v>0</v>
      </c>
      <c r="M391" s="93">
        <f t="shared" ca="1" si="168"/>
        <v>0</v>
      </c>
      <c r="N391" s="93">
        <f t="shared" ca="1" si="168"/>
        <v>0</v>
      </c>
      <c r="O391" s="93">
        <f t="shared" ca="1" si="166"/>
        <v>0</v>
      </c>
      <c r="P391" s="93">
        <f t="shared" ca="1" si="167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1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6">
        <f t="shared" ref="L392:N392" ca="1" si="169">L393+L394</f>
        <v>0</v>
      </c>
      <c r="M392" s="496">
        <f t="shared" ca="1" si="169"/>
        <v>0</v>
      </c>
      <c r="N392" s="496">
        <f t="shared" ca="1" si="169"/>
        <v>0</v>
      </c>
      <c r="O392" s="496">
        <f t="shared" ca="1" si="166"/>
        <v>0</v>
      </c>
      <c r="P392" s="496">
        <f t="shared" ca="1" si="167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2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6"/>
        <v>0</v>
      </c>
      <c r="P393" s="93">
        <f t="shared" si="167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2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IFERROR(__xludf.DUMMYFUNCTION("IMPORTRANGE(""https://docs.google.com/spreadsheets/d/1MeEWN-I1oV_STSDYn1IFDPWt_1FKiwhDph83XaGc0o0/edit?usp=sharing"",""งบพรบ!FG73"")"),0)</f>
        <v>0</v>
      </c>
      <c r="M394" s="93">
        <f ca="1">IFERROR(__xludf.DUMMYFUNCTION("IMPORTRANGE(""https://docs.google.com/spreadsheets/d/1MeEWN-I1oV_STSDYn1IFDPWt_1FKiwhDph83XaGc0o0/edit?usp=sharing"",""งบพรบ!FL73"")"),0)</f>
        <v>0</v>
      </c>
      <c r="N394" s="93">
        <f ca="1">IFERROR(__xludf.DUMMYFUNCTION("IMPORTRANGE(""https://docs.google.com/spreadsheets/d/1MeEWN-I1oV_STSDYn1IFDPWt_1FKiwhDph83XaGc0o0/edit?usp=sharing"",""งบพรบ!FN73"")"),0)</f>
        <v>0</v>
      </c>
      <c r="O394" s="93">
        <f t="shared" ca="1" si="166"/>
        <v>0</v>
      </c>
      <c r="P394" s="93">
        <f t="shared" ca="1" si="167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1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6">
        <f t="shared" ref="L395:N395" ca="1" si="170">L396+L397</f>
        <v>0</v>
      </c>
      <c r="M395" s="496">
        <f t="shared" ca="1" si="170"/>
        <v>0</v>
      </c>
      <c r="N395" s="496">
        <f t="shared" ca="1" si="170"/>
        <v>0</v>
      </c>
      <c r="O395" s="496">
        <f t="shared" ca="1" si="166"/>
        <v>0</v>
      </c>
      <c r="P395" s="496">
        <f t="shared" ca="1" si="167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2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6"/>
        <v>0</v>
      </c>
      <c r="P396" s="93">
        <f t="shared" si="167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2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IFERROR(__xludf.DUMMYFUNCTION("IMPORTRANGE(""https://docs.google.com/spreadsheets/d/1MeEWN-I1oV_STSDYn1IFDPWt_1FKiwhDph83XaGc0o0/edit?usp=sharing"",""งบพรบ!FJ73"")"),0)</f>
        <v>0</v>
      </c>
      <c r="M397" s="93">
        <f ca="1">IFERROR(__xludf.DUMMYFUNCTION("IMPORTRANGE(""https://docs.google.com/spreadsheets/d/1MeEWN-I1oV_STSDYn1IFDPWt_1FKiwhDph83XaGc0o0/edit?usp=sharing"",""งบพรบ!FM73"")"),0)</f>
        <v>0</v>
      </c>
      <c r="N397" s="93">
        <f ca="1">IFERROR(__xludf.DUMMYFUNCTION("IMPORTRANGE(""https://docs.google.com/spreadsheets/d/1MeEWN-I1oV_STSDYn1IFDPWt_1FKiwhDph83XaGc0o0/edit?usp=sharing"",""งบพรบ!FO73"")"),0)</f>
        <v>0</v>
      </c>
      <c r="O397" s="93">
        <f t="shared" ca="1" si="166"/>
        <v>0</v>
      </c>
      <c r="P397" s="93">
        <f t="shared" ca="1" si="167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23" t="s">
        <v>38</v>
      </c>
      <c r="E398" s="173"/>
      <c r="F398" s="173"/>
      <c r="G398" s="174"/>
      <c r="H398" s="753"/>
      <c r="I398" s="184"/>
      <c r="J398" s="269"/>
      <c r="K398" s="496"/>
      <c r="L398" s="496"/>
      <c r="M398" s="496"/>
      <c r="N398" s="496"/>
      <c r="O398" s="163"/>
      <c r="P398" s="163"/>
    </row>
    <row r="399" spans="1:26" ht="18.75" hidden="1">
      <c r="A399" s="523"/>
      <c r="B399" s="148"/>
      <c r="C399" s="524"/>
      <c r="D399" s="525" t="s">
        <v>174</v>
      </c>
      <c r="E399" s="414"/>
      <c r="F399" s="148"/>
      <c r="G399" s="151"/>
      <c r="H399" s="526" t="s">
        <v>9</v>
      </c>
      <c r="I399" s="269">
        <v>0</v>
      </c>
      <c r="J399" s="214">
        <v>0</v>
      </c>
      <c r="K399" s="496">
        <f t="shared" ref="K399:K401" si="171">IF(I399&gt;0,J399*100/I399,0)</f>
        <v>0</v>
      </c>
      <c r="L399" s="527"/>
      <c r="M399" s="527"/>
      <c r="N399" s="527"/>
      <c r="O399" s="527"/>
      <c r="P399" s="527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4"/>
      <c r="B400" s="33"/>
      <c r="C400" s="280"/>
      <c r="D400" s="446" t="s">
        <v>175</v>
      </c>
      <c r="E400" s="171"/>
      <c r="F400" s="33"/>
      <c r="G400" s="35"/>
      <c r="H400" s="276" t="s">
        <v>69</v>
      </c>
      <c r="I400" s="269">
        <v>0</v>
      </c>
      <c r="J400" s="214">
        <v>0</v>
      </c>
      <c r="K400" s="496">
        <f t="shared" si="171"/>
        <v>0</v>
      </c>
      <c r="L400" s="496"/>
      <c r="M400" s="496"/>
      <c r="N400" s="496"/>
      <c r="O400" s="496"/>
      <c r="P400" s="496"/>
    </row>
    <row r="401" spans="1:26" ht="19.5" hidden="1">
      <c r="A401" s="514"/>
      <c r="B401" s="515" t="s">
        <v>176</v>
      </c>
      <c r="C401" s="516"/>
      <c r="D401" s="517"/>
      <c r="E401" s="517"/>
      <c r="F401" s="517"/>
      <c r="G401" s="518"/>
      <c r="H401" s="519" t="s">
        <v>69</v>
      </c>
      <c r="I401" s="520">
        <f t="shared" ref="I401:J401" si="172">I412</f>
        <v>0</v>
      </c>
      <c r="J401" s="520">
        <f t="shared" si="172"/>
        <v>0</v>
      </c>
      <c r="K401" s="521">
        <f t="shared" si="171"/>
        <v>0</v>
      </c>
      <c r="L401" s="522"/>
      <c r="M401" s="522"/>
      <c r="N401" s="522"/>
      <c r="O401" s="522"/>
      <c r="P401" s="522"/>
    </row>
    <row r="402" spans="1:26" ht="19.5" hidden="1">
      <c r="A402" s="147"/>
      <c r="B402" s="148"/>
      <c r="C402" s="149" t="s">
        <v>16</v>
      </c>
      <c r="D402" s="822" t="s">
        <v>17</v>
      </c>
      <c r="E402" s="148"/>
      <c r="F402" s="148"/>
      <c r="G402" s="151"/>
      <c r="H402" s="152" t="s">
        <v>12</v>
      </c>
      <c r="I402" s="419"/>
      <c r="J402" s="419"/>
      <c r="K402" s="154"/>
      <c r="L402" s="155">
        <f t="shared" ref="L402:N402" ca="1" si="173">L403+L404</f>
        <v>0</v>
      </c>
      <c r="M402" s="155">
        <f t="shared" ca="1" si="173"/>
        <v>0</v>
      </c>
      <c r="N402" s="155">
        <f t="shared" ca="1" si="173"/>
        <v>0</v>
      </c>
      <c r="O402" s="155">
        <f t="shared" ref="O402:O410" ca="1" si="174">IF(L402&gt;0,N402*100/L402,0)</f>
        <v>0</v>
      </c>
      <c r="P402" s="155">
        <f t="shared" ref="P402:P410" ca="1" si="175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2" t="s">
        <v>18</v>
      </c>
      <c r="F403" s="40"/>
      <c r="G403" s="157"/>
      <c r="H403" s="158" t="s">
        <v>12</v>
      </c>
      <c r="I403" s="610"/>
      <c r="J403" s="610"/>
      <c r="K403" s="93"/>
      <c r="L403" s="93">
        <f t="shared" ref="L403:N404" si="176">L406+L409</f>
        <v>0</v>
      </c>
      <c r="M403" s="93">
        <f t="shared" si="176"/>
        <v>0</v>
      </c>
      <c r="N403" s="93">
        <f t="shared" si="176"/>
        <v>0</v>
      </c>
      <c r="O403" s="93">
        <f t="shared" si="174"/>
        <v>0</v>
      </c>
      <c r="P403" s="93">
        <f t="shared" si="175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2" t="s">
        <v>19</v>
      </c>
      <c r="F404" s="40"/>
      <c r="G404" s="157"/>
      <c r="H404" s="158" t="s">
        <v>12</v>
      </c>
      <c r="I404" s="610"/>
      <c r="J404" s="610"/>
      <c r="K404" s="93"/>
      <c r="L404" s="93">
        <f t="shared" ca="1" si="176"/>
        <v>0</v>
      </c>
      <c r="M404" s="93">
        <f t="shared" ca="1" si="176"/>
        <v>0</v>
      </c>
      <c r="N404" s="93">
        <f t="shared" ca="1" si="176"/>
        <v>0</v>
      </c>
      <c r="O404" s="93">
        <f t="shared" ca="1" si="174"/>
        <v>0</v>
      </c>
      <c r="P404" s="93">
        <f t="shared" ca="1" si="175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1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6">
        <f t="shared" ref="L405:N405" ca="1" si="177">L406+L407</f>
        <v>0</v>
      </c>
      <c r="M405" s="496">
        <f t="shared" ca="1" si="177"/>
        <v>0</v>
      </c>
      <c r="N405" s="496">
        <f t="shared" ca="1" si="177"/>
        <v>0</v>
      </c>
      <c r="O405" s="496">
        <f t="shared" ca="1" si="174"/>
        <v>0</v>
      </c>
      <c r="P405" s="496">
        <f t="shared" ca="1" si="175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2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4"/>
        <v>0</v>
      </c>
      <c r="P406" s="93">
        <f t="shared" si="175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2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IFERROR(__xludf.DUMMYFUNCTION("IMPORTRANGE(""https://docs.google.com/spreadsheets/d/1MeEWN-I1oV_STSDYn1IFDPWt_1FKiwhDph83XaGc0o0/edit?usp=sharing"",""งบพรบ!FQ73"")"),0)</f>
        <v>0</v>
      </c>
      <c r="M407" s="93">
        <f ca="1">IFERROR(__xludf.DUMMYFUNCTION("IMPORTRANGE(""https://docs.google.com/spreadsheets/d/1MeEWN-I1oV_STSDYn1IFDPWt_1FKiwhDph83XaGc0o0/edit?usp=sharing"",""งบพรบ!FV73"")"),0)</f>
        <v>0</v>
      </c>
      <c r="N407" s="93">
        <f ca="1">IFERROR(__xludf.DUMMYFUNCTION("IMPORTRANGE(""https://docs.google.com/spreadsheets/d/1MeEWN-I1oV_STSDYn1IFDPWt_1FKiwhDph83XaGc0o0/edit?usp=sharing"",""งบพรบ!FX73"")"),0)</f>
        <v>0</v>
      </c>
      <c r="O407" s="93">
        <f t="shared" ca="1" si="174"/>
        <v>0</v>
      </c>
      <c r="P407" s="93">
        <f t="shared" ca="1" si="175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1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6">
        <f t="shared" ref="L408:N408" ca="1" si="178">L409+L410</f>
        <v>0</v>
      </c>
      <c r="M408" s="496">
        <f t="shared" ca="1" si="178"/>
        <v>0</v>
      </c>
      <c r="N408" s="496">
        <f t="shared" ca="1" si="178"/>
        <v>0</v>
      </c>
      <c r="O408" s="496">
        <f t="shared" ca="1" si="174"/>
        <v>0</v>
      </c>
      <c r="P408" s="496">
        <f t="shared" ca="1" si="175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2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4"/>
        <v>0</v>
      </c>
      <c r="P409" s="93">
        <f t="shared" si="175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2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IFERROR(__xludf.DUMMYFUNCTION("IMPORTRANGE(""https://docs.google.com/spreadsheets/d/1MeEWN-I1oV_STSDYn1IFDPWt_1FKiwhDph83XaGc0o0/edit?usp=sharing"",""งบพรบ!FT73"")"),0)</f>
        <v>0</v>
      </c>
      <c r="M410" s="93">
        <f ca="1">IFERROR(__xludf.DUMMYFUNCTION("IMPORTRANGE(""https://docs.google.com/spreadsheets/d/1MeEWN-I1oV_STSDYn1IFDPWt_1FKiwhDph83XaGc0o0/edit?usp=sharing"",""งบพรบ!FW73"")"),0)</f>
        <v>0</v>
      </c>
      <c r="N410" s="93">
        <f ca="1">IFERROR(__xludf.DUMMYFUNCTION("IMPORTRANGE(""https://docs.google.com/spreadsheets/d/1MeEWN-I1oV_STSDYn1IFDPWt_1FKiwhDph83XaGc0o0/edit?usp=sharing"",""งบพรบ!FY73"")"),0)</f>
        <v>0</v>
      </c>
      <c r="O410" s="93">
        <f t="shared" ca="1" si="174"/>
        <v>0</v>
      </c>
      <c r="P410" s="93">
        <f t="shared" ca="1" si="175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34" t="s">
        <v>38</v>
      </c>
      <c r="E411" s="529"/>
      <c r="F411" s="529"/>
      <c r="G411" s="530"/>
      <c r="H411" s="753"/>
      <c r="I411" s="269"/>
      <c r="J411" s="269"/>
      <c r="K411" s="496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6" t="s">
        <v>177</v>
      </c>
      <c r="E412" s="178"/>
      <c r="F412" s="178"/>
      <c r="G412" s="179"/>
      <c r="H412" s="531" t="s">
        <v>69</v>
      </c>
      <c r="I412" s="269">
        <v>0</v>
      </c>
      <c r="J412" s="214">
        <v>0</v>
      </c>
      <c r="K412" s="496">
        <f t="shared" ref="K412:K413" si="179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2"/>
      <c r="B413" s="533"/>
      <c r="C413" s="533"/>
      <c r="D413" s="534" t="s">
        <v>178</v>
      </c>
      <c r="E413" s="533"/>
      <c r="F413" s="533"/>
      <c r="G413" s="535"/>
      <c r="H413" s="536" t="s">
        <v>179</v>
      </c>
      <c r="I413" s="537">
        <v>0</v>
      </c>
      <c r="J413" s="538">
        <v>0</v>
      </c>
      <c r="K413" s="539">
        <f t="shared" si="179"/>
        <v>0</v>
      </c>
      <c r="L413" s="540"/>
      <c r="M413" s="540"/>
      <c r="N413" s="540"/>
      <c r="O413" s="540"/>
      <c r="P413" s="540"/>
    </row>
    <row r="414" spans="1:26" ht="19.5">
      <c r="A414" s="541" t="s">
        <v>180</v>
      </c>
      <c r="B414" s="542"/>
      <c r="C414" s="542"/>
      <c r="D414" s="542"/>
      <c r="E414" s="542"/>
      <c r="F414" s="542"/>
      <c r="G414" s="543"/>
      <c r="H414" s="544"/>
      <c r="I414" s="545"/>
      <c r="J414" s="545"/>
      <c r="K414" s="546"/>
      <c r="L414" s="547">
        <f t="shared" ref="L414:N414" ca="1" si="180">L419+L444+L467+L502+L523+L544+L629+L655+L685+L737+L754+L770+L786+L805</f>
        <v>232380</v>
      </c>
      <c r="M414" s="547">
        <f t="shared" si="180"/>
        <v>0</v>
      </c>
      <c r="N414" s="547">
        <f t="shared" si="180"/>
        <v>34508</v>
      </c>
      <c r="O414" s="547">
        <f ca="1">IF(L414&gt;0,N414*100/L414,0)</f>
        <v>14.849814958258026</v>
      </c>
      <c r="P414" s="547">
        <f>IF(M414&gt;0,N414*100/M414,0)</f>
        <v>0</v>
      </c>
    </row>
    <row r="415" spans="1:26" ht="19.5">
      <c r="A415" s="548" t="s">
        <v>181</v>
      </c>
      <c r="B415" s="549"/>
      <c r="C415" s="549"/>
      <c r="D415" s="549"/>
      <c r="E415" s="549"/>
      <c r="F415" s="549"/>
      <c r="G415" s="549"/>
      <c r="H415" s="550"/>
      <c r="I415" s="551"/>
      <c r="J415" s="551"/>
      <c r="K415" s="552"/>
      <c r="L415" s="553"/>
      <c r="M415" s="553"/>
      <c r="N415" s="553"/>
      <c r="O415" s="553"/>
      <c r="P415" s="553"/>
    </row>
    <row r="416" spans="1:26" ht="19.5">
      <c r="A416" s="548" t="s">
        <v>182</v>
      </c>
      <c r="B416" s="549"/>
      <c r="C416" s="549"/>
      <c r="D416" s="549"/>
      <c r="E416" s="549"/>
      <c r="F416" s="549"/>
      <c r="G416" s="554"/>
      <c r="H416" s="555"/>
      <c r="I416" s="556"/>
      <c r="J416" s="556"/>
      <c r="K416" s="553"/>
      <c r="L416" s="553"/>
      <c r="M416" s="553"/>
      <c r="N416" s="553"/>
      <c r="O416" s="553"/>
      <c r="P416" s="553"/>
    </row>
    <row r="417" spans="1:26" ht="39">
      <c r="A417" s="557">
        <v>1</v>
      </c>
      <c r="B417" s="559" t="s">
        <v>183</v>
      </c>
      <c r="C417" s="559"/>
      <c r="D417" s="560"/>
      <c r="E417" s="560"/>
      <c r="F417" s="560"/>
      <c r="G417" s="561"/>
      <c r="H417" s="562" t="s">
        <v>35</v>
      </c>
      <c r="I417" s="563">
        <f t="shared" ref="I417:J418" ca="1" si="181">I433</f>
        <v>10</v>
      </c>
      <c r="J417" s="563">
        <f t="shared" ca="1" si="181"/>
        <v>0</v>
      </c>
      <c r="K417" s="564">
        <f t="shared" ref="K417:K418" ca="1" si="182">IF(I417&gt;0,J417*100/I417,0)</f>
        <v>0</v>
      </c>
      <c r="L417" s="565"/>
      <c r="M417" s="565"/>
      <c r="N417" s="565"/>
      <c r="O417" s="565"/>
      <c r="P417" s="565"/>
    </row>
    <row r="418" spans="1:26" ht="19.5">
      <c r="A418" s="566"/>
      <c r="B418" s="557"/>
      <c r="C418" s="559"/>
      <c r="D418" s="560"/>
      <c r="E418" s="560"/>
      <c r="F418" s="560"/>
      <c r="G418" s="561"/>
      <c r="H418" s="562" t="s">
        <v>49</v>
      </c>
      <c r="I418" s="563">
        <f t="shared" ca="1" si="181"/>
        <v>1</v>
      </c>
      <c r="J418" s="563">
        <f t="shared" si="181"/>
        <v>0</v>
      </c>
      <c r="K418" s="564">
        <f t="shared" ca="1" si="182"/>
        <v>0</v>
      </c>
      <c r="L418" s="565"/>
      <c r="M418" s="565"/>
      <c r="N418" s="565"/>
      <c r="O418" s="565"/>
      <c r="P418" s="565"/>
    </row>
    <row r="419" spans="1:26" ht="19.5">
      <c r="A419" s="147"/>
      <c r="B419" s="148"/>
      <c r="C419" s="148" t="s">
        <v>16</v>
      </c>
      <c r="D419" s="868" t="s">
        <v>17</v>
      </c>
      <c r="E419" s="862"/>
      <c r="F419" s="862"/>
      <c r="G419" s="151"/>
      <c r="H419" s="274" t="s">
        <v>12</v>
      </c>
      <c r="I419" s="419"/>
      <c r="J419" s="419"/>
      <c r="K419" s="154"/>
      <c r="L419" s="155">
        <f t="shared" ref="L419:N419" ca="1" si="183">L420+L421</f>
        <v>54560</v>
      </c>
      <c r="M419" s="155">
        <f t="shared" si="183"/>
        <v>0</v>
      </c>
      <c r="N419" s="155">
        <f t="shared" si="183"/>
        <v>0</v>
      </c>
      <c r="O419" s="155">
        <f t="shared" ref="O419:O424" ca="1" si="184">IF(L419&gt;0,N419*100/L419,0)</f>
        <v>0</v>
      </c>
      <c r="P419" s="155">
        <f t="shared" ref="P419:P424" si="185">IF(M419&gt;0,N419*100/M419,0)</f>
        <v>0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2"/>
      <c r="E420" s="222" t="s">
        <v>184</v>
      </c>
      <c r="F420" s="40"/>
      <c r="G420" s="157"/>
      <c r="H420" s="165" t="s">
        <v>12</v>
      </c>
      <c r="I420" s="610"/>
      <c r="J420" s="610"/>
      <c r="K420" s="93"/>
      <c r="L420" s="93">
        <f t="shared" ref="L420:N421" si="186">L423+L430</f>
        <v>0</v>
      </c>
      <c r="M420" s="93">
        <f t="shared" si="186"/>
        <v>0</v>
      </c>
      <c r="N420" s="93">
        <f t="shared" si="186"/>
        <v>0</v>
      </c>
      <c r="O420" s="93">
        <f t="shared" si="184"/>
        <v>0</v>
      </c>
      <c r="P420" s="93">
        <f t="shared" si="185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2"/>
      <c r="E421" s="222" t="s">
        <v>185</v>
      </c>
      <c r="F421" s="40"/>
      <c r="G421" s="157"/>
      <c r="H421" s="165" t="s">
        <v>12</v>
      </c>
      <c r="I421" s="610"/>
      <c r="J421" s="610"/>
      <c r="K421" s="93"/>
      <c r="L421" s="93">
        <f t="shared" ca="1" si="186"/>
        <v>54560</v>
      </c>
      <c r="M421" s="93">
        <f t="shared" si="186"/>
        <v>0</v>
      </c>
      <c r="N421" s="93">
        <f t="shared" si="186"/>
        <v>0</v>
      </c>
      <c r="O421" s="93">
        <f t="shared" ca="1" si="184"/>
        <v>0</v>
      </c>
      <c r="P421" s="93">
        <f t="shared" si="185"/>
        <v>0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0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6">
        <f t="shared" ref="L422:N422" ca="1" si="187">L423+L424</f>
        <v>54560</v>
      </c>
      <c r="M422" s="496">
        <f t="shared" si="187"/>
        <v>0</v>
      </c>
      <c r="N422" s="496">
        <f t="shared" si="187"/>
        <v>0</v>
      </c>
      <c r="O422" s="496">
        <f t="shared" ca="1" si="184"/>
        <v>0</v>
      </c>
      <c r="P422" s="496">
        <f t="shared" si="185"/>
        <v>0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2"/>
      <c r="E423" s="222" t="s">
        <v>184</v>
      </c>
      <c r="F423" s="40"/>
      <c r="G423" s="157"/>
      <c r="H423" s="165" t="s">
        <v>12</v>
      </c>
      <c r="I423" s="610"/>
      <c r="J423" s="610"/>
      <c r="K423" s="93"/>
      <c r="L423" s="93">
        <v>0</v>
      </c>
      <c r="M423" s="93">
        <v>0</v>
      </c>
      <c r="N423" s="93">
        <v>0</v>
      </c>
      <c r="O423" s="93">
        <f t="shared" si="184"/>
        <v>0</v>
      </c>
      <c r="P423" s="93">
        <f t="shared" si="185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2"/>
      <c r="E424" s="222" t="s">
        <v>185</v>
      </c>
      <c r="F424" s="40"/>
      <c r="G424" s="157"/>
      <c r="H424" s="165" t="s">
        <v>12</v>
      </c>
      <c r="I424" s="610"/>
      <c r="J424" s="610"/>
      <c r="K424" s="93"/>
      <c r="L424" s="93">
        <f ca="1">IFERROR(__xludf.DUMMYFUNCTION("IMPORTRANGE(""https://docs.google.com/spreadsheets/d/1QqKyyYR6Q21VydFLVH3TRQUabQu_ym0Zz7PgGX0-kHA/edit?usp=sharing"",""แผน!EY73"")"),54560)</f>
        <v>54560</v>
      </c>
      <c r="M424" s="93">
        <v>0</v>
      </c>
      <c r="N424" s="93">
        <f>N425+N426+N427+N428</f>
        <v>0</v>
      </c>
      <c r="O424" s="93">
        <f t="shared" ca="1" si="184"/>
        <v>0</v>
      </c>
      <c r="P424" s="93">
        <f t="shared" si="185"/>
        <v>0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67"/>
      <c r="B425" s="568"/>
      <c r="C425" s="754"/>
      <c r="D425" s="754"/>
      <c r="E425" s="754"/>
      <c r="F425" s="754" t="s">
        <v>186</v>
      </c>
      <c r="G425" s="189"/>
      <c r="H425" s="161" t="s">
        <v>12</v>
      </c>
      <c r="I425" s="269"/>
      <c r="J425" s="269"/>
      <c r="K425" s="496"/>
      <c r="L425" s="496"/>
      <c r="M425" s="496"/>
      <c r="N425" s="817">
        <v>0</v>
      </c>
      <c r="O425" s="496"/>
      <c r="P425" s="496"/>
      <c r="Q425" s="571"/>
      <c r="R425" s="571"/>
      <c r="S425" s="571"/>
      <c r="T425" s="571"/>
      <c r="U425" s="571"/>
      <c r="V425" s="571"/>
      <c r="W425" s="571"/>
      <c r="X425" s="571"/>
      <c r="Y425" s="571"/>
      <c r="Z425" s="571"/>
    </row>
    <row r="426" spans="1:26" ht="18.75">
      <c r="A426" s="567"/>
      <c r="B426" s="568"/>
      <c r="C426" s="754"/>
      <c r="D426" s="754"/>
      <c r="E426" s="754"/>
      <c r="F426" s="754" t="s">
        <v>187</v>
      </c>
      <c r="G426" s="189"/>
      <c r="H426" s="161" t="s">
        <v>12</v>
      </c>
      <c r="I426" s="269"/>
      <c r="J426" s="269"/>
      <c r="K426" s="496"/>
      <c r="L426" s="496"/>
      <c r="M426" s="496"/>
      <c r="N426" s="817">
        <v>0</v>
      </c>
      <c r="O426" s="496"/>
      <c r="P426" s="496"/>
      <c r="Q426" s="571"/>
      <c r="R426" s="571"/>
      <c r="S426" s="571"/>
      <c r="T426" s="571"/>
      <c r="U426" s="571"/>
      <c r="V426" s="571"/>
      <c r="W426" s="571"/>
      <c r="X426" s="571"/>
      <c r="Y426" s="571"/>
      <c r="Z426" s="571"/>
    </row>
    <row r="427" spans="1:26" ht="18.75">
      <c r="A427" s="567"/>
      <c r="B427" s="568"/>
      <c r="C427" s="754"/>
      <c r="D427" s="754"/>
      <c r="E427" s="754"/>
      <c r="F427" s="754" t="s">
        <v>188</v>
      </c>
      <c r="G427" s="189"/>
      <c r="H427" s="161" t="s">
        <v>12</v>
      </c>
      <c r="I427" s="269"/>
      <c r="J427" s="269"/>
      <c r="K427" s="496"/>
      <c r="L427" s="496"/>
      <c r="M427" s="496"/>
      <c r="N427" s="817">
        <v>0</v>
      </c>
      <c r="O427" s="496"/>
      <c r="P427" s="496"/>
      <c r="Q427" s="571"/>
      <c r="R427" s="571"/>
      <c r="S427" s="571"/>
      <c r="T427" s="571"/>
      <c r="U427" s="571"/>
      <c r="V427" s="571"/>
      <c r="W427" s="571"/>
      <c r="X427" s="571"/>
      <c r="Y427" s="571"/>
      <c r="Z427" s="571"/>
    </row>
    <row r="428" spans="1:26" ht="18.75">
      <c r="A428" s="284"/>
      <c r="B428" s="280"/>
      <c r="C428" s="33"/>
      <c r="D428" s="33"/>
      <c r="E428" s="33"/>
      <c r="F428" s="281" t="s">
        <v>189</v>
      </c>
      <c r="G428" s="213"/>
      <c r="H428" s="161" t="s">
        <v>12</v>
      </c>
      <c r="I428" s="269"/>
      <c r="J428" s="269"/>
      <c r="K428" s="496"/>
      <c r="L428" s="496"/>
      <c r="M428" s="496"/>
      <c r="N428" s="817">
        <v>0</v>
      </c>
      <c r="O428" s="496"/>
      <c r="P428" s="496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0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6">
        <f t="shared" ref="L429:N429" ca="1" si="188">L430+L431</f>
        <v>0</v>
      </c>
      <c r="M429" s="496">
        <f t="shared" si="188"/>
        <v>0</v>
      </c>
      <c r="N429" s="496">
        <f t="shared" si="188"/>
        <v>0</v>
      </c>
      <c r="O429" s="496">
        <f t="shared" ref="O429:O431" ca="1" si="189">IF(L429&gt;0,N429*100/L429,0)</f>
        <v>0</v>
      </c>
      <c r="P429" s="496">
        <f t="shared" ref="P429:P431" si="190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6"/>
      <c r="C430" s="40"/>
      <c r="D430" s="40"/>
      <c r="E430" s="222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89"/>
        <v>0</v>
      </c>
      <c r="P430" s="93">
        <f t="shared" si="190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6"/>
      <c r="C431" s="40"/>
      <c r="D431" s="40"/>
      <c r="E431" s="222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IFERROR(__xludf.DUMMYFUNCTION("IMPORTRANGE(""https://docs.google.com/spreadsheets/d/1QqKyyYR6Q21VydFLVH3TRQUabQu_ym0Zz7PgGX0-kHA/edit?usp=sharing"",""แผน!FB73"")"),0)</f>
        <v>0</v>
      </c>
      <c r="M431" s="93">
        <v>0</v>
      </c>
      <c r="N431" s="93">
        <v>0</v>
      </c>
      <c r="O431" s="93">
        <f t="shared" ca="1" si="189"/>
        <v>0</v>
      </c>
      <c r="P431" s="93">
        <f t="shared" si="190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3"/>
      <c r="B432" s="414"/>
      <c r="C432" s="148" t="s">
        <v>16</v>
      </c>
      <c r="D432" s="835" t="s">
        <v>38</v>
      </c>
      <c r="E432" s="573"/>
      <c r="F432" s="573"/>
      <c r="G432" s="574"/>
      <c r="H432" s="575"/>
      <c r="I432" s="419"/>
      <c r="J432" s="419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190</v>
      </c>
      <c r="E433" s="178"/>
      <c r="F433" s="178"/>
      <c r="G433" s="179"/>
      <c r="H433" s="196" t="s">
        <v>35</v>
      </c>
      <c r="I433" s="674">
        <f ca="1">I435</f>
        <v>10</v>
      </c>
      <c r="J433" s="674">
        <f ca="1">IF(AND(J435=I435,J437=I437,J439=I439),I437+I439,IF(AND(J435=I437,J437=I437),I437,IF(AND(J435=I439,J439=I439),I439,0)))</f>
        <v>0</v>
      </c>
      <c r="K433" s="195">
        <f t="shared" ref="K433:K435" ca="1" si="191">IF(I433&gt;0,J433*100/I433,0)</f>
        <v>0</v>
      </c>
      <c r="L433" s="496"/>
      <c r="M433" s="496"/>
      <c r="N433" s="496"/>
      <c r="O433" s="496"/>
      <c r="P433" s="496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191</v>
      </c>
      <c r="E434" s="178"/>
      <c r="F434" s="178"/>
      <c r="G434" s="179"/>
      <c r="H434" s="196" t="s">
        <v>49</v>
      </c>
      <c r="I434" s="674">
        <f t="shared" ref="I434:J434" ca="1" si="192">I438+I440</f>
        <v>1</v>
      </c>
      <c r="J434" s="674">
        <f t="shared" si="192"/>
        <v>0</v>
      </c>
      <c r="K434" s="195">
        <f t="shared" ca="1" si="191"/>
        <v>0</v>
      </c>
      <c r="L434" s="496"/>
      <c r="M434" s="496"/>
      <c r="N434" s="496"/>
      <c r="O434" s="496"/>
      <c r="P434" s="496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6" t="s">
        <v>192</v>
      </c>
      <c r="E435" s="178"/>
      <c r="F435" s="178"/>
      <c r="G435" s="179"/>
      <c r="H435" s="616" t="s">
        <v>35</v>
      </c>
      <c r="I435" s="576">
        <f ca="1">IFERROR(__xludf.DUMMYFUNCTION("IMPORTRANGE(""https://docs.google.com/spreadsheets/d/1QqKyyYR6Q21VydFLVH3TRQUabQu_ym0Zz7PgGX0-kHA/edit?usp=sharing"",""แผน!FC73"")"),10)</f>
        <v>10</v>
      </c>
      <c r="J435" s="577">
        <v>0</v>
      </c>
      <c r="K435" s="496">
        <f t="shared" ca="1" si="191"/>
        <v>0</v>
      </c>
      <c r="L435" s="496"/>
      <c r="M435" s="496"/>
      <c r="N435" s="496"/>
      <c r="O435" s="496"/>
      <c r="P435" s="496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6" t="s">
        <v>193</v>
      </c>
      <c r="E436" s="178"/>
      <c r="F436" s="178"/>
      <c r="G436" s="179"/>
      <c r="H436" s="616"/>
      <c r="I436" s="269"/>
      <c r="J436" s="269"/>
      <c r="K436" s="496"/>
      <c r="L436" s="496"/>
      <c r="M436" s="496"/>
      <c r="N436" s="496"/>
      <c r="O436" s="496"/>
      <c r="P436" s="496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6" t="s">
        <v>194</v>
      </c>
      <c r="E437" s="178"/>
      <c r="F437" s="178"/>
      <c r="G437" s="179"/>
      <c r="H437" s="616" t="s">
        <v>35</v>
      </c>
      <c r="I437" s="576">
        <f ca="1">IFERROR(__xludf.DUMMYFUNCTION("IMPORTRANGE(""https://docs.google.com/spreadsheets/d/1QqKyyYR6Q21VydFLVH3TRQUabQu_ym0Zz7PgGX0-kHA/edit?usp=sharing"",""แผน!FD73"")"),0)</f>
        <v>0</v>
      </c>
      <c r="J437" s="577">
        <v>0</v>
      </c>
      <c r="K437" s="496">
        <f t="shared" ref="K437:K443" ca="1" si="193">IF(I437&gt;0,J437*100/I437,0)</f>
        <v>0</v>
      </c>
      <c r="L437" s="496"/>
      <c r="M437" s="496"/>
      <c r="N437" s="496"/>
      <c r="O437" s="496"/>
      <c r="P437" s="496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6" t="s">
        <v>195</v>
      </c>
      <c r="E438" s="178"/>
      <c r="F438" s="178"/>
      <c r="G438" s="179"/>
      <c r="H438" s="616" t="s">
        <v>49</v>
      </c>
      <c r="I438" s="269">
        <f ca="1">IFERROR(__xludf.DUMMYFUNCTION("IMPORTRANGE(""https://docs.google.com/spreadsheets/d/1QqKyyYR6Q21VydFLVH3TRQUabQu_ym0Zz7PgGX0-kHA/edit?usp=sharing"",""แผน!FE73"")"),0)</f>
        <v>0</v>
      </c>
      <c r="J438" s="214">
        <v>0</v>
      </c>
      <c r="K438" s="496">
        <f t="shared" ca="1" si="193"/>
        <v>0</v>
      </c>
      <c r="L438" s="496"/>
      <c r="M438" s="496"/>
      <c r="N438" s="496"/>
      <c r="O438" s="496"/>
      <c r="P438" s="496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6" t="s">
        <v>196</v>
      </c>
      <c r="E439" s="178"/>
      <c r="F439" s="178"/>
      <c r="G439" s="179"/>
      <c r="H439" s="616" t="s">
        <v>35</v>
      </c>
      <c r="I439" s="576">
        <f ca="1">IFERROR(__xludf.DUMMYFUNCTION("IMPORTRANGE(""https://docs.google.com/spreadsheets/d/1QqKyyYR6Q21VydFLVH3TRQUabQu_ym0Zz7PgGX0-kHA/edit?usp=sharing"",""แผน!FF73"")"),10)</f>
        <v>10</v>
      </c>
      <c r="J439" s="577">
        <v>0</v>
      </c>
      <c r="K439" s="496">
        <f t="shared" ca="1" si="193"/>
        <v>0</v>
      </c>
      <c r="L439" s="496"/>
      <c r="M439" s="496"/>
      <c r="N439" s="496"/>
      <c r="O439" s="496"/>
      <c r="P439" s="496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6" t="s">
        <v>197</v>
      </c>
      <c r="E440" s="178"/>
      <c r="F440" s="178"/>
      <c r="G440" s="179"/>
      <c r="H440" s="616" t="s">
        <v>49</v>
      </c>
      <c r="I440" s="269">
        <f ca="1">IFERROR(__xludf.DUMMYFUNCTION("IMPORTRANGE(""https://docs.google.com/spreadsheets/d/1QqKyyYR6Q21VydFLVH3TRQUabQu_ym0Zz7PgGX0-kHA/edit?usp=sharing"",""แผน!FG73"")"),1)</f>
        <v>1</v>
      </c>
      <c r="J440" s="214">
        <v>0</v>
      </c>
      <c r="K440" s="496">
        <f t="shared" ca="1" si="193"/>
        <v>0</v>
      </c>
      <c r="L440" s="496"/>
      <c r="M440" s="496"/>
      <c r="N440" s="496"/>
      <c r="O440" s="496"/>
      <c r="P440" s="496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>
      <c r="A441" s="170"/>
      <c r="B441" s="171"/>
      <c r="C441" s="171"/>
      <c r="D441" s="446" t="s">
        <v>198</v>
      </c>
      <c r="E441" s="178"/>
      <c r="F441" s="178"/>
      <c r="G441" s="179"/>
      <c r="H441" s="616" t="s">
        <v>35</v>
      </c>
      <c r="I441" s="269">
        <f ca="1">IFERROR(__xludf.DUMMYFUNCTION("IMPORTRANGE(""https://docs.google.com/spreadsheets/d/1QqKyyYR6Q21VydFLVH3TRQUabQu_ym0Zz7PgGX0-kHA/edit?usp=sharing"",""แผน!FH73"")"),0)</f>
        <v>0</v>
      </c>
      <c r="J441" s="269">
        <v>0</v>
      </c>
      <c r="K441" s="496">
        <f t="shared" ca="1" si="193"/>
        <v>0</v>
      </c>
      <c r="L441" s="496"/>
      <c r="M441" s="496"/>
      <c r="N441" s="496"/>
      <c r="O441" s="496"/>
      <c r="P441" s="496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78">
        <v>2</v>
      </c>
      <c r="B442" s="579" t="s">
        <v>199</v>
      </c>
      <c r="C442" s="580"/>
      <c r="D442" s="580"/>
      <c r="E442" s="580"/>
      <c r="F442" s="580"/>
      <c r="G442" s="581"/>
      <c r="H442" s="582" t="s">
        <v>35</v>
      </c>
      <c r="I442" s="583">
        <f t="shared" ref="I442:J442" ca="1" si="194">I460</f>
        <v>15</v>
      </c>
      <c r="J442" s="583">
        <f t="shared" si="194"/>
        <v>0</v>
      </c>
      <c r="K442" s="584">
        <f t="shared" ca="1" si="193"/>
        <v>0</v>
      </c>
      <c r="L442" s="585"/>
      <c r="M442" s="585"/>
      <c r="N442" s="585"/>
      <c r="O442" s="585"/>
      <c r="P442" s="585"/>
      <c r="Q442" s="571"/>
      <c r="R442" s="571"/>
      <c r="S442" s="571"/>
      <c r="T442" s="571"/>
      <c r="U442" s="571"/>
      <c r="V442" s="571"/>
      <c r="W442" s="571"/>
      <c r="X442" s="571"/>
      <c r="Y442" s="571"/>
      <c r="Z442" s="571"/>
    </row>
    <row r="443" spans="1:26" ht="19.5">
      <c r="A443" s="586"/>
      <c r="B443" s="587"/>
      <c r="C443" s="588"/>
      <c r="D443" s="588"/>
      <c r="E443" s="588"/>
      <c r="F443" s="588"/>
      <c r="G443" s="589"/>
      <c r="H443" s="562" t="s">
        <v>46</v>
      </c>
      <c r="I443" s="563">
        <f t="shared" ref="I443:J443" ca="1" si="195">I462</f>
        <v>30</v>
      </c>
      <c r="J443" s="563">
        <f t="shared" si="195"/>
        <v>0</v>
      </c>
      <c r="K443" s="564">
        <f t="shared" ca="1" si="193"/>
        <v>0</v>
      </c>
      <c r="L443" s="565"/>
      <c r="M443" s="565"/>
      <c r="N443" s="565"/>
      <c r="O443" s="565"/>
      <c r="P443" s="565"/>
      <c r="Q443" s="571"/>
      <c r="R443" s="571"/>
      <c r="S443" s="571"/>
      <c r="T443" s="571"/>
      <c r="U443" s="571"/>
      <c r="V443" s="571"/>
      <c r="W443" s="571"/>
      <c r="X443" s="571"/>
      <c r="Y443" s="571"/>
      <c r="Z443" s="571"/>
    </row>
    <row r="444" spans="1:26" ht="19.5">
      <c r="A444" s="590"/>
      <c r="B444" s="754"/>
      <c r="C444" s="754" t="s">
        <v>16</v>
      </c>
      <c r="D444" s="863" t="s">
        <v>17</v>
      </c>
      <c r="E444" s="857"/>
      <c r="F444" s="857"/>
      <c r="G444" s="189"/>
      <c r="H444" s="591" t="s">
        <v>12</v>
      </c>
      <c r="I444" s="269"/>
      <c r="J444" s="269"/>
      <c r="K444" s="496"/>
      <c r="L444" s="195">
        <f t="shared" ref="L444:N444" ca="1" si="196">L445+L446</f>
        <v>86360</v>
      </c>
      <c r="M444" s="195">
        <f t="shared" si="196"/>
        <v>0</v>
      </c>
      <c r="N444" s="195">
        <f t="shared" si="196"/>
        <v>34508</v>
      </c>
      <c r="O444" s="195">
        <f t="shared" ref="O444:O449" ca="1" si="197">IF(L444&gt;0,N444*100/L444,0)</f>
        <v>39.958314034275126</v>
      </c>
      <c r="P444" s="195">
        <f t="shared" ref="P444:P449" si="198">IF(M444&gt;0,N444*100/M444,0)</f>
        <v>0</v>
      </c>
      <c r="Q444" s="571"/>
      <c r="R444" s="571"/>
      <c r="S444" s="571"/>
      <c r="T444" s="571"/>
      <c r="U444" s="571"/>
      <c r="V444" s="571"/>
      <c r="W444" s="571"/>
      <c r="X444" s="571"/>
      <c r="Y444" s="571"/>
      <c r="Z444" s="571"/>
    </row>
    <row r="445" spans="1:26" ht="18.75" hidden="1">
      <c r="A445" s="592"/>
      <c r="B445" s="750"/>
      <c r="C445" s="750"/>
      <c r="D445" s="711"/>
      <c r="E445" s="750" t="s">
        <v>184</v>
      </c>
      <c r="F445" s="750"/>
      <c r="G445" s="596"/>
      <c r="H445" s="165" t="s">
        <v>12</v>
      </c>
      <c r="I445" s="610"/>
      <c r="J445" s="610"/>
      <c r="K445" s="93"/>
      <c r="L445" s="93">
        <f t="shared" ref="L445:N446" si="199">L448+L455</f>
        <v>0</v>
      </c>
      <c r="M445" s="93">
        <f t="shared" si="199"/>
        <v>0</v>
      </c>
      <c r="N445" s="93">
        <f t="shared" si="199"/>
        <v>0</v>
      </c>
      <c r="O445" s="93">
        <f t="shared" si="197"/>
        <v>0</v>
      </c>
      <c r="P445" s="93">
        <f t="shared" si="198"/>
        <v>0</v>
      </c>
      <c r="Q445" s="597"/>
      <c r="R445" s="597"/>
      <c r="S445" s="597"/>
      <c r="T445" s="597"/>
      <c r="U445" s="597"/>
      <c r="V445" s="597"/>
      <c r="W445" s="597"/>
      <c r="X445" s="597"/>
      <c r="Y445" s="597"/>
      <c r="Z445" s="597"/>
    </row>
    <row r="446" spans="1:26" ht="18.75" hidden="1">
      <c r="A446" s="592"/>
      <c r="B446" s="600"/>
      <c r="C446" s="750"/>
      <c r="D446" s="711"/>
      <c r="E446" s="750" t="s">
        <v>185</v>
      </c>
      <c r="F446" s="750"/>
      <c r="G446" s="596"/>
      <c r="H446" s="165" t="s">
        <v>12</v>
      </c>
      <c r="I446" s="610"/>
      <c r="J446" s="610"/>
      <c r="K446" s="93"/>
      <c r="L446" s="93">
        <f t="shared" ca="1" si="199"/>
        <v>86360</v>
      </c>
      <c r="M446" s="93">
        <f t="shared" si="199"/>
        <v>0</v>
      </c>
      <c r="N446" s="93">
        <f t="shared" si="199"/>
        <v>34508</v>
      </c>
      <c r="O446" s="93">
        <f t="shared" ca="1" si="197"/>
        <v>39.958314034275126</v>
      </c>
      <c r="P446" s="93">
        <f t="shared" si="198"/>
        <v>0</v>
      </c>
      <c r="Q446" s="597"/>
      <c r="R446" s="597"/>
      <c r="S446" s="597"/>
      <c r="T446" s="597"/>
      <c r="U446" s="597"/>
      <c r="V446" s="597"/>
      <c r="W446" s="597"/>
      <c r="X446" s="597"/>
      <c r="Y446" s="597"/>
      <c r="Z446" s="597"/>
    </row>
    <row r="447" spans="1:26" ht="18.75">
      <c r="A447" s="590"/>
      <c r="B447" s="568"/>
      <c r="C447" s="754"/>
      <c r="D447" s="599" t="s">
        <v>20</v>
      </c>
      <c r="E447" s="754"/>
      <c r="F447" s="754"/>
      <c r="G447" s="189"/>
      <c r="H447" s="161" t="s">
        <v>12</v>
      </c>
      <c r="I447" s="184"/>
      <c r="J447" s="184"/>
      <c r="K447" s="163"/>
      <c r="L447" s="496">
        <f t="shared" ref="L447:N447" ca="1" si="200">L448+L449</f>
        <v>86360</v>
      </c>
      <c r="M447" s="496">
        <f t="shared" si="200"/>
        <v>0</v>
      </c>
      <c r="N447" s="496">
        <f t="shared" si="200"/>
        <v>34508</v>
      </c>
      <c r="O447" s="496">
        <f t="shared" ca="1" si="197"/>
        <v>39.958314034275126</v>
      </c>
      <c r="P447" s="496">
        <f t="shared" si="198"/>
        <v>0</v>
      </c>
      <c r="Q447" s="571"/>
      <c r="R447" s="571"/>
      <c r="S447" s="571"/>
      <c r="T447" s="571"/>
      <c r="U447" s="571"/>
      <c r="V447" s="571"/>
      <c r="W447" s="571"/>
      <c r="X447" s="571"/>
      <c r="Y447" s="571"/>
      <c r="Z447" s="571"/>
    </row>
    <row r="448" spans="1:26" ht="18.75" hidden="1">
      <c r="A448" s="592"/>
      <c r="B448" s="600"/>
      <c r="C448" s="750"/>
      <c r="D448" s="711"/>
      <c r="E448" s="750" t="s">
        <v>184</v>
      </c>
      <c r="F448" s="750"/>
      <c r="G448" s="596"/>
      <c r="H448" s="165" t="s">
        <v>12</v>
      </c>
      <c r="I448" s="610"/>
      <c r="J448" s="610"/>
      <c r="K448" s="93"/>
      <c r="L448" s="93">
        <v>0</v>
      </c>
      <c r="M448" s="93">
        <v>0</v>
      </c>
      <c r="N448" s="93">
        <v>0</v>
      </c>
      <c r="O448" s="93">
        <f t="shared" si="197"/>
        <v>0</v>
      </c>
      <c r="P448" s="93">
        <f t="shared" si="198"/>
        <v>0</v>
      </c>
      <c r="Q448" s="597"/>
      <c r="R448" s="597"/>
      <c r="S448" s="597"/>
      <c r="T448" s="597"/>
      <c r="U448" s="597"/>
      <c r="V448" s="597"/>
      <c r="W448" s="597"/>
      <c r="X448" s="597"/>
      <c r="Y448" s="597"/>
      <c r="Z448" s="597"/>
    </row>
    <row r="449" spans="1:26" ht="18.75" hidden="1">
      <c r="A449" s="592"/>
      <c r="B449" s="600"/>
      <c r="C449" s="750"/>
      <c r="D449" s="711"/>
      <c r="E449" s="750" t="s">
        <v>185</v>
      </c>
      <c r="F449" s="750"/>
      <c r="G449" s="596"/>
      <c r="H449" s="165" t="s">
        <v>12</v>
      </c>
      <c r="I449" s="610"/>
      <c r="J449" s="610"/>
      <c r="K449" s="93"/>
      <c r="L449" s="93">
        <f ca="1">IFERROR(__xludf.DUMMYFUNCTION("IMPORTRANGE(""https://docs.google.com/spreadsheets/d/1QqKyyYR6Q21VydFLVH3TRQUabQu_ym0Zz7PgGX0-kHA/edit?usp=sharing"",""แผน!FJ73"")"),86360)</f>
        <v>86360</v>
      </c>
      <c r="M449" s="93">
        <v>0</v>
      </c>
      <c r="N449" s="93">
        <f>N450+N451+N452+N453</f>
        <v>34508</v>
      </c>
      <c r="O449" s="93">
        <f t="shared" ca="1" si="197"/>
        <v>39.958314034275126</v>
      </c>
      <c r="P449" s="93">
        <f t="shared" si="198"/>
        <v>0</v>
      </c>
      <c r="Q449" s="597"/>
      <c r="R449" s="597"/>
      <c r="S449" s="597"/>
      <c r="T449" s="597"/>
      <c r="U449" s="597"/>
      <c r="V449" s="597"/>
      <c r="W449" s="597"/>
      <c r="X449" s="597"/>
      <c r="Y449" s="597"/>
      <c r="Z449" s="597"/>
    </row>
    <row r="450" spans="1:26" ht="18.75">
      <c r="A450" s="567"/>
      <c r="B450" s="568"/>
      <c r="C450" s="754"/>
      <c r="D450" s="754"/>
      <c r="E450" s="754"/>
      <c r="F450" s="754" t="s">
        <v>186</v>
      </c>
      <c r="G450" s="189"/>
      <c r="H450" s="161" t="s">
        <v>12</v>
      </c>
      <c r="I450" s="269"/>
      <c r="J450" s="269"/>
      <c r="K450" s="496"/>
      <c r="L450" s="496"/>
      <c r="M450" s="496"/>
      <c r="N450" s="817">
        <f>10290+17218+7000</f>
        <v>34508</v>
      </c>
      <c r="O450" s="496"/>
      <c r="P450" s="496"/>
      <c r="Q450" s="571"/>
      <c r="R450" s="571"/>
      <c r="S450" s="571"/>
      <c r="T450" s="571"/>
      <c r="U450" s="571"/>
      <c r="V450" s="571"/>
      <c r="W450" s="571"/>
      <c r="X450" s="571"/>
      <c r="Y450" s="571"/>
      <c r="Z450" s="571"/>
    </row>
    <row r="451" spans="1:26" ht="18.75">
      <c r="A451" s="567"/>
      <c r="B451" s="568"/>
      <c r="C451" s="754"/>
      <c r="D451" s="754"/>
      <c r="E451" s="754"/>
      <c r="F451" s="754" t="s">
        <v>187</v>
      </c>
      <c r="G451" s="189"/>
      <c r="H451" s="161" t="s">
        <v>12</v>
      </c>
      <c r="I451" s="269"/>
      <c r="J451" s="269"/>
      <c r="K451" s="496"/>
      <c r="L451" s="496"/>
      <c r="M451" s="496"/>
      <c r="N451" s="817">
        <v>0</v>
      </c>
      <c r="O451" s="496"/>
      <c r="P451" s="496"/>
      <c r="Q451" s="571"/>
      <c r="R451" s="571"/>
      <c r="S451" s="571"/>
      <c r="T451" s="571"/>
      <c r="U451" s="571"/>
      <c r="V451" s="571"/>
      <c r="W451" s="571"/>
      <c r="X451" s="571"/>
      <c r="Y451" s="571"/>
      <c r="Z451" s="571"/>
    </row>
    <row r="452" spans="1:26" ht="18.75">
      <c r="A452" s="567"/>
      <c r="B452" s="568"/>
      <c r="C452" s="568"/>
      <c r="D452" s="568"/>
      <c r="E452" s="568"/>
      <c r="F452" s="754" t="s">
        <v>188</v>
      </c>
      <c r="G452" s="189"/>
      <c r="H452" s="161" t="s">
        <v>12</v>
      </c>
      <c r="I452" s="269"/>
      <c r="J452" s="269"/>
      <c r="K452" s="496"/>
      <c r="L452" s="496"/>
      <c r="M452" s="496"/>
      <c r="N452" s="817">
        <v>0</v>
      </c>
      <c r="O452" s="496"/>
      <c r="P452" s="496"/>
      <c r="Q452" s="571"/>
      <c r="R452" s="571"/>
      <c r="S452" s="571"/>
      <c r="T452" s="571"/>
      <c r="U452" s="571"/>
      <c r="V452" s="571"/>
      <c r="W452" s="571"/>
      <c r="X452" s="571"/>
      <c r="Y452" s="571"/>
      <c r="Z452" s="571"/>
    </row>
    <row r="453" spans="1:26" ht="18.75">
      <c r="A453" s="567"/>
      <c r="B453" s="568"/>
      <c r="C453" s="568"/>
      <c r="D453" s="568"/>
      <c r="E453" s="568"/>
      <c r="F453" s="754" t="s">
        <v>189</v>
      </c>
      <c r="G453" s="189"/>
      <c r="H453" s="161" t="s">
        <v>12</v>
      </c>
      <c r="I453" s="269"/>
      <c r="J453" s="269"/>
      <c r="K453" s="496"/>
      <c r="L453" s="496"/>
      <c r="M453" s="496"/>
      <c r="N453" s="817">
        <v>0</v>
      </c>
      <c r="O453" s="496"/>
      <c r="P453" s="496"/>
      <c r="Q453" s="571"/>
      <c r="R453" s="571"/>
      <c r="S453" s="571"/>
      <c r="T453" s="571"/>
      <c r="U453" s="571"/>
      <c r="V453" s="571"/>
      <c r="W453" s="571"/>
      <c r="X453" s="571"/>
      <c r="Y453" s="571"/>
      <c r="Z453" s="571"/>
    </row>
    <row r="454" spans="1:26" ht="18.75">
      <c r="A454" s="590"/>
      <c r="B454" s="568"/>
      <c r="C454" s="568"/>
      <c r="D454" s="599" t="s">
        <v>21</v>
      </c>
      <c r="E454" s="568"/>
      <c r="F454" s="754"/>
      <c r="G454" s="189"/>
      <c r="H454" s="168" t="s">
        <v>12</v>
      </c>
      <c r="I454" s="184"/>
      <c r="J454" s="184"/>
      <c r="K454" s="163"/>
      <c r="L454" s="496">
        <f t="shared" ref="L454:N454" ca="1" si="201">L455+L456</f>
        <v>0</v>
      </c>
      <c r="M454" s="496">
        <f t="shared" si="201"/>
        <v>0</v>
      </c>
      <c r="N454" s="496">
        <f t="shared" si="201"/>
        <v>0</v>
      </c>
      <c r="O454" s="496">
        <f t="shared" ref="O454:O456" ca="1" si="202">IF(L454&gt;0,N454*100/L454,0)</f>
        <v>0</v>
      </c>
      <c r="P454" s="496">
        <f t="shared" ref="P454:P456" si="203">IF(M454&gt;0,N454*100/M454,0)</f>
        <v>0</v>
      </c>
      <c r="Q454" s="571"/>
      <c r="R454" s="571"/>
      <c r="S454" s="571"/>
      <c r="T454" s="571"/>
      <c r="U454" s="571"/>
      <c r="V454" s="571"/>
      <c r="W454" s="571"/>
      <c r="X454" s="571"/>
      <c r="Y454" s="571"/>
      <c r="Z454" s="571"/>
    </row>
    <row r="455" spans="1:26" ht="18.75" hidden="1">
      <c r="A455" s="592"/>
      <c r="B455" s="600"/>
      <c r="C455" s="600"/>
      <c r="D455" s="600"/>
      <c r="E455" s="600" t="s">
        <v>18</v>
      </c>
      <c r="F455" s="750"/>
      <c r="G455" s="596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2"/>
        <v>0</v>
      </c>
      <c r="P455" s="93">
        <f t="shared" si="203"/>
        <v>0</v>
      </c>
      <c r="Q455" s="597"/>
      <c r="R455" s="597"/>
      <c r="S455" s="597"/>
      <c r="T455" s="597"/>
      <c r="U455" s="597"/>
      <c r="V455" s="597"/>
      <c r="W455" s="597"/>
      <c r="X455" s="597"/>
      <c r="Y455" s="597"/>
      <c r="Z455" s="597"/>
    </row>
    <row r="456" spans="1:26" ht="18.75" hidden="1">
      <c r="A456" s="592"/>
      <c r="B456" s="600"/>
      <c r="C456" s="600"/>
      <c r="D456" s="600"/>
      <c r="E456" s="600" t="s">
        <v>19</v>
      </c>
      <c r="F456" s="750"/>
      <c r="G456" s="596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IFERROR(__xludf.DUMMYFUNCTION("IMPORTRANGE(""https://docs.google.com/spreadsheets/d/1QqKyyYR6Q21VydFLVH3TRQUabQu_ym0Zz7PgGX0-kHA/edit?usp=sharing"",""แผน!FM73"")"),0)</f>
        <v>0</v>
      </c>
      <c r="M456" s="93">
        <v>0</v>
      </c>
      <c r="N456" s="93">
        <v>0</v>
      </c>
      <c r="O456" s="93">
        <f t="shared" ca="1" si="202"/>
        <v>0</v>
      </c>
      <c r="P456" s="93">
        <f t="shared" si="203"/>
        <v>0</v>
      </c>
      <c r="Q456" s="597"/>
      <c r="R456" s="597"/>
      <c r="S456" s="597"/>
      <c r="T456" s="597"/>
      <c r="U456" s="597"/>
      <c r="V456" s="597"/>
      <c r="W456" s="597"/>
      <c r="X456" s="597"/>
      <c r="Y456" s="597"/>
      <c r="Z456" s="597"/>
    </row>
    <row r="457" spans="1:26" ht="19.5">
      <c r="A457" s="601"/>
      <c r="B457" s="611"/>
      <c r="C457" s="568" t="s">
        <v>16</v>
      </c>
      <c r="D457" s="836" t="s">
        <v>38</v>
      </c>
      <c r="E457" s="604"/>
      <c r="F457" s="752"/>
      <c r="G457" s="606"/>
      <c r="H457" s="753"/>
      <c r="I457" s="269"/>
      <c r="J457" s="269"/>
      <c r="K457" s="496"/>
      <c r="L457" s="496"/>
      <c r="M457" s="496"/>
      <c r="N457" s="496"/>
      <c r="O457" s="496"/>
      <c r="P457" s="496"/>
      <c r="Q457" s="571"/>
      <c r="R457" s="571"/>
      <c r="S457" s="571"/>
      <c r="T457" s="571"/>
      <c r="U457" s="571"/>
      <c r="V457" s="571"/>
      <c r="W457" s="571"/>
      <c r="X457" s="571"/>
      <c r="Y457" s="571"/>
      <c r="Z457" s="571"/>
    </row>
    <row r="458" spans="1:26" ht="18.75" hidden="1">
      <c r="A458" s="607"/>
      <c r="B458" s="609"/>
      <c r="C458" s="609"/>
      <c r="D458" s="609" t="s">
        <v>200</v>
      </c>
      <c r="E458" s="609"/>
      <c r="F458" s="711"/>
      <c r="G458" s="365"/>
      <c r="H458" s="369" t="s">
        <v>35</v>
      </c>
      <c r="I458" s="610">
        <v>0</v>
      </c>
      <c r="J458" s="610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597"/>
      <c r="R458" s="597"/>
      <c r="S458" s="597"/>
      <c r="T458" s="597"/>
      <c r="U458" s="597"/>
      <c r="V458" s="597"/>
      <c r="W458" s="597"/>
      <c r="X458" s="597"/>
      <c r="Y458" s="597"/>
      <c r="Z458" s="597"/>
    </row>
    <row r="459" spans="1:26" ht="18.75" hidden="1">
      <c r="A459" s="607"/>
      <c r="B459" s="609"/>
      <c r="C459" s="609"/>
      <c r="D459" s="609" t="s">
        <v>201</v>
      </c>
      <c r="E459" s="609"/>
      <c r="F459" s="711"/>
      <c r="G459" s="365"/>
      <c r="H459" s="369"/>
      <c r="I459" s="610"/>
      <c r="J459" s="610"/>
      <c r="K459" s="93"/>
      <c r="L459" s="93"/>
      <c r="M459" s="93"/>
      <c r="N459" s="93"/>
      <c r="O459" s="93"/>
      <c r="P459" s="93"/>
      <c r="Q459" s="597"/>
      <c r="R459" s="597"/>
      <c r="S459" s="597"/>
      <c r="T459" s="597"/>
      <c r="U459" s="597"/>
      <c r="V459" s="597"/>
      <c r="W459" s="597"/>
      <c r="X459" s="597"/>
      <c r="Y459" s="597"/>
      <c r="Z459" s="597"/>
    </row>
    <row r="460" spans="1:26" ht="18.75">
      <c r="A460" s="601"/>
      <c r="B460" s="611"/>
      <c r="C460" s="611"/>
      <c r="D460" s="611" t="s">
        <v>202</v>
      </c>
      <c r="E460" s="611"/>
      <c r="F460" s="619"/>
      <c r="G460" s="753"/>
      <c r="H460" s="755" t="s">
        <v>35</v>
      </c>
      <c r="I460" s="269">
        <f ca="1">IFERROR(__xludf.DUMMYFUNCTION("IMPORTRANGE(""https://docs.google.com/spreadsheets/d/1QqKyyYR6Q21VydFLVH3TRQUabQu_ym0Zz7PgGX0-kHA/edit?usp=sharing"",""แผน!FN73"")"),15)</f>
        <v>15</v>
      </c>
      <c r="J460" s="214">
        <v>0</v>
      </c>
      <c r="K460" s="496">
        <f ca="1">IF(I460&gt;0,J460*100/I460,0)</f>
        <v>0</v>
      </c>
      <c r="L460" s="496"/>
      <c r="M460" s="496"/>
      <c r="N460" s="496"/>
      <c r="O460" s="496"/>
      <c r="P460" s="496"/>
      <c r="Q460" s="571"/>
      <c r="R460" s="571"/>
      <c r="S460" s="571"/>
      <c r="T460" s="571"/>
      <c r="U460" s="571"/>
      <c r="V460" s="571"/>
      <c r="W460" s="571"/>
      <c r="X460" s="571"/>
      <c r="Y460" s="571"/>
      <c r="Z460" s="571"/>
    </row>
    <row r="461" spans="1:26" ht="18.75">
      <c r="A461" s="601"/>
      <c r="B461" s="611"/>
      <c r="C461" s="611"/>
      <c r="D461" s="611" t="s">
        <v>203</v>
      </c>
      <c r="E461" s="619"/>
      <c r="F461" s="619"/>
      <c r="G461" s="753"/>
      <c r="H461" s="755"/>
      <c r="I461" s="269"/>
      <c r="J461" s="269"/>
      <c r="K461" s="496"/>
      <c r="L461" s="496"/>
      <c r="M461" s="496"/>
      <c r="N461" s="496"/>
      <c r="O461" s="496"/>
      <c r="P461" s="496"/>
      <c r="Q461" s="571"/>
      <c r="R461" s="571"/>
      <c r="S461" s="571"/>
      <c r="T461" s="571"/>
      <c r="U461" s="571"/>
      <c r="V461" s="571"/>
      <c r="W461" s="571"/>
      <c r="X461" s="571"/>
      <c r="Y461" s="571"/>
      <c r="Z461" s="571"/>
    </row>
    <row r="462" spans="1:26" ht="18.75">
      <c r="A462" s="601"/>
      <c r="B462" s="611"/>
      <c r="C462" s="611"/>
      <c r="D462" s="611" t="s">
        <v>204</v>
      </c>
      <c r="E462" s="619"/>
      <c r="F462" s="619"/>
      <c r="G462" s="753"/>
      <c r="H462" s="755" t="s">
        <v>46</v>
      </c>
      <c r="I462" s="269">
        <f ca="1">IFERROR(__xludf.DUMMYFUNCTION("IMPORTRANGE(""https://docs.google.com/spreadsheets/d/1QqKyyYR6Q21VydFLVH3TRQUabQu_ym0Zz7PgGX0-kHA/edit?usp=sharing"",""แผน!FO73"")"),30)</f>
        <v>30</v>
      </c>
      <c r="J462" s="214">
        <v>0</v>
      </c>
      <c r="K462" s="496">
        <f ca="1">IF(I462&gt;0,J462*100/I462,0)</f>
        <v>0</v>
      </c>
      <c r="L462" s="496"/>
      <c r="M462" s="496"/>
      <c r="N462" s="496"/>
      <c r="O462" s="496"/>
      <c r="P462" s="496"/>
      <c r="Q462" s="571"/>
      <c r="R462" s="571"/>
      <c r="S462" s="571"/>
      <c r="T462" s="571"/>
      <c r="U462" s="571"/>
      <c r="V462" s="571"/>
      <c r="W462" s="571"/>
      <c r="X462" s="571"/>
      <c r="Y462" s="571"/>
      <c r="Z462" s="571"/>
    </row>
    <row r="463" spans="1:26" ht="18.75">
      <c r="A463" s="601"/>
      <c r="B463" s="611"/>
      <c r="C463" s="611"/>
      <c r="D463" s="611" t="s">
        <v>59</v>
      </c>
      <c r="E463" s="619"/>
      <c r="F463" s="754"/>
      <c r="G463" s="189"/>
      <c r="H463" s="755" t="s">
        <v>46</v>
      </c>
      <c r="I463" s="269">
        <f ca="1">IFERROR(__xludf.DUMMYFUNCTION("IMPORTRANGE(""https://docs.google.com/spreadsheets/d/1QqKyyYR6Q21VydFLVH3TRQUabQu_ym0Zz7PgGX0-kHA/edit?usp=sharing"",""แผน!FO73"")"),30)</f>
        <v>30</v>
      </c>
      <c r="J463" s="214">
        <v>0</v>
      </c>
      <c r="K463" s="496"/>
      <c r="L463" s="496"/>
      <c r="M463" s="496"/>
      <c r="N463" s="496"/>
      <c r="O463" s="496"/>
      <c r="P463" s="496"/>
      <c r="Q463" s="571"/>
      <c r="R463" s="571"/>
      <c r="S463" s="571"/>
      <c r="T463" s="571"/>
      <c r="U463" s="571"/>
      <c r="V463" s="571"/>
      <c r="W463" s="571"/>
      <c r="X463" s="571"/>
      <c r="Y463" s="571"/>
      <c r="Z463" s="571"/>
    </row>
    <row r="464" spans="1:26" ht="19.5">
      <c r="A464" s="601"/>
      <c r="B464" s="611"/>
      <c r="C464" s="611"/>
      <c r="D464" s="611"/>
      <c r="E464" s="619"/>
      <c r="F464" s="619"/>
      <c r="G464" s="613"/>
      <c r="H464" s="755" t="s">
        <v>35</v>
      </c>
      <c r="I464" s="269">
        <f ca="1">IFERROR(__xludf.DUMMYFUNCTION("IMPORTRANGE(""https://docs.google.com/spreadsheets/d/1QqKyyYR6Q21VydFLVH3TRQUabQu_ym0Zz7PgGX0-kHA/edit?usp=sharing"",""แผน!FN73"")"),15)</f>
        <v>15</v>
      </c>
      <c r="J464" s="214">
        <v>0</v>
      </c>
      <c r="K464" s="496"/>
      <c r="L464" s="496"/>
      <c r="M464" s="496"/>
      <c r="N464" s="496"/>
      <c r="O464" s="496"/>
      <c r="P464" s="496"/>
      <c r="Q464" s="571"/>
      <c r="R464" s="571"/>
      <c r="S464" s="571"/>
      <c r="T464" s="571"/>
      <c r="U464" s="571"/>
      <c r="V464" s="571"/>
      <c r="W464" s="571"/>
      <c r="X464" s="571"/>
      <c r="Y464" s="571"/>
      <c r="Z464" s="571"/>
    </row>
    <row r="465" spans="1:26" ht="19.5" hidden="1">
      <c r="A465" s="578">
        <v>3</v>
      </c>
      <c r="B465" s="579" t="s">
        <v>205</v>
      </c>
      <c r="C465" s="580"/>
      <c r="D465" s="580"/>
      <c r="E465" s="580"/>
      <c r="F465" s="580"/>
      <c r="G465" s="581"/>
      <c r="H465" s="582" t="s">
        <v>35</v>
      </c>
      <c r="I465" s="583">
        <f ca="1">IFERROR(__xludf.DUMMYFUNCTION("IMPORTRANGE(""https://docs.google.com/spreadsheets/d/1QqKyyYR6Q21VydFLVH3TRQUabQu_ym0Zz7PgGX0-kHA/edit?usp=sharing"",""แผน!FX73"")"),0)</f>
        <v>0</v>
      </c>
      <c r="J465" s="583">
        <f>J485+J489+J492</f>
        <v>0</v>
      </c>
      <c r="K465" s="584">
        <f t="shared" ref="K465:K466" ca="1" si="204">IF(I465&gt;0,J465*100/I465,0)</f>
        <v>0</v>
      </c>
      <c r="L465" s="585"/>
      <c r="M465" s="585"/>
      <c r="N465" s="585"/>
      <c r="O465" s="585"/>
      <c r="P465" s="585"/>
      <c r="Q465" s="571"/>
      <c r="R465" s="571"/>
      <c r="S465" s="571"/>
      <c r="T465" s="571"/>
      <c r="U465" s="571"/>
      <c r="V465" s="571"/>
      <c r="W465" s="571"/>
      <c r="X465" s="571"/>
      <c r="Y465" s="571"/>
      <c r="Z465" s="571"/>
    </row>
    <row r="466" spans="1:26" ht="19.5" hidden="1">
      <c r="A466" s="586"/>
      <c r="B466" s="587"/>
      <c r="C466" s="588"/>
      <c r="D466" s="588"/>
      <c r="E466" s="588"/>
      <c r="F466" s="588"/>
      <c r="G466" s="589"/>
      <c r="H466" s="562" t="s">
        <v>46</v>
      </c>
      <c r="I466" s="563">
        <f ca="1">IFERROR(__xludf.DUMMYFUNCTION("IMPORTRANGE(""https://docs.google.com/spreadsheets/d/1QqKyyYR6Q21VydFLVH3TRQUabQu_ym0Zz7PgGX0-kHA/edit?usp=sharing"",""แผน!FW73"")"),0)</f>
        <v>0</v>
      </c>
      <c r="J466" s="563">
        <f>J483+J487</f>
        <v>0</v>
      </c>
      <c r="K466" s="564">
        <f t="shared" ca="1" si="204"/>
        <v>0</v>
      </c>
      <c r="L466" s="565"/>
      <c r="M466" s="565"/>
      <c r="N466" s="565"/>
      <c r="O466" s="565"/>
      <c r="P466" s="565"/>
      <c r="Q466" s="571"/>
      <c r="R466" s="571"/>
      <c r="S466" s="571"/>
      <c r="T466" s="571"/>
      <c r="U466" s="571"/>
      <c r="V466" s="571"/>
      <c r="W466" s="571"/>
      <c r="X466" s="571"/>
      <c r="Y466" s="571"/>
      <c r="Z466" s="571"/>
    </row>
    <row r="467" spans="1:26" ht="19.5" hidden="1">
      <c r="A467" s="590"/>
      <c r="B467" s="754"/>
      <c r="C467" s="754" t="s">
        <v>16</v>
      </c>
      <c r="D467" s="863" t="s">
        <v>17</v>
      </c>
      <c r="E467" s="857"/>
      <c r="F467" s="857"/>
      <c r="G467" s="189"/>
      <c r="H467" s="591" t="s">
        <v>12</v>
      </c>
      <c r="I467" s="269"/>
      <c r="J467" s="269"/>
      <c r="K467" s="496"/>
      <c r="L467" s="195">
        <f t="shared" ref="L467:N467" ca="1" si="205">L468+L469</f>
        <v>0</v>
      </c>
      <c r="M467" s="195">
        <f t="shared" si="205"/>
        <v>0</v>
      </c>
      <c r="N467" s="195">
        <f t="shared" si="205"/>
        <v>0</v>
      </c>
      <c r="O467" s="195">
        <f t="shared" ref="O467:O472" ca="1" si="206">IF(L467&gt;0,N467*100/L467,0)</f>
        <v>0</v>
      </c>
      <c r="P467" s="195">
        <f t="shared" ref="P467:P472" si="207">IF(M467&gt;0,N467*100/M467,0)</f>
        <v>0</v>
      </c>
      <c r="Q467" s="571"/>
      <c r="R467" s="571"/>
      <c r="S467" s="571"/>
      <c r="T467" s="571"/>
      <c r="U467" s="571"/>
      <c r="V467" s="571"/>
      <c r="W467" s="571"/>
      <c r="X467" s="571"/>
      <c r="Y467" s="571"/>
      <c r="Z467" s="571"/>
    </row>
    <row r="468" spans="1:26" ht="18.75" hidden="1">
      <c r="A468" s="592"/>
      <c r="B468" s="750"/>
      <c r="C468" s="750"/>
      <c r="D468" s="711"/>
      <c r="E468" s="750" t="s">
        <v>184</v>
      </c>
      <c r="F468" s="750"/>
      <c r="G468" s="596"/>
      <c r="H468" s="165" t="s">
        <v>12</v>
      </c>
      <c r="I468" s="610"/>
      <c r="J468" s="610"/>
      <c r="K468" s="93"/>
      <c r="L468" s="93">
        <f t="shared" ref="L468:N469" si="208">L471+L478</f>
        <v>0</v>
      </c>
      <c r="M468" s="93">
        <f t="shared" si="208"/>
        <v>0</v>
      </c>
      <c r="N468" s="93">
        <f t="shared" si="208"/>
        <v>0</v>
      </c>
      <c r="O468" s="93">
        <f t="shared" si="206"/>
        <v>0</v>
      </c>
      <c r="P468" s="93">
        <f t="shared" si="207"/>
        <v>0</v>
      </c>
      <c r="Q468" s="597"/>
      <c r="R468" s="597"/>
      <c r="S468" s="597"/>
      <c r="T468" s="597"/>
      <c r="U468" s="597"/>
      <c r="V468" s="597"/>
      <c r="W468" s="597"/>
      <c r="X468" s="597"/>
      <c r="Y468" s="597"/>
      <c r="Z468" s="597"/>
    </row>
    <row r="469" spans="1:26" ht="18.75" hidden="1">
      <c r="A469" s="592"/>
      <c r="B469" s="600"/>
      <c r="C469" s="750"/>
      <c r="D469" s="711"/>
      <c r="E469" s="750" t="s">
        <v>185</v>
      </c>
      <c r="F469" s="750"/>
      <c r="G469" s="596"/>
      <c r="H469" s="165" t="s">
        <v>12</v>
      </c>
      <c r="I469" s="610"/>
      <c r="J469" s="610"/>
      <c r="K469" s="93"/>
      <c r="L469" s="93">
        <f t="shared" ca="1" si="208"/>
        <v>0</v>
      </c>
      <c r="M469" s="93">
        <f t="shared" si="208"/>
        <v>0</v>
      </c>
      <c r="N469" s="93">
        <f t="shared" si="208"/>
        <v>0</v>
      </c>
      <c r="O469" s="93">
        <f t="shared" ca="1" si="206"/>
        <v>0</v>
      </c>
      <c r="P469" s="93">
        <f t="shared" si="207"/>
        <v>0</v>
      </c>
      <c r="Q469" s="597"/>
      <c r="R469" s="597"/>
      <c r="S469" s="597"/>
      <c r="T469" s="597"/>
      <c r="U469" s="597"/>
      <c r="V469" s="597"/>
      <c r="W469" s="597"/>
      <c r="X469" s="597"/>
      <c r="Y469" s="597"/>
      <c r="Z469" s="597"/>
    </row>
    <row r="470" spans="1:26" ht="18.75" hidden="1">
      <c r="A470" s="590"/>
      <c r="B470" s="568"/>
      <c r="C470" s="754"/>
      <c r="D470" s="599" t="s">
        <v>20</v>
      </c>
      <c r="E470" s="754"/>
      <c r="F470" s="754"/>
      <c r="G470" s="189"/>
      <c r="H470" s="161" t="s">
        <v>12</v>
      </c>
      <c r="I470" s="184"/>
      <c r="J470" s="184"/>
      <c r="K470" s="163"/>
      <c r="L470" s="496">
        <f t="shared" ref="L470:N470" ca="1" si="209">L471+L472</f>
        <v>0</v>
      </c>
      <c r="M470" s="496">
        <f t="shared" si="209"/>
        <v>0</v>
      </c>
      <c r="N470" s="496">
        <f t="shared" si="209"/>
        <v>0</v>
      </c>
      <c r="O470" s="496">
        <f t="shared" ca="1" si="206"/>
        <v>0</v>
      </c>
      <c r="P470" s="496">
        <f t="shared" si="207"/>
        <v>0</v>
      </c>
      <c r="Q470" s="571"/>
      <c r="R470" s="571"/>
      <c r="S470" s="571"/>
      <c r="T470" s="571"/>
      <c r="U470" s="571"/>
      <c r="V470" s="571"/>
      <c r="W470" s="571"/>
      <c r="X470" s="571"/>
      <c r="Y470" s="571"/>
      <c r="Z470" s="571"/>
    </row>
    <row r="471" spans="1:26" ht="18.75" hidden="1">
      <c r="A471" s="592"/>
      <c r="B471" s="600"/>
      <c r="C471" s="750"/>
      <c r="D471" s="711"/>
      <c r="E471" s="750" t="s">
        <v>184</v>
      </c>
      <c r="F471" s="750"/>
      <c r="G471" s="596"/>
      <c r="H471" s="165" t="s">
        <v>12</v>
      </c>
      <c r="I471" s="610"/>
      <c r="J471" s="610"/>
      <c r="K471" s="93"/>
      <c r="L471" s="93">
        <v>0</v>
      </c>
      <c r="M471" s="93">
        <v>0</v>
      </c>
      <c r="N471" s="93">
        <v>0</v>
      </c>
      <c r="O471" s="93">
        <f t="shared" si="206"/>
        <v>0</v>
      </c>
      <c r="P471" s="93">
        <f t="shared" si="207"/>
        <v>0</v>
      </c>
      <c r="Q471" s="597"/>
      <c r="R471" s="597"/>
      <c r="S471" s="597"/>
      <c r="T471" s="597"/>
      <c r="U471" s="597"/>
      <c r="V471" s="597"/>
      <c r="W471" s="597"/>
      <c r="X471" s="597"/>
      <c r="Y471" s="597"/>
      <c r="Z471" s="597"/>
    </row>
    <row r="472" spans="1:26" ht="18.75" hidden="1">
      <c r="A472" s="592"/>
      <c r="B472" s="600"/>
      <c r="C472" s="750"/>
      <c r="D472" s="711"/>
      <c r="E472" s="750" t="s">
        <v>185</v>
      </c>
      <c r="F472" s="750"/>
      <c r="G472" s="596"/>
      <c r="H472" s="165" t="s">
        <v>12</v>
      </c>
      <c r="I472" s="610"/>
      <c r="J472" s="610"/>
      <c r="K472" s="93"/>
      <c r="L472" s="93">
        <f ca="1">IFERROR(__xludf.DUMMYFUNCTION("IMPORTRANGE(""https://docs.google.com/spreadsheets/d/1QqKyyYR6Q21VydFLVH3TRQUabQu_ym0Zz7PgGX0-kHA/edit?usp=sharing"",""แผน!FS73"")"),0)</f>
        <v>0</v>
      </c>
      <c r="M472" s="93">
        <v>0</v>
      </c>
      <c r="N472" s="93">
        <f>N473+N474+N475+N476</f>
        <v>0</v>
      </c>
      <c r="O472" s="93">
        <f t="shared" ca="1" si="206"/>
        <v>0</v>
      </c>
      <c r="P472" s="93">
        <f t="shared" si="207"/>
        <v>0</v>
      </c>
      <c r="Q472" s="597"/>
      <c r="R472" s="597"/>
      <c r="S472" s="597"/>
      <c r="T472" s="597"/>
      <c r="U472" s="597"/>
      <c r="V472" s="597"/>
      <c r="W472" s="597"/>
      <c r="X472" s="597"/>
      <c r="Y472" s="597"/>
      <c r="Z472" s="597"/>
    </row>
    <row r="473" spans="1:26" ht="18.75" hidden="1">
      <c r="A473" s="567"/>
      <c r="B473" s="568"/>
      <c r="C473" s="754"/>
      <c r="D473" s="754"/>
      <c r="E473" s="754"/>
      <c r="F473" s="754" t="s">
        <v>186</v>
      </c>
      <c r="G473" s="189"/>
      <c r="H473" s="161" t="s">
        <v>12</v>
      </c>
      <c r="I473" s="269"/>
      <c r="J473" s="269"/>
      <c r="K473" s="496"/>
      <c r="L473" s="496"/>
      <c r="M473" s="496"/>
      <c r="N473" s="817">
        <v>0</v>
      </c>
      <c r="O473" s="496"/>
      <c r="P473" s="496"/>
      <c r="Q473" s="571"/>
      <c r="R473" s="571"/>
      <c r="S473" s="571"/>
      <c r="T473" s="571"/>
      <c r="U473" s="571"/>
      <c r="V473" s="571"/>
      <c r="W473" s="571"/>
      <c r="X473" s="571"/>
      <c r="Y473" s="571"/>
      <c r="Z473" s="571"/>
    </row>
    <row r="474" spans="1:26" ht="18.75" hidden="1">
      <c r="A474" s="567"/>
      <c r="B474" s="568"/>
      <c r="C474" s="754"/>
      <c r="D474" s="754"/>
      <c r="E474" s="754"/>
      <c r="F474" s="754" t="s">
        <v>187</v>
      </c>
      <c r="G474" s="189"/>
      <c r="H474" s="161" t="s">
        <v>12</v>
      </c>
      <c r="I474" s="269"/>
      <c r="J474" s="269"/>
      <c r="K474" s="496"/>
      <c r="L474" s="496"/>
      <c r="M474" s="496"/>
      <c r="N474" s="817">
        <v>0</v>
      </c>
      <c r="O474" s="496"/>
      <c r="P474" s="496"/>
      <c r="Q474" s="571"/>
      <c r="R474" s="571"/>
      <c r="S474" s="571"/>
      <c r="T474" s="571"/>
      <c r="U474" s="571"/>
      <c r="V474" s="571"/>
      <c r="W474" s="571"/>
      <c r="X474" s="571"/>
      <c r="Y474" s="571"/>
      <c r="Z474" s="571"/>
    </row>
    <row r="475" spans="1:26" ht="18.75" hidden="1">
      <c r="A475" s="567"/>
      <c r="B475" s="568"/>
      <c r="C475" s="568"/>
      <c r="D475" s="568"/>
      <c r="E475" s="568"/>
      <c r="F475" s="754" t="s">
        <v>188</v>
      </c>
      <c r="G475" s="189"/>
      <c r="H475" s="161" t="s">
        <v>12</v>
      </c>
      <c r="I475" s="269"/>
      <c r="J475" s="269"/>
      <c r="K475" s="496"/>
      <c r="L475" s="496"/>
      <c r="M475" s="496"/>
      <c r="N475" s="817">
        <v>0</v>
      </c>
      <c r="O475" s="496"/>
      <c r="P475" s="496"/>
      <c r="Q475" s="571"/>
      <c r="R475" s="571"/>
      <c r="S475" s="571"/>
      <c r="T475" s="571"/>
      <c r="U475" s="571"/>
      <c r="V475" s="571"/>
      <c r="W475" s="571"/>
      <c r="X475" s="571"/>
      <c r="Y475" s="571"/>
      <c r="Z475" s="571"/>
    </row>
    <row r="476" spans="1:26" ht="18.75" hidden="1">
      <c r="A476" s="567"/>
      <c r="B476" s="568"/>
      <c r="C476" s="568"/>
      <c r="D476" s="568"/>
      <c r="E476" s="568"/>
      <c r="F476" s="754" t="s">
        <v>189</v>
      </c>
      <c r="G476" s="189"/>
      <c r="H476" s="161" t="s">
        <v>12</v>
      </c>
      <c r="I476" s="269"/>
      <c r="J476" s="269"/>
      <c r="K476" s="496"/>
      <c r="L476" s="496"/>
      <c r="M476" s="496"/>
      <c r="N476" s="817">
        <v>0</v>
      </c>
      <c r="O476" s="496"/>
      <c r="P476" s="496"/>
      <c r="Q476" s="571"/>
      <c r="R476" s="571"/>
      <c r="S476" s="571"/>
      <c r="T476" s="571"/>
      <c r="U476" s="571"/>
      <c r="V476" s="571"/>
      <c r="W476" s="571"/>
      <c r="X476" s="571"/>
      <c r="Y476" s="571"/>
      <c r="Z476" s="571"/>
    </row>
    <row r="477" spans="1:26" ht="18.75" hidden="1">
      <c r="A477" s="590"/>
      <c r="B477" s="568"/>
      <c r="C477" s="568"/>
      <c r="D477" s="599" t="s">
        <v>21</v>
      </c>
      <c r="E477" s="568"/>
      <c r="F477" s="568"/>
      <c r="G477" s="189"/>
      <c r="H477" s="168" t="s">
        <v>12</v>
      </c>
      <c r="I477" s="184"/>
      <c r="J477" s="184"/>
      <c r="K477" s="163"/>
      <c r="L477" s="496">
        <f t="shared" ref="L477:N477" ca="1" si="210">L478+L479</f>
        <v>0</v>
      </c>
      <c r="M477" s="496">
        <f t="shared" si="210"/>
        <v>0</v>
      </c>
      <c r="N477" s="496">
        <f t="shared" si="210"/>
        <v>0</v>
      </c>
      <c r="O477" s="496">
        <f t="shared" ref="O477:O479" ca="1" si="211">IF(L477&gt;0,N477*100/L477,0)</f>
        <v>0</v>
      </c>
      <c r="P477" s="496">
        <f t="shared" ref="P477:P479" si="212">IF(M477&gt;0,N477*100/M477,0)</f>
        <v>0</v>
      </c>
      <c r="Q477" s="571"/>
      <c r="R477" s="571"/>
      <c r="S477" s="571"/>
      <c r="T477" s="571"/>
      <c r="U477" s="571"/>
      <c r="V477" s="571"/>
      <c r="W477" s="571"/>
      <c r="X477" s="571"/>
      <c r="Y477" s="571"/>
      <c r="Z477" s="571"/>
    </row>
    <row r="478" spans="1:26" ht="18.75" hidden="1">
      <c r="A478" s="592"/>
      <c r="B478" s="600"/>
      <c r="C478" s="600"/>
      <c r="D478" s="600"/>
      <c r="E478" s="600" t="s">
        <v>18</v>
      </c>
      <c r="F478" s="600"/>
      <c r="G478" s="596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1"/>
        <v>0</v>
      </c>
      <c r="P478" s="93">
        <f t="shared" si="212"/>
        <v>0</v>
      </c>
      <c r="Q478" s="597"/>
      <c r="R478" s="597"/>
      <c r="S478" s="597"/>
      <c r="T478" s="597"/>
      <c r="U478" s="597"/>
      <c r="V478" s="597"/>
      <c r="W478" s="597"/>
      <c r="X478" s="597"/>
      <c r="Y478" s="597"/>
      <c r="Z478" s="597"/>
    </row>
    <row r="479" spans="1:26" ht="18.75" hidden="1">
      <c r="A479" s="592"/>
      <c r="B479" s="600"/>
      <c r="C479" s="600"/>
      <c r="D479" s="600"/>
      <c r="E479" s="600" t="s">
        <v>19</v>
      </c>
      <c r="F479" s="600"/>
      <c r="G479" s="596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IFERROR(__xludf.DUMMYFUNCTION("IMPORTRANGE(""https://docs.google.com/spreadsheets/d/1QqKyyYR6Q21VydFLVH3TRQUabQu_ym0Zz7PgGX0-kHA/edit?usp=sharing"",""แผน!FV73"")"),0)</f>
        <v>0</v>
      </c>
      <c r="M479" s="93">
        <v>0</v>
      </c>
      <c r="N479" s="93">
        <v>0</v>
      </c>
      <c r="O479" s="93">
        <f t="shared" ca="1" si="211"/>
        <v>0</v>
      </c>
      <c r="P479" s="93">
        <f t="shared" si="212"/>
        <v>0</v>
      </c>
      <c r="Q479" s="597"/>
      <c r="R479" s="597"/>
      <c r="S479" s="597"/>
      <c r="T479" s="597"/>
      <c r="U479" s="597"/>
      <c r="V479" s="597"/>
      <c r="W479" s="597"/>
      <c r="X479" s="597"/>
      <c r="Y479" s="597"/>
      <c r="Z479" s="597"/>
    </row>
    <row r="480" spans="1:26" ht="19.5" hidden="1">
      <c r="A480" s="601"/>
      <c r="B480" s="611"/>
      <c r="C480" s="568" t="s">
        <v>16</v>
      </c>
      <c r="D480" s="837" t="s">
        <v>38</v>
      </c>
      <c r="E480" s="604"/>
      <c r="F480" s="752"/>
      <c r="G480" s="606"/>
      <c r="H480" s="753"/>
      <c r="I480" s="269"/>
      <c r="J480" s="269"/>
      <c r="K480" s="496"/>
      <c r="L480" s="496"/>
      <c r="M480" s="496"/>
      <c r="N480" s="496"/>
      <c r="O480" s="496"/>
      <c r="P480" s="496"/>
      <c r="Q480" s="571"/>
      <c r="R480" s="571"/>
      <c r="S480" s="571"/>
      <c r="T480" s="571"/>
      <c r="U480" s="571"/>
      <c r="V480" s="571"/>
      <c r="W480" s="571"/>
      <c r="X480" s="571"/>
      <c r="Y480" s="571"/>
      <c r="Z480" s="571"/>
    </row>
    <row r="481" spans="1:26" ht="19.5" hidden="1">
      <c r="A481" s="601"/>
      <c r="B481" s="611"/>
      <c r="C481" s="611"/>
      <c r="D481" s="618" t="s">
        <v>206</v>
      </c>
      <c r="E481" s="611"/>
      <c r="F481" s="611"/>
      <c r="G481" s="753"/>
      <c r="H481" s="189"/>
      <c r="I481" s="269"/>
      <c r="J481" s="269"/>
      <c r="K481" s="496"/>
      <c r="L481" s="496"/>
      <c r="M481" s="496"/>
      <c r="N481" s="496"/>
      <c r="O481" s="496"/>
      <c r="P481" s="496"/>
      <c r="Q481" s="571"/>
      <c r="R481" s="571"/>
      <c r="S481" s="571"/>
      <c r="T481" s="571"/>
      <c r="U481" s="571"/>
      <c r="V481" s="571"/>
      <c r="W481" s="571"/>
      <c r="X481" s="571"/>
      <c r="Y481" s="571"/>
      <c r="Z481" s="571"/>
    </row>
    <row r="482" spans="1:26" ht="18.75" hidden="1">
      <c r="A482" s="601"/>
      <c r="B482" s="611"/>
      <c r="C482" s="611"/>
      <c r="D482" s="611"/>
      <c r="E482" s="611" t="s">
        <v>207</v>
      </c>
      <c r="F482" s="611"/>
      <c r="G482" s="753"/>
      <c r="H482" s="189"/>
      <c r="I482" s="269"/>
      <c r="J482" s="269"/>
      <c r="K482" s="496"/>
      <c r="L482" s="496"/>
      <c r="M482" s="496"/>
      <c r="N482" s="496"/>
      <c r="O482" s="496"/>
      <c r="P482" s="496"/>
      <c r="Q482" s="571"/>
      <c r="R482" s="571"/>
      <c r="S482" s="571"/>
      <c r="T482" s="571"/>
      <c r="U482" s="571"/>
      <c r="V482" s="571"/>
      <c r="W482" s="571"/>
      <c r="X482" s="571"/>
      <c r="Y482" s="571"/>
      <c r="Z482" s="571"/>
    </row>
    <row r="483" spans="1:26" ht="18.75" hidden="1">
      <c r="A483" s="601"/>
      <c r="B483" s="611"/>
      <c r="C483" s="611"/>
      <c r="D483" s="611"/>
      <c r="E483" s="611"/>
      <c r="F483" s="611" t="s">
        <v>208</v>
      </c>
      <c r="G483" s="753"/>
      <c r="H483" s="616" t="s">
        <v>46</v>
      </c>
      <c r="I483" s="269">
        <f ca="1">IFERROR(__xludf.DUMMYFUNCTION("IMPORTRANGE(""https://docs.google.com/spreadsheets/d/1QqKyyYR6Q21VydFLVH3TRQUabQu_ym0Zz7PgGX0-kHA/edit?usp=sharing"",""แผน!FY73"")"),0)</f>
        <v>0</v>
      </c>
      <c r="J483" s="214">
        <v>0</v>
      </c>
      <c r="K483" s="496">
        <f ca="1">IF(I483&gt;0,J483*100/I483,0)</f>
        <v>0</v>
      </c>
      <c r="L483" s="496"/>
      <c r="M483" s="496"/>
      <c r="N483" s="496"/>
      <c r="O483" s="496"/>
      <c r="P483" s="496"/>
      <c r="Q483" s="571"/>
      <c r="R483" s="571"/>
      <c r="S483" s="571"/>
      <c r="T483" s="571"/>
      <c r="U483" s="571"/>
      <c r="V483" s="571"/>
      <c r="W483" s="571"/>
      <c r="X483" s="571"/>
      <c r="Y483" s="571"/>
      <c r="Z483" s="571"/>
    </row>
    <row r="484" spans="1:26" ht="18.75" hidden="1">
      <c r="A484" s="601"/>
      <c r="B484" s="611"/>
      <c r="C484" s="611"/>
      <c r="D484" s="611"/>
      <c r="E484" s="611"/>
      <c r="F484" s="611" t="s">
        <v>209</v>
      </c>
      <c r="G484" s="753"/>
      <c r="H484" s="616" t="s">
        <v>35</v>
      </c>
      <c r="I484" s="269"/>
      <c r="J484" s="214">
        <v>0</v>
      </c>
      <c r="K484" s="496"/>
      <c r="L484" s="496"/>
      <c r="M484" s="496"/>
      <c r="N484" s="496"/>
      <c r="O484" s="496"/>
      <c r="P484" s="496"/>
      <c r="Q484" s="571"/>
      <c r="R484" s="571"/>
      <c r="S484" s="571"/>
      <c r="T484" s="571"/>
      <c r="U484" s="571"/>
      <c r="V484" s="571"/>
      <c r="W484" s="571"/>
      <c r="X484" s="571"/>
      <c r="Y484" s="571"/>
      <c r="Z484" s="571"/>
    </row>
    <row r="485" spans="1:26" ht="18.75" hidden="1">
      <c r="A485" s="601"/>
      <c r="B485" s="611"/>
      <c r="C485" s="611"/>
      <c r="D485" s="611"/>
      <c r="E485" s="611"/>
      <c r="F485" s="611" t="s">
        <v>210</v>
      </c>
      <c r="G485" s="753"/>
      <c r="H485" s="616" t="s">
        <v>35</v>
      </c>
      <c r="I485" s="269">
        <f ca="1">IFERROR(__xludf.DUMMYFUNCTION("IMPORTRANGE(""https://docs.google.com/spreadsheets/d/1QqKyyYR6Q21VydFLVH3TRQUabQu_ym0Zz7PgGX0-kHA/edit?usp=sharing"",""แผน!FZ73"")"),0)</f>
        <v>0</v>
      </c>
      <c r="J485" s="214">
        <v>0</v>
      </c>
      <c r="K485" s="496">
        <f ca="1">IF(I485&gt;0,J485*100/I485,0)</f>
        <v>0</v>
      </c>
      <c r="L485" s="496"/>
      <c r="M485" s="496"/>
      <c r="N485" s="496"/>
      <c r="O485" s="496"/>
      <c r="P485" s="496"/>
      <c r="Q485" s="571"/>
      <c r="R485" s="571"/>
      <c r="S485" s="571"/>
      <c r="T485" s="571"/>
      <c r="U485" s="571"/>
      <c r="V485" s="571"/>
      <c r="W485" s="571"/>
      <c r="X485" s="571"/>
      <c r="Y485" s="571"/>
      <c r="Z485" s="571"/>
    </row>
    <row r="486" spans="1:26" ht="18.75" hidden="1">
      <c r="A486" s="601"/>
      <c r="B486" s="611"/>
      <c r="C486" s="611"/>
      <c r="D486" s="611"/>
      <c r="E486" s="611" t="s">
        <v>62</v>
      </c>
      <c r="F486" s="611"/>
      <c r="G486" s="753"/>
      <c r="H486" s="616"/>
      <c r="I486" s="269"/>
      <c r="J486" s="269"/>
      <c r="K486" s="496"/>
      <c r="L486" s="496"/>
      <c r="M486" s="496"/>
      <c r="N486" s="496"/>
      <c r="O486" s="496"/>
      <c r="P486" s="496"/>
      <c r="Q486" s="571"/>
      <c r="R486" s="571"/>
      <c r="S486" s="571"/>
      <c r="T486" s="571"/>
      <c r="U486" s="571"/>
      <c r="V486" s="571"/>
      <c r="W486" s="571"/>
      <c r="X486" s="571"/>
      <c r="Y486" s="571"/>
      <c r="Z486" s="571"/>
    </row>
    <row r="487" spans="1:26" ht="18.75" hidden="1">
      <c r="A487" s="601"/>
      <c r="B487" s="611"/>
      <c r="C487" s="611"/>
      <c r="D487" s="611"/>
      <c r="E487" s="611"/>
      <c r="F487" s="611" t="s">
        <v>208</v>
      </c>
      <c r="G487" s="753"/>
      <c r="H487" s="616" t="s">
        <v>46</v>
      </c>
      <c r="I487" s="269">
        <f ca="1">IFERROR(__xludf.DUMMYFUNCTION("IMPORTRANGE(""https://docs.google.com/spreadsheets/d/1QqKyyYR6Q21VydFLVH3TRQUabQu_ym0Zz7PgGX0-kHA/edit?usp=sharing"",""แผน!GA73"")"),0)</f>
        <v>0</v>
      </c>
      <c r="J487" s="214">
        <v>0</v>
      </c>
      <c r="K487" s="496">
        <f ca="1">IF(I487&gt;0,J487*100/I487,0)</f>
        <v>0</v>
      </c>
      <c r="L487" s="496"/>
      <c r="M487" s="496"/>
      <c r="N487" s="496"/>
      <c r="O487" s="496"/>
      <c r="P487" s="496"/>
      <c r="Q487" s="571"/>
      <c r="R487" s="571"/>
      <c r="S487" s="571"/>
      <c r="T487" s="571"/>
      <c r="U487" s="571"/>
      <c r="V487" s="571"/>
      <c r="W487" s="571"/>
      <c r="X487" s="571"/>
      <c r="Y487" s="571"/>
      <c r="Z487" s="571"/>
    </row>
    <row r="488" spans="1:26" ht="18.75" hidden="1">
      <c r="A488" s="601"/>
      <c r="B488" s="611"/>
      <c r="C488" s="611"/>
      <c r="D488" s="611"/>
      <c r="E488" s="611"/>
      <c r="F488" s="611" t="s">
        <v>211</v>
      </c>
      <c r="G488" s="753"/>
      <c r="H488" s="616" t="s">
        <v>35</v>
      </c>
      <c r="I488" s="269"/>
      <c r="J488" s="214">
        <v>0</v>
      </c>
      <c r="K488" s="496"/>
      <c r="L488" s="496"/>
      <c r="M488" s="496"/>
      <c r="N488" s="496"/>
      <c r="O488" s="496"/>
      <c r="P488" s="496"/>
      <c r="Q488" s="571"/>
      <c r="R488" s="571"/>
      <c r="S488" s="571"/>
      <c r="T488" s="571"/>
      <c r="U488" s="571"/>
      <c r="V488" s="571"/>
      <c r="W488" s="571"/>
      <c r="X488" s="571"/>
      <c r="Y488" s="571"/>
      <c r="Z488" s="571"/>
    </row>
    <row r="489" spans="1:26" ht="18.75" hidden="1">
      <c r="A489" s="601"/>
      <c r="B489" s="611"/>
      <c r="C489" s="611"/>
      <c r="D489" s="611"/>
      <c r="E489" s="611"/>
      <c r="F489" s="611" t="s">
        <v>212</v>
      </c>
      <c r="G489" s="753"/>
      <c r="H489" s="616" t="s">
        <v>35</v>
      </c>
      <c r="I489" s="269">
        <f ca="1">IFERROR(__xludf.DUMMYFUNCTION("IMPORTRANGE(""https://docs.google.com/spreadsheets/d/1QqKyyYR6Q21VydFLVH3TRQUabQu_ym0Zz7PgGX0-kHA/edit?usp=sharing"",""แผน!GB73"")"),0)</f>
        <v>0</v>
      </c>
      <c r="J489" s="214">
        <v>0</v>
      </c>
      <c r="K489" s="496">
        <f ca="1">IF(I489&gt;0,J489*100/I489,0)</f>
        <v>0</v>
      </c>
      <c r="L489" s="496"/>
      <c r="M489" s="496"/>
      <c r="N489" s="496"/>
      <c r="O489" s="496"/>
      <c r="P489" s="496"/>
      <c r="Q489" s="571"/>
      <c r="R489" s="571"/>
      <c r="S489" s="571"/>
      <c r="T489" s="571"/>
      <c r="U489" s="571"/>
      <c r="V489" s="571"/>
      <c r="W489" s="571"/>
      <c r="X489" s="571"/>
      <c r="Y489" s="571"/>
      <c r="Z489" s="571"/>
    </row>
    <row r="490" spans="1:26" ht="18.75" hidden="1">
      <c r="A490" s="601"/>
      <c r="B490" s="611"/>
      <c r="C490" s="611"/>
      <c r="D490" s="611"/>
      <c r="E490" s="611" t="s">
        <v>63</v>
      </c>
      <c r="F490" s="619"/>
      <c r="G490" s="753"/>
      <c r="H490" s="616"/>
      <c r="I490" s="269"/>
      <c r="J490" s="269"/>
      <c r="K490" s="496"/>
      <c r="L490" s="496"/>
      <c r="M490" s="496"/>
      <c r="N490" s="496"/>
      <c r="O490" s="496"/>
      <c r="P490" s="496"/>
      <c r="Q490" s="571"/>
      <c r="R490" s="571"/>
      <c r="S490" s="571"/>
      <c r="T490" s="571"/>
      <c r="U490" s="571"/>
      <c r="V490" s="571"/>
      <c r="W490" s="571"/>
      <c r="X490" s="571"/>
      <c r="Y490" s="571"/>
      <c r="Z490" s="571"/>
    </row>
    <row r="491" spans="1:26" ht="18.75" hidden="1">
      <c r="A491" s="601"/>
      <c r="B491" s="611"/>
      <c r="C491" s="611"/>
      <c r="D491" s="611"/>
      <c r="E491" s="611"/>
      <c r="F491" s="611" t="s">
        <v>213</v>
      </c>
      <c r="G491" s="753"/>
      <c r="H491" s="616" t="s">
        <v>35</v>
      </c>
      <c r="I491" s="269"/>
      <c r="J491" s="214">
        <v>0</v>
      </c>
      <c r="K491" s="496"/>
      <c r="L491" s="496"/>
      <c r="M491" s="496"/>
      <c r="N491" s="496"/>
      <c r="O491" s="496"/>
      <c r="P491" s="496"/>
      <c r="Q491" s="571"/>
      <c r="R491" s="571"/>
      <c r="S491" s="571"/>
      <c r="T491" s="571"/>
      <c r="U491" s="571"/>
      <c r="V491" s="571"/>
      <c r="W491" s="571"/>
      <c r="X491" s="571"/>
      <c r="Y491" s="571"/>
      <c r="Z491" s="571"/>
    </row>
    <row r="492" spans="1:26" ht="18.75" hidden="1">
      <c r="A492" s="601"/>
      <c r="B492" s="611"/>
      <c r="C492" s="611"/>
      <c r="D492" s="611"/>
      <c r="E492" s="611"/>
      <c r="F492" s="611" t="s">
        <v>214</v>
      </c>
      <c r="G492" s="753"/>
      <c r="H492" s="616" t="s">
        <v>35</v>
      </c>
      <c r="I492" s="269">
        <f ca="1">IFERROR(__xludf.DUMMYFUNCTION("IMPORTRANGE(""https://docs.google.com/spreadsheets/d/1QqKyyYR6Q21VydFLVH3TRQUabQu_ym0Zz7PgGX0-kHA/edit?usp=sharing"",""แผน!GC73"")"),0)</f>
        <v>0</v>
      </c>
      <c r="J492" s="214">
        <v>0</v>
      </c>
      <c r="K492" s="496">
        <f ca="1">IF(I492&gt;0,J492*100/I492,0)</f>
        <v>0</v>
      </c>
      <c r="L492" s="496"/>
      <c r="M492" s="496"/>
      <c r="N492" s="496"/>
      <c r="O492" s="496"/>
      <c r="P492" s="496"/>
      <c r="Q492" s="571"/>
      <c r="R492" s="571"/>
      <c r="S492" s="571"/>
      <c r="T492" s="571"/>
      <c r="U492" s="571"/>
      <c r="V492" s="571"/>
      <c r="W492" s="571"/>
      <c r="X492" s="571"/>
      <c r="Y492" s="571"/>
      <c r="Z492" s="571"/>
    </row>
    <row r="493" spans="1:26" ht="19.5" hidden="1">
      <c r="A493" s="601"/>
      <c r="B493" s="611"/>
      <c r="C493" s="611"/>
      <c r="D493" s="618" t="s">
        <v>59</v>
      </c>
      <c r="E493" s="611"/>
      <c r="F493" s="619"/>
      <c r="G493" s="753"/>
      <c r="H493" s="189"/>
      <c r="I493" s="269"/>
      <c r="J493" s="269"/>
      <c r="K493" s="496"/>
      <c r="L493" s="496"/>
      <c r="M493" s="496"/>
      <c r="N493" s="496"/>
      <c r="O493" s="496"/>
      <c r="P493" s="496"/>
      <c r="Q493" s="571"/>
      <c r="R493" s="571"/>
      <c r="S493" s="571"/>
      <c r="T493" s="571"/>
      <c r="U493" s="571"/>
      <c r="V493" s="571"/>
      <c r="W493" s="571"/>
      <c r="X493" s="571"/>
      <c r="Y493" s="571"/>
      <c r="Z493" s="571"/>
    </row>
    <row r="494" spans="1:26" ht="18.75" hidden="1">
      <c r="A494" s="601"/>
      <c r="B494" s="611"/>
      <c r="C494" s="611"/>
      <c r="D494" s="611"/>
      <c r="E494" s="611" t="s">
        <v>207</v>
      </c>
      <c r="F494" s="619"/>
      <c r="G494" s="753"/>
      <c r="H494" s="189"/>
      <c r="I494" s="269"/>
      <c r="J494" s="269"/>
      <c r="K494" s="496"/>
      <c r="L494" s="496"/>
      <c r="M494" s="496"/>
      <c r="N494" s="496"/>
      <c r="O494" s="496"/>
      <c r="P494" s="496"/>
      <c r="Q494" s="571"/>
      <c r="R494" s="571"/>
      <c r="S494" s="571"/>
      <c r="T494" s="571"/>
      <c r="U494" s="571"/>
      <c r="V494" s="571"/>
      <c r="W494" s="571"/>
      <c r="X494" s="571"/>
      <c r="Y494" s="571"/>
      <c r="Z494" s="571"/>
    </row>
    <row r="495" spans="1:26" ht="18.75" hidden="1">
      <c r="A495" s="601"/>
      <c r="B495" s="611"/>
      <c r="C495" s="611"/>
      <c r="D495" s="611"/>
      <c r="E495" s="611"/>
      <c r="F495" s="619" t="s">
        <v>215</v>
      </c>
      <c r="G495" s="753"/>
      <c r="H495" s="616" t="s">
        <v>46</v>
      </c>
      <c r="I495" s="269">
        <f ca="1">IFERROR(__xludf.DUMMYFUNCTION("IMPORTRANGE(""https://docs.google.com/spreadsheets/d/1QqKyyYR6Q21VydFLVH3TRQUabQu_ym0Zz7PgGX0-kHA/edit?usp=sharing"",""แผน!FY73"")"),0)</f>
        <v>0</v>
      </c>
      <c r="J495" s="214">
        <v>0</v>
      </c>
      <c r="K495" s="496">
        <f ca="1">IF(I495&gt;0,J495*100/I495,0)</f>
        <v>0</v>
      </c>
      <c r="L495" s="496"/>
      <c r="M495" s="496"/>
      <c r="N495" s="496"/>
      <c r="O495" s="496"/>
      <c r="P495" s="496"/>
      <c r="Q495" s="571"/>
      <c r="R495" s="571"/>
      <c r="S495" s="571"/>
      <c r="T495" s="571"/>
      <c r="U495" s="571"/>
      <c r="V495" s="571"/>
      <c r="W495" s="571"/>
      <c r="X495" s="571"/>
      <c r="Y495" s="571"/>
      <c r="Z495" s="571"/>
    </row>
    <row r="496" spans="1:26" ht="18.75" hidden="1">
      <c r="A496" s="601"/>
      <c r="B496" s="611"/>
      <c r="C496" s="611"/>
      <c r="D496" s="611"/>
      <c r="E496" s="611"/>
      <c r="F496" s="619" t="s">
        <v>216</v>
      </c>
      <c r="G496" s="753"/>
      <c r="H496" s="616" t="s">
        <v>46</v>
      </c>
      <c r="I496" s="269"/>
      <c r="J496" s="214">
        <v>0</v>
      </c>
      <c r="K496" s="496"/>
      <c r="L496" s="496"/>
      <c r="M496" s="496"/>
      <c r="N496" s="496"/>
      <c r="O496" s="496"/>
      <c r="P496" s="496"/>
      <c r="Q496" s="571"/>
      <c r="R496" s="571"/>
      <c r="S496" s="571"/>
      <c r="T496" s="571"/>
      <c r="U496" s="571"/>
      <c r="V496" s="571"/>
      <c r="W496" s="571"/>
      <c r="X496" s="571"/>
      <c r="Y496" s="571"/>
      <c r="Z496" s="571"/>
    </row>
    <row r="497" spans="1:26" ht="18.75" hidden="1">
      <c r="A497" s="601"/>
      <c r="B497" s="611"/>
      <c r="C497" s="611"/>
      <c r="D497" s="611"/>
      <c r="E497" s="611" t="s">
        <v>62</v>
      </c>
      <c r="F497" s="619"/>
      <c r="G497" s="753"/>
      <c r="H497" s="189"/>
      <c r="I497" s="269"/>
      <c r="J497" s="269"/>
      <c r="K497" s="496"/>
      <c r="L497" s="496"/>
      <c r="M497" s="496"/>
      <c r="N497" s="496"/>
      <c r="O497" s="496"/>
      <c r="P497" s="496"/>
      <c r="Q497" s="571"/>
      <c r="R497" s="571"/>
      <c r="S497" s="571"/>
      <c r="T497" s="571"/>
      <c r="U497" s="571"/>
      <c r="V497" s="571"/>
      <c r="W497" s="571"/>
      <c r="X497" s="571"/>
      <c r="Y497" s="571"/>
      <c r="Z497" s="571"/>
    </row>
    <row r="498" spans="1:26" ht="18.75" hidden="1">
      <c r="A498" s="601"/>
      <c r="B498" s="611"/>
      <c r="C498" s="611"/>
      <c r="D498" s="611"/>
      <c r="E498" s="619"/>
      <c r="F498" s="619" t="s">
        <v>217</v>
      </c>
      <c r="G498" s="753"/>
      <c r="H498" s="616" t="s">
        <v>46</v>
      </c>
      <c r="I498" s="269">
        <f ca="1">IFERROR(__xludf.DUMMYFUNCTION("IMPORTRANGE(""https://docs.google.com/spreadsheets/d/1QqKyyYR6Q21VydFLVH3TRQUabQu_ym0Zz7PgGX0-kHA/edit?usp=sharing"",""แผน!GA73"")"),0)</f>
        <v>0</v>
      </c>
      <c r="J498" s="214">
        <v>0</v>
      </c>
      <c r="K498" s="496">
        <f ca="1">IF(I498&gt;0,J498*100/I498,0)</f>
        <v>0</v>
      </c>
      <c r="L498" s="496"/>
      <c r="M498" s="496"/>
      <c r="N498" s="496"/>
      <c r="O498" s="496"/>
      <c r="P498" s="496"/>
      <c r="Q498" s="571"/>
      <c r="R498" s="571"/>
      <c r="S498" s="571"/>
      <c r="T498" s="571"/>
      <c r="U498" s="571"/>
      <c r="V498" s="571"/>
      <c r="W498" s="571"/>
      <c r="X498" s="571"/>
      <c r="Y498" s="571"/>
      <c r="Z498" s="571"/>
    </row>
    <row r="499" spans="1:26" ht="18.75" hidden="1">
      <c r="A499" s="601"/>
      <c r="B499" s="611"/>
      <c r="C499" s="611"/>
      <c r="D499" s="611"/>
      <c r="E499" s="619"/>
      <c r="F499" s="619" t="s">
        <v>218</v>
      </c>
      <c r="G499" s="753"/>
      <c r="H499" s="616" t="s">
        <v>46</v>
      </c>
      <c r="I499" s="269"/>
      <c r="J499" s="214">
        <v>0</v>
      </c>
      <c r="K499" s="496"/>
      <c r="L499" s="496"/>
      <c r="M499" s="496"/>
      <c r="N499" s="496"/>
      <c r="O499" s="496"/>
      <c r="P499" s="496"/>
      <c r="Q499" s="571"/>
      <c r="R499" s="571"/>
      <c r="S499" s="571"/>
      <c r="T499" s="571"/>
      <c r="U499" s="571"/>
      <c r="V499" s="571"/>
      <c r="W499" s="571"/>
      <c r="X499" s="571"/>
      <c r="Y499" s="571"/>
      <c r="Z499" s="571"/>
    </row>
    <row r="500" spans="1:26" ht="19.5" hidden="1">
      <c r="A500" s="620">
        <v>4</v>
      </c>
      <c r="B500" s="621" t="s">
        <v>219</v>
      </c>
      <c r="C500" s="622"/>
      <c r="D500" s="623"/>
      <c r="E500" s="623"/>
      <c r="F500" s="623"/>
      <c r="G500" s="624"/>
      <c r="H500" s="625" t="s">
        <v>109</v>
      </c>
      <c r="I500" s="626"/>
      <c r="J500" s="626">
        <f t="shared" ref="J500:J501" si="213">J516</f>
        <v>0</v>
      </c>
      <c r="K500" s="627">
        <f t="shared" ref="K500:K501" si="214">IF(I500&gt;0,J500*100/I500,0)</f>
        <v>0</v>
      </c>
      <c r="L500" s="628"/>
      <c r="M500" s="628"/>
      <c r="N500" s="628"/>
      <c r="O500" s="628"/>
      <c r="P500" s="628"/>
      <c r="Q500" s="597"/>
      <c r="R500" s="597"/>
      <c r="S500" s="597"/>
      <c r="T500" s="597"/>
      <c r="U500" s="597"/>
      <c r="V500" s="597"/>
      <c r="W500" s="597"/>
      <c r="X500" s="597"/>
      <c r="Y500" s="597"/>
      <c r="Z500" s="597"/>
    </row>
    <row r="501" spans="1:26" ht="19.5" hidden="1">
      <c r="A501" s="629"/>
      <c r="B501" s="631" t="s">
        <v>220</v>
      </c>
      <c r="C501" s="631"/>
      <c r="D501" s="632"/>
      <c r="E501" s="632"/>
      <c r="F501" s="632"/>
      <c r="G501" s="633"/>
      <c r="H501" s="634" t="s">
        <v>35</v>
      </c>
      <c r="I501" s="635"/>
      <c r="J501" s="635">
        <f t="shared" si="213"/>
        <v>0</v>
      </c>
      <c r="K501" s="636">
        <f t="shared" si="214"/>
        <v>0</v>
      </c>
      <c r="L501" s="637"/>
      <c r="M501" s="637"/>
      <c r="N501" s="637"/>
      <c r="O501" s="637"/>
      <c r="P501" s="637"/>
      <c r="Q501" s="597"/>
      <c r="R501" s="597"/>
      <c r="S501" s="597"/>
      <c r="T501" s="597"/>
      <c r="U501" s="597"/>
      <c r="V501" s="597"/>
      <c r="W501" s="597"/>
      <c r="X501" s="597"/>
      <c r="Y501" s="597"/>
      <c r="Z501" s="597"/>
    </row>
    <row r="502" spans="1:26" ht="19.5" hidden="1">
      <c r="A502" s="592"/>
      <c r="B502" s="750"/>
      <c r="C502" s="750" t="s">
        <v>16</v>
      </c>
      <c r="D502" s="864" t="s">
        <v>17</v>
      </c>
      <c r="E502" s="857"/>
      <c r="F502" s="857"/>
      <c r="G502" s="596"/>
      <c r="H502" s="639" t="s">
        <v>12</v>
      </c>
      <c r="I502" s="610"/>
      <c r="J502" s="610"/>
      <c r="K502" s="93"/>
      <c r="L502" s="640">
        <f t="shared" ref="L502:N502" si="215">L503+L504</f>
        <v>0</v>
      </c>
      <c r="M502" s="640">
        <f t="shared" si="215"/>
        <v>0</v>
      </c>
      <c r="N502" s="640">
        <f t="shared" si="215"/>
        <v>0</v>
      </c>
      <c r="O502" s="640">
        <f t="shared" ref="O502:O507" si="216">IF(L502&gt;0,N502*100/L502,0)</f>
        <v>0</v>
      </c>
      <c r="P502" s="640">
        <f t="shared" ref="P502:P507" si="217">IF(M502&gt;0,N502*100/M502,0)</f>
        <v>0</v>
      </c>
      <c r="Q502" s="597"/>
      <c r="R502" s="597"/>
      <c r="S502" s="597"/>
      <c r="T502" s="597"/>
      <c r="U502" s="597"/>
      <c r="V502" s="597"/>
      <c r="W502" s="597"/>
      <c r="X502" s="597"/>
      <c r="Y502" s="597"/>
      <c r="Z502" s="597"/>
    </row>
    <row r="503" spans="1:26" ht="18.75" hidden="1">
      <c r="A503" s="592"/>
      <c r="B503" s="750"/>
      <c r="C503" s="750"/>
      <c r="D503" s="711"/>
      <c r="E503" s="750" t="s">
        <v>184</v>
      </c>
      <c r="F503" s="750"/>
      <c r="G503" s="596"/>
      <c r="H503" s="165" t="s">
        <v>12</v>
      </c>
      <c r="I503" s="610"/>
      <c r="J503" s="610"/>
      <c r="K503" s="93"/>
      <c r="L503" s="93">
        <f t="shared" ref="L503:N504" si="218">L506+L513</f>
        <v>0</v>
      </c>
      <c r="M503" s="93">
        <f t="shared" si="218"/>
        <v>0</v>
      </c>
      <c r="N503" s="93">
        <f t="shared" si="218"/>
        <v>0</v>
      </c>
      <c r="O503" s="93">
        <f t="shared" si="216"/>
        <v>0</v>
      </c>
      <c r="P503" s="93">
        <f t="shared" si="217"/>
        <v>0</v>
      </c>
      <c r="Q503" s="597"/>
      <c r="R503" s="597"/>
      <c r="S503" s="597"/>
      <c r="T503" s="597"/>
      <c r="U503" s="597"/>
      <c r="V503" s="597"/>
      <c r="W503" s="597"/>
      <c r="X503" s="597"/>
      <c r="Y503" s="597"/>
      <c r="Z503" s="597"/>
    </row>
    <row r="504" spans="1:26" ht="18.75" hidden="1">
      <c r="A504" s="592"/>
      <c r="B504" s="600"/>
      <c r="C504" s="750"/>
      <c r="D504" s="711"/>
      <c r="E504" s="750" t="s">
        <v>185</v>
      </c>
      <c r="F504" s="750"/>
      <c r="G504" s="596"/>
      <c r="H504" s="165" t="s">
        <v>12</v>
      </c>
      <c r="I504" s="610"/>
      <c r="J504" s="610"/>
      <c r="K504" s="93"/>
      <c r="L504" s="93">
        <f t="shared" si="218"/>
        <v>0</v>
      </c>
      <c r="M504" s="93">
        <f t="shared" si="218"/>
        <v>0</v>
      </c>
      <c r="N504" s="93">
        <f t="shared" si="218"/>
        <v>0</v>
      </c>
      <c r="O504" s="93">
        <f t="shared" si="216"/>
        <v>0</v>
      </c>
      <c r="P504" s="93">
        <f t="shared" si="217"/>
        <v>0</v>
      </c>
      <c r="Q504" s="597"/>
      <c r="R504" s="597"/>
      <c r="S504" s="597"/>
      <c r="T504" s="597"/>
      <c r="U504" s="597"/>
      <c r="V504" s="597"/>
      <c r="W504" s="597"/>
      <c r="X504" s="597"/>
      <c r="Y504" s="597"/>
      <c r="Z504" s="597"/>
    </row>
    <row r="505" spans="1:26" ht="18.75" hidden="1">
      <c r="A505" s="592"/>
      <c r="B505" s="600"/>
      <c r="C505" s="750"/>
      <c r="D505" s="641" t="s">
        <v>20</v>
      </c>
      <c r="E505" s="750"/>
      <c r="F505" s="750"/>
      <c r="G505" s="596"/>
      <c r="H505" s="165" t="s">
        <v>12</v>
      </c>
      <c r="I505" s="166"/>
      <c r="J505" s="166"/>
      <c r="K505" s="167"/>
      <c r="L505" s="93">
        <f t="shared" ref="L505:N505" si="219">L506+L507</f>
        <v>0</v>
      </c>
      <c r="M505" s="93">
        <f t="shared" si="219"/>
        <v>0</v>
      </c>
      <c r="N505" s="93">
        <f t="shared" si="219"/>
        <v>0</v>
      </c>
      <c r="O505" s="93">
        <f t="shared" si="216"/>
        <v>0</v>
      </c>
      <c r="P505" s="93">
        <f t="shared" si="217"/>
        <v>0</v>
      </c>
      <c r="Q505" s="597"/>
      <c r="R505" s="597"/>
      <c r="S505" s="597"/>
      <c r="T505" s="597"/>
      <c r="U505" s="597"/>
      <c r="V505" s="597"/>
      <c r="W505" s="597"/>
      <c r="X505" s="597"/>
      <c r="Y505" s="597"/>
      <c r="Z505" s="597"/>
    </row>
    <row r="506" spans="1:26" ht="18.75" hidden="1">
      <c r="A506" s="592"/>
      <c r="B506" s="600"/>
      <c r="C506" s="750"/>
      <c r="D506" s="711"/>
      <c r="E506" s="750" t="s">
        <v>184</v>
      </c>
      <c r="F506" s="750"/>
      <c r="G506" s="596"/>
      <c r="H506" s="165" t="s">
        <v>12</v>
      </c>
      <c r="I506" s="610"/>
      <c r="J506" s="610"/>
      <c r="K506" s="93"/>
      <c r="L506" s="93">
        <v>0</v>
      </c>
      <c r="M506" s="93">
        <v>0</v>
      </c>
      <c r="N506" s="93">
        <v>0</v>
      </c>
      <c r="O506" s="93">
        <f t="shared" si="216"/>
        <v>0</v>
      </c>
      <c r="P506" s="93">
        <f t="shared" si="217"/>
        <v>0</v>
      </c>
      <c r="Q506" s="597"/>
      <c r="R506" s="597"/>
      <c r="S506" s="597"/>
      <c r="T506" s="597"/>
      <c r="U506" s="597"/>
      <c r="V506" s="597"/>
      <c r="W506" s="597"/>
      <c r="X506" s="597"/>
      <c r="Y506" s="597"/>
      <c r="Z506" s="597"/>
    </row>
    <row r="507" spans="1:26" ht="18.75" hidden="1">
      <c r="A507" s="592"/>
      <c r="B507" s="600"/>
      <c r="C507" s="750"/>
      <c r="D507" s="711"/>
      <c r="E507" s="750" t="s">
        <v>185</v>
      </c>
      <c r="F507" s="750"/>
      <c r="G507" s="596"/>
      <c r="H507" s="165" t="s">
        <v>12</v>
      </c>
      <c r="I507" s="610"/>
      <c r="J507" s="610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6"/>
        <v>0</v>
      </c>
      <c r="P507" s="93">
        <f t="shared" si="217"/>
        <v>0</v>
      </c>
      <c r="Q507" s="597"/>
      <c r="R507" s="597"/>
      <c r="S507" s="597"/>
      <c r="T507" s="597"/>
      <c r="U507" s="597"/>
      <c r="V507" s="597"/>
      <c r="W507" s="597"/>
      <c r="X507" s="597"/>
      <c r="Y507" s="597"/>
      <c r="Z507" s="597"/>
    </row>
    <row r="508" spans="1:26" ht="18.75" hidden="1">
      <c r="A508" s="642"/>
      <c r="B508" s="600"/>
      <c r="C508" s="750"/>
      <c r="D508" s="750"/>
      <c r="E508" s="750"/>
      <c r="F508" s="750" t="s">
        <v>186</v>
      </c>
      <c r="G508" s="596"/>
      <c r="H508" s="165" t="s">
        <v>12</v>
      </c>
      <c r="I508" s="610"/>
      <c r="J508" s="610"/>
      <c r="K508" s="93"/>
      <c r="L508" s="93"/>
      <c r="M508" s="93"/>
      <c r="N508" s="93">
        <v>0</v>
      </c>
      <c r="O508" s="93"/>
      <c r="P508" s="93"/>
      <c r="Q508" s="597"/>
      <c r="R508" s="597"/>
      <c r="S508" s="597"/>
      <c r="T508" s="597"/>
      <c r="U508" s="597"/>
      <c r="V508" s="597"/>
      <c r="W508" s="597"/>
      <c r="X508" s="597"/>
      <c r="Y508" s="597"/>
      <c r="Z508" s="597"/>
    </row>
    <row r="509" spans="1:26" ht="18.75" hidden="1">
      <c r="A509" s="642"/>
      <c r="B509" s="600"/>
      <c r="C509" s="750"/>
      <c r="D509" s="750"/>
      <c r="E509" s="750"/>
      <c r="F509" s="750" t="s">
        <v>187</v>
      </c>
      <c r="G509" s="596"/>
      <c r="H509" s="165" t="s">
        <v>12</v>
      </c>
      <c r="I509" s="610"/>
      <c r="J509" s="610"/>
      <c r="K509" s="93"/>
      <c r="L509" s="93"/>
      <c r="M509" s="93"/>
      <c r="N509" s="93">
        <v>0</v>
      </c>
      <c r="O509" s="93"/>
      <c r="P509" s="93"/>
      <c r="Q509" s="597"/>
      <c r="R509" s="597"/>
      <c r="S509" s="597"/>
      <c r="T509" s="597"/>
      <c r="U509" s="597"/>
      <c r="V509" s="597"/>
      <c r="W509" s="597"/>
      <c r="X509" s="597"/>
      <c r="Y509" s="597"/>
      <c r="Z509" s="597"/>
    </row>
    <row r="510" spans="1:26" ht="18.75" hidden="1">
      <c r="A510" s="642"/>
      <c r="B510" s="600"/>
      <c r="C510" s="600"/>
      <c r="D510" s="600"/>
      <c r="E510" s="750"/>
      <c r="F510" s="750" t="s">
        <v>188</v>
      </c>
      <c r="G510" s="596"/>
      <c r="H510" s="165" t="s">
        <v>12</v>
      </c>
      <c r="I510" s="610"/>
      <c r="J510" s="610"/>
      <c r="K510" s="93"/>
      <c r="L510" s="93"/>
      <c r="M510" s="93"/>
      <c r="N510" s="93">
        <v>0</v>
      </c>
      <c r="O510" s="93"/>
      <c r="P510" s="93"/>
      <c r="Q510" s="597"/>
      <c r="R510" s="597"/>
      <c r="S510" s="597"/>
      <c r="T510" s="597"/>
      <c r="U510" s="597"/>
      <c r="V510" s="597"/>
      <c r="W510" s="597"/>
      <c r="X510" s="597"/>
      <c r="Y510" s="597"/>
      <c r="Z510" s="597"/>
    </row>
    <row r="511" spans="1:26" ht="18.75" hidden="1">
      <c r="A511" s="642"/>
      <c r="B511" s="600"/>
      <c r="C511" s="600"/>
      <c r="D511" s="600"/>
      <c r="E511" s="750"/>
      <c r="F511" s="750" t="s">
        <v>189</v>
      </c>
      <c r="G511" s="596"/>
      <c r="H511" s="165" t="s">
        <v>12</v>
      </c>
      <c r="I511" s="610"/>
      <c r="J511" s="610"/>
      <c r="K511" s="93"/>
      <c r="L511" s="93"/>
      <c r="M511" s="93"/>
      <c r="N511" s="93">
        <v>0</v>
      </c>
      <c r="O511" s="93"/>
      <c r="P511" s="93"/>
      <c r="Q511" s="597"/>
      <c r="R511" s="597"/>
      <c r="S511" s="597"/>
      <c r="T511" s="597"/>
      <c r="U511" s="597"/>
      <c r="V511" s="597"/>
      <c r="W511" s="597"/>
      <c r="X511" s="597"/>
      <c r="Y511" s="597"/>
      <c r="Z511" s="597"/>
    </row>
    <row r="512" spans="1:26" ht="18.75" hidden="1">
      <c r="A512" s="592"/>
      <c r="B512" s="600"/>
      <c r="C512" s="600"/>
      <c r="D512" s="641" t="s">
        <v>21</v>
      </c>
      <c r="E512" s="600"/>
      <c r="F512" s="750"/>
      <c r="G512" s="596"/>
      <c r="H512" s="169" t="s">
        <v>12</v>
      </c>
      <c r="I512" s="166"/>
      <c r="J512" s="166"/>
      <c r="K512" s="167"/>
      <c r="L512" s="93">
        <f t="shared" ref="L512:N512" si="220">L513+L514</f>
        <v>0</v>
      </c>
      <c r="M512" s="93">
        <f t="shared" si="220"/>
        <v>0</v>
      </c>
      <c r="N512" s="93">
        <f t="shared" si="220"/>
        <v>0</v>
      </c>
      <c r="O512" s="93">
        <f t="shared" ref="O512:O514" si="221">IF(L512&gt;0,N512*100/L512,0)</f>
        <v>0</v>
      </c>
      <c r="P512" s="93">
        <f t="shared" ref="P512:P514" si="222">IF(M512&gt;0,N512*100/M512,0)</f>
        <v>0</v>
      </c>
      <c r="Q512" s="597"/>
      <c r="R512" s="597"/>
      <c r="S512" s="597"/>
      <c r="T512" s="597"/>
      <c r="U512" s="597"/>
      <c r="V512" s="597"/>
      <c r="W512" s="597"/>
      <c r="X512" s="597"/>
      <c r="Y512" s="597"/>
      <c r="Z512" s="597"/>
    </row>
    <row r="513" spans="1:26" ht="18.75" hidden="1">
      <c r="A513" s="592"/>
      <c r="B513" s="600"/>
      <c r="C513" s="600"/>
      <c r="D513" s="600"/>
      <c r="E513" s="600" t="s">
        <v>18</v>
      </c>
      <c r="F513" s="750"/>
      <c r="G513" s="596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1"/>
        <v>0</v>
      </c>
      <c r="P513" s="93">
        <f t="shared" si="222"/>
        <v>0</v>
      </c>
      <c r="Q513" s="597"/>
      <c r="R513" s="597"/>
      <c r="S513" s="597"/>
      <c r="T513" s="597"/>
      <c r="U513" s="597"/>
      <c r="V513" s="597"/>
      <c r="W513" s="597"/>
      <c r="X513" s="597"/>
      <c r="Y513" s="597"/>
      <c r="Z513" s="597"/>
    </row>
    <row r="514" spans="1:26" ht="18.75" hidden="1">
      <c r="A514" s="592"/>
      <c r="B514" s="600"/>
      <c r="C514" s="600"/>
      <c r="D514" s="750"/>
      <c r="E514" s="600" t="s">
        <v>19</v>
      </c>
      <c r="F514" s="750"/>
      <c r="G514" s="596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1"/>
        <v>0</v>
      </c>
      <c r="P514" s="93">
        <f t="shared" si="222"/>
        <v>0</v>
      </c>
      <c r="Q514" s="597"/>
      <c r="R514" s="597"/>
      <c r="S514" s="597"/>
      <c r="T514" s="597"/>
      <c r="U514" s="597"/>
      <c r="V514" s="597"/>
      <c r="W514" s="597"/>
      <c r="X514" s="597"/>
      <c r="Y514" s="597"/>
      <c r="Z514" s="597"/>
    </row>
    <row r="515" spans="1:26" ht="19.5" hidden="1">
      <c r="A515" s="607"/>
      <c r="B515" s="609"/>
      <c r="C515" s="600" t="s">
        <v>16</v>
      </c>
      <c r="D515" s="838" t="s">
        <v>38</v>
      </c>
      <c r="E515" s="644"/>
      <c r="F515" s="644"/>
      <c r="G515" s="645"/>
      <c r="H515" s="365"/>
      <c r="I515" s="166"/>
      <c r="J515" s="166"/>
      <c r="K515" s="167"/>
      <c r="L515" s="167"/>
      <c r="M515" s="167"/>
      <c r="N515" s="167"/>
      <c r="O515" s="167"/>
      <c r="P515" s="167"/>
      <c r="Q515" s="597"/>
      <c r="R515" s="597"/>
      <c r="S515" s="597"/>
      <c r="T515" s="597"/>
      <c r="U515" s="597"/>
      <c r="V515" s="597"/>
      <c r="W515" s="597"/>
      <c r="X515" s="597"/>
      <c r="Y515" s="597"/>
      <c r="Z515" s="597"/>
    </row>
    <row r="516" spans="1:26" ht="18.75" hidden="1">
      <c r="A516" s="607"/>
      <c r="B516" s="609"/>
      <c r="C516" s="609"/>
      <c r="D516" s="609" t="s">
        <v>221</v>
      </c>
      <c r="E516" s="711"/>
      <c r="F516" s="711"/>
      <c r="G516" s="365"/>
      <c r="H516" s="646" t="s">
        <v>109</v>
      </c>
      <c r="I516" s="610"/>
      <c r="J516" s="610">
        <v>0</v>
      </c>
      <c r="K516" s="167">
        <f t="shared" ref="K516:K517" si="223">IF(I516&gt;0,J516*100/I516,0)</f>
        <v>0</v>
      </c>
      <c r="L516" s="167"/>
      <c r="M516" s="167"/>
      <c r="N516" s="167"/>
      <c r="O516" s="167"/>
      <c r="P516" s="167"/>
      <c r="Q516" s="597"/>
      <c r="R516" s="597"/>
      <c r="S516" s="597"/>
      <c r="T516" s="597"/>
      <c r="U516" s="597"/>
      <c r="V516" s="597"/>
      <c r="W516" s="597"/>
      <c r="X516" s="597"/>
      <c r="Y516" s="597"/>
      <c r="Z516" s="597"/>
    </row>
    <row r="517" spans="1:26" ht="19.5" hidden="1">
      <c r="A517" s="607"/>
      <c r="B517" s="609"/>
      <c r="C517" s="609"/>
      <c r="D517" s="609" t="s">
        <v>222</v>
      </c>
      <c r="E517" s="711"/>
      <c r="F517" s="711"/>
      <c r="G517" s="365"/>
      <c r="H517" s="647" t="s">
        <v>35</v>
      </c>
      <c r="I517" s="648"/>
      <c r="J517" s="648">
        <f>J518+J519</f>
        <v>0</v>
      </c>
      <c r="K517" s="649">
        <f t="shared" si="223"/>
        <v>0</v>
      </c>
      <c r="L517" s="167"/>
      <c r="M517" s="167"/>
      <c r="N517" s="167"/>
      <c r="O517" s="167"/>
      <c r="P517" s="167"/>
      <c r="Q517" s="597"/>
      <c r="R517" s="597"/>
      <c r="S517" s="597"/>
      <c r="T517" s="597"/>
      <c r="U517" s="597"/>
      <c r="V517" s="597"/>
      <c r="W517" s="597"/>
      <c r="X517" s="597"/>
      <c r="Y517" s="597"/>
      <c r="Z517" s="597"/>
    </row>
    <row r="518" spans="1:26" ht="18.75" hidden="1">
      <c r="A518" s="607"/>
      <c r="B518" s="609"/>
      <c r="C518" s="609"/>
      <c r="D518" s="609"/>
      <c r="E518" s="609" t="s">
        <v>223</v>
      </c>
      <c r="F518" s="711"/>
      <c r="G518" s="365"/>
      <c r="H518" s="369" t="s">
        <v>35</v>
      </c>
      <c r="I518" s="610"/>
      <c r="J518" s="610"/>
      <c r="K518" s="167"/>
      <c r="L518" s="167"/>
      <c r="M518" s="167"/>
      <c r="N518" s="167"/>
      <c r="O518" s="167"/>
      <c r="P518" s="167"/>
      <c r="Q518" s="597"/>
      <c r="R518" s="597"/>
      <c r="S518" s="597"/>
      <c r="T518" s="597"/>
      <c r="U518" s="597"/>
      <c r="V518" s="597"/>
      <c r="W518" s="597"/>
      <c r="X518" s="597"/>
      <c r="Y518" s="597"/>
      <c r="Z518" s="597"/>
    </row>
    <row r="519" spans="1:26" ht="18.75" hidden="1">
      <c r="A519" s="607"/>
      <c r="B519" s="609"/>
      <c r="C519" s="609"/>
      <c r="D519" s="609"/>
      <c r="E519" s="609" t="s">
        <v>224</v>
      </c>
      <c r="F519" s="711"/>
      <c r="G519" s="365"/>
      <c r="H519" s="646" t="s">
        <v>35</v>
      </c>
      <c r="I519" s="610"/>
      <c r="J519" s="610"/>
      <c r="K519" s="167"/>
      <c r="L519" s="167"/>
      <c r="M519" s="167"/>
      <c r="N519" s="167"/>
      <c r="O519" s="167"/>
      <c r="P519" s="167"/>
      <c r="Q519" s="597"/>
      <c r="R519" s="597"/>
      <c r="S519" s="597"/>
      <c r="T519" s="597"/>
      <c r="U519" s="597"/>
      <c r="V519" s="597"/>
      <c r="W519" s="597"/>
      <c r="X519" s="597"/>
      <c r="Y519" s="597"/>
      <c r="Z519" s="597"/>
    </row>
    <row r="520" spans="1:26" ht="19.5" hidden="1">
      <c r="A520" s="650" t="s">
        <v>137</v>
      </c>
      <c r="B520" s="651"/>
      <c r="C520" s="651"/>
      <c r="D520" s="652"/>
      <c r="E520" s="652"/>
      <c r="F520" s="652"/>
      <c r="G520" s="653"/>
      <c r="H520" s="654"/>
      <c r="I520" s="655"/>
      <c r="J520" s="655"/>
      <c r="K520" s="656"/>
      <c r="L520" s="656"/>
      <c r="M520" s="656"/>
      <c r="N520" s="656"/>
      <c r="O520" s="656"/>
      <c r="P520" s="656"/>
    </row>
    <row r="521" spans="1:26" ht="19.5" hidden="1">
      <c r="A521" s="657">
        <v>5</v>
      </c>
      <c r="B521" s="658" t="s">
        <v>225</v>
      </c>
      <c r="C521" s="659"/>
      <c r="D521" s="660"/>
      <c r="E521" s="660"/>
      <c r="F521" s="660"/>
      <c r="G521" s="660"/>
      <c r="H521" s="661"/>
      <c r="I521" s="662"/>
      <c r="J521" s="662"/>
      <c r="K521" s="663"/>
      <c r="L521" s="663"/>
      <c r="M521" s="663"/>
      <c r="N521" s="663"/>
      <c r="O521" s="663"/>
      <c r="P521" s="663"/>
      <c r="Q521" s="571"/>
      <c r="R521" s="571"/>
      <c r="S521" s="571"/>
      <c r="T521" s="571"/>
      <c r="U521" s="571"/>
      <c r="V521" s="571"/>
      <c r="W521" s="571"/>
      <c r="X521" s="571"/>
      <c r="Y521" s="571"/>
      <c r="Z521" s="571"/>
    </row>
    <row r="522" spans="1:26" ht="19.5" hidden="1">
      <c r="A522" s="664"/>
      <c r="B522" s="665" t="s">
        <v>226</v>
      </c>
      <c r="C522" s="666"/>
      <c r="D522" s="666"/>
      <c r="E522" s="666"/>
      <c r="F522" s="666"/>
      <c r="G522" s="667"/>
      <c r="H522" s="668" t="s">
        <v>35</v>
      </c>
      <c r="I522" s="699">
        <f t="shared" ref="I522:J522" ca="1" si="224">I537</f>
        <v>0</v>
      </c>
      <c r="J522" s="699">
        <f t="shared" ca="1" si="224"/>
        <v>0</v>
      </c>
      <c r="K522" s="670">
        <f ca="1">IF(I522&gt;0,J522*100/I522,0)</f>
        <v>0</v>
      </c>
      <c r="L522" s="671"/>
      <c r="M522" s="671"/>
      <c r="N522" s="671"/>
      <c r="O522" s="671"/>
      <c r="P522" s="671"/>
      <c r="Q522" s="571"/>
      <c r="R522" s="571"/>
      <c r="S522" s="571"/>
      <c r="T522" s="571"/>
      <c r="U522" s="571"/>
      <c r="V522" s="571"/>
      <c r="W522" s="571"/>
      <c r="X522" s="571"/>
      <c r="Y522" s="571"/>
      <c r="Z522" s="571"/>
    </row>
    <row r="523" spans="1:26" ht="19.5" hidden="1">
      <c r="A523" s="590"/>
      <c r="B523" s="754"/>
      <c r="C523" s="754" t="s">
        <v>16</v>
      </c>
      <c r="D523" s="863" t="s">
        <v>17</v>
      </c>
      <c r="E523" s="857"/>
      <c r="F523" s="857"/>
      <c r="G523" s="189"/>
      <c r="H523" s="591" t="s">
        <v>12</v>
      </c>
      <c r="I523" s="269"/>
      <c r="J523" s="269"/>
      <c r="K523" s="496"/>
      <c r="L523" s="195">
        <f t="shared" ref="L523:N523" ca="1" si="225">L524+L525</f>
        <v>0</v>
      </c>
      <c r="M523" s="195">
        <f t="shared" si="225"/>
        <v>0</v>
      </c>
      <c r="N523" s="195">
        <f t="shared" si="225"/>
        <v>0</v>
      </c>
      <c r="O523" s="195">
        <f t="shared" ref="O523:O528" ca="1" si="226">IF(L523&gt;0,N523*100/L523,0)</f>
        <v>0</v>
      </c>
      <c r="P523" s="195">
        <f t="shared" ref="P523:P528" si="227">IF(M523&gt;0,N523*100/M523,0)</f>
        <v>0</v>
      </c>
      <c r="Q523" s="571"/>
      <c r="R523" s="571"/>
      <c r="S523" s="571"/>
      <c r="T523" s="571"/>
      <c r="U523" s="571"/>
      <c r="V523" s="571"/>
      <c r="W523" s="571"/>
      <c r="X523" s="571"/>
      <c r="Y523" s="571"/>
      <c r="Z523" s="571"/>
    </row>
    <row r="524" spans="1:26" ht="18.75" hidden="1">
      <c r="A524" s="592"/>
      <c r="B524" s="750"/>
      <c r="C524" s="750"/>
      <c r="D524" s="711"/>
      <c r="E524" s="750" t="s">
        <v>184</v>
      </c>
      <c r="F524" s="750"/>
      <c r="G524" s="596"/>
      <c r="H524" s="165" t="s">
        <v>12</v>
      </c>
      <c r="I524" s="610"/>
      <c r="J524" s="610"/>
      <c r="K524" s="93"/>
      <c r="L524" s="93">
        <f t="shared" ref="L524:N525" si="228">L527+L534</f>
        <v>0</v>
      </c>
      <c r="M524" s="93">
        <f t="shared" si="228"/>
        <v>0</v>
      </c>
      <c r="N524" s="93">
        <f t="shared" si="228"/>
        <v>0</v>
      </c>
      <c r="O524" s="93">
        <f t="shared" si="226"/>
        <v>0</v>
      </c>
      <c r="P524" s="93">
        <f t="shared" si="227"/>
        <v>0</v>
      </c>
      <c r="Q524" s="597"/>
      <c r="R524" s="597"/>
      <c r="S524" s="597"/>
      <c r="T524" s="597"/>
      <c r="U524" s="597"/>
      <c r="V524" s="597"/>
      <c r="W524" s="597"/>
      <c r="X524" s="597"/>
      <c r="Y524" s="597"/>
      <c r="Z524" s="597"/>
    </row>
    <row r="525" spans="1:26" ht="18.75" hidden="1">
      <c r="A525" s="592"/>
      <c r="B525" s="600"/>
      <c r="C525" s="750"/>
      <c r="D525" s="711"/>
      <c r="E525" s="750" t="s">
        <v>185</v>
      </c>
      <c r="F525" s="750"/>
      <c r="G525" s="596"/>
      <c r="H525" s="165" t="s">
        <v>12</v>
      </c>
      <c r="I525" s="610"/>
      <c r="J525" s="610"/>
      <c r="K525" s="93"/>
      <c r="L525" s="93">
        <f t="shared" ca="1" si="228"/>
        <v>0</v>
      </c>
      <c r="M525" s="93">
        <f t="shared" si="228"/>
        <v>0</v>
      </c>
      <c r="N525" s="93">
        <f t="shared" si="228"/>
        <v>0</v>
      </c>
      <c r="O525" s="93">
        <f t="shared" ca="1" si="226"/>
        <v>0</v>
      </c>
      <c r="P525" s="93">
        <f t="shared" si="227"/>
        <v>0</v>
      </c>
      <c r="Q525" s="597"/>
      <c r="R525" s="597"/>
      <c r="S525" s="597"/>
      <c r="T525" s="597"/>
      <c r="U525" s="597"/>
      <c r="V525" s="597"/>
      <c r="W525" s="597"/>
      <c r="X525" s="597"/>
      <c r="Y525" s="597"/>
      <c r="Z525" s="597"/>
    </row>
    <row r="526" spans="1:26" ht="18.75" hidden="1">
      <c r="A526" s="590"/>
      <c r="B526" s="568"/>
      <c r="C526" s="754"/>
      <c r="D526" s="599" t="s">
        <v>20</v>
      </c>
      <c r="E526" s="754"/>
      <c r="F526" s="754"/>
      <c r="G526" s="189"/>
      <c r="H526" s="161" t="s">
        <v>12</v>
      </c>
      <c r="I526" s="184"/>
      <c r="J526" s="184"/>
      <c r="K526" s="163"/>
      <c r="L526" s="496">
        <f t="shared" ref="L526:N526" ca="1" si="229">L527+L528</f>
        <v>0</v>
      </c>
      <c r="M526" s="496">
        <f t="shared" si="229"/>
        <v>0</v>
      </c>
      <c r="N526" s="496">
        <f t="shared" si="229"/>
        <v>0</v>
      </c>
      <c r="O526" s="496">
        <f t="shared" ca="1" si="226"/>
        <v>0</v>
      </c>
      <c r="P526" s="496">
        <f t="shared" si="227"/>
        <v>0</v>
      </c>
      <c r="Q526" s="571"/>
      <c r="R526" s="571"/>
      <c r="S526" s="571"/>
      <c r="T526" s="571"/>
      <c r="U526" s="571"/>
      <c r="V526" s="571"/>
      <c r="W526" s="571"/>
      <c r="X526" s="571"/>
      <c r="Y526" s="571"/>
      <c r="Z526" s="571"/>
    </row>
    <row r="527" spans="1:26" ht="18.75" hidden="1">
      <c r="A527" s="592"/>
      <c r="B527" s="600"/>
      <c r="C527" s="750"/>
      <c r="D527" s="711"/>
      <c r="E527" s="750" t="s">
        <v>184</v>
      </c>
      <c r="F527" s="750"/>
      <c r="G527" s="596"/>
      <c r="H527" s="165" t="s">
        <v>12</v>
      </c>
      <c r="I527" s="610"/>
      <c r="J527" s="610"/>
      <c r="K527" s="93"/>
      <c r="L527" s="93">
        <v>0</v>
      </c>
      <c r="M527" s="93">
        <v>0</v>
      </c>
      <c r="N527" s="93">
        <v>0</v>
      </c>
      <c r="O527" s="93">
        <f t="shared" si="226"/>
        <v>0</v>
      </c>
      <c r="P527" s="93">
        <f t="shared" si="227"/>
        <v>0</v>
      </c>
      <c r="Q527" s="597"/>
      <c r="R527" s="597"/>
      <c r="S527" s="597"/>
      <c r="T527" s="597"/>
      <c r="U527" s="597"/>
      <c r="V527" s="597"/>
      <c r="W527" s="597"/>
      <c r="X527" s="597"/>
      <c r="Y527" s="597"/>
      <c r="Z527" s="597"/>
    </row>
    <row r="528" spans="1:26" ht="18.75" hidden="1">
      <c r="A528" s="592"/>
      <c r="B528" s="600"/>
      <c r="C528" s="750"/>
      <c r="D528" s="711"/>
      <c r="E528" s="750" t="s">
        <v>185</v>
      </c>
      <c r="F528" s="750"/>
      <c r="G528" s="596"/>
      <c r="H528" s="165" t="s">
        <v>12</v>
      </c>
      <c r="I528" s="610"/>
      <c r="J528" s="610"/>
      <c r="K528" s="93"/>
      <c r="L528" s="93">
        <f ca="1">IFERROR(__xludf.DUMMYFUNCTION("IMPORTRANGE(""https://docs.google.com/spreadsheets/d/1QqKyyYR6Q21VydFLVH3TRQUabQu_ym0Zz7PgGX0-kHA/edit?usp=sharing"",""แผน!GQ73"")"),0)</f>
        <v>0</v>
      </c>
      <c r="M528" s="93">
        <v>0</v>
      </c>
      <c r="N528" s="93">
        <f>N529+N530+N531+N532</f>
        <v>0</v>
      </c>
      <c r="O528" s="93">
        <f t="shared" ca="1" si="226"/>
        <v>0</v>
      </c>
      <c r="P528" s="93">
        <f t="shared" si="227"/>
        <v>0</v>
      </c>
      <c r="Q528" s="597"/>
      <c r="R528" s="597"/>
      <c r="S528" s="597"/>
      <c r="T528" s="597"/>
      <c r="U528" s="597"/>
      <c r="V528" s="597"/>
      <c r="W528" s="597"/>
      <c r="X528" s="597"/>
      <c r="Y528" s="597"/>
      <c r="Z528" s="597"/>
    </row>
    <row r="529" spans="1:26" ht="18.75" hidden="1">
      <c r="A529" s="567"/>
      <c r="B529" s="568"/>
      <c r="C529" s="754"/>
      <c r="D529" s="754"/>
      <c r="E529" s="754"/>
      <c r="F529" s="754" t="s">
        <v>186</v>
      </c>
      <c r="G529" s="189"/>
      <c r="H529" s="161" t="s">
        <v>12</v>
      </c>
      <c r="I529" s="269"/>
      <c r="J529" s="269"/>
      <c r="K529" s="496"/>
      <c r="L529" s="496"/>
      <c r="M529" s="496"/>
      <c r="N529" s="817">
        <v>0</v>
      </c>
      <c r="O529" s="496"/>
      <c r="P529" s="496"/>
      <c r="Q529" s="571"/>
      <c r="R529" s="571"/>
      <c r="S529" s="571"/>
      <c r="T529" s="571"/>
      <c r="U529" s="571"/>
      <c r="V529" s="571"/>
      <c r="W529" s="571"/>
      <c r="X529" s="571"/>
      <c r="Y529" s="571"/>
      <c r="Z529" s="571"/>
    </row>
    <row r="530" spans="1:26" ht="18.75" hidden="1">
      <c r="A530" s="567"/>
      <c r="B530" s="568"/>
      <c r="C530" s="754"/>
      <c r="D530" s="754"/>
      <c r="E530" s="754"/>
      <c r="F530" s="754" t="s">
        <v>187</v>
      </c>
      <c r="G530" s="189"/>
      <c r="H530" s="161" t="s">
        <v>12</v>
      </c>
      <c r="I530" s="269"/>
      <c r="J530" s="269"/>
      <c r="K530" s="496"/>
      <c r="L530" s="496"/>
      <c r="M530" s="496"/>
      <c r="N530" s="817">
        <v>0</v>
      </c>
      <c r="O530" s="496"/>
      <c r="P530" s="496"/>
      <c r="Q530" s="571"/>
      <c r="R530" s="571"/>
      <c r="S530" s="571"/>
      <c r="T530" s="571"/>
      <c r="U530" s="571"/>
      <c r="V530" s="571"/>
      <c r="W530" s="571"/>
      <c r="X530" s="571"/>
      <c r="Y530" s="571"/>
      <c r="Z530" s="571"/>
    </row>
    <row r="531" spans="1:26" ht="18.75" hidden="1">
      <c r="A531" s="567"/>
      <c r="B531" s="568"/>
      <c r="C531" s="754"/>
      <c r="D531" s="754"/>
      <c r="E531" s="754"/>
      <c r="F531" s="754" t="s">
        <v>188</v>
      </c>
      <c r="G531" s="189"/>
      <c r="H531" s="161" t="s">
        <v>12</v>
      </c>
      <c r="I531" s="269"/>
      <c r="J531" s="269"/>
      <c r="K531" s="496"/>
      <c r="L531" s="496"/>
      <c r="M531" s="496"/>
      <c r="N531" s="817">
        <v>0</v>
      </c>
      <c r="O531" s="496"/>
      <c r="P531" s="496"/>
      <c r="Q531" s="571"/>
      <c r="R531" s="571"/>
      <c r="S531" s="571"/>
      <c r="T531" s="571"/>
      <c r="U531" s="571"/>
      <c r="V531" s="571"/>
      <c r="W531" s="571"/>
      <c r="X531" s="571"/>
      <c r="Y531" s="571"/>
      <c r="Z531" s="571"/>
    </row>
    <row r="532" spans="1:26" ht="18.75" hidden="1">
      <c r="A532" s="567"/>
      <c r="B532" s="568"/>
      <c r="C532" s="754"/>
      <c r="D532" s="754"/>
      <c r="E532" s="754"/>
      <c r="F532" s="754" t="s">
        <v>189</v>
      </c>
      <c r="G532" s="189"/>
      <c r="H532" s="161" t="s">
        <v>12</v>
      </c>
      <c r="I532" s="269"/>
      <c r="J532" s="269"/>
      <c r="K532" s="496"/>
      <c r="L532" s="496"/>
      <c r="M532" s="496"/>
      <c r="N532" s="817">
        <v>0</v>
      </c>
      <c r="O532" s="496"/>
      <c r="P532" s="496"/>
      <c r="Q532" s="571"/>
      <c r="R532" s="571"/>
      <c r="S532" s="571"/>
      <c r="T532" s="571"/>
      <c r="U532" s="571"/>
      <c r="V532" s="571"/>
      <c r="W532" s="571"/>
      <c r="X532" s="571"/>
      <c r="Y532" s="571"/>
      <c r="Z532" s="571"/>
    </row>
    <row r="533" spans="1:26" ht="18.75" hidden="1">
      <c r="A533" s="590"/>
      <c r="B533" s="568"/>
      <c r="C533" s="754"/>
      <c r="D533" s="599" t="s">
        <v>21</v>
      </c>
      <c r="E533" s="754"/>
      <c r="F533" s="754"/>
      <c r="G533" s="189"/>
      <c r="H533" s="168" t="s">
        <v>12</v>
      </c>
      <c r="I533" s="184"/>
      <c r="J533" s="184"/>
      <c r="K533" s="163"/>
      <c r="L533" s="496">
        <f t="shared" ref="L533:N533" ca="1" si="230">L534+L535</f>
        <v>0</v>
      </c>
      <c r="M533" s="496">
        <f t="shared" si="230"/>
        <v>0</v>
      </c>
      <c r="N533" s="496">
        <f t="shared" si="230"/>
        <v>0</v>
      </c>
      <c r="O533" s="496">
        <f t="shared" ref="O533:O535" ca="1" si="231">IF(L533&gt;0,N533*100/L533,0)</f>
        <v>0</v>
      </c>
      <c r="P533" s="496">
        <f t="shared" ref="P533:P535" si="232">IF(M533&gt;0,N533*100/M533,0)</f>
        <v>0</v>
      </c>
      <c r="Q533" s="571"/>
      <c r="R533" s="571"/>
      <c r="S533" s="571"/>
      <c r="T533" s="571"/>
      <c r="U533" s="571"/>
      <c r="V533" s="571"/>
      <c r="W533" s="571"/>
      <c r="X533" s="571"/>
      <c r="Y533" s="571"/>
      <c r="Z533" s="571"/>
    </row>
    <row r="534" spans="1:26" ht="18.75" hidden="1">
      <c r="A534" s="592"/>
      <c r="B534" s="600"/>
      <c r="C534" s="750"/>
      <c r="D534" s="750"/>
      <c r="E534" s="750" t="s">
        <v>18</v>
      </c>
      <c r="F534" s="750"/>
      <c r="G534" s="596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1"/>
        <v>0</v>
      </c>
      <c r="P534" s="93">
        <f t="shared" si="232"/>
        <v>0</v>
      </c>
      <c r="Q534" s="597"/>
      <c r="R534" s="597"/>
      <c r="S534" s="597"/>
      <c r="T534" s="597"/>
      <c r="U534" s="597"/>
      <c r="V534" s="597"/>
      <c r="W534" s="597"/>
      <c r="X534" s="597"/>
      <c r="Y534" s="597"/>
      <c r="Z534" s="597"/>
    </row>
    <row r="535" spans="1:26" ht="18.75" hidden="1">
      <c r="A535" s="592"/>
      <c r="B535" s="600"/>
      <c r="C535" s="750"/>
      <c r="D535" s="750"/>
      <c r="E535" s="750" t="s">
        <v>19</v>
      </c>
      <c r="F535" s="750"/>
      <c r="G535" s="596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IFERROR(__xludf.DUMMYFUNCTION("IMPORTRANGE(""https://docs.google.com/spreadsheets/d/1QqKyyYR6Q21VydFLVH3TRQUabQu_ym0Zz7PgGX0-kHA/edit?usp=sharing"",""แผน!GT73"")"),0)</f>
        <v>0</v>
      </c>
      <c r="M535" s="93">
        <v>0</v>
      </c>
      <c r="N535" s="93">
        <v>0</v>
      </c>
      <c r="O535" s="93">
        <f t="shared" ca="1" si="231"/>
        <v>0</v>
      </c>
      <c r="P535" s="93">
        <f t="shared" si="232"/>
        <v>0</v>
      </c>
      <c r="Q535" s="597"/>
      <c r="R535" s="597"/>
      <c r="S535" s="597"/>
      <c r="T535" s="597"/>
      <c r="U535" s="597"/>
      <c r="V535" s="597"/>
      <c r="W535" s="597"/>
      <c r="X535" s="597"/>
      <c r="Y535" s="597"/>
      <c r="Z535" s="597"/>
    </row>
    <row r="536" spans="1:26" ht="19.5" hidden="1">
      <c r="A536" s="601"/>
      <c r="B536" s="611"/>
      <c r="C536" s="754" t="s">
        <v>16</v>
      </c>
      <c r="D536" s="839" t="s">
        <v>38</v>
      </c>
      <c r="E536" s="752"/>
      <c r="F536" s="752"/>
      <c r="G536" s="606"/>
      <c r="H536" s="753"/>
      <c r="I536" s="184"/>
      <c r="J536" s="184"/>
      <c r="K536" s="163"/>
      <c r="L536" s="163"/>
      <c r="M536" s="163"/>
      <c r="N536" s="163"/>
      <c r="O536" s="163"/>
      <c r="P536" s="163"/>
      <c r="Q536" s="571"/>
      <c r="R536" s="571"/>
      <c r="S536" s="571"/>
      <c r="T536" s="571"/>
      <c r="U536" s="571"/>
      <c r="V536" s="571"/>
      <c r="W536" s="571"/>
      <c r="X536" s="571"/>
      <c r="Y536" s="571"/>
      <c r="Z536" s="571"/>
    </row>
    <row r="537" spans="1:26" ht="19.5" hidden="1">
      <c r="A537" s="567"/>
      <c r="B537" s="568"/>
      <c r="C537" s="754"/>
      <c r="D537" s="754" t="s">
        <v>227</v>
      </c>
      <c r="E537" s="754"/>
      <c r="F537" s="754"/>
      <c r="G537" s="189"/>
      <c r="H537" s="616" t="s">
        <v>35</v>
      </c>
      <c r="I537" s="674">
        <f ca="1">IFERROR(__xludf.DUMMYFUNCTION("IMPORTRANGE(""https://docs.google.com/spreadsheets/d/1QqKyyYR6Q21VydFLVH3TRQUabQu_ym0Zz7PgGX0-kHA/edit?usp=sharing"",""แผน!GU73"")"),0)</f>
        <v>0</v>
      </c>
      <c r="J537" s="674">
        <f ca="1">IF(AND(J538=I538,J539=I539,J540=I540,J541=I541),I537,0)</f>
        <v>0</v>
      </c>
      <c r="K537" s="496">
        <f t="shared" ref="K537:K543" ca="1" si="233">IF(I537&gt;0,J537*100/I537,0)</f>
        <v>0</v>
      </c>
      <c r="L537" s="496"/>
      <c r="M537" s="496"/>
      <c r="N537" s="496"/>
      <c r="O537" s="496"/>
      <c r="P537" s="496"/>
      <c r="Q537" s="675"/>
      <c r="R537" s="675"/>
      <c r="S537" s="675"/>
      <c r="T537" s="675"/>
      <c r="U537" s="675"/>
      <c r="V537" s="675"/>
      <c r="W537" s="675"/>
      <c r="X537" s="675"/>
      <c r="Y537" s="675"/>
      <c r="Z537" s="675"/>
    </row>
    <row r="538" spans="1:26" ht="18.75" hidden="1">
      <c r="A538" s="567"/>
      <c r="B538" s="568"/>
      <c r="C538" s="754"/>
      <c r="D538" s="754"/>
      <c r="E538" s="754" t="s">
        <v>228</v>
      </c>
      <c r="F538" s="754"/>
      <c r="G538" s="189"/>
      <c r="H538" s="616" t="s">
        <v>35</v>
      </c>
      <c r="I538" s="269">
        <f ca="1">IFERROR(__xludf.DUMMYFUNCTION("IMPORTRANGE(""https://docs.google.com/spreadsheets/d/1QqKyyYR6Q21VydFLVH3TRQUabQu_ym0Zz7PgGX0-kHA/edit?usp=sharing"",""แผน!GV73"")"),0)</f>
        <v>0</v>
      </c>
      <c r="J538" s="214">
        <v>0</v>
      </c>
      <c r="K538" s="496">
        <f t="shared" ca="1" si="233"/>
        <v>0</v>
      </c>
      <c r="L538" s="496"/>
      <c r="M538" s="496"/>
      <c r="N538" s="496"/>
      <c r="O538" s="496"/>
      <c r="P538" s="496"/>
      <c r="Q538" s="675"/>
      <c r="R538" s="675"/>
      <c r="S538" s="675"/>
      <c r="T538" s="675"/>
      <c r="U538" s="675"/>
      <c r="V538" s="675"/>
      <c r="W538" s="675"/>
      <c r="X538" s="675"/>
      <c r="Y538" s="675"/>
      <c r="Z538" s="675"/>
    </row>
    <row r="539" spans="1:26" ht="18.75" hidden="1">
      <c r="A539" s="567"/>
      <c r="B539" s="568"/>
      <c r="C539" s="754"/>
      <c r="D539" s="754"/>
      <c r="E539" s="754" t="s">
        <v>229</v>
      </c>
      <c r="F539" s="754"/>
      <c r="G539" s="189"/>
      <c r="H539" s="616" t="s">
        <v>35</v>
      </c>
      <c r="I539" s="269">
        <f ca="1">IFERROR(__xludf.DUMMYFUNCTION("IMPORTRANGE(""https://docs.google.com/spreadsheets/d/1QqKyyYR6Q21VydFLVH3TRQUabQu_ym0Zz7PgGX0-kHA/edit?usp=sharing"",""แผน!GW73"")"),0)</f>
        <v>0</v>
      </c>
      <c r="J539" s="214">
        <v>0</v>
      </c>
      <c r="K539" s="496">
        <f t="shared" ca="1" si="233"/>
        <v>0</v>
      </c>
      <c r="L539" s="496"/>
      <c r="M539" s="496"/>
      <c r="N539" s="496"/>
      <c r="O539" s="496"/>
      <c r="P539" s="496"/>
      <c r="Q539" s="675"/>
      <c r="R539" s="675"/>
      <c r="S539" s="675"/>
      <c r="T539" s="675"/>
      <c r="U539" s="675"/>
      <c r="V539" s="675"/>
      <c r="W539" s="675"/>
      <c r="X539" s="675"/>
      <c r="Y539" s="675"/>
      <c r="Z539" s="675"/>
    </row>
    <row r="540" spans="1:26" ht="18.75" hidden="1">
      <c r="A540" s="567"/>
      <c r="B540" s="568"/>
      <c r="C540" s="754"/>
      <c r="D540" s="754"/>
      <c r="E540" s="754" t="s">
        <v>230</v>
      </c>
      <c r="F540" s="754"/>
      <c r="G540" s="189"/>
      <c r="H540" s="616" t="s">
        <v>35</v>
      </c>
      <c r="I540" s="269">
        <f ca="1">IFERROR(__xludf.DUMMYFUNCTION("IMPORTRANGE(""https://docs.google.com/spreadsheets/d/1QqKyyYR6Q21VydFLVH3TRQUabQu_ym0Zz7PgGX0-kHA/edit?usp=sharing"",""แผน!GX73"")"),0)</f>
        <v>0</v>
      </c>
      <c r="J540" s="214">
        <v>0</v>
      </c>
      <c r="K540" s="496">
        <f t="shared" ca="1" si="233"/>
        <v>0</v>
      </c>
      <c r="L540" s="496"/>
      <c r="M540" s="496"/>
      <c r="N540" s="496"/>
      <c r="O540" s="496"/>
      <c r="P540" s="496"/>
      <c r="Q540" s="675"/>
      <c r="R540" s="675"/>
      <c r="S540" s="675"/>
      <c r="T540" s="675"/>
      <c r="U540" s="675"/>
      <c r="V540" s="675"/>
      <c r="W540" s="675"/>
      <c r="X540" s="675"/>
      <c r="Y540" s="675"/>
      <c r="Z540" s="675"/>
    </row>
    <row r="541" spans="1:26" ht="18.75" hidden="1">
      <c r="A541" s="567"/>
      <c r="B541" s="568"/>
      <c r="C541" s="754"/>
      <c r="D541" s="754"/>
      <c r="E541" s="760" t="s">
        <v>231</v>
      </c>
      <c r="F541" s="754"/>
      <c r="G541" s="189"/>
      <c r="H541" s="616" t="s">
        <v>35</v>
      </c>
      <c r="I541" s="269">
        <f ca="1">IFERROR(__xludf.DUMMYFUNCTION("IMPORTRANGE(""https://docs.google.com/spreadsheets/d/1QqKyyYR6Q21VydFLVH3TRQUabQu_ym0Zz7PgGX0-kHA/edit?usp=sharing"",""แผน!GY73"")"),0)</f>
        <v>0</v>
      </c>
      <c r="J541" s="214">
        <v>0</v>
      </c>
      <c r="K541" s="496">
        <f t="shared" ca="1" si="233"/>
        <v>0</v>
      </c>
      <c r="L541" s="496"/>
      <c r="M541" s="496"/>
      <c r="N541" s="496"/>
      <c r="O541" s="496"/>
      <c r="P541" s="496"/>
      <c r="Q541" s="675"/>
      <c r="R541" s="675"/>
      <c r="S541" s="675"/>
      <c r="T541" s="675"/>
      <c r="U541" s="675"/>
      <c r="V541" s="675"/>
      <c r="W541" s="675"/>
      <c r="X541" s="675"/>
      <c r="Y541" s="675"/>
      <c r="Z541" s="675"/>
    </row>
    <row r="542" spans="1:26" ht="18.75" hidden="1">
      <c r="A542" s="567"/>
      <c r="B542" s="568"/>
      <c r="C542" s="754"/>
      <c r="D542" s="754" t="s">
        <v>59</v>
      </c>
      <c r="E542" s="754"/>
      <c r="F542" s="754"/>
      <c r="G542" s="189"/>
      <c r="H542" s="616" t="s">
        <v>35</v>
      </c>
      <c r="I542" s="269">
        <f ca="1">IFERROR(__xludf.DUMMYFUNCTION("IMPORTRANGE(""https://docs.google.com/spreadsheets/d/1QqKyyYR6Q21VydFLVH3TRQUabQu_ym0Zz7PgGX0-kHA/edit?usp=sharing"",""แผน!GZ73"")"),0)</f>
        <v>0</v>
      </c>
      <c r="J542" s="214">
        <v>0</v>
      </c>
      <c r="K542" s="496">
        <f t="shared" ca="1" si="233"/>
        <v>0</v>
      </c>
      <c r="L542" s="496"/>
      <c r="M542" s="496"/>
      <c r="N542" s="496"/>
      <c r="O542" s="496"/>
      <c r="P542" s="496"/>
      <c r="Q542" s="675"/>
      <c r="R542" s="675"/>
      <c r="S542" s="675"/>
      <c r="T542" s="675"/>
      <c r="U542" s="675"/>
      <c r="V542" s="675"/>
      <c r="W542" s="675"/>
      <c r="X542" s="675"/>
      <c r="Y542" s="675"/>
      <c r="Z542" s="675"/>
    </row>
    <row r="543" spans="1:26" ht="19.5">
      <c r="A543" s="657">
        <v>6</v>
      </c>
      <c r="B543" s="678" t="s">
        <v>232</v>
      </c>
      <c r="C543" s="660"/>
      <c r="D543" s="660"/>
      <c r="E543" s="660"/>
      <c r="F543" s="660"/>
      <c r="G543" s="661"/>
      <c r="H543" s="679" t="s">
        <v>46</v>
      </c>
      <c r="I543" s="680">
        <f t="shared" ref="I543:J543" ca="1" si="234">I559</f>
        <v>0</v>
      </c>
      <c r="J543" s="680">
        <f t="shared" si="234"/>
        <v>0</v>
      </c>
      <c r="K543" s="681">
        <f t="shared" ca="1" si="233"/>
        <v>0</v>
      </c>
      <c r="L543" s="663"/>
      <c r="M543" s="663"/>
      <c r="N543" s="663"/>
      <c r="O543" s="663"/>
      <c r="P543" s="663"/>
      <c r="Q543" s="571"/>
      <c r="R543" s="571"/>
      <c r="S543" s="571"/>
      <c r="T543" s="571"/>
      <c r="U543" s="571"/>
      <c r="V543" s="571"/>
      <c r="W543" s="571"/>
      <c r="X543" s="571"/>
      <c r="Y543" s="571"/>
      <c r="Z543" s="571"/>
    </row>
    <row r="544" spans="1:26" ht="19.5">
      <c r="A544" s="682"/>
      <c r="B544" s="683"/>
      <c r="C544" s="683" t="s">
        <v>16</v>
      </c>
      <c r="D544" s="867" t="s">
        <v>17</v>
      </c>
      <c r="E544" s="862"/>
      <c r="F544" s="862"/>
      <c r="G544" s="684"/>
      <c r="H544" s="274" t="s">
        <v>12</v>
      </c>
      <c r="I544" s="419"/>
      <c r="J544" s="419"/>
      <c r="K544" s="154"/>
      <c r="L544" s="155">
        <f t="shared" ref="L544:N544" ca="1" si="235">L545+L546</f>
        <v>66000</v>
      </c>
      <c r="M544" s="155">
        <f t="shared" si="235"/>
        <v>0</v>
      </c>
      <c r="N544" s="155">
        <f t="shared" si="235"/>
        <v>0</v>
      </c>
      <c r="O544" s="155">
        <f t="shared" ref="O544:O549" ca="1" si="236">IF(L544&gt;0,N544*100/L544,0)</f>
        <v>0</v>
      </c>
      <c r="P544" s="155">
        <f t="shared" ref="P544:P549" si="237">IF(M544&gt;0,N544*100/M544,0)</f>
        <v>0</v>
      </c>
      <c r="Q544" s="571"/>
      <c r="R544" s="571"/>
      <c r="S544" s="571"/>
      <c r="T544" s="571"/>
      <c r="U544" s="571"/>
      <c r="V544" s="571"/>
      <c r="W544" s="571"/>
      <c r="X544" s="571"/>
      <c r="Y544" s="571"/>
      <c r="Z544" s="571"/>
    </row>
    <row r="545" spans="1:26" ht="18.75" hidden="1">
      <c r="A545" s="592"/>
      <c r="B545" s="750"/>
      <c r="C545" s="750"/>
      <c r="D545" s="750"/>
      <c r="E545" s="750" t="s">
        <v>184</v>
      </c>
      <c r="F545" s="750"/>
      <c r="G545" s="596"/>
      <c r="H545" s="165" t="s">
        <v>12</v>
      </c>
      <c r="I545" s="610"/>
      <c r="J545" s="610"/>
      <c r="K545" s="93"/>
      <c r="L545" s="93">
        <f t="shared" ref="L545:L546" si="238">L548+L556</f>
        <v>0</v>
      </c>
      <c r="M545" s="93">
        <f t="shared" ref="M545:N546" si="239">M548+M555</f>
        <v>0</v>
      </c>
      <c r="N545" s="93">
        <f t="shared" si="239"/>
        <v>0</v>
      </c>
      <c r="O545" s="93">
        <f t="shared" si="236"/>
        <v>0</v>
      </c>
      <c r="P545" s="93">
        <f t="shared" si="237"/>
        <v>0</v>
      </c>
      <c r="Q545" s="597"/>
      <c r="R545" s="597"/>
      <c r="S545" s="597"/>
      <c r="T545" s="597"/>
      <c r="U545" s="597"/>
      <c r="V545" s="597"/>
      <c r="W545" s="597"/>
      <c r="X545" s="597"/>
      <c r="Y545" s="597"/>
      <c r="Z545" s="597"/>
    </row>
    <row r="546" spans="1:26" ht="18.75" hidden="1">
      <c r="A546" s="592"/>
      <c r="B546" s="600"/>
      <c r="C546" s="750"/>
      <c r="D546" s="750"/>
      <c r="E546" s="750" t="s">
        <v>185</v>
      </c>
      <c r="F546" s="750"/>
      <c r="G546" s="596"/>
      <c r="H546" s="165" t="s">
        <v>12</v>
      </c>
      <c r="I546" s="610"/>
      <c r="J546" s="610"/>
      <c r="K546" s="93"/>
      <c r="L546" s="93">
        <f t="shared" ca="1" si="238"/>
        <v>66000</v>
      </c>
      <c r="M546" s="93">
        <f t="shared" si="239"/>
        <v>0</v>
      </c>
      <c r="N546" s="93">
        <f t="shared" si="239"/>
        <v>0</v>
      </c>
      <c r="O546" s="93">
        <f t="shared" ca="1" si="236"/>
        <v>0</v>
      </c>
      <c r="P546" s="93">
        <f t="shared" si="237"/>
        <v>0</v>
      </c>
      <c r="Q546" s="597"/>
      <c r="R546" s="597"/>
      <c r="S546" s="597"/>
      <c r="T546" s="597"/>
      <c r="U546" s="597"/>
      <c r="V546" s="597"/>
      <c r="W546" s="597"/>
      <c r="X546" s="597"/>
      <c r="Y546" s="597"/>
      <c r="Z546" s="597"/>
    </row>
    <row r="547" spans="1:26" ht="18.75">
      <c r="A547" s="590"/>
      <c r="B547" s="568"/>
      <c r="C547" s="754"/>
      <c r="D547" s="599" t="s">
        <v>20</v>
      </c>
      <c r="E547" s="754"/>
      <c r="F547" s="754"/>
      <c r="G547" s="189"/>
      <c r="H547" s="161" t="s">
        <v>12</v>
      </c>
      <c r="I547" s="184"/>
      <c r="J547" s="184"/>
      <c r="K547" s="163"/>
      <c r="L547" s="496">
        <f t="shared" ref="L547:N547" ca="1" si="240">L548+L549</f>
        <v>66000</v>
      </c>
      <c r="M547" s="496">
        <f t="shared" si="240"/>
        <v>0</v>
      </c>
      <c r="N547" s="496">
        <f t="shared" si="240"/>
        <v>0</v>
      </c>
      <c r="O547" s="496">
        <f t="shared" ca="1" si="236"/>
        <v>0</v>
      </c>
      <c r="P547" s="496">
        <f t="shared" si="237"/>
        <v>0</v>
      </c>
      <c r="Q547" s="571"/>
      <c r="R547" s="571"/>
      <c r="S547" s="571"/>
      <c r="T547" s="571"/>
      <c r="U547" s="571"/>
      <c r="V547" s="571"/>
      <c r="W547" s="571"/>
      <c r="X547" s="571"/>
      <c r="Y547" s="571"/>
      <c r="Z547" s="571"/>
    </row>
    <row r="548" spans="1:26" ht="18.75" hidden="1">
      <c r="A548" s="592"/>
      <c r="B548" s="600"/>
      <c r="C548" s="750"/>
      <c r="D548" s="711"/>
      <c r="E548" s="750" t="s">
        <v>184</v>
      </c>
      <c r="F548" s="750"/>
      <c r="G548" s="596"/>
      <c r="H548" s="165" t="s">
        <v>12</v>
      </c>
      <c r="I548" s="610"/>
      <c r="J548" s="610"/>
      <c r="K548" s="93"/>
      <c r="L548" s="93">
        <v>0</v>
      </c>
      <c r="M548" s="93">
        <v>0</v>
      </c>
      <c r="N548" s="93">
        <v>0</v>
      </c>
      <c r="O548" s="93">
        <f t="shared" si="236"/>
        <v>0</v>
      </c>
      <c r="P548" s="93">
        <f t="shared" si="237"/>
        <v>0</v>
      </c>
      <c r="Q548" s="597"/>
      <c r="R548" s="597"/>
      <c r="S548" s="597"/>
      <c r="T548" s="597"/>
      <c r="U548" s="597"/>
      <c r="V548" s="597"/>
      <c r="W548" s="597"/>
      <c r="X548" s="597"/>
      <c r="Y548" s="597"/>
      <c r="Z548" s="597"/>
    </row>
    <row r="549" spans="1:26" ht="18.75" hidden="1">
      <c r="A549" s="592"/>
      <c r="B549" s="600"/>
      <c r="C549" s="750"/>
      <c r="D549" s="711"/>
      <c r="E549" s="750" t="s">
        <v>185</v>
      </c>
      <c r="F549" s="750"/>
      <c r="G549" s="596"/>
      <c r="H549" s="165" t="s">
        <v>12</v>
      </c>
      <c r="I549" s="610"/>
      <c r="J549" s="610"/>
      <c r="K549" s="93"/>
      <c r="L549" s="93">
        <f ca="1">IFERROR(__xludf.DUMMYFUNCTION("IMPORTRANGE(""https://docs.google.com/spreadsheets/d/1QqKyyYR6Q21VydFLVH3TRQUabQu_ym0Zz7PgGX0-kHA/edit?usp=sharing"",""แผน!HB73"")"),66000)</f>
        <v>66000</v>
      </c>
      <c r="M549" s="93">
        <v>0</v>
      </c>
      <c r="N549" s="93">
        <f>N550+N551+N552+N553+N554</f>
        <v>0</v>
      </c>
      <c r="O549" s="93">
        <f t="shared" ca="1" si="236"/>
        <v>0</v>
      </c>
      <c r="P549" s="93">
        <f t="shared" si="237"/>
        <v>0</v>
      </c>
      <c r="Q549" s="597"/>
      <c r="R549" s="597"/>
      <c r="S549" s="597"/>
      <c r="T549" s="597"/>
      <c r="U549" s="597"/>
      <c r="V549" s="597"/>
      <c r="W549" s="597"/>
      <c r="X549" s="597"/>
      <c r="Y549" s="597"/>
      <c r="Z549" s="597"/>
    </row>
    <row r="550" spans="1:26" ht="18.75">
      <c r="A550" s="567"/>
      <c r="B550" s="568"/>
      <c r="C550" s="754"/>
      <c r="D550" s="754"/>
      <c r="E550" s="754"/>
      <c r="F550" s="754" t="s">
        <v>186</v>
      </c>
      <c r="G550" s="189"/>
      <c r="H550" s="161" t="s">
        <v>12</v>
      </c>
      <c r="I550" s="269"/>
      <c r="J550" s="269"/>
      <c r="K550" s="496"/>
      <c r="L550" s="496"/>
      <c r="M550" s="496"/>
      <c r="N550" s="817">
        <v>0</v>
      </c>
      <c r="O550" s="496"/>
      <c r="P550" s="496"/>
      <c r="Q550" s="571"/>
      <c r="R550" s="571"/>
      <c r="S550" s="571"/>
      <c r="T550" s="571"/>
      <c r="U550" s="571"/>
      <c r="V550" s="571"/>
      <c r="W550" s="571"/>
      <c r="X550" s="571"/>
      <c r="Y550" s="571"/>
      <c r="Z550" s="571"/>
    </row>
    <row r="551" spans="1:26" ht="18.75">
      <c r="A551" s="567"/>
      <c r="B551" s="568"/>
      <c r="C551" s="568"/>
      <c r="D551" s="568"/>
      <c r="E551" s="754"/>
      <c r="F551" s="754" t="s">
        <v>187</v>
      </c>
      <c r="G551" s="189"/>
      <c r="H551" s="161" t="s">
        <v>12</v>
      </c>
      <c r="I551" s="269"/>
      <c r="J551" s="269"/>
      <c r="K551" s="496"/>
      <c r="L551" s="496"/>
      <c r="M551" s="496"/>
      <c r="N551" s="817">
        <v>0</v>
      </c>
      <c r="O551" s="496"/>
      <c r="P551" s="496"/>
      <c r="Q551" s="571"/>
      <c r="R551" s="571"/>
      <c r="S551" s="571"/>
      <c r="T551" s="571"/>
      <c r="U551" s="571"/>
      <c r="V551" s="571"/>
      <c r="W551" s="571"/>
      <c r="X551" s="571"/>
      <c r="Y551" s="571"/>
      <c r="Z551" s="571"/>
    </row>
    <row r="552" spans="1:26" ht="18.75">
      <c r="A552" s="567"/>
      <c r="B552" s="568"/>
      <c r="C552" s="754"/>
      <c r="D552" s="754"/>
      <c r="E552" s="754"/>
      <c r="F552" s="754" t="s">
        <v>188</v>
      </c>
      <c r="G552" s="189"/>
      <c r="H552" s="161" t="s">
        <v>12</v>
      </c>
      <c r="I552" s="269"/>
      <c r="J552" s="269"/>
      <c r="K552" s="496"/>
      <c r="L552" s="496"/>
      <c r="M552" s="496"/>
      <c r="N552" s="817">
        <v>0</v>
      </c>
      <c r="O552" s="496"/>
      <c r="P552" s="496"/>
      <c r="Q552" s="571"/>
      <c r="R552" s="571"/>
      <c r="S552" s="571"/>
      <c r="T552" s="571"/>
      <c r="U552" s="571"/>
      <c r="V552" s="571"/>
      <c r="W552" s="571"/>
      <c r="X552" s="571"/>
      <c r="Y552" s="571"/>
      <c r="Z552" s="571"/>
    </row>
    <row r="553" spans="1:26" ht="18.75">
      <c r="A553" s="567"/>
      <c r="B553" s="568"/>
      <c r="C553" s="568"/>
      <c r="D553" s="568"/>
      <c r="E553" s="754"/>
      <c r="F553" s="754" t="s">
        <v>189</v>
      </c>
      <c r="G553" s="189"/>
      <c r="H553" s="161" t="s">
        <v>12</v>
      </c>
      <c r="I553" s="269"/>
      <c r="J553" s="269"/>
      <c r="K553" s="496"/>
      <c r="L553" s="496"/>
      <c r="M553" s="496"/>
      <c r="N553" s="817">
        <v>0</v>
      </c>
      <c r="O553" s="496"/>
      <c r="P553" s="496"/>
      <c r="Q553" s="571"/>
      <c r="R553" s="571"/>
      <c r="S553" s="571"/>
      <c r="T553" s="571"/>
      <c r="U553" s="571"/>
      <c r="V553" s="571"/>
      <c r="W553" s="571"/>
      <c r="X553" s="571"/>
      <c r="Y553" s="571"/>
      <c r="Z553" s="571"/>
    </row>
    <row r="554" spans="1:26" ht="18.75">
      <c r="A554" s="567"/>
      <c r="B554" s="568"/>
      <c r="C554" s="568"/>
      <c r="D554" s="568"/>
      <c r="E554" s="754"/>
      <c r="F554" s="754" t="s">
        <v>233</v>
      </c>
      <c r="G554" s="189"/>
      <c r="H554" s="161" t="s">
        <v>12</v>
      </c>
      <c r="I554" s="269"/>
      <c r="J554" s="269"/>
      <c r="K554" s="496"/>
      <c r="L554" s="496"/>
      <c r="M554" s="496"/>
      <c r="N554" s="817">
        <v>0</v>
      </c>
      <c r="O554" s="496"/>
      <c r="P554" s="496"/>
      <c r="Q554" s="571"/>
      <c r="R554" s="571"/>
      <c r="S554" s="571"/>
      <c r="T554" s="571"/>
      <c r="U554" s="571"/>
      <c r="V554" s="571"/>
      <c r="W554" s="571"/>
      <c r="X554" s="571"/>
      <c r="Y554" s="571"/>
      <c r="Z554" s="571"/>
    </row>
    <row r="555" spans="1:26" ht="18.75">
      <c r="A555" s="590"/>
      <c r="B555" s="568"/>
      <c r="C555" s="568"/>
      <c r="D555" s="599" t="s">
        <v>21</v>
      </c>
      <c r="E555" s="754"/>
      <c r="F555" s="754"/>
      <c r="G555" s="189"/>
      <c r="H555" s="168" t="s">
        <v>12</v>
      </c>
      <c r="I555" s="184"/>
      <c r="J555" s="184"/>
      <c r="K555" s="163"/>
      <c r="L555" s="496">
        <f t="shared" ref="L555:N555" ca="1" si="241">L556+L557</f>
        <v>0</v>
      </c>
      <c r="M555" s="496">
        <f t="shared" si="241"/>
        <v>0</v>
      </c>
      <c r="N555" s="496">
        <f t="shared" si="241"/>
        <v>0</v>
      </c>
      <c r="O555" s="496">
        <f t="shared" ref="O555:O557" ca="1" si="242">IF(L555&gt;0,N555*100/L555,0)</f>
        <v>0</v>
      </c>
      <c r="P555" s="496">
        <f t="shared" ref="P555:P557" si="243">IF(M555&gt;0,N555*100/M555,0)</f>
        <v>0</v>
      </c>
      <c r="Q555" s="571"/>
      <c r="R555" s="571"/>
      <c r="S555" s="571"/>
      <c r="T555" s="571"/>
      <c r="U555" s="571"/>
      <c r="V555" s="571"/>
      <c r="W555" s="571"/>
      <c r="X555" s="571"/>
      <c r="Y555" s="571"/>
      <c r="Z555" s="571"/>
    </row>
    <row r="556" spans="1:26" ht="18.75" hidden="1">
      <c r="A556" s="592"/>
      <c r="B556" s="600"/>
      <c r="C556" s="600"/>
      <c r="D556" s="750"/>
      <c r="E556" s="750" t="s">
        <v>18</v>
      </c>
      <c r="F556" s="750"/>
      <c r="G556" s="596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2"/>
        <v>0</v>
      </c>
      <c r="P556" s="93">
        <f t="shared" si="243"/>
        <v>0</v>
      </c>
      <c r="Q556" s="597"/>
      <c r="R556" s="597"/>
      <c r="S556" s="597"/>
      <c r="T556" s="597"/>
      <c r="U556" s="597"/>
      <c r="V556" s="597"/>
      <c r="W556" s="597"/>
      <c r="X556" s="597"/>
      <c r="Y556" s="597"/>
      <c r="Z556" s="597"/>
    </row>
    <row r="557" spans="1:26" ht="18.75" hidden="1">
      <c r="A557" s="592"/>
      <c r="B557" s="600"/>
      <c r="C557" s="600"/>
      <c r="D557" s="750"/>
      <c r="E557" s="750" t="s">
        <v>19</v>
      </c>
      <c r="F557" s="750"/>
      <c r="G557" s="596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IFERROR(__xludf.DUMMYFUNCTION("IMPORTRANGE(""https://docs.google.com/spreadsheets/d/1QqKyyYR6Q21VydFLVH3TRQUabQu_ym0Zz7PgGX0-kHA/edit?usp=sharing"",""แผน!HF73"")"),0)</f>
        <v>0</v>
      </c>
      <c r="M557" s="93">
        <v>0</v>
      </c>
      <c r="N557" s="93">
        <v>0</v>
      </c>
      <c r="O557" s="93">
        <f t="shared" ca="1" si="242"/>
        <v>0</v>
      </c>
      <c r="P557" s="93">
        <f t="shared" si="243"/>
        <v>0</v>
      </c>
      <c r="Q557" s="597"/>
      <c r="R557" s="597"/>
      <c r="S557" s="597"/>
      <c r="T557" s="597"/>
      <c r="U557" s="597"/>
      <c r="V557" s="597"/>
      <c r="W557" s="597"/>
      <c r="X557" s="597"/>
      <c r="Y557" s="597"/>
      <c r="Z557" s="597"/>
    </row>
    <row r="558" spans="1:26" ht="19.5" hidden="1">
      <c r="A558" s="601"/>
      <c r="B558" s="611"/>
      <c r="C558" s="568" t="s">
        <v>16</v>
      </c>
      <c r="D558" s="839" t="s">
        <v>38</v>
      </c>
      <c r="E558" s="752"/>
      <c r="F558" s="752"/>
      <c r="G558" s="606"/>
      <c r="H558" s="753"/>
      <c r="I558" s="184"/>
      <c r="J558" s="184"/>
      <c r="K558" s="163"/>
      <c r="L558" s="163"/>
      <c r="M558" s="163"/>
      <c r="N558" s="163"/>
      <c r="O558" s="163"/>
      <c r="P558" s="163"/>
      <c r="Q558" s="571"/>
      <c r="R558" s="571"/>
      <c r="S558" s="571"/>
      <c r="T558" s="571"/>
      <c r="U558" s="571"/>
      <c r="V558" s="571"/>
      <c r="W558" s="571"/>
      <c r="X558" s="571"/>
      <c r="Y558" s="571"/>
      <c r="Z558" s="571"/>
    </row>
    <row r="559" spans="1:26" ht="19.5" hidden="1">
      <c r="A559" s="685"/>
      <c r="B559" s="686" t="s">
        <v>234</v>
      </c>
      <c r="C559" s="687"/>
      <c r="D559" s="687"/>
      <c r="E559" s="666"/>
      <c r="F559" s="666"/>
      <c r="G559" s="667"/>
      <c r="H559" s="688" t="s">
        <v>46</v>
      </c>
      <c r="I559" s="699">
        <f t="shared" ref="I559:J559" ca="1" si="244">I576</f>
        <v>0</v>
      </c>
      <c r="J559" s="699">
        <f t="shared" si="244"/>
        <v>0</v>
      </c>
      <c r="K559" s="670">
        <f t="shared" ref="K559:K561" ca="1" si="245">IF(I559&gt;0,J559*100/I559,0)</f>
        <v>0</v>
      </c>
      <c r="L559" s="671"/>
      <c r="M559" s="671"/>
      <c r="N559" s="671"/>
      <c r="O559" s="671"/>
      <c r="P559" s="671"/>
      <c r="Q559" s="571"/>
      <c r="R559" s="571"/>
      <c r="S559" s="571"/>
      <c r="T559" s="571"/>
      <c r="U559" s="571"/>
      <c r="V559" s="571"/>
      <c r="W559" s="571"/>
      <c r="X559" s="571"/>
      <c r="Y559" s="571"/>
      <c r="Z559" s="571"/>
    </row>
    <row r="560" spans="1:26" ht="19.5" hidden="1">
      <c r="A560" s="601"/>
      <c r="B560" s="611"/>
      <c r="C560" s="618" t="s">
        <v>235</v>
      </c>
      <c r="D560" s="611"/>
      <c r="E560" s="619"/>
      <c r="F560" s="619"/>
      <c r="G560" s="753"/>
      <c r="H560" s="758" t="s">
        <v>46</v>
      </c>
      <c r="I560" s="193">
        <f ca="1">IFERROR(__xludf.DUMMYFUNCTION("IMPORTRANGE(""https://docs.google.com/spreadsheets/d/1QqKyyYR6Q21VydFLVH3TRQUabQu_ym0Zz7PgGX0-kHA/edit?usp=sharing"",""แผน!HH73"")"),0)</f>
        <v>0</v>
      </c>
      <c r="J560" s="193">
        <f t="shared" ref="J560:J561" si="246">J562+J564+J566</f>
        <v>0</v>
      </c>
      <c r="K560" s="410">
        <f t="shared" ca="1" si="245"/>
        <v>0</v>
      </c>
      <c r="L560" s="163"/>
      <c r="M560" s="163"/>
      <c r="N560" s="163"/>
      <c r="O560" s="163"/>
      <c r="P560" s="163"/>
      <c r="Q560" s="571"/>
      <c r="R560" s="571"/>
      <c r="S560" s="571"/>
      <c r="T560" s="571"/>
      <c r="U560" s="571"/>
      <c r="V560" s="571"/>
      <c r="W560" s="571"/>
      <c r="X560" s="571"/>
      <c r="Y560" s="571"/>
      <c r="Z560" s="571"/>
    </row>
    <row r="561" spans="1:26" ht="19.5" hidden="1">
      <c r="A561" s="601"/>
      <c r="B561" s="611"/>
      <c r="C561" s="611"/>
      <c r="D561" s="619"/>
      <c r="E561" s="619"/>
      <c r="F561" s="619"/>
      <c r="G561" s="753"/>
      <c r="H561" s="758" t="s">
        <v>34</v>
      </c>
      <c r="I561" s="193">
        <f ca="1">IFERROR(__xludf.DUMMYFUNCTION("IMPORTRANGE(""https://docs.google.com/spreadsheets/d/1QqKyyYR6Q21VydFLVH3TRQUabQu_ym0Zz7PgGX0-kHA/edit?usp=sharing"",""แผน!HG73"")"),0)</f>
        <v>0</v>
      </c>
      <c r="J561" s="193">
        <f t="shared" si="246"/>
        <v>0</v>
      </c>
      <c r="K561" s="410">
        <f t="shared" ca="1" si="245"/>
        <v>0</v>
      </c>
      <c r="L561" s="163"/>
      <c r="M561" s="163"/>
      <c r="N561" s="163"/>
      <c r="O561" s="163"/>
      <c r="P561" s="163"/>
      <c r="Q561" s="571"/>
      <c r="R561" s="571"/>
      <c r="S561" s="571"/>
      <c r="T561" s="571"/>
      <c r="U561" s="571"/>
      <c r="V561" s="571"/>
      <c r="W561" s="571"/>
      <c r="X561" s="571"/>
      <c r="Y561" s="571"/>
      <c r="Z561" s="571"/>
    </row>
    <row r="562" spans="1:26" ht="18.75" hidden="1">
      <c r="A562" s="601"/>
      <c r="B562" s="611"/>
      <c r="C562" s="611"/>
      <c r="D562" s="619" t="s">
        <v>236</v>
      </c>
      <c r="E562" s="619"/>
      <c r="F562" s="619"/>
      <c r="G562" s="753"/>
      <c r="H562" s="755" t="s">
        <v>46</v>
      </c>
      <c r="I562" s="184"/>
      <c r="J562" s="214">
        <v>0</v>
      </c>
      <c r="K562" s="163"/>
      <c r="L562" s="163"/>
      <c r="M562" s="163"/>
      <c r="N562" s="163"/>
      <c r="O562" s="163"/>
      <c r="P562" s="163"/>
      <c r="Q562" s="571"/>
      <c r="R562" s="571"/>
      <c r="S562" s="571"/>
      <c r="T562" s="571"/>
      <c r="U562" s="571"/>
      <c r="V562" s="571"/>
      <c r="W562" s="571"/>
      <c r="X562" s="571"/>
      <c r="Y562" s="571"/>
      <c r="Z562" s="571"/>
    </row>
    <row r="563" spans="1:26" ht="18.75" hidden="1">
      <c r="A563" s="601"/>
      <c r="B563" s="611"/>
      <c r="C563" s="611"/>
      <c r="D563" s="611"/>
      <c r="E563" s="619"/>
      <c r="F563" s="619"/>
      <c r="G563" s="753"/>
      <c r="H563" s="755" t="s">
        <v>34</v>
      </c>
      <c r="I563" s="184"/>
      <c r="J563" s="214">
        <v>0</v>
      </c>
      <c r="K563" s="163"/>
      <c r="L563" s="163"/>
      <c r="M563" s="163"/>
      <c r="N563" s="163"/>
      <c r="O563" s="163"/>
      <c r="P563" s="163"/>
      <c r="Q563" s="571"/>
      <c r="R563" s="571"/>
      <c r="S563" s="571"/>
      <c r="T563" s="571"/>
      <c r="U563" s="571"/>
      <c r="V563" s="571"/>
      <c r="W563" s="571"/>
      <c r="X563" s="571"/>
      <c r="Y563" s="571"/>
      <c r="Z563" s="571"/>
    </row>
    <row r="564" spans="1:26" ht="18.75" hidden="1">
      <c r="A564" s="601"/>
      <c r="B564" s="611"/>
      <c r="C564" s="611"/>
      <c r="D564" s="619" t="s">
        <v>237</v>
      </c>
      <c r="E564" s="619"/>
      <c r="F564" s="619"/>
      <c r="G564" s="753"/>
      <c r="H564" s="755" t="s">
        <v>46</v>
      </c>
      <c r="I564" s="184"/>
      <c r="J564" s="214">
        <v>0</v>
      </c>
      <c r="K564" s="163"/>
      <c r="L564" s="163"/>
      <c r="M564" s="163"/>
      <c r="N564" s="163"/>
      <c r="O564" s="163"/>
      <c r="P564" s="163"/>
      <c r="Q564" s="571"/>
      <c r="R564" s="571"/>
      <c r="S564" s="571"/>
      <c r="T564" s="571"/>
      <c r="U564" s="571"/>
      <c r="V564" s="571"/>
      <c r="W564" s="571"/>
      <c r="X564" s="571"/>
      <c r="Y564" s="571"/>
      <c r="Z564" s="571"/>
    </row>
    <row r="565" spans="1:26" ht="18.75" hidden="1">
      <c r="A565" s="601"/>
      <c r="B565" s="611"/>
      <c r="C565" s="611"/>
      <c r="D565" s="619"/>
      <c r="E565" s="619"/>
      <c r="F565" s="619"/>
      <c r="G565" s="753"/>
      <c r="H565" s="755" t="s">
        <v>34</v>
      </c>
      <c r="I565" s="184"/>
      <c r="J565" s="214">
        <v>0</v>
      </c>
      <c r="K565" s="163"/>
      <c r="L565" s="163"/>
      <c r="M565" s="163"/>
      <c r="N565" s="163"/>
      <c r="O565" s="163"/>
      <c r="P565" s="163"/>
      <c r="Q565" s="571"/>
      <c r="R565" s="571"/>
      <c r="S565" s="571"/>
      <c r="T565" s="571"/>
      <c r="U565" s="571"/>
      <c r="V565" s="571"/>
      <c r="W565" s="571"/>
      <c r="X565" s="571"/>
      <c r="Y565" s="571"/>
      <c r="Z565" s="571"/>
    </row>
    <row r="566" spans="1:26" ht="18.75" hidden="1">
      <c r="A566" s="601"/>
      <c r="B566" s="611"/>
      <c r="C566" s="611"/>
      <c r="D566" s="619" t="s">
        <v>238</v>
      </c>
      <c r="E566" s="619"/>
      <c r="F566" s="619"/>
      <c r="G566" s="753"/>
      <c r="H566" s="755" t="s">
        <v>46</v>
      </c>
      <c r="I566" s="184"/>
      <c r="J566" s="214">
        <v>0</v>
      </c>
      <c r="K566" s="163"/>
      <c r="L566" s="163"/>
      <c r="M566" s="163"/>
      <c r="N566" s="163"/>
      <c r="O566" s="163"/>
      <c r="P566" s="163"/>
      <c r="Q566" s="571"/>
      <c r="R566" s="571"/>
      <c r="S566" s="571"/>
      <c r="T566" s="571"/>
      <c r="U566" s="571"/>
      <c r="V566" s="571"/>
      <c r="W566" s="571"/>
      <c r="X566" s="571"/>
      <c r="Y566" s="571"/>
      <c r="Z566" s="571"/>
    </row>
    <row r="567" spans="1:26" ht="18.75" hidden="1">
      <c r="A567" s="601"/>
      <c r="B567" s="611"/>
      <c r="C567" s="611"/>
      <c r="D567" s="619"/>
      <c r="E567" s="619"/>
      <c r="F567" s="619"/>
      <c r="G567" s="753"/>
      <c r="H567" s="755" t="s">
        <v>34</v>
      </c>
      <c r="I567" s="184"/>
      <c r="J567" s="214">
        <v>0</v>
      </c>
      <c r="K567" s="163"/>
      <c r="L567" s="163"/>
      <c r="M567" s="163"/>
      <c r="N567" s="163"/>
      <c r="O567" s="163"/>
      <c r="P567" s="163"/>
      <c r="Q567" s="571"/>
      <c r="R567" s="571"/>
      <c r="S567" s="571"/>
      <c r="T567" s="571"/>
      <c r="U567" s="571"/>
      <c r="V567" s="571"/>
      <c r="W567" s="571"/>
      <c r="X567" s="571"/>
      <c r="Y567" s="571"/>
      <c r="Z567" s="571"/>
    </row>
    <row r="568" spans="1:26" ht="19.5" hidden="1">
      <c r="A568" s="601"/>
      <c r="B568" s="611"/>
      <c r="C568" s="618" t="s">
        <v>239</v>
      </c>
      <c r="D568" s="619"/>
      <c r="E568" s="619"/>
      <c r="F568" s="619"/>
      <c r="G568" s="753"/>
      <c r="H568" s="758" t="s">
        <v>46</v>
      </c>
      <c r="I568" s="193">
        <f ca="1">IFERROR(__xludf.DUMMYFUNCTION("IMPORTRANGE(""https://docs.google.com/spreadsheets/d/1QqKyyYR6Q21VydFLVH3TRQUabQu_ym0Zz7PgGX0-kHA/edit?usp=sharing"",""แผน!HH73"")"),0)</f>
        <v>0</v>
      </c>
      <c r="J568" s="674">
        <f t="shared" ref="J568:J569" si="247">J570+J572+J574</f>
        <v>0</v>
      </c>
      <c r="K568" s="410">
        <f t="shared" ref="K568:K569" ca="1" si="248">IF(I568&gt;0,J568*100/I568,0)</f>
        <v>0</v>
      </c>
      <c r="L568" s="163"/>
      <c r="M568" s="163"/>
      <c r="N568" s="163"/>
      <c r="O568" s="163"/>
      <c r="P568" s="163"/>
      <c r="Q568" s="571"/>
      <c r="R568" s="571"/>
      <c r="S568" s="571"/>
      <c r="T568" s="571"/>
      <c r="U568" s="571"/>
      <c r="V568" s="571"/>
      <c r="W568" s="571"/>
      <c r="X568" s="571"/>
      <c r="Y568" s="571"/>
      <c r="Z568" s="571"/>
    </row>
    <row r="569" spans="1:26" ht="19.5" hidden="1">
      <c r="A569" s="601"/>
      <c r="B569" s="611"/>
      <c r="C569" s="611"/>
      <c r="D569" s="611"/>
      <c r="E569" s="619"/>
      <c r="F569" s="619"/>
      <c r="G569" s="753"/>
      <c r="H569" s="758" t="s">
        <v>34</v>
      </c>
      <c r="I569" s="193">
        <f ca="1">IFERROR(__xludf.DUMMYFUNCTION("IMPORTRANGE(""https://docs.google.com/spreadsheets/d/1QqKyyYR6Q21VydFLVH3TRQUabQu_ym0Zz7PgGX0-kHA/edit?usp=sharing"",""แผน!HG73"")"),0)</f>
        <v>0</v>
      </c>
      <c r="J569" s="674">
        <f t="shared" si="247"/>
        <v>0</v>
      </c>
      <c r="K569" s="410">
        <f t="shared" ca="1" si="248"/>
        <v>0</v>
      </c>
      <c r="L569" s="163"/>
      <c r="M569" s="163"/>
      <c r="N569" s="163"/>
      <c r="O569" s="163"/>
      <c r="P569" s="163"/>
      <c r="Q569" s="571"/>
      <c r="R569" s="571"/>
      <c r="S569" s="571"/>
      <c r="T569" s="571"/>
      <c r="U569" s="571"/>
      <c r="V569" s="571"/>
      <c r="W569" s="571"/>
      <c r="X569" s="571"/>
      <c r="Y569" s="571"/>
      <c r="Z569" s="571"/>
    </row>
    <row r="570" spans="1:26" ht="18.75" hidden="1">
      <c r="A570" s="601"/>
      <c r="B570" s="611"/>
      <c r="C570" s="611"/>
      <c r="D570" s="619" t="s">
        <v>240</v>
      </c>
      <c r="E570" s="611"/>
      <c r="F570" s="619"/>
      <c r="G570" s="753"/>
      <c r="H570" s="755" t="s">
        <v>46</v>
      </c>
      <c r="I570" s="184"/>
      <c r="J570" s="214">
        <v>0</v>
      </c>
      <c r="K570" s="163"/>
      <c r="L570" s="163"/>
      <c r="M570" s="163"/>
      <c r="N570" s="163"/>
      <c r="O570" s="163"/>
      <c r="P570" s="163"/>
      <c r="Q570" s="571"/>
      <c r="R570" s="571"/>
      <c r="S570" s="571"/>
      <c r="T570" s="571"/>
      <c r="U570" s="571"/>
      <c r="V570" s="571"/>
      <c r="W570" s="571"/>
      <c r="X570" s="571"/>
      <c r="Y570" s="571"/>
      <c r="Z570" s="571"/>
    </row>
    <row r="571" spans="1:26" ht="18.75" hidden="1">
      <c r="A571" s="601"/>
      <c r="B571" s="611"/>
      <c r="C571" s="611"/>
      <c r="D571" s="611"/>
      <c r="E571" s="619"/>
      <c r="F571" s="619"/>
      <c r="G571" s="753"/>
      <c r="H571" s="755" t="s">
        <v>34</v>
      </c>
      <c r="I571" s="184"/>
      <c r="J571" s="214">
        <v>0</v>
      </c>
      <c r="K571" s="163"/>
      <c r="L571" s="163"/>
      <c r="M571" s="163"/>
      <c r="N571" s="163"/>
      <c r="O571" s="163"/>
      <c r="P571" s="163"/>
      <c r="Q571" s="571"/>
      <c r="R571" s="571"/>
      <c r="S571" s="571"/>
      <c r="T571" s="571"/>
      <c r="U571" s="571"/>
      <c r="V571" s="571"/>
      <c r="W571" s="571"/>
      <c r="X571" s="571"/>
      <c r="Y571" s="571"/>
      <c r="Z571" s="571"/>
    </row>
    <row r="572" spans="1:26" ht="18.75" hidden="1">
      <c r="A572" s="601"/>
      <c r="B572" s="611"/>
      <c r="C572" s="611"/>
      <c r="D572" s="619" t="s">
        <v>241</v>
      </c>
      <c r="E572" s="619"/>
      <c r="F572" s="619"/>
      <c r="G572" s="753"/>
      <c r="H572" s="755" t="s">
        <v>46</v>
      </c>
      <c r="I572" s="184"/>
      <c r="J572" s="214">
        <v>0</v>
      </c>
      <c r="K572" s="163"/>
      <c r="L572" s="163"/>
      <c r="M572" s="163"/>
      <c r="N572" s="163"/>
      <c r="O572" s="163"/>
      <c r="P572" s="163"/>
      <c r="Q572" s="571"/>
      <c r="R572" s="571"/>
      <c r="S572" s="571"/>
      <c r="T572" s="571"/>
      <c r="U572" s="571"/>
      <c r="V572" s="571"/>
      <c r="W572" s="571"/>
      <c r="X572" s="571"/>
      <c r="Y572" s="571"/>
      <c r="Z572" s="571"/>
    </row>
    <row r="573" spans="1:26" ht="18.75" hidden="1">
      <c r="A573" s="601"/>
      <c r="B573" s="611"/>
      <c r="C573" s="611"/>
      <c r="D573" s="619"/>
      <c r="E573" s="619"/>
      <c r="F573" s="619"/>
      <c r="G573" s="753"/>
      <c r="H573" s="755" t="s">
        <v>34</v>
      </c>
      <c r="I573" s="184"/>
      <c r="J573" s="214">
        <v>0</v>
      </c>
      <c r="K573" s="163"/>
      <c r="L573" s="163"/>
      <c r="M573" s="163"/>
      <c r="N573" s="163"/>
      <c r="O573" s="163"/>
      <c r="P573" s="163"/>
      <c r="Q573" s="571"/>
      <c r="R573" s="571"/>
      <c r="S573" s="571"/>
      <c r="T573" s="571"/>
      <c r="U573" s="571"/>
      <c r="V573" s="571"/>
      <c r="W573" s="571"/>
      <c r="X573" s="571"/>
      <c r="Y573" s="571"/>
      <c r="Z573" s="571"/>
    </row>
    <row r="574" spans="1:26" ht="18.75" hidden="1">
      <c r="A574" s="601"/>
      <c r="B574" s="611"/>
      <c r="C574" s="611"/>
      <c r="D574" s="619" t="s">
        <v>242</v>
      </c>
      <c r="E574" s="619"/>
      <c r="F574" s="619"/>
      <c r="G574" s="753"/>
      <c r="H574" s="755" t="s">
        <v>46</v>
      </c>
      <c r="I574" s="184"/>
      <c r="J574" s="214">
        <v>0</v>
      </c>
      <c r="K574" s="163"/>
      <c r="L574" s="163"/>
      <c r="M574" s="163"/>
      <c r="N574" s="163"/>
      <c r="O574" s="163"/>
      <c r="P574" s="163"/>
      <c r="Q574" s="571"/>
      <c r="R574" s="571"/>
      <c r="S574" s="571"/>
      <c r="T574" s="571"/>
      <c r="U574" s="571"/>
      <c r="V574" s="571"/>
      <c r="W574" s="571"/>
      <c r="X574" s="571"/>
      <c r="Y574" s="571"/>
      <c r="Z574" s="571"/>
    </row>
    <row r="575" spans="1:26" ht="18.75" hidden="1">
      <c r="A575" s="601"/>
      <c r="B575" s="611"/>
      <c r="C575" s="611"/>
      <c r="D575" s="611"/>
      <c r="E575" s="619"/>
      <c r="F575" s="619"/>
      <c r="G575" s="753"/>
      <c r="H575" s="755" t="s">
        <v>34</v>
      </c>
      <c r="I575" s="184"/>
      <c r="J575" s="214">
        <v>0</v>
      </c>
      <c r="K575" s="163"/>
      <c r="L575" s="163"/>
      <c r="M575" s="163"/>
      <c r="N575" s="163"/>
      <c r="O575" s="163"/>
      <c r="P575" s="163"/>
      <c r="Q575" s="571"/>
      <c r="R575" s="571"/>
      <c r="S575" s="571"/>
      <c r="T575" s="571"/>
      <c r="U575" s="571"/>
      <c r="V575" s="571"/>
      <c r="W575" s="571"/>
      <c r="X575" s="571"/>
      <c r="Y575" s="571"/>
      <c r="Z575" s="571"/>
    </row>
    <row r="576" spans="1:26" ht="19.5" hidden="1">
      <c r="A576" s="601"/>
      <c r="B576" s="611"/>
      <c r="C576" s="618" t="s">
        <v>243</v>
      </c>
      <c r="D576" s="611"/>
      <c r="E576" s="611"/>
      <c r="F576" s="619"/>
      <c r="G576" s="753"/>
      <c r="H576" s="758" t="s">
        <v>46</v>
      </c>
      <c r="I576" s="193">
        <f ca="1">IFERROR(__xludf.DUMMYFUNCTION("IMPORTRANGE(""https://docs.google.com/spreadsheets/d/1QqKyyYR6Q21VydFLVH3TRQUabQu_ym0Zz7PgGX0-kHA/edit?usp=sharing"",""แผน!HH73"")"),0)</f>
        <v>0</v>
      </c>
      <c r="J576" s="674">
        <f t="shared" ref="J576:J577" si="249">J578+J580+J582+J588+J590</f>
        <v>0</v>
      </c>
      <c r="K576" s="410">
        <f t="shared" ref="K576:K577" ca="1" si="250">IF(I576&gt;0,J576*100/I576,0)</f>
        <v>0</v>
      </c>
      <c r="L576" s="163"/>
      <c r="M576" s="163"/>
      <c r="N576" s="163"/>
      <c r="O576" s="163"/>
      <c r="P576" s="163"/>
      <c r="Q576" s="571"/>
      <c r="R576" s="571"/>
      <c r="S576" s="571"/>
      <c r="T576" s="571"/>
      <c r="U576" s="571"/>
      <c r="V576" s="571"/>
      <c r="W576" s="571"/>
      <c r="X576" s="571"/>
      <c r="Y576" s="571"/>
      <c r="Z576" s="571"/>
    </row>
    <row r="577" spans="1:26" ht="19.5" hidden="1">
      <c r="A577" s="601"/>
      <c r="B577" s="611"/>
      <c r="C577" s="611"/>
      <c r="D577" s="611"/>
      <c r="E577" s="619"/>
      <c r="F577" s="619"/>
      <c r="G577" s="753"/>
      <c r="H577" s="758" t="s">
        <v>34</v>
      </c>
      <c r="I577" s="193">
        <f ca="1">IFERROR(__xludf.DUMMYFUNCTION("IMPORTRANGE(""https://docs.google.com/spreadsheets/d/1QqKyyYR6Q21VydFLVH3TRQUabQu_ym0Zz7PgGX0-kHA/edit?usp=sharing"",""แผน!HG73"")"),0)</f>
        <v>0</v>
      </c>
      <c r="J577" s="674">
        <f t="shared" si="249"/>
        <v>0</v>
      </c>
      <c r="K577" s="410">
        <f t="shared" ca="1" si="250"/>
        <v>0</v>
      </c>
      <c r="L577" s="163"/>
      <c r="M577" s="163"/>
      <c r="N577" s="163"/>
      <c r="O577" s="163"/>
      <c r="P577" s="163"/>
      <c r="Q577" s="571"/>
      <c r="R577" s="571"/>
      <c r="S577" s="571"/>
      <c r="T577" s="571"/>
      <c r="U577" s="571"/>
      <c r="V577" s="571"/>
      <c r="W577" s="571"/>
      <c r="X577" s="571"/>
      <c r="Y577" s="571"/>
      <c r="Z577" s="571"/>
    </row>
    <row r="578" spans="1:26" ht="18.75" hidden="1">
      <c r="A578" s="601"/>
      <c r="B578" s="611"/>
      <c r="C578" s="611"/>
      <c r="D578" s="619" t="s">
        <v>244</v>
      </c>
      <c r="E578" s="619"/>
      <c r="F578" s="619"/>
      <c r="G578" s="753"/>
      <c r="H578" s="755" t="s">
        <v>46</v>
      </c>
      <c r="I578" s="184"/>
      <c r="J578" s="214">
        <v>0</v>
      </c>
      <c r="K578" s="163"/>
      <c r="L578" s="163"/>
      <c r="M578" s="163"/>
      <c r="N578" s="163"/>
      <c r="O578" s="163"/>
      <c r="P578" s="163"/>
      <c r="Q578" s="571"/>
      <c r="R578" s="571"/>
      <c r="S578" s="571"/>
      <c r="T578" s="571"/>
      <c r="U578" s="571"/>
      <c r="V578" s="571"/>
      <c r="W578" s="571"/>
      <c r="X578" s="571"/>
      <c r="Y578" s="571"/>
      <c r="Z578" s="571"/>
    </row>
    <row r="579" spans="1:26" ht="18.75" hidden="1">
      <c r="A579" s="601"/>
      <c r="B579" s="611"/>
      <c r="C579" s="611"/>
      <c r="D579" s="611"/>
      <c r="E579" s="619"/>
      <c r="F579" s="619"/>
      <c r="G579" s="753"/>
      <c r="H579" s="755" t="s">
        <v>34</v>
      </c>
      <c r="I579" s="184"/>
      <c r="J579" s="214">
        <v>0</v>
      </c>
      <c r="K579" s="163"/>
      <c r="L579" s="163"/>
      <c r="M579" s="163"/>
      <c r="N579" s="163"/>
      <c r="O579" s="163"/>
      <c r="P579" s="163"/>
      <c r="Q579" s="571"/>
      <c r="R579" s="571"/>
      <c r="S579" s="571"/>
      <c r="T579" s="571"/>
      <c r="U579" s="571"/>
      <c r="V579" s="571"/>
      <c r="W579" s="571"/>
      <c r="X579" s="571"/>
      <c r="Y579" s="571"/>
      <c r="Z579" s="571"/>
    </row>
    <row r="580" spans="1:26" ht="18.75" hidden="1">
      <c r="A580" s="601"/>
      <c r="B580" s="611"/>
      <c r="C580" s="611"/>
      <c r="D580" s="619" t="s">
        <v>245</v>
      </c>
      <c r="E580" s="619"/>
      <c r="F580" s="619"/>
      <c r="G580" s="753"/>
      <c r="H580" s="755" t="s">
        <v>46</v>
      </c>
      <c r="I580" s="184"/>
      <c r="J580" s="214">
        <v>0</v>
      </c>
      <c r="K580" s="163"/>
      <c r="L580" s="163"/>
      <c r="M580" s="163"/>
      <c r="N580" s="163"/>
      <c r="O580" s="163"/>
      <c r="P580" s="163"/>
      <c r="Q580" s="571"/>
      <c r="R580" s="571"/>
      <c r="S580" s="571"/>
      <c r="T580" s="571"/>
      <c r="U580" s="571"/>
      <c r="V580" s="571"/>
      <c r="W580" s="571"/>
      <c r="X580" s="571"/>
      <c r="Y580" s="571"/>
      <c r="Z580" s="571"/>
    </row>
    <row r="581" spans="1:26" ht="18.75" hidden="1">
      <c r="A581" s="601"/>
      <c r="B581" s="611"/>
      <c r="C581" s="611"/>
      <c r="D581" s="611"/>
      <c r="E581" s="619"/>
      <c r="F581" s="619"/>
      <c r="G581" s="753"/>
      <c r="H581" s="755" t="s">
        <v>34</v>
      </c>
      <c r="I581" s="184"/>
      <c r="J581" s="214">
        <v>0</v>
      </c>
      <c r="K581" s="163"/>
      <c r="L581" s="163"/>
      <c r="M581" s="163"/>
      <c r="N581" s="163"/>
      <c r="O581" s="163"/>
      <c r="P581" s="163"/>
      <c r="Q581" s="571"/>
      <c r="R581" s="571"/>
      <c r="S581" s="571"/>
      <c r="T581" s="571"/>
      <c r="U581" s="571"/>
      <c r="V581" s="571"/>
      <c r="W581" s="571"/>
      <c r="X581" s="571"/>
      <c r="Y581" s="571"/>
      <c r="Z581" s="571"/>
    </row>
    <row r="582" spans="1:26" ht="19.5" hidden="1">
      <c r="A582" s="601"/>
      <c r="B582" s="611"/>
      <c r="C582" s="611"/>
      <c r="D582" s="619" t="s">
        <v>246</v>
      </c>
      <c r="E582" s="619"/>
      <c r="F582" s="619"/>
      <c r="G582" s="753"/>
      <c r="H582" s="755" t="s">
        <v>46</v>
      </c>
      <c r="I582" s="184"/>
      <c r="J582" s="674">
        <f t="shared" ref="J582:J583" si="251">J584+J586</f>
        <v>0</v>
      </c>
      <c r="K582" s="410"/>
      <c r="L582" s="163"/>
      <c r="M582" s="163"/>
      <c r="N582" s="163"/>
      <c r="O582" s="163"/>
      <c r="P582" s="163"/>
      <c r="Q582" s="571"/>
      <c r="R582" s="571"/>
      <c r="S582" s="571"/>
      <c r="T582" s="571"/>
      <c r="U582" s="571"/>
      <c r="V582" s="571"/>
      <c r="W582" s="571"/>
      <c r="X582" s="571"/>
      <c r="Y582" s="571"/>
      <c r="Z582" s="571"/>
    </row>
    <row r="583" spans="1:26" ht="19.5" hidden="1">
      <c r="A583" s="601"/>
      <c r="B583" s="611"/>
      <c r="C583" s="611"/>
      <c r="D583" s="611"/>
      <c r="E583" s="619"/>
      <c r="F583" s="619"/>
      <c r="G583" s="753"/>
      <c r="H583" s="755" t="s">
        <v>34</v>
      </c>
      <c r="I583" s="184"/>
      <c r="J583" s="674">
        <f t="shared" si="251"/>
        <v>0</v>
      </c>
      <c r="K583" s="410"/>
      <c r="L583" s="163"/>
      <c r="M583" s="163"/>
      <c r="N583" s="163"/>
      <c r="O583" s="163"/>
      <c r="P583" s="163"/>
      <c r="Q583" s="571"/>
      <c r="R583" s="571"/>
      <c r="S583" s="571"/>
      <c r="T583" s="571"/>
      <c r="U583" s="571"/>
      <c r="V583" s="571"/>
      <c r="W583" s="571"/>
      <c r="X583" s="571"/>
      <c r="Y583" s="571"/>
      <c r="Z583" s="571"/>
    </row>
    <row r="584" spans="1:26" ht="18.75" hidden="1">
      <c r="A584" s="601"/>
      <c r="B584" s="611"/>
      <c r="C584" s="611"/>
      <c r="D584" s="611"/>
      <c r="E584" s="619" t="s">
        <v>247</v>
      </c>
      <c r="F584" s="619"/>
      <c r="G584" s="753"/>
      <c r="H584" s="755" t="s">
        <v>46</v>
      </c>
      <c r="I584" s="184"/>
      <c r="J584" s="214">
        <v>0</v>
      </c>
      <c r="K584" s="163"/>
      <c r="L584" s="163"/>
      <c r="M584" s="163"/>
      <c r="N584" s="163"/>
      <c r="O584" s="163"/>
      <c r="P584" s="163"/>
      <c r="Q584" s="571"/>
      <c r="R584" s="571"/>
      <c r="S584" s="571"/>
      <c r="T584" s="571"/>
      <c r="U584" s="571"/>
      <c r="V584" s="571"/>
      <c r="W584" s="571"/>
      <c r="X584" s="571"/>
      <c r="Y584" s="571"/>
      <c r="Z584" s="571"/>
    </row>
    <row r="585" spans="1:26" ht="18.75" hidden="1">
      <c r="A585" s="601"/>
      <c r="B585" s="611"/>
      <c r="C585" s="611"/>
      <c r="D585" s="611"/>
      <c r="E585" s="619"/>
      <c r="F585" s="619"/>
      <c r="G585" s="753"/>
      <c r="H585" s="755" t="s">
        <v>34</v>
      </c>
      <c r="I585" s="184"/>
      <c r="J585" s="214">
        <v>0</v>
      </c>
      <c r="K585" s="163"/>
      <c r="L585" s="163"/>
      <c r="M585" s="163"/>
      <c r="N585" s="163"/>
      <c r="O585" s="163"/>
      <c r="P585" s="163"/>
      <c r="Q585" s="571"/>
      <c r="R585" s="571"/>
      <c r="S585" s="571"/>
      <c r="T585" s="571"/>
      <c r="U585" s="571"/>
      <c r="V585" s="571"/>
      <c r="W585" s="571"/>
      <c r="X585" s="571"/>
      <c r="Y585" s="571"/>
      <c r="Z585" s="571"/>
    </row>
    <row r="586" spans="1:26" ht="18.75" hidden="1">
      <c r="A586" s="601"/>
      <c r="B586" s="611"/>
      <c r="C586" s="611"/>
      <c r="D586" s="611"/>
      <c r="E586" s="619" t="s">
        <v>248</v>
      </c>
      <c r="F586" s="619"/>
      <c r="G586" s="753"/>
      <c r="H586" s="755" t="s">
        <v>46</v>
      </c>
      <c r="I586" s="184"/>
      <c r="J586" s="214">
        <v>0</v>
      </c>
      <c r="K586" s="163"/>
      <c r="L586" s="163"/>
      <c r="M586" s="163"/>
      <c r="N586" s="163"/>
      <c r="O586" s="163"/>
      <c r="P586" s="163"/>
      <c r="Q586" s="571"/>
      <c r="R586" s="571"/>
      <c r="S586" s="571"/>
      <c r="T586" s="571"/>
      <c r="U586" s="571"/>
      <c r="V586" s="571"/>
      <c r="W586" s="571"/>
      <c r="X586" s="571"/>
      <c r="Y586" s="571"/>
      <c r="Z586" s="571"/>
    </row>
    <row r="587" spans="1:26" ht="18.75" hidden="1">
      <c r="A587" s="601"/>
      <c r="B587" s="611"/>
      <c r="C587" s="611"/>
      <c r="D587" s="611"/>
      <c r="E587" s="611"/>
      <c r="F587" s="619"/>
      <c r="G587" s="753"/>
      <c r="H587" s="755" t="s">
        <v>34</v>
      </c>
      <c r="I587" s="184"/>
      <c r="J587" s="214">
        <v>0</v>
      </c>
      <c r="K587" s="163"/>
      <c r="L587" s="163"/>
      <c r="M587" s="163"/>
      <c r="N587" s="163"/>
      <c r="O587" s="163"/>
      <c r="P587" s="163"/>
      <c r="Q587" s="571"/>
      <c r="R587" s="571"/>
      <c r="S587" s="571"/>
      <c r="T587" s="571"/>
      <c r="U587" s="571"/>
      <c r="V587" s="571"/>
      <c r="W587" s="571"/>
      <c r="X587" s="571"/>
      <c r="Y587" s="571"/>
      <c r="Z587" s="571"/>
    </row>
    <row r="588" spans="1:26" ht="18.75" hidden="1">
      <c r="A588" s="601"/>
      <c r="B588" s="611"/>
      <c r="C588" s="611"/>
      <c r="D588" s="619" t="s">
        <v>249</v>
      </c>
      <c r="E588" s="619"/>
      <c r="F588" s="619"/>
      <c r="G588" s="753"/>
      <c r="H588" s="755" t="s">
        <v>46</v>
      </c>
      <c r="I588" s="184"/>
      <c r="J588" s="214">
        <v>0</v>
      </c>
      <c r="K588" s="163"/>
      <c r="L588" s="163"/>
      <c r="M588" s="163"/>
      <c r="N588" s="163"/>
      <c r="O588" s="163"/>
      <c r="P588" s="163"/>
      <c r="Q588" s="571"/>
      <c r="R588" s="571"/>
      <c r="S588" s="571"/>
      <c r="T588" s="571"/>
      <c r="U588" s="571"/>
      <c r="V588" s="571"/>
      <c r="W588" s="571"/>
      <c r="X588" s="571"/>
      <c r="Y588" s="571"/>
      <c r="Z588" s="571"/>
    </row>
    <row r="589" spans="1:26" ht="18.75" hidden="1">
      <c r="A589" s="601"/>
      <c r="B589" s="611"/>
      <c r="C589" s="611"/>
      <c r="D589" s="611"/>
      <c r="E589" s="611"/>
      <c r="F589" s="619"/>
      <c r="G589" s="753"/>
      <c r="H589" s="755" t="s">
        <v>34</v>
      </c>
      <c r="I589" s="184"/>
      <c r="J589" s="214">
        <v>0</v>
      </c>
      <c r="K589" s="163"/>
      <c r="L589" s="163"/>
      <c r="M589" s="163"/>
      <c r="N589" s="163"/>
      <c r="O589" s="163"/>
      <c r="P589" s="163"/>
      <c r="Q589" s="571"/>
      <c r="R589" s="571"/>
      <c r="S589" s="571"/>
      <c r="T589" s="571"/>
      <c r="U589" s="571"/>
      <c r="V589" s="571"/>
      <c r="W589" s="571"/>
      <c r="X589" s="571"/>
      <c r="Y589" s="571"/>
      <c r="Z589" s="571"/>
    </row>
    <row r="590" spans="1:26" ht="18.75" hidden="1">
      <c r="A590" s="601"/>
      <c r="B590" s="611"/>
      <c r="C590" s="611"/>
      <c r="D590" s="619" t="s">
        <v>250</v>
      </c>
      <c r="E590" s="619"/>
      <c r="F590" s="619"/>
      <c r="G590" s="753"/>
      <c r="H590" s="755" t="s">
        <v>46</v>
      </c>
      <c r="I590" s="184"/>
      <c r="J590" s="214">
        <v>0</v>
      </c>
      <c r="K590" s="163"/>
      <c r="L590" s="163"/>
      <c r="M590" s="163"/>
      <c r="N590" s="163"/>
      <c r="O590" s="163"/>
      <c r="P590" s="163"/>
      <c r="Q590" s="571"/>
      <c r="R590" s="571"/>
      <c r="S590" s="571"/>
      <c r="T590" s="571"/>
      <c r="U590" s="571"/>
      <c r="V590" s="571"/>
      <c r="W590" s="571"/>
      <c r="X590" s="571"/>
      <c r="Y590" s="571"/>
      <c r="Z590" s="571"/>
    </row>
    <row r="591" spans="1:26" ht="18.75" hidden="1">
      <c r="A591" s="689"/>
      <c r="B591" s="690"/>
      <c r="C591" s="690"/>
      <c r="D591" s="690"/>
      <c r="E591" s="571"/>
      <c r="F591" s="571"/>
      <c r="G591" s="691"/>
      <c r="H591" s="692" t="s">
        <v>34</v>
      </c>
      <c r="I591" s="693"/>
      <c r="J591" s="694">
        <v>0</v>
      </c>
      <c r="K591" s="695"/>
      <c r="L591" s="695"/>
      <c r="M591" s="695"/>
      <c r="N591" s="695"/>
      <c r="O591" s="695"/>
      <c r="P591" s="695"/>
      <c r="Q591" s="571"/>
      <c r="R591" s="571"/>
      <c r="S591" s="571"/>
      <c r="T591" s="571"/>
      <c r="U591" s="571"/>
      <c r="V591" s="571"/>
      <c r="W591" s="571"/>
      <c r="X591" s="571"/>
      <c r="Y591" s="571"/>
      <c r="Z591" s="571"/>
    </row>
    <row r="592" spans="1:26" ht="19.5" hidden="1">
      <c r="A592" s="685"/>
      <c r="B592" s="686" t="s">
        <v>251</v>
      </c>
      <c r="C592" s="687"/>
      <c r="D592" s="687"/>
      <c r="E592" s="666"/>
      <c r="F592" s="666"/>
      <c r="G592" s="667"/>
      <c r="H592" s="688" t="s">
        <v>46</v>
      </c>
      <c r="I592" s="699">
        <f t="shared" ref="I592:J592" ca="1" si="252">I593</f>
        <v>0</v>
      </c>
      <c r="J592" s="699">
        <f t="shared" si="252"/>
        <v>0</v>
      </c>
      <c r="K592" s="670">
        <f t="shared" ref="K592:K594" ca="1" si="253">IF(I592&gt;0,J592*100/I592,0)</f>
        <v>0</v>
      </c>
      <c r="L592" s="671"/>
      <c r="M592" s="671"/>
      <c r="N592" s="671"/>
      <c r="O592" s="671"/>
      <c r="P592" s="671"/>
      <c r="Q592" s="571"/>
      <c r="R592" s="571"/>
      <c r="S592" s="571"/>
      <c r="T592" s="571"/>
      <c r="U592" s="571"/>
      <c r="V592" s="571"/>
      <c r="W592" s="571"/>
      <c r="X592" s="571"/>
      <c r="Y592" s="571"/>
      <c r="Z592" s="571"/>
    </row>
    <row r="593" spans="1:26" ht="19.5" hidden="1">
      <c r="A593" s="601"/>
      <c r="B593" s="611"/>
      <c r="C593" s="618" t="s">
        <v>252</v>
      </c>
      <c r="D593" s="611"/>
      <c r="E593" s="611"/>
      <c r="F593" s="619"/>
      <c r="G593" s="753"/>
      <c r="H593" s="758" t="s">
        <v>46</v>
      </c>
      <c r="I593" s="193">
        <f ca="1">IFERROR(__xludf.DUMMYFUNCTION("IMPORTRANGE(""https://docs.google.com/spreadsheets/d/1QqKyyYR6Q21VydFLVH3TRQUabQu_ym0Zz7PgGX0-kHA/edit?usp=sharing"",""แผน!HJ73"")"),0)</f>
        <v>0</v>
      </c>
      <c r="J593" s="193">
        <f t="shared" ref="J593:J594" si="254">J595+J603+J609</f>
        <v>0</v>
      </c>
      <c r="K593" s="410">
        <f t="shared" ca="1" si="253"/>
        <v>0</v>
      </c>
      <c r="L593" s="163"/>
      <c r="M593" s="163"/>
      <c r="N593" s="163"/>
      <c r="O593" s="163"/>
      <c r="P593" s="163"/>
      <c r="Q593" s="571"/>
      <c r="R593" s="571"/>
      <c r="S593" s="571"/>
      <c r="T593" s="571"/>
      <c r="U593" s="571"/>
      <c r="V593" s="571"/>
      <c r="W593" s="571"/>
      <c r="X593" s="571"/>
      <c r="Y593" s="571"/>
      <c r="Z593" s="571"/>
    </row>
    <row r="594" spans="1:26" ht="19.5" hidden="1">
      <c r="A594" s="601"/>
      <c r="B594" s="611"/>
      <c r="C594" s="611"/>
      <c r="D594" s="611"/>
      <c r="E594" s="619"/>
      <c r="F594" s="619"/>
      <c r="G594" s="753"/>
      <c r="H594" s="758" t="s">
        <v>34</v>
      </c>
      <c r="I594" s="193">
        <f ca="1">IFERROR(__xludf.DUMMYFUNCTION("IMPORTRANGE(""https://docs.google.com/spreadsheets/d/1QqKyyYR6Q21VydFLVH3TRQUabQu_ym0Zz7PgGX0-kHA/edit?usp=sharing"",""แผน!HI73"")"),0)</f>
        <v>0</v>
      </c>
      <c r="J594" s="193">
        <f t="shared" si="254"/>
        <v>0</v>
      </c>
      <c r="K594" s="410">
        <f t="shared" ca="1" si="253"/>
        <v>0</v>
      </c>
      <c r="L594" s="163"/>
      <c r="M594" s="163"/>
      <c r="N594" s="163"/>
      <c r="O594" s="163"/>
      <c r="P594" s="163"/>
      <c r="Q594" s="571"/>
      <c r="R594" s="571"/>
      <c r="S594" s="571"/>
      <c r="T594" s="571"/>
      <c r="U594" s="571"/>
      <c r="V594" s="571"/>
      <c r="W594" s="571"/>
      <c r="X594" s="571"/>
      <c r="Y594" s="571"/>
      <c r="Z594" s="571"/>
    </row>
    <row r="595" spans="1:26" ht="18.75" hidden="1">
      <c r="A595" s="601"/>
      <c r="B595" s="611"/>
      <c r="C595" s="611" t="s">
        <v>253</v>
      </c>
      <c r="D595" s="611"/>
      <c r="E595" s="611"/>
      <c r="F595" s="619"/>
      <c r="G595" s="753"/>
      <c r="H595" s="755" t="s">
        <v>46</v>
      </c>
      <c r="I595" s="184"/>
      <c r="J595" s="184">
        <f t="shared" ref="J595:J596" si="255">J597+J599</f>
        <v>0</v>
      </c>
      <c r="K595" s="163"/>
      <c r="L595" s="163"/>
      <c r="M595" s="163"/>
      <c r="N595" s="163"/>
      <c r="O595" s="163"/>
      <c r="P595" s="163"/>
      <c r="Q595" s="571"/>
      <c r="R595" s="571"/>
      <c r="S595" s="571"/>
      <c r="T595" s="571"/>
      <c r="U595" s="571"/>
      <c r="V595" s="571"/>
      <c r="W595" s="571"/>
      <c r="X595" s="571"/>
      <c r="Y595" s="571"/>
      <c r="Z595" s="571"/>
    </row>
    <row r="596" spans="1:26" ht="18.75" hidden="1">
      <c r="A596" s="601"/>
      <c r="B596" s="611"/>
      <c r="C596" s="611"/>
      <c r="D596" s="611"/>
      <c r="E596" s="619"/>
      <c r="F596" s="619"/>
      <c r="G596" s="753"/>
      <c r="H596" s="755" t="s">
        <v>34</v>
      </c>
      <c r="I596" s="184"/>
      <c r="J596" s="184">
        <f t="shared" si="255"/>
        <v>0</v>
      </c>
      <c r="K596" s="163"/>
      <c r="L596" s="163"/>
      <c r="M596" s="163"/>
      <c r="N596" s="163"/>
      <c r="O596" s="163"/>
      <c r="P596" s="163"/>
      <c r="Q596" s="571"/>
      <c r="R596" s="571"/>
      <c r="S596" s="571"/>
      <c r="T596" s="571"/>
      <c r="U596" s="571"/>
      <c r="V596" s="571"/>
      <c r="W596" s="571"/>
      <c r="X596" s="571"/>
      <c r="Y596" s="571"/>
      <c r="Z596" s="571"/>
    </row>
    <row r="597" spans="1:26" ht="18.75" hidden="1">
      <c r="A597" s="601"/>
      <c r="B597" s="611"/>
      <c r="C597" s="611"/>
      <c r="D597" s="737" t="s">
        <v>254</v>
      </c>
      <c r="E597" s="619"/>
      <c r="F597" s="619"/>
      <c r="G597" s="753"/>
      <c r="H597" s="755" t="s">
        <v>46</v>
      </c>
      <c r="I597" s="184"/>
      <c r="J597" s="214">
        <v>0</v>
      </c>
      <c r="K597" s="163"/>
      <c r="L597" s="163"/>
      <c r="M597" s="163"/>
      <c r="N597" s="163"/>
      <c r="O597" s="163"/>
      <c r="P597" s="163"/>
      <c r="Q597" s="571"/>
      <c r="R597" s="571"/>
      <c r="S597" s="571"/>
      <c r="T597" s="571"/>
      <c r="U597" s="571"/>
      <c r="V597" s="571"/>
      <c r="W597" s="571"/>
      <c r="X597" s="571"/>
      <c r="Y597" s="571"/>
      <c r="Z597" s="571"/>
    </row>
    <row r="598" spans="1:26" ht="18.75" hidden="1">
      <c r="A598" s="601"/>
      <c r="B598" s="611"/>
      <c r="C598" s="611"/>
      <c r="D598" s="611"/>
      <c r="E598" s="619"/>
      <c r="F598" s="619"/>
      <c r="G598" s="753"/>
      <c r="H598" s="755" t="s">
        <v>34</v>
      </c>
      <c r="I598" s="269"/>
      <c r="J598" s="214">
        <v>0</v>
      </c>
      <c r="K598" s="163"/>
      <c r="L598" s="163"/>
      <c r="M598" s="163"/>
      <c r="N598" s="163"/>
      <c r="O598" s="163"/>
      <c r="P598" s="163"/>
      <c r="Q598" s="571"/>
      <c r="R598" s="571"/>
      <c r="S598" s="571"/>
      <c r="T598" s="571"/>
      <c r="U598" s="571"/>
      <c r="V598" s="571"/>
      <c r="W598" s="571"/>
      <c r="X598" s="571"/>
      <c r="Y598" s="571"/>
      <c r="Z598" s="571"/>
    </row>
    <row r="599" spans="1:26" ht="18.75" hidden="1">
      <c r="A599" s="601"/>
      <c r="B599" s="611"/>
      <c r="C599" s="611"/>
      <c r="D599" s="737" t="s">
        <v>255</v>
      </c>
      <c r="E599" s="619"/>
      <c r="F599" s="619"/>
      <c r="G599" s="753"/>
      <c r="H599" s="755" t="s">
        <v>46</v>
      </c>
      <c r="I599" s="269"/>
      <c r="J599" s="214">
        <v>0</v>
      </c>
      <c r="K599" s="163"/>
      <c r="L599" s="163"/>
      <c r="M599" s="163"/>
      <c r="N599" s="163"/>
      <c r="O599" s="163"/>
      <c r="P599" s="163"/>
      <c r="Q599" s="571"/>
      <c r="R599" s="571"/>
      <c r="S599" s="571"/>
      <c r="T599" s="571"/>
      <c r="U599" s="571"/>
      <c r="V599" s="571"/>
      <c r="W599" s="571"/>
      <c r="X599" s="571"/>
      <c r="Y599" s="571"/>
      <c r="Z599" s="571"/>
    </row>
    <row r="600" spans="1:26" ht="18.75" hidden="1">
      <c r="A600" s="601"/>
      <c r="B600" s="611"/>
      <c r="C600" s="611"/>
      <c r="D600" s="611"/>
      <c r="E600" s="619"/>
      <c r="F600" s="619"/>
      <c r="G600" s="753"/>
      <c r="H600" s="755" t="s">
        <v>34</v>
      </c>
      <c r="I600" s="269"/>
      <c r="J600" s="214">
        <v>0</v>
      </c>
      <c r="K600" s="163"/>
      <c r="L600" s="163"/>
      <c r="M600" s="163"/>
      <c r="N600" s="163"/>
      <c r="O600" s="163"/>
      <c r="P600" s="163"/>
      <c r="Q600" s="571"/>
      <c r="R600" s="571"/>
      <c r="S600" s="571"/>
      <c r="T600" s="571"/>
      <c r="U600" s="571"/>
      <c r="V600" s="571"/>
      <c r="W600" s="571"/>
      <c r="X600" s="571"/>
      <c r="Y600" s="571"/>
      <c r="Z600" s="571"/>
    </row>
    <row r="601" spans="1:26" ht="18.75" hidden="1">
      <c r="A601" s="601"/>
      <c r="B601" s="611"/>
      <c r="C601" s="611"/>
      <c r="D601" s="737" t="s">
        <v>256</v>
      </c>
      <c r="E601" s="619"/>
      <c r="F601" s="619"/>
      <c r="G601" s="753"/>
      <c r="H601" s="755" t="s">
        <v>46</v>
      </c>
      <c r="I601" s="269"/>
      <c r="J601" s="214">
        <v>0</v>
      </c>
      <c r="K601" s="163"/>
      <c r="L601" s="163"/>
      <c r="M601" s="163"/>
      <c r="N601" s="163"/>
      <c r="O601" s="163"/>
      <c r="P601" s="163"/>
      <c r="Q601" s="571"/>
      <c r="R601" s="571"/>
      <c r="S601" s="571"/>
      <c r="T601" s="571"/>
      <c r="U601" s="571"/>
      <c r="V601" s="571"/>
      <c r="W601" s="571"/>
      <c r="X601" s="571"/>
      <c r="Y601" s="571"/>
      <c r="Z601" s="571"/>
    </row>
    <row r="602" spans="1:26" ht="18.75" hidden="1">
      <c r="A602" s="601"/>
      <c r="B602" s="611"/>
      <c r="C602" s="611"/>
      <c r="D602" s="611"/>
      <c r="E602" s="619"/>
      <c r="F602" s="619"/>
      <c r="G602" s="753"/>
      <c r="H602" s="755" t="s">
        <v>34</v>
      </c>
      <c r="I602" s="269"/>
      <c r="J602" s="214">
        <v>0</v>
      </c>
      <c r="K602" s="163"/>
      <c r="L602" s="163"/>
      <c r="M602" s="163"/>
      <c r="N602" s="163"/>
      <c r="O602" s="163"/>
      <c r="P602" s="163"/>
      <c r="Q602" s="571"/>
      <c r="R602" s="571"/>
      <c r="S602" s="571"/>
      <c r="T602" s="571"/>
      <c r="U602" s="571"/>
      <c r="V602" s="571"/>
      <c r="W602" s="571"/>
      <c r="X602" s="571"/>
      <c r="Y602" s="571"/>
      <c r="Z602" s="571"/>
    </row>
    <row r="603" spans="1:26" ht="18.75" hidden="1">
      <c r="A603" s="601"/>
      <c r="B603" s="611"/>
      <c r="C603" s="696" t="s">
        <v>257</v>
      </c>
      <c r="D603" s="611"/>
      <c r="E603" s="611"/>
      <c r="F603" s="619"/>
      <c r="G603" s="753"/>
      <c r="H603" s="755" t="s">
        <v>46</v>
      </c>
      <c r="I603" s="269"/>
      <c r="J603" s="269">
        <f t="shared" ref="J603:J604" si="256">J605+J607</f>
        <v>0</v>
      </c>
      <c r="K603" s="163"/>
      <c r="L603" s="163"/>
      <c r="M603" s="163"/>
      <c r="N603" s="163"/>
      <c r="O603" s="163"/>
      <c r="P603" s="163"/>
      <c r="Q603" s="571"/>
      <c r="R603" s="571"/>
      <c r="S603" s="571"/>
      <c r="T603" s="571"/>
      <c r="U603" s="571"/>
      <c r="V603" s="571"/>
      <c r="W603" s="571"/>
      <c r="X603" s="571"/>
      <c r="Y603" s="571"/>
      <c r="Z603" s="571"/>
    </row>
    <row r="604" spans="1:26" ht="18.75" hidden="1">
      <c r="A604" s="601"/>
      <c r="B604" s="611"/>
      <c r="C604" s="611"/>
      <c r="D604" s="611"/>
      <c r="E604" s="619"/>
      <c r="F604" s="619"/>
      <c r="G604" s="753"/>
      <c r="H604" s="755" t="s">
        <v>34</v>
      </c>
      <c r="I604" s="269"/>
      <c r="J604" s="269">
        <f t="shared" si="256"/>
        <v>0</v>
      </c>
      <c r="K604" s="163"/>
      <c r="L604" s="163"/>
      <c r="M604" s="163"/>
      <c r="N604" s="163"/>
      <c r="O604" s="163"/>
      <c r="P604" s="163"/>
      <c r="Q604" s="571"/>
      <c r="R604" s="571"/>
      <c r="S604" s="571"/>
      <c r="T604" s="571"/>
      <c r="U604" s="571"/>
      <c r="V604" s="571"/>
      <c r="W604" s="571"/>
      <c r="X604" s="571"/>
      <c r="Y604" s="571"/>
      <c r="Z604" s="571"/>
    </row>
    <row r="605" spans="1:26" ht="18.75" hidden="1">
      <c r="A605" s="601"/>
      <c r="B605" s="611"/>
      <c r="C605" s="611"/>
      <c r="D605" s="696" t="s">
        <v>258</v>
      </c>
      <c r="E605" s="619"/>
      <c r="F605" s="619"/>
      <c r="G605" s="753"/>
      <c r="H605" s="755" t="s">
        <v>46</v>
      </c>
      <c r="I605" s="269"/>
      <c r="J605" s="214">
        <v>0</v>
      </c>
      <c r="K605" s="163"/>
      <c r="L605" s="163"/>
      <c r="M605" s="163"/>
      <c r="N605" s="163"/>
      <c r="O605" s="163"/>
      <c r="P605" s="163"/>
      <c r="Q605" s="571"/>
      <c r="R605" s="571"/>
      <c r="S605" s="571"/>
      <c r="T605" s="571"/>
      <c r="U605" s="571"/>
      <c r="V605" s="571"/>
      <c r="W605" s="571"/>
      <c r="X605" s="571"/>
      <c r="Y605" s="571"/>
      <c r="Z605" s="571"/>
    </row>
    <row r="606" spans="1:26" ht="18.75" hidden="1">
      <c r="A606" s="601"/>
      <c r="B606" s="611"/>
      <c r="C606" s="611"/>
      <c r="D606" s="611"/>
      <c r="E606" s="611"/>
      <c r="F606" s="619"/>
      <c r="G606" s="753"/>
      <c r="H606" s="755" t="s">
        <v>34</v>
      </c>
      <c r="I606" s="269"/>
      <c r="J606" s="214">
        <v>0</v>
      </c>
      <c r="K606" s="163"/>
      <c r="L606" s="163"/>
      <c r="M606" s="163"/>
      <c r="N606" s="163"/>
      <c r="O606" s="163"/>
      <c r="P606" s="163"/>
      <c r="Q606" s="571"/>
      <c r="R606" s="571"/>
      <c r="S606" s="571"/>
      <c r="T606" s="571"/>
      <c r="U606" s="571"/>
      <c r="V606" s="571"/>
      <c r="W606" s="571"/>
      <c r="X606" s="571"/>
      <c r="Y606" s="571"/>
      <c r="Z606" s="571"/>
    </row>
    <row r="607" spans="1:26" ht="18.75" hidden="1">
      <c r="A607" s="601"/>
      <c r="B607" s="611"/>
      <c r="C607" s="611"/>
      <c r="D607" s="696" t="s">
        <v>259</v>
      </c>
      <c r="E607" s="611"/>
      <c r="F607" s="619"/>
      <c r="G607" s="753"/>
      <c r="H607" s="755" t="s">
        <v>46</v>
      </c>
      <c r="I607" s="269"/>
      <c r="J607" s="214">
        <v>0</v>
      </c>
      <c r="K607" s="163"/>
      <c r="L607" s="163"/>
      <c r="M607" s="163"/>
      <c r="N607" s="163"/>
      <c r="O607" s="163"/>
      <c r="P607" s="163"/>
      <c r="Q607" s="571"/>
      <c r="R607" s="571"/>
      <c r="S607" s="571"/>
      <c r="T607" s="571"/>
      <c r="U607" s="571"/>
      <c r="V607" s="571"/>
      <c r="W607" s="571"/>
      <c r="X607" s="571"/>
      <c r="Y607" s="571"/>
      <c r="Z607" s="571"/>
    </row>
    <row r="608" spans="1:26" ht="18.75" hidden="1">
      <c r="A608" s="601"/>
      <c r="B608" s="611"/>
      <c r="C608" s="611"/>
      <c r="D608" s="611"/>
      <c r="E608" s="619"/>
      <c r="F608" s="619"/>
      <c r="G608" s="753"/>
      <c r="H608" s="755" t="s">
        <v>34</v>
      </c>
      <c r="I608" s="269"/>
      <c r="J608" s="214">
        <v>0</v>
      </c>
      <c r="K608" s="163"/>
      <c r="L608" s="163"/>
      <c r="M608" s="163"/>
      <c r="N608" s="163"/>
      <c r="O608" s="163"/>
      <c r="P608" s="163"/>
      <c r="Q608" s="571"/>
      <c r="R608" s="571"/>
      <c r="S608" s="571"/>
      <c r="T608" s="571"/>
      <c r="U608" s="571"/>
      <c r="V608" s="571"/>
      <c r="W608" s="571"/>
      <c r="X608" s="571"/>
      <c r="Y608" s="571"/>
      <c r="Z608" s="571"/>
    </row>
    <row r="609" spans="1:26" ht="18.75" hidden="1">
      <c r="A609" s="601"/>
      <c r="B609" s="611"/>
      <c r="C609" s="611" t="s">
        <v>260</v>
      </c>
      <c r="D609" s="611"/>
      <c r="E609" s="611"/>
      <c r="F609" s="619"/>
      <c r="G609" s="753"/>
      <c r="H609" s="755" t="s">
        <v>46</v>
      </c>
      <c r="I609" s="269"/>
      <c r="J609" s="214">
        <v>0</v>
      </c>
      <c r="K609" s="163"/>
      <c r="L609" s="163"/>
      <c r="M609" s="163"/>
      <c r="N609" s="163"/>
      <c r="O609" s="163"/>
      <c r="P609" s="163"/>
      <c r="Q609" s="571"/>
      <c r="R609" s="571"/>
      <c r="S609" s="571"/>
      <c r="T609" s="571"/>
      <c r="U609" s="571"/>
      <c r="V609" s="571"/>
      <c r="W609" s="571"/>
      <c r="X609" s="571"/>
      <c r="Y609" s="571"/>
      <c r="Z609" s="571"/>
    </row>
    <row r="610" spans="1:26" ht="18.75" hidden="1">
      <c r="A610" s="601"/>
      <c r="B610" s="611"/>
      <c r="C610" s="611"/>
      <c r="D610" s="611"/>
      <c r="E610" s="619"/>
      <c r="F610" s="619"/>
      <c r="G610" s="753"/>
      <c r="H610" s="755" t="s">
        <v>34</v>
      </c>
      <c r="I610" s="269"/>
      <c r="J610" s="214">
        <v>0</v>
      </c>
      <c r="K610" s="163"/>
      <c r="L610" s="163"/>
      <c r="M610" s="163"/>
      <c r="N610" s="163"/>
      <c r="O610" s="163"/>
      <c r="P610" s="163"/>
      <c r="Q610" s="571"/>
      <c r="R610" s="571"/>
      <c r="S610" s="571"/>
      <c r="T610" s="571"/>
      <c r="U610" s="571"/>
      <c r="V610" s="571"/>
      <c r="W610" s="571"/>
      <c r="X610" s="571"/>
      <c r="Y610" s="571"/>
      <c r="Z610" s="571"/>
    </row>
    <row r="611" spans="1:26" ht="19.5" hidden="1">
      <c r="A611" s="685"/>
      <c r="B611" s="697" t="s">
        <v>261</v>
      </c>
      <c r="C611" s="687"/>
      <c r="D611" s="687"/>
      <c r="E611" s="666"/>
      <c r="F611" s="666"/>
      <c r="G611" s="667"/>
      <c r="H611" s="698" t="s">
        <v>46</v>
      </c>
      <c r="I611" s="699">
        <v>0</v>
      </c>
      <c r="J611" s="699">
        <f>J614+J616</f>
        <v>0</v>
      </c>
      <c r="K611" s="670">
        <f t="shared" ref="K611:K613" si="257">IF(I611&gt;0,J611*100/I611,0)</f>
        <v>0</v>
      </c>
      <c r="L611" s="671"/>
      <c r="M611" s="671"/>
      <c r="N611" s="671"/>
      <c r="O611" s="671"/>
      <c r="P611" s="671"/>
      <c r="Q611" s="571"/>
      <c r="R611" s="571"/>
      <c r="S611" s="571"/>
      <c r="T611" s="571"/>
      <c r="U611" s="571"/>
      <c r="V611" s="571"/>
      <c r="W611" s="571"/>
      <c r="X611" s="571"/>
      <c r="Y611" s="571"/>
      <c r="Z611" s="571"/>
    </row>
    <row r="612" spans="1:26" ht="19.5" hidden="1">
      <c r="A612" s="700"/>
      <c r="B612" s="710"/>
      <c r="C612" s="702" t="s">
        <v>262</v>
      </c>
      <c r="D612" s="710"/>
      <c r="E612" s="710"/>
      <c r="F612" s="703"/>
      <c r="G612" s="704"/>
      <c r="H612" s="705" t="s">
        <v>46</v>
      </c>
      <c r="I612" s="707">
        <v>0</v>
      </c>
      <c r="J612" s="707">
        <f t="shared" ref="J612:J613" si="258">J614+J616</f>
        <v>0</v>
      </c>
      <c r="K612" s="708">
        <f t="shared" si="257"/>
        <v>0</v>
      </c>
      <c r="L612" s="709"/>
      <c r="M612" s="709"/>
      <c r="N612" s="709"/>
      <c r="O612" s="709"/>
      <c r="P612" s="709"/>
      <c r="Q612" s="597"/>
      <c r="R612" s="597"/>
      <c r="S612" s="597"/>
      <c r="T612" s="597"/>
      <c r="U612" s="597"/>
      <c r="V612" s="597"/>
      <c r="W612" s="597"/>
      <c r="X612" s="597"/>
      <c r="Y612" s="597"/>
      <c r="Z612" s="597"/>
    </row>
    <row r="613" spans="1:26" ht="19.5" hidden="1">
      <c r="A613" s="700"/>
      <c r="B613" s="710"/>
      <c r="C613" s="710" t="s">
        <v>263</v>
      </c>
      <c r="D613" s="710"/>
      <c r="E613" s="710"/>
      <c r="F613" s="703"/>
      <c r="G613" s="704"/>
      <c r="H613" s="705" t="s">
        <v>34</v>
      </c>
      <c r="I613" s="707">
        <v>0</v>
      </c>
      <c r="J613" s="707">
        <f t="shared" si="258"/>
        <v>0</v>
      </c>
      <c r="K613" s="708">
        <f t="shared" si="257"/>
        <v>0</v>
      </c>
      <c r="L613" s="709"/>
      <c r="M613" s="709"/>
      <c r="N613" s="709"/>
      <c r="O613" s="709"/>
      <c r="P613" s="709"/>
      <c r="Q613" s="597"/>
      <c r="R613" s="597"/>
      <c r="S613" s="597"/>
      <c r="T613" s="597"/>
      <c r="U613" s="597"/>
      <c r="V613" s="597"/>
      <c r="W613" s="597"/>
      <c r="X613" s="597"/>
      <c r="Y613" s="597"/>
      <c r="Z613" s="597"/>
    </row>
    <row r="614" spans="1:26" ht="18.75" hidden="1">
      <c r="A614" s="607"/>
      <c r="B614" s="609"/>
      <c r="C614" s="609"/>
      <c r="D614" s="711" t="s">
        <v>264</v>
      </c>
      <c r="E614" s="609"/>
      <c r="F614" s="711"/>
      <c r="G614" s="365"/>
      <c r="H614" s="369" t="s">
        <v>46</v>
      </c>
      <c r="I614" s="610"/>
      <c r="J614" s="610">
        <v>0</v>
      </c>
      <c r="K614" s="167"/>
      <c r="L614" s="167"/>
      <c r="M614" s="167"/>
      <c r="N614" s="167"/>
      <c r="O614" s="167"/>
      <c r="P614" s="167"/>
      <c r="Q614" s="597"/>
      <c r="R614" s="597"/>
      <c r="S614" s="597"/>
      <c r="T614" s="597"/>
      <c r="U614" s="597"/>
      <c r="V614" s="597"/>
      <c r="W614" s="597"/>
      <c r="X614" s="597"/>
      <c r="Y614" s="597"/>
      <c r="Z614" s="597"/>
    </row>
    <row r="615" spans="1:26" ht="18.75" hidden="1">
      <c r="A615" s="607"/>
      <c r="B615" s="609"/>
      <c r="C615" s="609"/>
      <c r="D615" s="609"/>
      <c r="E615" s="609"/>
      <c r="F615" s="711"/>
      <c r="G615" s="365"/>
      <c r="H615" s="369" t="s">
        <v>34</v>
      </c>
      <c r="I615" s="610"/>
      <c r="J615" s="610">
        <v>0</v>
      </c>
      <c r="K615" s="167"/>
      <c r="L615" s="167"/>
      <c r="M615" s="167"/>
      <c r="N615" s="167"/>
      <c r="O615" s="167"/>
      <c r="P615" s="167"/>
      <c r="Q615" s="597"/>
      <c r="R615" s="597"/>
      <c r="S615" s="597"/>
      <c r="T615" s="597"/>
      <c r="U615" s="597"/>
      <c r="V615" s="597"/>
      <c r="W615" s="597"/>
      <c r="X615" s="597"/>
      <c r="Y615" s="597"/>
      <c r="Z615" s="597"/>
    </row>
    <row r="616" spans="1:26" ht="18.75" hidden="1">
      <c r="A616" s="607"/>
      <c r="B616" s="609"/>
      <c r="C616" s="609"/>
      <c r="D616" s="712" t="s">
        <v>264</v>
      </c>
      <c r="E616" s="711"/>
      <c r="F616" s="711"/>
      <c r="G616" s="365"/>
      <c r="H616" s="369" t="s">
        <v>46</v>
      </c>
      <c r="I616" s="610"/>
      <c r="J616" s="610">
        <v>0</v>
      </c>
      <c r="K616" s="167"/>
      <c r="L616" s="167"/>
      <c r="M616" s="167"/>
      <c r="N616" s="167"/>
      <c r="O616" s="167"/>
      <c r="P616" s="167"/>
      <c r="Q616" s="597"/>
      <c r="R616" s="597"/>
      <c r="S616" s="597"/>
      <c r="T616" s="597"/>
      <c r="U616" s="597"/>
      <c r="V616" s="597"/>
      <c r="W616" s="597"/>
      <c r="X616" s="597"/>
      <c r="Y616" s="597"/>
      <c r="Z616" s="597"/>
    </row>
    <row r="617" spans="1:26" ht="18.75" hidden="1">
      <c r="A617" s="607"/>
      <c r="B617" s="609"/>
      <c r="C617" s="609"/>
      <c r="D617" s="609"/>
      <c r="E617" s="711"/>
      <c r="F617" s="711"/>
      <c r="G617" s="365"/>
      <c r="H617" s="369" t="s">
        <v>34</v>
      </c>
      <c r="I617" s="610"/>
      <c r="J617" s="610">
        <v>0</v>
      </c>
      <c r="K617" s="167"/>
      <c r="L617" s="167"/>
      <c r="M617" s="167"/>
      <c r="N617" s="167"/>
      <c r="O617" s="167"/>
      <c r="P617" s="167"/>
      <c r="Q617" s="597"/>
      <c r="R617" s="597"/>
      <c r="S617" s="597"/>
      <c r="T617" s="597"/>
      <c r="U617" s="597"/>
      <c r="V617" s="597"/>
      <c r="W617" s="597"/>
      <c r="X617" s="597"/>
      <c r="Y617" s="597"/>
      <c r="Z617" s="597"/>
    </row>
    <row r="618" spans="1:26" ht="18.75" hidden="1">
      <c r="A618" s="607"/>
      <c r="B618" s="609"/>
      <c r="C618" s="609"/>
      <c r="D618" s="712" t="s">
        <v>265</v>
      </c>
      <c r="E618" s="711"/>
      <c r="F618" s="711"/>
      <c r="G618" s="365"/>
      <c r="H618" s="369" t="s">
        <v>46</v>
      </c>
      <c r="I618" s="610"/>
      <c r="J618" s="610">
        <v>0</v>
      </c>
      <c r="K618" s="167"/>
      <c r="L618" s="167"/>
      <c r="M618" s="167"/>
      <c r="N618" s="167"/>
      <c r="O618" s="167"/>
      <c r="P618" s="167"/>
      <c r="Q618" s="597"/>
      <c r="R618" s="597"/>
      <c r="S618" s="597"/>
      <c r="T618" s="597"/>
      <c r="U618" s="597"/>
      <c r="V618" s="597"/>
      <c r="W618" s="597"/>
      <c r="X618" s="597"/>
      <c r="Y618" s="597"/>
      <c r="Z618" s="597"/>
    </row>
    <row r="619" spans="1:26" ht="18.75" hidden="1">
      <c r="A619" s="607"/>
      <c r="B619" s="609"/>
      <c r="C619" s="609"/>
      <c r="D619" s="609"/>
      <c r="E619" s="711"/>
      <c r="F619" s="711"/>
      <c r="G619" s="365"/>
      <c r="H619" s="369" t="s">
        <v>34</v>
      </c>
      <c r="I619" s="610"/>
      <c r="J619" s="610">
        <v>0</v>
      </c>
      <c r="K619" s="167"/>
      <c r="L619" s="167"/>
      <c r="M619" s="167"/>
      <c r="N619" s="167"/>
      <c r="O619" s="167"/>
      <c r="P619" s="167"/>
      <c r="Q619" s="597"/>
      <c r="R619" s="597"/>
      <c r="S619" s="597"/>
      <c r="T619" s="597"/>
      <c r="U619" s="597"/>
      <c r="V619" s="597"/>
      <c r="W619" s="597"/>
      <c r="X619" s="597"/>
      <c r="Y619" s="597"/>
      <c r="Z619" s="597"/>
    </row>
    <row r="620" spans="1:26" ht="19.5" hidden="1">
      <c r="A620" s="713"/>
      <c r="B620" s="722"/>
      <c r="C620" s="715" t="s">
        <v>266</v>
      </c>
      <c r="D620" s="722"/>
      <c r="E620" s="722"/>
      <c r="F620" s="716"/>
      <c r="G620" s="717"/>
      <c r="H620" s="718" t="s">
        <v>46</v>
      </c>
      <c r="I620" s="719">
        <f ca="1">IFERROR(__xludf.DUMMYFUNCTION("IMPORTRANGE(""https://docs.google.com/spreadsheets/d/1QqKyyYR6Q21VydFLVH3TRQUabQu_ym0Zz7PgGX0-kHA/edit?usp=sharing"",""แผน!HL73"")"),0)</f>
        <v>0</v>
      </c>
      <c r="J620" s="719">
        <f t="shared" ref="J620:J621" si="259">J622+J624+J626</f>
        <v>0</v>
      </c>
      <c r="K620" s="720">
        <f t="shared" ref="K620:K621" ca="1" si="260">IF(I620&gt;0,J620*100/I620,0)</f>
        <v>0</v>
      </c>
      <c r="L620" s="721"/>
      <c r="M620" s="721"/>
      <c r="N620" s="721"/>
      <c r="O620" s="721"/>
      <c r="P620" s="721"/>
      <c r="Q620" s="571"/>
      <c r="R620" s="571"/>
      <c r="S620" s="571"/>
      <c r="T620" s="571"/>
      <c r="U620" s="571"/>
      <c r="V620" s="571"/>
      <c r="W620" s="571"/>
      <c r="X620" s="571"/>
      <c r="Y620" s="571"/>
      <c r="Z620" s="571"/>
    </row>
    <row r="621" spans="1:26" ht="19.5" hidden="1">
      <c r="A621" s="713"/>
      <c r="B621" s="722"/>
      <c r="C621" s="722" t="s">
        <v>267</v>
      </c>
      <c r="D621" s="722"/>
      <c r="E621" s="722"/>
      <c r="F621" s="716"/>
      <c r="G621" s="717"/>
      <c r="H621" s="718" t="s">
        <v>34</v>
      </c>
      <c r="I621" s="719">
        <f ca="1">IFERROR(__xludf.DUMMYFUNCTION("IMPORTRANGE(""https://docs.google.com/spreadsheets/d/1QqKyyYR6Q21VydFLVH3TRQUabQu_ym0Zz7PgGX0-kHA/edit?usp=sharing"",""แผน!HK73"")"),0)</f>
        <v>0</v>
      </c>
      <c r="J621" s="719">
        <f t="shared" si="259"/>
        <v>0</v>
      </c>
      <c r="K621" s="720">
        <f t="shared" ca="1" si="260"/>
        <v>0</v>
      </c>
      <c r="L621" s="721"/>
      <c r="M621" s="721"/>
      <c r="N621" s="721"/>
      <c r="O621" s="721"/>
      <c r="P621" s="721"/>
      <c r="Q621" s="571"/>
      <c r="R621" s="571"/>
      <c r="S621" s="571"/>
      <c r="T621" s="571"/>
      <c r="U621" s="571"/>
      <c r="V621" s="571"/>
      <c r="W621" s="571"/>
      <c r="X621" s="571"/>
      <c r="Y621" s="571"/>
      <c r="Z621" s="571"/>
    </row>
    <row r="622" spans="1:26" ht="18.75" hidden="1">
      <c r="A622" s="601"/>
      <c r="B622" s="611"/>
      <c r="C622" s="611"/>
      <c r="D622" s="737" t="s">
        <v>268</v>
      </c>
      <c r="E622" s="619"/>
      <c r="F622" s="619"/>
      <c r="G622" s="753"/>
      <c r="H622" s="755" t="s">
        <v>46</v>
      </c>
      <c r="I622" s="269"/>
      <c r="J622" s="214">
        <v>0</v>
      </c>
      <c r="K622" s="163"/>
      <c r="L622" s="163"/>
      <c r="M622" s="163"/>
      <c r="N622" s="163"/>
      <c r="O622" s="163"/>
      <c r="P622" s="163"/>
      <c r="Q622" s="571"/>
      <c r="R622" s="571"/>
      <c r="S622" s="571"/>
      <c r="T622" s="571"/>
      <c r="U622" s="571"/>
      <c r="V622" s="571"/>
      <c r="W622" s="571"/>
      <c r="X622" s="571"/>
      <c r="Y622" s="571"/>
      <c r="Z622" s="571"/>
    </row>
    <row r="623" spans="1:26" ht="18.75" hidden="1">
      <c r="A623" s="601"/>
      <c r="B623" s="611"/>
      <c r="C623" s="611"/>
      <c r="D623" s="611"/>
      <c r="E623" s="619"/>
      <c r="F623" s="619"/>
      <c r="G623" s="753"/>
      <c r="H623" s="755" t="s">
        <v>34</v>
      </c>
      <c r="I623" s="269"/>
      <c r="J623" s="214">
        <v>0</v>
      </c>
      <c r="K623" s="163"/>
      <c r="L623" s="163"/>
      <c r="M623" s="163"/>
      <c r="N623" s="163"/>
      <c r="O623" s="163"/>
      <c r="P623" s="163"/>
      <c r="Q623" s="571"/>
      <c r="R623" s="571"/>
      <c r="S623" s="571"/>
      <c r="T623" s="571"/>
      <c r="U623" s="571"/>
      <c r="V623" s="571"/>
      <c r="W623" s="571"/>
      <c r="X623" s="571"/>
      <c r="Y623" s="571"/>
      <c r="Z623" s="571"/>
    </row>
    <row r="624" spans="1:26" ht="18.75" hidden="1">
      <c r="A624" s="601"/>
      <c r="B624" s="611"/>
      <c r="C624" s="611"/>
      <c r="D624" s="737" t="s">
        <v>264</v>
      </c>
      <c r="E624" s="619"/>
      <c r="F624" s="619"/>
      <c r="G624" s="753"/>
      <c r="H624" s="755" t="s">
        <v>46</v>
      </c>
      <c r="I624" s="269"/>
      <c r="J624" s="214">
        <v>0</v>
      </c>
      <c r="K624" s="163"/>
      <c r="L624" s="163"/>
      <c r="M624" s="163"/>
      <c r="N624" s="163"/>
      <c r="O624" s="163"/>
      <c r="P624" s="163"/>
      <c r="Q624" s="571"/>
      <c r="R624" s="571"/>
      <c r="S624" s="571"/>
      <c r="T624" s="571"/>
      <c r="U624" s="571"/>
      <c r="V624" s="571"/>
      <c r="W624" s="571"/>
      <c r="X624" s="571"/>
      <c r="Y624" s="571"/>
      <c r="Z624" s="571"/>
    </row>
    <row r="625" spans="1:26" ht="18.75" hidden="1">
      <c r="A625" s="601"/>
      <c r="B625" s="611"/>
      <c r="C625" s="611"/>
      <c r="D625" s="611"/>
      <c r="E625" s="619"/>
      <c r="F625" s="619"/>
      <c r="G625" s="753"/>
      <c r="H625" s="755" t="s">
        <v>34</v>
      </c>
      <c r="I625" s="269"/>
      <c r="J625" s="214">
        <v>0</v>
      </c>
      <c r="K625" s="163"/>
      <c r="L625" s="163"/>
      <c r="M625" s="163"/>
      <c r="N625" s="163"/>
      <c r="O625" s="163"/>
      <c r="P625" s="163"/>
      <c r="Q625" s="571"/>
      <c r="R625" s="571"/>
      <c r="S625" s="571"/>
      <c r="T625" s="571"/>
      <c r="U625" s="571"/>
      <c r="V625" s="571"/>
      <c r="W625" s="571"/>
      <c r="X625" s="571"/>
      <c r="Y625" s="571"/>
      <c r="Z625" s="571"/>
    </row>
    <row r="626" spans="1:26" ht="18.75" hidden="1">
      <c r="A626" s="601"/>
      <c r="B626" s="611"/>
      <c r="C626" s="611"/>
      <c r="D626" s="737" t="s">
        <v>269</v>
      </c>
      <c r="E626" s="619"/>
      <c r="F626" s="619"/>
      <c r="G626" s="753"/>
      <c r="H626" s="755" t="s">
        <v>46</v>
      </c>
      <c r="I626" s="269"/>
      <c r="J626" s="214">
        <v>0</v>
      </c>
      <c r="K626" s="163"/>
      <c r="L626" s="163"/>
      <c r="M626" s="163"/>
      <c r="N626" s="163"/>
      <c r="O626" s="163"/>
      <c r="P626" s="163"/>
      <c r="Q626" s="571"/>
      <c r="R626" s="571"/>
      <c r="S626" s="571"/>
      <c r="T626" s="571"/>
      <c r="U626" s="571"/>
      <c r="V626" s="571"/>
      <c r="W626" s="571"/>
      <c r="X626" s="571"/>
      <c r="Y626" s="571"/>
      <c r="Z626" s="571"/>
    </row>
    <row r="627" spans="1:26" ht="18.75" hidden="1">
      <c r="A627" s="723"/>
      <c r="B627" s="724"/>
      <c r="C627" s="724"/>
      <c r="D627" s="724"/>
      <c r="E627" s="725"/>
      <c r="F627" s="725"/>
      <c r="G627" s="726"/>
      <c r="H627" s="421" t="s">
        <v>34</v>
      </c>
      <c r="I627" s="499"/>
      <c r="J627" s="423">
        <v>0</v>
      </c>
      <c r="K627" s="384"/>
      <c r="L627" s="384"/>
      <c r="M627" s="384"/>
      <c r="N627" s="384"/>
      <c r="O627" s="384"/>
      <c r="P627" s="384"/>
      <c r="Q627" s="571"/>
      <c r="R627" s="571"/>
      <c r="S627" s="571"/>
      <c r="T627" s="571"/>
      <c r="U627" s="571"/>
      <c r="V627" s="571"/>
      <c r="W627" s="571"/>
      <c r="X627" s="571"/>
      <c r="Y627" s="571"/>
      <c r="Z627" s="571"/>
    </row>
    <row r="628" spans="1:26" ht="19.5" hidden="1">
      <c r="A628" s="727">
        <v>7</v>
      </c>
      <c r="B628" s="728" t="s">
        <v>270</v>
      </c>
      <c r="C628" s="729"/>
      <c r="D628" s="729"/>
      <c r="E628" s="729"/>
      <c r="F628" s="729"/>
      <c r="G628" s="730"/>
      <c r="H628" s="731" t="s">
        <v>35</v>
      </c>
      <c r="I628" s="732">
        <f t="shared" ref="I628:J628" ca="1" si="261">I651</f>
        <v>0</v>
      </c>
      <c r="J628" s="732">
        <f t="shared" ca="1" si="261"/>
        <v>0</v>
      </c>
      <c r="K628" s="733">
        <f ca="1">IF(I628&gt;0,J628*100/I628,0)</f>
        <v>0</v>
      </c>
      <c r="L628" s="734"/>
      <c r="M628" s="734"/>
      <c r="N628" s="734"/>
      <c r="O628" s="734"/>
      <c r="P628" s="734"/>
      <c r="Q628" s="571"/>
      <c r="R628" s="571"/>
      <c r="S628" s="571"/>
      <c r="T628" s="571"/>
      <c r="U628" s="571"/>
      <c r="V628" s="571"/>
      <c r="W628" s="571"/>
      <c r="X628" s="571"/>
      <c r="Y628" s="571"/>
      <c r="Z628" s="571"/>
    </row>
    <row r="629" spans="1:26" ht="19.5" hidden="1">
      <c r="A629" s="590"/>
      <c r="B629" s="754"/>
      <c r="C629" s="754" t="s">
        <v>16</v>
      </c>
      <c r="D629" s="863" t="s">
        <v>17</v>
      </c>
      <c r="E629" s="857"/>
      <c r="F629" s="857"/>
      <c r="G629" s="189"/>
      <c r="H629" s="591" t="s">
        <v>12</v>
      </c>
      <c r="I629" s="269"/>
      <c r="J629" s="269"/>
      <c r="K629" s="496"/>
      <c r="L629" s="195">
        <f t="shared" ref="L629:N629" ca="1" si="262">L630+L631</f>
        <v>0</v>
      </c>
      <c r="M629" s="195">
        <f t="shared" si="262"/>
        <v>0</v>
      </c>
      <c r="N629" s="195">
        <f t="shared" si="262"/>
        <v>0</v>
      </c>
      <c r="O629" s="195">
        <f t="shared" ref="O629:O634" ca="1" si="263">IF(L629&gt;0,N629*100/L629,0)</f>
        <v>0</v>
      </c>
      <c r="P629" s="195">
        <f t="shared" ref="P629:P634" si="264">IF(M629&gt;0,N629*100/M629,0)</f>
        <v>0</v>
      </c>
      <c r="Q629" s="571"/>
      <c r="R629" s="571"/>
      <c r="S629" s="571"/>
      <c r="T629" s="571"/>
      <c r="U629" s="571"/>
      <c r="V629" s="571"/>
      <c r="W629" s="571"/>
      <c r="X629" s="571"/>
      <c r="Y629" s="571"/>
      <c r="Z629" s="571"/>
    </row>
    <row r="630" spans="1:26" ht="18.75" hidden="1">
      <c r="A630" s="592"/>
      <c r="B630" s="750"/>
      <c r="C630" s="750"/>
      <c r="D630" s="711"/>
      <c r="E630" s="750" t="s">
        <v>184</v>
      </c>
      <c r="F630" s="750"/>
      <c r="G630" s="596"/>
      <c r="H630" s="165" t="s">
        <v>12</v>
      </c>
      <c r="I630" s="610"/>
      <c r="J630" s="610"/>
      <c r="K630" s="93"/>
      <c r="L630" s="93">
        <f t="shared" ref="L630:N631" si="265">L633+L640</f>
        <v>0</v>
      </c>
      <c r="M630" s="93">
        <f t="shared" si="265"/>
        <v>0</v>
      </c>
      <c r="N630" s="93">
        <f t="shared" si="265"/>
        <v>0</v>
      </c>
      <c r="O630" s="93">
        <f t="shared" si="263"/>
        <v>0</v>
      </c>
      <c r="P630" s="93">
        <f t="shared" si="264"/>
        <v>0</v>
      </c>
      <c r="Q630" s="597"/>
      <c r="R630" s="597"/>
      <c r="S630" s="597"/>
      <c r="T630" s="597"/>
      <c r="U630" s="597"/>
      <c r="V630" s="597"/>
      <c r="W630" s="597"/>
      <c r="X630" s="597"/>
      <c r="Y630" s="597"/>
      <c r="Z630" s="597"/>
    </row>
    <row r="631" spans="1:26" ht="18.75" hidden="1">
      <c r="A631" s="592"/>
      <c r="B631" s="600"/>
      <c r="C631" s="750"/>
      <c r="D631" s="711"/>
      <c r="E631" s="750" t="s">
        <v>185</v>
      </c>
      <c r="F631" s="750"/>
      <c r="G631" s="596"/>
      <c r="H631" s="165" t="s">
        <v>12</v>
      </c>
      <c r="I631" s="610"/>
      <c r="J631" s="610"/>
      <c r="K631" s="93"/>
      <c r="L631" s="93">
        <f t="shared" ca="1" si="265"/>
        <v>0</v>
      </c>
      <c r="M631" s="93">
        <f t="shared" si="265"/>
        <v>0</v>
      </c>
      <c r="N631" s="93">
        <f t="shared" si="265"/>
        <v>0</v>
      </c>
      <c r="O631" s="93">
        <f t="shared" ca="1" si="263"/>
        <v>0</v>
      </c>
      <c r="P631" s="93">
        <f t="shared" si="264"/>
        <v>0</v>
      </c>
      <c r="Q631" s="597"/>
      <c r="R631" s="597"/>
      <c r="S631" s="597"/>
      <c r="T631" s="597"/>
      <c r="U631" s="597"/>
      <c r="V631" s="597"/>
      <c r="W631" s="597"/>
      <c r="X631" s="597"/>
      <c r="Y631" s="597"/>
      <c r="Z631" s="597"/>
    </row>
    <row r="632" spans="1:26" ht="18.75" hidden="1">
      <c r="A632" s="590"/>
      <c r="B632" s="568"/>
      <c r="C632" s="754"/>
      <c r="D632" s="599" t="s">
        <v>20</v>
      </c>
      <c r="E632" s="754"/>
      <c r="F632" s="754"/>
      <c r="G632" s="189"/>
      <c r="H632" s="161" t="s">
        <v>12</v>
      </c>
      <c r="I632" s="184"/>
      <c r="J632" s="184"/>
      <c r="K632" s="163"/>
      <c r="L632" s="496">
        <f t="shared" ref="L632:N632" ca="1" si="266">L633+L634</f>
        <v>0</v>
      </c>
      <c r="M632" s="496">
        <f t="shared" si="266"/>
        <v>0</v>
      </c>
      <c r="N632" s="496">
        <f t="shared" si="266"/>
        <v>0</v>
      </c>
      <c r="O632" s="496">
        <f t="shared" ca="1" si="263"/>
        <v>0</v>
      </c>
      <c r="P632" s="496">
        <f t="shared" si="264"/>
        <v>0</v>
      </c>
      <c r="Q632" s="571"/>
      <c r="R632" s="571"/>
      <c r="S632" s="571"/>
      <c r="T632" s="571"/>
      <c r="U632" s="571"/>
      <c r="V632" s="571"/>
      <c r="W632" s="571"/>
      <c r="X632" s="571"/>
      <c r="Y632" s="571"/>
      <c r="Z632" s="571"/>
    </row>
    <row r="633" spans="1:26" ht="18.75" hidden="1">
      <c r="A633" s="592"/>
      <c r="B633" s="600"/>
      <c r="C633" s="750"/>
      <c r="D633" s="711"/>
      <c r="E633" s="750" t="s">
        <v>184</v>
      </c>
      <c r="F633" s="750"/>
      <c r="G633" s="596"/>
      <c r="H633" s="165" t="s">
        <v>12</v>
      </c>
      <c r="I633" s="610"/>
      <c r="J633" s="610"/>
      <c r="K633" s="93"/>
      <c r="L633" s="93">
        <v>0</v>
      </c>
      <c r="M633" s="93">
        <v>0</v>
      </c>
      <c r="N633" s="93">
        <v>0</v>
      </c>
      <c r="O633" s="93">
        <f t="shared" si="263"/>
        <v>0</v>
      </c>
      <c r="P633" s="93">
        <f t="shared" si="264"/>
        <v>0</v>
      </c>
      <c r="Q633" s="597"/>
      <c r="R633" s="597"/>
      <c r="S633" s="597"/>
      <c r="T633" s="597"/>
      <c r="U633" s="597"/>
      <c r="V633" s="597"/>
      <c r="W633" s="597"/>
      <c r="X633" s="597"/>
      <c r="Y633" s="597"/>
      <c r="Z633" s="597"/>
    </row>
    <row r="634" spans="1:26" ht="18.75" hidden="1">
      <c r="A634" s="592"/>
      <c r="B634" s="600"/>
      <c r="C634" s="750"/>
      <c r="D634" s="711"/>
      <c r="E634" s="750" t="s">
        <v>185</v>
      </c>
      <c r="F634" s="750"/>
      <c r="G634" s="596"/>
      <c r="H634" s="165" t="s">
        <v>12</v>
      </c>
      <c r="I634" s="610"/>
      <c r="J634" s="610"/>
      <c r="K634" s="93"/>
      <c r="L634" s="93">
        <f ca="1">IFERROR(__xludf.DUMMYFUNCTION("IMPORTRANGE(""https://docs.google.com/spreadsheets/d/1QqKyyYR6Q21VydFLVH3TRQUabQu_ym0Zz7PgGX0-kHA/edit?usp=sharing"",""แผน!HN73"")"),0)</f>
        <v>0</v>
      </c>
      <c r="M634" s="93">
        <v>0</v>
      </c>
      <c r="N634" s="93">
        <f>N635+N636+N637+N638</f>
        <v>0</v>
      </c>
      <c r="O634" s="93">
        <f t="shared" ca="1" si="263"/>
        <v>0</v>
      </c>
      <c r="P634" s="93">
        <f t="shared" si="264"/>
        <v>0</v>
      </c>
      <c r="Q634" s="597"/>
      <c r="R634" s="597"/>
      <c r="S634" s="597"/>
      <c r="T634" s="597"/>
      <c r="U634" s="597"/>
      <c r="V634" s="597"/>
      <c r="W634" s="597"/>
      <c r="X634" s="597"/>
      <c r="Y634" s="597"/>
      <c r="Z634" s="597"/>
    </row>
    <row r="635" spans="1:26" ht="18.75" hidden="1">
      <c r="A635" s="567"/>
      <c r="B635" s="568"/>
      <c r="C635" s="754"/>
      <c r="D635" s="754"/>
      <c r="E635" s="754"/>
      <c r="F635" s="754" t="s">
        <v>186</v>
      </c>
      <c r="G635" s="189"/>
      <c r="H635" s="161" t="s">
        <v>12</v>
      </c>
      <c r="I635" s="269"/>
      <c r="J635" s="269"/>
      <c r="K635" s="496"/>
      <c r="L635" s="496"/>
      <c r="M635" s="496"/>
      <c r="N635" s="817">
        <v>0</v>
      </c>
      <c r="O635" s="496"/>
      <c r="P635" s="496"/>
      <c r="Q635" s="571"/>
      <c r="R635" s="571"/>
      <c r="S635" s="571"/>
      <c r="T635" s="571"/>
      <c r="U635" s="571"/>
      <c r="V635" s="571"/>
      <c r="W635" s="571"/>
      <c r="X635" s="571"/>
      <c r="Y635" s="571"/>
      <c r="Z635" s="571"/>
    </row>
    <row r="636" spans="1:26" ht="18.75" hidden="1">
      <c r="A636" s="567"/>
      <c r="B636" s="568"/>
      <c r="C636" s="754"/>
      <c r="D636" s="754"/>
      <c r="E636" s="754"/>
      <c r="F636" s="754" t="s">
        <v>187</v>
      </c>
      <c r="G636" s="189"/>
      <c r="H636" s="161" t="s">
        <v>12</v>
      </c>
      <c r="I636" s="269"/>
      <c r="J636" s="269"/>
      <c r="K636" s="496"/>
      <c r="L636" s="496"/>
      <c r="M636" s="496"/>
      <c r="N636" s="817">
        <v>0</v>
      </c>
      <c r="O636" s="496"/>
      <c r="P636" s="496"/>
      <c r="Q636" s="571"/>
      <c r="R636" s="571"/>
      <c r="S636" s="571"/>
      <c r="T636" s="571"/>
      <c r="U636" s="571"/>
      <c r="V636" s="571"/>
      <c r="W636" s="571"/>
      <c r="X636" s="571"/>
      <c r="Y636" s="571"/>
      <c r="Z636" s="571"/>
    </row>
    <row r="637" spans="1:26" ht="18.75" hidden="1">
      <c r="A637" s="567"/>
      <c r="B637" s="568"/>
      <c r="C637" s="754"/>
      <c r="D637" s="754"/>
      <c r="E637" s="754"/>
      <c r="F637" s="754" t="s">
        <v>188</v>
      </c>
      <c r="G637" s="189"/>
      <c r="H637" s="161" t="s">
        <v>12</v>
      </c>
      <c r="I637" s="269"/>
      <c r="J637" s="269"/>
      <c r="K637" s="496"/>
      <c r="L637" s="496"/>
      <c r="M637" s="496"/>
      <c r="N637" s="817">
        <v>0</v>
      </c>
      <c r="O637" s="496"/>
      <c r="P637" s="496"/>
      <c r="Q637" s="571"/>
      <c r="R637" s="571"/>
      <c r="S637" s="571"/>
      <c r="T637" s="571"/>
      <c r="U637" s="571"/>
      <c r="V637" s="571"/>
      <c r="W637" s="571"/>
      <c r="X637" s="571"/>
      <c r="Y637" s="571"/>
      <c r="Z637" s="571"/>
    </row>
    <row r="638" spans="1:26" ht="18.75" hidden="1">
      <c r="A638" s="567"/>
      <c r="B638" s="568"/>
      <c r="C638" s="754"/>
      <c r="D638" s="754"/>
      <c r="E638" s="754"/>
      <c r="F638" s="754" t="s">
        <v>189</v>
      </c>
      <c r="G638" s="189"/>
      <c r="H638" s="161" t="s">
        <v>12</v>
      </c>
      <c r="I638" s="269"/>
      <c r="J638" s="269"/>
      <c r="K638" s="496"/>
      <c r="L638" s="496"/>
      <c r="M638" s="496"/>
      <c r="N638" s="817">
        <v>0</v>
      </c>
      <c r="O638" s="496"/>
      <c r="P638" s="496"/>
      <c r="Q638" s="571"/>
      <c r="R638" s="571"/>
      <c r="S638" s="571"/>
      <c r="T638" s="571"/>
      <c r="U638" s="571"/>
      <c r="V638" s="571"/>
      <c r="W638" s="571"/>
      <c r="X638" s="571"/>
      <c r="Y638" s="571"/>
      <c r="Z638" s="571"/>
    </row>
    <row r="639" spans="1:26" ht="18.75" hidden="1">
      <c r="A639" s="590"/>
      <c r="B639" s="568"/>
      <c r="C639" s="754"/>
      <c r="D639" s="599" t="s">
        <v>21</v>
      </c>
      <c r="E639" s="754"/>
      <c r="F639" s="754"/>
      <c r="G639" s="189"/>
      <c r="H639" s="168" t="s">
        <v>12</v>
      </c>
      <c r="I639" s="184"/>
      <c r="J639" s="184"/>
      <c r="K639" s="163"/>
      <c r="L639" s="496">
        <f t="shared" ref="L639:N639" ca="1" si="267">L640+L641</f>
        <v>0</v>
      </c>
      <c r="M639" s="496">
        <f t="shared" si="267"/>
        <v>0</v>
      </c>
      <c r="N639" s="496">
        <f t="shared" si="267"/>
        <v>0</v>
      </c>
      <c r="O639" s="496">
        <f t="shared" ref="O639:O641" ca="1" si="268">IF(L639&gt;0,N639*100/L639,0)</f>
        <v>0</v>
      </c>
      <c r="P639" s="496">
        <f t="shared" ref="P639:P641" si="269">IF(M639&gt;0,N639*100/M639,0)</f>
        <v>0</v>
      </c>
      <c r="Q639" s="571"/>
      <c r="R639" s="571"/>
      <c r="S639" s="571"/>
      <c r="T639" s="571"/>
      <c r="U639" s="571"/>
      <c r="V639" s="571"/>
      <c r="W639" s="571"/>
      <c r="X639" s="571"/>
      <c r="Y639" s="571"/>
      <c r="Z639" s="571"/>
    </row>
    <row r="640" spans="1:26" ht="18.75" hidden="1">
      <c r="A640" s="592"/>
      <c r="B640" s="600"/>
      <c r="C640" s="750"/>
      <c r="D640" s="750"/>
      <c r="E640" s="750" t="s">
        <v>18</v>
      </c>
      <c r="F640" s="750"/>
      <c r="G640" s="596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8"/>
        <v>0</v>
      </c>
      <c r="P640" s="93">
        <f t="shared" si="269"/>
        <v>0</v>
      </c>
      <c r="Q640" s="597"/>
      <c r="R640" s="597"/>
      <c r="S640" s="597"/>
      <c r="T640" s="597"/>
      <c r="U640" s="597"/>
      <c r="V640" s="597"/>
      <c r="W640" s="597"/>
      <c r="X640" s="597"/>
      <c r="Y640" s="597"/>
      <c r="Z640" s="597"/>
    </row>
    <row r="641" spans="1:26" ht="18.75" hidden="1">
      <c r="A641" s="592"/>
      <c r="B641" s="600"/>
      <c r="C641" s="750"/>
      <c r="D641" s="750"/>
      <c r="E641" s="750" t="s">
        <v>19</v>
      </c>
      <c r="F641" s="750"/>
      <c r="G641" s="596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IFERROR(__xludf.DUMMYFUNCTION("IMPORTRANGE(""https://docs.google.com/spreadsheets/d/1QqKyyYR6Q21VydFLVH3TRQUabQu_ym0Zz7PgGX0-kHA/edit?usp=sharing"",""แผน!HQ73"")"),0)</f>
        <v>0</v>
      </c>
      <c r="M641" s="93">
        <v>0</v>
      </c>
      <c r="N641" s="93">
        <v>0</v>
      </c>
      <c r="O641" s="93">
        <f t="shared" ca="1" si="268"/>
        <v>0</v>
      </c>
      <c r="P641" s="93">
        <f t="shared" si="269"/>
        <v>0</v>
      </c>
      <c r="Q641" s="597"/>
      <c r="R641" s="597"/>
      <c r="S641" s="597"/>
      <c r="T641" s="597"/>
      <c r="U641" s="597"/>
      <c r="V641" s="597"/>
      <c r="W641" s="597"/>
      <c r="X641" s="597"/>
      <c r="Y641" s="597"/>
      <c r="Z641" s="597"/>
    </row>
    <row r="642" spans="1:26" ht="19.5" hidden="1">
      <c r="A642" s="601"/>
      <c r="B642" s="611"/>
      <c r="C642" s="754" t="s">
        <v>16</v>
      </c>
      <c r="D642" s="839" t="s">
        <v>38</v>
      </c>
      <c r="E642" s="752"/>
      <c r="F642" s="752"/>
      <c r="G642" s="606"/>
      <c r="H642" s="753"/>
      <c r="I642" s="184"/>
      <c r="J642" s="184"/>
      <c r="K642" s="163"/>
      <c r="L642" s="163"/>
      <c r="M642" s="163"/>
      <c r="N642" s="163"/>
      <c r="O642" s="163"/>
      <c r="P642" s="163"/>
      <c r="Q642" s="571"/>
      <c r="R642" s="571"/>
      <c r="S642" s="571"/>
      <c r="T642" s="571"/>
      <c r="U642" s="571"/>
      <c r="V642" s="571"/>
      <c r="W642" s="571"/>
      <c r="X642" s="571"/>
      <c r="Y642" s="571"/>
      <c r="Z642" s="571"/>
    </row>
    <row r="643" spans="1:26" ht="18.75" hidden="1">
      <c r="A643" s="735"/>
      <c r="B643" s="568"/>
      <c r="C643" s="754"/>
      <c r="D643" s="619"/>
      <c r="E643" s="737" t="s">
        <v>271</v>
      </c>
      <c r="F643" s="619"/>
      <c r="G643" s="753"/>
      <c r="H643" s="755" t="s">
        <v>272</v>
      </c>
      <c r="I643" s="269">
        <f ca="1">IFERROR(__xludf.DUMMYFUNCTION("IMPORTRANGE(""https://docs.google.com/spreadsheets/d/1QqKyyYR6Q21VydFLVH3TRQUabQu_ym0Zz7PgGX0-kHA/edit?usp=sharing"",""แผน!HR73"")"),0)</f>
        <v>0</v>
      </c>
      <c r="J643" s="214">
        <v>0</v>
      </c>
      <c r="K643" s="163">
        <f t="shared" ref="K643:K652" ca="1" si="270">IF(I643&gt;0,J643*100/I643,0)</f>
        <v>0</v>
      </c>
      <c r="L643" s="163"/>
      <c r="M643" s="163"/>
      <c r="N643" s="496"/>
      <c r="O643" s="163"/>
      <c r="P643" s="163"/>
      <c r="Q643" s="571"/>
      <c r="R643" s="571"/>
      <c r="S643" s="571"/>
      <c r="T643" s="571"/>
      <c r="U643" s="571"/>
      <c r="V643" s="571"/>
      <c r="W643" s="571"/>
      <c r="X643" s="571"/>
      <c r="Y643" s="571"/>
      <c r="Z643" s="571"/>
    </row>
    <row r="644" spans="1:26" ht="18.75" hidden="1">
      <c r="A644" s="735"/>
      <c r="B644" s="568"/>
      <c r="C644" s="754"/>
      <c r="D644" s="619"/>
      <c r="E644" s="737" t="s">
        <v>273</v>
      </c>
      <c r="F644" s="619"/>
      <c r="G644" s="753"/>
      <c r="H644" s="755" t="s">
        <v>274</v>
      </c>
      <c r="I644" s="269">
        <f ca="1">IFERROR(__xludf.DUMMYFUNCTION("IMPORTRANGE(""https://docs.google.com/spreadsheets/d/1QqKyyYR6Q21VydFLVH3TRQUabQu_ym0Zz7PgGX0-kHA/edit?usp=sharing"",""แผน!HR73"")"),0)</f>
        <v>0</v>
      </c>
      <c r="J644" s="214">
        <v>0</v>
      </c>
      <c r="K644" s="163">
        <f t="shared" ca="1" si="270"/>
        <v>0</v>
      </c>
      <c r="L644" s="163"/>
      <c r="M644" s="163"/>
      <c r="N644" s="496"/>
      <c r="O644" s="163"/>
      <c r="P644" s="163"/>
      <c r="Q644" s="571"/>
      <c r="R644" s="571"/>
      <c r="S644" s="571"/>
      <c r="T644" s="571"/>
      <c r="U644" s="571"/>
      <c r="V644" s="571"/>
      <c r="W644" s="571"/>
      <c r="X644" s="571"/>
      <c r="Y644" s="571"/>
      <c r="Z644" s="571"/>
    </row>
    <row r="645" spans="1:26" ht="18.75" hidden="1">
      <c r="A645" s="735"/>
      <c r="B645" s="568"/>
      <c r="C645" s="754"/>
      <c r="D645" s="619"/>
      <c r="E645" s="737" t="s">
        <v>275</v>
      </c>
      <c r="F645" s="619"/>
      <c r="G645" s="753"/>
      <c r="H645" s="755" t="s">
        <v>34</v>
      </c>
      <c r="I645" s="269">
        <v>0</v>
      </c>
      <c r="J645" s="269">
        <f ca="1">IFERROR(__xludf.DUMMYFUNCTION("IMPORTRANGE(""https://docs.google.com/spreadsheets/d/1XWAQStnk-4SwqDmLtmXYiTMKHgktTP8We1SCoS47DrQ/edit?usp=sharing"",""จัดที่ดิน!AS73"")"),0)</f>
        <v>0</v>
      </c>
      <c r="K645" s="163">
        <f t="shared" si="270"/>
        <v>0</v>
      </c>
      <c r="L645" s="163"/>
      <c r="M645" s="163"/>
      <c r="N645" s="496"/>
      <c r="O645" s="163"/>
      <c r="P645" s="163"/>
      <c r="Q645" s="571"/>
      <c r="R645" s="571"/>
      <c r="S645" s="571"/>
      <c r="T645" s="571"/>
      <c r="U645" s="571"/>
      <c r="V645" s="571"/>
      <c r="W645" s="571"/>
      <c r="X645" s="571"/>
      <c r="Y645" s="571"/>
      <c r="Z645" s="571"/>
    </row>
    <row r="646" spans="1:26" ht="18.75" hidden="1">
      <c r="A646" s="735"/>
      <c r="B646" s="568"/>
      <c r="C646" s="754"/>
      <c r="D646" s="619"/>
      <c r="E646" s="619"/>
      <c r="F646" s="619"/>
      <c r="G646" s="753"/>
      <c r="H646" s="755" t="s">
        <v>46</v>
      </c>
      <c r="I646" s="269">
        <v>0</v>
      </c>
      <c r="J646" s="269">
        <f ca="1">IFERROR(__xludf.DUMMYFUNCTION("IMPORTRANGE(""https://docs.google.com/spreadsheets/d/1XWAQStnk-4SwqDmLtmXYiTMKHgktTP8We1SCoS47DrQ/edit?usp=sharing"",""จัดที่ดิน!AT73"")"),0)</f>
        <v>0</v>
      </c>
      <c r="K646" s="496">
        <f t="shared" si="270"/>
        <v>0</v>
      </c>
      <c r="L646" s="163"/>
      <c r="M646" s="163"/>
      <c r="N646" s="496"/>
      <c r="O646" s="163"/>
      <c r="P646" s="163"/>
      <c r="Q646" s="571"/>
      <c r="R646" s="571"/>
      <c r="S646" s="571"/>
      <c r="T646" s="571"/>
      <c r="U646" s="571"/>
      <c r="V646" s="571"/>
      <c r="W646" s="571"/>
      <c r="X646" s="571"/>
      <c r="Y646" s="571"/>
      <c r="Z646" s="571"/>
    </row>
    <row r="647" spans="1:26" ht="18.75" hidden="1">
      <c r="A647" s="735"/>
      <c r="B647" s="568"/>
      <c r="C647" s="754"/>
      <c r="D647" s="619"/>
      <c r="E647" s="737" t="s">
        <v>162</v>
      </c>
      <c r="F647" s="619"/>
      <c r="G647" s="753"/>
      <c r="H647" s="755" t="s">
        <v>35</v>
      </c>
      <c r="I647" s="269">
        <f ca="1">IFERROR(__xludf.DUMMYFUNCTION("IMPORTRANGE(""https://docs.google.com/spreadsheets/d/1QqKyyYR6Q21VydFLVH3TRQUabQu_ym0Zz7PgGX0-kHA/edit?usp=sharing"",""แผน!HS73"")"),0)</f>
        <v>0</v>
      </c>
      <c r="J647" s="269">
        <f ca="1">IFERROR(__xludf.DUMMYFUNCTION("IMPORTRANGE(""https://docs.google.com/spreadsheets/d/1XWAQStnk-4SwqDmLtmXYiTMKHgktTP8We1SCoS47DrQ/edit?usp=sharing"",""จัดที่ดิน!AU73"")"),0)</f>
        <v>0</v>
      </c>
      <c r="K647" s="163">
        <f t="shared" ca="1" si="270"/>
        <v>0</v>
      </c>
      <c r="L647" s="163"/>
      <c r="M647" s="163"/>
      <c r="N647" s="163"/>
      <c r="O647" s="163"/>
      <c r="P647" s="163"/>
      <c r="Q647" s="571"/>
      <c r="R647" s="571"/>
      <c r="S647" s="571"/>
      <c r="T647" s="571"/>
      <c r="U647" s="571"/>
      <c r="V647" s="571"/>
      <c r="W647" s="571"/>
      <c r="X647" s="571"/>
      <c r="Y647" s="571"/>
      <c r="Z647" s="571"/>
    </row>
    <row r="648" spans="1:26" ht="18.75" hidden="1">
      <c r="A648" s="735"/>
      <c r="B648" s="568"/>
      <c r="C648" s="754"/>
      <c r="D648" s="619"/>
      <c r="E648" s="619"/>
      <c r="F648" s="619"/>
      <c r="G648" s="753"/>
      <c r="H648" s="755" t="s">
        <v>46</v>
      </c>
      <c r="I648" s="269">
        <v>0</v>
      </c>
      <c r="J648" s="269">
        <f ca="1">IFERROR(__xludf.DUMMYFUNCTION("IMPORTRANGE(""https://docs.google.com/spreadsheets/d/1XWAQStnk-4SwqDmLtmXYiTMKHgktTP8We1SCoS47DrQ/edit?usp=sharing"",""จัดที่ดิน!AV73"")"),0)</f>
        <v>0</v>
      </c>
      <c r="K648" s="496">
        <f t="shared" si="270"/>
        <v>0</v>
      </c>
      <c r="L648" s="163"/>
      <c r="M648" s="163"/>
      <c r="N648" s="163"/>
      <c r="O648" s="163"/>
      <c r="P648" s="163"/>
      <c r="Q648" s="571"/>
      <c r="R648" s="571"/>
      <c r="S648" s="571"/>
      <c r="T648" s="571"/>
      <c r="U648" s="571"/>
      <c r="V648" s="571"/>
      <c r="W648" s="571"/>
      <c r="X648" s="571"/>
      <c r="Y648" s="571"/>
      <c r="Z648" s="571"/>
    </row>
    <row r="649" spans="1:26" ht="18.75" hidden="1">
      <c r="A649" s="735"/>
      <c r="B649" s="568"/>
      <c r="C649" s="754"/>
      <c r="D649" s="619"/>
      <c r="E649" s="737" t="s">
        <v>276</v>
      </c>
      <c r="F649" s="619"/>
      <c r="G649" s="753"/>
      <c r="H649" s="755" t="s">
        <v>35</v>
      </c>
      <c r="I649" s="269">
        <f ca="1">IFERROR(__xludf.DUMMYFUNCTION("IMPORTRANGE(""https://docs.google.com/spreadsheets/d/1QqKyyYR6Q21VydFLVH3TRQUabQu_ym0Zz7PgGX0-kHA/edit?usp=sharing"",""แผน!HS73"")"),0)</f>
        <v>0</v>
      </c>
      <c r="J649" s="269">
        <f ca="1">IFERROR(__xludf.DUMMYFUNCTION("IMPORTRANGE(""https://docs.google.com/spreadsheets/d/1XWAQStnk-4SwqDmLtmXYiTMKHgktTP8We1SCoS47DrQ/edit?usp=sharing"",""จัดที่ดิน!AW73"")"),0)</f>
        <v>0</v>
      </c>
      <c r="K649" s="163">
        <f t="shared" ca="1" si="270"/>
        <v>0</v>
      </c>
      <c r="L649" s="163"/>
      <c r="M649" s="163"/>
      <c r="N649" s="163"/>
      <c r="O649" s="163"/>
      <c r="P649" s="163"/>
      <c r="Q649" s="571"/>
      <c r="R649" s="571"/>
      <c r="S649" s="571"/>
      <c r="T649" s="571"/>
      <c r="U649" s="571"/>
      <c r="V649" s="571"/>
      <c r="W649" s="571"/>
      <c r="X649" s="571"/>
      <c r="Y649" s="571"/>
      <c r="Z649" s="571"/>
    </row>
    <row r="650" spans="1:26" ht="18.75" hidden="1">
      <c r="A650" s="735"/>
      <c r="B650" s="568"/>
      <c r="C650" s="754"/>
      <c r="D650" s="619"/>
      <c r="E650" s="619"/>
      <c r="F650" s="619"/>
      <c r="G650" s="753"/>
      <c r="H650" s="755" t="s">
        <v>46</v>
      </c>
      <c r="I650" s="269">
        <v>0</v>
      </c>
      <c r="J650" s="269">
        <f ca="1">IFERROR(__xludf.DUMMYFUNCTION("IMPORTRANGE(""https://docs.google.com/spreadsheets/d/1XWAQStnk-4SwqDmLtmXYiTMKHgktTP8We1SCoS47DrQ/edit?usp=sharing"",""จัดที่ดิน!AX73"")"),0)</f>
        <v>0</v>
      </c>
      <c r="K650" s="496">
        <f t="shared" si="270"/>
        <v>0</v>
      </c>
      <c r="L650" s="163"/>
      <c r="M650" s="163"/>
      <c r="N650" s="163"/>
      <c r="O650" s="163"/>
      <c r="P650" s="163"/>
      <c r="Q650" s="571"/>
      <c r="R650" s="571"/>
      <c r="S650" s="571"/>
      <c r="T650" s="571"/>
      <c r="U650" s="571"/>
      <c r="V650" s="571"/>
      <c r="W650" s="571"/>
      <c r="X650" s="571"/>
      <c r="Y650" s="571"/>
      <c r="Z650" s="571"/>
    </row>
    <row r="651" spans="1:26" ht="18.75" hidden="1">
      <c r="A651" s="735"/>
      <c r="B651" s="568"/>
      <c r="C651" s="754"/>
      <c r="D651" s="619"/>
      <c r="E651" s="737" t="s">
        <v>277</v>
      </c>
      <c r="F651" s="619"/>
      <c r="G651" s="753"/>
      <c r="H651" s="755" t="s">
        <v>35</v>
      </c>
      <c r="I651" s="269">
        <f ca="1">IFERROR(__xludf.DUMMYFUNCTION("IMPORTRANGE(""https://docs.google.com/spreadsheets/d/1QqKyyYR6Q21VydFLVH3TRQUabQu_ym0Zz7PgGX0-kHA/edit?usp=sharing"",""แผน!HS73"")"),0)</f>
        <v>0</v>
      </c>
      <c r="J651" s="269">
        <f ca="1">IFERROR(__xludf.DUMMYFUNCTION("IMPORTRANGE(""https://docs.google.com/spreadsheets/d/1XWAQStnk-4SwqDmLtmXYiTMKHgktTP8We1SCoS47DrQ/edit?usp=sharing"",""จัดที่ดิน!AY73"")"),0)</f>
        <v>0</v>
      </c>
      <c r="K651" s="163">
        <f t="shared" ca="1" si="270"/>
        <v>0</v>
      </c>
      <c r="L651" s="163"/>
      <c r="M651" s="163"/>
      <c r="N651" s="163"/>
      <c r="O651" s="163"/>
      <c r="P651" s="163"/>
      <c r="Q651" s="571"/>
      <c r="R651" s="571"/>
      <c r="S651" s="571"/>
      <c r="T651" s="571"/>
      <c r="U651" s="571"/>
      <c r="V651" s="571"/>
      <c r="W651" s="571"/>
      <c r="X651" s="571"/>
      <c r="Y651" s="571"/>
      <c r="Z651" s="571"/>
    </row>
    <row r="652" spans="1:26" ht="18.75" hidden="1">
      <c r="A652" s="738"/>
      <c r="B652" s="739"/>
      <c r="C652" s="740"/>
      <c r="D652" s="725"/>
      <c r="E652" s="725"/>
      <c r="F652" s="725"/>
      <c r="G652" s="726"/>
      <c r="H652" s="498" t="s">
        <v>46</v>
      </c>
      <c r="I652" s="499">
        <v>0</v>
      </c>
      <c r="J652" s="499">
        <f ca="1">IFERROR(__xludf.DUMMYFUNCTION("IMPORTRANGE(""https://docs.google.com/spreadsheets/d/1XWAQStnk-4SwqDmLtmXYiTMKHgktTP8We1SCoS47DrQ/edit?usp=sharing"",""จัดที่ดิน!AZ73"")"),0)</f>
        <v>0</v>
      </c>
      <c r="K652" s="500">
        <f t="shared" si="270"/>
        <v>0</v>
      </c>
      <c r="L652" s="384"/>
      <c r="M652" s="384"/>
      <c r="N652" s="384"/>
      <c r="O652" s="384"/>
      <c r="P652" s="384"/>
      <c r="Q652" s="571"/>
      <c r="R652" s="571"/>
      <c r="S652" s="571"/>
      <c r="T652" s="571"/>
      <c r="U652" s="571"/>
      <c r="V652" s="571"/>
      <c r="W652" s="571"/>
      <c r="X652" s="571"/>
      <c r="Y652" s="571"/>
      <c r="Z652" s="571"/>
    </row>
    <row r="653" spans="1:26" ht="19.5">
      <c r="A653" s="741">
        <v>8</v>
      </c>
      <c r="B653" s="728" t="s">
        <v>278</v>
      </c>
      <c r="C653" s="729"/>
      <c r="D653" s="729"/>
      <c r="E653" s="729"/>
      <c r="F653" s="729"/>
      <c r="G653" s="730"/>
      <c r="H653" s="730"/>
      <c r="I653" s="742"/>
      <c r="J653" s="742"/>
      <c r="K653" s="734"/>
      <c r="L653" s="734"/>
      <c r="M653" s="734"/>
      <c r="N653" s="734"/>
      <c r="O653" s="734"/>
      <c r="P653" s="734"/>
      <c r="Q653" s="571"/>
      <c r="R653" s="571"/>
      <c r="S653" s="571"/>
      <c r="T653" s="571"/>
      <c r="U653" s="571"/>
      <c r="V653" s="571"/>
      <c r="W653" s="571"/>
      <c r="X653" s="571"/>
      <c r="Y653" s="571"/>
      <c r="Z653" s="571"/>
    </row>
    <row r="654" spans="1:26" ht="19.5">
      <c r="A654" s="666"/>
      <c r="B654" s="665" t="s">
        <v>279</v>
      </c>
      <c r="C654" s="666"/>
      <c r="D654" s="666"/>
      <c r="E654" s="666"/>
      <c r="F654" s="666"/>
      <c r="G654" s="667"/>
      <c r="H654" s="698" t="s">
        <v>46</v>
      </c>
      <c r="I654" s="699">
        <f t="shared" ref="I654:J654" ca="1" si="271">I669</f>
        <v>100</v>
      </c>
      <c r="J654" s="699">
        <f t="shared" si="271"/>
        <v>0</v>
      </c>
      <c r="K654" s="670">
        <f ca="1">IF(I654&gt;0,J654*100/I654,0)</f>
        <v>0</v>
      </c>
      <c r="L654" s="671"/>
      <c r="M654" s="671"/>
      <c r="N654" s="671"/>
      <c r="O654" s="671"/>
      <c r="P654" s="671"/>
      <c r="Q654" s="571"/>
      <c r="R654" s="571"/>
      <c r="S654" s="571"/>
      <c r="T654" s="571"/>
      <c r="U654" s="571"/>
      <c r="V654" s="571"/>
      <c r="W654" s="571"/>
      <c r="X654" s="571"/>
      <c r="Y654" s="571"/>
      <c r="Z654" s="571"/>
    </row>
    <row r="655" spans="1:26" ht="19.5">
      <c r="A655" s="590"/>
      <c r="B655" s="754"/>
      <c r="C655" s="754" t="s">
        <v>16</v>
      </c>
      <c r="D655" s="863" t="s">
        <v>17</v>
      </c>
      <c r="E655" s="857"/>
      <c r="F655" s="857"/>
      <c r="G655" s="189"/>
      <c r="H655" s="591" t="s">
        <v>12</v>
      </c>
      <c r="I655" s="269"/>
      <c r="J655" s="269"/>
      <c r="K655" s="496"/>
      <c r="L655" s="195">
        <f t="shared" ref="L655:N655" ca="1" si="272">L656+L657</f>
        <v>12400</v>
      </c>
      <c r="M655" s="195">
        <f t="shared" si="272"/>
        <v>0</v>
      </c>
      <c r="N655" s="195">
        <f t="shared" si="272"/>
        <v>0</v>
      </c>
      <c r="O655" s="195">
        <f t="shared" ref="O655:O660" ca="1" si="273">IF(L655&gt;0,N655*100/L655,0)</f>
        <v>0</v>
      </c>
      <c r="P655" s="195">
        <f t="shared" ref="P655:P660" si="274">IF(M655&gt;0,N655*100/M655,0)</f>
        <v>0</v>
      </c>
      <c r="Q655" s="571"/>
      <c r="R655" s="571"/>
      <c r="S655" s="571"/>
      <c r="T655" s="571"/>
      <c r="U655" s="571"/>
      <c r="V655" s="571"/>
      <c r="W655" s="571"/>
      <c r="X655" s="571"/>
      <c r="Y655" s="571"/>
      <c r="Z655" s="571"/>
    </row>
    <row r="656" spans="1:26" ht="18.75" hidden="1">
      <c r="A656" s="592"/>
      <c r="B656" s="750"/>
      <c r="C656" s="750"/>
      <c r="D656" s="711"/>
      <c r="E656" s="750" t="s">
        <v>184</v>
      </c>
      <c r="F656" s="750"/>
      <c r="G656" s="596"/>
      <c r="H656" s="165" t="s">
        <v>12</v>
      </c>
      <c r="I656" s="610"/>
      <c r="J656" s="610"/>
      <c r="K656" s="93"/>
      <c r="L656" s="93">
        <f t="shared" ref="L656:N657" si="275">L659+L666</f>
        <v>0</v>
      </c>
      <c r="M656" s="93">
        <f t="shared" si="275"/>
        <v>0</v>
      </c>
      <c r="N656" s="93">
        <f t="shared" si="275"/>
        <v>0</v>
      </c>
      <c r="O656" s="93">
        <f t="shared" si="273"/>
        <v>0</v>
      </c>
      <c r="P656" s="93">
        <f t="shared" si="274"/>
        <v>0</v>
      </c>
      <c r="Q656" s="597"/>
      <c r="R656" s="597"/>
      <c r="S656" s="597"/>
      <c r="T656" s="597"/>
      <c r="U656" s="597"/>
      <c r="V656" s="597"/>
      <c r="W656" s="597"/>
      <c r="X656" s="597"/>
      <c r="Y656" s="597"/>
      <c r="Z656" s="597"/>
    </row>
    <row r="657" spans="1:26" ht="18.75" hidden="1">
      <c r="A657" s="592"/>
      <c r="B657" s="600"/>
      <c r="C657" s="750"/>
      <c r="D657" s="711"/>
      <c r="E657" s="750" t="s">
        <v>185</v>
      </c>
      <c r="F657" s="750"/>
      <c r="G657" s="596"/>
      <c r="H657" s="165" t="s">
        <v>12</v>
      </c>
      <c r="I657" s="610"/>
      <c r="J657" s="610"/>
      <c r="K657" s="93"/>
      <c r="L657" s="93">
        <f t="shared" ca="1" si="275"/>
        <v>12400</v>
      </c>
      <c r="M657" s="93">
        <f t="shared" si="275"/>
        <v>0</v>
      </c>
      <c r="N657" s="93">
        <f t="shared" si="275"/>
        <v>0</v>
      </c>
      <c r="O657" s="93">
        <f t="shared" ca="1" si="273"/>
        <v>0</v>
      </c>
      <c r="P657" s="93">
        <f t="shared" si="274"/>
        <v>0</v>
      </c>
      <c r="Q657" s="597"/>
      <c r="R657" s="597"/>
      <c r="S657" s="597"/>
      <c r="T657" s="597"/>
      <c r="U657" s="597"/>
      <c r="V657" s="597"/>
      <c r="W657" s="597"/>
      <c r="X657" s="597"/>
      <c r="Y657" s="597"/>
      <c r="Z657" s="597"/>
    </row>
    <row r="658" spans="1:26" ht="18.75">
      <c r="A658" s="590"/>
      <c r="B658" s="568"/>
      <c r="C658" s="754"/>
      <c r="D658" s="599" t="s">
        <v>20</v>
      </c>
      <c r="E658" s="754"/>
      <c r="F658" s="754"/>
      <c r="G658" s="189"/>
      <c r="H658" s="161" t="s">
        <v>12</v>
      </c>
      <c r="I658" s="184"/>
      <c r="J658" s="184"/>
      <c r="K658" s="163"/>
      <c r="L658" s="496">
        <f t="shared" ref="L658:N658" ca="1" si="276">L659+L660</f>
        <v>12400</v>
      </c>
      <c r="M658" s="496">
        <f t="shared" si="276"/>
        <v>0</v>
      </c>
      <c r="N658" s="496">
        <f t="shared" si="276"/>
        <v>0</v>
      </c>
      <c r="O658" s="496">
        <f t="shared" ca="1" si="273"/>
        <v>0</v>
      </c>
      <c r="P658" s="496">
        <f t="shared" si="274"/>
        <v>0</v>
      </c>
      <c r="Q658" s="571"/>
      <c r="R658" s="571"/>
      <c r="S658" s="571"/>
      <c r="T658" s="571"/>
      <c r="U658" s="571"/>
      <c r="V658" s="571"/>
      <c r="W658" s="571"/>
      <c r="X658" s="571"/>
      <c r="Y658" s="571"/>
      <c r="Z658" s="571"/>
    </row>
    <row r="659" spans="1:26" ht="18.75" hidden="1">
      <c r="A659" s="592"/>
      <c r="B659" s="600"/>
      <c r="C659" s="750"/>
      <c r="D659" s="711"/>
      <c r="E659" s="750" t="s">
        <v>184</v>
      </c>
      <c r="F659" s="750"/>
      <c r="G659" s="596"/>
      <c r="H659" s="165" t="s">
        <v>12</v>
      </c>
      <c r="I659" s="610"/>
      <c r="J659" s="610"/>
      <c r="K659" s="93"/>
      <c r="L659" s="93">
        <v>0</v>
      </c>
      <c r="M659" s="93">
        <v>0</v>
      </c>
      <c r="N659" s="93">
        <v>0</v>
      </c>
      <c r="O659" s="93">
        <f t="shared" si="273"/>
        <v>0</v>
      </c>
      <c r="P659" s="93">
        <f t="shared" si="274"/>
        <v>0</v>
      </c>
      <c r="Q659" s="597"/>
      <c r="R659" s="597"/>
      <c r="S659" s="597"/>
      <c r="T659" s="597"/>
      <c r="U659" s="597"/>
      <c r="V659" s="597"/>
      <c r="W659" s="597"/>
      <c r="X659" s="597"/>
      <c r="Y659" s="597"/>
      <c r="Z659" s="597"/>
    </row>
    <row r="660" spans="1:26" ht="18.75" hidden="1">
      <c r="A660" s="592"/>
      <c r="B660" s="600"/>
      <c r="C660" s="750"/>
      <c r="D660" s="711"/>
      <c r="E660" s="750" t="s">
        <v>185</v>
      </c>
      <c r="F660" s="750"/>
      <c r="G660" s="596"/>
      <c r="H660" s="165" t="s">
        <v>12</v>
      </c>
      <c r="I660" s="610"/>
      <c r="J660" s="610"/>
      <c r="K660" s="93"/>
      <c r="L660" s="93">
        <f ca="1">IFERROR(__xludf.DUMMYFUNCTION("IMPORTRANGE(""https://docs.google.com/spreadsheets/d/1QqKyyYR6Q21VydFLVH3TRQUabQu_ym0Zz7PgGX0-kHA/edit?usp=sharing"",""แผน!HV73"")"),12400)</f>
        <v>12400</v>
      </c>
      <c r="M660" s="93">
        <v>0</v>
      </c>
      <c r="N660" s="93">
        <f>N661+N662+N663+N664</f>
        <v>0</v>
      </c>
      <c r="O660" s="93">
        <f t="shared" ca="1" si="273"/>
        <v>0</v>
      </c>
      <c r="P660" s="93">
        <f t="shared" si="274"/>
        <v>0</v>
      </c>
      <c r="Q660" s="597"/>
      <c r="R660" s="597"/>
      <c r="S660" s="597"/>
      <c r="T660" s="597"/>
      <c r="U660" s="597"/>
      <c r="V660" s="597"/>
      <c r="W660" s="597"/>
      <c r="X660" s="597"/>
      <c r="Y660" s="597"/>
      <c r="Z660" s="597"/>
    </row>
    <row r="661" spans="1:26" ht="18.75">
      <c r="A661" s="567"/>
      <c r="B661" s="568"/>
      <c r="C661" s="754"/>
      <c r="D661" s="754"/>
      <c r="E661" s="754"/>
      <c r="F661" s="754" t="s">
        <v>186</v>
      </c>
      <c r="G661" s="189"/>
      <c r="H661" s="161" t="s">
        <v>12</v>
      </c>
      <c r="I661" s="269"/>
      <c r="J661" s="269"/>
      <c r="K661" s="496"/>
      <c r="L661" s="496"/>
      <c r="M661" s="496"/>
      <c r="N661" s="817">
        <v>0</v>
      </c>
      <c r="O661" s="496"/>
      <c r="P661" s="496"/>
      <c r="Q661" s="571"/>
      <c r="R661" s="571"/>
      <c r="S661" s="571"/>
      <c r="T661" s="571"/>
      <c r="U661" s="571"/>
      <c r="V661" s="571"/>
      <c r="W661" s="571"/>
      <c r="X661" s="571"/>
      <c r="Y661" s="571"/>
      <c r="Z661" s="571"/>
    </row>
    <row r="662" spans="1:26" ht="18.75">
      <c r="A662" s="567"/>
      <c r="B662" s="568"/>
      <c r="C662" s="754"/>
      <c r="D662" s="754"/>
      <c r="E662" s="754"/>
      <c r="F662" s="754" t="s">
        <v>187</v>
      </c>
      <c r="G662" s="189"/>
      <c r="H662" s="161" t="s">
        <v>12</v>
      </c>
      <c r="I662" s="269"/>
      <c r="J662" s="269"/>
      <c r="K662" s="496"/>
      <c r="L662" s="496"/>
      <c r="M662" s="496"/>
      <c r="N662" s="817">
        <v>0</v>
      </c>
      <c r="O662" s="496"/>
      <c r="P662" s="496"/>
      <c r="Q662" s="571"/>
      <c r="R662" s="571"/>
      <c r="S662" s="571"/>
      <c r="T662" s="571"/>
      <c r="U662" s="571"/>
      <c r="V662" s="571"/>
      <c r="W662" s="571"/>
      <c r="X662" s="571"/>
      <c r="Y662" s="571"/>
      <c r="Z662" s="571"/>
    </row>
    <row r="663" spans="1:26" ht="18.75">
      <c r="A663" s="567"/>
      <c r="B663" s="568"/>
      <c r="C663" s="568"/>
      <c r="D663" s="754"/>
      <c r="E663" s="754"/>
      <c r="F663" s="754" t="s">
        <v>188</v>
      </c>
      <c r="G663" s="189"/>
      <c r="H663" s="161" t="s">
        <v>12</v>
      </c>
      <c r="I663" s="269"/>
      <c r="J663" s="269"/>
      <c r="K663" s="496"/>
      <c r="L663" s="496"/>
      <c r="M663" s="496"/>
      <c r="N663" s="817">
        <v>0</v>
      </c>
      <c r="O663" s="496"/>
      <c r="P663" s="496"/>
      <c r="Q663" s="571"/>
      <c r="R663" s="571"/>
      <c r="S663" s="571"/>
      <c r="T663" s="571"/>
      <c r="U663" s="571"/>
      <c r="V663" s="571"/>
      <c r="W663" s="571"/>
      <c r="X663" s="571"/>
      <c r="Y663" s="571"/>
      <c r="Z663" s="571"/>
    </row>
    <row r="664" spans="1:26" ht="18.75">
      <c r="A664" s="567"/>
      <c r="B664" s="568"/>
      <c r="C664" s="568"/>
      <c r="D664" s="568"/>
      <c r="E664" s="754"/>
      <c r="F664" s="754" t="s">
        <v>189</v>
      </c>
      <c r="G664" s="189"/>
      <c r="H664" s="161" t="s">
        <v>12</v>
      </c>
      <c r="I664" s="269"/>
      <c r="J664" s="269"/>
      <c r="K664" s="496"/>
      <c r="L664" s="496"/>
      <c r="M664" s="496"/>
      <c r="N664" s="817">
        <v>0</v>
      </c>
      <c r="O664" s="496"/>
      <c r="P664" s="496"/>
      <c r="Q664" s="571"/>
      <c r="R664" s="571"/>
      <c r="S664" s="571"/>
      <c r="T664" s="571"/>
      <c r="U664" s="571"/>
      <c r="V664" s="571"/>
      <c r="W664" s="571"/>
      <c r="X664" s="571"/>
      <c r="Y664" s="571"/>
      <c r="Z664" s="571"/>
    </row>
    <row r="665" spans="1:26" ht="18.75">
      <c r="A665" s="590"/>
      <c r="B665" s="568"/>
      <c r="C665" s="568"/>
      <c r="D665" s="599" t="s">
        <v>21</v>
      </c>
      <c r="E665" s="754"/>
      <c r="F665" s="754"/>
      <c r="G665" s="189"/>
      <c r="H665" s="168" t="s">
        <v>12</v>
      </c>
      <c r="I665" s="184"/>
      <c r="J665" s="184"/>
      <c r="K665" s="163"/>
      <c r="L665" s="496">
        <f t="shared" ref="L665:N665" si="277">L666+L667</f>
        <v>0</v>
      </c>
      <c r="M665" s="496">
        <f t="shared" si="277"/>
        <v>0</v>
      </c>
      <c r="N665" s="496">
        <f t="shared" si="277"/>
        <v>0</v>
      </c>
      <c r="O665" s="496">
        <f t="shared" ref="O665:O667" si="278">IF(L665&gt;0,N665*100/L665,0)</f>
        <v>0</v>
      </c>
      <c r="P665" s="496">
        <f t="shared" ref="P665:P667" si="279">IF(M665&gt;0,N665*100/M665,0)</f>
        <v>0</v>
      </c>
      <c r="Q665" s="571"/>
      <c r="R665" s="571"/>
      <c r="S665" s="571"/>
      <c r="T665" s="571"/>
      <c r="U665" s="571"/>
      <c r="V665" s="571"/>
      <c r="W665" s="571"/>
      <c r="X665" s="571"/>
      <c r="Y665" s="571"/>
      <c r="Z665" s="571"/>
    </row>
    <row r="666" spans="1:26" ht="18.75" hidden="1">
      <c r="A666" s="592"/>
      <c r="B666" s="600"/>
      <c r="C666" s="600"/>
      <c r="D666" s="600"/>
      <c r="E666" s="750" t="s">
        <v>18</v>
      </c>
      <c r="F666" s="750"/>
      <c r="G666" s="596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8"/>
        <v>0</v>
      </c>
      <c r="P666" s="93">
        <f t="shared" si="279"/>
        <v>0</v>
      </c>
      <c r="Q666" s="597"/>
      <c r="R666" s="597"/>
      <c r="S666" s="597"/>
      <c r="T666" s="597"/>
      <c r="U666" s="597"/>
      <c r="V666" s="597"/>
      <c r="W666" s="597"/>
      <c r="X666" s="597"/>
      <c r="Y666" s="597"/>
      <c r="Z666" s="597"/>
    </row>
    <row r="667" spans="1:26" ht="18.75" hidden="1">
      <c r="A667" s="592"/>
      <c r="B667" s="600"/>
      <c r="C667" s="600"/>
      <c r="D667" s="600"/>
      <c r="E667" s="750" t="s">
        <v>19</v>
      </c>
      <c r="F667" s="750"/>
      <c r="G667" s="596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8"/>
        <v>0</v>
      </c>
      <c r="P667" s="93">
        <f t="shared" si="279"/>
        <v>0</v>
      </c>
      <c r="Q667" s="597"/>
      <c r="R667" s="597"/>
      <c r="S667" s="597"/>
      <c r="T667" s="597"/>
      <c r="U667" s="597"/>
      <c r="V667" s="597"/>
      <c r="W667" s="597"/>
      <c r="X667" s="597"/>
      <c r="Y667" s="597"/>
      <c r="Z667" s="597"/>
    </row>
    <row r="668" spans="1:26" ht="19.5">
      <c r="A668" s="601"/>
      <c r="B668" s="611"/>
      <c r="C668" s="568" t="s">
        <v>16</v>
      </c>
      <c r="D668" s="836" t="s">
        <v>38</v>
      </c>
      <c r="E668" s="752"/>
      <c r="F668" s="752"/>
      <c r="G668" s="606"/>
      <c r="H668" s="753"/>
      <c r="I668" s="184"/>
      <c r="J668" s="184"/>
      <c r="K668" s="163"/>
      <c r="L668" s="163"/>
      <c r="M668" s="163"/>
      <c r="N668" s="163"/>
      <c r="O668" s="163"/>
      <c r="P668" s="163"/>
      <c r="Q668" s="571"/>
      <c r="R668" s="571"/>
      <c r="S668" s="571"/>
      <c r="T668" s="571"/>
      <c r="U668" s="571"/>
      <c r="V668" s="571"/>
      <c r="W668" s="571"/>
      <c r="X668" s="571"/>
      <c r="Y668" s="571"/>
      <c r="Z668" s="571"/>
    </row>
    <row r="669" spans="1:26" ht="19.5">
      <c r="A669" s="601"/>
      <c r="B669" s="611"/>
      <c r="C669" s="611"/>
      <c r="D669" s="611" t="s">
        <v>280</v>
      </c>
      <c r="E669" s="619"/>
      <c r="F669" s="619"/>
      <c r="G669" s="753"/>
      <c r="H669" s="758" t="s">
        <v>46</v>
      </c>
      <c r="I669" s="674">
        <f ca="1">IFERROR(__xludf.DUMMYFUNCTION("IMPORTRANGE(""https://docs.google.com/spreadsheets/d/1QqKyyYR6Q21VydFLVH3TRQUabQu_ym0Zz7PgGX0-kHA/edit?usp=sharing"",""แผน!IA73"")"),100)</f>
        <v>100</v>
      </c>
      <c r="J669" s="674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1"/>
      <c r="R669" s="571"/>
      <c r="S669" s="571"/>
      <c r="T669" s="571"/>
      <c r="U669" s="571"/>
      <c r="V669" s="571"/>
      <c r="W669" s="571"/>
      <c r="X669" s="571"/>
      <c r="Y669" s="571"/>
      <c r="Z669" s="571"/>
    </row>
    <row r="670" spans="1:26" ht="18.75">
      <c r="A670" s="601"/>
      <c r="B670" s="611"/>
      <c r="C670" s="611"/>
      <c r="D670" s="611"/>
      <c r="E670" s="619" t="s">
        <v>281</v>
      </c>
      <c r="F670" s="619"/>
      <c r="G670" s="753"/>
      <c r="H670" s="755" t="s">
        <v>69</v>
      </c>
      <c r="I670" s="269">
        <f ca="1">IFERROR(__xludf.DUMMYFUNCTION("IMPORTRANGE(""https://docs.google.com/spreadsheets/d/1QqKyyYR6Q21VydFLVH3TRQUabQu_ym0Zz7PgGX0-kHA/edit?usp=sharing"",""แผน!HZ73"")"),4)</f>
        <v>4</v>
      </c>
      <c r="J670" s="214">
        <v>0</v>
      </c>
      <c r="K670" s="496">
        <f ca="1">IF(I670&gt;0,(J670*100)/I670,0)</f>
        <v>0</v>
      </c>
      <c r="L670" s="163"/>
      <c r="M670" s="163"/>
      <c r="N670" s="163"/>
      <c r="O670" s="163"/>
      <c r="P670" s="163"/>
      <c r="Q670" s="571"/>
      <c r="R670" s="571"/>
      <c r="S670" s="571"/>
      <c r="T670" s="571"/>
      <c r="U670" s="571"/>
      <c r="V670" s="571"/>
      <c r="W670" s="571"/>
      <c r="X670" s="571"/>
      <c r="Y670" s="571"/>
      <c r="Z670" s="571"/>
    </row>
    <row r="671" spans="1:26" ht="18.75">
      <c r="A671" s="601"/>
      <c r="B671" s="611"/>
      <c r="C671" s="611"/>
      <c r="D671" s="611"/>
      <c r="E671" s="619" t="s">
        <v>282</v>
      </c>
      <c r="F671" s="619"/>
      <c r="G671" s="753"/>
      <c r="H671" s="755" t="s">
        <v>69</v>
      </c>
      <c r="I671" s="269">
        <f ca="1">IFERROR(__xludf.DUMMYFUNCTION("IMPORTRANGE(""https://docs.google.com/spreadsheets/d/1QqKyyYR6Q21VydFLVH3TRQUabQu_ym0Zz7PgGX0-kHA/edit?usp=sharing"",""แผน!HZ73"")"),4)</f>
        <v>4</v>
      </c>
      <c r="J671" s="214">
        <v>0</v>
      </c>
      <c r="K671" s="496">
        <f ca="1">IF(I$671&gt;0,J671*100/I$671,0)</f>
        <v>0</v>
      </c>
      <c r="L671" s="163"/>
      <c r="M671" s="163"/>
      <c r="N671" s="163"/>
      <c r="O671" s="163"/>
      <c r="P671" s="163"/>
      <c r="Q671" s="571"/>
      <c r="R671" s="571"/>
      <c r="S671" s="571"/>
      <c r="T671" s="571"/>
      <c r="U671" s="571"/>
      <c r="V671" s="571"/>
      <c r="W671" s="571"/>
      <c r="X671" s="571"/>
      <c r="Y671" s="571"/>
      <c r="Z671" s="571"/>
    </row>
    <row r="672" spans="1:26" ht="18.75">
      <c r="A672" s="601"/>
      <c r="B672" s="611"/>
      <c r="C672" s="611"/>
      <c r="D672" s="611"/>
      <c r="E672" s="619" t="s">
        <v>283</v>
      </c>
      <c r="F672" s="619"/>
      <c r="G672" s="753"/>
      <c r="H672" s="755" t="s">
        <v>46</v>
      </c>
      <c r="I672" s="269"/>
      <c r="J672" s="214">
        <v>0</v>
      </c>
      <c r="K672" s="496">
        <f t="shared" ref="K672:K675" ca="1" si="280">IF(I$669&gt;0,J672*100/I$669,0)</f>
        <v>0</v>
      </c>
      <c r="L672" s="163"/>
      <c r="M672" s="163"/>
      <c r="N672" s="163"/>
      <c r="O672" s="163"/>
      <c r="P672" s="163"/>
      <c r="Q672" s="571"/>
      <c r="R672" s="571"/>
      <c r="S672" s="571"/>
      <c r="T672" s="571"/>
      <c r="U672" s="571"/>
      <c r="V672" s="571"/>
      <c r="W672" s="571"/>
      <c r="X672" s="571"/>
      <c r="Y672" s="571"/>
      <c r="Z672" s="571"/>
    </row>
    <row r="673" spans="1:26" ht="18.75">
      <c r="A673" s="601"/>
      <c r="B673" s="611"/>
      <c r="C673" s="611"/>
      <c r="D673" s="611"/>
      <c r="E673" s="619" t="s">
        <v>284</v>
      </c>
      <c r="F673" s="619"/>
      <c r="G673" s="753"/>
      <c r="H673" s="755" t="s">
        <v>46</v>
      </c>
      <c r="I673" s="269"/>
      <c r="J673" s="214">
        <v>0</v>
      </c>
      <c r="K673" s="496">
        <f t="shared" ca="1" si="280"/>
        <v>0</v>
      </c>
      <c r="L673" s="163"/>
      <c r="M673" s="163"/>
      <c r="N673" s="163"/>
      <c r="O673" s="163"/>
      <c r="P673" s="163"/>
      <c r="Q673" s="571"/>
      <c r="R673" s="571"/>
      <c r="S673" s="571"/>
      <c r="T673" s="571"/>
      <c r="U673" s="571"/>
      <c r="V673" s="571"/>
      <c r="W673" s="571"/>
      <c r="X673" s="571"/>
      <c r="Y673" s="571"/>
      <c r="Z673" s="571"/>
    </row>
    <row r="674" spans="1:26" ht="18.75">
      <c r="A674" s="601"/>
      <c r="B674" s="611"/>
      <c r="C674" s="611"/>
      <c r="D674" s="611"/>
      <c r="E674" s="619" t="s">
        <v>285</v>
      </c>
      <c r="F674" s="619"/>
      <c r="G674" s="753"/>
      <c r="H674" s="755" t="s">
        <v>46</v>
      </c>
      <c r="I674" s="269"/>
      <c r="J674" s="214">
        <v>0</v>
      </c>
      <c r="K674" s="496">
        <f t="shared" ca="1" si="280"/>
        <v>0</v>
      </c>
      <c r="L674" s="163"/>
      <c r="M674" s="163"/>
      <c r="N674" s="163"/>
      <c r="O674" s="163"/>
      <c r="P674" s="163"/>
      <c r="Q674" s="571"/>
      <c r="R674" s="571"/>
      <c r="S674" s="571"/>
      <c r="T674" s="571"/>
      <c r="U674" s="571"/>
      <c r="V674" s="571"/>
      <c r="W674" s="571"/>
      <c r="X674" s="571"/>
      <c r="Y674" s="571"/>
      <c r="Z674" s="571"/>
    </row>
    <row r="675" spans="1:26" ht="19.5">
      <c r="A675" s="601"/>
      <c r="B675" s="611"/>
      <c r="C675" s="611"/>
      <c r="D675" s="611"/>
      <c r="E675" s="619" t="s">
        <v>286</v>
      </c>
      <c r="F675" s="619"/>
      <c r="G675" s="753"/>
      <c r="H675" s="755" t="s">
        <v>46</v>
      </c>
      <c r="I675" s="269"/>
      <c r="J675" s="674">
        <f>J676+J677</f>
        <v>0</v>
      </c>
      <c r="K675" s="195">
        <f t="shared" ca="1" si="280"/>
        <v>0</v>
      </c>
      <c r="L675" s="163"/>
      <c r="M675" s="163"/>
      <c r="N675" s="163"/>
      <c r="O675" s="163"/>
      <c r="P675" s="163"/>
      <c r="Q675" s="571"/>
      <c r="R675" s="571"/>
      <c r="S675" s="571"/>
      <c r="T675" s="571"/>
      <c r="U675" s="571"/>
      <c r="V675" s="571"/>
      <c r="W675" s="571"/>
      <c r="X675" s="571"/>
      <c r="Y675" s="571"/>
      <c r="Z675" s="571"/>
    </row>
    <row r="676" spans="1:26" ht="18.75">
      <c r="A676" s="601"/>
      <c r="B676" s="611"/>
      <c r="C676" s="611"/>
      <c r="D676" s="611"/>
      <c r="E676" s="619"/>
      <c r="F676" s="619" t="s">
        <v>287</v>
      </c>
      <c r="G676" s="753"/>
      <c r="H676" s="755" t="s">
        <v>46</v>
      </c>
      <c r="I676" s="269"/>
      <c r="J676" s="214">
        <v>0</v>
      </c>
      <c r="K676" s="496"/>
      <c r="L676" s="163"/>
      <c r="M676" s="163"/>
      <c r="N676" s="163"/>
      <c r="O676" s="163"/>
      <c r="P676" s="163"/>
      <c r="Q676" s="571"/>
      <c r="R676" s="571"/>
      <c r="S676" s="571"/>
      <c r="T676" s="571"/>
      <c r="U676" s="571"/>
      <c r="V676" s="571"/>
      <c r="W676" s="571"/>
      <c r="X676" s="571"/>
      <c r="Y676" s="571"/>
      <c r="Z676" s="571"/>
    </row>
    <row r="677" spans="1:26" ht="18.75">
      <c r="A677" s="601"/>
      <c r="B677" s="611"/>
      <c r="C677" s="611"/>
      <c r="D677" s="611"/>
      <c r="E677" s="619"/>
      <c r="F677" s="619" t="s">
        <v>288</v>
      </c>
      <c r="G677" s="753"/>
      <c r="H677" s="755" t="s">
        <v>46</v>
      </c>
      <c r="I677" s="269"/>
      <c r="J677" s="214">
        <v>0</v>
      </c>
      <c r="K677" s="496"/>
      <c r="L677" s="163"/>
      <c r="M677" s="163"/>
      <c r="N677" s="163"/>
      <c r="O677" s="163"/>
      <c r="P677" s="163"/>
      <c r="Q677" s="571"/>
      <c r="R677" s="571"/>
      <c r="S677" s="571"/>
      <c r="T677" s="571"/>
      <c r="U677" s="571"/>
      <c r="V677" s="571"/>
      <c r="W677" s="571"/>
      <c r="X677" s="571"/>
      <c r="Y677" s="571"/>
      <c r="Z677" s="571"/>
    </row>
    <row r="678" spans="1:26" ht="19.5">
      <c r="A678" s="601"/>
      <c r="B678" s="611"/>
      <c r="C678" s="611"/>
      <c r="D678" s="611" t="s">
        <v>289</v>
      </c>
      <c r="E678" s="619"/>
      <c r="F678" s="619"/>
      <c r="G678" s="753"/>
      <c r="H678" s="755" t="s">
        <v>46</v>
      </c>
      <c r="I678" s="674">
        <f ca="1">IFERROR(__xludf.DUMMYFUNCTION("IMPORTRANGE(""https://docs.google.com/spreadsheets/d/1QqKyyYR6Q21VydFLVH3TRQUabQu_ym0Zz7PgGX0-kHA/edit?usp=sharing"",""แผน!IB73"")"),0)</f>
        <v>0</v>
      </c>
      <c r="J678" s="674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1"/>
      <c r="R678" s="571"/>
      <c r="S678" s="571"/>
      <c r="T678" s="571"/>
      <c r="U678" s="571"/>
      <c r="V678" s="571"/>
      <c r="W678" s="571"/>
      <c r="X678" s="571"/>
      <c r="Y678" s="571"/>
      <c r="Z678" s="571"/>
    </row>
    <row r="679" spans="1:26" ht="18.75">
      <c r="A679" s="601"/>
      <c r="B679" s="611"/>
      <c r="C679" s="611"/>
      <c r="D679" s="611"/>
      <c r="E679" s="619" t="s">
        <v>290</v>
      </c>
      <c r="F679" s="619"/>
      <c r="G679" s="753"/>
      <c r="H679" s="755" t="s">
        <v>46</v>
      </c>
      <c r="I679" s="269"/>
      <c r="J679" s="269">
        <f>J680+J681</f>
        <v>0</v>
      </c>
      <c r="K679" s="496"/>
      <c r="L679" s="163"/>
      <c r="M679" s="163"/>
      <c r="N679" s="163"/>
      <c r="O679" s="163"/>
      <c r="P679" s="163"/>
      <c r="Q679" s="571"/>
      <c r="R679" s="571"/>
      <c r="S679" s="571"/>
      <c r="T679" s="571"/>
      <c r="U679" s="571"/>
      <c r="V679" s="571"/>
      <c r="W679" s="571"/>
      <c r="X679" s="571"/>
      <c r="Y679" s="571"/>
      <c r="Z679" s="571"/>
    </row>
    <row r="680" spans="1:26" ht="18.75">
      <c r="A680" s="601"/>
      <c r="B680" s="611"/>
      <c r="C680" s="611"/>
      <c r="D680" s="611"/>
      <c r="E680" s="619"/>
      <c r="F680" s="619" t="s">
        <v>287</v>
      </c>
      <c r="G680" s="753"/>
      <c r="H680" s="755" t="s">
        <v>46</v>
      </c>
      <c r="I680" s="269"/>
      <c r="J680" s="214">
        <v>0</v>
      </c>
      <c r="K680" s="496"/>
      <c r="L680" s="163"/>
      <c r="M680" s="163"/>
      <c r="N680" s="163"/>
      <c r="O680" s="163"/>
      <c r="P680" s="163"/>
      <c r="Q680" s="571"/>
      <c r="R680" s="571"/>
      <c r="S680" s="571"/>
      <c r="T680" s="571"/>
      <c r="U680" s="571"/>
      <c r="V680" s="571"/>
      <c r="W680" s="571"/>
      <c r="X680" s="571"/>
      <c r="Y680" s="571"/>
      <c r="Z680" s="571"/>
    </row>
    <row r="681" spans="1:26" ht="18.75">
      <c r="A681" s="601"/>
      <c r="B681" s="611"/>
      <c r="C681" s="611"/>
      <c r="D681" s="611"/>
      <c r="E681" s="619"/>
      <c r="F681" s="619" t="s">
        <v>288</v>
      </c>
      <c r="G681" s="753"/>
      <c r="H681" s="755" t="s">
        <v>46</v>
      </c>
      <c r="I681" s="269"/>
      <c r="J681" s="214">
        <v>0</v>
      </c>
      <c r="K681" s="496"/>
      <c r="L681" s="163"/>
      <c r="M681" s="163"/>
      <c r="N681" s="163"/>
      <c r="O681" s="163"/>
      <c r="P681" s="163"/>
      <c r="Q681" s="571"/>
      <c r="R681" s="571"/>
      <c r="S681" s="571"/>
      <c r="T681" s="571"/>
      <c r="U681" s="571"/>
      <c r="V681" s="571"/>
      <c r="W681" s="571"/>
      <c r="X681" s="571"/>
      <c r="Y681" s="571"/>
      <c r="Z681" s="571"/>
    </row>
    <row r="682" spans="1:26" ht="18.75">
      <c r="A682" s="601"/>
      <c r="B682" s="611"/>
      <c r="C682" s="611"/>
      <c r="D682" s="611"/>
      <c r="E682" s="619" t="s">
        <v>291</v>
      </c>
      <c r="F682" s="619"/>
      <c r="G682" s="753"/>
      <c r="H682" s="755" t="s">
        <v>46</v>
      </c>
      <c r="I682" s="269"/>
      <c r="J682" s="214">
        <v>0</v>
      </c>
      <c r="K682" s="496"/>
      <c r="L682" s="163"/>
      <c r="M682" s="163"/>
      <c r="N682" s="163"/>
      <c r="O682" s="163"/>
      <c r="P682" s="163"/>
      <c r="Q682" s="571"/>
      <c r="R682" s="571"/>
      <c r="S682" s="571"/>
      <c r="T682" s="571"/>
      <c r="U682" s="571"/>
      <c r="V682" s="571"/>
      <c r="W682" s="571"/>
      <c r="X682" s="571"/>
      <c r="Y682" s="571"/>
      <c r="Z682" s="571"/>
    </row>
    <row r="683" spans="1:26" ht="18.75">
      <c r="A683" s="601"/>
      <c r="B683" s="611"/>
      <c r="C683" s="611"/>
      <c r="D683" s="611"/>
      <c r="E683" s="619"/>
      <c r="F683" s="619" t="s">
        <v>292</v>
      </c>
      <c r="G683" s="753"/>
      <c r="H683" s="755" t="s">
        <v>46</v>
      </c>
      <c r="I683" s="269"/>
      <c r="J683" s="214">
        <v>0</v>
      </c>
      <c r="K683" s="496"/>
      <c r="L683" s="163"/>
      <c r="M683" s="163"/>
      <c r="N683" s="163"/>
      <c r="O683" s="163"/>
      <c r="P683" s="163"/>
      <c r="Q683" s="571"/>
      <c r="R683" s="571"/>
      <c r="S683" s="571"/>
      <c r="T683" s="571"/>
      <c r="U683" s="571"/>
      <c r="V683" s="571"/>
      <c r="W683" s="571"/>
      <c r="X683" s="571"/>
      <c r="Y683" s="571"/>
      <c r="Z683" s="571"/>
    </row>
    <row r="684" spans="1:26" ht="19.5">
      <c r="A684" s="744"/>
      <c r="B684" s="745" t="s">
        <v>293</v>
      </c>
      <c r="C684" s="744"/>
      <c r="D684" s="744"/>
      <c r="E684" s="744"/>
      <c r="F684" s="744"/>
      <c r="G684" s="746"/>
      <c r="H684" s="746"/>
      <c r="I684" s="747"/>
      <c r="J684" s="747"/>
      <c r="K684" s="748"/>
      <c r="L684" s="748"/>
      <c r="M684" s="748"/>
      <c r="N684" s="748"/>
      <c r="O684" s="748"/>
      <c r="P684" s="748"/>
      <c r="Q684" s="571"/>
      <c r="R684" s="571"/>
      <c r="S684" s="571"/>
      <c r="T684" s="571"/>
      <c r="U684" s="571"/>
      <c r="V684" s="571"/>
      <c r="W684" s="571"/>
      <c r="X684" s="571"/>
      <c r="Y684" s="571"/>
      <c r="Z684" s="571"/>
    </row>
    <row r="685" spans="1:26" ht="19.5">
      <c r="A685" s="590"/>
      <c r="B685" s="754"/>
      <c r="C685" s="754" t="s">
        <v>16</v>
      </c>
      <c r="D685" s="863" t="s">
        <v>17</v>
      </c>
      <c r="E685" s="857"/>
      <c r="F685" s="857"/>
      <c r="G685" s="189"/>
      <c r="H685" s="591" t="s">
        <v>12</v>
      </c>
      <c r="I685" s="269"/>
      <c r="J685" s="269"/>
      <c r="K685" s="496"/>
      <c r="L685" s="195">
        <f t="shared" ref="L685:N685" ca="1" si="281">L686+L687</f>
        <v>13060</v>
      </c>
      <c r="M685" s="195">
        <f t="shared" si="281"/>
        <v>0</v>
      </c>
      <c r="N685" s="195">
        <f t="shared" si="281"/>
        <v>0</v>
      </c>
      <c r="O685" s="195">
        <f t="shared" ref="O685:O688" ca="1" si="282">IF(L685&gt;0,N685*100/L685,0)</f>
        <v>0</v>
      </c>
      <c r="P685" s="195">
        <f t="shared" ref="P685:P688" si="283">IF(M685&gt;0,N685*100/M685,0)</f>
        <v>0</v>
      </c>
      <c r="Q685" s="571"/>
      <c r="R685" s="571"/>
      <c r="S685" s="571"/>
      <c r="T685" s="571"/>
      <c r="U685" s="571"/>
      <c r="V685" s="571"/>
      <c r="W685" s="571"/>
      <c r="X685" s="571"/>
      <c r="Y685" s="571"/>
      <c r="Z685" s="571"/>
    </row>
    <row r="686" spans="1:26" ht="18.75" hidden="1">
      <c r="A686" s="592"/>
      <c r="B686" s="750"/>
      <c r="C686" s="750"/>
      <c r="D686" s="711"/>
      <c r="E686" s="750" t="s">
        <v>184</v>
      </c>
      <c r="F686" s="750"/>
      <c r="G686" s="596"/>
      <c r="H686" s="165" t="s">
        <v>12</v>
      </c>
      <c r="I686" s="610"/>
      <c r="J686" s="610"/>
      <c r="K686" s="93"/>
      <c r="L686" s="93">
        <f t="shared" ref="L686:N687" si="284">L689+L696</f>
        <v>0</v>
      </c>
      <c r="M686" s="93">
        <f t="shared" si="284"/>
        <v>0</v>
      </c>
      <c r="N686" s="93">
        <f t="shared" si="284"/>
        <v>0</v>
      </c>
      <c r="O686" s="93">
        <f t="shared" si="282"/>
        <v>0</v>
      </c>
      <c r="P686" s="93">
        <f t="shared" si="283"/>
        <v>0</v>
      </c>
      <c r="Q686" s="597"/>
      <c r="R686" s="597"/>
      <c r="S686" s="597"/>
      <c r="T686" s="597"/>
      <c r="U686" s="597"/>
      <c r="V686" s="597"/>
      <c r="W686" s="597"/>
      <c r="X686" s="597"/>
      <c r="Y686" s="597"/>
      <c r="Z686" s="597"/>
    </row>
    <row r="687" spans="1:26" ht="18.75" hidden="1">
      <c r="A687" s="592"/>
      <c r="B687" s="600"/>
      <c r="C687" s="750"/>
      <c r="D687" s="711"/>
      <c r="E687" s="750" t="s">
        <v>185</v>
      </c>
      <c r="F687" s="750"/>
      <c r="G687" s="596"/>
      <c r="H687" s="165" t="s">
        <v>12</v>
      </c>
      <c r="I687" s="610"/>
      <c r="J687" s="610"/>
      <c r="K687" s="93"/>
      <c r="L687" s="93">
        <f t="shared" ca="1" si="284"/>
        <v>13060</v>
      </c>
      <c r="M687" s="93">
        <f t="shared" si="284"/>
        <v>0</v>
      </c>
      <c r="N687" s="93">
        <f t="shared" si="284"/>
        <v>0</v>
      </c>
      <c r="O687" s="93">
        <f t="shared" ca="1" si="282"/>
        <v>0</v>
      </c>
      <c r="P687" s="93">
        <f t="shared" si="283"/>
        <v>0</v>
      </c>
      <c r="Q687" s="597"/>
      <c r="R687" s="597"/>
      <c r="S687" s="597"/>
      <c r="T687" s="597"/>
      <c r="U687" s="597"/>
      <c r="V687" s="597"/>
      <c r="W687" s="597"/>
      <c r="X687" s="597"/>
      <c r="Y687" s="597"/>
      <c r="Z687" s="597"/>
    </row>
    <row r="688" spans="1:26" ht="18.75">
      <c r="A688" s="590"/>
      <c r="B688" s="568"/>
      <c r="C688" s="754"/>
      <c r="D688" s="599" t="s">
        <v>20</v>
      </c>
      <c r="E688" s="754"/>
      <c r="F688" s="754"/>
      <c r="G688" s="189"/>
      <c r="H688" s="161" t="s">
        <v>12</v>
      </c>
      <c r="I688" s="184"/>
      <c r="J688" s="184"/>
      <c r="K688" s="163"/>
      <c r="L688" s="496">
        <f t="shared" ref="L688:N688" ca="1" si="285">L689+L690</f>
        <v>13060</v>
      </c>
      <c r="M688" s="496">
        <f t="shared" si="285"/>
        <v>0</v>
      </c>
      <c r="N688" s="496">
        <f t="shared" si="285"/>
        <v>0</v>
      </c>
      <c r="O688" s="496">
        <f t="shared" ca="1" si="282"/>
        <v>0</v>
      </c>
      <c r="P688" s="496">
        <f t="shared" si="283"/>
        <v>0</v>
      </c>
      <c r="Q688" s="571"/>
      <c r="R688" s="571"/>
      <c r="S688" s="571"/>
      <c r="T688" s="571"/>
      <c r="U688" s="571"/>
      <c r="V688" s="571"/>
      <c r="W688" s="571"/>
      <c r="X688" s="571"/>
      <c r="Y688" s="571"/>
      <c r="Z688" s="571"/>
    </row>
    <row r="689" spans="1:26" ht="18.75" hidden="1">
      <c r="A689" s="592"/>
      <c r="B689" s="600"/>
      <c r="C689" s="750"/>
      <c r="D689" s="711"/>
      <c r="E689" s="750" t="s">
        <v>184</v>
      </c>
      <c r="F689" s="750"/>
      <c r="G689" s="596"/>
      <c r="H689" s="165" t="s">
        <v>12</v>
      </c>
      <c r="I689" s="610"/>
      <c r="J689" s="610"/>
      <c r="K689" s="93"/>
      <c r="L689" s="93">
        <v>0</v>
      </c>
      <c r="M689" s="93">
        <v>0</v>
      </c>
      <c r="N689" s="93">
        <v>0</v>
      </c>
      <c r="O689" s="93"/>
      <c r="P689" s="93"/>
      <c r="Q689" s="597"/>
      <c r="R689" s="597"/>
      <c r="S689" s="597"/>
      <c r="T689" s="597"/>
      <c r="U689" s="597"/>
      <c r="V689" s="597"/>
      <c r="W689" s="597"/>
      <c r="X689" s="597"/>
      <c r="Y689" s="597"/>
      <c r="Z689" s="597"/>
    </row>
    <row r="690" spans="1:26" ht="18.75" hidden="1">
      <c r="A690" s="592"/>
      <c r="B690" s="600"/>
      <c r="C690" s="750"/>
      <c r="D690" s="711"/>
      <c r="E690" s="750" t="s">
        <v>185</v>
      </c>
      <c r="F690" s="750"/>
      <c r="G690" s="596"/>
      <c r="H690" s="165" t="s">
        <v>12</v>
      </c>
      <c r="I690" s="610"/>
      <c r="J690" s="610"/>
      <c r="K690" s="93"/>
      <c r="L690" s="93">
        <f ca="1">IFERROR(__xludf.DUMMYFUNCTION("IMPORTRANGE(""https://docs.google.com/spreadsheets/d/1QqKyyYR6Q21VydFLVH3TRQUabQu_ym0Zz7PgGX0-kHA/edit?usp=sharing"",""แผน!HW73"")"),13060)</f>
        <v>13060</v>
      </c>
      <c r="M690" s="93">
        <v>0</v>
      </c>
      <c r="N690" s="93">
        <f>N691+N692+N693+N694</f>
        <v>0</v>
      </c>
      <c r="O690" s="93">
        <f ca="1">IF(L690&gt;0,N690*100/L690,0)</f>
        <v>0</v>
      </c>
      <c r="P690" s="93">
        <f>IF(M690&gt;0,N690*100/M690,0)</f>
        <v>0</v>
      </c>
      <c r="Q690" s="597"/>
      <c r="R690" s="597"/>
      <c r="S690" s="597"/>
      <c r="T690" s="597"/>
      <c r="U690" s="597"/>
      <c r="V690" s="597"/>
      <c r="W690" s="597"/>
      <c r="X690" s="597"/>
      <c r="Y690" s="597"/>
      <c r="Z690" s="597"/>
    </row>
    <row r="691" spans="1:26" ht="18.75">
      <c r="A691" s="567"/>
      <c r="B691" s="568"/>
      <c r="C691" s="754"/>
      <c r="D691" s="754"/>
      <c r="E691" s="754"/>
      <c r="F691" s="754" t="s">
        <v>186</v>
      </c>
      <c r="G691" s="189"/>
      <c r="H691" s="161" t="s">
        <v>12</v>
      </c>
      <c r="I691" s="269"/>
      <c r="J691" s="269"/>
      <c r="K691" s="496"/>
      <c r="L691" s="496"/>
      <c r="M691" s="496"/>
      <c r="N691" s="817">
        <v>0</v>
      </c>
      <c r="O691" s="496"/>
      <c r="P691" s="496"/>
      <c r="Q691" s="571"/>
      <c r="R691" s="571"/>
      <c r="S691" s="571"/>
      <c r="T691" s="571"/>
      <c r="U691" s="571"/>
      <c r="V691" s="571"/>
      <c r="W691" s="571"/>
      <c r="X691" s="571"/>
      <c r="Y691" s="571"/>
      <c r="Z691" s="571"/>
    </row>
    <row r="692" spans="1:26" ht="18.75">
      <c r="A692" s="567"/>
      <c r="B692" s="568"/>
      <c r="C692" s="754"/>
      <c r="D692" s="754"/>
      <c r="E692" s="754"/>
      <c r="F692" s="754" t="s">
        <v>187</v>
      </c>
      <c r="G692" s="189"/>
      <c r="H692" s="161" t="s">
        <v>12</v>
      </c>
      <c r="I692" s="269"/>
      <c r="J692" s="269"/>
      <c r="K692" s="496"/>
      <c r="L692" s="496"/>
      <c r="M692" s="496"/>
      <c r="N692" s="817">
        <v>0</v>
      </c>
      <c r="O692" s="496"/>
      <c r="P692" s="496"/>
      <c r="Q692" s="571"/>
      <c r="R692" s="571"/>
      <c r="S692" s="571"/>
      <c r="T692" s="571"/>
      <c r="U692" s="571"/>
      <c r="V692" s="571"/>
      <c r="W692" s="571"/>
      <c r="X692" s="571"/>
      <c r="Y692" s="571"/>
      <c r="Z692" s="571"/>
    </row>
    <row r="693" spans="1:26" ht="18.75">
      <c r="A693" s="567"/>
      <c r="B693" s="568"/>
      <c r="C693" s="754"/>
      <c r="D693" s="754"/>
      <c r="E693" s="754"/>
      <c r="F693" s="754" t="s">
        <v>188</v>
      </c>
      <c r="G693" s="189"/>
      <c r="H693" s="161" t="s">
        <v>12</v>
      </c>
      <c r="I693" s="269"/>
      <c r="J693" s="269"/>
      <c r="K693" s="496"/>
      <c r="L693" s="496"/>
      <c r="M693" s="496"/>
      <c r="N693" s="817">
        <v>0</v>
      </c>
      <c r="O693" s="496"/>
      <c r="P693" s="496"/>
      <c r="Q693" s="571"/>
      <c r="R693" s="571"/>
      <c r="S693" s="571"/>
      <c r="T693" s="571"/>
      <c r="U693" s="571"/>
      <c r="V693" s="571"/>
      <c r="W693" s="571"/>
      <c r="X693" s="571"/>
      <c r="Y693" s="571"/>
      <c r="Z693" s="571"/>
    </row>
    <row r="694" spans="1:26" ht="18.75">
      <c r="A694" s="567"/>
      <c r="B694" s="568"/>
      <c r="C694" s="754"/>
      <c r="D694" s="754"/>
      <c r="E694" s="754"/>
      <c r="F694" s="754" t="s">
        <v>189</v>
      </c>
      <c r="G694" s="189"/>
      <c r="H694" s="161" t="s">
        <v>12</v>
      </c>
      <c r="I694" s="269"/>
      <c r="J694" s="269"/>
      <c r="K694" s="496"/>
      <c r="L694" s="496"/>
      <c r="M694" s="496"/>
      <c r="N694" s="817">
        <v>0</v>
      </c>
      <c r="O694" s="496"/>
      <c r="P694" s="496"/>
      <c r="Q694" s="571"/>
      <c r="R694" s="571"/>
      <c r="S694" s="571"/>
      <c r="T694" s="571"/>
      <c r="U694" s="571"/>
      <c r="V694" s="571"/>
      <c r="W694" s="571"/>
      <c r="X694" s="571"/>
      <c r="Y694" s="571"/>
      <c r="Z694" s="571"/>
    </row>
    <row r="695" spans="1:26" ht="18.75">
      <c r="A695" s="590"/>
      <c r="B695" s="568"/>
      <c r="C695" s="754"/>
      <c r="D695" s="599" t="s">
        <v>21</v>
      </c>
      <c r="E695" s="754"/>
      <c r="F695" s="754"/>
      <c r="G695" s="189"/>
      <c r="H695" s="168" t="s">
        <v>12</v>
      </c>
      <c r="I695" s="184"/>
      <c r="J695" s="184"/>
      <c r="K695" s="163"/>
      <c r="L695" s="496">
        <f t="shared" ref="L695:N695" si="286">L696+L697</f>
        <v>0</v>
      </c>
      <c r="M695" s="496">
        <f t="shared" si="286"/>
        <v>0</v>
      </c>
      <c r="N695" s="496">
        <f t="shared" si="286"/>
        <v>0</v>
      </c>
      <c r="O695" s="496">
        <f t="shared" ref="O695:O697" si="287">IF(L695&gt;0,N695*100/L695,0)</f>
        <v>0</v>
      </c>
      <c r="P695" s="496">
        <f t="shared" ref="P695:P697" si="288">IF(M695&gt;0,N695*100/M695,0)</f>
        <v>0</v>
      </c>
      <c r="Q695" s="571"/>
      <c r="R695" s="571"/>
      <c r="S695" s="571"/>
      <c r="T695" s="571"/>
      <c r="U695" s="571"/>
      <c r="V695" s="571"/>
      <c r="W695" s="571"/>
      <c r="X695" s="571"/>
      <c r="Y695" s="571"/>
      <c r="Z695" s="571"/>
    </row>
    <row r="696" spans="1:26" ht="18.75" hidden="1">
      <c r="A696" s="592"/>
      <c r="B696" s="600"/>
      <c r="C696" s="750"/>
      <c r="D696" s="750"/>
      <c r="E696" s="750" t="s">
        <v>18</v>
      </c>
      <c r="F696" s="750"/>
      <c r="G696" s="596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7"/>
        <v>0</v>
      </c>
      <c r="P696" s="93">
        <f t="shared" si="288"/>
        <v>0</v>
      </c>
      <c r="Q696" s="597"/>
      <c r="R696" s="597"/>
      <c r="S696" s="597"/>
      <c r="T696" s="597"/>
      <c r="U696" s="597"/>
      <c r="V696" s="597"/>
      <c r="W696" s="597"/>
      <c r="X696" s="597"/>
      <c r="Y696" s="597"/>
      <c r="Z696" s="597"/>
    </row>
    <row r="697" spans="1:26" ht="18.75" hidden="1">
      <c r="A697" s="592"/>
      <c r="B697" s="600"/>
      <c r="C697" s="750"/>
      <c r="D697" s="750"/>
      <c r="E697" s="750" t="s">
        <v>19</v>
      </c>
      <c r="F697" s="750"/>
      <c r="G697" s="596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7"/>
        <v>0</v>
      </c>
      <c r="P697" s="93">
        <f t="shared" si="288"/>
        <v>0</v>
      </c>
      <c r="Q697" s="597"/>
      <c r="R697" s="597"/>
      <c r="S697" s="597"/>
      <c r="T697" s="597"/>
      <c r="U697" s="597"/>
      <c r="V697" s="597"/>
      <c r="W697" s="597"/>
      <c r="X697" s="597"/>
      <c r="Y697" s="597"/>
      <c r="Z697" s="597"/>
    </row>
    <row r="698" spans="1:26" ht="19.5">
      <c r="A698" s="601"/>
      <c r="B698" s="611"/>
      <c r="C698" s="754" t="s">
        <v>16</v>
      </c>
      <c r="D698" s="840" t="s">
        <v>38</v>
      </c>
      <c r="E698" s="752"/>
      <c r="F698" s="752"/>
      <c r="G698" s="606"/>
      <c r="H698" s="753"/>
      <c r="I698" s="184"/>
      <c r="J698" s="184"/>
      <c r="K698" s="163"/>
      <c r="L698" s="163"/>
      <c r="M698" s="163"/>
      <c r="N698" s="163"/>
      <c r="O698" s="163"/>
      <c r="P698" s="163"/>
      <c r="Q698" s="571"/>
      <c r="R698" s="571"/>
      <c r="S698" s="571"/>
      <c r="T698" s="571"/>
      <c r="U698" s="571"/>
      <c r="V698" s="571"/>
      <c r="W698" s="571"/>
      <c r="X698" s="571"/>
      <c r="Y698" s="571"/>
      <c r="Z698" s="571"/>
    </row>
    <row r="699" spans="1:26" ht="18.75">
      <c r="A699" s="735"/>
      <c r="B699" s="754"/>
      <c r="C699" s="754"/>
      <c r="D699" s="754" t="s">
        <v>294</v>
      </c>
      <c r="E699" s="754"/>
      <c r="F699" s="754"/>
      <c r="G699" s="189"/>
      <c r="H699" s="755" t="s">
        <v>46</v>
      </c>
      <c r="I699" s="756">
        <f ca="1">IFERROR(__xludf.DUMMYFUNCTION("IMPORTRANGE(""https://docs.google.com/spreadsheets/d/1QqKyyYR6Q21VydFLVH3TRQUabQu_ym0Zz7PgGX0-kHA/edit?usp=sharing"",""แผน!IC73"")"),80)</f>
        <v>80</v>
      </c>
      <c r="J699" s="269">
        <f ca="1">IFERROR(__xludf.DUMMYFUNCTION("IMPORTRANGE(""https://docs.google.com/spreadsheets/d/1XWAQStnk-4SwqDmLtmXYiTMKHgktTP8We1SCoS47DrQ/edit?usp=sharing"",""จัดที่ดิน!BB73"")"),0)</f>
        <v>0</v>
      </c>
      <c r="K699" s="496">
        <f t="shared" ref="K699:K701" ca="1" si="289">IF(I699&gt;0,J699*100/I699,0)</f>
        <v>0</v>
      </c>
      <c r="L699" s="496"/>
      <c r="M699" s="189"/>
      <c r="N699" s="757"/>
      <c r="O699" s="496"/>
      <c r="P699" s="496"/>
      <c r="Q699" s="571"/>
      <c r="R699" s="571"/>
      <c r="S699" s="571"/>
      <c r="T699" s="571"/>
      <c r="U699" s="571"/>
      <c r="V699" s="571"/>
      <c r="W699" s="571"/>
      <c r="X699" s="571"/>
      <c r="Y699" s="571"/>
      <c r="Z699" s="571"/>
    </row>
    <row r="700" spans="1:26" ht="18.75">
      <c r="A700" s="735"/>
      <c r="B700" s="754"/>
      <c r="C700" s="754"/>
      <c r="D700" s="754" t="s">
        <v>295</v>
      </c>
      <c r="E700" s="754"/>
      <c r="F700" s="754"/>
      <c r="G700" s="189"/>
      <c r="H700" s="755" t="s">
        <v>35</v>
      </c>
      <c r="I700" s="756">
        <f ca="1">IFERROR(__xludf.DUMMYFUNCTION("IMPORTRANGE(""https://docs.google.com/spreadsheets/d/1QqKyyYR6Q21VydFLVH3TRQUabQu_ym0Zz7PgGX0-kHA/edit?usp=sharing"",""แผน!ID73"")"),16)</f>
        <v>16</v>
      </c>
      <c r="J700" s="269">
        <f ca="1">IFERROR(__xludf.DUMMYFUNCTION("IMPORTRANGE(""https://docs.google.com/spreadsheets/d/1XWAQStnk-4SwqDmLtmXYiTMKHgktTP8We1SCoS47DrQ/edit?usp=sharing"",""จัดที่ดิน!BD73"")"),0)</f>
        <v>0</v>
      </c>
      <c r="K700" s="496">
        <f t="shared" ca="1" si="289"/>
        <v>0</v>
      </c>
      <c r="L700" s="496"/>
      <c r="M700" s="189"/>
      <c r="N700" s="757"/>
      <c r="O700" s="496"/>
      <c r="P700" s="496"/>
      <c r="Q700" s="571"/>
      <c r="R700" s="571"/>
      <c r="S700" s="571"/>
      <c r="T700" s="571"/>
      <c r="U700" s="571"/>
      <c r="V700" s="571"/>
      <c r="W700" s="571"/>
      <c r="X700" s="571"/>
      <c r="Y700" s="571"/>
      <c r="Z700" s="571"/>
    </row>
    <row r="701" spans="1:26" ht="19.5">
      <c r="A701" s="735"/>
      <c r="B701" s="754"/>
      <c r="C701" s="754"/>
      <c r="D701" s="754" t="s">
        <v>296</v>
      </c>
      <c r="E701" s="754"/>
      <c r="F701" s="754"/>
      <c r="G701" s="189"/>
      <c r="H701" s="758" t="s">
        <v>46</v>
      </c>
      <c r="I701" s="759">
        <f ca="1">IFERROR(__xludf.DUMMYFUNCTION("IMPORTRANGE(""https://docs.google.com/spreadsheets/d/1QqKyyYR6Q21VydFLVH3TRQUabQu_ym0Zz7PgGX0-kHA/edit?usp=sharing"",""แผน!IE73"")"),15)</f>
        <v>15</v>
      </c>
      <c r="J701" s="674">
        <f>J704+J707</f>
        <v>0</v>
      </c>
      <c r="K701" s="195">
        <f t="shared" ca="1" si="289"/>
        <v>0</v>
      </c>
      <c r="L701" s="496"/>
      <c r="M701" s="189"/>
      <c r="N701" s="757"/>
      <c r="O701" s="496"/>
      <c r="P701" s="496"/>
      <c r="Q701" s="571"/>
      <c r="R701" s="571"/>
      <c r="S701" s="571"/>
      <c r="T701" s="571"/>
      <c r="U701" s="571"/>
      <c r="V701" s="571"/>
      <c r="W701" s="571"/>
      <c r="X701" s="571"/>
      <c r="Y701" s="571"/>
      <c r="Z701" s="571"/>
    </row>
    <row r="702" spans="1:26" ht="18.75">
      <c r="A702" s="735"/>
      <c r="B702" s="754"/>
      <c r="C702" s="754"/>
      <c r="D702" s="754"/>
      <c r="E702" s="754" t="s">
        <v>297</v>
      </c>
      <c r="F702" s="754"/>
      <c r="G702" s="189"/>
      <c r="H702" s="755" t="s">
        <v>35</v>
      </c>
      <c r="I702" s="756"/>
      <c r="J702" s="214">
        <v>0</v>
      </c>
      <c r="K702" s="496"/>
      <c r="L702" s="496"/>
      <c r="M702" s="189"/>
      <c r="N702" s="757"/>
      <c r="O702" s="496"/>
      <c r="P702" s="496"/>
      <c r="Q702" s="571"/>
      <c r="R702" s="571"/>
      <c r="S702" s="571"/>
      <c r="T702" s="571"/>
      <c r="U702" s="571"/>
      <c r="V702" s="571"/>
      <c r="W702" s="571"/>
      <c r="X702" s="571"/>
      <c r="Y702" s="571"/>
      <c r="Z702" s="571"/>
    </row>
    <row r="703" spans="1:26" ht="18.75">
      <c r="A703" s="735"/>
      <c r="B703" s="754"/>
      <c r="C703" s="754"/>
      <c r="D703" s="754"/>
      <c r="E703" s="754"/>
      <c r="F703" s="754"/>
      <c r="G703" s="189"/>
      <c r="H703" s="755" t="s">
        <v>34</v>
      </c>
      <c r="I703" s="756"/>
      <c r="J703" s="214">
        <v>0</v>
      </c>
      <c r="K703" s="496"/>
      <c r="L703" s="496"/>
      <c r="M703" s="189"/>
      <c r="N703" s="757"/>
      <c r="O703" s="496"/>
      <c r="P703" s="496"/>
      <c r="Q703" s="571"/>
      <c r="R703" s="571"/>
      <c r="S703" s="571"/>
      <c r="T703" s="571"/>
      <c r="U703" s="571"/>
      <c r="V703" s="571"/>
      <c r="W703" s="571"/>
      <c r="X703" s="571"/>
      <c r="Y703" s="571"/>
      <c r="Z703" s="571"/>
    </row>
    <row r="704" spans="1:26" ht="18.75">
      <c r="A704" s="735"/>
      <c r="B704" s="754"/>
      <c r="C704" s="754"/>
      <c r="D704" s="754"/>
      <c r="E704" s="754"/>
      <c r="F704" s="754"/>
      <c r="G704" s="189"/>
      <c r="H704" s="755" t="s">
        <v>46</v>
      </c>
      <c r="I704" s="756">
        <f ca="1">IFERROR(__xludf.DUMMYFUNCTION("IMPORTRANGE(""https://docs.google.com/spreadsheets/d/1QqKyyYR6Q21VydFLVH3TRQUabQu_ym0Zz7PgGX0-kHA/edit?usp=sharing"",""แผน!IF73"")"),15)</f>
        <v>15</v>
      </c>
      <c r="J704" s="214">
        <v>0</v>
      </c>
      <c r="K704" s="496"/>
      <c r="L704" s="496"/>
      <c r="M704" s="189"/>
      <c r="N704" s="757"/>
      <c r="O704" s="496"/>
      <c r="P704" s="496"/>
      <c r="Q704" s="571"/>
      <c r="R704" s="571"/>
      <c r="S704" s="571"/>
      <c r="T704" s="571"/>
      <c r="U704" s="571"/>
      <c r="V704" s="571"/>
      <c r="W704" s="571"/>
      <c r="X704" s="571"/>
      <c r="Y704" s="571"/>
      <c r="Z704" s="571"/>
    </row>
    <row r="705" spans="1:26" ht="18.75">
      <c r="A705" s="735"/>
      <c r="B705" s="754"/>
      <c r="C705" s="754"/>
      <c r="D705" s="754"/>
      <c r="E705" s="754" t="s">
        <v>298</v>
      </c>
      <c r="F705" s="754"/>
      <c r="G705" s="189"/>
      <c r="H705" s="755" t="s">
        <v>35</v>
      </c>
      <c r="I705" s="756"/>
      <c r="J705" s="214">
        <v>0</v>
      </c>
      <c r="K705" s="496"/>
      <c r="L705" s="496"/>
      <c r="M705" s="189"/>
      <c r="N705" s="757"/>
      <c r="O705" s="496"/>
      <c r="P705" s="496"/>
      <c r="Q705" s="571"/>
      <c r="R705" s="571"/>
      <c r="S705" s="571"/>
      <c r="T705" s="571"/>
      <c r="U705" s="571"/>
      <c r="V705" s="571"/>
      <c r="W705" s="571"/>
      <c r="X705" s="571"/>
      <c r="Y705" s="571"/>
      <c r="Z705" s="571"/>
    </row>
    <row r="706" spans="1:26" ht="18.75">
      <c r="A706" s="735"/>
      <c r="B706" s="754"/>
      <c r="C706" s="754"/>
      <c r="D706" s="754"/>
      <c r="E706" s="754"/>
      <c r="F706" s="754"/>
      <c r="G706" s="189"/>
      <c r="H706" s="755" t="s">
        <v>34</v>
      </c>
      <c r="I706" s="756"/>
      <c r="J706" s="214">
        <v>0</v>
      </c>
      <c r="K706" s="496"/>
      <c r="L706" s="496"/>
      <c r="M706" s="189"/>
      <c r="N706" s="757"/>
      <c r="O706" s="496"/>
      <c r="P706" s="496"/>
      <c r="Q706" s="571"/>
      <c r="R706" s="571"/>
      <c r="S706" s="571"/>
      <c r="T706" s="571"/>
      <c r="U706" s="571"/>
      <c r="V706" s="571"/>
      <c r="W706" s="571"/>
      <c r="X706" s="571"/>
      <c r="Y706" s="571"/>
      <c r="Z706" s="571"/>
    </row>
    <row r="707" spans="1:26" ht="18.75">
      <c r="A707" s="735"/>
      <c r="B707" s="754"/>
      <c r="C707" s="754"/>
      <c r="D707" s="754"/>
      <c r="E707" s="754"/>
      <c r="F707" s="754"/>
      <c r="G707" s="189"/>
      <c r="H707" s="755" t="s">
        <v>46</v>
      </c>
      <c r="I707" s="756">
        <f ca="1">IFERROR(__xludf.DUMMYFUNCTION("IMPORTRANGE(""https://docs.google.com/spreadsheets/d/1QqKyyYR6Q21VydFLVH3TRQUabQu_ym0Zz7PgGX0-kHA/edit?usp=sharing"",""แผน!IG73"")"),0)</f>
        <v>0</v>
      </c>
      <c r="J707" s="214">
        <v>0</v>
      </c>
      <c r="K707" s="496"/>
      <c r="L707" s="496"/>
      <c r="M707" s="189"/>
      <c r="N707" s="757"/>
      <c r="O707" s="496"/>
      <c r="P707" s="496"/>
      <c r="Q707" s="571"/>
      <c r="R707" s="571"/>
      <c r="S707" s="571"/>
      <c r="T707" s="571"/>
      <c r="U707" s="571"/>
      <c r="V707" s="571"/>
      <c r="W707" s="571"/>
      <c r="X707" s="571"/>
      <c r="Y707" s="571"/>
      <c r="Z707" s="571"/>
    </row>
    <row r="708" spans="1:26" ht="19.5">
      <c r="A708" s="735"/>
      <c r="B708" s="754"/>
      <c r="C708" s="754"/>
      <c r="D708" s="760" t="s">
        <v>299</v>
      </c>
      <c r="E708" s="754"/>
      <c r="F708" s="754"/>
      <c r="G708" s="189"/>
      <c r="H708" s="758" t="s">
        <v>46</v>
      </c>
      <c r="I708" s="759">
        <f ca="1">IFERROR(__xludf.DUMMYFUNCTION("IMPORTRANGE(""https://docs.google.com/spreadsheets/d/1QqKyyYR6Q21VydFLVH3TRQUabQu_ym0Zz7PgGX0-kHA/edit?usp=sharing"",""แผน!IH73"")"),80)</f>
        <v>80</v>
      </c>
      <c r="J708" s="674">
        <f>J714+J717</f>
        <v>0</v>
      </c>
      <c r="K708" s="195">
        <f ca="1">IF(I708&gt;0,J708*100/I708,0)</f>
        <v>0</v>
      </c>
      <c r="L708" s="496"/>
      <c r="M708" s="189"/>
      <c r="N708" s="757"/>
      <c r="O708" s="496"/>
      <c r="P708" s="496"/>
      <c r="Q708" s="571"/>
      <c r="R708" s="571"/>
      <c r="S708" s="571"/>
      <c r="T708" s="571"/>
      <c r="U708" s="571"/>
      <c r="V708" s="571"/>
      <c r="W708" s="571"/>
      <c r="X708" s="571"/>
      <c r="Y708" s="571"/>
      <c r="Z708" s="571"/>
    </row>
    <row r="709" spans="1:26" ht="18.75">
      <c r="A709" s="735"/>
      <c r="B709" s="754"/>
      <c r="C709" s="754"/>
      <c r="D709" s="754"/>
      <c r="E709" s="754" t="s">
        <v>300</v>
      </c>
      <c r="F709" s="754"/>
      <c r="G709" s="189"/>
      <c r="H709" s="755" t="s">
        <v>34</v>
      </c>
      <c r="I709" s="756"/>
      <c r="J709" s="214">
        <v>0</v>
      </c>
      <c r="K709" s="496"/>
      <c r="L709" s="757"/>
      <c r="M709" s="189"/>
      <c r="N709" s="757"/>
      <c r="O709" s="496"/>
      <c r="P709" s="496"/>
      <c r="Q709" s="571"/>
      <c r="R709" s="571"/>
      <c r="S709" s="571"/>
      <c r="T709" s="571"/>
      <c r="U709" s="571"/>
      <c r="V709" s="571"/>
      <c r="W709" s="571"/>
      <c r="X709" s="571"/>
      <c r="Y709" s="571"/>
      <c r="Z709" s="571"/>
    </row>
    <row r="710" spans="1:26" ht="18.75">
      <c r="A710" s="735"/>
      <c r="B710" s="754"/>
      <c r="C710" s="754"/>
      <c r="D710" s="754"/>
      <c r="E710" s="754"/>
      <c r="F710" s="754"/>
      <c r="G710" s="189"/>
      <c r="H710" s="755" t="s">
        <v>46</v>
      </c>
      <c r="I710" s="756"/>
      <c r="J710" s="214">
        <v>0</v>
      </c>
      <c r="K710" s="496"/>
      <c r="L710" s="757"/>
      <c r="M710" s="189"/>
      <c r="N710" s="757"/>
      <c r="O710" s="496"/>
      <c r="P710" s="496"/>
      <c r="Q710" s="571"/>
      <c r="R710" s="571"/>
      <c r="S710" s="571"/>
      <c r="T710" s="571"/>
      <c r="U710" s="571"/>
      <c r="V710" s="571"/>
      <c r="W710" s="571"/>
      <c r="X710" s="571"/>
      <c r="Y710" s="571"/>
      <c r="Z710" s="571"/>
    </row>
    <row r="711" spans="1:26" ht="18.75">
      <c r="A711" s="735"/>
      <c r="B711" s="754"/>
      <c r="C711" s="754"/>
      <c r="D711" s="754"/>
      <c r="E711" s="754" t="s">
        <v>301</v>
      </c>
      <c r="F711" s="754"/>
      <c r="G711" s="189"/>
      <c r="H711" s="753"/>
      <c r="I711" s="756"/>
      <c r="J711" s="269"/>
      <c r="K711" s="496"/>
      <c r="L711" s="757"/>
      <c r="M711" s="189"/>
      <c r="N711" s="757"/>
      <c r="O711" s="496"/>
      <c r="P711" s="496"/>
      <c r="Q711" s="571"/>
      <c r="R711" s="571"/>
      <c r="S711" s="571"/>
      <c r="T711" s="571"/>
      <c r="U711" s="571"/>
      <c r="V711" s="571"/>
      <c r="W711" s="571"/>
      <c r="X711" s="571"/>
      <c r="Y711" s="571"/>
      <c r="Z711" s="571"/>
    </row>
    <row r="712" spans="1:26" ht="18.75">
      <c r="A712" s="735"/>
      <c r="B712" s="754"/>
      <c r="C712" s="754"/>
      <c r="D712" s="754"/>
      <c r="E712" s="754"/>
      <c r="F712" s="754" t="s">
        <v>302</v>
      </c>
      <c r="G712" s="189"/>
      <c r="H712" s="755" t="s">
        <v>35</v>
      </c>
      <c r="I712" s="756"/>
      <c r="J712" s="214">
        <v>0</v>
      </c>
      <c r="K712" s="496"/>
      <c r="L712" s="757"/>
      <c r="M712" s="189"/>
      <c r="N712" s="757"/>
      <c r="O712" s="496"/>
      <c r="P712" s="496"/>
      <c r="Q712" s="571"/>
      <c r="R712" s="571"/>
      <c r="S712" s="571"/>
      <c r="T712" s="571"/>
      <c r="U712" s="571"/>
      <c r="V712" s="571"/>
      <c r="W712" s="571"/>
      <c r="X712" s="571"/>
      <c r="Y712" s="571"/>
      <c r="Z712" s="571"/>
    </row>
    <row r="713" spans="1:26" ht="18.75">
      <c r="A713" s="735"/>
      <c r="B713" s="754"/>
      <c r="C713" s="754"/>
      <c r="D713" s="754"/>
      <c r="E713" s="754"/>
      <c r="F713" s="754"/>
      <c r="G713" s="189"/>
      <c r="H713" s="755" t="s">
        <v>34</v>
      </c>
      <c r="I713" s="756"/>
      <c r="J713" s="214">
        <v>0</v>
      </c>
      <c r="K713" s="496"/>
      <c r="L713" s="757"/>
      <c r="M713" s="189"/>
      <c r="N713" s="757"/>
      <c r="O713" s="496"/>
      <c r="P713" s="496"/>
      <c r="Q713" s="571"/>
      <c r="R713" s="571"/>
      <c r="S713" s="571"/>
      <c r="T713" s="571"/>
      <c r="U713" s="571"/>
      <c r="V713" s="571"/>
      <c r="W713" s="571"/>
      <c r="X713" s="571"/>
      <c r="Y713" s="571"/>
      <c r="Z713" s="571"/>
    </row>
    <row r="714" spans="1:26" ht="18.75">
      <c r="A714" s="735"/>
      <c r="B714" s="754"/>
      <c r="C714" s="754"/>
      <c r="D714" s="754"/>
      <c r="E714" s="754"/>
      <c r="F714" s="754"/>
      <c r="G714" s="189"/>
      <c r="H714" s="755" t="s">
        <v>46</v>
      </c>
      <c r="I714" s="756"/>
      <c r="J714" s="214">
        <v>0</v>
      </c>
      <c r="K714" s="496"/>
      <c r="L714" s="757"/>
      <c r="M714" s="189"/>
      <c r="N714" s="757"/>
      <c r="O714" s="496"/>
      <c r="P714" s="496"/>
      <c r="Q714" s="571"/>
      <c r="R714" s="571"/>
      <c r="S714" s="571"/>
      <c r="T714" s="571"/>
      <c r="U714" s="571"/>
      <c r="V714" s="571"/>
      <c r="W714" s="571"/>
      <c r="X714" s="571"/>
      <c r="Y714" s="571"/>
      <c r="Z714" s="571"/>
    </row>
    <row r="715" spans="1:26" ht="18.75">
      <c r="A715" s="735"/>
      <c r="B715" s="754"/>
      <c r="C715" s="754"/>
      <c r="D715" s="754"/>
      <c r="E715" s="754"/>
      <c r="F715" s="754" t="s">
        <v>303</v>
      </c>
      <c r="G715" s="189"/>
      <c r="H715" s="755" t="s">
        <v>35</v>
      </c>
      <c r="I715" s="756"/>
      <c r="J715" s="214">
        <v>0</v>
      </c>
      <c r="K715" s="496"/>
      <c r="L715" s="757"/>
      <c r="M715" s="189"/>
      <c r="N715" s="757"/>
      <c r="O715" s="496"/>
      <c r="P715" s="496"/>
      <c r="Q715" s="571"/>
      <c r="R715" s="571"/>
      <c r="S715" s="571"/>
      <c r="T715" s="571"/>
      <c r="U715" s="571"/>
      <c r="V715" s="571"/>
      <c r="W715" s="571"/>
      <c r="X715" s="571"/>
      <c r="Y715" s="571"/>
      <c r="Z715" s="571"/>
    </row>
    <row r="716" spans="1:26" ht="18.75">
      <c r="A716" s="735"/>
      <c r="B716" s="754"/>
      <c r="C716" s="754"/>
      <c r="D716" s="754"/>
      <c r="E716" s="754"/>
      <c r="F716" s="754"/>
      <c r="G716" s="189"/>
      <c r="H716" s="755" t="s">
        <v>34</v>
      </c>
      <c r="I716" s="756"/>
      <c r="J716" s="214">
        <v>0</v>
      </c>
      <c r="K716" s="496"/>
      <c r="L716" s="757"/>
      <c r="M716" s="189"/>
      <c r="N716" s="757"/>
      <c r="O716" s="496"/>
      <c r="P716" s="496"/>
      <c r="Q716" s="571"/>
      <c r="R716" s="571"/>
      <c r="S716" s="571"/>
      <c r="T716" s="571"/>
      <c r="U716" s="571"/>
      <c r="V716" s="571"/>
      <c r="W716" s="571"/>
      <c r="X716" s="571"/>
      <c r="Y716" s="571"/>
      <c r="Z716" s="571"/>
    </row>
    <row r="717" spans="1:26" ht="18.75">
      <c r="A717" s="735"/>
      <c r="B717" s="754"/>
      <c r="C717" s="754"/>
      <c r="D717" s="754"/>
      <c r="E717" s="754"/>
      <c r="F717" s="754"/>
      <c r="G717" s="189"/>
      <c r="H717" s="755" t="s">
        <v>46</v>
      </c>
      <c r="I717" s="756"/>
      <c r="J717" s="214">
        <v>0</v>
      </c>
      <c r="K717" s="496"/>
      <c r="L717" s="757"/>
      <c r="M717" s="189"/>
      <c r="N717" s="757"/>
      <c r="O717" s="496"/>
      <c r="P717" s="496"/>
      <c r="Q717" s="571"/>
      <c r="R717" s="571"/>
      <c r="S717" s="571"/>
      <c r="T717" s="571"/>
      <c r="U717" s="571"/>
      <c r="V717" s="571"/>
      <c r="W717" s="571"/>
      <c r="X717" s="571"/>
      <c r="Y717" s="571"/>
      <c r="Z717" s="571"/>
    </row>
    <row r="718" spans="1:26" ht="18.75">
      <c r="A718" s="735"/>
      <c r="B718" s="754"/>
      <c r="C718" s="754"/>
      <c r="D718" s="754" t="s">
        <v>304</v>
      </c>
      <c r="E718" s="754"/>
      <c r="F718" s="754"/>
      <c r="G718" s="189"/>
      <c r="H718" s="755" t="s">
        <v>35</v>
      </c>
      <c r="I718" s="756"/>
      <c r="J718" s="269">
        <f ca="1">IFERROR(__xludf.DUMMYFUNCTION("IMPORTRANGE(""https://docs.google.com/spreadsheets/d/1XWAQStnk-4SwqDmLtmXYiTMKHgktTP8We1SCoS47DrQ/edit?usp=sharing"",""จัดที่ดิน!BF73"")"),0)</f>
        <v>0</v>
      </c>
      <c r="K718" s="496"/>
      <c r="L718" s="496"/>
      <c r="M718" s="189"/>
      <c r="N718" s="757"/>
      <c r="O718" s="496"/>
      <c r="P718" s="496"/>
      <c r="Q718" s="571"/>
      <c r="R718" s="571"/>
      <c r="S718" s="571"/>
      <c r="T718" s="571"/>
      <c r="U718" s="571"/>
      <c r="V718" s="571"/>
      <c r="W718" s="571"/>
      <c r="X718" s="571"/>
      <c r="Y718" s="571"/>
      <c r="Z718" s="571"/>
    </row>
    <row r="719" spans="1:26" ht="18.75">
      <c r="A719" s="735"/>
      <c r="B719" s="754"/>
      <c r="C719" s="754"/>
      <c r="D719" s="754"/>
      <c r="E719" s="754"/>
      <c r="F719" s="754"/>
      <c r="G719" s="189"/>
      <c r="H719" s="755" t="s">
        <v>34</v>
      </c>
      <c r="I719" s="756"/>
      <c r="J719" s="269">
        <f ca="1">IFERROR(__xludf.DUMMYFUNCTION("IMPORTRANGE(""https://docs.google.com/spreadsheets/d/1XWAQStnk-4SwqDmLtmXYiTMKHgktTP8We1SCoS47DrQ/edit?usp=sharing"",""จัดที่ดิน!BG73"")"),0)</f>
        <v>0</v>
      </c>
      <c r="K719" s="496"/>
      <c r="L719" s="757"/>
      <c r="M719" s="189"/>
      <c r="N719" s="757"/>
      <c r="O719" s="496"/>
      <c r="P719" s="496"/>
      <c r="Q719" s="571"/>
      <c r="R719" s="571"/>
      <c r="S719" s="571"/>
      <c r="T719" s="571"/>
      <c r="U719" s="571"/>
      <c r="V719" s="571"/>
      <c r="W719" s="571"/>
      <c r="X719" s="571"/>
      <c r="Y719" s="571"/>
      <c r="Z719" s="571"/>
    </row>
    <row r="720" spans="1:26" ht="18.75">
      <c r="A720" s="735"/>
      <c r="B720" s="754"/>
      <c r="C720" s="754"/>
      <c r="D720" s="754"/>
      <c r="E720" s="754"/>
      <c r="F720" s="754"/>
      <c r="G720" s="189"/>
      <c r="H720" s="755" t="s">
        <v>46</v>
      </c>
      <c r="I720" s="756">
        <f ca="1">IFERROR(__xludf.DUMMYFUNCTION("IMPORTRANGE(""https://docs.google.com/spreadsheets/d/1QqKyyYR6Q21VydFLVH3TRQUabQu_ym0Zz7PgGX0-kHA/edit?usp=sharing"",""แผน!II73"")"),0)</f>
        <v>0</v>
      </c>
      <c r="J720" s="269">
        <f ca="1">IFERROR(__xludf.DUMMYFUNCTION("IMPORTRANGE(""https://docs.google.com/spreadsheets/d/1XWAQStnk-4SwqDmLtmXYiTMKHgktTP8We1SCoS47DrQ/edit?usp=sharing"",""จัดที่ดิน!BH73"")"),0)</f>
        <v>0</v>
      </c>
      <c r="K720" s="496">
        <f t="shared" ref="K720:K723" ca="1" si="290">IF(I720&gt;0,J720*100/I720,0)</f>
        <v>0</v>
      </c>
      <c r="L720" s="757"/>
      <c r="M720" s="189"/>
      <c r="N720" s="757"/>
      <c r="O720" s="496"/>
      <c r="P720" s="496"/>
      <c r="Q720" s="571"/>
      <c r="R720" s="571"/>
      <c r="S720" s="571"/>
      <c r="T720" s="571"/>
      <c r="U720" s="571"/>
      <c r="V720" s="571"/>
      <c r="W720" s="571"/>
      <c r="X720" s="571"/>
      <c r="Y720" s="571"/>
      <c r="Z720" s="571"/>
    </row>
    <row r="721" spans="1:26" ht="19.5">
      <c r="A721" s="735"/>
      <c r="B721" s="754"/>
      <c r="C721" s="754"/>
      <c r="D721" s="754" t="s">
        <v>305</v>
      </c>
      <c r="E721" s="754"/>
      <c r="F721" s="754"/>
      <c r="G721" s="189"/>
      <c r="H721" s="758" t="s">
        <v>35</v>
      </c>
      <c r="I721" s="759">
        <f ca="1">IFERROR(__xludf.DUMMYFUNCTION("IMPORTRANGE(""https://docs.google.com/spreadsheets/d/1QqKyyYR6Q21VydFLVH3TRQUabQu_ym0Zz7PgGX0-kHA/edit?usp=sharing"",""แผน!IJ73"")"),2)</f>
        <v>2</v>
      </c>
      <c r="J721" s="674">
        <f ca="1">J723+J726</f>
        <v>0</v>
      </c>
      <c r="K721" s="195">
        <f t="shared" ca="1" si="290"/>
        <v>0</v>
      </c>
      <c r="L721" s="757"/>
      <c r="M721" s="189"/>
      <c r="N721" s="757"/>
      <c r="O721" s="496"/>
      <c r="P721" s="496"/>
      <c r="Q721" s="571"/>
      <c r="R721" s="571"/>
      <c r="S721" s="571"/>
      <c r="T721" s="571"/>
      <c r="U721" s="571"/>
      <c r="V721" s="571"/>
      <c r="W721" s="571"/>
      <c r="X721" s="571"/>
      <c r="Y721" s="571"/>
      <c r="Z721" s="571"/>
    </row>
    <row r="722" spans="1:26" ht="19.5">
      <c r="A722" s="735"/>
      <c r="B722" s="754"/>
      <c r="C722" s="754"/>
      <c r="D722" s="754"/>
      <c r="E722" s="754"/>
      <c r="F722" s="754"/>
      <c r="G722" s="189"/>
      <c r="H722" s="758" t="s">
        <v>46</v>
      </c>
      <c r="I722" s="759">
        <f ca="1">IFERROR(__xludf.DUMMYFUNCTION("IMPORTRANGE(""https://docs.google.com/spreadsheets/d/1QqKyyYR6Q21VydFLVH3TRQUabQu_ym0Zz7PgGX0-kHA/edit?usp=sharing"",""แผน!IK73"")"),10)</f>
        <v>10</v>
      </c>
      <c r="J722" s="674">
        <f ca="1">J725+J728</f>
        <v>0</v>
      </c>
      <c r="K722" s="195">
        <f t="shared" ca="1" si="290"/>
        <v>0</v>
      </c>
      <c r="L722" s="496"/>
      <c r="M722" s="189"/>
      <c r="N722" s="757"/>
      <c r="O722" s="496"/>
      <c r="P722" s="496"/>
      <c r="Q722" s="571"/>
      <c r="R722" s="571"/>
      <c r="S722" s="571"/>
      <c r="T722" s="571"/>
      <c r="U722" s="571"/>
      <c r="V722" s="571"/>
      <c r="W722" s="571"/>
      <c r="X722" s="571"/>
      <c r="Y722" s="571"/>
      <c r="Z722" s="571"/>
    </row>
    <row r="723" spans="1:26" ht="18.75">
      <c r="A723" s="735"/>
      <c r="B723" s="754"/>
      <c r="C723" s="754"/>
      <c r="D723" s="754"/>
      <c r="E723" s="754" t="s">
        <v>306</v>
      </c>
      <c r="F723" s="754"/>
      <c r="G723" s="189"/>
      <c r="H723" s="755" t="s">
        <v>35</v>
      </c>
      <c r="I723" s="756">
        <f ca="1">IFERROR(__xludf.DUMMYFUNCTION("IMPORTRANGE(""https://docs.google.com/spreadsheets/d/1QqKyyYR6Q21VydFLVH3TRQUabQu_ym0Zz7PgGX0-kHA/edit?usp=sharing"",""แผน!IL73"")"),2)</f>
        <v>2</v>
      </c>
      <c r="J723" s="269">
        <f ca="1">IFERROR(__xludf.DUMMYFUNCTION("IMPORTRANGE(""https://docs.google.com/spreadsheets/d/1XWAQStnk-4SwqDmLtmXYiTMKHgktTP8We1SCoS47DrQ/edit?usp=sharing"",""จัดที่ดิน!BM73"")"),0)</f>
        <v>0</v>
      </c>
      <c r="K723" s="496">
        <f t="shared" ca="1" si="290"/>
        <v>0</v>
      </c>
      <c r="L723" s="496"/>
      <c r="M723" s="189"/>
      <c r="N723" s="757"/>
      <c r="O723" s="496"/>
      <c r="P723" s="496"/>
      <c r="Q723" s="571"/>
      <c r="R723" s="571"/>
      <c r="S723" s="571"/>
      <c r="T723" s="571"/>
      <c r="U723" s="571"/>
      <c r="V723" s="571"/>
      <c r="W723" s="571"/>
      <c r="X723" s="571"/>
      <c r="Y723" s="571"/>
      <c r="Z723" s="571"/>
    </row>
    <row r="724" spans="1:26" ht="18.75">
      <c r="A724" s="735"/>
      <c r="B724" s="754"/>
      <c r="C724" s="754"/>
      <c r="D724" s="754"/>
      <c r="E724" s="754"/>
      <c r="F724" s="754"/>
      <c r="G724" s="189"/>
      <c r="H724" s="755" t="s">
        <v>34</v>
      </c>
      <c r="I724" s="756"/>
      <c r="J724" s="269">
        <f ca="1">IFERROR(__xludf.DUMMYFUNCTION("IMPORTRANGE(""https://docs.google.com/spreadsheets/d/1XWAQStnk-4SwqDmLtmXYiTMKHgktTP8We1SCoS47DrQ/edit?usp=sharing"",""จัดที่ดิน!BN73"")"),0)</f>
        <v>0</v>
      </c>
      <c r="K724" s="496"/>
      <c r="L724" s="757"/>
      <c r="M724" s="189"/>
      <c r="N724" s="757"/>
      <c r="O724" s="496"/>
      <c r="P724" s="496"/>
      <c r="Q724" s="571"/>
      <c r="R724" s="571"/>
      <c r="S724" s="571"/>
      <c r="T724" s="571"/>
      <c r="U724" s="571"/>
      <c r="V724" s="571"/>
      <c r="W724" s="571"/>
      <c r="X724" s="571"/>
      <c r="Y724" s="571"/>
      <c r="Z724" s="571"/>
    </row>
    <row r="725" spans="1:26" ht="18.75">
      <c r="A725" s="735"/>
      <c r="B725" s="754"/>
      <c r="C725" s="754"/>
      <c r="D725" s="754"/>
      <c r="E725" s="754"/>
      <c r="F725" s="754"/>
      <c r="G725" s="189"/>
      <c r="H725" s="755" t="s">
        <v>46</v>
      </c>
      <c r="I725" s="756">
        <f ca="1">IFERROR(__xludf.DUMMYFUNCTION("IMPORTRANGE(""https://docs.google.com/spreadsheets/d/1QqKyyYR6Q21VydFLVH3TRQUabQu_ym0Zz7PgGX0-kHA/edit?usp=sharing"",""แผน!IM73"")"),10)</f>
        <v>10</v>
      </c>
      <c r="J725" s="269">
        <f ca="1">IFERROR(__xludf.DUMMYFUNCTION("IMPORTRANGE(""https://docs.google.com/spreadsheets/d/1XWAQStnk-4SwqDmLtmXYiTMKHgktTP8We1SCoS47DrQ/edit?usp=sharing"",""จัดที่ดิน!BO73"")"),0)</f>
        <v>0</v>
      </c>
      <c r="K725" s="496">
        <f t="shared" ref="K725:K726" ca="1" si="291">IF(I725&gt;0,J725*100/I725,0)</f>
        <v>0</v>
      </c>
      <c r="L725" s="757"/>
      <c r="M725" s="189"/>
      <c r="N725" s="757"/>
      <c r="O725" s="496"/>
      <c r="P725" s="496"/>
      <c r="Q725" s="571"/>
      <c r="R725" s="571"/>
      <c r="S725" s="571"/>
      <c r="T725" s="571"/>
      <c r="U725" s="571"/>
      <c r="V725" s="571"/>
      <c r="W725" s="571"/>
      <c r="X725" s="571"/>
      <c r="Y725" s="571"/>
      <c r="Z725" s="571"/>
    </row>
    <row r="726" spans="1:26" ht="18.75">
      <c r="A726" s="735"/>
      <c r="B726" s="754"/>
      <c r="C726" s="754"/>
      <c r="D726" s="754"/>
      <c r="E726" s="754" t="s">
        <v>307</v>
      </c>
      <c r="F726" s="754"/>
      <c r="G726" s="189"/>
      <c r="H726" s="755" t="s">
        <v>35</v>
      </c>
      <c r="I726" s="756">
        <f ca="1">IFERROR(__xludf.DUMMYFUNCTION("IMPORTRANGE(""https://docs.google.com/spreadsheets/d/1QqKyyYR6Q21VydFLVH3TRQUabQu_ym0Zz7PgGX0-kHA/edit?usp=sharing"",""แผน!IN73"")"),0)</f>
        <v>0</v>
      </c>
      <c r="J726" s="269">
        <f ca="1">IFERROR(__xludf.DUMMYFUNCTION("IMPORTRANGE(""https://docs.google.com/spreadsheets/d/1XWAQStnk-4SwqDmLtmXYiTMKHgktTP8We1SCoS47DrQ/edit?usp=sharing"",""จัดที่ดิน!BR73"")"),0)</f>
        <v>0</v>
      </c>
      <c r="K726" s="496">
        <f t="shared" ca="1" si="291"/>
        <v>0</v>
      </c>
      <c r="L726" s="496"/>
      <c r="M726" s="189"/>
      <c r="N726" s="757"/>
      <c r="O726" s="496"/>
      <c r="P726" s="496"/>
      <c r="Q726" s="571"/>
      <c r="R726" s="571"/>
      <c r="S726" s="571"/>
      <c r="T726" s="571"/>
      <c r="U726" s="571"/>
      <c r="V726" s="571"/>
      <c r="W726" s="571"/>
      <c r="X726" s="571"/>
      <c r="Y726" s="571"/>
      <c r="Z726" s="571"/>
    </row>
    <row r="727" spans="1:26" ht="18.75">
      <c r="A727" s="735"/>
      <c r="B727" s="754"/>
      <c r="C727" s="754"/>
      <c r="D727" s="754"/>
      <c r="E727" s="754"/>
      <c r="F727" s="754"/>
      <c r="G727" s="189"/>
      <c r="H727" s="755" t="s">
        <v>34</v>
      </c>
      <c r="I727" s="756"/>
      <c r="J727" s="269">
        <f ca="1">IFERROR(__xludf.DUMMYFUNCTION("IMPORTRANGE(""https://docs.google.com/spreadsheets/d/1XWAQStnk-4SwqDmLtmXYiTMKHgktTP8We1SCoS47DrQ/edit?usp=sharing"",""จัดที่ดิน!BS73"")"),0)</f>
        <v>0</v>
      </c>
      <c r="K727" s="496"/>
      <c r="L727" s="757"/>
      <c r="M727" s="189"/>
      <c r="N727" s="757"/>
      <c r="O727" s="496"/>
      <c r="P727" s="496"/>
      <c r="Q727" s="571"/>
      <c r="R727" s="571"/>
      <c r="S727" s="571"/>
      <c r="T727" s="571"/>
      <c r="U727" s="571"/>
      <c r="V727" s="571"/>
      <c r="W727" s="571"/>
      <c r="X727" s="571"/>
      <c r="Y727" s="571"/>
      <c r="Z727" s="571"/>
    </row>
    <row r="728" spans="1:26" ht="18.75">
      <c r="A728" s="735"/>
      <c r="B728" s="754"/>
      <c r="C728" s="754"/>
      <c r="D728" s="754"/>
      <c r="E728" s="754"/>
      <c r="F728" s="754"/>
      <c r="G728" s="189"/>
      <c r="H728" s="755" t="s">
        <v>46</v>
      </c>
      <c r="I728" s="756">
        <f ca="1">IFERROR(__xludf.DUMMYFUNCTION("IMPORTRANGE(""https://docs.google.com/spreadsheets/d/1QqKyyYR6Q21VydFLVH3TRQUabQu_ym0Zz7PgGX0-kHA/edit?usp=sharing"",""แผน!IO73"")"),0)</f>
        <v>0</v>
      </c>
      <c r="J728" s="269">
        <f ca="1">IFERROR(__xludf.DUMMYFUNCTION("IMPORTRANGE(""https://docs.google.com/spreadsheets/d/1XWAQStnk-4SwqDmLtmXYiTMKHgktTP8We1SCoS47DrQ/edit?usp=sharing"",""จัดที่ดิน!BT73"")"),0)</f>
        <v>0</v>
      </c>
      <c r="K728" s="496">
        <f t="shared" ref="K728:K729" ca="1" si="292">IF(I728&gt;0,J728*100/I728,0)</f>
        <v>0</v>
      </c>
      <c r="L728" s="757"/>
      <c r="M728" s="189"/>
      <c r="N728" s="757"/>
      <c r="O728" s="496"/>
      <c r="P728" s="496"/>
      <c r="Q728" s="571"/>
      <c r="R728" s="571"/>
      <c r="S728" s="571"/>
      <c r="T728" s="571"/>
      <c r="U728" s="571"/>
      <c r="V728" s="571"/>
      <c r="W728" s="571"/>
      <c r="X728" s="571"/>
      <c r="Y728" s="571"/>
      <c r="Z728" s="571"/>
    </row>
    <row r="729" spans="1:26" ht="19.5">
      <c r="A729" s="735"/>
      <c r="B729" s="754"/>
      <c r="C729" s="754"/>
      <c r="D729" s="754" t="s">
        <v>308</v>
      </c>
      <c r="E729" s="754"/>
      <c r="F729" s="754"/>
      <c r="G729" s="189"/>
      <c r="H729" s="758" t="s">
        <v>46</v>
      </c>
      <c r="I729" s="759">
        <f ca="1">IFERROR(__xludf.DUMMYFUNCTION("IMPORTRANGE(""https://docs.google.com/spreadsheets/d/1QqKyyYR6Q21VydFLVH3TRQUabQu_ym0Zz7PgGX0-kHA/edit?usp=sharing"",""แผน!IP73"")"),0)</f>
        <v>0</v>
      </c>
      <c r="J729" s="674">
        <f>J732+J735</f>
        <v>0</v>
      </c>
      <c r="K729" s="195">
        <f t="shared" ca="1" si="292"/>
        <v>0</v>
      </c>
      <c r="L729" s="496"/>
      <c r="M729" s="189"/>
      <c r="N729" s="757"/>
      <c r="O729" s="496"/>
      <c r="P729" s="496"/>
      <c r="Q729" s="571"/>
      <c r="R729" s="571"/>
      <c r="S729" s="571"/>
      <c r="T729" s="571"/>
      <c r="U729" s="571"/>
      <c r="V729" s="571"/>
      <c r="W729" s="571"/>
      <c r="X729" s="571"/>
      <c r="Y729" s="571"/>
      <c r="Z729" s="571"/>
    </row>
    <row r="730" spans="1:26" ht="18.75">
      <c r="A730" s="735"/>
      <c r="B730" s="754"/>
      <c r="C730" s="754"/>
      <c r="D730" s="754"/>
      <c r="E730" s="754" t="s">
        <v>309</v>
      </c>
      <c r="F730" s="754"/>
      <c r="G730" s="189"/>
      <c r="H730" s="755" t="s">
        <v>35</v>
      </c>
      <c r="I730" s="756"/>
      <c r="J730" s="214">
        <v>0</v>
      </c>
      <c r="K730" s="496"/>
      <c r="L730" s="757"/>
      <c r="M730" s="496"/>
      <c r="N730" s="757"/>
      <c r="O730" s="496"/>
      <c r="P730" s="496"/>
      <c r="Q730" s="571"/>
      <c r="R730" s="571"/>
      <c r="S730" s="571"/>
      <c r="T730" s="571"/>
      <c r="U730" s="571"/>
      <c r="V730" s="571"/>
      <c r="W730" s="571"/>
      <c r="X730" s="571"/>
      <c r="Y730" s="571"/>
      <c r="Z730" s="571"/>
    </row>
    <row r="731" spans="1:26" ht="18.75">
      <c r="A731" s="735"/>
      <c r="B731" s="754"/>
      <c r="C731" s="754"/>
      <c r="D731" s="754"/>
      <c r="E731" s="754"/>
      <c r="F731" s="754"/>
      <c r="G731" s="189"/>
      <c r="H731" s="755" t="s">
        <v>34</v>
      </c>
      <c r="I731" s="756"/>
      <c r="J731" s="214">
        <v>0</v>
      </c>
      <c r="K731" s="496"/>
      <c r="L731" s="757"/>
      <c r="M731" s="496"/>
      <c r="N731" s="757"/>
      <c r="O731" s="496"/>
      <c r="P731" s="496"/>
      <c r="Q731" s="571"/>
      <c r="R731" s="571"/>
      <c r="S731" s="571"/>
      <c r="T731" s="571"/>
      <c r="U731" s="571"/>
      <c r="V731" s="571"/>
      <c r="W731" s="571"/>
      <c r="X731" s="571"/>
      <c r="Y731" s="571"/>
      <c r="Z731" s="571"/>
    </row>
    <row r="732" spans="1:26" ht="18.75">
      <c r="A732" s="735"/>
      <c r="B732" s="754"/>
      <c r="C732" s="754"/>
      <c r="D732" s="754"/>
      <c r="E732" s="754"/>
      <c r="F732" s="754"/>
      <c r="G732" s="189"/>
      <c r="H732" s="755" t="s">
        <v>46</v>
      </c>
      <c r="I732" s="756"/>
      <c r="J732" s="214">
        <v>0</v>
      </c>
      <c r="K732" s="496"/>
      <c r="L732" s="757"/>
      <c r="M732" s="496"/>
      <c r="N732" s="757"/>
      <c r="O732" s="496"/>
      <c r="P732" s="496"/>
      <c r="Q732" s="571"/>
      <c r="R732" s="571"/>
      <c r="S732" s="571"/>
      <c r="T732" s="571"/>
      <c r="U732" s="571"/>
      <c r="V732" s="571"/>
      <c r="W732" s="571"/>
      <c r="X732" s="571"/>
      <c r="Y732" s="571"/>
      <c r="Z732" s="571"/>
    </row>
    <row r="733" spans="1:26" ht="18.75">
      <c r="A733" s="735"/>
      <c r="B733" s="754"/>
      <c r="C733" s="754"/>
      <c r="D733" s="754"/>
      <c r="E733" s="754" t="s">
        <v>310</v>
      </c>
      <c r="F733" s="754"/>
      <c r="G733" s="189"/>
      <c r="H733" s="755" t="s">
        <v>35</v>
      </c>
      <c r="I733" s="756"/>
      <c r="J733" s="214">
        <v>0</v>
      </c>
      <c r="K733" s="496"/>
      <c r="L733" s="757"/>
      <c r="M733" s="496"/>
      <c r="N733" s="757"/>
      <c r="O733" s="496"/>
      <c r="P733" s="496"/>
      <c r="Q733" s="571"/>
      <c r="R733" s="571"/>
      <c r="S733" s="571"/>
      <c r="T733" s="571"/>
      <c r="U733" s="571"/>
      <c r="V733" s="571"/>
      <c r="W733" s="571"/>
      <c r="X733" s="571"/>
      <c r="Y733" s="571"/>
      <c r="Z733" s="571"/>
    </row>
    <row r="734" spans="1:26" ht="18.75">
      <c r="A734" s="735"/>
      <c r="B734" s="754"/>
      <c r="C734" s="754"/>
      <c r="D734" s="754"/>
      <c r="E734" s="754"/>
      <c r="F734" s="754"/>
      <c r="G734" s="189"/>
      <c r="H734" s="755" t="s">
        <v>34</v>
      </c>
      <c r="I734" s="756"/>
      <c r="J734" s="214">
        <v>0</v>
      </c>
      <c r="K734" s="496"/>
      <c r="L734" s="757"/>
      <c r="M734" s="496"/>
      <c r="N734" s="757"/>
      <c r="O734" s="496"/>
      <c r="P734" s="496"/>
      <c r="Q734" s="571"/>
      <c r="R734" s="571"/>
      <c r="S734" s="571"/>
      <c r="T734" s="571"/>
      <c r="U734" s="571"/>
      <c r="V734" s="571"/>
      <c r="W734" s="571"/>
      <c r="X734" s="571"/>
      <c r="Y734" s="571"/>
      <c r="Z734" s="571"/>
    </row>
    <row r="735" spans="1:26" ht="19.5">
      <c r="A735" s="761"/>
      <c r="B735" s="762" t="s">
        <v>311</v>
      </c>
      <c r="C735" s="725"/>
      <c r="D735" s="725"/>
      <c r="E735" s="725"/>
      <c r="F735" s="725"/>
      <c r="G735" s="726"/>
      <c r="H735" s="421" t="s">
        <v>46</v>
      </c>
      <c r="I735" s="763"/>
      <c r="J735" s="423">
        <v>0</v>
      </c>
      <c r="K735" s="500"/>
      <c r="L735" s="764"/>
      <c r="M735" s="500"/>
      <c r="N735" s="764"/>
      <c r="O735" s="500"/>
      <c r="P735" s="500"/>
      <c r="Q735" s="571"/>
      <c r="R735" s="571"/>
      <c r="S735" s="571"/>
      <c r="T735" s="571"/>
      <c r="U735" s="571"/>
      <c r="V735" s="571"/>
      <c r="W735" s="571"/>
      <c r="X735" s="571"/>
      <c r="Y735" s="571"/>
      <c r="Z735" s="571"/>
    </row>
    <row r="736" spans="1:26" ht="19.5" hidden="1">
      <c r="A736" s="765">
        <v>9</v>
      </c>
      <c r="B736" s="766" t="s">
        <v>312</v>
      </c>
      <c r="C736" s="767"/>
      <c r="D736" s="767"/>
      <c r="E736" s="767"/>
      <c r="F736" s="767"/>
      <c r="G736" s="768"/>
      <c r="H736" s="769" t="s">
        <v>46</v>
      </c>
      <c r="I736" s="770"/>
      <c r="J736" s="770">
        <f>J751</f>
        <v>0</v>
      </c>
      <c r="K736" s="771">
        <f>IF(I736&gt;0,J736*100/I736,0)</f>
        <v>0</v>
      </c>
      <c r="L736" s="772"/>
      <c r="M736" s="772"/>
      <c r="N736" s="772"/>
      <c r="O736" s="772"/>
      <c r="P736" s="772"/>
      <c r="Q736" s="597"/>
      <c r="R736" s="597"/>
      <c r="S736" s="597"/>
      <c r="T736" s="597"/>
      <c r="U736" s="597"/>
      <c r="V736" s="597"/>
      <c r="W736" s="597"/>
      <c r="X736" s="597"/>
      <c r="Y736" s="597"/>
      <c r="Z736" s="597"/>
    </row>
    <row r="737" spans="1:26" ht="19.5" hidden="1">
      <c r="A737" s="592"/>
      <c r="B737" s="750"/>
      <c r="C737" s="750" t="s">
        <v>16</v>
      </c>
      <c r="D737" s="864" t="s">
        <v>17</v>
      </c>
      <c r="E737" s="857"/>
      <c r="F737" s="857"/>
      <c r="G737" s="596"/>
      <c r="H737" s="639" t="s">
        <v>12</v>
      </c>
      <c r="I737" s="610"/>
      <c r="J737" s="610"/>
      <c r="K737" s="93"/>
      <c r="L737" s="640">
        <f t="shared" ref="L737:N737" si="293">L738+L739</f>
        <v>0</v>
      </c>
      <c r="M737" s="640">
        <f t="shared" si="293"/>
        <v>0</v>
      </c>
      <c r="N737" s="640">
        <f t="shared" si="293"/>
        <v>0</v>
      </c>
      <c r="O737" s="640">
        <f t="shared" ref="O737:O742" si="294">IF(L737&gt;0,N737*100/L737,0)</f>
        <v>0</v>
      </c>
      <c r="P737" s="640">
        <f t="shared" ref="P737:P742" si="295">IF(M737&gt;0,N737*100/M737,0)</f>
        <v>0</v>
      </c>
      <c r="Q737" s="597"/>
      <c r="R737" s="597"/>
      <c r="S737" s="597"/>
      <c r="T737" s="597"/>
      <c r="U737" s="597"/>
      <c r="V737" s="597"/>
      <c r="W737" s="597"/>
      <c r="X737" s="597"/>
      <c r="Y737" s="597"/>
      <c r="Z737" s="597"/>
    </row>
    <row r="738" spans="1:26" ht="18.75" hidden="1">
      <c r="A738" s="592"/>
      <c r="B738" s="750"/>
      <c r="C738" s="750"/>
      <c r="D738" s="711"/>
      <c r="E738" s="750" t="s">
        <v>184</v>
      </c>
      <c r="F738" s="750"/>
      <c r="G738" s="596"/>
      <c r="H738" s="165" t="s">
        <v>12</v>
      </c>
      <c r="I738" s="610"/>
      <c r="J738" s="610"/>
      <c r="K738" s="93"/>
      <c r="L738" s="93">
        <f t="shared" ref="L738:N739" si="296">L741+L748</f>
        <v>0</v>
      </c>
      <c r="M738" s="93">
        <f t="shared" si="296"/>
        <v>0</v>
      </c>
      <c r="N738" s="93">
        <f t="shared" si="296"/>
        <v>0</v>
      </c>
      <c r="O738" s="93">
        <f t="shared" si="294"/>
        <v>0</v>
      </c>
      <c r="P738" s="93">
        <f t="shared" si="295"/>
        <v>0</v>
      </c>
      <c r="Q738" s="597"/>
      <c r="R738" s="597"/>
      <c r="S738" s="597"/>
      <c r="T738" s="597"/>
      <c r="U738" s="597"/>
      <c r="V738" s="597"/>
      <c r="W738" s="597"/>
      <c r="X738" s="597"/>
      <c r="Y738" s="597"/>
      <c r="Z738" s="597"/>
    </row>
    <row r="739" spans="1:26" ht="18.75" hidden="1">
      <c r="A739" s="592"/>
      <c r="B739" s="600"/>
      <c r="C739" s="750"/>
      <c r="D739" s="711"/>
      <c r="E739" s="750" t="s">
        <v>185</v>
      </c>
      <c r="F739" s="750"/>
      <c r="G739" s="596"/>
      <c r="H739" s="165" t="s">
        <v>12</v>
      </c>
      <c r="I739" s="610"/>
      <c r="J739" s="610"/>
      <c r="K739" s="93"/>
      <c r="L739" s="93">
        <f t="shared" si="296"/>
        <v>0</v>
      </c>
      <c r="M739" s="93">
        <f t="shared" si="296"/>
        <v>0</v>
      </c>
      <c r="N739" s="93">
        <f t="shared" si="296"/>
        <v>0</v>
      </c>
      <c r="O739" s="93">
        <f t="shared" si="294"/>
        <v>0</v>
      </c>
      <c r="P739" s="93">
        <f t="shared" si="295"/>
        <v>0</v>
      </c>
      <c r="Q739" s="597"/>
      <c r="R739" s="597"/>
      <c r="S739" s="597"/>
      <c r="T739" s="597"/>
      <c r="U739" s="597"/>
      <c r="V739" s="597"/>
      <c r="W739" s="597"/>
      <c r="X739" s="597"/>
      <c r="Y739" s="597"/>
      <c r="Z739" s="597"/>
    </row>
    <row r="740" spans="1:26" ht="19.5" hidden="1">
      <c r="A740" s="592"/>
      <c r="B740" s="600"/>
      <c r="C740" s="750"/>
      <c r="D740" s="638" t="s">
        <v>20</v>
      </c>
      <c r="E740" s="750"/>
      <c r="F740" s="750"/>
      <c r="G740" s="596"/>
      <c r="H740" s="639" t="s">
        <v>12</v>
      </c>
      <c r="I740" s="166"/>
      <c r="J740" s="166"/>
      <c r="K740" s="167"/>
      <c r="L740" s="640">
        <f t="shared" ref="L740:N740" si="297">L741+L742</f>
        <v>0</v>
      </c>
      <c r="M740" s="640">
        <f t="shared" si="297"/>
        <v>0</v>
      </c>
      <c r="N740" s="640">
        <f t="shared" si="297"/>
        <v>0</v>
      </c>
      <c r="O740" s="640">
        <f t="shared" si="294"/>
        <v>0</v>
      </c>
      <c r="P740" s="640">
        <f t="shared" si="295"/>
        <v>0</v>
      </c>
      <c r="Q740" s="597"/>
      <c r="R740" s="597"/>
      <c r="S740" s="597"/>
      <c r="T740" s="597"/>
      <c r="U740" s="597"/>
      <c r="V740" s="597"/>
      <c r="W740" s="597"/>
      <c r="X740" s="597"/>
      <c r="Y740" s="597"/>
      <c r="Z740" s="597"/>
    </row>
    <row r="741" spans="1:26" ht="18.75" hidden="1">
      <c r="A741" s="592"/>
      <c r="B741" s="600"/>
      <c r="C741" s="750"/>
      <c r="D741" s="711"/>
      <c r="E741" s="750" t="s">
        <v>184</v>
      </c>
      <c r="F741" s="750"/>
      <c r="G741" s="596"/>
      <c r="H741" s="165" t="s">
        <v>12</v>
      </c>
      <c r="I741" s="610"/>
      <c r="J741" s="610"/>
      <c r="K741" s="93"/>
      <c r="L741" s="93">
        <v>0</v>
      </c>
      <c r="M741" s="93">
        <v>0</v>
      </c>
      <c r="N741" s="93">
        <v>0</v>
      </c>
      <c r="O741" s="93">
        <f t="shared" si="294"/>
        <v>0</v>
      </c>
      <c r="P741" s="93">
        <f t="shared" si="295"/>
        <v>0</v>
      </c>
      <c r="Q741" s="597"/>
      <c r="R741" s="597"/>
      <c r="S741" s="597"/>
      <c r="T741" s="597"/>
      <c r="U741" s="597"/>
      <c r="V741" s="597"/>
      <c r="W741" s="597"/>
      <c r="X741" s="597"/>
      <c r="Y741" s="597"/>
      <c r="Z741" s="597"/>
    </row>
    <row r="742" spans="1:26" ht="18.75" hidden="1">
      <c r="A742" s="592"/>
      <c r="B742" s="600"/>
      <c r="C742" s="750"/>
      <c r="D742" s="711"/>
      <c r="E742" s="750" t="s">
        <v>185</v>
      </c>
      <c r="F742" s="750"/>
      <c r="G742" s="596"/>
      <c r="H742" s="165" t="s">
        <v>12</v>
      </c>
      <c r="I742" s="610"/>
      <c r="J742" s="610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4"/>
        <v>0</v>
      </c>
      <c r="P742" s="93">
        <f t="shared" si="295"/>
        <v>0</v>
      </c>
      <c r="Q742" s="597"/>
      <c r="R742" s="597"/>
      <c r="S742" s="597"/>
      <c r="T742" s="597"/>
      <c r="U742" s="597"/>
      <c r="V742" s="597"/>
      <c r="W742" s="597"/>
      <c r="X742" s="597"/>
      <c r="Y742" s="597"/>
      <c r="Z742" s="597"/>
    </row>
    <row r="743" spans="1:26" ht="18.75" hidden="1">
      <c r="A743" s="642"/>
      <c r="B743" s="600"/>
      <c r="C743" s="750"/>
      <c r="D743" s="750"/>
      <c r="E743" s="750"/>
      <c r="F743" s="750" t="s">
        <v>186</v>
      </c>
      <c r="G743" s="596"/>
      <c r="H743" s="165" t="s">
        <v>12</v>
      </c>
      <c r="I743" s="610"/>
      <c r="J743" s="610"/>
      <c r="K743" s="93"/>
      <c r="L743" s="93"/>
      <c r="M743" s="93"/>
      <c r="N743" s="93"/>
      <c r="O743" s="93"/>
      <c r="P743" s="93"/>
      <c r="Q743" s="597"/>
      <c r="R743" s="597"/>
      <c r="S743" s="597"/>
      <c r="T743" s="597"/>
      <c r="U743" s="597"/>
      <c r="V743" s="597"/>
      <c r="W743" s="597"/>
      <c r="X743" s="597"/>
      <c r="Y743" s="597"/>
      <c r="Z743" s="597"/>
    </row>
    <row r="744" spans="1:26" ht="18.75" hidden="1">
      <c r="A744" s="642"/>
      <c r="B744" s="600"/>
      <c r="C744" s="750"/>
      <c r="D744" s="750"/>
      <c r="E744" s="750"/>
      <c r="F744" s="750" t="s">
        <v>187</v>
      </c>
      <c r="G744" s="596"/>
      <c r="H744" s="165" t="s">
        <v>12</v>
      </c>
      <c r="I744" s="610"/>
      <c r="J744" s="610"/>
      <c r="K744" s="93"/>
      <c r="L744" s="93"/>
      <c r="M744" s="93"/>
      <c r="N744" s="93"/>
      <c r="O744" s="93"/>
      <c r="P744" s="93"/>
      <c r="Q744" s="597"/>
      <c r="R744" s="597"/>
      <c r="S744" s="597"/>
      <c r="T744" s="597"/>
      <c r="U744" s="597"/>
      <c r="V744" s="597"/>
      <c r="W744" s="597"/>
      <c r="X744" s="597"/>
      <c r="Y744" s="597"/>
      <c r="Z744" s="597"/>
    </row>
    <row r="745" spans="1:26" ht="18.75" hidden="1">
      <c r="A745" s="642"/>
      <c r="B745" s="600"/>
      <c r="C745" s="750"/>
      <c r="D745" s="750"/>
      <c r="E745" s="750"/>
      <c r="F745" s="750" t="s">
        <v>188</v>
      </c>
      <c r="G745" s="596"/>
      <c r="H745" s="165" t="s">
        <v>12</v>
      </c>
      <c r="I745" s="610"/>
      <c r="J745" s="610"/>
      <c r="K745" s="93"/>
      <c r="L745" s="93"/>
      <c r="M745" s="93"/>
      <c r="N745" s="93"/>
      <c r="O745" s="93"/>
      <c r="P745" s="93"/>
      <c r="Q745" s="597"/>
      <c r="R745" s="597"/>
      <c r="S745" s="597"/>
      <c r="T745" s="597"/>
      <c r="U745" s="597"/>
      <c r="V745" s="597"/>
      <c r="W745" s="597"/>
      <c r="X745" s="597"/>
      <c r="Y745" s="597"/>
      <c r="Z745" s="597"/>
    </row>
    <row r="746" spans="1:26" ht="18.75" hidden="1">
      <c r="A746" s="642"/>
      <c r="B746" s="600"/>
      <c r="C746" s="750"/>
      <c r="D746" s="750"/>
      <c r="E746" s="750"/>
      <c r="F746" s="750" t="s">
        <v>189</v>
      </c>
      <c r="G746" s="596"/>
      <c r="H746" s="165" t="s">
        <v>12</v>
      </c>
      <c r="I746" s="610"/>
      <c r="J746" s="610"/>
      <c r="K746" s="93"/>
      <c r="L746" s="93"/>
      <c r="M746" s="93"/>
      <c r="N746" s="93"/>
      <c r="O746" s="93"/>
      <c r="P746" s="93"/>
      <c r="Q746" s="597"/>
      <c r="R746" s="597"/>
      <c r="S746" s="597"/>
      <c r="T746" s="597"/>
      <c r="U746" s="597"/>
      <c r="V746" s="597"/>
      <c r="W746" s="597"/>
      <c r="X746" s="597"/>
      <c r="Y746" s="597"/>
      <c r="Z746" s="597"/>
    </row>
    <row r="747" spans="1:26" ht="19.5" hidden="1">
      <c r="A747" s="592"/>
      <c r="B747" s="600"/>
      <c r="C747" s="750"/>
      <c r="D747" s="638" t="s">
        <v>21</v>
      </c>
      <c r="E747" s="750"/>
      <c r="F747" s="750"/>
      <c r="G747" s="596"/>
      <c r="H747" s="774" t="s">
        <v>12</v>
      </c>
      <c r="I747" s="166"/>
      <c r="J747" s="166"/>
      <c r="K747" s="167"/>
      <c r="L747" s="640">
        <f t="shared" ref="L747:N747" si="298">L748+L749</f>
        <v>0</v>
      </c>
      <c r="M747" s="640">
        <f t="shared" si="298"/>
        <v>0</v>
      </c>
      <c r="N747" s="640">
        <f t="shared" si="298"/>
        <v>0</v>
      </c>
      <c r="O747" s="640">
        <f t="shared" ref="O747:O749" si="299">IF(L747&gt;0,N747*100/L747,0)</f>
        <v>0</v>
      </c>
      <c r="P747" s="640">
        <f t="shared" ref="P747:P749" si="300">IF(M747&gt;0,N747*100/M747,0)</f>
        <v>0</v>
      </c>
      <c r="Q747" s="597"/>
      <c r="R747" s="597"/>
      <c r="S747" s="597"/>
      <c r="T747" s="597"/>
      <c r="U747" s="597"/>
      <c r="V747" s="597"/>
      <c r="W747" s="597"/>
      <c r="X747" s="597"/>
      <c r="Y747" s="597"/>
      <c r="Z747" s="597"/>
    </row>
    <row r="748" spans="1:26" ht="18.75" hidden="1">
      <c r="A748" s="592"/>
      <c r="B748" s="600"/>
      <c r="C748" s="750"/>
      <c r="D748" s="750"/>
      <c r="E748" s="750" t="s">
        <v>18</v>
      </c>
      <c r="F748" s="750"/>
      <c r="G748" s="596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299"/>
        <v>0</v>
      </c>
      <c r="P748" s="93">
        <f t="shared" si="300"/>
        <v>0</v>
      </c>
      <c r="Q748" s="597"/>
      <c r="R748" s="597"/>
      <c r="S748" s="597"/>
      <c r="T748" s="597"/>
      <c r="U748" s="597"/>
      <c r="V748" s="597"/>
      <c r="W748" s="597"/>
      <c r="X748" s="597"/>
      <c r="Y748" s="597"/>
      <c r="Z748" s="597"/>
    </row>
    <row r="749" spans="1:26" ht="18.75" hidden="1">
      <c r="A749" s="592"/>
      <c r="B749" s="600"/>
      <c r="C749" s="750"/>
      <c r="D749" s="750"/>
      <c r="E749" s="750" t="s">
        <v>19</v>
      </c>
      <c r="F749" s="750"/>
      <c r="G749" s="596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299"/>
        <v>0</v>
      </c>
      <c r="P749" s="93">
        <f t="shared" si="300"/>
        <v>0</v>
      </c>
      <c r="Q749" s="597"/>
      <c r="R749" s="597"/>
      <c r="S749" s="597"/>
      <c r="T749" s="597"/>
      <c r="U749" s="597"/>
      <c r="V749" s="597"/>
      <c r="W749" s="597"/>
      <c r="X749" s="597"/>
      <c r="Y749" s="597"/>
      <c r="Z749" s="597"/>
    </row>
    <row r="750" spans="1:26" ht="19.5" hidden="1">
      <c r="A750" s="607"/>
      <c r="B750" s="609"/>
      <c r="C750" s="750" t="s">
        <v>16</v>
      </c>
      <c r="D750" s="841" t="s">
        <v>38</v>
      </c>
      <c r="E750" s="644"/>
      <c r="F750" s="644"/>
      <c r="G750" s="645"/>
      <c r="H750" s="365"/>
      <c r="I750" s="166"/>
      <c r="J750" s="166"/>
      <c r="K750" s="167"/>
      <c r="L750" s="167"/>
      <c r="M750" s="167"/>
      <c r="N750" s="167"/>
      <c r="O750" s="167"/>
      <c r="P750" s="167"/>
      <c r="Q750" s="597"/>
      <c r="R750" s="597"/>
      <c r="S750" s="597"/>
      <c r="T750" s="597"/>
      <c r="U750" s="597"/>
      <c r="V750" s="597"/>
      <c r="W750" s="597"/>
      <c r="X750" s="597"/>
      <c r="Y750" s="597"/>
      <c r="Z750" s="597"/>
    </row>
    <row r="751" spans="1:26" ht="18.75" hidden="1">
      <c r="A751" s="642"/>
      <c r="B751" s="600"/>
      <c r="C751" s="750"/>
      <c r="D751" s="750"/>
      <c r="E751" s="750" t="s">
        <v>313</v>
      </c>
      <c r="F751" s="750"/>
      <c r="G751" s="596"/>
      <c r="H751" s="165" t="s">
        <v>46</v>
      </c>
      <c r="I751" s="610"/>
      <c r="J751" s="610"/>
      <c r="K751" s="93"/>
      <c r="L751" s="93"/>
      <c r="M751" s="93"/>
      <c r="N751" s="93"/>
      <c r="O751" s="93"/>
      <c r="P751" s="93"/>
      <c r="Q751" s="597"/>
      <c r="R751" s="597"/>
      <c r="S751" s="597"/>
      <c r="T751" s="597"/>
      <c r="U751" s="597"/>
      <c r="V751" s="597"/>
      <c r="W751" s="597"/>
      <c r="X751" s="597"/>
      <c r="Y751" s="597"/>
      <c r="Z751" s="597"/>
    </row>
    <row r="752" spans="1:26" ht="18.75" hidden="1">
      <c r="A752" s="642"/>
      <c r="B752" s="600"/>
      <c r="C752" s="750"/>
      <c r="D752" s="750"/>
      <c r="E752" s="750"/>
      <c r="F752" s="750"/>
      <c r="G752" s="596"/>
      <c r="H752" s="165" t="s">
        <v>314</v>
      </c>
      <c r="I752" s="610"/>
      <c r="J752" s="610"/>
      <c r="K752" s="93"/>
      <c r="L752" s="93"/>
      <c r="M752" s="93"/>
      <c r="N752" s="93"/>
      <c r="O752" s="93"/>
      <c r="P752" s="93"/>
      <c r="Q752" s="597"/>
      <c r="R752" s="597"/>
      <c r="S752" s="597"/>
      <c r="T752" s="597"/>
      <c r="U752" s="597"/>
      <c r="V752" s="597"/>
      <c r="W752" s="597"/>
      <c r="X752" s="597"/>
      <c r="Y752" s="597"/>
      <c r="Z752" s="597"/>
    </row>
    <row r="753" spans="1:26" ht="19.5" hidden="1">
      <c r="A753" s="776">
        <v>10</v>
      </c>
      <c r="B753" s="777" t="s">
        <v>315</v>
      </c>
      <c r="C753" s="778"/>
      <c r="D753" s="778"/>
      <c r="E753" s="778"/>
      <c r="F753" s="778"/>
      <c r="G753" s="779"/>
      <c r="H753" s="780" t="s">
        <v>46</v>
      </c>
      <c r="I753" s="781"/>
      <c r="J753" s="781">
        <f>J768</f>
        <v>0</v>
      </c>
      <c r="K753" s="782">
        <f>IF(I753&gt;0,J753*100/I753,0)</f>
        <v>0</v>
      </c>
      <c r="L753" s="783"/>
      <c r="M753" s="783"/>
      <c r="N753" s="783"/>
      <c r="O753" s="783"/>
      <c r="P753" s="783"/>
      <c r="Q753" s="597"/>
      <c r="R753" s="597"/>
      <c r="S753" s="597"/>
      <c r="T753" s="597"/>
      <c r="U753" s="597"/>
      <c r="V753" s="597"/>
      <c r="W753" s="597"/>
      <c r="X753" s="597"/>
      <c r="Y753" s="597"/>
      <c r="Z753" s="597"/>
    </row>
    <row r="754" spans="1:26" ht="19.5" hidden="1">
      <c r="A754" s="592"/>
      <c r="B754" s="750"/>
      <c r="C754" s="750" t="s">
        <v>16</v>
      </c>
      <c r="D754" s="864" t="s">
        <v>17</v>
      </c>
      <c r="E754" s="857"/>
      <c r="F754" s="857"/>
      <c r="G754" s="596"/>
      <c r="H754" s="639" t="s">
        <v>12</v>
      </c>
      <c r="I754" s="610"/>
      <c r="J754" s="610"/>
      <c r="K754" s="93"/>
      <c r="L754" s="640">
        <f t="shared" ref="L754:N754" si="301">L755+L756</f>
        <v>0</v>
      </c>
      <c r="M754" s="640">
        <f t="shared" si="301"/>
        <v>0</v>
      </c>
      <c r="N754" s="640">
        <f t="shared" si="301"/>
        <v>0</v>
      </c>
      <c r="O754" s="640">
        <f t="shared" ref="O754:O759" si="302">IF(L754&gt;0,N754*100/L754,0)</f>
        <v>0</v>
      </c>
      <c r="P754" s="640">
        <f t="shared" ref="P754:P759" si="303">IF(M754&gt;0,N754*100/M754,0)</f>
        <v>0</v>
      </c>
      <c r="Q754" s="597"/>
      <c r="R754" s="597"/>
      <c r="S754" s="597"/>
      <c r="T754" s="597"/>
      <c r="U754" s="597"/>
      <c r="V754" s="597"/>
      <c r="W754" s="597"/>
      <c r="X754" s="597"/>
      <c r="Y754" s="597"/>
      <c r="Z754" s="597"/>
    </row>
    <row r="755" spans="1:26" ht="18.75" hidden="1">
      <c r="A755" s="592"/>
      <c r="B755" s="750"/>
      <c r="C755" s="750"/>
      <c r="D755" s="711"/>
      <c r="E755" s="750" t="s">
        <v>184</v>
      </c>
      <c r="F755" s="750"/>
      <c r="G755" s="596"/>
      <c r="H755" s="165" t="s">
        <v>12</v>
      </c>
      <c r="I755" s="610"/>
      <c r="J755" s="610"/>
      <c r="K755" s="93"/>
      <c r="L755" s="93">
        <f t="shared" ref="L755:N756" si="304">L758+L765</f>
        <v>0</v>
      </c>
      <c r="M755" s="93">
        <f t="shared" si="304"/>
        <v>0</v>
      </c>
      <c r="N755" s="93">
        <f t="shared" si="304"/>
        <v>0</v>
      </c>
      <c r="O755" s="93">
        <f t="shared" si="302"/>
        <v>0</v>
      </c>
      <c r="P755" s="93">
        <f t="shared" si="303"/>
        <v>0</v>
      </c>
      <c r="Q755" s="597"/>
      <c r="R755" s="597"/>
      <c r="S755" s="597"/>
      <c r="T755" s="597"/>
      <c r="U755" s="597"/>
      <c r="V755" s="597"/>
      <c r="W755" s="597"/>
      <c r="X755" s="597"/>
      <c r="Y755" s="597"/>
      <c r="Z755" s="597"/>
    </row>
    <row r="756" spans="1:26" ht="18.75" hidden="1">
      <c r="A756" s="592"/>
      <c r="B756" s="600"/>
      <c r="C756" s="750"/>
      <c r="D756" s="711"/>
      <c r="E756" s="750" t="s">
        <v>185</v>
      </c>
      <c r="F756" s="750"/>
      <c r="G756" s="596"/>
      <c r="H756" s="165" t="s">
        <v>12</v>
      </c>
      <c r="I756" s="610"/>
      <c r="J756" s="610"/>
      <c r="K756" s="93"/>
      <c r="L756" s="93">
        <f t="shared" si="304"/>
        <v>0</v>
      </c>
      <c r="M756" s="93">
        <f t="shared" si="304"/>
        <v>0</v>
      </c>
      <c r="N756" s="93">
        <f t="shared" si="304"/>
        <v>0</v>
      </c>
      <c r="O756" s="93">
        <f t="shared" si="302"/>
        <v>0</v>
      </c>
      <c r="P756" s="93">
        <f t="shared" si="303"/>
        <v>0</v>
      </c>
      <c r="Q756" s="597"/>
      <c r="R756" s="597"/>
      <c r="S756" s="597"/>
      <c r="T756" s="597"/>
      <c r="U756" s="597"/>
      <c r="V756" s="597"/>
      <c r="W756" s="597"/>
      <c r="X756" s="597"/>
      <c r="Y756" s="597"/>
      <c r="Z756" s="597"/>
    </row>
    <row r="757" spans="1:26" ht="19.5" hidden="1">
      <c r="A757" s="592"/>
      <c r="B757" s="600"/>
      <c r="C757" s="750"/>
      <c r="D757" s="638" t="s">
        <v>20</v>
      </c>
      <c r="E757" s="750"/>
      <c r="F757" s="750"/>
      <c r="G757" s="596"/>
      <c r="H757" s="639" t="s">
        <v>12</v>
      </c>
      <c r="I757" s="166"/>
      <c r="J757" s="166"/>
      <c r="K757" s="167"/>
      <c r="L757" s="640">
        <f t="shared" ref="L757:N757" si="305">L758+L759</f>
        <v>0</v>
      </c>
      <c r="M757" s="640">
        <f t="shared" si="305"/>
        <v>0</v>
      </c>
      <c r="N757" s="640">
        <f t="shared" si="305"/>
        <v>0</v>
      </c>
      <c r="O757" s="640">
        <f t="shared" si="302"/>
        <v>0</v>
      </c>
      <c r="P757" s="640">
        <f t="shared" si="303"/>
        <v>0</v>
      </c>
      <c r="Q757" s="597"/>
      <c r="R757" s="597"/>
      <c r="S757" s="597"/>
      <c r="T757" s="597"/>
      <c r="U757" s="597"/>
      <c r="V757" s="597"/>
      <c r="W757" s="597"/>
      <c r="X757" s="597"/>
      <c r="Y757" s="597"/>
      <c r="Z757" s="597"/>
    </row>
    <row r="758" spans="1:26" ht="18.75" hidden="1">
      <c r="A758" s="592"/>
      <c r="B758" s="600"/>
      <c r="C758" s="750"/>
      <c r="D758" s="711"/>
      <c r="E758" s="750" t="s">
        <v>184</v>
      </c>
      <c r="F758" s="750"/>
      <c r="G758" s="596"/>
      <c r="H758" s="165" t="s">
        <v>12</v>
      </c>
      <c r="I758" s="610"/>
      <c r="J758" s="610"/>
      <c r="K758" s="93"/>
      <c r="L758" s="93">
        <v>0</v>
      </c>
      <c r="M758" s="93">
        <v>0</v>
      </c>
      <c r="N758" s="93">
        <v>0</v>
      </c>
      <c r="O758" s="93">
        <f t="shared" si="302"/>
        <v>0</v>
      </c>
      <c r="P758" s="93">
        <f t="shared" si="303"/>
        <v>0</v>
      </c>
      <c r="Q758" s="597"/>
      <c r="R758" s="597"/>
      <c r="S758" s="597"/>
      <c r="T758" s="597"/>
      <c r="U758" s="597"/>
      <c r="V758" s="597"/>
      <c r="W758" s="597"/>
      <c r="X758" s="597"/>
      <c r="Y758" s="597"/>
      <c r="Z758" s="597"/>
    </row>
    <row r="759" spans="1:26" ht="18.75" hidden="1">
      <c r="A759" s="592"/>
      <c r="B759" s="600"/>
      <c r="C759" s="750"/>
      <c r="D759" s="711"/>
      <c r="E759" s="750" t="s">
        <v>185</v>
      </c>
      <c r="F759" s="750"/>
      <c r="G759" s="596"/>
      <c r="H759" s="165" t="s">
        <v>12</v>
      </c>
      <c r="I759" s="610"/>
      <c r="J759" s="610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2"/>
        <v>0</v>
      </c>
      <c r="P759" s="93">
        <f t="shared" si="303"/>
        <v>0</v>
      </c>
      <c r="Q759" s="597"/>
      <c r="R759" s="597"/>
      <c r="S759" s="597"/>
      <c r="T759" s="597"/>
      <c r="U759" s="597"/>
      <c r="V759" s="597"/>
      <c r="W759" s="597"/>
      <c r="X759" s="597"/>
      <c r="Y759" s="597"/>
      <c r="Z759" s="597"/>
    </row>
    <row r="760" spans="1:26" ht="18.75" hidden="1">
      <c r="A760" s="642"/>
      <c r="B760" s="600"/>
      <c r="C760" s="750"/>
      <c r="D760" s="750"/>
      <c r="E760" s="750"/>
      <c r="F760" s="750" t="s">
        <v>186</v>
      </c>
      <c r="G760" s="596"/>
      <c r="H760" s="165" t="s">
        <v>12</v>
      </c>
      <c r="I760" s="610"/>
      <c r="J760" s="610"/>
      <c r="K760" s="93"/>
      <c r="L760" s="93"/>
      <c r="M760" s="93"/>
      <c r="N760" s="93"/>
      <c r="O760" s="93"/>
      <c r="P760" s="93"/>
      <c r="Q760" s="597"/>
      <c r="R760" s="597"/>
      <c r="S760" s="597"/>
      <c r="T760" s="597"/>
      <c r="U760" s="597"/>
      <c r="V760" s="597"/>
      <c r="W760" s="597"/>
      <c r="X760" s="597"/>
      <c r="Y760" s="597"/>
      <c r="Z760" s="597"/>
    </row>
    <row r="761" spans="1:26" ht="18.75" hidden="1">
      <c r="A761" s="642"/>
      <c r="B761" s="600"/>
      <c r="C761" s="750"/>
      <c r="D761" s="750"/>
      <c r="E761" s="750"/>
      <c r="F761" s="750" t="s">
        <v>187</v>
      </c>
      <c r="G761" s="596"/>
      <c r="H761" s="165" t="s">
        <v>12</v>
      </c>
      <c r="I761" s="610"/>
      <c r="J761" s="610"/>
      <c r="K761" s="93"/>
      <c r="L761" s="93"/>
      <c r="M761" s="93"/>
      <c r="N761" s="93"/>
      <c r="O761" s="93"/>
      <c r="P761" s="93"/>
      <c r="Q761" s="597"/>
      <c r="R761" s="597"/>
      <c r="S761" s="597"/>
      <c r="T761" s="597"/>
      <c r="U761" s="597"/>
      <c r="V761" s="597"/>
      <c r="W761" s="597"/>
      <c r="X761" s="597"/>
      <c r="Y761" s="597"/>
      <c r="Z761" s="597"/>
    </row>
    <row r="762" spans="1:26" ht="18.75" hidden="1">
      <c r="A762" s="642"/>
      <c r="B762" s="600"/>
      <c r="C762" s="750"/>
      <c r="D762" s="750"/>
      <c r="E762" s="750"/>
      <c r="F762" s="750" t="s">
        <v>188</v>
      </c>
      <c r="G762" s="596"/>
      <c r="H762" s="165" t="s">
        <v>12</v>
      </c>
      <c r="I762" s="610"/>
      <c r="J762" s="610"/>
      <c r="K762" s="93"/>
      <c r="L762" s="93"/>
      <c r="M762" s="93"/>
      <c r="N762" s="93"/>
      <c r="O762" s="93"/>
      <c r="P762" s="93"/>
      <c r="Q762" s="597"/>
      <c r="R762" s="597"/>
      <c r="S762" s="597"/>
      <c r="T762" s="597"/>
      <c r="U762" s="597"/>
      <c r="V762" s="597"/>
      <c r="W762" s="597"/>
      <c r="X762" s="597"/>
      <c r="Y762" s="597"/>
      <c r="Z762" s="597"/>
    </row>
    <row r="763" spans="1:26" ht="18.75" hidden="1">
      <c r="A763" s="642"/>
      <c r="B763" s="600"/>
      <c r="C763" s="750"/>
      <c r="D763" s="750"/>
      <c r="E763" s="750"/>
      <c r="F763" s="750" t="s">
        <v>189</v>
      </c>
      <c r="G763" s="596"/>
      <c r="H763" s="165" t="s">
        <v>12</v>
      </c>
      <c r="I763" s="610"/>
      <c r="J763" s="610"/>
      <c r="K763" s="93"/>
      <c r="L763" s="93"/>
      <c r="M763" s="93"/>
      <c r="N763" s="93"/>
      <c r="O763" s="93"/>
      <c r="P763" s="93"/>
      <c r="Q763" s="597"/>
      <c r="R763" s="597"/>
      <c r="S763" s="597"/>
      <c r="T763" s="597"/>
      <c r="U763" s="597"/>
      <c r="V763" s="597"/>
      <c r="W763" s="597"/>
      <c r="X763" s="597"/>
      <c r="Y763" s="597"/>
      <c r="Z763" s="597"/>
    </row>
    <row r="764" spans="1:26" ht="19.5" hidden="1">
      <c r="A764" s="592"/>
      <c r="B764" s="600"/>
      <c r="C764" s="750"/>
      <c r="D764" s="638" t="s">
        <v>21</v>
      </c>
      <c r="E764" s="750"/>
      <c r="F764" s="750"/>
      <c r="G764" s="596"/>
      <c r="H764" s="774" t="s">
        <v>12</v>
      </c>
      <c r="I764" s="166"/>
      <c r="J764" s="166"/>
      <c r="K764" s="167"/>
      <c r="L764" s="640">
        <f t="shared" ref="L764:N764" si="306">L765+L766</f>
        <v>0</v>
      </c>
      <c r="M764" s="640">
        <f t="shared" si="306"/>
        <v>0</v>
      </c>
      <c r="N764" s="640">
        <f t="shared" si="306"/>
        <v>0</v>
      </c>
      <c r="O764" s="640">
        <f t="shared" ref="O764:O766" si="307">IF(L764&gt;0,N764*100/L764,0)</f>
        <v>0</v>
      </c>
      <c r="P764" s="640">
        <f t="shared" ref="P764:P766" si="308">IF(M764&gt;0,N764*100/M764,0)</f>
        <v>0</v>
      </c>
      <c r="Q764" s="597"/>
      <c r="R764" s="597"/>
      <c r="S764" s="597"/>
      <c r="T764" s="597"/>
      <c r="U764" s="597"/>
      <c r="V764" s="597"/>
      <c r="W764" s="597"/>
      <c r="X764" s="597"/>
      <c r="Y764" s="597"/>
      <c r="Z764" s="597"/>
    </row>
    <row r="765" spans="1:26" ht="18.75" hidden="1">
      <c r="A765" s="592"/>
      <c r="B765" s="600"/>
      <c r="C765" s="750"/>
      <c r="D765" s="750"/>
      <c r="E765" s="750" t="s">
        <v>18</v>
      </c>
      <c r="F765" s="750"/>
      <c r="G765" s="596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7"/>
        <v>0</v>
      </c>
      <c r="P765" s="93">
        <f t="shared" si="308"/>
        <v>0</v>
      </c>
      <c r="Q765" s="597"/>
      <c r="R765" s="597"/>
      <c r="S765" s="597"/>
      <c r="T765" s="597"/>
      <c r="U765" s="597"/>
      <c r="V765" s="597"/>
      <c r="W765" s="597"/>
      <c r="X765" s="597"/>
      <c r="Y765" s="597"/>
      <c r="Z765" s="597"/>
    </row>
    <row r="766" spans="1:26" ht="18.75" hidden="1">
      <c r="A766" s="592"/>
      <c r="B766" s="600"/>
      <c r="C766" s="750"/>
      <c r="D766" s="750"/>
      <c r="E766" s="750" t="s">
        <v>19</v>
      </c>
      <c r="F766" s="750"/>
      <c r="G766" s="596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7"/>
        <v>0</v>
      </c>
      <c r="P766" s="93">
        <f t="shared" si="308"/>
        <v>0</v>
      </c>
      <c r="Q766" s="597"/>
      <c r="R766" s="597"/>
      <c r="S766" s="597"/>
      <c r="T766" s="597"/>
      <c r="U766" s="597"/>
      <c r="V766" s="597"/>
      <c r="W766" s="597"/>
      <c r="X766" s="597"/>
      <c r="Y766" s="597"/>
      <c r="Z766" s="597"/>
    </row>
    <row r="767" spans="1:26" ht="19.5" hidden="1">
      <c r="A767" s="607"/>
      <c r="B767" s="609"/>
      <c r="C767" s="750" t="s">
        <v>16</v>
      </c>
      <c r="D767" s="841" t="s">
        <v>38</v>
      </c>
      <c r="E767" s="644"/>
      <c r="F767" s="644"/>
      <c r="G767" s="645"/>
      <c r="H767" s="365"/>
      <c r="I767" s="166"/>
      <c r="J767" s="166"/>
      <c r="K767" s="167"/>
      <c r="L767" s="167"/>
      <c r="M767" s="167"/>
      <c r="N767" s="167"/>
      <c r="O767" s="167"/>
      <c r="P767" s="167"/>
      <c r="Q767" s="597"/>
      <c r="R767" s="597"/>
      <c r="S767" s="597"/>
      <c r="T767" s="597"/>
      <c r="U767" s="597"/>
      <c r="V767" s="597"/>
      <c r="W767" s="597"/>
      <c r="X767" s="597"/>
      <c r="Y767" s="597"/>
      <c r="Z767" s="597"/>
    </row>
    <row r="768" spans="1:26" ht="18.75" hidden="1">
      <c r="A768" s="642"/>
      <c r="B768" s="600"/>
      <c r="C768" s="750"/>
      <c r="D768" s="750"/>
      <c r="E768" s="750" t="s">
        <v>316</v>
      </c>
      <c r="F768" s="750"/>
      <c r="G768" s="596"/>
      <c r="H768" s="165" t="s">
        <v>46</v>
      </c>
      <c r="I768" s="610"/>
      <c r="J768" s="610"/>
      <c r="K768" s="93"/>
      <c r="L768" s="93"/>
      <c r="M768" s="93"/>
      <c r="N768" s="93"/>
      <c r="O768" s="93"/>
      <c r="P768" s="93"/>
      <c r="Q768" s="597"/>
      <c r="R768" s="597"/>
      <c r="S768" s="597"/>
      <c r="T768" s="597"/>
      <c r="U768" s="597"/>
      <c r="V768" s="597"/>
      <c r="W768" s="597"/>
      <c r="X768" s="597"/>
      <c r="Y768" s="597"/>
      <c r="Z768" s="597"/>
    </row>
    <row r="769" spans="1:26" ht="19.5" hidden="1">
      <c r="A769" s="784">
        <v>11</v>
      </c>
      <c r="B769" s="785" t="s">
        <v>317</v>
      </c>
      <c r="C769" s="786"/>
      <c r="D769" s="786"/>
      <c r="E769" s="786"/>
      <c r="F769" s="786"/>
      <c r="G769" s="787"/>
      <c r="H769" s="788" t="s">
        <v>46</v>
      </c>
      <c r="I769" s="789"/>
      <c r="J769" s="789">
        <f>J784</f>
        <v>0</v>
      </c>
      <c r="K769" s="790">
        <f>IF(I769&gt;0,J769*100/I769,0)</f>
        <v>0</v>
      </c>
      <c r="L769" s="791"/>
      <c r="M769" s="791"/>
      <c r="N769" s="791"/>
      <c r="O769" s="791"/>
      <c r="P769" s="791"/>
      <c r="Q769" s="597"/>
      <c r="R769" s="597"/>
      <c r="S769" s="597"/>
      <c r="T769" s="597"/>
      <c r="U769" s="597"/>
      <c r="V769" s="597"/>
      <c r="W769" s="597"/>
      <c r="X769" s="597"/>
      <c r="Y769" s="597"/>
      <c r="Z769" s="597"/>
    </row>
    <row r="770" spans="1:26" ht="19.5" hidden="1">
      <c r="A770" s="592"/>
      <c r="B770" s="750"/>
      <c r="C770" s="750" t="s">
        <v>16</v>
      </c>
      <c r="D770" s="864" t="s">
        <v>17</v>
      </c>
      <c r="E770" s="857"/>
      <c r="F770" s="857"/>
      <c r="G770" s="596"/>
      <c r="H770" s="639" t="s">
        <v>12</v>
      </c>
      <c r="I770" s="610"/>
      <c r="J770" s="610"/>
      <c r="K770" s="93"/>
      <c r="L770" s="640">
        <f t="shared" ref="L770:N770" si="309">L771+L772</f>
        <v>0</v>
      </c>
      <c r="M770" s="640">
        <f t="shared" si="309"/>
        <v>0</v>
      </c>
      <c r="N770" s="640">
        <f t="shared" si="309"/>
        <v>0</v>
      </c>
      <c r="O770" s="640">
        <f t="shared" ref="O770:O775" si="310">IF(L770&gt;0,N770*100/L770,0)</f>
        <v>0</v>
      </c>
      <c r="P770" s="640">
        <f t="shared" ref="P770:P775" si="311">IF(M770&gt;0,N770*100/M770,0)</f>
        <v>0</v>
      </c>
      <c r="Q770" s="597"/>
      <c r="R770" s="597"/>
      <c r="S770" s="597"/>
      <c r="T770" s="597"/>
      <c r="U770" s="597"/>
      <c r="V770" s="597"/>
      <c r="W770" s="597"/>
      <c r="X770" s="597"/>
      <c r="Y770" s="597"/>
      <c r="Z770" s="597"/>
    </row>
    <row r="771" spans="1:26" ht="18.75" hidden="1">
      <c r="A771" s="592"/>
      <c r="B771" s="750"/>
      <c r="C771" s="750"/>
      <c r="D771" s="711"/>
      <c r="E771" s="750" t="s">
        <v>184</v>
      </c>
      <c r="F771" s="750"/>
      <c r="G771" s="596"/>
      <c r="H771" s="165" t="s">
        <v>12</v>
      </c>
      <c r="I771" s="610"/>
      <c r="J771" s="610"/>
      <c r="K771" s="93"/>
      <c r="L771" s="93">
        <f t="shared" ref="L771:N772" si="312">L774+L781</f>
        <v>0</v>
      </c>
      <c r="M771" s="93">
        <f t="shared" si="312"/>
        <v>0</v>
      </c>
      <c r="N771" s="93">
        <f t="shared" si="312"/>
        <v>0</v>
      </c>
      <c r="O771" s="93">
        <f t="shared" si="310"/>
        <v>0</v>
      </c>
      <c r="P771" s="93">
        <f t="shared" si="311"/>
        <v>0</v>
      </c>
      <c r="Q771" s="597"/>
      <c r="R771" s="597"/>
      <c r="S771" s="597"/>
      <c r="T771" s="597"/>
      <c r="U771" s="597"/>
      <c r="V771" s="597"/>
      <c r="W771" s="597"/>
      <c r="X771" s="597"/>
      <c r="Y771" s="597"/>
      <c r="Z771" s="597"/>
    </row>
    <row r="772" spans="1:26" ht="18.75" hidden="1">
      <c r="A772" s="592"/>
      <c r="B772" s="600"/>
      <c r="C772" s="750"/>
      <c r="D772" s="711"/>
      <c r="E772" s="750" t="s">
        <v>185</v>
      </c>
      <c r="F772" s="750"/>
      <c r="G772" s="596"/>
      <c r="H772" s="165" t="s">
        <v>12</v>
      </c>
      <c r="I772" s="610"/>
      <c r="J772" s="610"/>
      <c r="K772" s="93"/>
      <c r="L772" s="93">
        <f t="shared" si="312"/>
        <v>0</v>
      </c>
      <c r="M772" s="93">
        <f t="shared" si="312"/>
        <v>0</v>
      </c>
      <c r="N772" s="93">
        <f t="shared" si="312"/>
        <v>0</v>
      </c>
      <c r="O772" s="93">
        <f t="shared" si="310"/>
        <v>0</v>
      </c>
      <c r="P772" s="93">
        <f t="shared" si="311"/>
        <v>0</v>
      </c>
      <c r="Q772" s="597"/>
      <c r="R772" s="597"/>
      <c r="S772" s="597"/>
      <c r="T772" s="597"/>
      <c r="U772" s="597"/>
      <c r="V772" s="597"/>
      <c r="W772" s="597"/>
      <c r="X772" s="597"/>
      <c r="Y772" s="597"/>
      <c r="Z772" s="597"/>
    </row>
    <row r="773" spans="1:26" ht="19.5" hidden="1">
      <c r="A773" s="592"/>
      <c r="B773" s="600"/>
      <c r="C773" s="750"/>
      <c r="D773" s="638" t="s">
        <v>20</v>
      </c>
      <c r="E773" s="750"/>
      <c r="F773" s="750"/>
      <c r="G773" s="596"/>
      <c r="H773" s="639" t="s">
        <v>12</v>
      </c>
      <c r="I773" s="166"/>
      <c r="J773" s="166"/>
      <c r="K773" s="167"/>
      <c r="L773" s="640">
        <f t="shared" ref="L773:N773" si="313">L774+L775</f>
        <v>0</v>
      </c>
      <c r="M773" s="640">
        <f t="shared" si="313"/>
        <v>0</v>
      </c>
      <c r="N773" s="640">
        <f t="shared" si="313"/>
        <v>0</v>
      </c>
      <c r="O773" s="640">
        <f t="shared" si="310"/>
        <v>0</v>
      </c>
      <c r="P773" s="640">
        <f t="shared" si="311"/>
        <v>0</v>
      </c>
      <c r="Q773" s="597"/>
      <c r="R773" s="597"/>
      <c r="S773" s="597"/>
      <c r="T773" s="597"/>
      <c r="U773" s="597"/>
      <c r="V773" s="597"/>
      <c r="W773" s="597"/>
      <c r="X773" s="597"/>
      <c r="Y773" s="597"/>
      <c r="Z773" s="597"/>
    </row>
    <row r="774" spans="1:26" ht="18.75" hidden="1">
      <c r="A774" s="592"/>
      <c r="B774" s="600"/>
      <c r="C774" s="750"/>
      <c r="D774" s="711"/>
      <c r="E774" s="750" t="s">
        <v>184</v>
      </c>
      <c r="F774" s="750"/>
      <c r="G774" s="596"/>
      <c r="H774" s="165" t="s">
        <v>12</v>
      </c>
      <c r="I774" s="610"/>
      <c r="J774" s="610"/>
      <c r="K774" s="93"/>
      <c r="L774" s="93">
        <v>0</v>
      </c>
      <c r="M774" s="93">
        <v>0</v>
      </c>
      <c r="N774" s="93">
        <v>0</v>
      </c>
      <c r="O774" s="93">
        <f t="shared" si="310"/>
        <v>0</v>
      </c>
      <c r="P774" s="93">
        <f t="shared" si="311"/>
        <v>0</v>
      </c>
      <c r="Q774" s="597"/>
      <c r="R774" s="597"/>
      <c r="S774" s="597"/>
      <c r="T774" s="597"/>
      <c r="U774" s="597"/>
      <c r="V774" s="597"/>
      <c r="W774" s="597"/>
      <c r="X774" s="597"/>
      <c r="Y774" s="597"/>
      <c r="Z774" s="597"/>
    </row>
    <row r="775" spans="1:26" ht="18.75" hidden="1">
      <c r="A775" s="592"/>
      <c r="B775" s="600"/>
      <c r="C775" s="750"/>
      <c r="D775" s="711"/>
      <c r="E775" s="750" t="s">
        <v>185</v>
      </c>
      <c r="F775" s="750"/>
      <c r="G775" s="596"/>
      <c r="H775" s="165" t="s">
        <v>12</v>
      </c>
      <c r="I775" s="610"/>
      <c r="J775" s="610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0"/>
        <v>0</v>
      </c>
      <c r="P775" s="93">
        <f t="shared" si="311"/>
        <v>0</v>
      </c>
      <c r="Q775" s="597"/>
      <c r="R775" s="597"/>
      <c r="S775" s="597"/>
      <c r="T775" s="597"/>
      <c r="U775" s="597"/>
      <c r="V775" s="597"/>
      <c r="W775" s="597"/>
      <c r="X775" s="597"/>
      <c r="Y775" s="597"/>
      <c r="Z775" s="597"/>
    </row>
    <row r="776" spans="1:26" ht="18.75" hidden="1">
      <c r="A776" s="642"/>
      <c r="B776" s="600"/>
      <c r="C776" s="750"/>
      <c r="D776" s="750"/>
      <c r="E776" s="750"/>
      <c r="F776" s="750" t="s">
        <v>186</v>
      </c>
      <c r="G776" s="596"/>
      <c r="H776" s="165" t="s">
        <v>12</v>
      </c>
      <c r="I776" s="610"/>
      <c r="J776" s="610"/>
      <c r="K776" s="93"/>
      <c r="L776" s="93"/>
      <c r="M776" s="93"/>
      <c r="N776" s="93"/>
      <c r="O776" s="93"/>
      <c r="P776" s="93"/>
      <c r="Q776" s="597"/>
      <c r="R776" s="597"/>
      <c r="S776" s="597"/>
      <c r="T776" s="597"/>
      <c r="U776" s="597"/>
      <c r="V776" s="597"/>
      <c r="W776" s="597"/>
      <c r="X776" s="597"/>
      <c r="Y776" s="597"/>
      <c r="Z776" s="597"/>
    </row>
    <row r="777" spans="1:26" ht="18.75" hidden="1">
      <c r="A777" s="642"/>
      <c r="B777" s="600"/>
      <c r="C777" s="750"/>
      <c r="D777" s="750"/>
      <c r="E777" s="750"/>
      <c r="F777" s="750" t="s">
        <v>187</v>
      </c>
      <c r="G777" s="596"/>
      <c r="H777" s="165" t="s">
        <v>12</v>
      </c>
      <c r="I777" s="610"/>
      <c r="J777" s="610"/>
      <c r="K777" s="93"/>
      <c r="L777" s="93"/>
      <c r="M777" s="93"/>
      <c r="N777" s="93"/>
      <c r="O777" s="93"/>
      <c r="P777" s="93"/>
      <c r="Q777" s="597"/>
      <c r="R777" s="597"/>
      <c r="S777" s="597"/>
      <c r="T777" s="597"/>
      <c r="U777" s="597"/>
      <c r="V777" s="597"/>
      <c r="W777" s="597"/>
      <c r="X777" s="597"/>
      <c r="Y777" s="597"/>
      <c r="Z777" s="597"/>
    </row>
    <row r="778" spans="1:26" ht="18.75" hidden="1">
      <c r="A778" s="642"/>
      <c r="B778" s="600"/>
      <c r="C778" s="750"/>
      <c r="D778" s="750"/>
      <c r="E778" s="750"/>
      <c r="F778" s="750" t="s">
        <v>188</v>
      </c>
      <c r="G778" s="596"/>
      <c r="H778" s="165" t="s">
        <v>12</v>
      </c>
      <c r="I778" s="610"/>
      <c r="J778" s="610"/>
      <c r="K778" s="93"/>
      <c r="L778" s="93"/>
      <c r="M778" s="93"/>
      <c r="N778" s="93"/>
      <c r="O778" s="93"/>
      <c r="P778" s="93"/>
      <c r="Q778" s="597"/>
      <c r="R778" s="597"/>
      <c r="S778" s="597"/>
      <c r="T778" s="597"/>
      <c r="U778" s="597"/>
      <c r="V778" s="597"/>
      <c r="W778" s="597"/>
      <c r="X778" s="597"/>
      <c r="Y778" s="597"/>
      <c r="Z778" s="597"/>
    </row>
    <row r="779" spans="1:26" ht="18.75" hidden="1">
      <c r="A779" s="642"/>
      <c r="B779" s="600"/>
      <c r="C779" s="750"/>
      <c r="D779" s="750"/>
      <c r="E779" s="750"/>
      <c r="F779" s="750" t="s">
        <v>189</v>
      </c>
      <c r="G779" s="596"/>
      <c r="H779" s="165" t="s">
        <v>12</v>
      </c>
      <c r="I779" s="610"/>
      <c r="J779" s="610"/>
      <c r="K779" s="93"/>
      <c r="L779" s="93"/>
      <c r="M779" s="93"/>
      <c r="N779" s="93"/>
      <c r="O779" s="93"/>
      <c r="P779" s="93"/>
      <c r="Q779" s="597"/>
      <c r="R779" s="597"/>
      <c r="S779" s="597"/>
      <c r="T779" s="597"/>
      <c r="U779" s="597"/>
      <c r="V779" s="597"/>
      <c r="W779" s="597"/>
      <c r="X779" s="597"/>
      <c r="Y779" s="597"/>
      <c r="Z779" s="597"/>
    </row>
    <row r="780" spans="1:26" ht="19.5" hidden="1">
      <c r="A780" s="592"/>
      <c r="B780" s="600"/>
      <c r="C780" s="750"/>
      <c r="D780" s="638" t="s">
        <v>21</v>
      </c>
      <c r="E780" s="750"/>
      <c r="F780" s="750"/>
      <c r="G780" s="596"/>
      <c r="H780" s="774" t="s">
        <v>12</v>
      </c>
      <c r="I780" s="166"/>
      <c r="J780" s="166"/>
      <c r="K780" s="167"/>
      <c r="L780" s="640">
        <f t="shared" ref="L780:N780" si="314">L781+L782</f>
        <v>0</v>
      </c>
      <c r="M780" s="640">
        <f t="shared" si="314"/>
        <v>0</v>
      </c>
      <c r="N780" s="640">
        <f t="shared" si="314"/>
        <v>0</v>
      </c>
      <c r="O780" s="640">
        <f t="shared" ref="O780:O782" si="315">IF(L780&gt;0,N780*100/L780,0)</f>
        <v>0</v>
      </c>
      <c r="P780" s="640">
        <f t="shared" ref="P780:P782" si="316">IF(M780&gt;0,N780*100/M780,0)</f>
        <v>0</v>
      </c>
      <c r="Q780" s="597"/>
      <c r="R780" s="597"/>
      <c r="S780" s="597"/>
      <c r="T780" s="597"/>
      <c r="U780" s="597"/>
      <c r="V780" s="597"/>
      <c r="W780" s="597"/>
      <c r="X780" s="597"/>
      <c r="Y780" s="597"/>
      <c r="Z780" s="597"/>
    </row>
    <row r="781" spans="1:26" ht="18.75" hidden="1">
      <c r="A781" s="592"/>
      <c r="B781" s="600"/>
      <c r="C781" s="750"/>
      <c r="D781" s="750"/>
      <c r="E781" s="750" t="s">
        <v>18</v>
      </c>
      <c r="F781" s="750"/>
      <c r="G781" s="596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5"/>
        <v>0</v>
      </c>
      <c r="P781" s="93">
        <f t="shared" si="316"/>
        <v>0</v>
      </c>
      <c r="Q781" s="597"/>
      <c r="R781" s="597"/>
      <c r="S781" s="597"/>
      <c r="T781" s="597"/>
      <c r="U781" s="597"/>
      <c r="V781" s="597"/>
      <c r="W781" s="597"/>
      <c r="X781" s="597"/>
      <c r="Y781" s="597"/>
      <c r="Z781" s="597"/>
    </row>
    <row r="782" spans="1:26" ht="18.75" hidden="1">
      <c r="A782" s="592"/>
      <c r="B782" s="600"/>
      <c r="C782" s="750"/>
      <c r="D782" s="750"/>
      <c r="E782" s="750" t="s">
        <v>19</v>
      </c>
      <c r="F782" s="750"/>
      <c r="G782" s="596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5"/>
        <v>0</v>
      </c>
      <c r="P782" s="93">
        <f t="shared" si="316"/>
        <v>0</v>
      </c>
      <c r="Q782" s="597"/>
      <c r="R782" s="597"/>
      <c r="S782" s="597"/>
      <c r="T782" s="597"/>
      <c r="U782" s="597"/>
      <c r="V782" s="597"/>
      <c r="W782" s="597"/>
      <c r="X782" s="597"/>
      <c r="Y782" s="597"/>
      <c r="Z782" s="597"/>
    </row>
    <row r="783" spans="1:26" ht="19.5" hidden="1">
      <c r="A783" s="607"/>
      <c r="B783" s="609"/>
      <c r="C783" s="750" t="s">
        <v>16</v>
      </c>
      <c r="D783" s="841" t="s">
        <v>38</v>
      </c>
      <c r="E783" s="644"/>
      <c r="F783" s="644"/>
      <c r="G783" s="645"/>
      <c r="H783" s="792"/>
      <c r="I783" s="166"/>
      <c r="J783" s="166"/>
      <c r="K783" s="167"/>
      <c r="L783" s="167"/>
      <c r="M783" s="167"/>
      <c r="N783" s="167"/>
      <c r="O783" s="167"/>
      <c r="P783" s="167"/>
      <c r="Q783" s="597"/>
      <c r="R783" s="597"/>
      <c r="S783" s="597"/>
      <c r="T783" s="597"/>
      <c r="U783" s="597"/>
      <c r="V783" s="597"/>
      <c r="W783" s="597"/>
      <c r="X783" s="597"/>
      <c r="Y783" s="597"/>
      <c r="Z783" s="597"/>
    </row>
    <row r="784" spans="1:26" ht="18.75" hidden="1">
      <c r="A784" s="642"/>
      <c r="B784" s="600"/>
      <c r="C784" s="750"/>
      <c r="D784" s="750"/>
      <c r="E784" s="750" t="s">
        <v>318</v>
      </c>
      <c r="F784" s="750"/>
      <c r="G784" s="596"/>
      <c r="H784" s="165" t="s">
        <v>46</v>
      </c>
      <c r="I784" s="610"/>
      <c r="J784" s="610"/>
      <c r="K784" s="93"/>
      <c r="L784" s="93"/>
      <c r="M784" s="93"/>
      <c r="N784" s="93"/>
      <c r="O784" s="93"/>
      <c r="P784" s="93"/>
      <c r="Q784" s="597"/>
      <c r="R784" s="597"/>
      <c r="S784" s="597"/>
      <c r="T784" s="597"/>
      <c r="U784" s="597"/>
      <c r="V784" s="597"/>
      <c r="W784" s="597"/>
      <c r="X784" s="597"/>
      <c r="Y784" s="597"/>
      <c r="Z784" s="597"/>
    </row>
    <row r="785" spans="1:26" ht="19.5" hidden="1">
      <c r="A785" s="793">
        <v>12</v>
      </c>
      <c r="B785" s="794" t="s">
        <v>319</v>
      </c>
      <c r="C785" s="795"/>
      <c r="D785" s="795"/>
      <c r="E785" s="795"/>
      <c r="F785" s="795"/>
      <c r="G785" s="796"/>
      <c r="H785" s="797" t="s">
        <v>46</v>
      </c>
      <c r="I785" s="798">
        <f t="shared" ref="I785:J785" ca="1" si="317">I800</f>
        <v>0</v>
      </c>
      <c r="J785" s="799">
        <f t="shared" ca="1" si="317"/>
        <v>0</v>
      </c>
      <c r="K785" s="800">
        <f ca="1">IF(I785&gt;0,J785*100/I785,0)</f>
        <v>0</v>
      </c>
      <c r="L785" s="801"/>
      <c r="M785" s="801"/>
      <c r="N785" s="801"/>
      <c r="O785" s="801"/>
      <c r="P785" s="801"/>
      <c r="Q785" s="571"/>
      <c r="R785" s="571"/>
      <c r="S785" s="571"/>
      <c r="T785" s="571"/>
      <c r="U785" s="571"/>
      <c r="V785" s="571"/>
      <c r="W785" s="571"/>
      <c r="X785" s="571"/>
      <c r="Y785" s="571"/>
      <c r="Z785" s="571"/>
    </row>
    <row r="786" spans="1:26" ht="19.5" hidden="1">
      <c r="A786" s="590"/>
      <c r="B786" s="568"/>
      <c r="C786" s="754" t="s">
        <v>16</v>
      </c>
      <c r="D786" s="863" t="s">
        <v>17</v>
      </c>
      <c r="E786" s="857"/>
      <c r="F786" s="857"/>
      <c r="G786" s="189"/>
      <c r="H786" s="591" t="s">
        <v>12</v>
      </c>
      <c r="I786" s="269"/>
      <c r="J786" s="269"/>
      <c r="K786" s="496"/>
      <c r="L786" s="195">
        <f t="shared" ref="L786:N786" ca="1" si="318">L787+L788</f>
        <v>0</v>
      </c>
      <c r="M786" s="195">
        <f t="shared" si="318"/>
        <v>0</v>
      </c>
      <c r="N786" s="195">
        <f t="shared" si="318"/>
        <v>0</v>
      </c>
      <c r="O786" s="195">
        <f t="shared" ref="O786:O791" ca="1" si="319">IF(L786&gt;0,N786*100/L786,0)</f>
        <v>0</v>
      </c>
      <c r="P786" s="195">
        <f t="shared" ref="P786:P791" si="320">IF(M786&gt;0,N786*100/M786,0)</f>
        <v>0</v>
      </c>
      <c r="Q786" s="571"/>
      <c r="R786" s="571"/>
      <c r="S786" s="571"/>
      <c r="T786" s="571"/>
      <c r="U786" s="571"/>
      <c r="V786" s="571"/>
      <c r="W786" s="571"/>
      <c r="X786" s="571"/>
      <c r="Y786" s="571"/>
      <c r="Z786" s="571"/>
    </row>
    <row r="787" spans="1:26" ht="18.75" hidden="1">
      <c r="A787" s="592"/>
      <c r="B787" s="600"/>
      <c r="C787" s="750"/>
      <c r="D787" s="711"/>
      <c r="E787" s="750" t="s">
        <v>184</v>
      </c>
      <c r="F787" s="750"/>
      <c r="G787" s="596"/>
      <c r="H787" s="165" t="s">
        <v>12</v>
      </c>
      <c r="I787" s="610"/>
      <c r="J787" s="610"/>
      <c r="K787" s="93"/>
      <c r="L787" s="93">
        <f t="shared" ref="L787:N788" si="321">L790+L797</f>
        <v>0</v>
      </c>
      <c r="M787" s="93">
        <f t="shared" si="321"/>
        <v>0</v>
      </c>
      <c r="N787" s="93">
        <f t="shared" si="321"/>
        <v>0</v>
      </c>
      <c r="O787" s="93">
        <f t="shared" si="319"/>
        <v>0</v>
      </c>
      <c r="P787" s="93">
        <f t="shared" si="320"/>
        <v>0</v>
      </c>
      <c r="Q787" s="597"/>
      <c r="R787" s="597"/>
      <c r="S787" s="597"/>
      <c r="T787" s="597"/>
      <c r="U787" s="597"/>
      <c r="V787" s="597"/>
      <c r="W787" s="597"/>
      <c r="X787" s="597"/>
      <c r="Y787" s="597"/>
      <c r="Z787" s="597"/>
    </row>
    <row r="788" spans="1:26" ht="18.75" hidden="1">
      <c r="A788" s="592"/>
      <c r="B788" s="600"/>
      <c r="C788" s="600"/>
      <c r="D788" s="609"/>
      <c r="E788" s="750" t="s">
        <v>185</v>
      </c>
      <c r="F788" s="750"/>
      <c r="G788" s="596"/>
      <c r="H788" s="165" t="s">
        <v>12</v>
      </c>
      <c r="I788" s="610"/>
      <c r="J788" s="610"/>
      <c r="K788" s="93"/>
      <c r="L788" s="93">
        <f t="shared" ca="1" si="321"/>
        <v>0</v>
      </c>
      <c r="M788" s="93">
        <f t="shared" si="321"/>
        <v>0</v>
      </c>
      <c r="N788" s="93">
        <f t="shared" si="321"/>
        <v>0</v>
      </c>
      <c r="O788" s="93">
        <f t="shared" ca="1" si="319"/>
        <v>0</v>
      </c>
      <c r="P788" s="93">
        <f t="shared" si="320"/>
        <v>0</v>
      </c>
      <c r="Q788" s="597"/>
      <c r="R788" s="597"/>
      <c r="S788" s="597"/>
      <c r="T788" s="597"/>
      <c r="U788" s="597"/>
      <c r="V788" s="597"/>
      <c r="W788" s="597"/>
      <c r="X788" s="597"/>
      <c r="Y788" s="597"/>
      <c r="Z788" s="597"/>
    </row>
    <row r="789" spans="1:26" ht="18.75" hidden="1">
      <c r="A789" s="590"/>
      <c r="B789" s="568"/>
      <c r="C789" s="568"/>
      <c r="D789" s="599" t="s">
        <v>20</v>
      </c>
      <c r="E789" s="754"/>
      <c r="F789" s="754"/>
      <c r="G789" s="189"/>
      <c r="H789" s="161" t="s">
        <v>12</v>
      </c>
      <c r="I789" s="184"/>
      <c r="J789" s="184"/>
      <c r="K789" s="163"/>
      <c r="L789" s="496">
        <f t="shared" ref="L789:N789" ca="1" si="322">L790+L791</f>
        <v>0</v>
      </c>
      <c r="M789" s="496">
        <f t="shared" si="322"/>
        <v>0</v>
      </c>
      <c r="N789" s="496">
        <f t="shared" si="322"/>
        <v>0</v>
      </c>
      <c r="O789" s="496">
        <f t="shared" ca="1" si="319"/>
        <v>0</v>
      </c>
      <c r="P789" s="496">
        <f t="shared" si="320"/>
        <v>0</v>
      </c>
      <c r="Q789" s="571"/>
      <c r="R789" s="571"/>
      <c r="S789" s="571"/>
      <c r="T789" s="571"/>
      <c r="U789" s="571"/>
      <c r="V789" s="571"/>
      <c r="W789" s="571"/>
      <c r="X789" s="571"/>
      <c r="Y789" s="571"/>
      <c r="Z789" s="571"/>
    </row>
    <row r="790" spans="1:26" ht="18.75" hidden="1">
      <c r="A790" s="592"/>
      <c r="B790" s="600"/>
      <c r="C790" s="600"/>
      <c r="D790" s="609"/>
      <c r="E790" s="750" t="s">
        <v>184</v>
      </c>
      <c r="F790" s="750"/>
      <c r="G790" s="596"/>
      <c r="H790" s="165" t="s">
        <v>12</v>
      </c>
      <c r="I790" s="610"/>
      <c r="J790" s="610"/>
      <c r="K790" s="93"/>
      <c r="L790" s="93">
        <v>0</v>
      </c>
      <c r="M790" s="93">
        <v>0</v>
      </c>
      <c r="N790" s="93">
        <v>0</v>
      </c>
      <c r="O790" s="93">
        <f t="shared" si="319"/>
        <v>0</v>
      </c>
      <c r="P790" s="93">
        <f t="shared" si="320"/>
        <v>0</v>
      </c>
      <c r="Q790" s="597"/>
      <c r="R790" s="597"/>
      <c r="S790" s="597"/>
      <c r="T790" s="597"/>
      <c r="U790" s="597"/>
      <c r="V790" s="597"/>
      <c r="W790" s="597"/>
      <c r="X790" s="597"/>
      <c r="Y790" s="597"/>
      <c r="Z790" s="597"/>
    </row>
    <row r="791" spans="1:26" ht="18.75" hidden="1">
      <c r="A791" s="592"/>
      <c r="B791" s="600"/>
      <c r="C791" s="600"/>
      <c r="D791" s="609"/>
      <c r="E791" s="750" t="s">
        <v>185</v>
      </c>
      <c r="F791" s="750"/>
      <c r="G791" s="596"/>
      <c r="H791" s="165" t="s">
        <v>12</v>
      </c>
      <c r="I791" s="610"/>
      <c r="J791" s="610"/>
      <c r="K791" s="93"/>
      <c r="L791" s="93">
        <f ca="1">IFERROR(__xludf.DUMMYFUNCTION("IMPORTRANGE(""https://docs.google.com/spreadsheets/d/1QqKyyYR6Q21VydFLVH3TRQUabQu_ym0Zz7PgGX0-kHA/edit?usp=sharing"",""แผน!JJ73"")"),0)</f>
        <v>0</v>
      </c>
      <c r="M791" s="93">
        <v>0</v>
      </c>
      <c r="N791" s="93">
        <f>N792+N793+N794+N795</f>
        <v>0</v>
      </c>
      <c r="O791" s="93">
        <f t="shared" ca="1" si="319"/>
        <v>0</v>
      </c>
      <c r="P791" s="93">
        <f t="shared" si="320"/>
        <v>0</v>
      </c>
      <c r="Q791" s="597"/>
      <c r="R791" s="597"/>
      <c r="S791" s="597"/>
      <c r="T791" s="597"/>
      <c r="U791" s="597"/>
      <c r="V791" s="597"/>
      <c r="W791" s="597"/>
      <c r="X791" s="597"/>
      <c r="Y791" s="597"/>
      <c r="Z791" s="597"/>
    </row>
    <row r="792" spans="1:26" ht="18.75" hidden="1">
      <c r="A792" s="567"/>
      <c r="B792" s="568"/>
      <c r="C792" s="754"/>
      <c r="D792" s="754"/>
      <c r="E792" s="754"/>
      <c r="F792" s="754" t="s">
        <v>186</v>
      </c>
      <c r="G792" s="189"/>
      <c r="H792" s="161" t="s">
        <v>12</v>
      </c>
      <c r="I792" s="269"/>
      <c r="J792" s="269"/>
      <c r="K792" s="496"/>
      <c r="L792" s="496"/>
      <c r="M792" s="496"/>
      <c r="N792" s="817">
        <v>0</v>
      </c>
      <c r="O792" s="496"/>
      <c r="P792" s="496"/>
      <c r="Q792" s="571"/>
      <c r="R792" s="571"/>
      <c r="S792" s="571"/>
      <c r="T792" s="571"/>
      <c r="U792" s="571"/>
      <c r="V792" s="571"/>
      <c r="W792" s="571"/>
      <c r="X792" s="571"/>
      <c r="Y792" s="571"/>
      <c r="Z792" s="571"/>
    </row>
    <row r="793" spans="1:26" ht="18.75" hidden="1">
      <c r="A793" s="567"/>
      <c r="B793" s="568"/>
      <c r="C793" s="754"/>
      <c r="D793" s="754"/>
      <c r="E793" s="754"/>
      <c r="F793" s="754" t="s">
        <v>187</v>
      </c>
      <c r="G793" s="189"/>
      <c r="H793" s="161" t="s">
        <v>12</v>
      </c>
      <c r="I793" s="269"/>
      <c r="J793" s="269"/>
      <c r="K793" s="496"/>
      <c r="L793" s="496"/>
      <c r="M793" s="496"/>
      <c r="N793" s="817">
        <v>0</v>
      </c>
      <c r="O793" s="496"/>
      <c r="P793" s="496"/>
      <c r="Q793" s="571"/>
      <c r="R793" s="571"/>
      <c r="S793" s="571"/>
      <c r="T793" s="571"/>
      <c r="U793" s="571"/>
      <c r="V793" s="571"/>
      <c r="W793" s="571"/>
      <c r="X793" s="571"/>
      <c r="Y793" s="571"/>
      <c r="Z793" s="571"/>
    </row>
    <row r="794" spans="1:26" ht="18.75" hidden="1">
      <c r="A794" s="567"/>
      <c r="B794" s="568"/>
      <c r="C794" s="754"/>
      <c r="D794" s="754"/>
      <c r="E794" s="754"/>
      <c r="F794" s="754" t="s">
        <v>188</v>
      </c>
      <c r="G794" s="189"/>
      <c r="H794" s="161" t="s">
        <v>12</v>
      </c>
      <c r="I794" s="269"/>
      <c r="J794" s="269"/>
      <c r="K794" s="496"/>
      <c r="L794" s="496"/>
      <c r="M794" s="496"/>
      <c r="N794" s="817">
        <v>0</v>
      </c>
      <c r="O794" s="496"/>
      <c r="P794" s="496"/>
      <c r="Q794" s="571"/>
      <c r="R794" s="571"/>
      <c r="S794" s="571"/>
      <c r="T794" s="571"/>
      <c r="U794" s="571"/>
      <c r="V794" s="571"/>
      <c r="W794" s="571"/>
      <c r="X794" s="571"/>
      <c r="Y794" s="571"/>
      <c r="Z794" s="571"/>
    </row>
    <row r="795" spans="1:26" ht="18.75" hidden="1">
      <c r="A795" s="567"/>
      <c r="B795" s="568"/>
      <c r="C795" s="754"/>
      <c r="D795" s="754"/>
      <c r="E795" s="754"/>
      <c r="F795" s="754" t="s">
        <v>189</v>
      </c>
      <c r="G795" s="189"/>
      <c r="H795" s="161" t="s">
        <v>12</v>
      </c>
      <c r="I795" s="269"/>
      <c r="J795" s="269"/>
      <c r="K795" s="496"/>
      <c r="L795" s="496"/>
      <c r="M795" s="496"/>
      <c r="N795" s="817">
        <v>0</v>
      </c>
      <c r="O795" s="496"/>
      <c r="P795" s="496"/>
      <c r="Q795" s="571"/>
      <c r="R795" s="571"/>
      <c r="S795" s="571"/>
      <c r="T795" s="571"/>
      <c r="U795" s="571"/>
      <c r="V795" s="571"/>
      <c r="W795" s="571"/>
      <c r="X795" s="571"/>
      <c r="Y795" s="571"/>
      <c r="Z795" s="571"/>
    </row>
    <row r="796" spans="1:26" ht="18.75" hidden="1">
      <c r="A796" s="590"/>
      <c r="B796" s="568"/>
      <c r="C796" s="754"/>
      <c r="D796" s="599" t="s">
        <v>21</v>
      </c>
      <c r="E796" s="754"/>
      <c r="F796" s="754"/>
      <c r="G796" s="189"/>
      <c r="H796" s="168" t="s">
        <v>12</v>
      </c>
      <c r="I796" s="184"/>
      <c r="J796" s="184"/>
      <c r="K796" s="163"/>
      <c r="L796" s="496">
        <f t="shared" ref="L796:N796" si="323">L797+L798</f>
        <v>0</v>
      </c>
      <c r="M796" s="496">
        <f t="shared" si="323"/>
        <v>0</v>
      </c>
      <c r="N796" s="496">
        <f t="shared" si="323"/>
        <v>0</v>
      </c>
      <c r="O796" s="496">
        <f t="shared" ref="O796:O798" si="324">IF(L796&gt;0,N796*100/L796,0)</f>
        <v>0</v>
      </c>
      <c r="P796" s="496">
        <f t="shared" ref="P796:P798" si="325">IF(M796&gt;0,N796*100/M796,0)</f>
        <v>0</v>
      </c>
      <c r="Q796" s="571"/>
      <c r="R796" s="571"/>
      <c r="S796" s="571"/>
      <c r="T796" s="571"/>
      <c r="U796" s="571"/>
      <c r="V796" s="571"/>
      <c r="W796" s="571"/>
      <c r="X796" s="571"/>
      <c r="Y796" s="571"/>
      <c r="Z796" s="571"/>
    </row>
    <row r="797" spans="1:26" ht="18.75" hidden="1">
      <c r="A797" s="592"/>
      <c r="B797" s="600"/>
      <c r="C797" s="750"/>
      <c r="D797" s="750"/>
      <c r="E797" s="750" t="s">
        <v>18</v>
      </c>
      <c r="F797" s="750"/>
      <c r="G797" s="596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4"/>
        <v>0</v>
      </c>
      <c r="P797" s="93">
        <f t="shared" si="325"/>
        <v>0</v>
      </c>
      <c r="Q797" s="597"/>
      <c r="R797" s="597"/>
      <c r="S797" s="597"/>
      <c r="T797" s="597"/>
      <c r="U797" s="597"/>
      <c r="V797" s="597"/>
      <c r="W797" s="597"/>
      <c r="X797" s="597"/>
      <c r="Y797" s="597"/>
      <c r="Z797" s="597"/>
    </row>
    <row r="798" spans="1:26" ht="18.75" hidden="1">
      <c r="A798" s="592"/>
      <c r="B798" s="600"/>
      <c r="C798" s="750"/>
      <c r="D798" s="750"/>
      <c r="E798" s="750" t="s">
        <v>19</v>
      </c>
      <c r="F798" s="750"/>
      <c r="G798" s="596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4"/>
        <v>0</v>
      </c>
      <c r="P798" s="93">
        <f t="shared" si="325"/>
        <v>0</v>
      </c>
      <c r="Q798" s="597"/>
      <c r="R798" s="597"/>
      <c r="S798" s="597"/>
      <c r="T798" s="597"/>
      <c r="U798" s="597"/>
      <c r="V798" s="597"/>
      <c r="W798" s="597"/>
      <c r="X798" s="597"/>
      <c r="Y798" s="597"/>
      <c r="Z798" s="597"/>
    </row>
    <row r="799" spans="1:26" ht="19.5" hidden="1">
      <c r="A799" s="601"/>
      <c r="B799" s="611"/>
      <c r="C799" s="754" t="s">
        <v>16</v>
      </c>
      <c r="D799" s="840" t="s">
        <v>38</v>
      </c>
      <c r="E799" s="752"/>
      <c r="F799" s="752"/>
      <c r="G799" s="606"/>
      <c r="H799" s="802"/>
      <c r="I799" s="184"/>
      <c r="J799" s="184"/>
      <c r="K799" s="163"/>
      <c r="L799" s="163"/>
      <c r="M799" s="163"/>
      <c r="N799" s="163"/>
      <c r="O799" s="163"/>
      <c r="P799" s="163"/>
      <c r="Q799" s="571"/>
      <c r="R799" s="571"/>
      <c r="S799" s="571"/>
      <c r="T799" s="571"/>
      <c r="U799" s="571"/>
      <c r="V799" s="571"/>
      <c r="W799" s="571"/>
      <c r="X799" s="571"/>
      <c r="Y799" s="571"/>
      <c r="Z799" s="571"/>
    </row>
    <row r="800" spans="1:26" ht="18.75" hidden="1">
      <c r="A800" s="601"/>
      <c r="B800" s="611"/>
      <c r="C800" s="611"/>
      <c r="D800" s="611"/>
      <c r="E800" s="619"/>
      <c r="F800" s="619" t="s">
        <v>320</v>
      </c>
      <c r="G800" s="753"/>
      <c r="H800" s="185" t="s">
        <v>46</v>
      </c>
      <c r="I800" s="184">
        <f ca="1">IFERROR(__xludf.DUMMYFUNCTION("IMPORTRANGE(""https://docs.google.com/spreadsheets/d/1QqKyyYR6Q21VydFLVH3TRQUabQu_ym0Zz7PgGX0-kHA/edit?usp=sharing"",""แผน!JN73"")"),0)</f>
        <v>0</v>
      </c>
      <c r="J800" s="184">
        <f ca="1">IFERROR(__xludf.DUMMYFUNCTION("IMPORTRANGE(""https://docs.google.com/spreadsheets/d/1MaWodYyGHDf7siQLGxnXhG4mBNTNIuy296niS2xXulU/edit?usp=sharing"",""RTK!H73"")"),0)</f>
        <v>0</v>
      </c>
      <c r="K800" s="496">
        <f ca="1">IF(I800&gt;0,J800*100/I800,0)</f>
        <v>0</v>
      </c>
      <c r="L800" s="496"/>
      <c r="M800" s="496"/>
      <c r="N800" s="496"/>
      <c r="O800" s="163"/>
      <c r="P800" s="163"/>
      <c r="Q800" s="571"/>
      <c r="R800" s="571"/>
      <c r="S800" s="571"/>
      <c r="T800" s="571"/>
      <c r="U800" s="571"/>
      <c r="V800" s="571"/>
      <c r="W800" s="571"/>
      <c r="X800" s="571"/>
      <c r="Y800" s="571"/>
      <c r="Z800" s="571"/>
    </row>
    <row r="801" spans="1:26" ht="18.75" hidden="1">
      <c r="A801" s="601"/>
      <c r="B801" s="611"/>
      <c r="C801" s="611"/>
      <c r="D801" s="611"/>
      <c r="E801" s="619"/>
      <c r="F801" s="619"/>
      <c r="G801" s="753"/>
      <c r="H801" s="161" t="s">
        <v>34</v>
      </c>
      <c r="I801" s="184"/>
      <c r="J801" s="269">
        <f ca="1">IFERROR(__xludf.DUMMYFUNCTION("IMPORTRANGE(""https://docs.google.com/spreadsheets/d/1MaWodYyGHDf7siQLGxnXhG4mBNTNIuy296niS2xXulU/edit?usp=sharing"",""RTK!I73"")"),0)</f>
        <v>0</v>
      </c>
      <c r="K801" s="496"/>
      <c r="L801" s="496"/>
      <c r="M801" s="496"/>
      <c r="N801" s="496"/>
      <c r="O801" s="163"/>
      <c r="P801" s="163"/>
      <c r="Q801" s="571"/>
      <c r="R801" s="571"/>
      <c r="S801" s="571"/>
      <c r="T801" s="571"/>
      <c r="U801" s="571"/>
      <c r="V801" s="571"/>
      <c r="W801" s="571"/>
      <c r="X801" s="571"/>
      <c r="Y801" s="571"/>
      <c r="Z801" s="571"/>
    </row>
    <row r="802" spans="1:26" ht="18.75" hidden="1">
      <c r="A802" s="607"/>
      <c r="B802" s="609"/>
      <c r="C802" s="609"/>
      <c r="D802" s="609"/>
      <c r="E802" s="711"/>
      <c r="F802" s="711" t="s">
        <v>321</v>
      </c>
      <c r="G802" s="365"/>
      <c r="H802" s="646" t="s">
        <v>46</v>
      </c>
      <c r="I802" s="166"/>
      <c r="J802" s="610"/>
      <c r="K802" s="167">
        <f>IF(I802&gt;0,J802*100/I802,0)</f>
        <v>0</v>
      </c>
      <c r="L802" s="167"/>
      <c r="M802" s="167"/>
      <c r="N802" s="167"/>
      <c r="O802" s="167"/>
      <c r="P802" s="167"/>
      <c r="Q802" s="597"/>
      <c r="R802" s="597"/>
      <c r="S802" s="597"/>
      <c r="T802" s="597"/>
      <c r="U802" s="597"/>
      <c r="V802" s="597"/>
      <c r="W802" s="597"/>
      <c r="X802" s="597"/>
      <c r="Y802" s="597"/>
      <c r="Z802" s="597"/>
    </row>
    <row r="803" spans="1:26" ht="18.75" hidden="1">
      <c r="A803" s="607"/>
      <c r="B803" s="609"/>
      <c r="C803" s="609"/>
      <c r="D803" s="609"/>
      <c r="E803" s="711"/>
      <c r="F803" s="711"/>
      <c r="G803" s="365"/>
      <c r="H803" s="646" t="s">
        <v>34</v>
      </c>
      <c r="I803" s="166"/>
      <c r="J803" s="610"/>
      <c r="K803" s="167"/>
      <c r="L803" s="167"/>
      <c r="M803" s="167"/>
      <c r="N803" s="167"/>
      <c r="O803" s="167"/>
      <c r="P803" s="167"/>
      <c r="Q803" s="597"/>
      <c r="R803" s="597"/>
      <c r="S803" s="597"/>
      <c r="T803" s="597"/>
      <c r="U803" s="597"/>
      <c r="V803" s="597"/>
      <c r="W803" s="597"/>
      <c r="X803" s="597"/>
      <c r="Y803" s="597"/>
      <c r="Z803" s="597"/>
    </row>
    <row r="804" spans="1:26" ht="19.5" hidden="1">
      <c r="A804" s="784">
        <v>13</v>
      </c>
      <c r="B804" s="785" t="s">
        <v>322</v>
      </c>
      <c r="C804" s="786"/>
      <c r="D804" s="803"/>
      <c r="E804" s="786"/>
      <c r="F804" s="786"/>
      <c r="G804" s="787"/>
      <c r="H804" s="788" t="s">
        <v>46</v>
      </c>
      <c r="I804" s="789"/>
      <c r="J804" s="789">
        <f>J819</f>
        <v>0</v>
      </c>
      <c r="K804" s="790">
        <f>IF(I804&gt;0,J804*100/I804,0)</f>
        <v>0</v>
      </c>
      <c r="L804" s="791"/>
      <c r="M804" s="791"/>
      <c r="N804" s="791"/>
      <c r="O804" s="791"/>
      <c r="P804" s="791"/>
      <c r="Q804" s="597"/>
      <c r="R804" s="597"/>
      <c r="S804" s="597"/>
      <c r="T804" s="597"/>
      <c r="U804" s="597"/>
      <c r="V804" s="597"/>
      <c r="W804" s="597"/>
      <c r="X804" s="597"/>
      <c r="Y804" s="597"/>
      <c r="Z804" s="597"/>
    </row>
    <row r="805" spans="1:26" ht="19.5" hidden="1">
      <c r="A805" s="592"/>
      <c r="B805" s="750"/>
      <c r="C805" s="750" t="s">
        <v>16</v>
      </c>
      <c r="D805" s="864" t="s">
        <v>17</v>
      </c>
      <c r="E805" s="857"/>
      <c r="F805" s="857"/>
      <c r="G805" s="596"/>
      <c r="H805" s="639" t="s">
        <v>12</v>
      </c>
      <c r="I805" s="610"/>
      <c r="J805" s="610"/>
      <c r="K805" s="93"/>
      <c r="L805" s="640">
        <f t="shared" ref="L805:N805" si="326">L806+L807</f>
        <v>0</v>
      </c>
      <c r="M805" s="640">
        <f t="shared" si="326"/>
        <v>0</v>
      </c>
      <c r="N805" s="640">
        <f t="shared" si="326"/>
        <v>0</v>
      </c>
      <c r="O805" s="640">
        <f t="shared" ref="O805:O810" si="327">IF(L805&gt;0,N805*100/L805,0)</f>
        <v>0</v>
      </c>
      <c r="P805" s="640">
        <f t="shared" ref="P805:P810" si="328">IF(M805&gt;0,N805*100/M805,0)</f>
        <v>0</v>
      </c>
      <c r="Q805" s="597"/>
      <c r="R805" s="597"/>
      <c r="S805" s="597"/>
      <c r="T805" s="597"/>
      <c r="U805" s="597"/>
      <c r="V805" s="597"/>
      <c r="W805" s="597"/>
      <c r="X805" s="597"/>
      <c r="Y805" s="597"/>
      <c r="Z805" s="597"/>
    </row>
    <row r="806" spans="1:26" ht="18.75" hidden="1">
      <c r="A806" s="592"/>
      <c r="B806" s="750"/>
      <c r="C806" s="750"/>
      <c r="D806" s="609"/>
      <c r="E806" s="750" t="s">
        <v>184</v>
      </c>
      <c r="F806" s="750"/>
      <c r="G806" s="596"/>
      <c r="H806" s="165" t="s">
        <v>12</v>
      </c>
      <c r="I806" s="610"/>
      <c r="J806" s="610"/>
      <c r="K806" s="93"/>
      <c r="L806" s="93">
        <f t="shared" ref="L806:N807" si="329">L809+L816</f>
        <v>0</v>
      </c>
      <c r="M806" s="93">
        <f t="shared" si="329"/>
        <v>0</v>
      </c>
      <c r="N806" s="93">
        <f t="shared" si="329"/>
        <v>0</v>
      </c>
      <c r="O806" s="93">
        <f t="shared" si="327"/>
        <v>0</v>
      </c>
      <c r="P806" s="93">
        <f t="shared" si="328"/>
        <v>0</v>
      </c>
      <c r="Q806" s="597"/>
      <c r="R806" s="597"/>
      <c r="S806" s="597"/>
      <c r="T806" s="597"/>
      <c r="U806" s="597"/>
      <c r="V806" s="597"/>
      <c r="W806" s="597"/>
      <c r="X806" s="597"/>
      <c r="Y806" s="597"/>
      <c r="Z806" s="597"/>
    </row>
    <row r="807" spans="1:26" ht="18.75" hidden="1">
      <c r="A807" s="592"/>
      <c r="B807" s="750"/>
      <c r="C807" s="750"/>
      <c r="D807" s="609"/>
      <c r="E807" s="750" t="s">
        <v>185</v>
      </c>
      <c r="F807" s="750"/>
      <c r="G807" s="596"/>
      <c r="H807" s="165" t="s">
        <v>12</v>
      </c>
      <c r="I807" s="610"/>
      <c r="J807" s="610"/>
      <c r="K807" s="93"/>
      <c r="L807" s="93">
        <f t="shared" si="329"/>
        <v>0</v>
      </c>
      <c r="M807" s="93">
        <f t="shared" si="329"/>
        <v>0</v>
      </c>
      <c r="N807" s="93">
        <f t="shared" si="329"/>
        <v>0</v>
      </c>
      <c r="O807" s="93">
        <f t="shared" si="327"/>
        <v>0</v>
      </c>
      <c r="P807" s="93">
        <f t="shared" si="328"/>
        <v>0</v>
      </c>
      <c r="Q807" s="597"/>
      <c r="R807" s="597"/>
      <c r="S807" s="597"/>
      <c r="T807" s="597"/>
      <c r="U807" s="597"/>
      <c r="V807" s="597"/>
      <c r="W807" s="597"/>
      <c r="X807" s="597"/>
      <c r="Y807" s="597"/>
      <c r="Z807" s="597"/>
    </row>
    <row r="808" spans="1:26" ht="19.5" hidden="1">
      <c r="A808" s="592"/>
      <c r="B808" s="600"/>
      <c r="C808" s="750"/>
      <c r="D808" s="869" t="s">
        <v>20</v>
      </c>
      <c r="E808" s="857"/>
      <c r="F808" s="857"/>
      <c r="G808" s="596"/>
      <c r="H808" s="639" t="s">
        <v>12</v>
      </c>
      <c r="I808" s="166"/>
      <c r="J808" s="166"/>
      <c r="K808" s="167"/>
      <c r="L808" s="640">
        <f t="shared" ref="L808:N808" si="330">L809+L810</f>
        <v>0</v>
      </c>
      <c r="M808" s="640">
        <f t="shared" si="330"/>
        <v>0</v>
      </c>
      <c r="N808" s="640">
        <f t="shared" si="330"/>
        <v>0</v>
      </c>
      <c r="O808" s="640">
        <f t="shared" si="327"/>
        <v>0</v>
      </c>
      <c r="P808" s="640">
        <f t="shared" si="328"/>
        <v>0</v>
      </c>
      <c r="Q808" s="597"/>
      <c r="R808" s="597"/>
      <c r="S808" s="597"/>
      <c r="T808" s="597"/>
      <c r="U808" s="597"/>
      <c r="V808" s="597"/>
      <c r="W808" s="597"/>
      <c r="X808" s="597"/>
      <c r="Y808" s="597"/>
      <c r="Z808" s="597"/>
    </row>
    <row r="809" spans="1:26" ht="18.75" hidden="1">
      <c r="A809" s="592"/>
      <c r="B809" s="750"/>
      <c r="C809" s="750"/>
      <c r="D809" s="609"/>
      <c r="E809" s="750" t="s">
        <v>184</v>
      </c>
      <c r="F809" s="750"/>
      <c r="G809" s="596"/>
      <c r="H809" s="165" t="s">
        <v>12</v>
      </c>
      <c r="I809" s="610"/>
      <c r="J809" s="610"/>
      <c r="K809" s="93"/>
      <c r="L809" s="93">
        <v>0</v>
      </c>
      <c r="M809" s="93">
        <v>0</v>
      </c>
      <c r="N809" s="93">
        <v>0</v>
      </c>
      <c r="O809" s="93">
        <f t="shared" si="327"/>
        <v>0</v>
      </c>
      <c r="P809" s="93">
        <f t="shared" si="328"/>
        <v>0</v>
      </c>
      <c r="Q809" s="597"/>
      <c r="R809" s="597"/>
      <c r="S809" s="597"/>
      <c r="T809" s="597"/>
      <c r="U809" s="597"/>
      <c r="V809" s="597"/>
      <c r="W809" s="597"/>
      <c r="X809" s="597"/>
      <c r="Y809" s="597"/>
      <c r="Z809" s="597"/>
    </row>
    <row r="810" spans="1:26" ht="18.75" hidden="1">
      <c r="A810" s="592"/>
      <c r="B810" s="750"/>
      <c r="C810" s="750"/>
      <c r="D810" s="609"/>
      <c r="E810" s="750" t="s">
        <v>185</v>
      </c>
      <c r="F810" s="750"/>
      <c r="G810" s="596"/>
      <c r="H810" s="165" t="s">
        <v>12</v>
      </c>
      <c r="I810" s="610"/>
      <c r="J810" s="610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7"/>
        <v>0</v>
      </c>
      <c r="P810" s="93">
        <f t="shared" si="328"/>
        <v>0</v>
      </c>
      <c r="Q810" s="597"/>
      <c r="R810" s="597"/>
      <c r="S810" s="597"/>
      <c r="T810" s="597"/>
      <c r="U810" s="597"/>
      <c r="V810" s="597"/>
      <c r="W810" s="597"/>
      <c r="X810" s="597"/>
      <c r="Y810" s="597"/>
      <c r="Z810" s="597"/>
    </row>
    <row r="811" spans="1:26" ht="18.75" hidden="1">
      <c r="A811" s="642"/>
      <c r="B811" s="600"/>
      <c r="C811" s="750"/>
      <c r="D811" s="600"/>
      <c r="E811" s="750"/>
      <c r="F811" s="750" t="s">
        <v>186</v>
      </c>
      <c r="G811" s="596"/>
      <c r="H811" s="165" t="s">
        <v>12</v>
      </c>
      <c r="I811" s="610"/>
      <c r="J811" s="610"/>
      <c r="K811" s="93"/>
      <c r="L811" s="93"/>
      <c r="M811" s="93"/>
      <c r="N811" s="93"/>
      <c r="O811" s="93"/>
      <c r="P811" s="93"/>
      <c r="Q811" s="597"/>
      <c r="R811" s="597"/>
      <c r="S811" s="597"/>
      <c r="T811" s="597"/>
      <c r="U811" s="597"/>
      <c r="V811" s="597"/>
      <c r="W811" s="597"/>
      <c r="X811" s="597"/>
      <c r="Y811" s="597"/>
      <c r="Z811" s="597"/>
    </row>
    <row r="812" spans="1:26" ht="18.75" hidden="1">
      <c r="A812" s="642"/>
      <c r="B812" s="600"/>
      <c r="C812" s="750"/>
      <c r="D812" s="600"/>
      <c r="E812" s="750"/>
      <c r="F812" s="750" t="s">
        <v>187</v>
      </c>
      <c r="G812" s="596"/>
      <c r="H812" s="165" t="s">
        <v>12</v>
      </c>
      <c r="I812" s="610"/>
      <c r="J812" s="610"/>
      <c r="K812" s="93"/>
      <c r="L812" s="93"/>
      <c r="M812" s="93"/>
      <c r="N812" s="93"/>
      <c r="O812" s="93"/>
      <c r="P812" s="93"/>
      <c r="Q812" s="597"/>
      <c r="R812" s="597"/>
      <c r="S812" s="597"/>
      <c r="T812" s="597"/>
      <c r="U812" s="597"/>
      <c r="V812" s="597"/>
      <c r="W812" s="597"/>
      <c r="X812" s="597"/>
      <c r="Y812" s="597"/>
      <c r="Z812" s="597"/>
    </row>
    <row r="813" spans="1:26" ht="18.75" hidden="1">
      <c r="A813" s="642"/>
      <c r="B813" s="600"/>
      <c r="C813" s="750"/>
      <c r="D813" s="600"/>
      <c r="E813" s="750"/>
      <c r="F813" s="750" t="s">
        <v>188</v>
      </c>
      <c r="G813" s="596"/>
      <c r="H813" s="165" t="s">
        <v>12</v>
      </c>
      <c r="I813" s="610"/>
      <c r="J813" s="610"/>
      <c r="K813" s="93"/>
      <c r="L813" s="93"/>
      <c r="M813" s="93"/>
      <c r="N813" s="93"/>
      <c r="O813" s="93"/>
      <c r="P813" s="93"/>
      <c r="Q813" s="597"/>
      <c r="R813" s="597"/>
      <c r="S813" s="597"/>
      <c r="T813" s="597"/>
      <c r="U813" s="597"/>
      <c r="V813" s="597"/>
      <c r="W813" s="597"/>
      <c r="X813" s="597"/>
      <c r="Y813" s="597"/>
      <c r="Z813" s="597"/>
    </row>
    <row r="814" spans="1:26" ht="18.75" hidden="1">
      <c r="A814" s="642"/>
      <c r="B814" s="600"/>
      <c r="C814" s="750"/>
      <c r="D814" s="600"/>
      <c r="E814" s="750"/>
      <c r="F814" s="750" t="s">
        <v>189</v>
      </c>
      <c r="G814" s="596"/>
      <c r="H814" s="165" t="s">
        <v>12</v>
      </c>
      <c r="I814" s="610"/>
      <c r="J814" s="610"/>
      <c r="K814" s="93"/>
      <c r="L814" s="93"/>
      <c r="M814" s="93"/>
      <c r="N814" s="93"/>
      <c r="O814" s="93"/>
      <c r="P814" s="93"/>
      <c r="Q814" s="597"/>
      <c r="R814" s="597"/>
      <c r="S814" s="597"/>
      <c r="T814" s="597"/>
      <c r="U814" s="597"/>
      <c r="V814" s="597"/>
      <c r="W814" s="597"/>
      <c r="X814" s="597"/>
      <c r="Y814" s="597"/>
      <c r="Z814" s="597"/>
    </row>
    <row r="815" spans="1:26" ht="19.5" hidden="1">
      <c r="A815" s="592"/>
      <c r="B815" s="600"/>
      <c r="C815" s="750"/>
      <c r="D815" s="869" t="s">
        <v>21</v>
      </c>
      <c r="E815" s="857"/>
      <c r="F815" s="857"/>
      <c r="G815" s="596"/>
      <c r="H815" s="774" t="s">
        <v>12</v>
      </c>
      <c r="I815" s="166"/>
      <c r="J815" s="166"/>
      <c r="K815" s="167"/>
      <c r="L815" s="640">
        <f t="shared" ref="L815:N815" si="331">L816+L817</f>
        <v>0</v>
      </c>
      <c r="M815" s="640">
        <f t="shared" si="331"/>
        <v>0</v>
      </c>
      <c r="N815" s="640">
        <f t="shared" si="331"/>
        <v>0</v>
      </c>
      <c r="O815" s="640">
        <f t="shared" ref="O815:O817" si="332">IF(L815&gt;0,N815*100/L815,0)</f>
        <v>0</v>
      </c>
      <c r="P815" s="640">
        <f t="shared" ref="P815:P817" si="333">IF(M815&gt;0,N815*100/M815,0)</f>
        <v>0</v>
      </c>
      <c r="Q815" s="597"/>
      <c r="R815" s="597"/>
      <c r="S815" s="597"/>
      <c r="T815" s="597"/>
      <c r="U815" s="597"/>
      <c r="V815" s="597"/>
      <c r="W815" s="597"/>
      <c r="X815" s="597"/>
      <c r="Y815" s="597"/>
      <c r="Z815" s="597"/>
    </row>
    <row r="816" spans="1:26" ht="18.75" hidden="1">
      <c r="A816" s="592"/>
      <c r="B816" s="600"/>
      <c r="C816" s="750"/>
      <c r="D816" s="600"/>
      <c r="E816" s="750" t="s">
        <v>18</v>
      </c>
      <c r="F816" s="750"/>
      <c r="G816" s="596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2"/>
        <v>0</v>
      </c>
      <c r="P816" s="93">
        <f t="shared" si="333"/>
        <v>0</v>
      </c>
      <c r="Q816" s="597"/>
      <c r="R816" s="597"/>
      <c r="S816" s="597"/>
      <c r="T816" s="597"/>
      <c r="U816" s="597"/>
      <c r="V816" s="597"/>
      <c r="W816" s="597"/>
      <c r="X816" s="597"/>
      <c r="Y816" s="597"/>
      <c r="Z816" s="597"/>
    </row>
    <row r="817" spans="1:26" ht="18.75" hidden="1">
      <c r="A817" s="592"/>
      <c r="B817" s="600"/>
      <c r="C817" s="750"/>
      <c r="D817" s="600"/>
      <c r="E817" s="750" t="s">
        <v>19</v>
      </c>
      <c r="F817" s="750"/>
      <c r="G817" s="596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2"/>
        <v>0</v>
      </c>
      <c r="P817" s="93">
        <f t="shared" si="333"/>
        <v>0</v>
      </c>
      <c r="Q817" s="597"/>
      <c r="R817" s="597"/>
      <c r="S817" s="597"/>
      <c r="T817" s="597"/>
      <c r="U817" s="597"/>
      <c r="V817" s="597"/>
      <c r="W817" s="597"/>
      <c r="X817" s="597"/>
      <c r="Y817" s="597"/>
      <c r="Z817" s="597"/>
    </row>
    <row r="818" spans="1:26" ht="19.5" hidden="1">
      <c r="A818" s="607"/>
      <c r="B818" s="609"/>
      <c r="C818" s="750" t="s">
        <v>16</v>
      </c>
      <c r="D818" s="842" t="s">
        <v>38</v>
      </c>
      <c r="E818" s="644"/>
      <c r="F818" s="644"/>
      <c r="G818" s="645"/>
      <c r="H818" s="365"/>
      <c r="I818" s="166"/>
      <c r="J818" s="166"/>
      <c r="K818" s="167"/>
      <c r="L818" s="167"/>
      <c r="M818" s="167"/>
      <c r="N818" s="167"/>
      <c r="O818" s="167"/>
      <c r="P818" s="167"/>
      <c r="Q818" s="597"/>
      <c r="R818" s="597"/>
      <c r="S818" s="597"/>
      <c r="T818" s="597"/>
      <c r="U818" s="597"/>
      <c r="V818" s="597"/>
      <c r="W818" s="597"/>
      <c r="X818" s="597"/>
      <c r="Y818" s="597"/>
      <c r="Z818" s="597"/>
    </row>
    <row r="819" spans="1:26" ht="19.5" hidden="1" thickBot="1">
      <c r="A819" s="805"/>
      <c r="B819" s="806"/>
      <c r="C819" s="808"/>
      <c r="D819" s="806"/>
      <c r="E819" s="808" t="s">
        <v>323</v>
      </c>
      <c r="F819" s="808"/>
      <c r="G819" s="809"/>
      <c r="H819" s="810" t="s">
        <v>46</v>
      </c>
      <c r="I819" s="811"/>
      <c r="J819" s="811"/>
      <c r="K819" s="812"/>
      <c r="L819" s="812"/>
      <c r="M819" s="812"/>
      <c r="N819" s="812"/>
      <c r="O819" s="812"/>
      <c r="P819" s="812"/>
      <c r="Q819" s="597"/>
      <c r="R819" s="597"/>
      <c r="S819" s="597"/>
      <c r="T819" s="597"/>
      <c r="U819" s="597"/>
      <c r="V819" s="597"/>
      <c r="W819" s="597"/>
      <c r="X819" s="597"/>
      <c r="Y819" s="597"/>
      <c r="Z819" s="597"/>
    </row>
    <row r="820" spans="1:26" ht="19.5">
      <c r="A820" s="813" t="s">
        <v>331</v>
      </c>
      <c r="B820" s="814"/>
      <c r="C820" s="814"/>
      <c r="D820" s="815"/>
      <c r="E820" s="814"/>
      <c r="F820" s="814"/>
      <c r="G820" s="816"/>
      <c r="H820" s="816"/>
      <c r="I820" s="214"/>
      <c r="J820" s="214"/>
      <c r="K820" s="817"/>
      <c r="L820" s="817"/>
      <c r="M820" s="817"/>
      <c r="N820" s="817"/>
      <c r="O820" s="817"/>
      <c r="P820" s="817"/>
      <c r="Q820" s="571"/>
      <c r="R820" s="571"/>
      <c r="S820" s="571"/>
      <c r="T820" s="571"/>
      <c r="U820" s="571"/>
      <c r="V820" s="571"/>
      <c r="W820" s="571"/>
      <c r="X820" s="571"/>
      <c r="Y820" s="571"/>
      <c r="Z820" s="571"/>
    </row>
    <row r="821" spans="1:26" ht="18.75">
      <c r="A821" s="735"/>
      <c r="B821" s="754" t="s">
        <v>325</v>
      </c>
      <c r="C821" s="754"/>
      <c r="D821" s="568"/>
      <c r="E821" s="754"/>
      <c r="F821" s="754"/>
      <c r="G821" s="189"/>
      <c r="H821" s="616" t="s">
        <v>12</v>
      </c>
      <c r="I821" s="269">
        <f ca="1">IFERROR(__xludf.DUMMYFUNCTION("IMPORTRANGE(""https://docs.google.com/spreadsheets/d/19vJNZY_5yjcGF2XGBMNZRCAIB0Kwfpjp8YEOfu-bneM/edit?usp=sharing"",""งานกองทุน!D73"")"),0)</f>
        <v>0</v>
      </c>
      <c r="J821" s="269">
        <f ca="1">IFERROR(__xludf.DUMMYFUNCTION("IMPORTRANGE(""https://docs.google.com/spreadsheets/d/19vJNZY_5yjcGF2XGBMNZRCAIB0Kwfpjp8YEOfu-bneM/edit?usp=sharing"",""งานกองทุน!F73"")"),0)</f>
        <v>0</v>
      </c>
      <c r="K821" s="496">
        <f t="shared" ref="K821:K828" ca="1" si="334">IF(I821&gt;0,J821*100/I821,0)</f>
        <v>0</v>
      </c>
      <c r="L821" s="496"/>
      <c r="M821" s="496"/>
      <c r="N821" s="496"/>
      <c r="O821" s="496"/>
      <c r="P821" s="496"/>
      <c r="Q821" s="571"/>
      <c r="R821" s="571"/>
      <c r="S821" s="571"/>
      <c r="T821" s="571"/>
      <c r="U821" s="571"/>
      <c r="V821" s="571"/>
      <c r="W821" s="571"/>
      <c r="X821" s="571"/>
      <c r="Y821" s="571"/>
      <c r="Z821" s="571"/>
    </row>
    <row r="822" spans="1:26" ht="18.75">
      <c r="A822" s="735"/>
      <c r="B822" s="754"/>
      <c r="C822" s="754"/>
      <c r="D822" s="568"/>
      <c r="E822" s="754"/>
      <c r="F822" s="754"/>
      <c r="G822" s="189"/>
      <c r="H822" s="616" t="s">
        <v>35</v>
      </c>
      <c r="I822" s="269">
        <f ca="1">IFERROR(__xludf.DUMMYFUNCTION("IMPORTRANGE(""https://docs.google.com/spreadsheets/d/19vJNZY_5yjcGF2XGBMNZRCAIB0Kwfpjp8YEOfu-bneM/edit?usp=sharing"",""งานกองทุน!C73"")"),0)</f>
        <v>0</v>
      </c>
      <c r="J822" s="269">
        <f ca="1">IFERROR(__xludf.DUMMYFUNCTION("IMPORTRANGE(""https://docs.google.com/spreadsheets/d/19vJNZY_5yjcGF2XGBMNZRCAIB0Kwfpjp8YEOfu-bneM/edit?usp=sharing"",""งานกองทุน!E73"")"),0)</f>
        <v>0</v>
      </c>
      <c r="K822" s="496">
        <f t="shared" ca="1" si="334"/>
        <v>0</v>
      </c>
      <c r="L822" s="496"/>
      <c r="M822" s="496"/>
      <c r="N822" s="496"/>
      <c r="O822" s="496"/>
      <c r="P822" s="496"/>
      <c r="Q822" s="571"/>
      <c r="R822" s="571"/>
      <c r="S822" s="571"/>
      <c r="T822" s="571"/>
      <c r="U822" s="571"/>
      <c r="V822" s="571"/>
      <c r="W822" s="571"/>
      <c r="X822" s="571"/>
      <c r="Y822" s="571"/>
      <c r="Z822" s="571"/>
    </row>
    <row r="823" spans="1:26" ht="18.75">
      <c r="A823" s="735"/>
      <c r="B823" s="754" t="s">
        <v>326</v>
      </c>
      <c r="C823" s="754"/>
      <c r="D823" s="568"/>
      <c r="E823" s="754"/>
      <c r="F823" s="754"/>
      <c r="G823" s="189"/>
      <c r="H823" s="616" t="s">
        <v>12</v>
      </c>
      <c r="I823" s="269">
        <f ca="1">IFERROR(__xludf.DUMMYFUNCTION("IMPORTRANGE(""https://docs.google.com/spreadsheets/d/19vJNZY_5yjcGF2XGBMNZRCAIB0Kwfpjp8YEOfu-bneM/edit?usp=sharing"",""งานกองทุน!I73"")"),29317.68)</f>
        <v>29317.68</v>
      </c>
      <c r="J823" s="269">
        <f ca="1">IFERROR(__xludf.DUMMYFUNCTION("IMPORTRANGE(""https://docs.google.com/spreadsheets/d/19vJNZY_5yjcGF2XGBMNZRCAIB0Kwfpjp8YEOfu-bneM/edit?usp=sharing"",""งานกองทุน!K73"")"),3578.75)</f>
        <v>3578.75</v>
      </c>
      <c r="K823" s="496">
        <f t="shared" ca="1" si="334"/>
        <v>12.206798082249346</v>
      </c>
      <c r="L823" s="496"/>
      <c r="M823" s="496"/>
      <c r="N823" s="496"/>
      <c r="O823" s="496"/>
      <c r="P823" s="496"/>
      <c r="Q823" s="571"/>
      <c r="R823" s="571"/>
      <c r="S823" s="571"/>
      <c r="T823" s="571"/>
      <c r="U823" s="571"/>
      <c r="V823" s="571"/>
      <c r="W823" s="571"/>
      <c r="X823" s="571"/>
      <c r="Y823" s="571"/>
      <c r="Z823" s="571"/>
    </row>
    <row r="824" spans="1:26" ht="18.75">
      <c r="A824" s="735"/>
      <c r="B824" s="754"/>
      <c r="C824" s="754"/>
      <c r="D824" s="568"/>
      <c r="E824" s="754"/>
      <c r="F824" s="754"/>
      <c r="G824" s="189"/>
      <c r="H824" s="616" t="s">
        <v>35</v>
      </c>
      <c r="I824" s="269">
        <f ca="1">IFERROR(__xludf.DUMMYFUNCTION("IMPORTRANGE(""https://docs.google.com/spreadsheets/d/19vJNZY_5yjcGF2XGBMNZRCAIB0Kwfpjp8YEOfu-bneM/edit?usp=sharing"",""งานกองทุน!H73"")"),3)</f>
        <v>3</v>
      </c>
      <c r="J824" s="269">
        <f ca="1">IFERROR(__xludf.DUMMYFUNCTION("IMPORTRANGE(""https://docs.google.com/spreadsheets/d/19vJNZY_5yjcGF2XGBMNZRCAIB0Kwfpjp8YEOfu-bneM/edit?usp=sharing"",""งานกองทุน!J73"")"),1)</f>
        <v>1</v>
      </c>
      <c r="K824" s="496">
        <f t="shared" ca="1" si="334"/>
        <v>33.333333333333336</v>
      </c>
      <c r="L824" s="496"/>
      <c r="M824" s="496"/>
      <c r="N824" s="496"/>
      <c r="O824" s="496"/>
      <c r="P824" s="496"/>
      <c r="Q824" s="571"/>
      <c r="R824" s="571"/>
      <c r="S824" s="571"/>
      <c r="T824" s="571"/>
      <c r="U824" s="571"/>
      <c r="V824" s="571"/>
      <c r="W824" s="571"/>
      <c r="X824" s="571"/>
      <c r="Y824" s="571"/>
      <c r="Z824" s="571"/>
    </row>
    <row r="825" spans="1:26" ht="18.75">
      <c r="A825" s="735"/>
      <c r="B825" s="754" t="s">
        <v>327</v>
      </c>
      <c r="C825" s="754"/>
      <c r="D825" s="568"/>
      <c r="E825" s="754"/>
      <c r="F825" s="754"/>
      <c r="G825" s="189"/>
      <c r="H825" s="616" t="s">
        <v>12</v>
      </c>
      <c r="I825" s="269">
        <f ca="1">IFERROR(__xludf.DUMMYFUNCTION("IMPORTRANGE(""https://docs.google.com/spreadsheets/d/19vJNZY_5yjcGF2XGBMNZRCAIB0Kwfpjp8YEOfu-bneM/edit?usp=sharing"",""งานกองทุน!N73"")"),0)</f>
        <v>0</v>
      </c>
      <c r="J825" s="269">
        <f ca="1">IFERROR(__xludf.DUMMYFUNCTION("IMPORTRANGE(""https://docs.google.com/spreadsheets/d/19vJNZY_5yjcGF2XGBMNZRCAIB0Kwfpjp8YEOfu-bneM/edit?usp=sharing"",""งานกองทุน!P73"")"),0)</f>
        <v>0</v>
      </c>
      <c r="K825" s="496">
        <f t="shared" ca="1" si="334"/>
        <v>0</v>
      </c>
      <c r="L825" s="496"/>
      <c r="M825" s="496"/>
      <c r="N825" s="496"/>
      <c r="O825" s="496"/>
      <c r="P825" s="496"/>
      <c r="Q825" s="571"/>
      <c r="R825" s="571"/>
      <c r="S825" s="571"/>
      <c r="T825" s="571"/>
      <c r="U825" s="571"/>
      <c r="V825" s="571"/>
      <c r="W825" s="571"/>
      <c r="X825" s="571"/>
      <c r="Y825" s="571"/>
      <c r="Z825" s="571"/>
    </row>
    <row r="826" spans="1:26" ht="18.75">
      <c r="A826" s="735"/>
      <c r="B826" s="754"/>
      <c r="C826" s="754"/>
      <c r="D826" s="568"/>
      <c r="E826" s="754"/>
      <c r="F826" s="754"/>
      <c r="G826" s="189"/>
      <c r="H826" s="616" t="s">
        <v>35</v>
      </c>
      <c r="I826" s="269">
        <f ca="1">IFERROR(__xludf.DUMMYFUNCTION("IMPORTRANGE(""https://docs.google.com/spreadsheets/d/19vJNZY_5yjcGF2XGBMNZRCAIB0Kwfpjp8YEOfu-bneM/edit?usp=sharing"",""งานกองทุน!M73"")"),0)</f>
        <v>0</v>
      </c>
      <c r="J826" s="269">
        <f ca="1">IFERROR(__xludf.DUMMYFUNCTION("IMPORTRANGE(""https://docs.google.com/spreadsheets/d/19vJNZY_5yjcGF2XGBMNZRCAIB0Kwfpjp8YEOfu-bneM/edit?usp=sharing"",""งานกองทุน!O73"")"),0)</f>
        <v>0</v>
      </c>
      <c r="K826" s="496">
        <f t="shared" ca="1" si="334"/>
        <v>0</v>
      </c>
      <c r="L826" s="496"/>
      <c r="M826" s="496"/>
      <c r="N826" s="496"/>
      <c r="O826" s="496"/>
      <c r="P826" s="496"/>
      <c r="Q826" s="571"/>
      <c r="R826" s="571"/>
      <c r="S826" s="571"/>
      <c r="T826" s="571"/>
      <c r="U826" s="571"/>
      <c r="V826" s="571"/>
      <c r="W826" s="571"/>
      <c r="X826" s="571"/>
      <c r="Y826" s="571"/>
      <c r="Z826" s="571"/>
    </row>
    <row r="827" spans="1:26" ht="18.75">
      <c r="A827" s="735"/>
      <c r="B827" s="754" t="s">
        <v>328</v>
      </c>
      <c r="C827" s="754"/>
      <c r="D827" s="568"/>
      <c r="E827" s="754"/>
      <c r="F827" s="754"/>
      <c r="G827" s="189"/>
      <c r="H827" s="616" t="s">
        <v>12</v>
      </c>
      <c r="I827" s="269">
        <f ca="1">IFERROR(__xludf.DUMMYFUNCTION("IMPORTRANGE(""https://docs.google.com/spreadsheets/d/19vJNZY_5yjcGF2XGBMNZRCAIB0Kwfpjp8YEOfu-bneM/edit?usp=sharing"",""งานกองทุน!S73"")"),680000)</f>
        <v>680000</v>
      </c>
      <c r="J827" s="269">
        <f ca="1">IFERROR(__xludf.DUMMYFUNCTION("IMPORTRANGE(""https://docs.google.com/spreadsheets/d/19vJNZY_5yjcGF2XGBMNZRCAIB0Kwfpjp8YEOfu-bneM/edit?usp=sharing"",""งานกองทุน!U73"")"),0)</f>
        <v>0</v>
      </c>
      <c r="K827" s="496">
        <f t="shared" ca="1" si="334"/>
        <v>0</v>
      </c>
      <c r="L827" s="496"/>
      <c r="M827" s="496"/>
      <c r="N827" s="496"/>
      <c r="O827" s="496"/>
      <c r="P827" s="496"/>
      <c r="Q827" s="571"/>
      <c r="R827" s="571"/>
      <c r="S827" s="571"/>
      <c r="T827" s="571"/>
      <c r="U827" s="571"/>
      <c r="V827" s="571"/>
      <c r="W827" s="571"/>
      <c r="X827" s="571"/>
      <c r="Y827" s="571"/>
      <c r="Z827" s="571"/>
    </row>
    <row r="828" spans="1:26" ht="18.75">
      <c r="A828" s="738"/>
      <c r="B828" s="740"/>
      <c r="C828" s="740"/>
      <c r="D828" s="739"/>
      <c r="E828" s="740"/>
      <c r="F828" s="740"/>
      <c r="G828" s="818"/>
      <c r="H828" s="819" t="s">
        <v>35</v>
      </c>
      <c r="I828" s="499">
        <f ca="1">IFERROR(__xludf.DUMMYFUNCTION("IMPORTRANGE(""https://docs.google.com/spreadsheets/d/19vJNZY_5yjcGF2XGBMNZRCAIB0Kwfpjp8YEOfu-bneM/edit?usp=sharing"",""งานกองทุน!R73"")"),27)</f>
        <v>27</v>
      </c>
      <c r="J828" s="499">
        <f ca="1">IFERROR(__xludf.DUMMYFUNCTION("IMPORTRANGE(""https://docs.google.com/spreadsheets/d/19vJNZY_5yjcGF2XGBMNZRCAIB0Kwfpjp8YEOfu-bneM/edit?usp=sharing"",""งานกองทุน!T73"")"),0)</f>
        <v>0</v>
      </c>
      <c r="K828" s="500">
        <f t="shared" ca="1" si="334"/>
        <v>0</v>
      </c>
      <c r="L828" s="500"/>
      <c r="M828" s="500"/>
      <c r="N828" s="500"/>
      <c r="O828" s="500"/>
      <c r="P828" s="500"/>
      <c r="Q828" s="571"/>
      <c r="R828" s="571"/>
      <c r="S828" s="571"/>
      <c r="T828" s="571"/>
      <c r="U828" s="571"/>
      <c r="V828" s="571"/>
      <c r="W828" s="571"/>
      <c r="X828" s="571"/>
      <c r="Y828" s="571"/>
      <c r="Z828" s="571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544:F544"/>
    <mergeCell ref="A7:G7"/>
    <mergeCell ref="A17:G17"/>
    <mergeCell ref="A27:G27"/>
    <mergeCell ref="B40:G40"/>
    <mergeCell ref="A50:G50"/>
    <mergeCell ref="B51:G51"/>
    <mergeCell ref="D419:F419"/>
    <mergeCell ref="D444:F444"/>
    <mergeCell ref="D467:F467"/>
    <mergeCell ref="D502:F502"/>
    <mergeCell ref="D523:F523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 gridLines="1"/>
  <pageMargins left="0.23622047244094491" right="0.23622047244094491" top="0.74803149606299213" bottom="0.74803149606299213" header="0" footer="0"/>
  <pageSetup paperSize="9" scale="44" fitToHeight="0" pageOrder="overThenDown" orientation="portrait" cellComments="atEnd" r:id="rId1"/>
  <headerFooter>
    <oddFooter>&amp;Cหน้า &amp;P/&amp;N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CB3C18-76F0-4B72-91BB-773867F3937C}">
  <sheetPr codeName="Sheet3">
    <outlinePr summaryBelow="0" summaryRight="0"/>
    <pageSetUpPr fitToPage="1"/>
  </sheetPr>
  <dimension ref="A1:Z828"/>
  <sheetViews>
    <sheetView view="pageBreakPreview" zoomScale="60" zoomScaleNormal="100" workbookViewId="0">
      <pane ySplit="7" topLeftCell="A8" activePane="bottomLeft" state="frozen"/>
      <selection activeCell="A2" sqref="A2:P2"/>
      <selection pane="bottomLeft" activeCell="A2" sqref="A2:P2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9" width="18.7109375" bestFit="1" customWidth="1"/>
    <col min="10" max="10" width="14.42578125" bestFit="1" customWidth="1"/>
    <col min="11" max="11" width="12.5703125" customWidth="1"/>
    <col min="12" max="13" width="21.28515625" bestFit="1" customWidth="1"/>
    <col min="14" max="14" width="18.7109375" bestFit="1" customWidth="1"/>
    <col min="15" max="16" width="17.5703125" customWidth="1"/>
  </cols>
  <sheetData>
    <row r="1" spans="1:26" ht="19.5">
      <c r="A1" s="844" t="s">
        <v>0</v>
      </c>
      <c r="B1" s="845"/>
      <c r="C1" s="845"/>
      <c r="D1" s="845"/>
      <c r="E1" s="845"/>
      <c r="F1" s="845"/>
      <c r="G1" s="845"/>
      <c r="H1" s="845"/>
      <c r="I1" s="845"/>
      <c r="J1" s="845"/>
      <c r="K1" s="845"/>
      <c r="L1" s="845"/>
      <c r="M1" s="845"/>
      <c r="N1" s="845"/>
      <c r="O1" s="845"/>
      <c r="P1" s="845"/>
    </row>
    <row r="2" spans="1:26" ht="19.5">
      <c r="A2" s="844" t="s">
        <v>332</v>
      </c>
      <c r="B2" s="845"/>
      <c r="C2" s="845"/>
      <c r="D2" s="845"/>
      <c r="E2" s="845"/>
      <c r="F2" s="845"/>
      <c r="G2" s="845"/>
      <c r="H2" s="845"/>
      <c r="I2" s="845"/>
      <c r="J2" s="845"/>
      <c r="K2" s="845"/>
      <c r="L2" s="845"/>
      <c r="M2" s="845"/>
      <c r="N2" s="845"/>
      <c r="O2" s="845"/>
      <c r="P2" s="845"/>
    </row>
    <row r="3" spans="1:26" ht="19.5">
      <c r="A3" s="844" t="s">
        <v>347</v>
      </c>
      <c r="B3" s="845"/>
      <c r="C3" s="845"/>
      <c r="D3" s="845"/>
      <c r="E3" s="845"/>
      <c r="F3" s="845"/>
      <c r="G3" s="845"/>
      <c r="H3" s="845"/>
      <c r="I3" s="845"/>
      <c r="J3" s="845"/>
      <c r="K3" s="845"/>
      <c r="L3" s="845"/>
      <c r="M3" s="845"/>
      <c r="N3" s="845"/>
      <c r="O3" s="845"/>
      <c r="P3" s="845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52" t="s">
        <v>2</v>
      </c>
      <c r="B5" s="845"/>
      <c r="C5" s="845"/>
      <c r="D5" s="845"/>
      <c r="E5" s="845"/>
      <c r="F5" s="845"/>
      <c r="G5" s="853"/>
      <c r="H5" s="846" t="s">
        <v>3</v>
      </c>
      <c r="I5" s="848" t="s">
        <v>4</v>
      </c>
      <c r="J5" s="849"/>
      <c r="K5" s="847"/>
      <c r="L5" s="850" t="s">
        <v>5</v>
      </c>
      <c r="M5" s="847"/>
      <c r="N5" s="851" t="s">
        <v>6</v>
      </c>
      <c r="O5" s="849"/>
      <c r="P5" s="847"/>
    </row>
    <row r="6" spans="1:26" ht="19.5">
      <c r="A6" s="854"/>
      <c r="B6" s="849"/>
      <c r="C6" s="849"/>
      <c r="D6" s="849"/>
      <c r="E6" s="849"/>
      <c r="F6" s="849"/>
      <c r="G6" s="847"/>
      <c r="H6" s="847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55" t="s">
        <v>15</v>
      </c>
      <c r="B7" s="849"/>
      <c r="C7" s="849"/>
      <c r="D7" s="849"/>
      <c r="E7" s="849"/>
      <c r="F7" s="849"/>
      <c r="G7" s="847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3373639</v>
      </c>
      <c r="M8" s="22">
        <f t="shared" ca="1" si="0"/>
        <v>1963208</v>
      </c>
      <c r="N8" s="22">
        <f t="shared" ca="1" si="0"/>
        <v>793015.26</v>
      </c>
      <c r="O8" s="22">
        <f t="shared" ref="O8:O16" ca="1" si="1">IF(L8&gt;0,N8*100/L8,0)</f>
        <v>23.506227548353571</v>
      </c>
      <c r="P8" s="22">
        <f t="shared" ref="P8:P16" ca="1" si="2">IF(M8&gt;0,N8*100/M8,0)</f>
        <v>40.393848232077296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3373639</v>
      </c>
      <c r="M10" s="30">
        <f t="shared" ca="1" si="3"/>
        <v>1963208</v>
      </c>
      <c r="N10" s="30">
        <f t="shared" ca="1" si="3"/>
        <v>793015.26</v>
      </c>
      <c r="O10" s="30">
        <f t="shared" ca="1" si="1"/>
        <v>23.506227548353571</v>
      </c>
      <c r="P10" s="30">
        <f t="shared" ca="1" si="2"/>
        <v>40.393848232077296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16" t="s">
        <v>12</v>
      </c>
      <c r="I11" s="269"/>
      <c r="J11" s="269"/>
      <c r="K11" s="496"/>
      <c r="L11" s="496">
        <f t="shared" ref="L11:N11" ca="1" si="4">L12+L13</f>
        <v>3209439</v>
      </c>
      <c r="M11" s="496">
        <f t="shared" ca="1" si="4"/>
        <v>1213808</v>
      </c>
      <c r="N11" s="496">
        <f t="shared" ca="1" si="4"/>
        <v>628815.26</v>
      </c>
      <c r="O11" s="496">
        <f t="shared" ca="1" si="1"/>
        <v>19.592684578208218</v>
      </c>
      <c r="P11" s="496">
        <f t="shared" ca="1" si="2"/>
        <v>51.805166879770113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2" t="s">
        <v>18</v>
      </c>
      <c r="F12" s="40"/>
      <c r="G12" s="42"/>
      <c r="H12" s="43" t="s">
        <v>12</v>
      </c>
      <c r="I12" s="610"/>
      <c r="J12" s="610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2" t="s">
        <v>19</v>
      </c>
      <c r="F13" s="40"/>
      <c r="G13" s="42"/>
      <c r="H13" s="43" t="s">
        <v>12</v>
      </c>
      <c r="I13" s="610"/>
      <c r="J13" s="610"/>
      <c r="K13" s="93"/>
      <c r="L13" s="93">
        <f t="shared" ca="1" si="5"/>
        <v>3209439</v>
      </c>
      <c r="M13" s="93">
        <f t="shared" ca="1" si="5"/>
        <v>1213808</v>
      </c>
      <c r="N13" s="93">
        <f t="shared" ca="1" si="5"/>
        <v>628815.26</v>
      </c>
      <c r="O13" s="93">
        <f t="shared" ca="1" si="1"/>
        <v>19.592684578208218</v>
      </c>
      <c r="P13" s="93">
        <f t="shared" ca="1" si="2"/>
        <v>51.805166879770113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16" t="s">
        <v>12</v>
      </c>
      <c r="I14" s="269"/>
      <c r="J14" s="269"/>
      <c r="K14" s="496"/>
      <c r="L14" s="496">
        <f t="shared" ref="L14:N14" ca="1" si="6">L15+L16</f>
        <v>164200</v>
      </c>
      <c r="M14" s="496">
        <f t="shared" ca="1" si="6"/>
        <v>749400</v>
      </c>
      <c r="N14" s="496">
        <f t="shared" ca="1" si="6"/>
        <v>164200</v>
      </c>
      <c r="O14" s="496">
        <f t="shared" ca="1" si="1"/>
        <v>100</v>
      </c>
      <c r="P14" s="496">
        <f t="shared" ca="1" si="2"/>
        <v>21.910862022951694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2" t="s">
        <v>18</v>
      </c>
      <c r="F15" s="40"/>
      <c r="G15" s="42"/>
      <c r="H15" s="43" t="s">
        <v>12</v>
      </c>
      <c r="I15" s="610"/>
      <c r="J15" s="610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164200</v>
      </c>
      <c r="M16" s="52">
        <f t="shared" ca="1" si="7"/>
        <v>749400</v>
      </c>
      <c r="N16" s="52">
        <f t="shared" ca="1" si="7"/>
        <v>164200</v>
      </c>
      <c r="O16" s="52">
        <f t="shared" ca="1" si="1"/>
        <v>100</v>
      </c>
      <c r="P16" s="52">
        <f t="shared" ca="1" si="2"/>
        <v>21.910862022951694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55" t="s">
        <v>22</v>
      </c>
      <c r="B17" s="849"/>
      <c r="C17" s="849"/>
      <c r="D17" s="849"/>
      <c r="E17" s="849"/>
      <c r="F17" s="849"/>
      <c r="G17" s="847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2634736</v>
      </c>
      <c r="M18" s="22">
        <f t="shared" ca="1" si="8"/>
        <v>1963208</v>
      </c>
      <c r="N18" s="22">
        <f t="shared" ca="1" si="8"/>
        <v>749388.26</v>
      </c>
      <c r="O18" s="22">
        <f t="shared" ref="O18:O26" ca="1" si="9">IF(L18&gt;0,N18*100/L18,0)</f>
        <v>28.44263182345404</v>
      </c>
      <c r="P18" s="22">
        <f t="shared" ref="P18:P26" ca="1" si="10">IF(M18&gt;0,N18*100/M18,0)</f>
        <v>38.171618086315867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2634736</v>
      </c>
      <c r="M20" s="30">
        <f t="shared" ca="1" si="11"/>
        <v>1963208</v>
      </c>
      <c r="N20" s="30">
        <f t="shared" ca="1" si="11"/>
        <v>749388.26</v>
      </c>
      <c r="O20" s="30">
        <f t="shared" ca="1" si="9"/>
        <v>28.44263182345404</v>
      </c>
      <c r="P20" s="30">
        <f t="shared" ca="1" si="10"/>
        <v>38.171618086315867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16" t="s">
        <v>12</v>
      </c>
      <c r="I21" s="269"/>
      <c r="J21" s="269"/>
      <c r="K21" s="496"/>
      <c r="L21" s="496">
        <f t="shared" ref="L21:N21" ca="1" si="12">L22+L23</f>
        <v>2470536</v>
      </c>
      <c r="M21" s="496">
        <f t="shared" ca="1" si="12"/>
        <v>1213808</v>
      </c>
      <c r="N21" s="496">
        <f t="shared" ca="1" si="12"/>
        <v>585188.26</v>
      </c>
      <c r="O21" s="496">
        <f t="shared" ca="1" si="9"/>
        <v>23.68669228054155</v>
      </c>
      <c r="P21" s="496">
        <f t="shared" ca="1" si="10"/>
        <v>48.210941104359172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2" t="s">
        <v>18</v>
      </c>
      <c r="F22" s="40"/>
      <c r="G22" s="42"/>
      <c r="H22" s="43" t="s">
        <v>12</v>
      </c>
      <c r="I22" s="610"/>
      <c r="J22" s="610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2" t="s">
        <v>19</v>
      </c>
      <c r="F23" s="40"/>
      <c r="G23" s="42"/>
      <c r="H23" s="43" t="s">
        <v>12</v>
      </c>
      <c r="I23" s="610"/>
      <c r="J23" s="610"/>
      <c r="K23" s="93"/>
      <c r="L23" s="93">
        <f t="shared" ca="1" si="13"/>
        <v>2470536</v>
      </c>
      <c r="M23" s="93">
        <f t="shared" ca="1" si="13"/>
        <v>1213808</v>
      </c>
      <c r="N23" s="93">
        <f t="shared" ca="1" si="13"/>
        <v>585188.26</v>
      </c>
      <c r="O23" s="93">
        <f t="shared" ca="1" si="9"/>
        <v>23.68669228054155</v>
      </c>
      <c r="P23" s="93">
        <f t="shared" ca="1" si="10"/>
        <v>48.210941104359172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16" t="s">
        <v>12</v>
      </c>
      <c r="I24" s="269"/>
      <c r="J24" s="269"/>
      <c r="K24" s="496"/>
      <c r="L24" s="496">
        <f t="shared" ref="L24:N24" ca="1" si="14">L25+L26</f>
        <v>164200</v>
      </c>
      <c r="M24" s="496">
        <f t="shared" ca="1" si="14"/>
        <v>749400</v>
      </c>
      <c r="N24" s="496">
        <f t="shared" ca="1" si="14"/>
        <v>164200</v>
      </c>
      <c r="O24" s="496">
        <f t="shared" ca="1" si="9"/>
        <v>100</v>
      </c>
      <c r="P24" s="496">
        <f t="shared" ca="1" si="10"/>
        <v>21.910862022951694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2" t="s">
        <v>18</v>
      </c>
      <c r="F25" s="40"/>
      <c r="G25" s="42"/>
      <c r="H25" s="43" t="s">
        <v>12</v>
      </c>
      <c r="I25" s="610"/>
      <c r="J25" s="610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164200</v>
      </c>
      <c r="M26" s="52">
        <f t="shared" ca="1" si="15"/>
        <v>749400</v>
      </c>
      <c r="N26" s="52">
        <f t="shared" ca="1" si="15"/>
        <v>164200</v>
      </c>
      <c r="O26" s="52">
        <f t="shared" ca="1" si="9"/>
        <v>100</v>
      </c>
      <c r="P26" s="52">
        <f t="shared" ca="1" si="10"/>
        <v>21.910862022951694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55" t="s">
        <v>23</v>
      </c>
      <c r="B27" s="849"/>
      <c r="C27" s="849"/>
      <c r="D27" s="849"/>
      <c r="E27" s="849"/>
      <c r="F27" s="849"/>
      <c r="G27" s="847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738903</v>
      </c>
      <c r="M28" s="22">
        <f t="shared" si="16"/>
        <v>0</v>
      </c>
      <c r="N28" s="22">
        <f t="shared" si="16"/>
        <v>43627</v>
      </c>
      <c r="O28" s="22">
        <f t="shared" ref="O28:O37" ca="1" si="17">IF(L28&gt;0,N28*100/L28,0)</f>
        <v>5.904293256354352</v>
      </c>
      <c r="P28" s="22">
        <f t="shared" ref="P28:P37" si="18">IF(M28&gt;0,N28*100/M28,0)</f>
        <v>0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738903</v>
      </c>
      <c r="M30" s="30">
        <f t="shared" si="19"/>
        <v>0</v>
      </c>
      <c r="N30" s="30">
        <f t="shared" si="19"/>
        <v>43627</v>
      </c>
      <c r="O30" s="30">
        <f t="shared" ca="1" si="17"/>
        <v>5.904293256354352</v>
      </c>
      <c r="P30" s="30">
        <f t="shared" si="18"/>
        <v>0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16" t="s">
        <v>12</v>
      </c>
      <c r="I31" s="269"/>
      <c r="J31" s="269"/>
      <c r="K31" s="496"/>
      <c r="L31" s="496">
        <f t="shared" ref="L31:N31" ca="1" si="20">L32+L33</f>
        <v>738903</v>
      </c>
      <c r="M31" s="496">
        <f t="shared" si="20"/>
        <v>0</v>
      </c>
      <c r="N31" s="496">
        <f t="shared" si="20"/>
        <v>43627</v>
      </c>
      <c r="O31" s="496">
        <f t="shared" ca="1" si="17"/>
        <v>5.904293256354352</v>
      </c>
      <c r="P31" s="496">
        <f t="shared" si="18"/>
        <v>0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2" t="s">
        <v>18</v>
      </c>
      <c r="F32" s="40"/>
      <c r="G32" s="42"/>
      <c r="H32" s="43" t="s">
        <v>12</v>
      </c>
      <c r="I32" s="610"/>
      <c r="J32" s="610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2" t="s">
        <v>19</v>
      </c>
      <c r="F33" s="40"/>
      <c r="G33" s="42"/>
      <c r="H33" s="43" t="s">
        <v>12</v>
      </c>
      <c r="I33" s="610"/>
      <c r="J33" s="610"/>
      <c r="K33" s="93"/>
      <c r="L33" s="93">
        <f t="shared" ca="1" si="21"/>
        <v>738903</v>
      </c>
      <c r="M33" s="93">
        <f t="shared" si="21"/>
        <v>0</v>
      </c>
      <c r="N33" s="93">
        <f t="shared" si="21"/>
        <v>43627</v>
      </c>
      <c r="O33" s="93">
        <f t="shared" ca="1" si="17"/>
        <v>5.904293256354352</v>
      </c>
      <c r="P33" s="93">
        <f t="shared" si="18"/>
        <v>0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16" t="s">
        <v>12</v>
      </c>
      <c r="I34" s="269"/>
      <c r="J34" s="269"/>
      <c r="K34" s="496"/>
      <c r="L34" s="496">
        <f t="shared" ref="L34:N34" ca="1" si="22">L35+L36</f>
        <v>0</v>
      </c>
      <c r="M34" s="496">
        <f t="shared" si="22"/>
        <v>0</v>
      </c>
      <c r="N34" s="496">
        <f t="shared" si="22"/>
        <v>0</v>
      </c>
      <c r="O34" s="496">
        <f t="shared" ca="1" si="17"/>
        <v>0</v>
      </c>
      <c r="P34" s="496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2" t="s">
        <v>18</v>
      </c>
      <c r="F35" s="40"/>
      <c r="G35" s="42"/>
      <c r="H35" s="43" t="s">
        <v>12</v>
      </c>
      <c r="I35" s="610"/>
      <c r="J35" s="610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53" t="s">
        <v>24</v>
      </c>
      <c r="B37" s="54"/>
      <c r="C37" s="54"/>
      <c r="D37" s="54"/>
      <c r="E37" s="54"/>
      <c r="F37" s="54"/>
      <c r="G37" s="55"/>
      <c r="H37" s="56"/>
      <c r="I37" s="423"/>
      <c r="J37" s="423"/>
      <c r="K37" s="58"/>
      <c r="L37" s="59">
        <f t="shared" ref="L37:N37" ca="1" si="24">L41+L53+L66+L88+L119+L132+L149+L165+L181+L261+L277+L298+L315+L328+L345+L389+L402</f>
        <v>2634736</v>
      </c>
      <c r="M37" s="59">
        <f t="shared" ca="1" si="24"/>
        <v>1963208</v>
      </c>
      <c r="N37" s="59">
        <f t="shared" ca="1" si="24"/>
        <v>749388.26</v>
      </c>
      <c r="O37" s="59">
        <f t="shared" ca="1" si="17"/>
        <v>28.44263182345404</v>
      </c>
      <c r="P37" s="59">
        <f t="shared" ca="1" si="18"/>
        <v>38.171618086315867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56" t="s">
        <v>27</v>
      </c>
      <c r="C40" s="857"/>
      <c r="D40" s="857"/>
      <c r="E40" s="857"/>
      <c r="F40" s="857"/>
      <c r="G40" s="858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20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299096</v>
      </c>
      <c r="M41" s="85">
        <f t="shared" ca="1" si="25"/>
        <v>152138</v>
      </c>
      <c r="N41" s="85">
        <f t="shared" ca="1" si="25"/>
        <v>108613</v>
      </c>
      <c r="O41" s="85">
        <f t="shared" ref="O41:O49" ca="1" si="26">IF(L41&gt;0,N41*100/L41,0)</f>
        <v>36.313758793163402</v>
      </c>
      <c r="P41" s="85">
        <f t="shared" ref="P41:P49" ca="1" si="27">IF(M41&gt;0,N41*100/M41,0)</f>
        <v>71.391105443741864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299096</v>
      </c>
      <c r="M43" s="92">
        <f t="shared" ca="1" si="28"/>
        <v>152138</v>
      </c>
      <c r="N43" s="92">
        <f t="shared" ca="1" si="28"/>
        <v>108613</v>
      </c>
      <c r="O43" s="92">
        <f t="shared" ca="1" si="26"/>
        <v>36.313758793163402</v>
      </c>
      <c r="P43" s="92">
        <f t="shared" ca="1" si="27"/>
        <v>71.391105443741864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16" t="s">
        <v>12</v>
      </c>
      <c r="I44" s="269"/>
      <c r="J44" s="269"/>
      <c r="K44" s="496"/>
      <c r="L44" s="496">
        <f t="shared" ref="L44:N44" ca="1" si="29">L45+L46</f>
        <v>299096</v>
      </c>
      <c r="M44" s="496">
        <f t="shared" ca="1" si="29"/>
        <v>152138</v>
      </c>
      <c r="N44" s="496">
        <f t="shared" ca="1" si="29"/>
        <v>108613</v>
      </c>
      <c r="O44" s="496">
        <f t="shared" ca="1" si="26"/>
        <v>36.313758793163402</v>
      </c>
      <c r="P44" s="496">
        <f t="shared" ca="1" si="27"/>
        <v>71.391105443741864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2" t="s">
        <v>18</v>
      </c>
      <c r="F45" s="40"/>
      <c r="G45" s="42"/>
      <c r="H45" s="43" t="s">
        <v>12</v>
      </c>
      <c r="I45" s="610"/>
      <c r="J45" s="610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2" t="s">
        <v>19</v>
      </c>
      <c r="F46" s="40"/>
      <c r="G46" s="42"/>
      <c r="H46" s="43" t="s">
        <v>12</v>
      </c>
      <c r="I46" s="610"/>
      <c r="J46" s="610"/>
      <c r="K46" s="93"/>
      <c r="L46" s="93">
        <f ca="1">IFERROR(__xludf.DUMMYFUNCTION("IMPORTRANGE(""https://docs.google.com/spreadsheets/d/1MeEWN-I1oV_STSDYn1IFDPWt_1FKiwhDph83XaGc0o0/edit?usp=sharing"",""งบพรบ!M54"")"),299096)</f>
        <v>299096</v>
      </c>
      <c r="M46" s="93">
        <f ca="1">IFERROR(__xludf.DUMMYFUNCTION("IMPORTRANGE(""https://docs.google.com/spreadsheets/d/1MeEWN-I1oV_STSDYn1IFDPWt_1FKiwhDph83XaGc0o0/edit?usp=sharing"",""งบพรบ!R54"")"),152138)</f>
        <v>152138</v>
      </c>
      <c r="N46" s="93">
        <f ca="1">IFERROR(__xludf.DUMMYFUNCTION("IMPORTRANGE(""https://docs.google.com/spreadsheets/d/1MeEWN-I1oV_STSDYn1IFDPWt_1FKiwhDph83XaGc0o0/edit?usp=sharing"",""งบพรบ!T54"")"),108613)</f>
        <v>108613</v>
      </c>
      <c r="O46" s="93">
        <f t="shared" ca="1" si="26"/>
        <v>36.313758793163402</v>
      </c>
      <c r="P46" s="93">
        <f t="shared" ca="1" si="27"/>
        <v>71.391105443741864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16" t="s">
        <v>12</v>
      </c>
      <c r="I47" s="269"/>
      <c r="J47" s="269"/>
      <c r="K47" s="496"/>
      <c r="L47" s="496">
        <f t="shared" ref="L47:N47" ca="1" si="30">L48+L49</f>
        <v>0</v>
      </c>
      <c r="M47" s="496">
        <f t="shared" ca="1" si="30"/>
        <v>0</v>
      </c>
      <c r="N47" s="496">
        <f t="shared" ca="1" si="30"/>
        <v>0</v>
      </c>
      <c r="O47" s="496">
        <f t="shared" ca="1" si="26"/>
        <v>0</v>
      </c>
      <c r="P47" s="496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2" t="s">
        <v>18</v>
      </c>
      <c r="F48" s="40"/>
      <c r="G48" s="42"/>
      <c r="H48" s="43" t="s">
        <v>12</v>
      </c>
      <c r="I48" s="610"/>
      <c r="J48" s="610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IFERROR(__xludf.DUMMYFUNCTION("IMPORTRANGE(""https://docs.google.com/spreadsheets/d/1MeEWN-I1oV_STSDYn1IFDPWt_1FKiwhDph83XaGc0o0/edit?usp=sharing"",""งบพรบ!P54"")"),0)</f>
        <v>0</v>
      </c>
      <c r="M49" s="52">
        <f ca="1">IFERROR(__xludf.DUMMYFUNCTION("IMPORTRANGE(""https://docs.google.com/spreadsheets/d/1MeEWN-I1oV_STSDYn1IFDPWt_1FKiwhDph83XaGc0o0/edit?usp=sharing"",""งบพรบ!S54"")"),0)</f>
        <v>0</v>
      </c>
      <c r="N49" s="52">
        <f ca="1">IFERROR(__xludf.DUMMYFUNCTION("IMPORTRANGE(""https://docs.google.com/spreadsheets/d/1MeEWN-I1oV_STSDYn1IFDPWt_1FKiwhDph83XaGc0o0/edit?usp=sharing"",""งบพรบ!U54"")"),0)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59" t="s">
        <v>28</v>
      </c>
      <c r="B50" s="849"/>
      <c r="C50" s="849"/>
      <c r="D50" s="849"/>
      <c r="E50" s="849"/>
      <c r="F50" s="849"/>
      <c r="G50" s="847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60" t="s">
        <v>29</v>
      </c>
      <c r="C51" s="857"/>
      <c r="D51" s="857"/>
      <c r="E51" s="857"/>
      <c r="F51" s="857"/>
      <c r="G51" s="858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21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617200</v>
      </c>
      <c r="M53" s="116">
        <f t="shared" ca="1" si="31"/>
        <v>893800</v>
      </c>
      <c r="N53" s="116">
        <f t="shared" ca="1" si="31"/>
        <v>150621.26</v>
      </c>
      <c r="O53" s="116">
        <f t="shared" ref="O53:O61" ca="1" si="32">IF(L53&gt;0,N53*100/L53,0)</f>
        <v>24.403963058976021</v>
      </c>
      <c r="P53" s="116">
        <f t="shared" ref="P53:P61" ca="1" si="33">IF(M53&gt;0,N53*100/M53,0)</f>
        <v>16.851785634370106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617200</v>
      </c>
      <c r="M55" s="123">
        <f t="shared" ca="1" si="34"/>
        <v>893800</v>
      </c>
      <c r="N55" s="123">
        <f t="shared" ca="1" si="34"/>
        <v>150621.26</v>
      </c>
      <c r="O55" s="123">
        <f t="shared" ca="1" si="32"/>
        <v>24.403963058976021</v>
      </c>
      <c r="P55" s="123">
        <f t="shared" ca="1" si="33"/>
        <v>16.851785634370106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16" t="s">
        <v>12</v>
      </c>
      <c r="I56" s="269"/>
      <c r="J56" s="269"/>
      <c r="K56" s="496"/>
      <c r="L56" s="496">
        <f t="shared" ref="L56:N56" ca="1" si="35">L57+L58</f>
        <v>617200</v>
      </c>
      <c r="M56" s="496">
        <f t="shared" ca="1" si="35"/>
        <v>308600</v>
      </c>
      <c r="N56" s="496">
        <f t="shared" ca="1" si="35"/>
        <v>150621.26</v>
      </c>
      <c r="O56" s="496">
        <f t="shared" ca="1" si="32"/>
        <v>24.403963058976021</v>
      </c>
      <c r="P56" s="496">
        <f t="shared" ca="1" si="33"/>
        <v>48.807926117952043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2" t="s">
        <v>18</v>
      </c>
      <c r="F57" s="40"/>
      <c r="G57" s="42"/>
      <c r="H57" s="43" t="s">
        <v>12</v>
      </c>
      <c r="I57" s="610"/>
      <c r="J57" s="610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2" t="s">
        <v>19</v>
      </c>
      <c r="F58" s="40"/>
      <c r="G58" s="42"/>
      <c r="H58" s="43" t="s">
        <v>12</v>
      </c>
      <c r="I58" s="610"/>
      <c r="J58" s="610"/>
      <c r="K58" s="93"/>
      <c r="L58" s="93">
        <f ca="1">IFERROR(__xludf.DUMMYFUNCTION("IMPORTRANGE(""https://docs.google.com/spreadsheets/d/1MeEWN-I1oV_STSDYn1IFDPWt_1FKiwhDph83XaGc0o0/edit?usp=sharing"",""งบพรบ!W54"")"),617200)</f>
        <v>617200</v>
      </c>
      <c r="M58" s="93">
        <f ca="1">IFERROR(__xludf.DUMMYFUNCTION("IMPORTRANGE(""https://docs.google.com/spreadsheets/d/1MeEWN-I1oV_STSDYn1IFDPWt_1FKiwhDph83XaGc0o0/edit?usp=sharing"",""งบพรบ!AB54"")"),308600)</f>
        <v>308600</v>
      </c>
      <c r="N58" s="93">
        <f ca="1">IFERROR(__xludf.DUMMYFUNCTION("IMPORTRANGE(""https://docs.google.com/spreadsheets/d/1MeEWN-I1oV_STSDYn1IFDPWt_1FKiwhDph83XaGc0o0/edit?usp=sharing"",""งบพรบ!AD54"")"),150621.26)</f>
        <v>150621.26</v>
      </c>
      <c r="O58" s="93">
        <f t="shared" ca="1" si="32"/>
        <v>24.403963058976021</v>
      </c>
      <c r="P58" s="93">
        <f t="shared" ca="1" si="33"/>
        <v>48.807926117952043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16" t="s">
        <v>12</v>
      </c>
      <c r="I59" s="269"/>
      <c r="J59" s="269"/>
      <c r="K59" s="496"/>
      <c r="L59" s="496">
        <f t="shared" ref="L59:N59" ca="1" si="36">L60+L61</f>
        <v>0</v>
      </c>
      <c r="M59" s="496">
        <f t="shared" ca="1" si="36"/>
        <v>585200</v>
      </c>
      <c r="N59" s="496">
        <f t="shared" ca="1" si="36"/>
        <v>0</v>
      </c>
      <c r="O59" s="496">
        <f t="shared" ca="1" si="32"/>
        <v>0</v>
      </c>
      <c r="P59" s="496">
        <f t="shared" ca="1" si="33"/>
        <v>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2" t="s">
        <v>18</v>
      </c>
      <c r="F60" s="40"/>
      <c r="G60" s="42"/>
      <c r="H60" s="43" t="s">
        <v>12</v>
      </c>
      <c r="I60" s="610"/>
      <c r="J60" s="610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IFERROR(__xludf.DUMMYFUNCTION("IMPORTRANGE(""https://docs.google.com/spreadsheets/d/1MeEWN-I1oV_STSDYn1IFDPWt_1FKiwhDph83XaGc0o0/edit?usp=sharing"",""งบพรบ!Z54"")"),0)</f>
        <v>0</v>
      </c>
      <c r="M61" s="52">
        <f ca="1">IFERROR(__xludf.DUMMYFUNCTION("IMPORTRANGE(""https://docs.google.com/spreadsheets/d/1MeEWN-I1oV_STSDYn1IFDPWt_1FKiwhDph83XaGc0o0/edit?usp=sharing"",""งบพรบ!AC54"")"),585200)</f>
        <v>585200</v>
      </c>
      <c r="N61" s="52">
        <f ca="1">IFERROR(__xludf.DUMMYFUNCTION("IMPORTRANGE(""https://docs.google.com/spreadsheets/d/1MeEWN-I1oV_STSDYn1IFDPWt_1FKiwhDph83XaGc0o0/edit?usp=sharing"",""งบพรบ!AE54"")"),0)</f>
        <v>0</v>
      </c>
      <c r="O61" s="52">
        <f t="shared" ca="1" si="32"/>
        <v>0</v>
      </c>
      <c r="P61" s="52">
        <f t="shared" ca="1" si="33"/>
        <v>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 hidden="1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 hidden="1">
      <c r="A64" s="138"/>
      <c r="B64" s="208" t="s">
        <v>33</v>
      </c>
      <c r="C64" s="140"/>
      <c r="D64" s="141"/>
      <c r="E64" s="140"/>
      <c r="F64" s="140"/>
      <c r="G64" s="142"/>
      <c r="H64" s="143" t="s">
        <v>34</v>
      </c>
      <c r="I64" s="144">
        <f t="shared" ref="I64:J65" ca="1" si="37">I76</f>
        <v>0</v>
      </c>
      <c r="J64" s="144">
        <f t="shared" si="37"/>
        <v>0</v>
      </c>
      <c r="K64" s="145">
        <f t="shared" ref="K64:K65" ca="1" si="38">IF(I64&gt;0,J64*100/I64,0)</f>
        <v>0</v>
      </c>
      <c r="L64" s="146"/>
      <c r="M64" s="146"/>
      <c r="N64" s="146"/>
      <c r="O64" s="146"/>
      <c r="P64" s="146"/>
    </row>
    <row r="65" spans="1:26" ht="19.5" hidden="1">
      <c r="A65" s="138"/>
      <c r="B65" s="140"/>
      <c r="C65" s="140"/>
      <c r="D65" s="141"/>
      <c r="E65" s="140"/>
      <c r="F65" s="140"/>
      <c r="G65" s="142"/>
      <c r="H65" s="143" t="s">
        <v>35</v>
      </c>
      <c r="I65" s="144">
        <f t="shared" ca="1" si="37"/>
        <v>0</v>
      </c>
      <c r="J65" s="144">
        <f t="shared" si="37"/>
        <v>0</v>
      </c>
      <c r="K65" s="145">
        <f t="shared" ca="1" si="38"/>
        <v>0</v>
      </c>
      <c r="L65" s="146"/>
      <c r="M65" s="146"/>
      <c r="N65" s="146"/>
      <c r="O65" s="146"/>
      <c r="P65" s="146"/>
    </row>
    <row r="66" spans="1:26" ht="19.5" hidden="1">
      <c r="A66" s="147"/>
      <c r="B66" s="148"/>
      <c r="C66" s="149" t="s">
        <v>16</v>
      </c>
      <c r="D66" s="822" t="s">
        <v>17</v>
      </c>
      <c r="E66" s="148"/>
      <c r="F66" s="148"/>
      <c r="G66" s="151"/>
      <c r="H66" s="152" t="s">
        <v>12</v>
      </c>
      <c r="I66" s="419"/>
      <c r="J66" s="419"/>
      <c r="K66" s="154"/>
      <c r="L66" s="155">
        <f t="shared" ref="L66:N66" ca="1" si="39">L67+L68</f>
        <v>0</v>
      </c>
      <c r="M66" s="155">
        <f t="shared" ca="1" si="39"/>
        <v>0</v>
      </c>
      <c r="N66" s="155">
        <f t="shared" ca="1" si="39"/>
        <v>0</v>
      </c>
      <c r="O66" s="155">
        <f t="shared" ref="O66:O74" ca="1" si="40">IF(L66&gt;0,N66*100/L66,0)</f>
        <v>0</v>
      </c>
      <c r="P66" s="155">
        <f t="shared" ref="P66:P74" ca="1" si="41">IF(M66&gt;0,N66*100/M66,0)</f>
        <v>0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2" t="s">
        <v>18</v>
      </c>
      <c r="F67" s="40"/>
      <c r="G67" s="157"/>
      <c r="H67" s="158" t="s">
        <v>12</v>
      </c>
      <c r="I67" s="610"/>
      <c r="J67" s="610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2" t="s">
        <v>19</v>
      </c>
      <c r="F68" s="40"/>
      <c r="G68" s="157"/>
      <c r="H68" s="158" t="s">
        <v>12</v>
      </c>
      <c r="I68" s="610"/>
      <c r="J68" s="610"/>
      <c r="K68" s="93"/>
      <c r="L68" s="93">
        <f t="shared" ca="1" si="42"/>
        <v>0</v>
      </c>
      <c r="M68" s="93">
        <f t="shared" ca="1" si="42"/>
        <v>0</v>
      </c>
      <c r="N68" s="93">
        <f t="shared" ca="1" si="42"/>
        <v>0</v>
      </c>
      <c r="O68" s="93">
        <f t="shared" ca="1" si="40"/>
        <v>0</v>
      </c>
      <c r="P68" s="93">
        <f t="shared" ca="1" si="41"/>
        <v>0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 hidden="1">
      <c r="A69" s="159"/>
      <c r="B69" s="33"/>
      <c r="C69" s="281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6">
        <f t="shared" ref="L69:N69" ca="1" si="43">L70+L71</f>
        <v>0</v>
      </c>
      <c r="M69" s="496">
        <f t="shared" ca="1" si="43"/>
        <v>0</v>
      </c>
      <c r="N69" s="496">
        <f t="shared" ca="1" si="43"/>
        <v>0</v>
      </c>
      <c r="O69" s="496">
        <f t="shared" ca="1" si="40"/>
        <v>0</v>
      </c>
      <c r="P69" s="496">
        <f t="shared" ca="1" si="41"/>
        <v>0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2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2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IFERROR(__xludf.DUMMYFUNCTION("IMPORTRANGE(""https://docs.google.com/spreadsheets/d/1MeEWN-I1oV_STSDYn1IFDPWt_1FKiwhDph83XaGc0o0/edit?usp=sharing"",""งบพรบ!AG54"")"),0)</f>
        <v>0</v>
      </c>
      <c r="M71" s="93">
        <f ca="1">IFERROR(__xludf.DUMMYFUNCTION("IMPORTRANGE(""https://docs.google.com/spreadsheets/d/1MeEWN-I1oV_STSDYn1IFDPWt_1FKiwhDph83XaGc0o0/edit?usp=sharing"",""งบพรบ!AL54"")"),0)</f>
        <v>0</v>
      </c>
      <c r="N71" s="93">
        <f ca="1">IFERROR(__xludf.DUMMYFUNCTION("IMPORTRANGE(""https://docs.google.com/spreadsheets/d/1MeEWN-I1oV_STSDYn1IFDPWt_1FKiwhDph83XaGc0o0/edit?usp=sharing"",""งบพรบ!AN54"")"),0)</f>
        <v>0</v>
      </c>
      <c r="O71" s="93">
        <f t="shared" ca="1" si="40"/>
        <v>0</v>
      </c>
      <c r="P71" s="93">
        <f t="shared" ca="1" si="41"/>
        <v>0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 hidden="1">
      <c r="A72" s="159"/>
      <c r="B72" s="33"/>
      <c r="C72" s="281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6">
        <f t="shared" ref="L72:N72" ca="1" si="44">L73+L74</f>
        <v>0</v>
      </c>
      <c r="M72" s="496">
        <f t="shared" ca="1" si="44"/>
        <v>0</v>
      </c>
      <c r="N72" s="496">
        <f t="shared" ca="1" si="44"/>
        <v>0</v>
      </c>
      <c r="O72" s="496">
        <f t="shared" ca="1" si="40"/>
        <v>0</v>
      </c>
      <c r="P72" s="496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2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2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IFERROR(__xludf.DUMMYFUNCTION("IMPORTRANGE(""https://docs.google.com/spreadsheets/d/1MeEWN-I1oV_STSDYn1IFDPWt_1FKiwhDph83XaGc0o0/edit?usp=sharing"",""งบพรบ!AJ54"")"),0)</f>
        <v>0</v>
      </c>
      <c r="M74" s="93">
        <f ca="1">IFERROR(__xludf.DUMMYFUNCTION("IMPORTRANGE(""https://docs.google.com/spreadsheets/d/1MeEWN-I1oV_STSDYn1IFDPWt_1FKiwhDph83XaGc0o0/edit?usp=sharing"",""งบพรบ!AM54"")"),0)</f>
        <v>0</v>
      </c>
      <c r="N74" s="93">
        <f ca="1">IFERROR(__xludf.DUMMYFUNCTION("IMPORTRANGE(""https://docs.google.com/spreadsheets/d/1MeEWN-I1oV_STSDYn1IFDPWt_1FKiwhDph83XaGc0o0/edit?usp=sharing"",""งบพรบ!AO54"")"),0)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 hidden="1">
      <c r="A75" s="170"/>
      <c r="B75" s="171"/>
      <c r="C75" s="164" t="s">
        <v>16</v>
      </c>
      <c r="D75" s="823" t="s">
        <v>38</v>
      </c>
      <c r="E75" s="173"/>
      <c r="F75" s="173"/>
      <c r="G75" s="174"/>
      <c r="H75" s="753"/>
      <c r="I75" s="184"/>
      <c r="J75" s="184"/>
      <c r="K75" s="163"/>
      <c r="L75" s="163"/>
      <c r="M75" s="163"/>
      <c r="N75" s="163"/>
      <c r="O75" s="163"/>
      <c r="P75" s="163"/>
    </row>
    <row r="76" spans="1:26" ht="19.5" hidden="1">
      <c r="A76" s="170"/>
      <c r="B76" s="171"/>
      <c r="C76" s="171"/>
      <c r="D76" s="176" t="s">
        <v>39</v>
      </c>
      <c r="E76" s="446"/>
      <c r="F76" s="178"/>
      <c r="G76" s="179"/>
      <c r="H76" s="180" t="s">
        <v>34</v>
      </c>
      <c r="I76" s="269">
        <f t="shared" ref="I76:J77" ca="1" si="45">I78+I80+I82</f>
        <v>0</v>
      </c>
      <c r="J76" s="269">
        <f t="shared" si="45"/>
        <v>0</v>
      </c>
      <c r="K76" s="163">
        <f t="shared" ref="K76:K84" ca="1" si="46">IF(I76&gt;0,J76*100/I76,0)</f>
        <v>0</v>
      </c>
      <c r="L76" s="163"/>
      <c r="M76" s="163"/>
      <c r="N76" s="163"/>
      <c r="O76" s="163"/>
      <c r="P76" s="163"/>
    </row>
    <row r="77" spans="1:26" ht="19.5" hidden="1">
      <c r="A77" s="170"/>
      <c r="B77" s="171"/>
      <c r="C77" s="171"/>
      <c r="D77" s="171"/>
      <c r="E77" s="178"/>
      <c r="F77" s="178"/>
      <c r="G77" s="179"/>
      <c r="H77" s="180" t="s">
        <v>35</v>
      </c>
      <c r="I77" s="269">
        <f t="shared" ca="1" si="45"/>
        <v>0</v>
      </c>
      <c r="J77" s="269">
        <f t="shared" si="45"/>
        <v>0</v>
      </c>
      <c r="K77" s="163">
        <f t="shared" ca="1" si="46"/>
        <v>0</v>
      </c>
      <c r="L77" s="163"/>
      <c r="M77" s="163"/>
      <c r="N77" s="163"/>
      <c r="O77" s="163"/>
      <c r="P77" s="163"/>
    </row>
    <row r="78" spans="1:26" ht="18.75" hidden="1">
      <c r="A78" s="170"/>
      <c r="B78" s="171"/>
      <c r="C78" s="171"/>
      <c r="D78" s="171"/>
      <c r="E78" s="446" t="s">
        <v>40</v>
      </c>
      <c r="F78" s="446"/>
      <c r="G78" s="179"/>
      <c r="H78" s="755" t="s">
        <v>34</v>
      </c>
      <c r="I78" s="184">
        <f ca="1">IFERROR(__xludf.DUMMYFUNCTION("IMPORTRANGE(""https://docs.google.com/spreadsheets/d/1QqKyyYR6Q21VydFLVH3TRQUabQu_ym0Zz7PgGX0-kHA/edit?usp=sharing"",""แผน!H54"")"),0)</f>
        <v>0</v>
      </c>
      <c r="J78" s="214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 hidden="1">
      <c r="A79" s="170"/>
      <c r="B79" s="171"/>
      <c r="C79" s="171"/>
      <c r="D79" s="171"/>
      <c r="E79" s="178"/>
      <c r="F79" s="178"/>
      <c r="G79" s="179"/>
      <c r="H79" s="755" t="s">
        <v>35</v>
      </c>
      <c r="I79" s="184">
        <f ca="1">IFERROR(__xludf.DUMMYFUNCTION("IMPORTRANGE(""https://docs.google.com/spreadsheets/d/1QqKyyYR6Q21VydFLVH3TRQUabQu_ym0Zz7PgGX0-kHA/edit?usp=sharing"",""แผน!I54"")"),0)</f>
        <v>0</v>
      </c>
      <c r="J79" s="214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 hidden="1">
      <c r="A80" s="170"/>
      <c r="B80" s="171"/>
      <c r="C80" s="171"/>
      <c r="D80" s="171"/>
      <c r="E80" s="446" t="s">
        <v>41</v>
      </c>
      <c r="F80" s="446"/>
      <c r="G80" s="179"/>
      <c r="H80" s="755" t="s">
        <v>34</v>
      </c>
      <c r="I80" s="184">
        <f ca="1">IFERROR(__xludf.DUMMYFUNCTION("IMPORTRANGE(""https://docs.google.com/spreadsheets/d/1QqKyyYR6Q21VydFLVH3TRQUabQu_ym0Zz7PgGX0-kHA/edit?usp=sharing"",""แผน!F54"")"),0)</f>
        <v>0</v>
      </c>
      <c r="J80" s="214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 hidden="1">
      <c r="A81" s="170"/>
      <c r="B81" s="171"/>
      <c r="C81" s="171"/>
      <c r="D81" s="171"/>
      <c r="E81" s="178"/>
      <c r="F81" s="178"/>
      <c r="G81" s="179"/>
      <c r="H81" s="755" t="s">
        <v>35</v>
      </c>
      <c r="I81" s="184">
        <f ca="1">IFERROR(__xludf.DUMMYFUNCTION("IMPORTRANGE(""https://docs.google.com/spreadsheets/d/1QqKyyYR6Q21VydFLVH3TRQUabQu_ym0Zz7PgGX0-kHA/edit?usp=sharing"",""แผน!G54"")"),0)</f>
        <v>0</v>
      </c>
      <c r="J81" s="214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 hidden="1">
      <c r="A82" s="170"/>
      <c r="B82" s="171"/>
      <c r="C82" s="171"/>
      <c r="D82" s="171"/>
      <c r="E82" s="446" t="s">
        <v>42</v>
      </c>
      <c r="F82" s="446"/>
      <c r="G82" s="179"/>
      <c r="H82" s="755" t="s">
        <v>34</v>
      </c>
      <c r="I82" s="184">
        <f ca="1">IFERROR(__xludf.DUMMYFUNCTION("IMPORTRANGE(""https://docs.google.com/spreadsheets/d/1QqKyyYR6Q21VydFLVH3TRQUabQu_ym0Zz7PgGX0-kHA/edit?usp=sharing"",""แผน!D54"")"),0)</f>
        <v>0</v>
      </c>
      <c r="J82" s="214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 hidden="1">
      <c r="A83" s="170"/>
      <c r="B83" s="171"/>
      <c r="C83" s="171"/>
      <c r="D83" s="171"/>
      <c r="E83" s="178"/>
      <c r="F83" s="178"/>
      <c r="G83" s="179"/>
      <c r="H83" s="755" t="s">
        <v>35</v>
      </c>
      <c r="I83" s="184">
        <f ca="1">IFERROR(__xludf.DUMMYFUNCTION("IMPORTRANGE(""https://docs.google.com/spreadsheets/d/1QqKyyYR6Q21VydFLVH3TRQUabQu_ym0Zz7PgGX0-kHA/edit?usp=sharing"",""แผน!E54"")"),0)</f>
        <v>0</v>
      </c>
      <c r="J83" s="214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 hidden="1">
      <c r="A84" s="170"/>
      <c r="B84" s="171"/>
      <c r="C84" s="171"/>
      <c r="D84" s="176" t="s">
        <v>43</v>
      </c>
      <c r="E84" s="446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IFERROR(__xludf.DUMMYFUNCTION("IMPORTRANGE(""https://docs.google.com/spreadsheets/d/1QqKyyYR6Q21VydFLVH3TRQUabQu_ym0Zz7PgGX0-kHA/edit?usp=sharing"",""แผน!J54"")"),0)</f>
        <v>0</v>
      </c>
      <c r="J84" s="214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8" t="s">
        <v>45</v>
      </c>
      <c r="C86" s="140"/>
      <c r="D86" s="141"/>
      <c r="E86" s="140"/>
      <c r="F86" s="140"/>
      <c r="G86" s="142"/>
      <c r="H86" s="143" t="s">
        <v>46</v>
      </c>
      <c r="I86" s="144">
        <f t="shared" ref="I86:J87" ca="1" si="47">I98</f>
        <v>30</v>
      </c>
      <c r="J86" s="144">
        <f t="shared" si="47"/>
        <v>0</v>
      </c>
      <c r="K86" s="145">
        <f t="shared" ref="K86:K87" ca="1" si="48">IF(I86&gt;0,J86*100/I86,0)</f>
        <v>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143" t="s">
        <v>35</v>
      </c>
      <c r="I87" s="144">
        <f t="shared" ca="1" si="47"/>
        <v>10</v>
      </c>
      <c r="J87" s="144">
        <f t="shared" si="47"/>
        <v>0</v>
      </c>
      <c r="K87" s="145">
        <f t="shared" ca="1" si="48"/>
        <v>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22" t="s">
        <v>17</v>
      </c>
      <c r="E88" s="148"/>
      <c r="F88" s="148"/>
      <c r="G88" s="151"/>
      <c r="H88" s="152" t="s">
        <v>12</v>
      </c>
      <c r="I88" s="419"/>
      <c r="J88" s="419"/>
      <c r="K88" s="154"/>
      <c r="L88" s="155">
        <f t="shared" ref="L88:N88" ca="1" si="49">L89+L90</f>
        <v>378840</v>
      </c>
      <c r="M88" s="155">
        <f t="shared" ca="1" si="49"/>
        <v>161840</v>
      </c>
      <c r="N88" s="155">
        <f t="shared" ca="1" si="49"/>
        <v>119599</v>
      </c>
      <c r="O88" s="155">
        <f t="shared" ref="O88:O96" ca="1" si="50">IF(L88&gt;0,N88*100/L88,0)</f>
        <v>31.569791996621266</v>
      </c>
      <c r="P88" s="155">
        <f t="shared" ref="P88:P96" ca="1" si="51">IF(M88&gt;0,N88*100/M88,0)</f>
        <v>73.899530400395449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2" t="s">
        <v>18</v>
      </c>
      <c r="F89" s="40"/>
      <c r="G89" s="157"/>
      <c r="H89" s="158" t="s">
        <v>12</v>
      </c>
      <c r="I89" s="610"/>
      <c r="J89" s="610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2" t="s">
        <v>19</v>
      </c>
      <c r="F90" s="40"/>
      <c r="G90" s="157"/>
      <c r="H90" s="158" t="s">
        <v>12</v>
      </c>
      <c r="I90" s="610"/>
      <c r="J90" s="610"/>
      <c r="K90" s="93"/>
      <c r="L90" s="93">
        <f t="shared" ca="1" si="52"/>
        <v>378840</v>
      </c>
      <c r="M90" s="93">
        <f t="shared" ca="1" si="52"/>
        <v>161840</v>
      </c>
      <c r="N90" s="93">
        <f t="shared" ca="1" si="52"/>
        <v>119599</v>
      </c>
      <c r="O90" s="93">
        <f t="shared" ca="1" si="50"/>
        <v>31.569791996621266</v>
      </c>
      <c r="P90" s="93">
        <f t="shared" ca="1" si="51"/>
        <v>73.899530400395449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1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6">
        <f t="shared" ref="L91:N91" ca="1" si="53">L92+L93</f>
        <v>378840</v>
      </c>
      <c r="M91" s="496">
        <f t="shared" ca="1" si="53"/>
        <v>161840</v>
      </c>
      <c r="N91" s="496">
        <f t="shared" ca="1" si="53"/>
        <v>119599</v>
      </c>
      <c r="O91" s="496">
        <f t="shared" ca="1" si="50"/>
        <v>31.569791996621266</v>
      </c>
      <c r="P91" s="496">
        <f t="shared" ca="1" si="51"/>
        <v>73.899530400395449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2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2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IFERROR(__xludf.DUMMYFUNCTION("IMPORTRANGE(""https://docs.google.com/spreadsheets/d/1MeEWN-I1oV_STSDYn1IFDPWt_1FKiwhDph83XaGc0o0/edit?usp=sharing"",""งบพรบ!AQ54"")"),378840)</f>
        <v>378840</v>
      </c>
      <c r="M93" s="93">
        <f ca="1">IFERROR(__xludf.DUMMYFUNCTION("IMPORTRANGE(""https://docs.google.com/spreadsheets/d/1MeEWN-I1oV_STSDYn1IFDPWt_1FKiwhDph83XaGc0o0/edit?usp=sharing"",""งบพรบ!AV54"")"),161840)</f>
        <v>161840</v>
      </c>
      <c r="N93" s="93">
        <f ca="1">IFERROR(__xludf.DUMMYFUNCTION("IMPORTRANGE(""https://docs.google.com/spreadsheets/d/1MeEWN-I1oV_STSDYn1IFDPWt_1FKiwhDph83XaGc0o0/edit?usp=sharing"",""งบพรบ!AX54"")"),119599)</f>
        <v>119599</v>
      </c>
      <c r="O93" s="93">
        <f t="shared" ca="1" si="50"/>
        <v>31.569791996621266</v>
      </c>
      <c r="P93" s="93">
        <f t="shared" ca="1" si="51"/>
        <v>73.899530400395449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1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6">
        <f t="shared" ref="L94:N94" ca="1" si="54">L95+L96</f>
        <v>0</v>
      </c>
      <c r="M94" s="496">
        <f t="shared" ca="1" si="54"/>
        <v>0</v>
      </c>
      <c r="N94" s="496">
        <f t="shared" ca="1" si="54"/>
        <v>0</v>
      </c>
      <c r="O94" s="496">
        <f t="shared" ca="1" si="50"/>
        <v>0</v>
      </c>
      <c r="P94" s="496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2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2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IFERROR(__xludf.DUMMYFUNCTION("IMPORTRANGE(""https://docs.google.com/spreadsheets/d/1MeEWN-I1oV_STSDYn1IFDPWt_1FKiwhDph83XaGc0o0/edit?usp=sharing"",""งบพรบ!AT54"")"),0)</f>
        <v>0</v>
      </c>
      <c r="M96" s="93">
        <f ca="1">IFERROR(__xludf.DUMMYFUNCTION("IMPORTRANGE(""https://docs.google.com/spreadsheets/d/1MeEWN-I1oV_STSDYn1IFDPWt_1FKiwhDph83XaGc0o0/edit?usp=sharing"",""งบพรบ!AW54"")"),0)</f>
        <v>0</v>
      </c>
      <c r="N96" s="93">
        <f ca="1">IFERROR(__xludf.DUMMYFUNCTION("IMPORTRANGE(""https://docs.google.com/spreadsheets/d/1MeEWN-I1oV_STSDYn1IFDPWt_1FKiwhDph83XaGc0o0/edit?usp=sharing"",""งบพรบ!AY54"")"),0)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23" t="s">
        <v>38</v>
      </c>
      <c r="E97" s="173"/>
      <c r="F97" s="173"/>
      <c r="G97" s="174"/>
      <c r="H97" s="753"/>
      <c r="I97" s="184"/>
      <c r="J97" s="269"/>
      <c r="K97" s="496"/>
      <c r="L97" s="496"/>
      <c r="M97" s="496"/>
      <c r="N97" s="496"/>
      <c r="O97" s="163"/>
      <c r="P97" s="163"/>
    </row>
    <row r="98" spans="1:16" ht="18.75">
      <c r="A98" s="170"/>
      <c r="B98" s="171"/>
      <c r="C98" s="171"/>
      <c r="D98" s="446" t="s">
        <v>47</v>
      </c>
      <c r="E98" s="446"/>
      <c r="F98" s="178"/>
      <c r="G98" s="179"/>
      <c r="H98" s="616" t="s">
        <v>46</v>
      </c>
      <c r="I98" s="269">
        <f ca="1">IFERROR(__xludf.DUMMYFUNCTION("IMPORTRANGE(""https://docs.google.com/spreadsheets/d/1QqKyyYR6Q21VydFLVH3TRQUabQu_ym0Zz7PgGX0-kHA/edit?usp=sharing"",""แผน!K54"")"),30)</f>
        <v>30</v>
      </c>
      <c r="J98" s="269">
        <f>J102</f>
        <v>0</v>
      </c>
      <c r="K98" s="496">
        <f t="shared" ref="K98:K100" ca="1" si="55">IF(I98&gt;0,J98*100/I98,0)</f>
        <v>0</v>
      </c>
      <c r="L98" s="496"/>
      <c r="M98" s="496"/>
      <c r="N98" s="496"/>
      <c r="O98" s="163"/>
      <c r="P98" s="163"/>
    </row>
    <row r="99" spans="1:16" ht="18.75">
      <c r="A99" s="170"/>
      <c r="B99" s="171"/>
      <c r="C99" s="171"/>
      <c r="D99" s="446" t="s">
        <v>48</v>
      </c>
      <c r="E99" s="446"/>
      <c r="F99" s="178"/>
      <c r="G99" s="179"/>
      <c r="H99" s="616" t="s">
        <v>35</v>
      </c>
      <c r="I99" s="269">
        <f ca="1">IFERROR(__xludf.DUMMYFUNCTION("IMPORTRANGE(""https://docs.google.com/spreadsheets/d/1QqKyyYR6Q21VydFLVH3TRQUabQu_ym0Zz7PgGX0-kHA/edit?usp=sharing"",""แผน!L54"")"),10)</f>
        <v>10</v>
      </c>
      <c r="J99" s="269">
        <f>J104</f>
        <v>0</v>
      </c>
      <c r="K99" s="496">
        <f t="shared" ca="1" si="55"/>
        <v>0</v>
      </c>
      <c r="L99" s="496"/>
      <c r="M99" s="496"/>
      <c r="N99" s="496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16" t="s">
        <v>49</v>
      </c>
      <c r="I100" s="269">
        <f ca="1">IFERROR(__xludf.DUMMYFUNCTION("IMPORTRANGE(""https://docs.google.com/spreadsheets/d/1QqKyyYR6Q21VydFLVH3TRQUabQu_ym0Zz7PgGX0-kHA/edit?usp=sharing"",""แผน!M54"")"),2)</f>
        <v>2</v>
      </c>
      <c r="J100" s="269">
        <f>J107+J110</f>
        <v>0</v>
      </c>
      <c r="K100" s="496">
        <f t="shared" ca="1" si="55"/>
        <v>0</v>
      </c>
      <c r="L100" s="496"/>
      <c r="M100" s="496"/>
      <c r="N100" s="496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16"/>
      <c r="I101" s="269"/>
      <c r="J101" s="269"/>
      <c r="K101" s="496"/>
      <c r="L101" s="496"/>
      <c r="M101" s="496"/>
      <c r="N101" s="496"/>
      <c r="O101" s="163"/>
      <c r="P101" s="163"/>
    </row>
    <row r="102" spans="1:16" ht="18.75">
      <c r="A102" s="170"/>
      <c r="B102" s="171"/>
      <c r="C102" s="171"/>
      <c r="D102" s="178"/>
      <c r="E102" s="619" t="s">
        <v>47</v>
      </c>
      <c r="F102" s="178"/>
      <c r="G102" s="179"/>
      <c r="H102" s="616" t="s">
        <v>46</v>
      </c>
      <c r="I102" s="269">
        <f ca="1">IFERROR(__xludf.DUMMYFUNCTION("IMPORTRANGE(""https://docs.google.com/spreadsheets/d/1QqKyyYR6Q21VydFLVH3TRQUabQu_ym0Zz7PgGX0-kHA/edit?usp=sharing"",""แผน!N54"")"),30)</f>
        <v>30</v>
      </c>
      <c r="J102" s="214">
        <v>0</v>
      </c>
      <c r="K102" s="496">
        <f t="shared" ref="K102:K104" ca="1" si="56">IF(I102&gt;0,J102*100/I102,0)</f>
        <v>0</v>
      </c>
      <c r="L102" s="496"/>
      <c r="M102" s="496"/>
      <c r="N102" s="496"/>
      <c r="O102" s="163"/>
      <c r="P102" s="163"/>
    </row>
    <row r="103" spans="1:16" ht="19.5">
      <c r="A103" s="170"/>
      <c r="B103" s="171"/>
      <c r="C103" s="171"/>
      <c r="D103" s="178"/>
      <c r="E103" s="446" t="s">
        <v>51</v>
      </c>
      <c r="F103" s="178"/>
      <c r="G103" s="179"/>
      <c r="H103" s="616" t="s">
        <v>35</v>
      </c>
      <c r="I103" s="269">
        <f ca="1">IFERROR(__xludf.DUMMYFUNCTION("IMPORTRANGE(""https://docs.google.com/spreadsheets/d/1QqKyyYR6Q21VydFLVH3TRQUabQu_ym0Zz7PgGX0-kHA/edit?usp=sharing"",""แผน!O54"")"),10)</f>
        <v>10</v>
      </c>
      <c r="J103" s="214">
        <v>0</v>
      </c>
      <c r="K103" s="496">
        <f t="shared" ca="1" si="56"/>
        <v>0</v>
      </c>
      <c r="L103" s="496"/>
      <c r="M103" s="496"/>
      <c r="N103" s="496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16" t="s">
        <v>35</v>
      </c>
      <c r="I104" s="269">
        <f ca="1">IFERROR(__xludf.DUMMYFUNCTION("IMPORTRANGE(""https://docs.google.com/spreadsheets/d/1QqKyyYR6Q21VydFLVH3TRQUabQu_ym0Zz7PgGX0-kHA/edit?usp=sharing"",""แผน!O54"")"),10)</f>
        <v>10</v>
      </c>
      <c r="J104" s="214">
        <v>0</v>
      </c>
      <c r="K104" s="496">
        <f t="shared" ca="1" si="56"/>
        <v>0</v>
      </c>
      <c r="L104" s="496"/>
      <c r="M104" s="496"/>
      <c r="N104" s="496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69"/>
      <c r="J105" s="269"/>
      <c r="K105" s="496"/>
      <c r="L105" s="496"/>
      <c r="M105" s="496"/>
      <c r="N105" s="496"/>
      <c r="O105" s="163"/>
      <c r="P105" s="163"/>
    </row>
    <row r="106" spans="1:16" ht="19.5">
      <c r="A106" s="170"/>
      <c r="B106" s="171"/>
      <c r="C106" s="171"/>
      <c r="D106" s="178"/>
      <c r="E106" s="446" t="s">
        <v>54</v>
      </c>
      <c r="F106" s="178"/>
      <c r="G106" s="179"/>
      <c r="H106" s="616" t="s">
        <v>49</v>
      </c>
      <c r="I106" s="269">
        <f ca="1">IFERROR(__xludf.DUMMYFUNCTION("IMPORTRANGE(""https://docs.google.com/spreadsheets/d/1QqKyyYR6Q21VydFLVH3TRQUabQu_ym0Zz7PgGX0-kHA/edit?usp=sharing"",""แผน!P54"")"),1)</f>
        <v>1</v>
      </c>
      <c r="J106" s="214">
        <v>0</v>
      </c>
      <c r="K106" s="496">
        <f t="shared" ref="K106:K107" ca="1" si="57">IF(I106&gt;0,J106*100/I106,0)</f>
        <v>0</v>
      </c>
      <c r="L106" s="496"/>
      <c r="M106" s="496"/>
      <c r="N106" s="496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16" t="s">
        <v>49</v>
      </c>
      <c r="I107" s="269">
        <f ca="1">IFERROR(__xludf.DUMMYFUNCTION("IMPORTRANGE(""https://docs.google.com/spreadsheets/d/1QqKyyYR6Q21VydFLVH3TRQUabQu_ym0Zz7PgGX0-kHA/edit?usp=sharing"",""แผน!P54"")"),1)</f>
        <v>1</v>
      </c>
      <c r="J107" s="214">
        <v>0</v>
      </c>
      <c r="K107" s="496">
        <f t="shared" ca="1" si="57"/>
        <v>0</v>
      </c>
      <c r="L107" s="496"/>
      <c r="M107" s="496"/>
      <c r="N107" s="496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69"/>
      <c r="J108" s="269"/>
      <c r="K108" s="496"/>
      <c r="L108" s="496"/>
      <c r="M108" s="496"/>
      <c r="N108" s="496"/>
      <c r="O108" s="163"/>
      <c r="P108" s="163"/>
    </row>
    <row r="109" spans="1:16" ht="19.5">
      <c r="A109" s="170"/>
      <c r="B109" s="171"/>
      <c r="C109" s="171"/>
      <c r="D109" s="178"/>
      <c r="E109" s="446" t="s">
        <v>57</v>
      </c>
      <c r="F109" s="178"/>
      <c r="G109" s="179"/>
      <c r="H109" s="616" t="s">
        <v>49</v>
      </c>
      <c r="I109" s="269">
        <f ca="1">IFERROR(__xludf.DUMMYFUNCTION("IMPORTRANGE(""https://docs.google.com/spreadsheets/d/1QqKyyYR6Q21VydFLVH3TRQUabQu_ym0Zz7PgGX0-kHA/edit?usp=sharing"",""แผน!Q54"")"),1)</f>
        <v>1</v>
      </c>
      <c r="J109" s="214">
        <v>0</v>
      </c>
      <c r="K109" s="496">
        <f t="shared" ref="K109:K116" ca="1" si="58">IF(I109&gt;0,J109*100/I109,0)</f>
        <v>0</v>
      </c>
      <c r="L109" s="496"/>
      <c r="M109" s="496"/>
      <c r="N109" s="496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16" t="s">
        <v>49</v>
      </c>
      <c r="I110" s="269">
        <f ca="1">IFERROR(__xludf.DUMMYFUNCTION("IMPORTRANGE(""https://docs.google.com/spreadsheets/d/1QqKyyYR6Q21VydFLVH3TRQUabQu_ym0Zz7PgGX0-kHA/edit?usp=sharing"",""แผน!Q54"")"),1)</f>
        <v>1</v>
      </c>
      <c r="J110" s="214">
        <v>0</v>
      </c>
      <c r="K110" s="496">
        <f t="shared" ca="1" si="58"/>
        <v>0</v>
      </c>
      <c r="L110" s="496"/>
      <c r="M110" s="496"/>
      <c r="N110" s="496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58" t="s">
        <v>35</v>
      </c>
      <c r="I111" s="193">
        <f ca="1">IFERROR(__xludf.DUMMYFUNCTION("IMPORTRANGE(""https://docs.google.com/spreadsheets/d/1QqKyyYR6Q21VydFLVH3TRQUabQu_ym0Zz7PgGX0-kHA/edit?usp=sharing"",""แผน!R54"")"),10)</f>
        <v>10</v>
      </c>
      <c r="J111" s="674">
        <f>J114</f>
        <v>0</v>
      </c>
      <c r="K111" s="195">
        <f t="shared" ca="1" si="58"/>
        <v>0</v>
      </c>
      <c r="L111" s="496"/>
      <c r="M111" s="496"/>
      <c r="N111" s="496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2</v>
      </c>
      <c r="J112" s="674">
        <f t="shared" si="59"/>
        <v>0</v>
      </c>
      <c r="K112" s="195">
        <f t="shared" ca="1" si="58"/>
        <v>0</v>
      </c>
      <c r="L112" s="496"/>
      <c r="M112" s="496"/>
      <c r="N112" s="496"/>
      <c r="O112" s="163"/>
      <c r="P112" s="163"/>
    </row>
    <row r="113" spans="1:26" ht="19.5">
      <c r="A113" s="170"/>
      <c r="B113" s="171"/>
      <c r="C113" s="171"/>
      <c r="D113" s="171"/>
      <c r="E113" s="525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IFERROR(__xludf.DUMMYFUNCTION("IMPORTRANGE(""https://docs.google.com/spreadsheets/d/1QqKyyYR6Q21VydFLVH3TRQUabQu_ym0Zz7PgGX0-kHA/edit?usp=sharing"",""แผน!R54"")"),10)</f>
        <v>10</v>
      </c>
      <c r="J113" s="214">
        <v>0</v>
      </c>
      <c r="K113" s="496">
        <f t="shared" ca="1" si="58"/>
        <v>0</v>
      </c>
      <c r="L113" s="496"/>
      <c r="M113" s="496"/>
      <c r="N113" s="496"/>
      <c r="O113" s="163"/>
      <c r="P113" s="163"/>
    </row>
    <row r="114" spans="1:26" ht="19.5">
      <c r="A114" s="170"/>
      <c r="B114" s="171"/>
      <c r="C114" s="171"/>
      <c r="D114" s="171"/>
      <c r="E114" s="446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IFERROR(__xludf.DUMMYFUNCTION("IMPORTRANGE(""https://docs.google.com/spreadsheets/d/1QqKyyYR6Q21VydFLVH3TRQUabQu_ym0Zz7PgGX0-kHA/edit?usp=sharing"",""แผน!R54"")"),10)</f>
        <v>10</v>
      </c>
      <c r="J114" s="214">
        <v>0</v>
      </c>
      <c r="K114" s="496">
        <f t="shared" ca="1" si="58"/>
        <v>0</v>
      </c>
      <c r="L114" s="496"/>
      <c r="M114" s="496"/>
      <c r="N114" s="496"/>
      <c r="O114" s="163"/>
      <c r="P114" s="163"/>
    </row>
    <row r="115" spans="1:26" ht="18.75">
      <c r="A115" s="170"/>
      <c r="B115" s="171"/>
      <c r="C115" s="171"/>
      <c r="D115" s="171"/>
      <c r="E115" s="446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IFERROR(__xludf.DUMMYFUNCTION("IMPORTRANGE(""https://docs.google.com/spreadsheets/d/1QqKyyYR6Q21VydFLVH3TRQUabQu_ym0Zz7PgGX0-kHA/edit?usp=sharing"",""แผน!S54"")"),1)</f>
        <v>1</v>
      </c>
      <c r="J115" s="214">
        <v>0</v>
      </c>
      <c r="K115" s="496">
        <f t="shared" ca="1" si="58"/>
        <v>0</v>
      </c>
      <c r="L115" s="496"/>
      <c r="M115" s="496"/>
      <c r="N115" s="496"/>
      <c r="O115" s="163"/>
      <c r="P115" s="163"/>
    </row>
    <row r="116" spans="1:26" ht="18.75">
      <c r="A116" s="170"/>
      <c r="B116" s="171"/>
      <c r="C116" s="171"/>
      <c r="D116" s="171"/>
      <c r="E116" s="446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IFERROR(__xludf.DUMMYFUNCTION("IMPORTRANGE(""https://docs.google.com/spreadsheets/d/1QqKyyYR6Q21VydFLVH3TRQUabQu_ym0Zz7PgGX0-kHA/edit?usp=sharing"",""แผน!T54"")"),1)</f>
        <v>1</v>
      </c>
      <c r="J116" s="214">
        <v>0</v>
      </c>
      <c r="K116" s="496">
        <f t="shared" ca="1" si="58"/>
        <v>0</v>
      </c>
      <c r="L116" s="496"/>
      <c r="M116" s="496"/>
      <c r="N116" s="496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8" t="s">
        <v>65</v>
      </c>
      <c r="C118" s="204"/>
      <c r="D118" s="141"/>
      <c r="E118" s="140"/>
      <c r="F118" s="140"/>
      <c r="G118" s="142"/>
      <c r="H118" s="143"/>
      <c r="I118" s="205"/>
      <c r="J118" s="205"/>
      <c r="K118" s="146"/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22" t="s">
        <v>17</v>
      </c>
      <c r="E119" s="148"/>
      <c r="F119" s="148"/>
      <c r="G119" s="151"/>
      <c r="H119" s="152" t="s">
        <v>12</v>
      </c>
      <c r="I119" s="419"/>
      <c r="J119" s="419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2" t="s">
        <v>18</v>
      </c>
      <c r="F120" s="40"/>
      <c r="G120" s="157"/>
      <c r="H120" s="158" t="s">
        <v>12</v>
      </c>
      <c r="I120" s="610"/>
      <c r="J120" s="610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2" t="s">
        <v>19</v>
      </c>
      <c r="F121" s="40"/>
      <c r="G121" s="157"/>
      <c r="H121" s="158" t="s">
        <v>12</v>
      </c>
      <c r="I121" s="610"/>
      <c r="J121" s="610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1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6">
        <f t="shared" ref="L122:N122" ca="1" si="64">L123+L124</f>
        <v>0</v>
      </c>
      <c r="M122" s="496">
        <f t="shared" ca="1" si="64"/>
        <v>0</v>
      </c>
      <c r="N122" s="496">
        <f t="shared" ca="1" si="64"/>
        <v>0</v>
      </c>
      <c r="O122" s="496">
        <f t="shared" ca="1" si="61"/>
        <v>0</v>
      </c>
      <c r="P122" s="496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2"/>
      <c r="D123" s="40"/>
      <c r="E123" s="222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2"/>
      <c r="D124" s="40"/>
      <c r="E124" s="222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IFERROR(__xludf.DUMMYFUNCTION("IMPORTRANGE(""https://docs.google.com/spreadsheets/d/1MeEWN-I1oV_STSDYn1IFDPWt_1FKiwhDph83XaGc0o0/edit?usp=sharing"",""งบพรบ!BA54"")"),0)</f>
        <v>0</v>
      </c>
      <c r="M124" s="93">
        <f ca="1">IFERROR(__xludf.DUMMYFUNCTION("IMPORTRANGE(""https://docs.google.com/spreadsheets/d/1MeEWN-I1oV_STSDYn1IFDPWt_1FKiwhDph83XaGc0o0/edit?usp=sharing"",""งบพรบ!BF54"")"),0)</f>
        <v>0</v>
      </c>
      <c r="N124" s="93">
        <f ca="1">IFERROR(__xludf.DUMMYFUNCTION("IMPORTRANGE(""https://docs.google.com/spreadsheets/d/1MeEWN-I1oV_STSDYn1IFDPWt_1FKiwhDph83XaGc0o0/edit?usp=sharing"",""งบพรบ!BH54"")"),0)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1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6">
        <f t="shared" ref="L125:N125" ca="1" si="65">L126+L127</f>
        <v>0</v>
      </c>
      <c r="M125" s="496">
        <f t="shared" ca="1" si="65"/>
        <v>0</v>
      </c>
      <c r="N125" s="496">
        <f t="shared" ca="1" si="65"/>
        <v>0</v>
      </c>
      <c r="O125" s="496">
        <f t="shared" ca="1" si="61"/>
        <v>0</v>
      </c>
      <c r="P125" s="496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2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2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IFERROR(__xludf.DUMMYFUNCTION("IMPORTRANGE(""https://docs.google.com/spreadsheets/d/1MeEWN-I1oV_STSDYn1IFDPWt_1FKiwhDph83XaGc0o0/edit?usp=sharing"",""งบพรบ!BD54"")"),0)</f>
        <v>0</v>
      </c>
      <c r="M127" s="93">
        <f ca="1">IFERROR(__xludf.DUMMYFUNCTION("IMPORTRANGE(""https://docs.google.com/spreadsheets/d/1MeEWN-I1oV_STSDYn1IFDPWt_1FKiwhDph83XaGc0o0/edit?usp=sharing"",""งบพรบ!BG54"")"),0)</f>
        <v>0</v>
      </c>
      <c r="N127" s="93">
        <f ca="1">IFERROR(__xludf.DUMMYFUNCTION("IMPORTRANGE(""https://docs.google.com/spreadsheets/d/1MeEWN-I1oV_STSDYn1IFDPWt_1FKiwhDph83XaGc0o0/edit?usp=sharing"",""งบพรบ!BI54"")"),0)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66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8" t="s">
        <v>67</v>
      </c>
      <c r="C129" s="204"/>
      <c r="D129" s="141"/>
      <c r="E129" s="140"/>
      <c r="F129" s="140"/>
      <c r="G129" s="140"/>
      <c r="H129" s="207"/>
      <c r="I129" s="205"/>
      <c r="J129" s="205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8"/>
      <c r="C130" s="209" t="s">
        <v>68</v>
      </c>
      <c r="D130" s="141"/>
      <c r="E130" s="140"/>
      <c r="F130" s="140"/>
      <c r="G130" s="142"/>
      <c r="H130" s="143" t="s">
        <v>69</v>
      </c>
      <c r="I130" s="144">
        <f t="shared" ref="I130:J130" ca="1" si="66">I146</f>
        <v>0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8"/>
      <c r="C131" s="209" t="s">
        <v>70</v>
      </c>
      <c r="D131" s="141"/>
      <c r="E131" s="140"/>
      <c r="F131" s="140"/>
      <c r="G131" s="142"/>
      <c r="H131" s="143" t="s">
        <v>35</v>
      </c>
      <c r="I131" s="144">
        <f t="shared" ref="I131:J131" ca="1" si="68">I143</f>
        <v>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822" t="s">
        <v>17</v>
      </c>
      <c r="E132" s="148"/>
      <c r="F132" s="148"/>
      <c r="G132" s="151"/>
      <c r="H132" s="152" t="s">
        <v>12</v>
      </c>
      <c r="I132" s="419"/>
      <c r="J132" s="419"/>
      <c r="K132" s="154"/>
      <c r="L132" s="155">
        <f t="shared" ref="L132:N132" ca="1" si="69">L133+L134</f>
        <v>0</v>
      </c>
      <c r="M132" s="155">
        <f t="shared" ca="1" si="69"/>
        <v>0</v>
      </c>
      <c r="N132" s="155">
        <f t="shared" ca="1" si="69"/>
        <v>0</v>
      </c>
      <c r="O132" s="155">
        <f t="shared" ref="O132:O140" ca="1" si="70">IF(L132&gt;0,N132*100/L132,0)</f>
        <v>0</v>
      </c>
      <c r="P132" s="155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2" t="s">
        <v>18</v>
      </c>
      <c r="F133" s="40"/>
      <c r="G133" s="157"/>
      <c r="H133" s="158" t="s">
        <v>12</v>
      </c>
      <c r="I133" s="610"/>
      <c r="J133" s="610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2" t="s">
        <v>19</v>
      </c>
      <c r="F134" s="40"/>
      <c r="G134" s="157"/>
      <c r="H134" s="158" t="s">
        <v>12</v>
      </c>
      <c r="I134" s="610"/>
      <c r="J134" s="610"/>
      <c r="K134" s="93"/>
      <c r="L134" s="93">
        <f t="shared" ca="1" si="72"/>
        <v>0</v>
      </c>
      <c r="M134" s="93">
        <f t="shared" ca="1" si="72"/>
        <v>0</v>
      </c>
      <c r="N134" s="93">
        <f t="shared" ca="1" si="72"/>
        <v>0</v>
      </c>
      <c r="O134" s="93">
        <f t="shared" ca="1" si="70"/>
        <v>0</v>
      </c>
      <c r="P134" s="93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1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6">
        <f t="shared" ref="L135:N135" ca="1" si="73">L136+L137</f>
        <v>0</v>
      </c>
      <c r="M135" s="496">
        <f t="shared" ca="1" si="73"/>
        <v>0</v>
      </c>
      <c r="N135" s="496">
        <f t="shared" ca="1" si="73"/>
        <v>0</v>
      </c>
      <c r="O135" s="496">
        <f t="shared" ca="1" si="70"/>
        <v>0</v>
      </c>
      <c r="P135" s="496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2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2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IFERROR(__xludf.DUMMYFUNCTION("IMPORTRANGE(""https://docs.google.com/spreadsheets/d/1MeEWN-I1oV_STSDYn1IFDPWt_1FKiwhDph83XaGc0o0/edit?usp=sharing"",""งบพรบ!BK54"")"),0)</f>
        <v>0</v>
      </c>
      <c r="M137" s="93">
        <f ca="1">IFERROR(__xludf.DUMMYFUNCTION("IMPORTRANGE(""https://docs.google.com/spreadsheets/d/1MeEWN-I1oV_STSDYn1IFDPWt_1FKiwhDph83XaGc0o0/edit?usp=sharing"",""งบพรบ!BP54"")"),0)</f>
        <v>0</v>
      </c>
      <c r="N137" s="93">
        <f ca="1">IFERROR(__xludf.DUMMYFUNCTION("IMPORTRANGE(""https://docs.google.com/spreadsheets/d/1MeEWN-I1oV_STSDYn1IFDPWt_1FKiwhDph83XaGc0o0/edit?usp=sharing"",""งบพรบ!BR54"")"),0)</f>
        <v>0</v>
      </c>
      <c r="O137" s="93">
        <f t="shared" ca="1" si="70"/>
        <v>0</v>
      </c>
      <c r="P137" s="93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1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6">
        <f t="shared" ref="L138:N138" ca="1" si="74">L139+L140</f>
        <v>0</v>
      </c>
      <c r="M138" s="496">
        <f t="shared" ca="1" si="74"/>
        <v>0</v>
      </c>
      <c r="N138" s="496">
        <f t="shared" ca="1" si="74"/>
        <v>0</v>
      </c>
      <c r="O138" s="496">
        <f t="shared" ca="1" si="70"/>
        <v>0</v>
      </c>
      <c r="P138" s="496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2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2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IFERROR(__xludf.DUMMYFUNCTION("IMPORTRANGE(""https://docs.google.com/spreadsheets/d/1MeEWN-I1oV_STSDYn1IFDPWt_1FKiwhDph83XaGc0o0/edit?usp=sharing"",""งบพรบ!BN54"")"),0)</f>
        <v>0</v>
      </c>
      <c r="M140" s="93">
        <f ca="1">IFERROR(__xludf.DUMMYFUNCTION("IMPORTRANGE(""https://docs.google.com/spreadsheets/d/1MeEWN-I1oV_STSDYn1IFDPWt_1FKiwhDph83XaGc0o0/edit?usp=sharing"",""งบพรบ!BQ54"")"),0)</f>
        <v>0</v>
      </c>
      <c r="N140" s="93">
        <f ca="1">IFERROR(__xludf.DUMMYFUNCTION("IMPORTRANGE(""https://docs.google.com/spreadsheets/d/1MeEWN-I1oV_STSDYn1IFDPWt_1FKiwhDph83XaGc0o0/edit?usp=sharing"",""งบพรบ!BS54"")"),0)</f>
        <v>0</v>
      </c>
      <c r="O140" s="93">
        <f t="shared" ca="1" si="70"/>
        <v>0</v>
      </c>
      <c r="P140" s="93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823" t="s">
        <v>38</v>
      </c>
      <c r="E141" s="173"/>
      <c r="F141" s="173"/>
      <c r="G141" s="174"/>
      <c r="H141" s="168"/>
      <c r="I141" s="269"/>
      <c r="J141" s="269"/>
      <c r="K141" s="496"/>
      <c r="L141" s="496"/>
      <c r="M141" s="496"/>
      <c r="N141" s="496"/>
      <c r="O141" s="496"/>
      <c r="P141" s="496"/>
    </row>
    <row r="142" spans="1:26" ht="19.5" hidden="1">
      <c r="A142" s="159"/>
      <c r="B142" s="33"/>
      <c r="C142" s="210"/>
      <c r="D142" s="281" t="s">
        <v>71</v>
      </c>
      <c r="E142" s="34"/>
      <c r="F142" s="33"/>
      <c r="G142" s="213"/>
      <c r="H142" s="168"/>
      <c r="I142" s="269"/>
      <c r="J142" s="214">
        <v>0</v>
      </c>
      <c r="K142" s="496"/>
      <c r="L142" s="496"/>
      <c r="M142" s="496"/>
      <c r="N142" s="496"/>
      <c r="O142" s="496"/>
      <c r="P142" s="496"/>
    </row>
    <row r="143" spans="1:26" ht="19.5" hidden="1">
      <c r="A143" s="159"/>
      <c r="B143" s="33"/>
      <c r="C143" s="210"/>
      <c r="D143" s="281" t="s">
        <v>72</v>
      </c>
      <c r="E143" s="34"/>
      <c r="F143" s="33"/>
      <c r="G143" s="213"/>
      <c r="H143" s="168" t="s">
        <v>35</v>
      </c>
      <c r="I143" s="269">
        <f ca="1">I145</f>
        <v>0</v>
      </c>
      <c r="J143" s="269">
        <f ca="1">IF(AND(J144&gt;=I144,J145&gt;=I145),J145,0)</f>
        <v>0</v>
      </c>
      <c r="K143" s="496">
        <f t="shared" ref="K143:K146" ca="1" si="75">IF(I143&gt;0,J143*100/I143,0)</f>
        <v>0</v>
      </c>
      <c r="L143" s="496"/>
      <c r="M143" s="496"/>
      <c r="N143" s="496"/>
      <c r="O143" s="496"/>
      <c r="P143" s="496"/>
    </row>
    <row r="144" spans="1:26" ht="19.5" hidden="1">
      <c r="A144" s="159"/>
      <c r="B144" s="33"/>
      <c r="C144" s="210"/>
      <c r="D144" s="178"/>
      <c r="E144" s="281" t="s">
        <v>73</v>
      </c>
      <c r="F144" s="33"/>
      <c r="G144" s="213"/>
      <c r="H144" s="168" t="s">
        <v>35</v>
      </c>
      <c r="I144" s="269">
        <f ca="1">IFERROR(__xludf.DUMMYFUNCTION("IMPORTRANGE(""https://docs.google.com/spreadsheets/d/1QqKyyYR6Q21VydFLVH3TRQUabQu_ym0Zz7PgGX0-kHA/edit?usp=sharing"",""แผน!U54"")"),0)</f>
        <v>0</v>
      </c>
      <c r="J144" s="214">
        <v>0</v>
      </c>
      <c r="K144" s="496">
        <f t="shared" ca="1" si="75"/>
        <v>0</v>
      </c>
      <c r="L144" s="496"/>
      <c r="M144" s="496"/>
      <c r="N144" s="496"/>
      <c r="O144" s="496"/>
      <c r="P144" s="496"/>
    </row>
    <row r="145" spans="1:26" ht="19.5" hidden="1">
      <c r="A145" s="159"/>
      <c r="B145" s="33"/>
      <c r="C145" s="210"/>
      <c r="D145" s="178"/>
      <c r="E145" s="281" t="s">
        <v>74</v>
      </c>
      <c r="F145" s="33"/>
      <c r="G145" s="213"/>
      <c r="H145" s="168" t="s">
        <v>35</v>
      </c>
      <c r="I145" s="269">
        <f ca="1">IFERROR(__xludf.DUMMYFUNCTION("IMPORTRANGE(""https://docs.google.com/spreadsheets/d/1QqKyyYR6Q21VydFLVH3TRQUabQu_ym0Zz7PgGX0-kHA/edit?usp=sharing"",""แผน!V54"")"),0)</f>
        <v>0</v>
      </c>
      <c r="J145" s="214">
        <v>0</v>
      </c>
      <c r="K145" s="496">
        <f t="shared" ca="1" si="75"/>
        <v>0</v>
      </c>
      <c r="L145" s="496"/>
      <c r="M145" s="496"/>
      <c r="N145" s="496"/>
      <c r="O145" s="496"/>
      <c r="P145" s="496"/>
    </row>
    <row r="146" spans="1:26" ht="19.5" hidden="1">
      <c r="A146" s="159"/>
      <c r="B146" s="33"/>
      <c r="C146" s="210"/>
      <c r="D146" s="281" t="s">
        <v>75</v>
      </c>
      <c r="E146" s="34"/>
      <c r="F146" s="33"/>
      <c r="G146" s="213"/>
      <c r="H146" s="168" t="s">
        <v>69</v>
      </c>
      <c r="I146" s="269">
        <f ca="1">IFERROR(__xludf.DUMMYFUNCTION("IMPORTRANGE(""https://docs.google.com/spreadsheets/d/1QqKyyYR6Q21VydFLVH3TRQUabQu_ym0Zz7PgGX0-kHA/edit?usp=sharing"",""แผน!W54"")"),0)</f>
        <v>0</v>
      </c>
      <c r="J146" s="214">
        <v>0</v>
      </c>
      <c r="K146" s="496">
        <f t="shared" ca="1" si="75"/>
        <v>0</v>
      </c>
      <c r="L146" s="496"/>
      <c r="M146" s="496"/>
      <c r="N146" s="496"/>
      <c r="O146" s="496"/>
      <c r="P146" s="496"/>
    </row>
    <row r="147" spans="1:26" ht="19.5" hidden="1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 hidden="1">
      <c r="A148" s="216"/>
      <c r="B148" s="208" t="s">
        <v>77</v>
      </c>
      <c r="C148" s="208"/>
      <c r="D148" s="208"/>
      <c r="E148" s="824"/>
      <c r="F148" s="218"/>
      <c r="G148" s="219"/>
      <c r="H148" s="220" t="s">
        <v>35</v>
      </c>
      <c r="I148" s="144">
        <f t="shared" ref="I148:J148" ca="1" si="76">I159</f>
        <v>0</v>
      </c>
      <c r="J148" s="144">
        <f t="shared" si="76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1"/>
      <c r="R148" s="221"/>
      <c r="S148" s="221"/>
      <c r="T148" s="221"/>
      <c r="U148" s="221"/>
      <c r="V148" s="221"/>
      <c r="W148" s="221"/>
      <c r="X148" s="221"/>
      <c r="Y148" s="221"/>
      <c r="Z148" s="221"/>
    </row>
    <row r="149" spans="1:26" ht="19.5" hidden="1">
      <c r="A149" s="147"/>
      <c r="B149" s="148"/>
      <c r="C149" s="149" t="s">
        <v>16</v>
      </c>
      <c r="D149" s="822" t="s">
        <v>17</v>
      </c>
      <c r="E149" s="148"/>
      <c r="F149" s="148"/>
      <c r="G149" s="151"/>
      <c r="H149" s="152" t="s">
        <v>12</v>
      </c>
      <c r="I149" s="419"/>
      <c r="J149" s="419"/>
      <c r="K149" s="154"/>
      <c r="L149" s="155">
        <f t="shared" ref="L149:N149" ca="1" si="77">L150+L151</f>
        <v>0</v>
      </c>
      <c r="M149" s="155">
        <f t="shared" ca="1" si="77"/>
        <v>0</v>
      </c>
      <c r="N149" s="155">
        <f t="shared" ca="1" si="77"/>
        <v>0</v>
      </c>
      <c r="O149" s="155">
        <f t="shared" ref="O149:O157" ca="1" si="78">IF(L149&gt;0,N149*100/L149,0)</f>
        <v>0</v>
      </c>
      <c r="P149" s="155">
        <f t="shared" ref="P149:P157" ca="1" si="79">IF(M149&gt;0,N149*100/M149,0)</f>
        <v>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2" t="s">
        <v>18</v>
      </c>
      <c r="F150" s="40"/>
      <c r="G150" s="157"/>
      <c r="H150" s="158" t="s">
        <v>12</v>
      </c>
      <c r="I150" s="610"/>
      <c r="J150" s="610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2" t="s">
        <v>19</v>
      </c>
      <c r="F151" s="40"/>
      <c r="G151" s="157"/>
      <c r="H151" s="158" t="s">
        <v>12</v>
      </c>
      <c r="I151" s="610"/>
      <c r="J151" s="610"/>
      <c r="K151" s="93"/>
      <c r="L151" s="93">
        <f t="shared" ca="1" si="80"/>
        <v>0</v>
      </c>
      <c r="M151" s="93">
        <f t="shared" ca="1" si="80"/>
        <v>0</v>
      </c>
      <c r="N151" s="93">
        <f t="shared" ca="1" si="80"/>
        <v>0</v>
      </c>
      <c r="O151" s="93">
        <f t="shared" ca="1" si="78"/>
        <v>0</v>
      </c>
      <c r="P151" s="93">
        <f t="shared" ca="1" si="79"/>
        <v>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 hidden="1">
      <c r="A152" s="159"/>
      <c r="B152" s="33"/>
      <c r="C152" s="281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6">
        <f t="shared" ref="L152:N152" ca="1" si="81">L153+L154</f>
        <v>0</v>
      </c>
      <c r="M152" s="496">
        <f t="shared" ca="1" si="81"/>
        <v>0</v>
      </c>
      <c r="N152" s="496">
        <f t="shared" ca="1" si="81"/>
        <v>0</v>
      </c>
      <c r="O152" s="496">
        <f t="shared" ca="1" si="78"/>
        <v>0</v>
      </c>
      <c r="P152" s="496">
        <f t="shared" ca="1" si="79"/>
        <v>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2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2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IFERROR(__xludf.DUMMYFUNCTION("IMPORTRANGE(""https://docs.google.com/spreadsheets/d/1MeEWN-I1oV_STSDYn1IFDPWt_1FKiwhDph83XaGc0o0/edit?usp=sharing"",""งบพรบ!BU54"")"),0)</f>
        <v>0</v>
      </c>
      <c r="M154" s="93">
        <f ca="1">IFERROR(__xludf.DUMMYFUNCTION("IMPORTRANGE(""https://docs.google.com/spreadsheets/d/1MeEWN-I1oV_STSDYn1IFDPWt_1FKiwhDph83XaGc0o0/edit?usp=sharing"",""งบพรบ!BZ54"")"),0)</f>
        <v>0</v>
      </c>
      <c r="N154" s="93">
        <f ca="1">IFERROR(__xludf.DUMMYFUNCTION("IMPORTRANGE(""https://docs.google.com/spreadsheets/d/1MeEWN-I1oV_STSDYn1IFDPWt_1FKiwhDph83XaGc0o0/edit?usp=sharing"",""งบพรบ!CB54"")"),0)</f>
        <v>0</v>
      </c>
      <c r="O154" s="93">
        <f t="shared" ca="1" si="78"/>
        <v>0</v>
      </c>
      <c r="P154" s="93">
        <f t="shared" ca="1" si="79"/>
        <v>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 hidden="1">
      <c r="A155" s="159"/>
      <c r="B155" s="33"/>
      <c r="C155" s="281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6">
        <f t="shared" ref="L155:N155" ca="1" si="82">L156+L157</f>
        <v>0</v>
      </c>
      <c r="M155" s="496">
        <f t="shared" ca="1" si="82"/>
        <v>0</v>
      </c>
      <c r="N155" s="496">
        <f t="shared" ca="1" si="82"/>
        <v>0</v>
      </c>
      <c r="O155" s="496">
        <f t="shared" ca="1" si="78"/>
        <v>0</v>
      </c>
      <c r="P155" s="496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2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2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IFERROR(__xludf.DUMMYFUNCTION("IMPORTRANGE(""https://docs.google.com/spreadsheets/d/1MeEWN-I1oV_STSDYn1IFDPWt_1FKiwhDph83XaGc0o0/edit?usp=sharing"",""งบพรบ!BX54"")"),0)</f>
        <v>0</v>
      </c>
      <c r="M157" s="93">
        <f ca="1">IFERROR(__xludf.DUMMYFUNCTION("IMPORTRANGE(""https://docs.google.com/spreadsheets/d/1MeEWN-I1oV_STSDYn1IFDPWt_1FKiwhDph83XaGc0o0/edit?usp=sharing"",""งบพรบ!CA54"")"),0)</f>
        <v>0</v>
      </c>
      <c r="N157" s="93">
        <f ca="1">IFERROR(__xludf.DUMMYFUNCTION("IMPORTRANGE(""https://docs.google.com/spreadsheets/d/1MeEWN-I1oV_STSDYn1IFDPWt_1FKiwhDph83XaGc0o0/edit?usp=sharing"",""งบพรบ!CC54"")"),0)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 hidden="1">
      <c r="A158" s="170"/>
      <c r="B158" s="171"/>
      <c r="C158" s="164" t="s">
        <v>16</v>
      </c>
      <c r="D158" s="823" t="s">
        <v>38</v>
      </c>
      <c r="E158" s="173"/>
      <c r="F158" s="173"/>
      <c r="G158" s="174"/>
      <c r="H158" s="168"/>
      <c r="I158" s="269"/>
      <c r="J158" s="269"/>
      <c r="K158" s="496"/>
      <c r="L158" s="496"/>
      <c r="M158" s="496"/>
      <c r="N158" s="496"/>
      <c r="O158" s="496"/>
      <c r="P158" s="496"/>
    </row>
    <row r="159" spans="1:26" ht="19.5" hidden="1">
      <c r="A159" s="159"/>
      <c r="B159" s="33"/>
      <c r="C159" s="210"/>
      <c r="D159" s="281" t="s">
        <v>78</v>
      </c>
      <c r="E159" s="34"/>
      <c r="F159" s="33"/>
      <c r="G159" s="213"/>
      <c r="H159" s="168" t="s">
        <v>35</v>
      </c>
      <c r="I159" s="269">
        <f ca="1">IFERROR(__xludf.DUMMYFUNCTION("IMPORTRANGE(""https://docs.google.com/spreadsheets/d/1QqKyyYR6Q21VydFLVH3TRQUabQu_ym0Zz7PgGX0-kHA/edit?usp=sharing"",""แผน!X54"")"),0)</f>
        <v>0</v>
      </c>
      <c r="J159" s="214">
        <v>0</v>
      </c>
      <c r="K159" s="496">
        <f ca="1">IF(I159&gt;0,J159*100/I159,0)</f>
        <v>0</v>
      </c>
      <c r="L159" s="496"/>
      <c r="M159" s="496"/>
      <c r="N159" s="496"/>
      <c r="O159" s="496"/>
      <c r="P159" s="496"/>
    </row>
    <row r="160" spans="1:26" ht="19.5" hidden="1">
      <c r="A160" s="156"/>
      <c r="B160" s="40"/>
      <c r="C160" s="164"/>
      <c r="D160" s="222" t="s">
        <v>79</v>
      </c>
      <c r="E160" s="223"/>
      <c r="F160" s="40"/>
      <c r="G160" s="157"/>
      <c r="H160" s="169" t="s">
        <v>35</v>
      </c>
      <c r="I160" s="610"/>
      <c r="J160" s="610"/>
      <c r="K160" s="93"/>
      <c r="L160" s="93"/>
      <c r="M160" s="93"/>
      <c r="N160" s="93"/>
      <c r="O160" s="93"/>
      <c r="P160" s="93"/>
      <c r="Q160" s="224"/>
      <c r="R160" s="224"/>
      <c r="S160" s="224"/>
      <c r="T160" s="224"/>
      <c r="U160" s="224"/>
      <c r="V160" s="224"/>
      <c r="W160" s="224"/>
      <c r="X160" s="224"/>
      <c r="Y160" s="224"/>
      <c r="Z160" s="224"/>
    </row>
    <row r="161" spans="1:26" ht="19.5" hidden="1">
      <c r="A161" s="225"/>
      <c r="B161" s="226"/>
      <c r="C161" s="227"/>
      <c r="D161" s="228" t="s">
        <v>80</v>
      </c>
      <c r="E161" s="825"/>
      <c r="F161" s="226"/>
      <c r="G161" s="230"/>
      <c r="H161" s="231" t="s">
        <v>35</v>
      </c>
      <c r="I161" s="232"/>
      <c r="J161" s="232"/>
      <c r="K161" s="233"/>
      <c r="L161" s="233"/>
      <c r="M161" s="233"/>
      <c r="N161" s="233"/>
      <c r="O161" s="233"/>
      <c r="P161" s="233"/>
      <c r="Q161" s="224"/>
      <c r="R161" s="224"/>
      <c r="S161" s="224"/>
      <c r="T161" s="224"/>
      <c r="U161" s="224"/>
      <c r="V161" s="224"/>
      <c r="W161" s="224"/>
      <c r="X161" s="224"/>
      <c r="Y161" s="224"/>
      <c r="Z161" s="224"/>
    </row>
    <row r="162" spans="1:26" ht="19.5">
      <c r="A162" s="234" t="s">
        <v>81</v>
      </c>
      <c r="B162" s="235"/>
      <c r="C162" s="235"/>
      <c r="D162" s="235"/>
      <c r="E162" s="236"/>
      <c r="F162" s="236"/>
      <c r="G162" s="237"/>
      <c r="H162" s="238"/>
      <c r="I162" s="239"/>
      <c r="J162" s="239"/>
      <c r="K162" s="240"/>
      <c r="L162" s="240"/>
      <c r="M162" s="240"/>
      <c r="N162" s="240"/>
      <c r="O162" s="240"/>
      <c r="P162" s="240"/>
    </row>
    <row r="163" spans="1:26" ht="19.5">
      <c r="A163" s="241" t="s">
        <v>82</v>
      </c>
      <c r="B163" s="242"/>
      <c r="C163" s="242"/>
      <c r="D163" s="243"/>
      <c r="E163" s="243"/>
      <c r="F163" s="243"/>
      <c r="G163" s="244"/>
      <c r="H163" s="245"/>
      <c r="I163" s="246"/>
      <c r="J163" s="246"/>
      <c r="K163" s="247"/>
      <c r="L163" s="247"/>
      <c r="M163" s="247"/>
      <c r="N163" s="247"/>
      <c r="O163" s="247"/>
      <c r="P163" s="247"/>
    </row>
    <row r="164" spans="1:26" ht="19.5">
      <c r="A164" s="248"/>
      <c r="B164" s="249" t="s">
        <v>83</v>
      </c>
      <c r="C164" s="250"/>
      <c r="D164" s="173"/>
      <c r="E164" s="173"/>
      <c r="F164" s="173"/>
      <c r="G164" s="174"/>
      <c r="H164" s="251" t="s">
        <v>35</v>
      </c>
      <c r="I164" s="252">
        <f t="shared" ref="I164:J164" ca="1" si="83">I174+I177</f>
        <v>10</v>
      </c>
      <c r="J164" s="252">
        <f t="shared" si="83"/>
        <v>10</v>
      </c>
      <c r="K164" s="253">
        <f ca="1">IF(I164&gt;0,J164*100/I164,0)</f>
        <v>100</v>
      </c>
      <c r="L164" s="254"/>
      <c r="M164" s="254"/>
      <c r="N164" s="254"/>
      <c r="O164" s="254"/>
      <c r="P164" s="254"/>
    </row>
    <row r="165" spans="1:26" ht="19.5">
      <c r="A165" s="147"/>
      <c r="B165" s="148"/>
      <c r="C165" s="149" t="s">
        <v>16</v>
      </c>
      <c r="D165" s="822" t="s">
        <v>17</v>
      </c>
      <c r="E165" s="148"/>
      <c r="F165" s="148"/>
      <c r="G165" s="151"/>
      <c r="H165" s="152" t="s">
        <v>12</v>
      </c>
      <c r="I165" s="419"/>
      <c r="J165" s="419"/>
      <c r="K165" s="154"/>
      <c r="L165" s="155">
        <f t="shared" ref="L165:N165" ca="1" si="84">L166+L167</f>
        <v>21050</v>
      </c>
      <c r="M165" s="155">
        <f t="shared" ca="1" si="84"/>
        <v>21050</v>
      </c>
      <c r="N165" s="155">
        <f t="shared" ca="1" si="84"/>
        <v>18410</v>
      </c>
      <c r="O165" s="155">
        <f t="shared" ref="O165:O173" ca="1" si="85">IF(L165&gt;0,N165*100/L165,0)</f>
        <v>87.458432304037999</v>
      </c>
      <c r="P165" s="155">
        <f t="shared" ref="P165:P173" ca="1" si="86">IF(M165&gt;0,N165*100/M165,0)</f>
        <v>87.458432304037999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2" t="s">
        <v>18</v>
      </c>
      <c r="F166" s="40"/>
      <c r="G166" s="157"/>
      <c r="H166" s="158" t="s">
        <v>12</v>
      </c>
      <c r="I166" s="610"/>
      <c r="J166" s="610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2" t="s">
        <v>19</v>
      </c>
      <c r="F167" s="40"/>
      <c r="G167" s="157"/>
      <c r="H167" s="158" t="s">
        <v>12</v>
      </c>
      <c r="I167" s="610"/>
      <c r="J167" s="610"/>
      <c r="K167" s="93"/>
      <c r="L167" s="93">
        <f t="shared" ca="1" si="87"/>
        <v>21050</v>
      </c>
      <c r="M167" s="93">
        <f t="shared" ca="1" si="87"/>
        <v>21050</v>
      </c>
      <c r="N167" s="93">
        <f t="shared" ca="1" si="87"/>
        <v>18410</v>
      </c>
      <c r="O167" s="93">
        <f t="shared" ca="1" si="85"/>
        <v>87.458432304037999</v>
      </c>
      <c r="P167" s="93">
        <f t="shared" ca="1" si="86"/>
        <v>87.458432304037999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1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6">
        <f t="shared" ref="L168:N168" ca="1" si="88">L169+L170</f>
        <v>21050</v>
      </c>
      <c r="M168" s="496">
        <f t="shared" ca="1" si="88"/>
        <v>21050</v>
      </c>
      <c r="N168" s="496">
        <f t="shared" ca="1" si="88"/>
        <v>18410</v>
      </c>
      <c r="O168" s="496">
        <f t="shared" ca="1" si="85"/>
        <v>87.458432304037999</v>
      </c>
      <c r="P168" s="496">
        <f t="shared" ca="1" si="86"/>
        <v>87.458432304037999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2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2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IFERROR(__xludf.DUMMYFUNCTION("IMPORTRANGE(""https://docs.google.com/spreadsheets/d/1MeEWN-I1oV_STSDYn1IFDPWt_1FKiwhDph83XaGc0o0/edit?usp=sharing"",""งบพรบ!CE54"")"),21050)</f>
        <v>21050</v>
      </c>
      <c r="M170" s="93">
        <f ca="1">IFERROR(__xludf.DUMMYFUNCTION("IMPORTRANGE(""https://docs.google.com/spreadsheets/d/1MeEWN-I1oV_STSDYn1IFDPWt_1FKiwhDph83XaGc0o0/edit?usp=sharing"",""งบพรบ!CJ54"")"),21050)</f>
        <v>21050</v>
      </c>
      <c r="N170" s="93">
        <f ca="1">IFERROR(__xludf.DUMMYFUNCTION("IMPORTRANGE(""https://docs.google.com/spreadsheets/d/1MeEWN-I1oV_STSDYn1IFDPWt_1FKiwhDph83XaGc0o0/edit?usp=sharing"",""งบพรบ!CL54"")"),18410)</f>
        <v>18410</v>
      </c>
      <c r="O170" s="93">
        <f t="shared" ca="1" si="85"/>
        <v>87.458432304037999</v>
      </c>
      <c r="P170" s="93">
        <f t="shared" ca="1" si="86"/>
        <v>87.458432304037999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1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6">
        <f t="shared" ref="L171:N171" ca="1" si="89">L172+L173</f>
        <v>0</v>
      </c>
      <c r="M171" s="496">
        <f t="shared" ca="1" si="89"/>
        <v>0</v>
      </c>
      <c r="N171" s="496">
        <f t="shared" ca="1" si="89"/>
        <v>0</v>
      </c>
      <c r="O171" s="496">
        <f t="shared" ca="1" si="85"/>
        <v>0</v>
      </c>
      <c r="P171" s="496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2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2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IFERROR(__xludf.DUMMYFUNCTION("IMPORTRANGE(""https://docs.google.com/spreadsheets/d/1MeEWN-I1oV_STSDYn1IFDPWt_1FKiwhDph83XaGc0o0/edit?usp=sharing"",""งบพรบ!CH54"")"),0)</f>
        <v>0</v>
      </c>
      <c r="M173" s="93">
        <f ca="1">IFERROR(__xludf.DUMMYFUNCTION("IMPORTRANGE(""https://docs.google.com/spreadsheets/d/1MeEWN-I1oV_STSDYn1IFDPWt_1FKiwhDph83XaGc0o0/edit?usp=sharing"",""งบพรบ!CK54"")"),0)</f>
        <v>0</v>
      </c>
      <c r="N173" s="93">
        <f ca="1">IFERROR(__xludf.DUMMYFUNCTION("IMPORTRANGE(""https://docs.google.com/spreadsheets/d/1MeEWN-I1oV_STSDYn1IFDPWt_1FKiwhDph83XaGc0o0/edit?usp=sharing"",""งบพรบ!CM54"")"),0)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5"/>
      <c r="B174" s="256"/>
      <c r="C174" s="257" t="s">
        <v>84</v>
      </c>
      <c r="D174" s="256"/>
      <c r="E174" s="256"/>
      <c r="F174" s="256"/>
      <c r="G174" s="258"/>
      <c r="H174" s="259" t="s">
        <v>35</v>
      </c>
      <c r="I174" s="260">
        <f t="shared" ref="I174:J174" ca="1" si="90">I176</f>
        <v>10</v>
      </c>
      <c r="J174" s="260">
        <f t="shared" si="90"/>
        <v>10</v>
      </c>
      <c r="K174" s="261">
        <f ca="1">IF(I174&gt;0,J174*100/I174,0)</f>
        <v>100</v>
      </c>
      <c r="L174" s="261"/>
      <c r="M174" s="261"/>
      <c r="N174" s="261"/>
      <c r="O174" s="261"/>
      <c r="P174" s="261"/>
    </row>
    <row r="175" spans="1:26" ht="19.5">
      <c r="A175" s="170"/>
      <c r="B175" s="171"/>
      <c r="C175" s="164" t="s">
        <v>16</v>
      </c>
      <c r="D175" s="823" t="s">
        <v>38</v>
      </c>
      <c r="E175" s="173"/>
      <c r="F175" s="173"/>
      <c r="G175" s="174"/>
      <c r="H175" s="753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37" t="s">
        <v>85</v>
      </c>
      <c r="E176" s="178"/>
      <c r="F176" s="178"/>
      <c r="G176" s="179"/>
      <c r="H176" s="616" t="s">
        <v>35</v>
      </c>
      <c r="I176" s="269">
        <f ca="1">IFERROR(__xludf.DUMMYFUNCTION("IMPORTRANGE(""https://docs.google.com/spreadsheets/d/1QqKyyYR6Q21VydFLVH3TRQUabQu_ym0Zz7PgGX0-kHA/edit?usp=sharing"",""แผน!Y54"")"),10)</f>
        <v>10</v>
      </c>
      <c r="J176" s="214">
        <v>10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5"/>
      <c r="B177" s="263"/>
      <c r="C177" s="264" t="s">
        <v>86</v>
      </c>
      <c r="D177" s="263"/>
      <c r="E177" s="256"/>
      <c r="F177" s="256"/>
      <c r="G177" s="258"/>
      <c r="H177" s="265" t="s">
        <v>35</v>
      </c>
      <c r="I177" s="260"/>
      <c r="J177" s="260">
        <f>J179</f>
        <v>0</v>
      </c>
      <c r="K177" s="261"/>
      <c r="L177" s="261"/>
      <c r="M177" s="261"/>
      <c r="N177" s="261"/>
      <c r="O177" s="261"/>
      <c r="P177" s="261"/>
    </row>
    <row r="178" spans="1:26" ht="19.5" hidden="1">
      <c r="A178" s="170"/>
      <c r="B178" s="171"/>
      <c r="C178" s="164" t="s">
        <v>16</v>
      </c>
      <c r="D178" s="266" t="s">
        <v>38</v>
      </c>
      <c r="E178" s="173"/>
      <c r="F178" s="173"/>
      <c r="G178" s="174"/>
      <c r="H178" s="753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3" t="s">
        <v>87</v>
      </c>
      <c r="E179" s="178"/>
      <c r="F179" s="366"/>
      <c r="G179" s="179"/>
      <c r="H179" s="43" t="s">
        <v>35</v>
      </c>
      <c r="I179" s="269"/>
      <c r="J179" s="269"/>
      <c r="K179" s="163"/>
      <c r="L179" s="163"/>
      <c r="M179" s="163"/>
      <c r="N179" s="163"/>
      <c r="O179" s="163"/>
      <c r="P179" s="163"/>
    </row>
    <row r="180" spans="1:26" ht="19.5">
      <c r="A180" s="248"/>
      <c r="B180" s="249" t="s">
        <v>88</v>
      </c>
      <c r="C180" s="250"/>
      <c r="D180" s="173"/>
      <c r="E180" s="173"/>
      <c r="F180" s="173"/>
      <c r="G180" s="174"/>
      <c r="H180" s="251" t="s">
        <v>35</v>
      </c>
      <c r="I180" s="252">
        <f t="shared" ref="I180:J180" ca="1" si="91">I225+I226</f>
        <v>20</v>
      </c>
      <c r="J180" s="252">
        <f t="shared" si="91"/>
        <v>0</v>
      </c>
      <c r="K180" s="253">
        <f ca="1">IF(I180&gt;0,J180*100/I180,0)</f>
        <v>0</v>
      </c>
      <c r="L180" s="254"/>
      <c r="M180" s="254"/>
      <c r="N180" s="254"/>
      <c r="O180" s="254"/>
      <c r="P180" s="254"/>
    </row>
    <row r="181" spans="1:26" ht="19.5">
      <c r="A181" s="147"/>
      <c r="B181" s="148"/>
      <c r="C181" s="149" t="s">
        <v>16</v>
      </c>
      <c r="D181" s="822" t="s">
        <v>17</v>
      </c>
      <c r="E181" s="148"/>
      <c r="F181" s="148"/>
      <c r="G181" s="151"/>
      <c r="H181" s="152" t="s">
        <v>12</v>
      </c>
      <c r="I181" s="419"/>
      <c r="J181" s="419"/>
      <c r="K181" s="154"/>
      <c r="L181" s="155">
        <f t="shared" ref="L181:N181" ca="1" si="92">L182+L183</f>
        <v>142100</v>
      </c>
      <c r="M181" s="155">
        <f t="shared" ca="1" si="92"/>
        <v>77500</v>
      </c>
      <c r="N181" s="155">
        <f t="shared" ca="1" si="92"/>
        <v>24680</v>
      </c>
      <c r="O181" s="155">
        <f t="shared" ref="O181:O189" ca="1" si="93">IF(L181&gt;0,N181*100/L181,0)</f>
        <v>17.36805066854328</v>
      </c>
      <c r="P181" s="155">
        <f t="shared" ref="P181:P189" ca="1" si="94">IF(M181&gt;0,N181*100/M181,0)</f>
        <v>31.845161290322579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2" t="s">
        <v>18</v>
      </c>
      <c r="F182" s="40"/>
      <c r="G182" s="157"/>
      <c r="H182" s="158" t="s">
        <v>12</v>
      </c>
      <c r="I182" s="610"/>
      <c r="J182" s="610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2" t="s">
        <v>19</v>
      </c>
      <c r="F183" s="40"/>
      <c r="G183" s="157"/>
      <c r="H183" s="158" t="s">
        <v>12</v>
      </c>
      <c r="I183" s="610"/>
      <c r="J183" s="610"/>
      <c r="K183" s="93"/>
      <c r="L183" s="93">
        <f t="shared" ca="1" si="95"/>
        <v>142100</v>
      </c>
      <c r="M183" s="93">
        <f t="shared" ca="1" si="95"/>
        <v>77500</v>
      </c>
      <c r="N183" s="93">
        <f t="shared" ca="1" si="95"/>
        <v>24680</v>
      </c>
      <c r="O183" s="93">
        <f t="shared" ca="1" si="93"/>
        <v>17.36805066854328</v>
      </c>
      <c r="P183" s="93">
        <f t="shared" ca="1" si="94"/>
        <v>31.845161290322579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1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6">
        <f t="shared" ref="L184:N184" ca="1" si="96">L185+L186</f>
        <v>142100</v>
      </c>
      <c r="M184" s="496">
        <f t="shared" ca="1" si="96"/>
        <v>77500</v>
      </c>
      <c r="N184" s="496">
        <f t="shared" ca="1" si="96"/>
        <v>24680</v>
      </c>
      <c r="O184" s="496">
        <f t="shared" ca="1" si="93"/>
        <v>17.36805066854328</v>
      </c>
      <c r="P184" s="496">
        <f t="shared" ca="1" si="94"/>
        <v>31.845161290322579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2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2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IFERROR(__xludf.DUMMYFUNCTION("IMPORTRANGE(""https://docs.google.com/spreadsheets/d/1MeEWN-I1oV_STSDYn1IFDPWt_1FKiwhDph83XaGc0o0/edit?usp=sharing"",""งบพรบ!CO54"")"),142100)</f>
        <v>142100</v>
      </c>
      <c r="M186" s="93">
        <f ca="1">IFERROR(__xludf.DUMMYFUNCTION("IMPORTRANGE(""https://docs.google.com/spreadsheets/d/1MeEWN-I1oV_STSDYn1IFDPWt_1FKiwhDph83XaGc0o0/edit?usp=sharing"",""งบพรบ!CT54"")"),77500)</f>
        <v>77500</v>
      </c>
      <c r="N186" s="93">
        <f ca="1">IFERROR(__xludf.DUMMYFUNCTION("IMPORTRANGE(""https://docs.google.com/spreadsheets/d/1MeEWN-I1oV_STSDYn1IFDPWt_1FKiwhDph83XaGc0o0/edit?usp=sharing"",""งบพรบ!CV54"")"),24680)</f>
        <v>24680</v>
      </c>
      <c r="O186" s="93">
        <f t="shared" ca="1" si="93"/>
        <v>17.36805066854328</v>
      </c>
      <c r="P186" s="93">
        <f t="shared" ca="1" si="94"/>
        <v>31.845161290322579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1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6">
        <f t="shared" ref="L187:N187" ca="1" si="97">L188+L189</f>
        <v>0</v>
      </c>
      <c r="M187" s="496">
        <f t="shared" ca="1" si="97"/>
        <v>0</v>
      </c>
      <c r="N187" s="496">
        <f t="shared" ca="1" si="97"/>
        <v>0</v>
      </c>
      <c r="O187" s="496">
        <f t="shared" ca="1" si="93"/>
        <v>0</v>
      </c>
      <c r="P187" s="496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2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2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IFERROR(__xludf.DUMMYFUNCTION("IMPORTRANGE(""https://docs.google.com/spreadsheets/d/1MeEWN-I1oV_STSDYn1IFDPWt_1FKiwhDph83XaGc0o0/edit?usp=sharing"",""งบพรบ!CR54"")"),0)</f>
        <v>0</v>
      </c>
      <c r="M189" s="93">
        <f ca="1">IFERROR(__xludf.DUMMYFUNCTION("IMPORTRANGE(""https://docs.google.com/spreadsheets/d/1MeEWN-I1oV_STSDYn1IFDPWt_1FKiwhDph83XaGc0o0/edit?usp=sharing"",""งบพรบ!CU54"")"),0)</f>
        <v>0</v>
      </c>
      <c r="N189" s="93">
        <f ca="1">IFERROR(__xludf.DUMMYFUNCTION("IMPORTRANGE(""https://docs.google.com/spreadsheets/d/1MeEWN-I1oV_STSDYn1IFDPWt_1FKiwhDph83XaGc0o0/edit?usp=sharing"",""งบพรบ!CW54"")"),0)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5"/>
      <c r="B190" s="263"/>
      <c r="C190" s="270" t="s">
        <v>89</v>
      </c>
      <c r="D190" s="256"/>
      <c r="E190" s="256"/>
      <c r="F190" s="256"/>
      <c r="G190" s="258"/>
      <c r="H190" s="259" t="s">
        <v>90</v>
      </c>
      <c r="I190" s="271">
        <f t="shared" ref="I190:J190" ca="1" si="98">I193</f>
        <v>4</v>
      </c>
      <c r="J190" s="271">
        <f t="shared" si="98"/>
        <v>1</v>
      </c>
      <c r="K190" s="272">
        <f ca="1">IF(I190&gt;0,J190*100/I190,0)</f>
        <v>25</v>
      </c>
      <c r="L190" s="261"/>
      <c r="M190" s="261"/>
      <c r="N190" s="261"/>
      <c r="O190" s="261"/>
      <c r="P190" s="261"/>
    </row>
    <row r="191" spans="1:26" ht="19.5">
      <c r="A191" s="147"/>
      <c r="B191" s="148"/>
      <c r="C191" s="149" t="s">
        <v>16</v>
      </c>
      <c r="D191" s="826" t="s">
        <v>17</v>
      </c>
      <c r="E191" s="148"/>
      <c r="F191" s="148"/>
      <c r="G191" s="151"/>
      <c r="H191" s="274" t="s">
        <v>12</v>
      </c>
      <c r="I191" s="419"/>
      <c r="J191" s="419"/>
      <c r="K191" s="154"/>
      <c r="L191" s="155">
        <f ca="1">IFERROR(__xludf.DUMMYFUNCTION("IMPORTRANGE(""https://docs.google.com/spreadsheets/d/1QqKyyYR6Q21VydFLVH3TRQUabQu_ym0Zz7PgGX0-kHA/edit?usp=sharing"",""แผน!Z54"")"),6000)</f>
        <v>6000</v>
      </c>
      <c r="M191" s="155"/>
      <c r="N191" s="275">
        <v>0</v>
      </c>
      <c r="O191" s="155">
        <f ca="1">IF(L191&gt;0,N191*100/L191,0)</f>
        <v>0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0" t="s">
        <v>16</v>
      </c>
      <c r="D192" s="823" t="s">
        <v>38</v>
      </c>
      <c r="E192" s="173"/>
      <c r="F192" s="173"/>
      <c r="G192" s="174"/>
      <c r="H192" s="753"/>
      <c r="I192" s="269"/>
      <c r="J192" s="269"/>
      <c r="K192" s="496"/>
      <c r="L192" s="496"/>
      <c r="M192" s="496"/>
      <c r="N192" s="496"/>
      <c r="O192" s="496"/>
      <c r="P192" s="496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6" t="s">
        <v>91</v>
      </c>
      <c r="E193" s="178"/>
      <c r="F193" s="178"/>
      <c r="G193" s="179"/>
      <c r="H193" s="755" t="s">
        <v>90</v>
      </c>
      <c r="I193" s="269">
        <f ca="1">IFERROR(__xludf.DUMMYFUNCTION("IMPORTRANGE(""https://docs.google.com/spreadsheets/d/1QqKyyYR6Q21VydFLVH3TRQUabQu_ym0Zz7PgGX0-kHA/edit?usp=sharing"",""แผน!AC54"")"),4)</f>
        <v>4</v>
      </c>
      <c r="J193" s="214">
        <v>1</v>
      </c>
      <c r="K193" s="496">
        <f ca="1">IF(I193&gt;0,J193*100/I193,0)</f>
        <v>25</v>
      </c>
      <c r="L193" s="496"/>
      <c r="M193" s="496"/>
      <c r="N193" s="496"/>
      <c r="O193" s="496"/>
      <c r="P193" s="496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6" t="s">
        <v>92</v>
      </c>
      <c r="E194" s="178"/>
      <c r="F194" s="178"/>
      <c r="G194" s="179"/>
      <c r="H194" s="276" t="s">
        <v>35</v>
      </c>
      <c r="I194" s="269"/>
      <c r="J194" s="269">
        <f>J195+J196</f>
        <v>50</v>
      </c>
      <c r="K194" s="496"/>
      <c r="L194" s="496"/>
      <c r="M194" s="496"/>
      <c r="N194" s="496"/>
      <c r="O194" s="496"/>
      <c r="P194" s="496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6" t="s">
        <v>93</v>
      </c>
      <c r="F195" s="178"/>
      <c r="G195" s="179"/>
      <c r="H195" s="276" t="s">
        <v>35</v>
      </c>
      <c r="I195" s="269"/>
      <c r="J195" s="214">
        <v>50</v>
      </c>
      <c r="K195" s="496"/>
      <c r="L195" s="496"/>
      <c r="M195" s="496"/>
      <c r="N195" s="496"/>
      <c r="O195" s="496"/>
      <c r="P195" s="496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6" t="s">
        <v>94</v>
      </c>
      <c r="F196" s="178"/>
      <c r="G196" s="179"/>
      <c r="H196" s="276" t="s">
        <v>35</v>
      </c>
      <c r="I196" s="269"/>
      <c r="J196" s="214">
        <v>0</v>
      </c>
      <c r="K196" s="496"/>
      <c r="L196" s="496"/>
      <c r="M196" s="496"/>
      <c r="N196" s="496"/>
      <c r="O196" s="496"/>
      <c r="P196" s="496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5"/>
      <c r="B197" s="263"/>
      <c r="C197" s="270" t="s">
        <v>95</v>
      </c>
      <c r="D197" s="256"/>
      <c r="E197" s="256"/>
      <c r="F197" s="256"/>
      <c r="G197" s="258"/>
      <c r="H197" s="277" t="s">
        <v>96</v>
      </c>
      <c r="I197" s="271">
        <f t="shared" ref="I197:J197" ca="1" si="99">I204</f>
        <v>2</v>
      </c>
      <c r="J197" s="271">
        <f t="shared" si="99"/>
        <v>2</v>
      </c>
      <c r="K197" s="272">
        <f ca="1">IF(I197&gt;0,J197*100/I197,0)</f>
        <v>100</v>
      </c>
      <c r="L197" s="261"/>
      <c r="M197" s="261"/>
      <c r="N197" s="261"/>
      <c r="O197" s="261"/>
      <c r="P197" s="261"/>
    </row>
    <row r="198" spans="1:26" ht="19.5">
      <c r="A198" s="147"/>
      <c r="B198" s="148"/>
      <c r="C198" s="149" t="s">
        <v>16</v>
      </c>
      <c r="D198" s="826" t="s">
        <v>17</v>
      </c>
      <c r="E198" s="148"/>
      <c r="F198" s="148"/>
      <c r="G198" s="151"/>
      <c r="H198" s="274" t="s">
        <v>12</v>
      </c>
      <c r="I198" s="418"/>
      <c r="J198" s="418"/>
      <c r="K198" s="279"/>
      <c r="L198" s="155">
        <f ca="1">L199+L200+L201+L202</f>
        <v>26000</v>
      </c>
      <c r="M198" s="155"/>
      <c r="N198" s="155">
        <f>N199+N200+N201+N202</f>
        <v>15100</v>
      </c>
      <c r="O198" s="155">
        <f ca="1">IF(L198&gt;0,N198*100/L198,0)</f>
        <v>58.07692307692308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0"/>
      <c r="C199" s="33"/>
      <c r="D199" s="281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6">
        <f ca="1">IFERROR(__xludf.DUMMYFUNCTION("IMPORTRANGE(""https://docs.google.com/spreadsheets/d/1QqKyyYR6Q21VydFLVH3TRQUabQu_ym0Zz7PgGX0-kHA/edit?usp=sharing"",""แผน!AE54"")"),2000)</f>
        <v>2000</v>
      </c>
      <c r="M199" s="496"/>
      <c r="N199" s="817">
        <v>0</v>
      </c>
      <c r="O199" s="496"/>
      <c r="P199" s="496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4"/>
      <c r="B200" s="280"/>
      <c r="C200" s="210"/>
      <c r="D200" s="281" t="s">
        <v>98</v>
      </c>
      <c r="E200" s="33"/>
      <c r="F200" s="33"/>
      <c r="G200" s="35"/>
      <c r="H200" s="616" t="s">
        <v>12</v>
      </c>
      <c r="I200" s="269"/>
      <c r="J200" s="269"/>
      <c r="K200" s="496"/>
      <c r="L200" s="496">
        <f ca="1">IFERROR(__xludf.DUMMYFUNCTION("IMPORTRANGE(""https://docs.google.com/spreadsheets/d/1QqKyyYR6Q21VydFLVH3TRQUabQu_ym0Zz7PgGX0-kHA/edit?usp=sharing"",""แผน!AF54"")"),16000)</f>
        <v>16000</v>
      </c>
      <c r="M200" s="496"/>
      <c r="N200" s="817">
        <v>15100</v>
      </c>
      <c r="O200" s="496"/>
      <c r="P200" s="496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>
      <c r="A201" s="284"/>
      <c r="B201" s="280"/>
      <c r="C201" s="210"/>
      <c r="D201" s="281" t="s">
        <v>99</v>
      </c>
      <c r="E201" s="33"/>
      <c r="F201" s="33"/>
      <c r="G201" s="35"/>
      <c r="H201" s="616" t="s">
        <v>12</v>
      </c>
      <c r="I201" s="269"/>
      <c r="J201" s="269"/>
      <c r="K201" s="496"/>
      <c r="L201" s="496">
        <f ca="1">IFERROR(__xludf.DUMMYFUNCTION("IMPORTRANGE(""https://docs.google.com/spreadsheets/d/1QqKyyYR6Q21VydFLVH3TRQUabQu_ym0Zz7PgGX0-kHA/edit?usp=sharing"",""แผน!AG54"")"),8000)</f>
        <v>8000</v>
      </c>
      <c r="M201" s="496"/>
      <c r="N201" s="817">
        <v>0</v>
      </c>
      <c r="O201" s="496"/>
      <c r="P201" s="496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>
      <c r="A202" s="284"/>
      <c r="B202" s="280"/>
      <c r="C202" s="210"/>
      <c r="D202" s="281" t="s">
        <v>100</v>
      </c>
      <c r="E202" s="33"/>
      <c r="F202" s="33"/>
      <c r="G202" s="35"/>
      <c r="H202" s="616" t="s">
        <v>12</v>
      </c>
      <c r="I202" s="269"/>
      <c r="J202" s="269"/>
      <c r="K202" s="496"/>
      <c r="L202" s="496">
        <f ca="1">IFERROR(__xludf.DUMMYFUNCTION("IMPORTRANGE(""https://docs.google.com/spreadsheets/d/1QqKyyYR6Q21VydFLVH3TRQUabQu_ym0Zz7PgGX0-kHA/edit?usp=sharing"",""แผน!AH54"")"),0)</f>
        <v>0</v>
      </c>
      <c r="M202" s="496"/>
      <c r="N202" s="817">
        <v>0</v>
      </c>
      <c r="O202" s="496"/>
      <c r="P202" s="496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>
      <c r="A203" s="170"/>
      <c r="B203" s="171"/>
      <c r="C203" s="210" t="s">
        <v>16</v>
      </c>
      <c r="D203" s="823" t="s">
        <v>38</v>
      </c>
      <c r="E203" s="173"/>
      <c r="F203" s="173"/>
      <c r="G203" s="174"/>
      <c r="H203" s="753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53" t="s">
        <v>96</v>
      </c>
      <c r="I204" s="269">
        <f ca="1">IFERROR(__xludf.DUMMYFUNCTION("IMPORTRANGE(""https://docs.google.com/spreadsheets/d/1QqKyyYR6Q21VydFLVH3TRQUabQu_ym0Zz7PgGX0-kHA/edit?usp=sharing"",""แผน!AI54"")"),2)</f>
        <v>2</v>
      </c>
      <c r="J204" s="214">
        <v>2</v>
      </c>
      <c r="K204" s="163">
        <f ca="1">IF(I204&gt;0,J204*100/I204,0)</f>
        <v>100</v>
      </c>
      <c r="L204" s="496"/>
      <c r="M204" s="496"/>
      <c r="N204" s="496"/>
      <c r="O204" s="496"/>
      <c r="P204" s="496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6" t="s">
        <v>59</v>
      </c>
      <c r="E205" s="178"/>
      <c r="F205" s="178"/>
      <c r="G205" s="179"/>
      <c r="H205" s="753"/>
      <c r="I205" s="269"/>
      <c r="J205" s="269"/>
      <c r="K205" s="163"/>
      <c r="L205" s="496"/>
      <c r="M205" s="496"/>
      <c r="N205" s="496"/>
      <c r="O205" s="496"/>
      <c r="P205" s="496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25" t="s">
        <v>102</v>
      </c>
      <c r="F206" s="287"/>
      <c r="G206" s="288"/>
      <c r="H206" s="289" t="s">
        <v>96</v>
      </c>
      <c r="I206" s="269">
        <v>2</v>
      </c>
      <c r="J206" s="214">
        <v>0</v>
      </c>
      <c r="K206" s="163">
        <f t="shared" ref="K206:K208" si="100">IF(I206&gt;0,J206*100/I206,0)</f>
        <v>0</v>
      </c>
      <c r="L206" s="496"/>
      <c r="M206" s="496"/>
      <c r="N206" s="496"/>
      <c r="O206" s="496"/>
      <c r="P206" s="496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6"/>
      <c r="E207" s="446" t="s">
        <v>103</v>
      </c>
      <c r="F207" s="178"/>
      <c r="G207" s="178"/>
      <c r="H207" s="290" t="s">
        <v>104</v>
      </c>
      <c r="I207" s="269">
        <v>0</v>
      </c>
      <c r="J207" s="214">
        <v>0</v>
      </c>
      <c r="K207" s="163">
        <f t="shared" si="100"/>
        <v>0</v>
      </c>
      <c r="L207" s="496"/>
      <c r="M207" s="496"/>
      <c r="N207" s="496"/>
      <c r="O207" s="496"/>
      <c r="P207" s="496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>
      <c r="A208" s="255"/>
      <c r="B208" s="263"/>
      <c r="C208" s="270" t="s">
        <v>105</v>
      </c>
      <c r="D208" s="256"/>
      <c r="E208" s="256"/>
      <c r="F208" s="291"/>
      <c r="G208" s="258"/>
      <c r="H208" s="277" t="s">
        <v>96</v>
      </c>
      <c r="I208" s="271">
        <f t="shared" ref="I208:J208" ca="1" si="101">I215</f>
        <v>1</v>
      </c>
      <c r="J208" s="271">
        <f t="shared" si="101"/>
        <v>1</v>
      </c>
      <c r="K208" s="272">
        <f t="shared" ca="1" si="100"/>
        <v>100</v>
      </c>
      <c r="L208" s="261"/>
      <c r="M208" s="261"/>
      <c r="N208" s="261"/>
      <c r="O208" s="261"/>
      <c r="P208" s="261"/>
    </row>
    <row r="209" spans="1:26" ht="19.5">
      <c r="A209" s="147"/>
      <c r="B209" s="148"/>
      <c r="C209" s="149" t="s">
        <v>16</v>
      </c>
      <c r="D209" s="826" t="s">
        <v>17</v>
      </c>
      <c r="E209" s="148"/>
      <c r="F209" s="148"/>
      <c r="G209" s="151"/>
      <c r="H209" s="274" t="s">
        <v>12</v>
      </c>
      <c r="I209" s="418"/>
      <c r="J209" s="418"/>
      <c r="K209" s="279"/>
      <c r="L209" s="155">
        <f ca="1">L210+L211+L212</f>
        <v>14000</v>
      </c>
      <c r="M209" s="155"/>
      <c r="N209" s="155">
        <f>N210+N211+N212</f>
        <v>7740</v>
      </c>
      <c r="O209" s="155">
        <f ca="1">IF(L209&gt;0,N209*100/L209,0)</f>
        <v>55.285714285714285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>
      <c r="A210" s="159"/>
      <c r="B210" s="280"/>
      <c r="C210" s="33"/>
      <c r="D210" s="281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6">
        <f ca="1">IFERROR(__xludf.DUMMYFUNCTION("IMPORTRANGE(""https://docs.google.com/spreadsheets/d/1QqKyyYR6Q21VydFLVH3TRQUabQu_ym0Zz7PgGX0-kHA/edit?usp=sharing"",""แผน!AK54"")"),1000)</f>
        <v>1000</v>
      </c>
      <c r="M210" s="496"/>
      <c r="N210" s="817">
        <v>0</v>
      </c>
      <c r="O210" s="496"/>
      <c r="P210" s="496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>
      <c r="A211" s="284"/>
      <c r="B211" s="280"/>
      <c r="C211" s="292"/>
      <c r="D211" s="281" t="s">
        <v>99</v>
      </c>
      <c r="E211" s="33"/>
      <c r="F211" s="33"/>
      <c r="G211" s="35"/>
      <c r="H211" s="161" t="s">
        <v>12</v>
      </c>
      <c r="I211" s="269"/>
      <c r="J211" s="269"/>
      <c r="K211" s="496"/>
      <c r="L211" s="496">
        <f ca="1">IFERROR(__xludf.DUMMYFUNCTION("IMPORTRANGE(""https://docs.google.com/spreadsheets/d/1QqKyyYR6Q21VydFLVH3TRQUabQu_ym0Zz7PgGX0-kHA/edit?usp=sharing"",""แผน!AL54"")"),5000)</f>
        <v>5000</v>
      </c>
      <c r="M211" s="496"/>
      <c r="N211" s="817">
        <v>0</v>
      </c>
      <c r="O211" s="496"/>
      <c r="P211" s="496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>
      <c r="A212" s="284"/>
      <c r="B212" s="280"/>
      <c r="C212" s="292"/>
      <c r="D212" s="281" t="s">
        <v>98</v>
      </c>
      <c r="E212" s="33"/>
      <c r="F212" s="33"/>
      <c r="G212" s="35"/>
      <c r="H212" s="161" t="s">
        <v>12</v>
      </c>
      <c r="I212" s="269"/>
      <c r="J212" s="269"/>
      <c r="K212" s="496"/>
      <c r="L212" s="496">
        <f ca="1">IFERROR(__xludf.DUMMYFUNCTION("IMPORTRANGE(""https://docs.google.com/spreadsheets/d/1QqKyyYR6Q21VydFLVH3TRQUabQu_ym0Zz7PgGX0-kHA/edit?usp=sharing"",""แผน!AM54"")"),8000)</f>
        <v>8000</v>
      </c>
      <c r="M212" s="496"/>
      <c r="N212" s="817">
        <v>7740</v>
      </c>
      <c r="O212" s="496"/>
      <c r="P212" s="496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>
      <c r="A213" s="170"/>
      <c r="B213" s="171"/>
      <c r="C213" s="292" t="s">
        <v>16</v>
      </c>
      <c r="D213" s="823" t="s">
        <v>38</v>
      </c>
      <c r="E213" s="173"/>
      <c r="F213" s="173"/>
      <c r="G213" s="174"/>
      <c r="H213" s="753"/>
      <c r="I213" s="184"/>
      <c r="J213" s="269"/>
      <c r="K213" s="496"/>
      <c r="L213" s="496"/>
      <c r="M213" s="496"/>
      <c r="N213" s="496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>
      <c r="A214" s="170"/>
      <c r="B214" s="171"/>
      <c r="C214" s="171"/>
      <c r="D214" s="176" t="s">
        <v>106</v>
      </c>
      <c r="E214" s="178"/>
      <c r="F214" s="178"/>
      <c r="G214" s="179"/>
      <c r="H214" s="753" t="s">
        <v>96</v>
      </c>
      <c r="I214" s="269">
        <f ca="1">IFERROR(__xludf.DUMMYFUNCTION("IMPORTRANGE(""https://docs.google.com/spreadsheets/d/1QqKyyYR6Q21VydFLVH3TRQUabQu_ym0Zz7PgGX0-kHA/edit?usp=sharing"",""แผน!AN54"")"),1)</f>
        <v>1</v>
      </c>
      <c r="J214" s="214">
        <v>0</v>
      </c>
      <c r="K214" s="496">
        <f t="shared" ref="K214:K216" ca="1" si="102">IF(I214&gt;0,J214*100/I214,0)</f>
        <v>0</v>
      </c>
      <c r="L214" s="496"/>
      <c r="M214" s="496"/>
      <c r="N214" s="496"/>
      <c r="O214" s="496"/>
      <c r="P214" s="496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>
      <c r="A215" s="170"/>
      <c r="B215" s="171"/>
      <c r="C215" s="171"/>
      <c r="D215" s="176" t="s">
        <v>107</v>
      </c>
      <c r="E215" s="178"/>
      <c r="F215" s="178"/>
      <c r="G215" s="179"/>
      <c r="H215" s="753" t="s">
        <v>96</v>
      </c>
      <c r="I215" s="269">
        <f ca="1">IFERROR(__xludf.DUMMYFUNCTION("IMPORTRANGE(""https://docs.google.com/spreadsheets/d/1QqKyyYR6Q21VydFLVH3TRQUabQu_ym0Zz7PgGX0-kHA/edit?usp=sharing"",""แผน!AN54"")"),1)</f>
        <v>1</v>
      </c>
      <c r="J215" s="214">
        <v>1</v>
      </c>
      <c r="K215" s="496">
        <f t="shared" ca="1" si="102"/>
        <v>100</v>
      </c>
      <c r="L215" s="496"/>
      <c r="M215" s="496"/>
      <c r="N215" s="496"/>
      <c r="O215" s="496"/>
      <c r="P215" s="496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5"/>
      <c r="B216" s="263"/>
      <c r="C216" s="270" t="s">
        <v>108</v>
      </c>
      <c r="D216" s="256"/>
      <c r="E216" s="256"/>
      <c r="F216" s="291"/>
      <c r="G216" s="258"/>
      <c r="H216" s="259" t="s">
        <v>109</v>
      </c>
      <c r="I216" s="271">
        <f t="shared" ref="I216:J216" ca="1" si="103">I224</f>
        <v>12800</v>
      </c>
      <c r="J216" s="271">
        <f t="shared" si="103"/>
        <v>0</v>
      </c>
      <c r="K216" s="272">
        <f t="shared" ca="1" si="102"/>
        <v>0</v>
      </c>
      <c r="L216" s="261"/>
      <c r="M216" s="261"/>
      <c r="N216" s="261"/>
      <c r="O216" s="261"/>
      <c r="P216" s="261"/>
    </row>
    <row r="217" spans="1:26" ht="19.5">
      <c r="A217" s="147"/>
      <c r="B217" s="148"/>
      <c r="C217" s="149" t="s">
        <v>16</v>
      </c>
      <c r="D217" s="826" t="s">
        <v>17</v>
      </c>
      <c r="E217" s="148"/>
      <c r="F217" s="148"/>
      <c r="G217" s="151"/>
      <c r="H217" s="274" t="s">
        <v>12</v>
      </c>
      <c r="I217" s="418"/>
      <c r="J217" s="418"/>
      <c r="K217" s="279"/>
      <c r="L217" s="155">
        <f ca="1">L218+L219+L220</f>
        <v>7100</v>
      </c>
      <c r="M217" s="155"/>
      <c r="N217" s="155">
        <f>N218+N219+N220</f>
        <v>0</v>
      </c>
      <c r="O217" s="155">
        <f ca="1">IF(L217&gt;0,N217*100/L217,0)</f>
        <v>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0"/>
      <c r="C218" s="33"/>
      <c r="D218" s="281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6">
        <f ca="1">IFERROR(__xludf.DUMMYFUNCTION("IMPORTRANGE(""https://docs.google.com/spreadsheets/d/1QqKyyYR6Q21VydFLVH3TRQUabQu_ym0Zz7PgGX0-kHA/edit?usp=sharing"",""แผน!AP54"")"),3000)</f>
        <v>3000</v>
      </c>
      <c r="M218" s="496"/>
      <c r="N218" s="817">
        <v>0</v>
      </c>
      <c r="O218" s="496"/>
      <c r="P218" s="496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4"/>
      <c r="B219" s="280"/>
      <c r="C219" s="292"/>
      <c r="D219" s="281" t="s">
        <v>110</v>
      </c>
      <c r="E219" s="33"/>
      <c r="F219" s="33"/>
      <c r="G219" s="35"/>
      <c r="H219" s="161" t="s">
        <v>12</v>
      </c>
      <c r="I219" s="269"/>
      <c r="J219" s="269"/>
      <c r="K219" s="496"/>
      <c r="L219" s="496">
        <f ca="1">IFERROR(__xludf.DUMMYFUNCTION("IMPORTRANGE(""https://docs.google.com/spreadsheets/d/1QqKyyYR6Q21VydFLVH3TRQUabQu_ym0Zz7PgGX0-kHA/edit?usp=sharing"",""แผน!AQ54"")"),4100)</f>
        <v>4100</v>
      </c>
      <c r="M219" s="496"/>
      <c r="N219" s="817">
        <v>0</v>
      </c>
      <c r="O219" s="496"/>
      <c r="P219" s="496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0"/>
      <c r="C220" s="292"/>
      <c r="D220" s="281" t="s">
        <v>98</v>
      </c>
      <c r="E220" s="33"/>
      <c r="F220" s="33"/>
      <c r="G220" s="35"/>
      <c r="H220" s="161" t="s">
        <v>12</v>
      </c>
      <c r="I220" s="269"/>
      <c r="J220" s="269"/>
      <c r="K220" s="496"/>
      <c r="L220" s="496">
        <f ca="1">IFERROR(__xludf.DUMMYFUNCTION("IMPORTRANGE(""https://docs.google.com/spreadsheets/d/1QqKyyYR6Q21VydFLVH3TRQUabQu_ym0Zz7PgGX0-kHA/edit?usp=sharing"",""แผน!AR54"")"),0)</f>
        <v>0</v>
      </c>
      <c r="M220" s="496"/>
      <c r="N220" s="817">
        <v>0</v>
      </c>
      <c r="O220" s="496"/>
      <c r="P220" s="496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70"/>
      <c r="B221" s="171"/>
      <c r="C221" s="292" t="s">
        <v>16</v>
      </c>
      <c r="D221" s="823" t="s">
        <v>38</v>
      </c>
      <c r="E221" s="173"/>
      <c r="F221" s="173"/>
      <c r="G221" s="174"/>
      <c r="H221" s="753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1" t="s">
        <v>111</v>
      </c>
      <c r="E222" s="178"/>
      <c r="F222" s="178"/>
      <c r="G222" s="179"/>
      <c r="H222" s="753"/>
      <c r="I222" s="269"/>
      <c r="J222" s="269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55" t="s">
        <v>109</v>
      </c>
      <c r="I223" s="269">
        <f ca="1">IFERROR(__xludf.DUMMYFUNCTION("IMPORTRANGE(""https://docs.google.com/spreadsheets/d/1QqKyyYR6Q21VydFLVH3TRQUabQu_ym0Zz7PgGX0-kHA/edit?usp=sharing"",""แผน!AT54"")"),12800)</f>
        <v>12800</v>
      </c>
      <c r="J223" s="214">
        <v>0</v>
      </c>
      <c r="K223" s="163">
        <f t="shared" ref="K223:K226" ca="1" si="104">IF(I223&gt;0,J223*100/I223,0)</f>
        <v>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55" t="s">
        <v>109</v>
      </c>
      <c r="I224" s="269">
        <f ca="1">IFERROR(__xludf.DUMMYFUNCTION("IMPORTRANGE(""https://docs.google.com/spreadsheets/d/1QqKyyYR6Q21VydFLVH3TRQUabQu_ym0Zz7PgGX0-kHA/edit?usp=sharing"",""แผน!AT54"")"),12800)</f>
        <v>12800</v>
      </c>
      <c r="J224" s="214">
        <v>0</v>
      </c>
      <c r="K224" s="163">
        <f t="shared" ca="1" si="104"/>
        <v>0</v>
      </c>
      <c r="L224" s="496"/>
      <c r="M224" s="496"/>
      <c r="N224" s="496"/>
      <c r="O224" s="496"/>
      <c r="P224" s="496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1" t="s">
        <v>114</v>
      </c>
      <c r="E225" s="178"/>
      <c r="F225" s="178"/>
      <c r="G225" s="179"/>
      <c r="H225" s="755" t="s">
        <v>35</v>
      </c>
      <c r="I225" s="269">
        <f ca="1">IFERROR(__xludf.DUMMYFUNCTION("IMPORTRANGE(""https://docs.google.com/spreadsheets/d/1QqKyyYR6Q21VydFLVH3TRQUabQu_ym0Zz7PgGX0-kHA/edit?usp=sharing"",""แผน!AS54"")"),0)</f>
        <v>0</v>
      </c>
      <c r="J225" s="214">
        <v>0</v>
      </c>
      <c r="K225" s="163">
        <f t="shared" ca="1" si="104"/>
        <v>0</v>
      </c>
      <c r="L225" s="496"/>
      <c r="M225" s="496"/>
      <c r="N225" s="496"/>
      <c r="O225" s="496"/>
      <c r="P225" s="496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5"/>
      <c r="B226" s="263"/>
      <c r="C226" s="341" t="s">
        <v>115</v>
      </c>
      <c r="D226" s="256"/>
      <c r="E226" s="256"/>
      <c r="F226" s="256"/>
      <c r="G226" s="258"/>
      <c r="H226" s="265" t="s">
        <v>35</v>
      </c>
      <c r="I226" s="344">
        <f t="shared" ref="I226:J226" ca="1" si="105">I237+I248</f>
        <v>20</v>
      </c>
      <c r="J226" s="344">
        <f t="shared" si="105"/>
        <v>0</v>
      </c>
      <c r="K226" s="345">
        <f t="shared" ca="1" si="104"/>
        <v>0</v>
      </c>
      <c r="L226" s="261"/>
      <c r="M226" s="261"/>
      <c r="N226" s="261"/>
      <c r="O226" s="261"/>
      <c r="P226" s="261"/>
    </row>
    <row r="227" spans="1:26" ht="19.5" hidden="1">
      <c r="A227" s="347"/>
      <c r="B227" s="348"/>
      <c r="C227" s="349" t="s">
        <v>16</v>
      </c>
      <c r="D227" s="827" t="s">
        <v>17</v>
      </c>
      <c r="E227" s="348"/>
      <c r="F227" s="348"/>
      <c r="G227" s="351"/>
      <c r="H227" s="352" t="s">
        <v>12</v>
      </c>
      <c r="I227" s="353"/>
      <c r="J227" s="353"/>
      <c r="K227" s="354"/>
      <c r="L227" s="355">
        <f t="shared" ref="L227:L231" ca="1" si="106">L238+L249</f>
        <v>89000</v>
      </c>
      <c r="M227" s="355"/>
      <c r="N227" s="355">
        <f t="shared" ref="N227:N231" si="107">N238+N249</f>
        <v>1840</v>
      </c>
      <c r="O227" s="828"/>
      <c r="P227" s="828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6"/>
      <c r="C228" s="40"/>
      <c r="D228" s="222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20000</v>
      </c>
      <c r="M228" s="93"/>
      <c r="N228" s="93">
        <f t="shared" si="107"/>
        <v>1840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8"/>
      <c r="B229" s="356"/>
      <c r="C229" s="359"/>
      <c r="D229" s="222" t="s">
        <v>98</v>
      </c>
      <c r="E229" s="40"/>
      <c r="F229" s="40"/>
      <c r="G229" s="42"/>
      <c r="H229" s="165" t="s">
        <v>12</v>
      </c>
      <c r="I229" s="610"/>
      <c r="J229" s="610"/>
      <c r="K229" s="93"/>
      <c r="L229" s="93">
        <f t="shared" ca="1" si="106"/>
        <v>39000</v>
      </c>
      <c r="M229" s="93"/>
      <c r="N229" s="93">
        <f t="shared" si="107"/>
        <v>0</v>
      </c>
      <c r="O229" s="93"/>
      <c r="P229" s="93"/>
      <c r="Q229" s="360"/>
      <c r="R229" s="360"/>
      <c r="S229" s="360"/>
      <c r="T229" s="360"/>
      <c r="U229" s="360"/>
      <c r="V229" s="360"/>
      <c r="W229" s="360"/>
      <c r="X229" s="360"/>
      <c r="Y229" s="360"/>
      <c r="Z229" s="360"/>
    </row>
    <row r="230" spans="1:26" ht="19.5" hidden="1">
      <c r="A230" s="358"/>
      <c r="B230" s="356"/>
      <c r="C230" s="359"/>
      <c r="D230" s="222" t="s">
        <v>116</v>
      </c>
      <c r="E230" s="40"/>
      <c r="F230" s="40"/>
      <c r="G230" s="42"/>
      <c r="H230" s="165" t="s">
        <v>12</v>
      </c>
      <c r="I230" s="610"/>
      <c r="J230" s="610"/>
      <c r="K230" s="93"/>
      <c r="L230" s="93">
        <f t="shared" ca="1" si="106"/>
        <v>20000</v>
      </c>
      <c r="M230" s="93"/>
      <c r="N230" s="93">
        <f t="shared" si="107"/>
        <v>0</v>
      </c>
      <c r="O230" s="93"/>
      <c r="P230" s="93"/>
      <c r="Q230" s="360"/>
      <c r="R230" s="360"/>
      <c r="S230" s="360"/>
      <c r="T230" s="360"/>
      <c r="U230" s="360"/>
      <c r="V230" s="360"/>
      <c r="W230" s="360"/>
      <c r="X230" s="360"/>
      <c r="Y230" s="360"/>
      <c r="Z230" s="360"/>
    </row>
    <row r="231" spans="1:26" ht="19.5" hidden="1">
      <c r="A231" s="358"/>
      <c r="B231" s="356"/>
      <c r="C231" s="359"/>
      <c r="D231" s="222" t="s">
        <v>100</v>
      </c>
      <c r="E231" s="40"/>
      <c r="F231" s="40"/>
      <c r="G231" s="42"/>
      <c r="H231" s="165" t="s">
        <v>12</v>
      </c>
      <c r="I231" s="610"/>
      <c r="J231" s="610"/>
      <c r="K231" s="93"/>
      <c r="L231" s="93">
        <f t="shared" ca="1" si="106"/>
        <v>10000</v>
      </c>
      <c r="M231" s="93"/>
      <c r="N231" s="93">
        <f t="shared" si="107"/>
        <v>0</v>
      </c>
      <c r="O231" s="93"/>
      <c r="P231" s="93"/>
      <c r="Q231" s="360"/>
      <c r="R231" s="360"/>
      <c r="S231" s="360"/>
      <c r="T231" s="360"/>
      <c r="U231" s="360"/>
      <c r="V231" s="360"/>
      <c r="W231" s="360"/>
      <c r="X231" s="360"/>
      <c r="Y231" s="360"/>
      <c r="Z231" s="360"/>
    </row>
    <row r="232" spans="1:26" ht="19.5" hidden="1">
      <c r="A232" s="361"/>
      <c r="B232" s="362"/>
      <c r="C232" s="359" t="s">
        <v>16</v>
      </c>
      <c r="D232" s="266" t="s">
        <v>38</v>
      </c>
      <c r="E232" s="363"/>
      <c r="F232" s="363"/>
      <c r="G232" s="364"/>
      <c r="H232" s="365"/>
      <c r="I232" s="166"/>
      <c r="J232" s="610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1"/>
      <c r="B233" s="362"/>
      <c r="C233" s="362"/>
      <c r="D233" s="366" t="s">
        <v>117</v>
      </c>
      <c r="E233" s="372"/>
      <c r="F233" s="372"/>
      <c r="G233" s="368"/>
      <c r="H233" s="369" t="s">
        <v>35</v>
      </c>
      <c r="I233" s="610">
        <f t="shared" ref="I233:J233" ca="1" si="108">I244+I255</f>
        <v>20</v>
      </c>
      <c r="J233" s="610">
        <f t="shared" si="108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1"/>
      <c r="B234" s="362"/>
      <c r="C234" s="362"/>
      <c r="D234" s="371" t="s">
        <v>43</v>
      </c>
      <c r="E234" s="372"/>
      <c r="F234" s="372"/>
      <c r="G234" s="368"/>
      <c r="H234" s="369"/>
      <c r="I234" s="610"/>
      <c r="J234" s="610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1"/>
      <c r="B235" s="362"/>
      <c r="C235" s="362"/>
      <c r="D235" s="362"/>
      <c r="E235" s="373" t="s">
        <v>118</v>
      </c>
      <c r="F235" s="372"/>
      <c r="G235" s="368"/>
      <c r="H235" s="369" t="s">
        <v>35</v>
      </c>
      <c r="I235" s="610">
        <f t="shared" ref="I235:J236" si="109">I246+I257</f>
        <v>20</v>
      </c>
      <c r="J235" s="610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1"/>
      <c r="B236" s="362"/>
      <c r="C236" s="362"/>
      <c r="D236" s="362"/>
      <c r="E236" s="373" t="s">
        <v>119</v>
      </c>
      <c r="F236" s="372"/>
      <c r="G236" s="368"/>
      <c r="H236" s="369" t="s">
        <v>69</v>
      </c>
      <c r="I236" s="610">
        <f t="shared" si="109"/>
        <v>1</v>
      </c>
      <c r="J236" s="610">
        <f t="shared" si="109"/>
        <v>0</v>
      </c>
      <c r="K236" s="93">
        <f t="shared" si="110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>
      <c r="A237" s="255"/>
      <c r="B237" s="263"/>
      <c r="C237" s="270" t="s">
        <v>120</v>
      </c>
      <c r="D237" s="256"/>
      <c r="E237" s="256"/>
      <c r="F237" s="256"/>
      <c r="G237" s="258"/>
      <c r="H237" s="259" t="s">
        <v>35</v>
      </c>
      <c r="I237" s="271">
        <f t="shared" ref="I237:J237" ca="1" si="111">I244</f>
        <v>20</v>
      </c>
      <c r="J237" s="271">
        <f t="shared" si="111"/>
        <v>0</v>
      </c>
      <c r="K237" s="272">
        <f t="shared" ca="1" si="110"/>
        <v>0</v>
      </c>
      <c r="L237" s="261"/>
      <c r="M237" s="261"/>
      <c r="N237" s="261"/>
      <c r="O237" s="261"/>
      <c r="P237" s="261"/>
    </row>
    <row r="238" spans="1:26" ht="19.5">
      <c r="A238" s="147"/>
      <c r="B238" s="148"/>
      <c r="C238" s="149" t="s">
        <v>16</v>
      </c>
      <c r="D238" s="822" t="s">
        <v>17</v>
      </c>
      <c r="E238" s="148"/>
      <c r="F238" s="148"/>
      <c r="G238" s="151"/>
      <c r="H238" s="274" t="s">
        <v>12</v>
      </c>
      <c r="I238" s="418"/>
      <c r="J238" s="418"/>
      <c r="K238" s="279"/>
      <c r="L238" s="155">
        <f ca="1">L239+L240+L241+L242</f>
        <v>89000</v>
      </c>
      <c r="M238" s="155"/>
      <c r="N238" s="155">
        <f>N239+N240+N241+N242</f>
        <v>1840</v>
      </c>
      <c r="O238" s="155">
        <f ca="1">IF(L238&gt;0,N238*100/L238,0)</f>
        <v>2.0674157303370788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>
      <c r="A239" s="314"/>
      <c r="B239" s="315"/>
      <c r="C239" s="316"/>
      <c r="D239" s="324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282">
        <f ca="1">IFERROR(__xludf.DUMMYFUNCTION("IMPORTRANGE(""https://docs.google.com/spreadsheets/d/1QqKyyYR6Q21VydFLVH3TRQUabQu_ym0Zz7PgGX0-kHA/edit?usp=sharing"",""แผน!AV54"")"),20000)</f>
        <v>20000</v>
      </c>
      <c r="M239" s="282"/>
      <c r="N239" s="829">
        <v>1840</v>
      </c>
      <c r="O239" s="282"/>
      <c r="P239" s="28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>
      <c r="A240" s="322"/>
      <c r="B240" s="315"/>
      <c r="C240" s="323"/>
      <c r="D240" s="324" t="s">
        <v>98</v>
      </c>
      <c r="E240" s="316"/>
      <c r="F240" s="316"/>
      <c r="G240" s="318"/>
      <c r="H240" s="319" t="s">
        <v>12</v>
      </c>
      <c r="I240" s="325"/>
      <c r="J240" s="325"/>
      <c r="K240" s="282"/>
      <c r="L240" s="282">
        <f ca="1">IFERROR(__xludf.DUMMYFUNCTION("IMPORTRANGE(""https://docs.google.com/spreadsheets/d/1QqKyyYR6Q21VydFLVH3TRQUabQu_ym0Zz7PgGX0-kHA/edit?usp=sharing"",""แผน!AW54"")"),39000)</f>
        <v>39000</v>
      </c>
      <c r="M240" s="282"/>
      <c r="N240" s="829">
        <v>0</v>
      </c>
      <c r="O240" s="282"/>
      <c r="P240" s="282"/>
      <c r="Q240" s="326"/>
      <c r="R240" s="326"/>
      <c r="S240" s="326"/>
      <c r="T240" s="326"/>
      <c r="U240" s="326"/>
      <c r="V240" s="326"/>
      <c r="W240" s="326"/>
      <c r="X240" s="326"/>
      <c r="Y240" s="326"/>
      <c r="Z240" s="326"/>
    </row>
    <row r="241" spans="1:26" ht="19.5">
      <c r="A241" s="322"/>
      <c r="B241" s="315"/>
      <c r="C241" s="323"/>
      <c r="D241" s="324" t="s">
        <v>116</v>
      </c>
      <c r="E241" s="316"/>
      <c r="F241" s="316"/>
      <c r="G241" s="318"/>
      <c r="H241" s="319" t="s">
        <v>12</v>
      </c>
      <c r="I241" s="325"/>
      <c r="J241" s="325"/>
      <c r="K241" s="282"/>
      <c r="L241" s="282">
        <f ca="1">IFERROR(__xludf.DUMMYFUNCTION("IMPORTRANGE(""https://docs.google.com/spreadsheets/d/1QqKyyYR6Q21VydFLVH3TRQUabQu_ym0Zz7PgGX0-kHA/edit?usp=sharing"",""แผน!AX54"")"),20000)</f>
        <v>20000</v>
      </c>
      <c r="M241" s="282"/>
      <c r="N241" s="829">
        <v>0</v>
      </c>
      <c r="O241" s="282"/>
      <c r="P241" s="282"/>
      <c r="Q241" s="326"/>
      <c r="R241" s="326"/>
      <c r="S241" s="326"/>
      <c r="T241" s="326"/>
      <c r="U241" s="326"/>
      <c r="V241" s="326"/>
      <c r="W241" s="326"/>
      <c r="X241" s="326"/>
      <c r="Y241" s="326"/>
      <c r="Z241" s="326"/>
    </row>
    <row r="242" spans="1:26" ht="19.5">
      <c r="A242" s="322"/>
      <c r="B242" s="315"/>
      <c r="C242" s="323"/>
      <c r="D242" s="324" t="s">
        <v>100</v>
      </c>
      <c r="E242" s="316"/>
      <c r="F242" s="316"/>
      <c r="G242" s="318"/>
      <c r="H242" s="319" t="s">
        <v>12</v>
      </c>
      <c r="I242" s="325"/>
      <c r="J242" s="325"/>
      <c r="K242" s="282"/>
      <c r="L242" s="282">
        <f ca="1">IFERROR(__xludf.DUMMYFUNCTION("IMPORTRANGE(""https://docs.google.com/spreadsheets/d/1QqKyyYR6Q21VydFLVH3TRQUabQu_ym0Zz7PgGX0-kHA/edit?usp=sharing"",""แผน!AY54"")"),10000)</f>
        <v>10000</v>
      </c>
      <c r="M242" s="282"/>
      <c r="N242" s="829">
        <v>0</v>
      </c>
      <c r="O242" s="282"/>
      <c r="P242" s="282"/>
      <c r="Q242" s="326"/>
      <c r="R242" s="326"/>
      <c r="S242" s="326"/>
      <c r="T242" s="326"/>
      <c r="U242" s="326"/>
      <c r="V242" s="326"/>
      <c r="W242" s="326"/>
      <c r="X242" s="326"/>
      <c r="Y242" s="326"/>
      <c r="Z242" s="326"/>
    </row>
    <row r="243" spans="1:26" ht="19.5">
      <c r="A243" s="170"/>
      <c r="B243" s="171"/>
      <c r="C243" s="292" t="s">
        <v>16</v>
      </c>
      <c r="D243" s="823" t="s">
        <v>38</v>
      </c>
      <c r="E243" s="173"/>
      <c r="F243" s="173"/>
      <c r="G243" s="174"/>
      <c r="H243" s="753"/>
      <c r="I243" s="184"/>
      <c r="J243" s="269"/>
      <c r="K243" s="496"/>
      <c r="L243" s="496"/>
      <c r="M243" s="496"/>
      <c r="N243" s="496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>
      <c r="A244" s="170"/>
      <c r="B244" s="171"/>
      <c r="C244" s="171"/>
      <c r="D244" s="446" t="s">
        <v>117</v>
      </c>
      <c r="E244" s="178"/>
      <c r="F244" s="178"/>
      <c r="G244" s="179"/>
      <c r="H244" s="755" t="s">
        <v>35</v>
      </c>
      <c r="I244" s="269">
        <f ca="1">IFERROR(__xludf.DUMMYFUNCTION("IMPORTRANGE(""https://docs.google.com/spreadsheets/d/1QqKyyYR6Q21VydFLVH3TRQUabQu_ym0Zz7PgGX0-kHA/edit?usp=sharing"",""แผน!BE54"")"),20)</f>
        <v>20</v>
      </c>
      <c r="J244" s="214">
        <v>0</v>
      </c>
      <c r="K244" s="496">
        <f ca="1">IF(I244&gt;0,J244*100/I244,0)</f>
        <v>0</v>
      </c>
      <c r="L244" s="496"/>
      <c r="M244" s="496"/>
      <c r="N244" s="496"/>
      <c r="O244" s="496"/>
      <c r="P244" s="496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>
      <c r="A245" s="170"/>
      <c r="B245" s="171"/>
      <c r="C245" s="171"/>
      <c r="D245" s="830" t="s">
        <v>43</v>
      </c>
      <c r="E245" s="178"/>
      <c r="F245" s="178"/>
      <c r="G245" s="179"/>
      <c r="H245" s="755"/>
      <c r="I245" s="269"/>
      <c r="J245" s="269"/>
      <c r="K245" s="496"/>
      <c r="L245" s="496"/>
      <c r="M245" s="496"/>
      <c r="N245" s="496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>
      <c r="A246" s="170"/>
      <c r="B246" s="171"/>
      <c r="C246" s="171"/>
      <c r="D246" s="171"/>
      <c r="E246" s="176" t="s">
        <v>118</v>
      </c>
      <c r="F246" s="178"/>
      <c r="G246" s="179"/>
      <c r="H246" s="755" t="s">
        <v>35</v>
      </c>
      <c r="I246" s="269">
        <v>20</v>
      </c>
      <c r="J246" s="214">
        <v>0</v>
      </c>
      <c r="K246" s="496">
        <f t="shared" ref="K246:K248" si="112">IF(I246&gt;0,J246*100/I246,0)</f>
        <v>0</v>
      </c>
      <c r="L246" s="496"/>
      <c r="M246" s="496"/>
      <c r="N246" s="496"/>
      <c r="O246" s="496"/>
      <c r="P246" s="496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>
      <c r="A247" s="170"/>
      <c r="B247" s="171"/>
      <c r="C247" s="171"/>
      <c r="D247" s="171"/>
      <c r="E247" s="176" t="s">
        <v>119</v>
      </c>
      <c r="F247" s="178"/>
      <c r="G247" s="179"/>
      <c r="H247" s="755" t="s">
        <v>69</v>
      </c>
      <c r="I247" s="269">
        <v>1</v>
      </c>
      <c r="J247" s="214">
        <v>0</v>
      </c>
      <c r="K247" s="496">
        <f t="shared" si="112"/>
        <v>0</v>
      </c>
      <c r="L247" s="496"/>
      <c r="M247" s="496"/>
      <c r="N247" s="496"/>
      <c r="O247" s="496"/>
      <c r="P247" s="496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5"/>
      <c r="B248" s="263"/>
      <c r="C248" s="270" t="s">
        <v>121</v>
      </c>
      <c r="D248" s="256"/>
      <c r="E248" s="256"/>
      <c r="F248" s="256"/>
      <c r="G248" s="258"/>
      <c r="H248" s="259" t="s">
        <v>35</v>
      </c>
      <c r="I248" s="271">
        <f t="shared" ref="I248:J248" ca="1" si="113">I255</f>
        <v>0</v>
      </c>
      <c r="J248" s="271">
        <f t="shared" si="113"/>
        <v>0</v>
      </c>
      <c r="K248" s="272">
        <f t="shared" ca="1" si="112"/>
        <v>0</v>
      </c>
      <c r="L248" s="261"/>
      <c r="M248" s="261"/>
      <c r="N248" s="261"/>
      <c r="O248" s="261"/>
      <c r="P248" s="261"/>
    </row>
    <row r="249" spans="1:26" ht="19.5" hidden="1">
      <c r="A249" s="147"/>
      <c r="B249" s="148"/>
      <c r="C249" s="149" t="s">
        <v>16</v>
      </c>
      <c r="D249" s="826" t="s">
        <v>17</v>
      </c>
      <c r="E249" s="148"/>
      <c r="F249" s="148"/>
      <c r="G249" s="151"/>
      <c r="H249" s="274" t="s">
        <v>12</v>
      </c>
      <c r="I249" s="418"/>
      <c r="J249" s="418"/>
      <c r="K249" s="279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4"/>
      <c r="B250" s="315"/>
      <c r="C250" s="316"/>
      <c r="D250" s="324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282">
        <f ca="1">IFERROR(__xludf.DUMMYFUNCTION("IMPORTRANGE(""https://docs.google.com/spreadsheets/d/1QqKyyYR6Q21VydFLVH3TRQUabQu_ym0Zz7PgGX0-kHA/edit?usp=sharing"",""แผน!AZ54"")"),0)</f>
        <v>0</v>
      </c>
      <c r="M250" s="282"/>
      <c r="N250" s="829">
        <v>0</v>
      </c>
      <c r="O250" s="282"/>
      <c r="P250" s="282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9.5" hidden="1">
      <c r="A251" s="322"/>
      <c r="B251" s="315"/>
      <c r="C251" s="323"/>
      <c r="D251" s="324" t="s">
        <v>98</v>
      </c>
      <c r="E251" s="316"/>
      <c r="F251" s="316"/>
      <c r="G251" s="318"/>
      <c r="H251" s="319" t="s">
        <v>12</v>
      </c>
      <c r="I251" s="325"/>
      <c r="J251" s="325"/>
      <c r="K251" s="282"/>
      <c r="L251" s="282">
        <f ca="1">IFERROR(__xludf.DUMMYFUNCTION("IMPORTRANGE(""https://docs.google.com/spreadsheets/d/1QqKyyYR6Q21VydFLVH3TRQUabQu_ym0Zz7PgGX0-kHA/edit?usp=sharing"",""แผน!BA54"")"),0)</f>
        <v>0</v>
      </c>
      <c r="M251" s="282"/>
      <c r="N251" s="829">
        <v>0</v>
      </c>
      <c r="O251" s="282"/>
      <c r="P251" s="282"/>
      <c r="Q251" s="326"/>
      <c r="R251" s="326"/>
      <c r="S251" s="326"/>
      <c r="T251" s="326"/>
      <c r="U251" s="326"/>
      <c r="V251" s="326"/>
      <c r="W251" s="326"/>
      <c r="X251" s="326"/>
      <c r="Y251" s="326"/>
      <c r="Z251" s="326"/>
    </row>
    <row r="252" spans="1:26" ht="19.5" hidden="1">
      <c r="A252" s="322"/>
      <c r="B252" s="315"/>
      <c r="C252" s="323"/>
      <c r="D252" s="324" t="s">
        <v>116</v>
      </c>
      <c r="E252" s="316"/>
      <c r="F252" s="316"/>
      <c r="G252" s="318"/>
      <c r="H252" s="319" t="s">
        <v>12</v>
      </c>
      <c r="I252" s="325"/>
      <c r="J252" s="325"/>
      <c r="K252" s="282"/>
      <c r="L252" s="282">
        <f ca="1">IFERROR(__xludf.DUMMYFUNCTION("IMPORTRANGE(""https://docs.google.com/spreadsheets/d/1QqKyyYR6Q21VydFLVH3TRQUabQu_ym0Zz7PgGX0-kHA/edit?usp=sharing"",""แผน!BB54"")"),0)</f>
        <v>0</v>
      </c>
      <c r="M252" s="282"/>
      <c r="N252" s="829">
        <v>0</v>
      </c>
      <c r="O252" s="282"/>
      <c r="P252" s="282"/>
      <c r="Q252" s="326"/>
      <c r="R252" s="326"/>
      <c r="S252" s="326"/>
      <c r="T252" s="326"/>
      <c r="U252" s="326"/>
      <c r="V252" s="326"/>
      <c r="W252" s="326"/>
      <c r="X252" s="326"/>
      <c r="Y252" s="326"/>
      <c r="Z252" s="326"/>
    </row>
    <row r="253" spans="1:26" ht="19.5" hidden="1">
      <c r="A253" s="322"/>
      <c r="B253" s="315"/>
      <c r="C253" s="323"/>
      <c r="D253" s="324" t="s">
        <v>100</v>
      </c>
      <c r="E253" s="316"/>
      <c r="F253" s="316"/>
      <c r="G253" s="318"/>
      <c r="H253" s="319" t="s">
        <v>12</v>
      </c>
      <c r="I253" s="325"/>
      <c r="J253" s="325"/>
      <c r="K253" s="282"/>
      <c r="L253" s="282">
        <f ca="1">IFERROR(__xludf.DUMMYFUNCTION("IMPORTRANGE(""https://docs.google.com/spreadsheets/d/1QqKyyYR6Q21VydFLVH3TRQUabQu_ym0Zz7PgGX0-kHA/edit?usp=sharing"",""แผน!BC54"")"),0)</f>
        <v>0</v>
      </c>
      <c r="M253" s="282"/>
      <c r="N253" s="829">
        <v>0</v>
      </c>
      <c r="O253" s="282"/>
      <c r="P253" s="282"/>
      <c r="Q253" s="326"/>
      <c r="R253" s="326"/>
      <c r="S253" s="326"/>
      <c r="T253" s="326"/>
      <c r="U253" s="326"/>
      <c r="V253" s="326"/>
      <c r="W253" s="326"/>
      <c r="X253" s="326"/>
      <c r="Y253" s="326"/>
      <c r="Z253" s="326"/>
    </row>
    <row r="254" spans="1:26" ht="19.5" hidden="1">
      <c r="A254" s="170"/>
      <c r="B254" s="171"/>
      <c r="C254" s="292" t="s">
        <v>16</v>
      </c>
      <c r="D254" s="823" t="s">
        <v>38</v>
      </c>
      <c r="E254" s="173"/>
      <c r="F254" s="173"/>
      <c r="G254" s="174"/>
      <c r="H254" s="753"/>
      <c r="I254" s="184"/>
      <c r="J254" s="269"/>
      <c r="K254" s="496"/>
      <c r="L254" s="496"/>
      <c r="M254" s="496"/>
      <c r="N254" s="496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6" t="s">
        <v>117</v>
      </c>
      <c r="E255" s="178"/>
      <c r="F255" s="178"/>
      <c r="G255" s="179"/>
      <c r="H255" s="755" t="s">
        <v>35</v>
      </c>
      <c r="I255" s="269">
        <f ca="1">IFERROR(__xludf.DUMMYFUNCTION("IMPORTRANGE(""https://docs.google.com/spreadsheets/d/1QqKyyYR6Q21VydFLVH3TRQUabQu_ym0Zz7PgGX0-kHA/edit?usp=sharing"",""แผน!BF54"")"),0)</f>
        <v>0</v>
      </c>
      <c r="J255" s="214">
        <v>0</v>
      </c>
      <c r="K255" s="496">
        <f ca="1">IF(I255&gt;0,J255*100/I255,0)</f>
        <v>0</v>
      </c>
      <c r="L255" s="496"/>
      <c r="M255" s="496"/>
      <c r="N255" s="496"/>
      <c r="O255" s="496"/>
      <c r="P255" s="496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30" t="s">
        <v>43</v>
      </c>
      <c r="E256" s="178"/>
      <c r="F256" s="178"/>
      <c r="G256" s="179"/>
      <c r="H256" s="755"/>
      <c r="I256" s="269"/>
      <c r="J256" s="269"/>
      <c r="K256" s="496"/>
      <c r="L256" s="496"/>
      <c r="M256" s="496"/>
      <c r="N256" s="496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55" t="s">
        <v>35</v>
      </c>
      <c r="I257" s="269"/>
      <c r="J257" s="214">
        <v>0</v>
      </c>
      <c r="K257" s="496">
        <f t="shared" ref="K257:K258" si="114">IF(I257&gt;0,J257*100/I257,0)</f>
        <v>0</v>
      </c>
      <c r="L257" s="496"/>
      <c r="M257" s="496"/>
      <c r="N257" s="496"/>
      <c r="O257" s="496"/>
      <c r="P257" s="496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55" t="s">
        <v>69</v>
      </c>
      <c r="I258" s="269"/>
      <c r="J258" s="214">
        <v>0</v>
      </c>
      <c r="K258" s="496">
        <f t="shared" si="114"/>
        <v>0</v>
      </c>
      <c r="L258" s="496"/>
      <c r="M258" s="496"/>
      <c r="N258" s="496"/>
      <c r="O258" s="496"/>
      <c r="P258" s="496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1" t="s">
        <v>122</v>
      </c>
      <c r="B259" s="242"/>
      <c r="C259" s="242"/>
      <c r="D259" s="243"/>
      <c r="E259" s="243"/>
      <c r="F259" s="243"/>
      <c r="G259" s="244"/>
      <c r="H259" s="245"/>
      <c r="I259" s="246"/>
      <c r="J259" s="246"/>
      <c r="K259" s="247"/>
      <c r="L259" s="247"/>
      <c r="M259" s="247"/>
      <c r="N259" s="247"/>
      <c r="O259" s="247"/>
      <c r="P259" s="247"/>
    </row>
    <row r="260" spans="1:26" ht="19.5">
      <c r="A260" s="248"/>
      <c r="B260" s="249" t="s">
        <v>123</v>
      </c>
      <c r="C260" s="250"/>
      <c r="D260" s="173"/>
      <c r="E260" s="173"/>
      <c r="F260" s="173"/>
      <c r="G260" s="174"/>
      <c r="H260" s="251" t="s">
        <v>35</v>
      </c>
      <c r="I260" s="252">
        <f t="shared" ref="I260:J260" ca="1" si="115">I271</f>
        <v>22</v>
      </c>
      <c r="J260" s="252">
        <f t="shared" si="115"/>
        <v>0</v>
      </c>
      <c r="K260" s="253">
        <f ca="1">IF(I260&gt;0,J260*100/I260,0)</f>
        <v>0</v>
      </c>
      <c r="L260" s="254"/>
      <c r="M260" s="254"/>
      <c r="N260" s="254"/>
      <c r="O260" s="254"/>
      <c r="P260" s="254"/>
    </row>
    <row r="261" spans="1:26" ht="19.5">
      <c r="A261" s="147"/>
      <c r="B261" s="148"/>
      <c r="C261" s="149" t="s">
        <v>16</v>
      </c>
      <c r="D261" s="822" t="s">
        <v>17</v>
      </c>
      <c r="E261" s="148"/>
      <c r="F261" s="148"/>
      <c r="G261" s="151"/>
      <c r="H261" s="152" t="s">
        <v>12</v>
      </c>
      <c r="I261" s="419"/>
      <c r="J261" s="419"/>
      <c r="K261" s="154"/>
      <c r="L261" s="155">
        <f t="shared" ref="L261:N261" ca="1" si="116">L262+L263</f>
        <v>26900</v>
      </c>
      <c r="M261" s="155">
        <f t="shared" ca="1" si="116"/>
        <v>0</v>
      </c>
      <c r="N261" s="155">
        <f t="shared" ca="1" si="116"/>
        <v>0</v>
      </c>
      <c r="O261" s="155">
        <f t="shared" ref="O261:O269" ca="1" si="117">IF(L261&gt;0,N261*100/L261,0)</f>
        <v>0</v>
      </c>
      <c r="P261" s="155">
        <f t="shared" ref="P261:P269" ca="1" si="118">IF(M261&gt;0,N261*100/M261,0)</f>
        <v>0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2" t="s">
        <v>18</v>
      </c>
      <c r="F262" s="40"/>
      <c r="G262" s="157"/>
      <c r="H262" s="158" t="s">
        <v>12</v>
      </c>
      <c r="I262" s="610"/>
      <c r="J262" s="610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2" t="s">
        <v>19</v>
      </c>
      <c r="F263" s="40"/>
      <c r="G263" s="157"/>
      <c r="H263" s="158" t="s">
        <v>12</v>
      </c>
      <c r="I263" s="610"/>
      <c r="J263" s="610"/>
      <c r="K263" s="93"/>
      <c r="L263" s="93">
        <f t="shared" ca="1" si="119"/>
        <v>26900</v>
      </c>
      <c r="M263" s="93">
        <f t="shared" ca="1" si="119"/>
        <v>0</v>
      </c>
      <c r="N263" s="93">
        <f t="shared" ca="1" si="119"/>
        <v>0</v>
      </c>
      <c r="O263" s="93">
        <f t="shared" ca="1" si="117"/>
        <v>0</v>
      </c>
      <c r="P263" s="93">
        <f t="shared" ca="1" si="118"/>
        <v>0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1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6">
        <f t="shared" ref="L264:N264" ca="1" si="120">L265+L266</f>
        <v>26900</v>
      </c>
      <c r="M264" s="496">
        <f t="shared" ca="1" si="120"/>
        <v>0</v>
      </c>
      <c r="N264" s="496">
        <f t="shared" ca="1" si="120"/>
        <v>0</v>
      </c>
      <c r="O264" s="496">
        <f t="shared" ca="1" si="117"/>
        <v>0</v>
      </c>
      <c r="P264" s="496">
        <f t="shared" ca="1" si="118"/>
        <v>0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2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2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IFERROR(__xludf.DUMMYFUNCTION("IMPORTRANGE(""https://docs.google.com/spreadsheets/d/1MeEWN-I1oV_STSDYn1IFDPWt_1FKiwhDph83XaGc0o0/edit?usp=sharing"",""งบพรบ!CY54"")"),26900)</f>
        <v>26900</v>
      </c>
      <c r="M266" s="93">
        <f ca="1">IFERROR(__xludf.DUMMYFUNCTION("IMPORTRANGE(""https://docs.google.com/spreadsheets/d/1MeEWN-I1oV_STSDYn1IFDPWt_1FKiwhDph83XaGc0o0/edit?usp=sharing"",""งบพรบ!DD54"")"),0)</f>
        <v>0</v>
      </c>
      <c r="N266" s="93">
        <f ca="1">IFERROR(__xludf.DUMMYFUNCTION("IMPORTRANGE(""https://docs.google.com/spreadsheets/d/1MeEWN-I1oV_STSDYn1IFDPWt_1FKiwhDph83XaGc0o0/edit?usp=sharing"",""งบพรบ!DF54"")"),0)</f>
        <v>0</v>
      </c>
      <c r="O266" s="93">
        <f t="shared" ca="1" si="117"/>
        <v>0</v>
      </c>
      <c r="P266" s="93">
        <f t="shared" ca="1" si="118"/>
        <v>0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1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6">
        <f t="shared" ref="L267:N267" ca="1" si="121">L268+L269</f>
        <v>0</v>
      </c>
      <c r="M267" s="496">
        <f t="shared" ca="1" si="121"/>
        <v>0</v>
      </c>
      <c r="N267" s="496">
        <f t="shared" ca="1" si="121"/>
        <v>0</v>
      </c>
      <c r="O267" s="496">
        <f t="shared" ca="1" si="117"/>
        <v>0</v>
      </c>
      <c r="P267" s="496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2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2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IFERROR(__xludf.DUMMYFUNCTION("IMPORTRANGE(""https://docs.google.com/spreadsheets/d/1MeEWN-I1oV_STSDYn1IFDPWt_1FKiwhDph83XaGc0o0/edit?usp=sharing"",""งบพรบ!DB54"")"),0)</f>
        <v>0</v>
      </c>
      <c r="M269" s="93">
        <f ca="1">IFERROR(__xludf.DUMMYFUNCTION("IMPORTRANGE(""https://docs.google.com/spreadsheets/d/1MeEWN-I1oV_STSDYn1IFDPWt_1FKiwhDph83XaGc0o0/edit?usp=sharing"",""งบพรบ!DE54"")"),0)</f>
        <v>0</v>
      </c>
      <c r="N269" s="93">
        <f ca="1">IFERROR(__xludf.DUMMYFUNCTION("IMPORTRANGE(""https://docs.google.com/spreadsheets/d/1MeEWN-I1oV_STSDYn1IFDPWt_1FKiwhDph83XaGc0o0/edit?usp=sharing"",""งบพรบ!DG54"")"),0)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1" t="s">
        <v>16</v>
      </c>
      <c r="D270" s="823" t="s">
        <v>38</v>
      </c>
      <c r="E270" s="173"/>
      <c r="F270" s="173"/>
      <c r="G270" s="174"/>
      <c r="H270" s="753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5" t="s">
        <v>124</v>
      </c>
      <c r="E271" s="178"/>
      <c r="F271" s="366"/>
      <c r="G271" s="179"/>
      <c r="H271" s="376" t="s">
        <v>35</v>
      </c>
      <c r="I271" s="269">
        <f ca="1">IFERROR(__xludf.DUMMYFUNCTION("IMPORTRANGE(""https://docs.google.com/spreadsheets/d/1QqKyyYR6Q21VydFLVH3TRQUabQu_ym0Zz7PgGX0-kHA/edit?usp=sharing"",""แผน!EA54"")"),22)</f>
        <v>22</v>
      </c>
      <c r="J271" s="214">
        <v>0</v>
      </c>
      <c r="K271" s="163">
        <f ca="1">IF(I271&gt;0,J271*100/I271,0)</f>
        <v>0</v>
      </c>
      <c r="L271" s="163"/>
      <c r="M271" s="163"/>
      <c r="N271" s="163"/>
      <c r="O271" s="163"/>
      <c r="P271" s="163"/>
    </row>
    <row r="272" spans="1:26" ht="18.75" hidden="1">
      <c r="A272" s="377"/>
      <c r="B272" s="378"/>
      <c r="C272" s="378"/>
      <c r="D272" s="379" t="s">
        <v>125</v>
      </c>
      <c r="E272" s="380"/>
      <c r="F272" s="380"/>
      <c r="G272" s="381"/>
      <c r="H272" s="50" t="s">
        <v>35</v>
      </c>
      <c r="I272" s="499">
        <v>0</v>
      </c>
      <c r="J272" s="499">
        <v>0</v>
      </c>
      <c r="K272" s="384">
        <v>0</v>
      </c>
      <c r="L272" s="384"/>
      <c r="M272" s="384"/>
      <c r="N272" s="384"/>
      <c r="O272" s="384"/>
      <c r="P272" s="384"/>
    </row>
    <row r="273" spans="1:26" ht="19.5">
      <c r="A273" s="385" t="s">
        <v>126</v>
      </c>
      <c r="B273" s="386"/>
      <c r="C273" s="386"/>
      <c r="D273" s="386"/>
      <c r="E273" s="387"/>
      <c r="F273" s="387"/>
      <c r="G273" s="388"/>
      <c r="H273" s="389"/>
      <c r="I273" s="390"/>
      <c r="J273" s="390"/>
      <c r="K273" s="391"/>
      <c r="L273" s="391"/>
      <c r="M273" s="391"/>
      <c r="N273" s="391"/>
      <c r="O273" s="391"/>
      <c r="P273" s="391"/>
    </row>
    <row r="274" spans="1:26" ht="19.5" hidden="1">
      <c r="A274" s="392" t="s">
        <v>127</v>
      </c>
      <c r="B274" s="393"/>
      <c r="C274" s="394"/>
      <c r="D274" s="393"/>
      <c r="E274" s="393"/>
      <c r="F274" s="393"/>
      <c r="G274" s="393"/>
      <c r="H274" s="395"/>
      <c r="I274" s="396"/>
      <c r="J274" s="397"/>
      <c r="K274" s="398"/>
      <c r="L274" s="398"/>
      <c r="M274" s="398"/>
      <c r="N274" s="398"/>
      <c r="O274" s="398"/>
      <c r="P274" s="398"/>
    </row>
    <row r="275" spans="1:26" ht="19.5" hidden="1">
      <c r="A275" s="399"/>
      <c r="B275" s="408" t="s">
        <v>128</v>
      </c>
      <c r="C275" s="401"/>
      <c r="D275" s="402"/>
      <c r="E275" s="401"/>
      <c r="F275" s="401"/>
      <c r="G275" s="403"/>
      <c r="H275" s="404" t="s">
        <v>35</v>
      </c>
      <c r="I275" s="405">
        <f t="shared" ref="I275:J275" ca="1" si="122">I288</f>
        <v>0</v>
      </c>
      <c r="J275" s="405">
        <f t="shared" ca="1" si="122"/>
        <v>0</v>
      </c>
      <c r="K275" s="406">
        <f t="shared" ref="K275:K276" ca="1" si="123">IF(I275&gt;0,J275*100/I275,0)</f>
        <v>0</v>
      </c>
      <c r="L275" s="407"/>
      <c r="M275" s="407"/>
      <c r="N275" s="407"/>
      <c r="O275" s="407"/>
      <c r="P275" s="407"/>
    </row>
    <row r="276" spans="1:26" ht="19.5" hidden="1">
      <c r="A276" s="399"/>
      <c r="B276" s="408"/>
      <c r="C276" s="401"/>
      <c r="D276" s="402"/>
      <c r="E276" s="401"/>
      <c r="F276" s="401"/>
      <c r="G276" s="403"/>
      <c r="H276" s="404" t="s">
        <v>46</v>
      </c>
      <c r="I276" s="831">
        <f t="shared" ref="I276:J276" ca="1" si="124">I287</f>
        <v>0</v>
      </c>
      <c r="J276" s="831">
        <f t="shared" si="124"/>
        <v>0</v>
      </c>
      <c r="K276" s="407">
        <f t="shared" ca="1" si="123"/>
        <v>0</v>
      </c>
      <c r="L276" s="407"/>
      <c r="M276" s="407"/>
      <c r="N276" s="407"/>
      <c r="O276" s="407"/>
      <c r="P276" s="407"/>
    </row>
    <row r="277" spans="1:26" ht="19.5" hidden="1">
      <c r="A277" s="147"/>
      <c r="B277" s="148"/>
      <c r="C277" s="149" t="s">
        <v>16</v>
      </c>
      <c r="D277" s="822" t="s">
        <v>17</v>
      </c>
      <c r="E277" s="148"/>
      <c r="F277" s="148"/>
      <c r="G277" s="151"/>
      <c r="H277" s="152" t="s">
        <v>12</v>
      </c>
      <c r="I277" s="419"/>
      <c r="J277" s="419"/>
      <c r="K277" s="154"/>
      <c r="L277" s="155">
        <f t="shared" ref="L277:N277" ca="1" si="125">L278+L279</f>
        <v>0</v>
      </c>
      <c r="M277" s="155">
        <f t="shared" ca="1" si="125"/>
        <v>0</v>
      </c>
      <c r="N277" s="155">
        <f t="shared" ca="1" si="125"/>
        <v>0</v>
      </c>
      <c r="O277" s="155">
        <f t="shared" ref="O277:O285" ca="1" si="126">IF(L277&gt;0,N277*100/L277,0)</f>
        <v>0</v>
      </c>
      <c r="P277" s="155">
        <f t="shared" ref="P277:P285" ca="1" si="127">IF(M277&gt;0,N277*100/M277,0)</f>
        <v>0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2" t="s">
        <v>18</v>
      </c>
      <c r="F278" s="40"/>
      <c r="G278" s="157"/>
      <c r="H278" s="158" t="s">
        <v>12</v>
      </c>
      <c r="I278" s="610"/>
      <c r="J278" s="610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2" t="s">
        <v>19</v>
      </c>
      <c r="F279" s="40"/>
      <c r="G279" s="157"/>
      <c r="H279" s="158" t="s">
        <v>12</v>
      </c>
      <c r="I279" s="610"/>
      <c r="J279" s="610"/>
      <c r="K279" s="93"/>
      <c r="L279" s="93">
        <f t="shared" ca="1" si="128"/>
        <v>0</v>
      </c>
      <c r="M279" s="93">
        <f t="shared" ca="1" si="128"/>
        <v>0</v>
      </c>
      <c r="N279" s="93">
        <f t="shared" ca="1" si="128"/>
        <v>0</v>
      </c>
      <c r="O279" s="93">
        <f t="shared" ca="1" si="126"/>
        <v>0</v>
      </c>
      <c r="P279" s="93">
        <f t="shared" ca="1" si="127"/>
        <v>0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 hidden="1">
      <c r="A280" s="159"/>
      <c r="B280" s="33"/>
      <c r="C280" s="281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6">
        <f t="shared" ref="L280:N280" ca="1" si="129">L281+L282</f>
        <v>0</v>
      </c>
      <c r="M280" s="496">
        <f t="shared" ca="1" si="129"/>
        <v>0</v>
      </c>
      <c r="N280" s="496">
        <f t="shared" ca="1" si="129"/>
        <v>0</v>
      </c>
      <c r="O280" s="496">
        <f t="shared" ca="1" si="126"/>
        <v>0</v>
      </c>
      <c r="P280" s="496">
        <f t="shared" ca="1" si="127"/>
        <v>0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2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2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IFERROR(__xludf.DUMMYFUNCTION("IMPORTRANGE(""https://docs.google.com/spreadsheets/d/1MeEWN-I1oV_STSDYn1IFDPWt_1FKiwhDph83XaGc0o0/edit?usp=sharing"",""งบพรบ!DI54"")"),0)</f>
        <v>0</v>
      </c>
      <c r="M282" s="93">
        <f ca="1">IFERROR(__xludf.DUMMYFUNCTION("IMPORTRANGE(""https://docs.google.com/spreadsheets/d/1MeEWN-I1oV_STSDYn1IFDPWt_1FKiwhDph83XaGc0o0/edit?usp=sharing"",""งบพรบ!DN54"")"),0)</f>
        <v>0</v>
      </c>
      <c r="N282" s="93">
        <f ca="1">IFERROR(__xludf.DUMMYFUNCTION("IMPORTRANGE(""https://docs.google.com/spreadsheets/d/1MeEWN-I1oV_STSDYn1IFDPWt_1FKiwhDph83XaGc0o0/edit?usp=sharing"",""งบพรบ!DP54"")"),0)</f>
        <v>0</v>
      </c>
      <c r="O282" s="93">
        <f t="shared" ca="1" si="126"/>
        <v>0</v>
      </c>
      <c r="P282" s="93">
        <f t="shared" ca="1" si="127"/>
        <v>0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 hidden="1">
      <c r="A283" s="159"/>
      <c r="B283" s="33"/>
      <c r="C283" s="281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6">
        <f t="shared" ref="L283:N283" ca="1" si="130">L284+L285</f>
        <v>0</v>
      </c>
      <c r="M283" s="496">
        <f t="shared" ca="1" si="130"/>
        <v>0</v>
      </c>
      <c r="N283" s="496">
        <f t="shared" ca="1" si="130"/>
        <v>0</v>
      </c>
      <c r="O283" s="496">
        <f t="shared" ca="1" si="126"/>
        <v>0</v>
      </c>
      <c r="P283" s="496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2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2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IFERROR(__xludf.DUMMYFUNCTION("IMPORTRANGE(""https://docs.google.com/spreadsheets/d/1MeEWN-I1oV_STSDYn1IFDPWt_1FKiwhDph83XaGc0o0/edit?usp=sharing"",""งบพรบ!DL54"")"),0)</f>
        <v>0</v>
      </c>
      <c r="M285" s="93">
        <f ca="1">IFERROR(__xludf.DUMMYFUNCTION("IMPORTRANGE(""https://docs.google.com/spreadsheets/d/1MeEWN-I1oV_STSDYn1IFDPWt_1FKiwhDph83XaGc0o0/edit?usp=sharing"",""งบพรบ!DO54"")"),0)</f>
        <v>0</v>
      </c>
      <c r="N285" s="93">
        <f ca="1">IFERROR(__xludf.DUMMYFUNCTION("IMPORTRANGE(""https://docs.google.com/spreadsheets/d/1MeEWN-I1oV_STSDYn1IFDPWt_1FKiwhDph83XaGc0o0/edit?usp=sharing"",""งบพรบ!DQ54"")"),0)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 hidden="1">
      <c r="A286" s="170"/>
      <c r="B286" s="171"/>
      <c r="C286" s="164" t="s">
        <v>16</v>
      </c>
      <c r="D286" s="823" t="s">
        <v>38</v>
      </c>
      <c r="E286" s="173"/>
      <c r="F286" s="173"/>
      <c r="G286" s="174"/>
      <c r="H286" s="753"/>
      <c r="I286" s="184"/>
      <c r="J286" s="184"/>
      <c r="K286" s="163"/>
      <c r="L286" s="163"/>
      <c r="M286" s="163"/>
      <c r="N286" s="163"/>
      <c r="O286" s="163"/>
      <c r="P286" s="163"/>
    </row>
    <row r="287" spans="1:26" ht="18.75" hidden="1">
      <c r="A287" s="170"/>
      <c r="B287" s="171"/>
      <c r="C287" s="171"/>
      <c r="D287" s="619" t="s">
        <v>129</v>
      </c>
      <c r="E287" s="171"/>
      <c r="F287" s="178"/>
      <c r="G287" s="179"/>
      <c r="H287" s="185" t="s">
        <v>46</v>
      </c>
      <c r="I287" s="269">
        <f ca="1">IFERROR(__xludf.DUMMYFUNCTION("IMPORTRANGE(""https://docs.google.com/spreadsheets/d/1QqKyyYR6Q21VydFLVH3TRQUabQu_ym0Zz7PgGX0-kHA/edit?usp=sharing"",""แผน!EC54"")"),0)</f>
        <v>0</v>
      </c>
      <c r="J287" s="269">
        <v>0</v>
      </c>
      <c r="K287" s="163">
        <f t="shared" ref="K287:K288" ca="1" si="131">IF(I287&gt;0,J287*100/I287,0)</f>
        <v>0</v>
      </c>
      <c r="L287" s="163"/>
      <c r="M287" s="163"/>
      <c r="N287" s="163"/>
      <c r="O287" s="163"/>
      <c r="P287" s="163"/>
    </row>
    <row r="288" spans="1:26" ht="19.5" hidden="1">
      <c r="A288" s="170"/>
      <c r="B288" s="171"/>
      <c r="C288" s="171"/>
      <c r="D288" s="619" t="s">
        <v>130</v>
      </c>
      <c r="E288" s="171"/>
      <c r="F288" s="178"/>
      <c r="G288" s="179"/>
      <c r="H288" s="180" t="s">
        <v>35</v>
      </c>
      <c r="I288" s="674">
        <f ca="1">IFERROR(__xludf.DUMMYFUNCTION("IMPORTRANGE(""https://docs.google.com/spreadsheets/d/1QqKyyYR6Q21VydFLVH3TRQUabQu_ym0Zz7PgGX0-kHA/edit?usp=sharing"",""แผน!EB54"")"),0)</f>
        <v>0</v>
      </c>
      <c r="J288" s="674">
        <f ca="1">IF(AND(J291&gt;=I288,J294&gt;=I288),J294,0)</f>
        <v>0</v>
      </c>
      <c r="K288" s="410">
        <f t="shared" ca="1" si="131"/>
        <v>0</v>
      </c>
      <c r="L288" s="163"/>
      <c r="M288" s="163"/>
      <c r="N288" s="163"/>
      <c r="O288" s="163"/>
      <c r="P288" s="163"/>
    </row>
    <row r="289" spans="1:26" ht="19.5" hidden="1">
      <c r="A289" s="170"/>
      <c r="B289" s="171"/>
      <c r="C289" s="171"/>
      <c r="D289" s="411"/>
      <c r="E289" s="412" t="s">
        <v>131</v>
      </c>
      <c r="F289" s="178"/>
      <c r="G289" s="179"/>
      <c r="H289" s="755"/>
      <c r="I289" s="184"/>
      <c r="J289" s="269"/>
      <c r="K289" s="163"/>
      <c r="L289" s="163"/>
      <c r="M289" s="163"/>
      <c r="N289" s="163"/>
      <c r="O289" s="163"/>
      <c r="P289" s="163"/>
    </row>
    <row r="290" spans="1:26" ht="19.5" hidden="1">
      <c r="A290" s="170"/>
      <c r="B290" s="171"/>
      <c r="C290" s="171"/>
      <c r="D290" s="411"/>
      <c r="E290" s="619" t="s">
        <v>132</v>
      </c>
      <c r="F290" s="178"/>
      <c r="G290" s="179"/>
      <c r="H290" s="755" t="s">
        <v>35</v>
      </c>
      <c r="I290" s="184">
        <f ca="1">IFERROR(__xludf.DUMMYFUNCTION("IMPORTRANGE(""https://docs.google.com/spreadsheets/d/1QqKyyYR6Q21VydFLVH3TRQUabQu_ym0Zz7PgGX0-kHA/edit?usp=sharing"",""แผน!EB54"")"),0)</f>
        <v>0</v>
      </c>
      <c r="J290" s="214">
        <v>0</v>
      </c>
      <c r="K290" s="163">
        <f t="shared" ref="K290:K291" ca="1" si="132">IF(I290&gt;0,J290*100/I290,0)</f>
        <v>0</v>
      </c>
      <c r="L290" s="163"/>
      <c r="M290" s="163"/>
      <c r="N290" s="163"/>
      <c r="O290" s="163"/>
      <c r="P290" s="163"/>
    </row>
    <row r="291" spans="1:26" ht="19.5" hidden="1">
      <c r="A291" s="170"/>
      <c r="B291" s="171"/>
      <c r="C291" s="171"/>
      <c r="D291" s="178"/>
      <c r="E291" s="619" t="s">
        <v>333</v>
      </c>
      <c r="F291" s="178"/>
      <c r="G291" s="179"/>
      <c r="H291" s="755" t="s">
        <v>35</v>
      </c>
      <c r="I291" s="184">
        <f ca="1">IFERROR(__xludf.DUMMYFUNCTION("IMPORTRANGE(""https://docs.google.com/spreadsheets/d/1QqKyyYR6Q21VydFLVH3TRQUabQu_ym0Zz7PgGX0-kHA/edit?usp=sharing"",""แผน!EB54"")"),0)</f>
        <v>0</v>
      </c>
      <c r="J291" s="214">
        <v>0</v>
      </c>
      <c r="K291" s="163">
        <f t="shared" ca="1" si="132"/>
        <v>0</v>
      </c>
      <c r="L291" s="163"/>
      <c r="M291" s="163"/>
      <c r="N291" s="163"/>
      <c r="O291" s="163"/>
      <c r="P291" s="163"/>
    </row>
    <row r="292" spans="1:26" ht="19.5" hidden="1">
      <c r="A292" s="413"/>
      <c r="B292" s="414"/>
      <c r="C292" s="414"/>
      <c r="D292" s="415"/>
      <c r="E292" s="416" t="s">
        <v>134</v>
      </c>
      <c r="F292" s="287"/>
      <c r="G292" s="288"/>
      <c r="H292" s="417"/>
      <c r="I292" s="418"/>
      <c r="J292" s="419"/>
      <c r="K292" s="279"/>
      <c r="L292" s="279"/>
      <c r="M292" s="279"/>
      <c r="N292" s="279"/>
      <c r="O292" s="279"/>
      <c r="P292" s="279"/>
    </row>
    <row r="293" spans="1:26" ht="19.5" hidden="1">
      <c r="A293" s="170"/>
      <c r="B293" s="171"/>
      <c r="C293" s="171"/>
      <c r="D293" s="411"/>
      <c r="E293" s="619" t="s">
        <v>132</v>
      </c>
      <c r="F293" s="178"/>
      <c r="G293" s="179"/>
      <c r="H293" s="755" t="s">
        <v>35</v>
      </c>
      <c r="I293" s="184">
        <f ca="1">IFERROR(__xludf.DUMMYFUNCTION("IMPORTRANGE(""https://docs.google.com/spreadsheets/d/1QqKyyYR6Q21VydFLVH3TRQUabQu_ym0Zz7PgGX0-kHA/edit?usp=sharing"",""แผน!EB54"")"),0)</f>
        <v>0</v>
      </c>
      <c r="J293" s="214">
        <v>0</v>
      </c>
      <c r="K293" s="163">
        <f t="shared" ref="K293:K294" ca="1" si="133">IF(I293&gt;0,J293*100/I293,0)</f>
        <v>0</v>
      </c>
      <c r="L293" s="163"/>
      <c r="M293" s="163"/>
      <c r="N293" s="163"/>
      <c r="O293" s="163"/>
      <c r="P293" s="163"/>
    </row>
    <row r="294" spans="1:26" ht="19.5" hidden="1">
      <c r="A294" s="377"/>
      <c r="B294" s="378"/>
      <c r="C294" s="378"/>
      <c r="D294" s="380"/>
      <c r="E294" s="725" t="s">
        <v>333</v>
      </c>
      <c r="F294" s="380"/>
      <c r="G294" s="381"/>
      <c r="H294" s="421" t="s">
        <v>35</v>
      </c>
      <c r="I294" s="422">
        <f ca="1">IFERROR(__xludf.DUMMYFUNCTION("IMPORTRANGE(""https://docs.google.com/spreadsheets/d/1QqKyyYR6Q21VydFLVH3TRQUabQu_ym0Zz7PgGX0-kHA/edit?usp=sharing"",""แผน!EB54"")"),0)</f>
        <v>0</v>
      </c>
      <c r="J294" s="423">
        <v>0</v>
      </c>
      <c r="K294" s="384">
        <f t="shared" ca="1" si="133"/>
        <v>0</v>
      </c>
      <c r="L294" s="384"/>
      <c r="M294" s="384"/>
      <c r="N294" s="384"/>
      <c r="O294" s="384"/>
      <c r="P294" s="384"/>
    </row>
    <row r="295" spans="1:26" ht="19.5">
      <c r="A295" s="424" t="s">
        <v>137</v>
      </c>
      <c r="B295" s="425"/>
      <c r="C295" s="425"/>
      <c r="D295" s="425"/>
      <c r="E295" s="426"/>
      <c r="F295" s="426"/>
      <c r="G295" s="427"/>
      <c r="H295" s="428"/>
      <c r="I295" s="429"/>
      <c r="J295" s="429"/>
      <c r="K295" s="430"/>
      <c r="L295" s="430"/>
      <c r="M295" s="430"/>
      <c r="N295" s="430"/>
      <c r="O295" s="430"/>
      <c r="P295" s="430"/>
    </row>
    <row r="296" spans="1:26" ht="19.5" hidden="1">
      <c r="A296" s="431" t="s">
        <v>138</v>
      </c>
      <c r="B296" s="432"/>
      <c r="C296" s="432"/>
      <c r="D296" s="433"/>
      <c r="E296" s="433"/>
      <c r="F296" s="433"/>
      <c r="G296" s="434"/>
      <c r="H296" s="435"/>
      <c r="I296" s="436"/>
      <c r="J296" s="436"/>
      <c r="K296" s="437"/>
      <c r="L296" s="437"/>
      <c r="M296" s="437"/>
      <c r="N296" s="437"/>
      <c r="O296" s="437"/>
      <c r="P296" s="437"/>
    </row>
    <row r="297" spans="1:26" ht="19.5" hidden="1">
      <c r="A297" s="438"/>
      <c r="B297" s="439" t="s">
        <v>139</v>
      </c>
      <c r="C297" s="440"/>
      <c r="D297" s="440"/>
      <c r="E297" s="440"/>
      <c r="F297" s="440"/>
      <c r="G297" s="441"/>
      <c r="H297" s="442" t="s">
        <v>35</v>
      </c>
      <c r="I297" s="443">
        <f t="shared" ref="I297:J297" ca="1" si="134">I309</f>
        <v>0</v>
      </c>
      <c r="J297" s="443">
        <f t="shared" si="134"/>
        <v>0</v>
      </c>
      <c r="K297" s="444">
        <f ca="1">IF(I297&gt;0,J297*100/I297,0)</f>
        <v>0</v>
      </c>
      <c r="L297" s="445"/>
      <c r="M297" s="445"/>
      <c r="N297" s="445"/>
      <c r="O297" s="445"/>
      <c r="P297" s="445"/>
    </row>
    <row r="298" spans="1:26" ht="19.5" hidden="1">
      <c r="A298" s="147"/>
      <c r="B298" s="148"/>
      <c r="C298" s="149" t="s">
        <v>16</v>
      </c>
      <c r="D298" s="822" t="s">
        <v>17</v>
      </c>
      <c r="E298" s="148"/>
      <c r="F298" s="148"/>
      <c r="G298" s="151"/>
      <c r="H298" s="152" t="s">
        <v>12</v>
      </c>
      <c r="I298" s="419"/>
      <c r="J298" s="419"/>
      <c r="K298" s="154"/>
      <c r="L298" s="155">
        <f t="shared" ref="L298:N298" ca="1" si="135">L299+L300</f>
        <v>0</v>
      </c>
      <c r="M298" s="155">
        <f t="shared" ca="1" si="135"/>
        <v>0</v>
      </c>
      <c r="N298" s="155">
        <f t="shared" ca="1" si="135"/>
        <v>0</v>
      </c>
      <c r="O298" s="155">
        <f t="shared" ref="O298:O306" ca="1" si="136">IF(L298&gt;0,N298*100/L298,0)</f>
        <v>0</v>
      </c>
      <c r="P298" s="155">
        <f t="shared" ref="P298:P306" ca="1" si="137">IF(M298&gt;0,N298*100/M298,0)</f>
        <v>0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2" t="s">
        <v>18</v>
      </c>
      <c r="F299" s="40"/>
      <c r="G299" s="157"/>
      <c r="H299" s="158" t="s">
        <v>12</v>
      </c>
      <c r="I299" s="610"/>
      <c r="J299" s="610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2" t="s">
        <v>19</v>
      </c>
      <c r="F300" s="40"/>
      <c r="G300" s="157"/>
      <c r="H300" s="158" t="s">
        <v>12</v>
      </c>
      <c r="I300" s="610"/>
      <c r="J300" s="610"/>
      <c r="K300" s="93"/>
      <c r="L300" s="93">
        <f t="shared" ca="1" si="138"/>
        <v>0</v>
      </c>
      <c r="M300" s="93">
        <f t="shared" ca="1" si="138"/>
        <v>0</v>
      </c>
      <c r="N300" s="93">
        <f t="shared" ca="1" si="138"/>
        <v>0</v>
      </c>
      <c r="O300" s="93">
        <f t="shared" ca="1" si="136"/>
        <v>0</v>
      </c>
      <c r="P300" s="93">
        <f t="shared" ca="1" si="137"/>
        <v>0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 hidden="1">
      <c r="A301" s="159"/>
      <c r="B301" s="33"/>
      <c r="C301" s="281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6">
        <f t="shared" ref="L301:N301" ca="1" si="139">L302+L303</f>
        <v>0</v>
      </c>
      <c r="M301" s="496">
        <f t="shared" ca="1" si="139"/>
        <v>0</v>
      </c>
      <c r="N301" s="496">
        <f t="shared" ca="1" si="139"/>
        <v>0</v>
      </c>
      <c r="O301" s="496">
        <f t="shared" ca="1" si="136"/>
        <v>0</v>
      </c>
      <c r="P301" s="496">
        <f t="shared" ca="1" si="137"/>
        <v>0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2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2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IFERROR(__xludf.DUMMYFUNCTION("IMPORTRANGE(""https://docs.google.com/spreadsheets/d/1MeEWN-I1oV_STSDYn1IFDPWt_1FKiwhDph83XaGc0o0/edit?usp=sharing"",""งบพรบ!DS54"")"),0)</f>
        <v>0</v>
      </c>
      <c r="M303" s="93">
        <f ca="1">IFERROR(__xludf.DUMMYFUNCTION("IMPORTRANGE(""https://docs.google.com/spreadsheets/d/1MeEWN-I1oV_STSDYn1IFDPWt_1FKiwhDph83XaGc0o0/edit?usp=sharing"",""งบพรบ!DX54"")"),0)</f>
        <v>0</v>
      </c>
      <c r="N303" s="93">
        <f ca="1">IFERROR(__xludf.DUMMYFUNCTION("IMPORTRANGE(""https://docs.google.com/spreadsheets/d/1MeEWN-I1oV_STSDYn1IFDPWt_1FKiwhDph83XaGc0o0/edit?usp=sharing"",""งบพรบ!DZ54"")"),0)</f>
        <v>0</v>
      </c>
      <c r="O303" s="93">
        <f t="shared" ca="1" si="136"/>
        <v>0</v>
      </c>
      <c r="P303" s="93">
        <f t="shared" ca="1" si="137"/>
        <v>0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 hidden="1">
      <c r="A304" s="159"/>
      <c r="B304" s="33"/>
      <c r="C304" s="281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6">
        <f t="shared" ref="L304:N304" ca="1" si="140">L305+L306</f>
        <v>0</v>
      </c>
      <c r="M304" s="496">
        <f t="shared" ca="1" si="140"/>
        <v>0</v>
      </c>
      <c r="N304" s="496">
        <f t="shared" ca="1" si="140"/>
        <v>0</v>
      </c>
      <c r="O304" s="496">
        <f t="shared" ca="1" si="136"/>
        <v>0</v>
      </c>
      <c r="P304" s="496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2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2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IFERROR(__xludf.DUMMYFUNCTION("IMPORTRANGE(""https://docs.google.com/spreadsheets/d/1MeEWN-I1oV_STSDYn1IFDPWt_1FKiwhDph83XaGc0o0/edit?usp=sharing"",""งบพรบ!DV54"")"),0)</f>
        <v>0</v>
      </c>
      <c r="M306" s="93">
        <f ca="1">IFERROR(__xludf.DUMMYFUNCTION("IMPORTRANGE(""https://docs.google.com/spreadsheets/d/1MeEWN-I1oV_STSDYn1IFDPWt_1FKiwhDph83XaGc0o0/edit?usp=sharing"",""งบพรบ!DY54"")"),0)</f>
        <v>0</v>
      </c>
      <c r="N306" s="93">
        <f ca="1">IFERROR(__xludf.DUMMYFUNCTION("IMPORTRANGE(""https://docs.google.com/spreadsheets/d/1MeEWN-I1oV_STSDYn1IFDPWt_1FKiwhDph83XaGc0o0/edit?usp=sharing"",""งบพรบ!EA54"")"),0)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 hidden="1">
      <c r="A307" s="170"/>
      <c r="B307" s="171"/>
      <c r="C307" s="164" t="s">
        <v>16</v>
      </c>
      <c r="D307" s="823" t="s">
        <v>38</v>
      </c>
      <c r="E307" s="173"/>
      <c r="F307" s="173"/>
      <c r="G307" s="174"/>
      <c r="H307" s="753"/>
      <c r="I307" s="269"/>
      <c r="J307" s="269"/>
      <c r="K307" s="496"/>
      <c r="L307" s="496"/>
      <c r="M307" s="496"/>
      <c r="N307" s="496"/>
      <c r="O307" s="496"/>
      <c r="P307" s="496"/>
    </row>
    <row r="308" spans="1:26" ht="18.75" hidden="1">
      <c r="A308" s="170"/>
      <c r="B308" s="171"/>
      <c r="C308" s="171"/>
      <c r="D308" s="446" t="s">
        <v>140</v>
      </c>
      <c r="E308" s="446"/>
      <c r="F308" s="446"/>
      <c r="G308" s="179"/>
      <c r="H308" s="755"/>
      <c r="I308" s="269"/>
      <c r="J308" s="214">
        <v>0</v>
      </c>
      <c r="K308" s="496"/>
      <c r="L308" s="496"/>
      <c r="M308" s="496"/>
      <c r="N308" s="496"/>
      <c r="O308" s="496"/>
      <c r="P308" s="496"/>
    </row>
    <row r="309" spans="1:26" ht="18.75" hidden="1">
      <c r="A309" s="170"/>
      <c r="B309" s="171"/>
      <c r="C309" s="171"/>
      <c r="D309" s="446" t="s">
        <v>141</v>
      </c>
      <c r="E309" s="446"/>
      <c r="F309" s="446"/>
      <c r="G309" s="179"/>
      <c r="H309" s="755" t="s">
        <v>35</v>
      </c>
      <c r="I309" s="269">
        <f ca="1">IFERROR(__xludf.DUMMYFUNCTION("IMPORTRANGE(""https://docs.google.com/spreadsheets/d/1QqKyyYR6Q21VydFLVH3TRQUabQu_ym0Zz7PgGX0-kHA/edit?usp=sharing"",""แผน!ED54"")"),0)</f>
        <v>0</v>
      </c>
      <c r="J309" s="214">
        <v>0</v>
      </c>
      <c r="K309" s="496">
        <f t="shared" ref="K309:K312" ca="1" si="141">IF(I309&gt;0,J309*100/I309,0)</f>
        <v>0</v>
      </c>
      <c r="L309" s="496"/>
      <c r="M309" s="496"/>
      <c r="N309" s="496"/>
      <c r="O309" s="496"/>
      <c r="P309" s="496"/>
    </row>
    <row r="310" spans="1:26" ht="18.75" hidden="1">
      <c r="A310" s="170"/>
      <c r="B310" s="171"/>
      <c r="C310" s="171"/>
      <c r="D310" s="446" t="s">
        <v>142</v>
      </c>
      <c r="E310" s="446"/>
      <c r="F310" s="446"/>
      <c r="G310" s="179"/>
      <c r="H310" s="755" t="s">
        <v>35</v>
      </c>
      <c r="I310" s="269">
        <f ca="1">IFERROR(__xludf.DUMMYFUNCTION("IMPORTRANGE(""https://docs.google.com/spreadsheets/d/1QqKyyYR6Q21VydFLVH3TRQUabQu_ym0Zz7PgGX0-kHA/edit?usp=sharing"",""แผน!ED54"")"),0)</f>
        <v>0</v>
      </c>
      <c r="J310" s="214">
        <v>0</v>
      </c>
      <c r="K310" s="496">
        <f t="shared" ca="1" si="141"/>
        <v>0</v>
      </c>
      <c r="L310" s="496"/>
      <c r="M310" s="496"/>
      <c r="N310" s="496"/>
      <c r="O310" s="496"/>
      <c r="P310" s="496"/>
    </row>
    <row r="311" spans="1:26" ht="18.75" hidden="1">
      <c r="A311" s="170"/>
      <c r="B311" s="171"/>
      <c r="C311" s="171"/>
      <c r="D311" s="446" t="s">
        <v>59</v>
      </c>
      <c r="E311" s="446"/>
      <c r="F311" s="446"/>
      <c r="G311" s="179"/>
      <c r="H311" s="755" t="s">
        <v>35</v>
      </c>
      <c r="I311" s="269">
        <f ca="1">IFERROR(__xludf.DUMMYFUNCTION("IMPORTRANGE(""https://docs.google.com/spreadsheets/d/1QqKyyYR6Q21VydFLVH3TRQUabQu_ym0Zz7PgGX0-kHA/edit?usp=sharing"",""แผน!ED54"")"),0)</f>
        <v>0</v>
      </c>
      <c r="J311" s="214">
        <v>0</v>
      </c>
      <c r="K311" s="496">
        <f t="shared" ca="1" si="141"/>
        <v>0</v>
      </c>
      <c r="L311" s="496"/>
      <c r="M311" s="496"/>
      <c r="N311" s="496"/>
      <c r="O311" s="496"/>
      <c r="P311" s="496"/>
    </row>
    <row r="312" spans="1:26" ht="18.75" hidden="1">
      <c r="A312" s="170"/>
      <c r="B312" s="171"/>
      <c r="C312" s="171"/>
      <c r="D312" s="446" t="s">
        <v>143</v>
      </c>
      <c r="E312" s="446"/>
      <c r="F312" s="446"/>
      <c r="G312" s="179"/>
      <c r="H312" s="755" t="s">
        <v>35</v>
      </c>
      <c r="I312" s="269">
        <f ca="1">IFERROR(__xludf.DUMMYFUNCTION("IMPORTRANGE(""https://docs.google.com/spreadsheets/d/1QqKyyYR6Q21VydFLVH3TRQUabQu_ym0Zz7PgGX0-kHA/edit?usp=sharing"",""แผน!EE54"")"),0)</f>
        <v>0</v>
      </c>
      <c r="J312" s="214">
        <v>0</v>
      </c>
      <c r="K312" s="496">
        <f t="shared" ca="1" si="141"/>
        <v>0</v>
      </c>
      <c r="L312" s="496"/>
      <c r="M312" s="496"/>
      <c r="N312" s="496"/>
      <c r="O312" s="496"/>
      <c r="P312" s="496"/>
    </row>
    <row r="313" spans="1:26" ht="19.5" hidden="1">
      <c r="A313" s="431" t="s">
        <v>144</v>
      </c>
      <c r="B313" s="432"/>
      <c r="C313" s="432"/>
      <c r="D313" s="433"/>
      <c r="E313" s="432"/>
      <c r="F313" s="432"/>
      <c r="G313" s="432"/>
      <c r="H313" s="448"/>
      <c r="I313" s="436"/>
      <c r="J313" s="436"/>
      <c r="K313" s="437"/>
      <c r="L313" s="437"/>
      <c r="M313" s="437"/>
      <c r="N313" s="437"/>
      <c r="O313" s="437"/>
      <c r="P313" s="437"/>
    </row>
    <row r="314" spans="1:26" ht="19.5" hidden="1">
      <c r="A314" s="449"/>
      <c r="B314" s="439" t="s">
        <v>145</v>
      </c>
      <c r="C314" s="450"/>
      <c r="D314" s="451"/>
      <c r="E314" s="440"/>
      <c r="F314" s="440"/>
      <c r="G314" s="441"/>
      <c r="H314" s="442" t="s">
        <v>146</v>
      </c>
      <c r="I314" s="443">
        <f t="shared" ref="I314:J314" ca="1" si="142">I325</f>
        <v>0</v>
      </c>
      <c r="J314" s="443">
        <f t="shared" si="142"/>
        <v>0</v>
      </c>
      <c r="K314" s="444">
        <f ca="1">IF(I314&gt;0,J314*100/I314,0)</f>
        <v>0</v>
      </c>
      <c r="L314" s="445"/>
      <c r="M314" s="445"/>
      <c r="N314" s="445"/>
      <c r="O314" s="445"/>
      <c r="P314" s="445"/>
    </row>
    <row r="315" spans="1:26" ht="19.5" hidden="1">
      <c r="A315" s="147"/>
      <c r="B315" s="148"/>
      <c r="C315" s="149" t="s">
        <v>16</v>
      </c>
      <c r="D315" s="822" t="s">
        <v>17</v>
      </c>
      <c r="E315" s="148"/>
      <c r="F315" s="148"/>
      <c r="G315" s="151"/>
      <c r="H315" s="152" t="s">
        <v>12</v>
      </c>
      <c r="I315" s="419"/>
      <c r="J315" s="419"/>
      <c r="K315" s="154"/>
      <c r="L315" s="155">
        <f t="shared" ref="L315:N315" ca="1" si="143">L316+L317</f>
        <v>0</v>
      </c>
      <c r="M315" s="155">
        <f t="shared" ca="1" si="143"/>
        <v>0</v>
      </c>
      <c r="N315" s="155">
        <f t="shared" ca="1" si="143"/>
        <v>0</v>
      </c>
      <c r="O315" s="155">
        <f t="shared" ref="O315:O323" ca="1" si="144">IF(L315&gt;0,N315*100/L315,0)</f>
        <v>0</v>
      </c>
      <c r="P315" s="155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2" t="s">
        <v>18</v>
      </c>
      <c r="F316" s="40"/>
      <c r="G316" s="157"/>
      <c r="H316" s="158" t="s">
        <v>12</v>
      </c>
      <c r="I316" s="610"/>
      <c r="J316" s="610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2" t="s">
        <v>19</v>
      </c>
      <c r="F317" s="40"/>
      <c r="G317" s="157"/>
      <c r="H317" s="158" t="s">
        <v>12</v>
      </c>
      <c r="I317" s="610"/>
      <c r="J317" s="610"/>
      <c r="K317" s="93"/>
      <c r="L317" s="93">
        <f t="shared" ca="1" si="146"/>
        <v>0</v>
      </c>
      <c r="M317" s="93">
        <f t="shared" ca="1" si="146"/>
        <v>0</v>
      </c>
      <c r="N317" s="93">
        <f t="shared" ca="1" si="146"/>
        <v>0</v>
      </c>
      <c r="O317" s="93">
        <f t="shared" ca="1" si="144"/>
        <v>0</v>
      </c>
      <c r="P317" s="93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1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6">
        <f t="shared" ref="L318:N318" ca="1" si="147">L319+L320</f>
        <v>0</v>
      </c>
      <c r="M318" s="496">
        <f t="shared" ca="1" si="147"/>
        <v>0</v>
      </c>
      <c r="N318" s="496">
        <f t="shared" ca="1" si="147"/>
        <v>0</v>
      </c>
      <c r="O318" s="496">
        <f t="shared" ca="1" si="144"/>
        <v>0</v>
      </c>
      <c r="P318" s="496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2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2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IFERROR(__xludf.DUMMYFUNCTION("IMPORTRANGE(""https://docs.google.com/spreadsheets/d/1MeEWN-I1oV_STSDYn1IFDPWt_1FKiwhDph83XaGc0o0/edit?usp=sharing"",""งบพรบ!EC54"")"),0)</f>
        <v>0</v>
      </c>
      <c r="M320" s="93">
        <f ca="1">IFERROR(__xludf.DUMMYFUNCTION("IMPORTRANGE(""https://docs.google.com/spreadsheets/d/1MeEWN-I1oV_STSDYn1IFDPWt_1FKiwhDph83XaGc0o0/edit?usp=sharing"",""งบพรบ!EH54"")"),0)</f>
        <v>0</v>
      </c>
      <c r="N320" s="93">
        <f ca="1">IFERROR(__xludf.DUMMYFUNCTION("IMPORTRANGE(""https://docs.google.com/spreadsheets/d/1MeEWN-I1oV_STSDYn1IFDPWt_1FKiwhDph83XaGc0o0/edit?usp=sharing"",""งบพรบ!EJ54"")"),0)</f>
        <v>0</v>
      </c>
      <c r="O320" s="93">
        <f t="shared" ca="1" si="144"/>
        <v>0</v>
      </c>
      <c r="P320" s="93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1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6">
        <f t="shared" ref="L321:N321" ca="1" si="148">L322+L323</f>
        <v>0</v>
      </c>
      <c r="M321" s="496">
        <f t="shared" ca="1" si="148"/>
        <v>0</v>
      </c>
      <c r="N321" s="496">
        <f t="shared" ca="1" si="148"/>
        <v>0</v>
      </c>
      <c r="O321" s="496">
        <f t="shared" ca="1" si="144"/>
        <v>0</v>
      </c>
      <c r="P321" s="496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2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2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IFERROR(__xludf.DUMMYFUNCTION("IMPORTRANGE(""https://docs.google.com/spreadsheets/d/1MeEWN-I1oV_STSDYn1IFDPWt_1FKiwhDph83XaGc0o0/edit?usp=sharing"",""งบพรบ!EF54"")"),0)</f>
        <v>0</v>
      </c>
      <c r="M323" s="93">
        <f ca="1">IFERROR(__xludf.DUMMYFUNCTION("IMPORTRANGE(""https://docs.google.com/spreadsheets/d/1MeEWN-I1oV_STSDYn1IFDPWt_1FKiwhDph83XaGc0o0/edit?usp=sharing"",""งบพรบ!EI54"")"),0)</f>
        <v>0</v>
      </c>
      <c r="N323" s="93">
        <f ca="1">IFERROR(__xludf.DUMMYFUNCTION("IMPORTRANGE(""https://docs.google.com/spreadsheets/d/1MeEWN-I1oV_STSDYn1IFDPWt_1FKiwhDph83XaGc0o0/edit?usp=sharing"",""งบพรบ!EK54"")"),0)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23" t="s">
        <v>38</v>
      </c>
      <c r="E324" s="173"/>
      <c r="F324" s="173"/>
      <c r="G324" s="174"/>
      <c r="H324" s="753"/>
      <c r="I324" s="184"/>
      <c r="J324" s="269"/>
      <c r="K324" s="496"/>
      <c r="L324" s="496"/>
      <c r="M324" s="496"/>
      <c r="N324" s="496"/>
      <c r="O324" s="163"/>
      <c r="P324" s="163"/>
    </row>
    <row r="325" spans="1:26" ht="18.75" hidden="1">
      <c r="A325" s="170"/>
      <c r="B325" s="171"/>
      <c r="C325" s="171"/>
      <c r="D325" s="176" t="s">
        <v>147</v>
      </c>
      <c r="E325" s="178"/>
      <c r="F325" s="446"/>
      <c r="G325" s="179"/>
      <c r="H325" s="616" t="s">
        <v>146</v>
      </c>
      <c r="I325" s="269">
        <f ca="1">IFERROR(__xludf.DUMMYFUNCTION("IMPORTRANGE(""https://docs.google.com/spreadsheets/d/1QqKyyYR6Q21VydFLVH3TRQUabQu_ym0Zz7PgGX0-kHA/edit?usp=sharing"",""แผน!EF54"")"),0)</f>
        <v>0</v>
      </c>
      <c r="J325" s="214">
        <v>0</v>
      </c>
      <c r="K325" s="496">
        <f ca="1">IF(I325&gt;0,J325*100/I325,0)</f>
        <v>0</v>
      </c>
      <c r="L325" s="496"/>
      <c r="M325" s="496"/>
      <c r="N325" s="496"/>
      <c r="O325" s="163"/>
      <c r="P325" s="163"/>
    </row>
    <row r="326" spans="1:26" ht="19.5">
      <c r="A326" s="431" t="s">
        <v>148</v>
      </c>
      <c r="B326" s="432"/>
      <c r="C326" s="432"/>
      <c r="D326" s="433"/>
      <c r="E326" s="432"/>
      <c r="F326" s="432"/>
      <c r="G326" s="432"/>
      <c r="H326" s="448"/>
      <c r="I326" s="436"/>
      <c r="J326" s="436"/>
      <c r="K326" s="437"/>
      <c r="L326" s="437"/>
      <c r="M326" s="437"/>
      <c r="N326" s="437"/>
      <c r="O326" s="437"/>
      <c r="P326" s="437"/>
    </row>
    <row r="327" spans="1:26" ht="19.5">
      <c r="A327" s="438"/>
      <c r="B327" s="439" t="s">
        <v>149</v>
      </c>
      <c r="C327" s="451"/>
      <c r="D327" s="440"/>
      <c r="E327" s="440"/>
      <c r="F327" s="440"/>
      <c r="G327" s="441"/>
      <c r="H327" s="442" t="s">
        <v>35</v>
      </c>
      <c r="I327" s="443">
        <f ca="1">IFERROR(__xludf.DUMMYFUNCTION("IMPORTRANGE(""https://docs.google.com/spreadsheets/d/1QqKyyYR6Q21VydFLVH3TRQUabQu_ym0Zz7PgGX0-kHA/edit?usp=sharing"",""แผน!EG54"")"),1600)</f>
        <v>1600</v>
      </c>
      <c r="J327" s="443">
        <f ca="1">J338+J341+J342+J343</f>
        <v>406</v>
      </c>
      <c r="K327" s="444">
        <f ca="1">IF(I327&gt;0,J327*100/I327,0)</f>
        <v>25.375</v>
      </c>
      <c r="L327" s="445"/>
      <c r="M327" s="445"/>
      <c r="N327" s="445"/>
      <c r="O327" s="445"/>
      <c r="P327" s="445"/>
    </row>
    <row r="328" spans="1:26" ht="19.5">
      <c r="A328" s="147"/>
      <c r="B328" s="148"/>
      <c r="C328" s="149" t="s">
        <v>16</v>
      </c>
      <c r="D328" s="822" t="s">
        <v>17</v>
      </c>
      <c r="E328" s="148"/>
      <c r="F328" s="148"/>
      <c r="G328" s="151"/>
      <c r="H328" s="152" t="s">
        <v>12</v>
      </c>
      <c r="I328" s="419"/>
      <c r="J328" s="419"/>
      <c r="K328" s="154"/>
      <c r="L328" s="155">
        <f t="shared" ref="L328:N328" ca="1" si="149">L329+L330</f>
        <v>170000</v>
      </c>
      <c r="M328" s="155">
        <f t="shared" ca="1" si="149"/>
        <v>85000</v>
      </c>
      <c r="N328" s="155">
        <f t="shared" ca="1" si="149"/>
        <v>30698</v>
      </c>
      <c r="O328" s="155">
        <f t="shared" ref="O328:O336" ca="1" si="150">IF(L328&gt;0,N328*100/L328,0)</f>
        <v>18.05764705882353</v>
      </c>
      <c r="P328" s="155">
        <f t="shared" ref="P328:P336" ca="1" si="151">IF(M328&gt;0,N328*100/M328,0)</f>
        <v>36.115294117647061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2" t="s">
        <v>18</v>
      </c>
      <c r="F329" s="40"/>
      <c r="G329" s="157"/>
      <c r="H329" s="158" t="s">
        <v>12</v>
      </c>
      <c r="I329" s="610"/>
      <c r="J329" s="610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2" t="s">
        <v>19</v>
      </c>
      <c r="F330" s="40"/>
      <c r="G330" s="157"/>
      <c r="H330" s="158" t="s">
        <v>12</v>
      </c>
      <c r="I330" s="610"/>
      <c r="J330" s="610"/>
      <c r="K330" s="93"/>
      <c r="L330" s="93">
        <f t="shared" ca="1" si="152"/>
        <v>170000</v>
      </c>
      <c r="M330" s="93">
        <f t="shared" ca="1" si="152"/>
        <v>85000</v>
      </c>
      <c r="N330" s="93">
        <f t="shared" ca="1" si="152"/>
        <v>30698</v>
      </c>
      <c r="O330" s="93">
        <f t="shared" ca="1" si="150"/>
        <v>18.05764705882353</v>
      </c>
      <c r="P330" s="93">
        <f t="shared" ca="1" si="151"/>
        <v>36.115294117647061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1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6">
        <f t="shared" ref="L331:N331" ca="1" si="153">L332+L333</f>
        <v>170000</v>
      </c>
      <c r="M331" s="496">
        <f t="shared" ca="1" si="153"/>
        <v>85000</v>
      </c>
      <c r="N331" s="496">
        <f t="shared" ca="1" si="153"/>
        <v>30698</v>
      </c>
      <c r="O331" s="496">
        <f t="shared" ca="1" si="150"/>
        <v>18.05764705882353</v>
      </c>
      <c r="P331" s="496">
        <f t="shared" ca="1" si="151"/>
        <v>36.115294117647061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2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2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IFERROR(__xludf.DUMMYFUNCTION("IMPORTRANGE(""https://docs.google.com/spreadsheets/d/1MeEWN-I1oV_STSDYn1IFDPWt_1FKiwhDph83XaGc0o0/edit?usp=sharing"",""งบพรบ!EM54"")"),170000)</f>
        <v>170000</v>
      </c>
      <c r="M333" s="93">
        <f ca="1">IFERROR(__xludf.DUMMYFUNCTION("IMPORTRANGE(""https://docs.google.com/spreadsheets/d/1MeEWN-I1oV_STSDYn1IFDPWt_1FKiwhDph83XaGc0o0/edit?usp=sharing"",""งบพรบ!ER54"")"),85000)</f>
        <v>85000</v>
      </c>
      <c r="N333" s="93">
        <f ca="1">IFERROR(__xludf.DUMMYFUNCTION("IMPORTRANGE(""https://docs.google.com/spreadsheets/d/1MeEWN-I1oV_STSDYn1IFDPWt_1FKiwhDph83XaGc0o0/edit?usp=sharing"",""งบพรบ!ET54"")"),30698)</f>
        <v>30698</v>
      </c>
      <c r="O333" s="93">
        <f t="shared" ca="1" si="150"/>
        <v>18.05764705882353</v>
      </c>
      <c r="P333" s="93">
        <f t="shared" ca="1" si="151"/>
        <v>36.115294117647061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1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6">
        <f t="shared" ref="L334:N334" ca="1" si="154">L335+L336</f>
        <v>0</v>
      </c>
      <c r="M334" s="496">
        <f t="shared" ca="1" si="154"/>
        <v>0</v>
      </c>
      <c r="N334" s="496">
        <f t="shared" ca="1" si="154"/>
        <v>0</v>
      </c>
      <c r="O334" s="496">
        <f t="shared" ca="1" si="150"/>
        <v>0</v>
      </c>
      <c r="P334" s="496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2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2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IFERROR(__xludf.DUMMYFUNCTION("IMPORTRANGE(""https://docs.google.com/spreadsheets/d/1MeEWN-I1oV_STSDYn1IFDPWt_1FKiwhDph83XaGc0o0/edit?usp=sharing"",""งบพรบ!EP54"")"),0)</f>
        <v>0</v>
      </c>
      <c r="M336" s="93">
        <f ca="1">IFERROR(__xludf.DUMMYFUNCTION("IMPORTRANGE(""https://docs.google.com/spreadsheets/d/1MeEWN-I1oV_STSDYn1IFDPWt_1FKiwhDph83XaGc0o0/edit?usp=sharing"",""งบพรบ!ES54"")"),0)</f>
        <v>0</v>
      </c>
      <c r="N336" s="93">
        <f ca="1">IFERROR(__xludf.DUMMYFUNCTION("IMPORTRANGE(""https://docs.google.com/spreadsheets/d/1MeEWN-I1oV_STSDYn1IFDPWt_1FKiwhDph83XaGc0o0/edit?usp=sharing"",""งบพรบ!EU54"")"),0)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23" t="s">
        <v>38</v>
      </c>
      <c r="E337" s="173"/>
      <c r="F337" s="173"/>
      <c r="G337" s="174"/>
      <c r="H337" s="753"/>
      <c r="I337" s="184"/>
      <c r="J337" s="269"/>
      <c r="K337" s="496"/>
      <c r="L337" s="496"/>
      <c r="M337" s="496"/>
      <c r="N337" s="496"/>
      <c r="O337" s="163"/>
      <c r="P337" s="163"/>
    </row>
    <row r="338" spans="1:26" ht="18.75">
      <c r="A338" s="284"/>
      <c r="B338" s="33"/>
      <c r="C338" s="280"/>
      <c r="D338" s="446" t="s">
        <v>150</v>
      </c>
      <c r="E338" s="171"/>
      <c r="F338" s="33"/>
      <c r="G338" s="35"/>
      <c r="H338" s="276" t="s">
        <v>35</v>
      </c>
      <c r="I338" s="269">
        <f ca="1">IFERROR(__xludf.DUMMYFUNCTION("IMPORTRANGE(""https://docs.google.com/spreadsheets/d/1QqKyyYR6Q21VydFLVH3TRQUabQu_ym0Zz7PgGX0-kHA/edit?usp=sharing"",""แผน!EG54"")"),1600)</f>
        <v>1600</v>
      </c>
      <c r="J338" s="269">
        <f ca="1">IFERROR(__xludf.DUMMYFUNCTION("IMPORTRANGE(""https://docs.google.com/spreadsheets/d/1kVcqe37tkHyjCSG3S0O1AXqVkqjo8mSIZil3BcpIysc/edit?usp=sharing"",""ศูนย์!D54"")"),406)</f>
        <v>406</v>
      </c>
      <c r="K338" s="496">
        <f ca="1">IF(I338&gt;0,J338*100/I338,0)</f>
        <v>25.375</v>
      </c>
      <c r="L338" s="496"/>
      <c r="M338" s="496"/>
      <c r="N338" s="496"/>
      <c r="O338" s="496"/>
      <c r="P338" s="496"/>
    </row>
    <row r="339" spans="1:26" ht="18.75">
      <c r="A339" s="284"/>
      <c r="B339" s="33"/>
      <c r="C339" s="280"/>
      <c r="D339" s="446" t="s">
        <v>151</v>
      </c>
      <c r="E339" s="171"/>
      <c r="F339" s="33"/>
      <c r="G339" s="35"/>
      <c r="H339" s="276"/>
      <c r="I339" s="269"/>
      <c r="J339" s="269"/>
      <c r="K339" s="496"/>
      <c r="L339" s="496"/>
      <c r="M339" s="496"/>
      <c r="N339" s="496"/>
      <c r="O339" s="496"/>
      <c r="P339" s="496"/>
    </row>
    <row r="340" spans="1:26" ht="18.75">
      <c r="A340" s="284"/>
      <c r="B340" s="33"/>
      <c r="C340" s="280"/>
      <c r="D340" s="178"/>
      <c r="E340" s="446" t="s">
        <v>152</v>
      </c>
      <c r="F340" s="33"/>
      <c r="G340" s="35"/>
      <c r="H340" s="276" t="s">
        <v>153</v>
      </c>
      <c r="I340" s="269">
        <f ca="1">IFERROR(__xludf.DUMMYFUNCTION("IMPORTRANGE(""https://docs.google.com/spreadsheets/d/1QqKyyYR6Q21VydFLVH3TRQUabQu_ym0Zz7PgGX0-kHA/edit?usp=sharing"",""แผน!EH54"")"),6)</f>
        <v>6</v>
      </c>
      <c r="J340" s="269">
        <f ca="1">IFERROR(__xludf.DUMMYFUNCTION("IMPORTRANGE(""https://docs.google.com/spreadsheets/d/1kVcqe37tkHyjCSG3S0O1AXqVkqjo8mSIZil3BcpIysc/edit?usp=sharing"",""ศูนย์!E54"")"),0)</f>
        <v>0</v>
      </c>
      <c r="K340" s="496">
        <f ca="1">IF(I340&gt;0,J340*100/I340,0)</f>
        <v>0</v>
      </c>
      <c r="L340" s="496"/>
      <c r="M340" s="496"/>
      <c r="N340" s="496"/>
      <c r="O340" s="496"/>
      <c r="P340" s="496"/>
    </row>
    <row r="341" spans="1:26" ht="18.75">
      <c r="A341" s="284"/>
      <c r="B341" s="33"/>
      <c r="C341" s="280"/>
      <c r="D341" s="178"/>
      <c r="E341" s="446" t="s">
        <v>154</v>
      </c>
      <c r="F341" s="33"/>
      <c r="G341" s="35"/>
      <c r="H341" s="276" t="s">
        <v>35</v>
      </c>
      <c r="I341" s="269"/>
      <c r="J341" s="269">
        <f ca="1">IFERROR(__xludf.DUMMYFUNCTION("IMPORTRANGE(""https://docs.google.com/spreadsheets/d/1kVcqe37tkHyjCSG3S0O1AXqVkqjo8mSIZil3BcpIysc/edit?usp=sharing"",""ศูนย์!F54"")"),0)</f>
        <v>0</v>
      </c>
      <c r="K341" s="496"/>
      <c r="L341" s="496"/>
      <c r="M341" s="496"/>
      <c r="N341" s="496"/>
      <c r="O341" s="496"/>
      <c r="P341" s="496"/>
    </row>
    <row r="342" spans="1:26" ht="18.75">
      <c r="A342" s="284"/>
      <c r="B342" s="33"/>
      <c r="C342" s="280"/>
      <c r="D342" s="446" t="s">
        <v>155</v>
      </c>
      <c r="E342" s="178"/>
      <c r="F342" s="178"/>
      <c r="G342" s="35"/>
      <c r="H342" s="276" t="s">
        <v>35</v>
      </c>
      <c r="I342" s="269"/>
      <c r="J342" s="269">
        <f ca="1">IFERROR(__xludf.DUMMYFUNCTION("IMPORTRANGE(""https://docs.google.com/spreadsheets/d/1kVcqe37tkHyjCSG3S0O1AXqVkqjo8mSIZil3BcpIysc/edit?usp=sharing"",""ศูนย์!G54"")"),0)</f>
        <v>0</v>
      </c>
      <c r="K342" s="496"/>
      <c r="L342" s="496"/>
      <c r="M342" s="496"/>
      <c r="N342" s="496"/>
      <c r="O342" s="496"/>
      <c r="P342" s="496"/>
    </row>
    <row r="343" spans="1:26" ht="18.75">
      <c r="A343" s="284"/>
      <c r="B343" s="33"/>
      <c r="C343" s="280"/>
      <c r="D343" s="446" t="s">
        <v>156</v>
      </c>
      <c r="E343" s="178"/>
      <c r="F343" s="178"/>
      <c r="G343" s="35"/>
      <c r="H343" s="276" t="s">
        <v>35</v>
      </c>
      <c r="I343" s="269"/>
      <c r="J343" s="269">
        <f ca="1">IFERROR(__xludf.DUMMYFUNCTION("IMPORTRANGE(""https://docs.google.com/spreadsheets/d/1kVcqe37tkHyjCSG3S0O1AXqVkqjo8mSIZil3BcpIysc/edit?usp=sharing"",""ศูนย์!H54"")"),0)</f>
        <v>0</v>
      </c>
      <c r="K343" s="496"/>
      <c r="L343" s="496"/>
      <c r="M343" s="496"/>
      <c r="N343" s="496"/>
      <c r="O343" s="496"/>
      <c r="P343" s="496"/>
    </row>
    <row r="344" spans="1:26" ht="19.5">
      <c r="A344" s="438"/>
      <c r="B344" s="439" t="s">
        <v>157</v>
      </c>
      <c r="C344" s="451"/>
      <c r="D344" s="440"/>
      <c r="E344" s="440"/>
      <c r="F344" s="440"/>
      <c r="G344" s="441"/>
      <c r="H344" s="442"/>
      <c r="I344" s="452"/>
      <c r="J344" s="452"/>
      <c r="K344" s="445"/>
      <c r="L344" s="445"/>
      <c r="M344" s="445"/>
      <c r="N344" s="445"/>
      <c r="O344" s="445"/>
      <c r="P344" s="445"/>
    </row>
    <row r="345" spans="1:26" ht="19.5">
      <c r="A345" s="147"/>
      <c r="B345" s="148"/>
      <c r="C345" s="149" t="s">
        <v>16</v>
      </c>
      <c r="D345" s="822" t="s">
        <v>17</v>
      </c>
      <c r="E345" s="148"/>
      <c r="F345" s="148"/>
      <c r="G345" s="151"/>
      <c r="H345" s="152" t="s">
        <v>12</v>
      </c>
      <c r="I345" s="419"/>
      <c r="J345" s="419"/>
      <c r="K345" s="154"/>
      <c r="L345" s="155">
        <f t="shared" ref="L345:N345" ca="1" si="155">L346+L347</f>
        <v>979550</v>
      </c>
      <c r="M345" s="155">
        <f t="shared" ca="1" si="155"/>
        <v>571880</v>
      </c>
      <c r="N345" s="155">
        <f t="shared" ca="1" si="155"/>
        <v>296767</v>
      </c>
      <c r="O345" s="155">
        <f t="shared" ref="O345:O353" ca="1" si="156">IF(L345&gt;0,N345*100/L345,0)</f>
        <v>30.296258486039509</v>
      </c>
      <c r="P345" s="155">
        <f t="shared" ref="P345:P353" ca="1" si="157">IF(M345&gt;0,N345*100/M345,0)</f>
        <v>51.893229348814437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2" t="s">
        <v>18</v>
      </c>
      <c r="F346" s="40"/>
      <c r="G346" s="157"/>
      <c r="H346" s="158" t="s">
        <v>12</v>
      </c>
      <c r="I346" s="610"/>
      <c r="J346" s="610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2" t="s">
        <v>19</v>
      </c>
      <c r="F347" s="40"/>
      <c r="G347" s="157"/>
      <c r="H347" s="158" t="s">
        <v>12</v>
      </c>
      <c r="I347" s="610"/>
      <c r="J347" s="610"/>
      <c r="K347" s="93"/>
      <c r="L347" s="93">
        <f t="shared" ca="1" si="158"/>
        <v>979550</v>
      </c>
      <c r="M347" s="93">
        <f t="shared" ca="1" si="158"/>
        <v>571880</v>
      </c>
      <c r="N347" s="93">
        <f t="shared" ca="1" si="158"/>
        <v>296767</v>
      </c>
      <c r="O347" s="93">
        <f t="shared" ca="1" si="156"/>
        <v>30.296258486039509</v>
      </c>
      <c r="P347" s="93">
        <f t="shared" ca="1" si="157"/>
        <v>51.893229348814437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1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6">
        <f t="shared" ref="L348:N348" ca="1" si="159">L349+L350</f>
        <v>815350</v>
      </c>
      <c r="M348" s="496">
        <f t="shared" ca="1" si="159"/>
        <v>407680</v>
      </c>
      <c r="N348" s="496">
        <f t="shared" ca="1" si="159"/>
        <v>132567</v>
      </c>
      <c r="O348" s="496">
        <f t="shared" ca="1" si="156"/>
        <v>16.258907217759244</v>
      </c>
      <c r="P348" s="496">
        <f t="shared" ca="1" si="157"/>
        <v>32.517415620094191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2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2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IFERROR(__xludf.DUMMYFUNCTION("IMPORTRANGE(""https://docs.google.com/spreadsheets/d/1MeEWN-I1oV_STSDYn1IFDPWt_1FKiwhDph83XaGc0o0/edit?usp=sharing"",""งบพรบ!EW54"")"),815350)</f>
        <v>815350</v>
      </c>
      <c r="M350" s="93">
        <f ca="1">IFERROR(__xludf.DUMMYFUNCTION("IMPORTRANGE(""https://docs.google.com/spreadsheets/d/1MeEWN-I1oV_STSDYn1IFDPWt_1FKiwhDph83XaGc0o0/edit?usp=sharing"",""งบพรบ!FB54"")"),407680)</f>
        <v>407680</v>
      </c>
      <c r="N350" s="93">
        <f ca="1">IFERROR(__xludf.DUMMYFUNCTION("IMPORTRANGE(""https://docs.google.com/spreadsheets/d/1MeEWN-I1oV_STSDYn1IFDPWt_1FKiwhDph83XaGc0o0/edit?usp=sharing"",""งบพรบ!FD54"")"),132567)</f>
        <v>132567</v>
      </c>
      <c r="O350" s="93">
        <f t="shared" ca="1" si="156"/>
        <v>16.258907217759244</v>
      </c>
      <c r="P350" s="93">
        <f t="shared" ca="1" si="157"/>
        <v>32.517415620094191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1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6">
        <f t="shared" ref="L351:N351" ca="1" si="160">L352+L353</f>
        <v>164200</v>
      </c>
      <c r="M351" s="496">
        <f t="shared" ca="1" si="160"/>
        <v>164200</v>
      </c>
      <c r="N351" s="496">
        <f t="shared" ca="1" si="160"/>
        <v>164200</v>
      </c>
      <c r="O351" s="496">
        <f t="shared" ca="1" si="156"/>
        <v>100</v>
      </c>
      <c r="P351" s="496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2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2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IFERROR(__xludf.DUMMYFUNCTION("IMPORTRANGE(""https://docs.google.com/spreadsheets/d/1MeEWN-I1oV_STSDYn1IFDPWt_1FKiwhDph83XaGc0o0/edit?usp=sharing"",""งบพรบ!EZ54"")"),164200)</f>
        <v>164200</v>
      </c>
      <c r="M353" s="93">
        <f ca="1">IFERROR(__xludf.DUMMYFUNCTION("IMPORTRANGE(""https://docs.google.com/spreadsheets/d/1MeEWN-I1oV_STSDYn1IFDPWt_1FKiwhDph83XaGc0o0/edit?usp=sharing"",""งบพรบ!FC54"")"),164200)</f>
        <v>164200</v>
      </c>
      <c r="N353" s="93">
        <f ca="1">IFERROR(__xludf.DUMMYFUNCTION("IMPORTRANGE(""https://docs.google.com/spreadsheets/d/1MeEWN-I1oV_STSDYn1IFDPWt_1FKiwhDph83XaGc0o0/edit?usp=sharing"",""งบพรบ!FE54"")"),164200)</f>
        <v>164200</v>
      </c>
      <c r="O353" s="93">
        <f t="shared" ca="1" si="156"/>
        <v>100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5"/>
      <c r="B354" s="263"/>
      <c r="C354" s="256"/>
      <c r="D354" s="832" t="s">
        <v>158</v>
      </c>
      <c r="E354" s="256"/>
      <c r="F354" s="256"/>
      <c r="G354" s="258"/>
      <c r="H354" s="454"/>
      <c r="I354" s="260"/>
      <c r="J354" s="260"/>
      <c r="K354" s="261"/>
      <c r="L354" s="261"/>
      <c r="M354" s="261"/>
      <c r="N354" s="261"/>
      <c r="O354" s="261"/>
      <c r="P354" s="261"/>
    </row>
    <row r="355" spans="1:26" ht="19.5">
      <c r="A355" s="455"/>
      <c r="B355" s="456"/>
      <c r="C355" s="457"/>
      <c r="D355" s="833" t="s">
        <v>159</v>
      </c>
      <c r="E355" s="459"/>
      <c r="F355" s="459"/>
      <c r="G355" s="460"/>
      <c r="H355" s="461" t="s">
        <v>35</v>
      </c>
      <c r="I355" s="463">
        <f ca="1">IFERROR(__xludf.DUMMYFUNCTION("IMPORTRANGE(""https://docs.google.com/spreadsheets/d/1QqKyyYR6Q21VydFLVH3TRQUabQu_ym0Zz7PgGX0-kHA/edit?usp=sharing"",""แผน!EP54"")"),255)</f>
        <v>255</v>
      </c>
      <c r="J355" s="463">
        <f ca="1">J362</f>
        <v>4</v>
      </c>
      <c r="K355" s="464">
        <f ca="1">IF(I355&gt;0,J355*100/I355,0)</f>
        <v>1.5686274509803921</v>
      </c>
      <c r="L355" s="465"/>
      <c r="M355" s="465"/>
      <c r="N355" s="465"/>
      <c r="O355" s="465"/>
      <c r="P355" s="465"/>
    </row>
    <row r="356" spans="1:26" ht="19.5">
      <c r="A356" s="455"/>
      <c r="B356" s="456"/>
      <c r="C356" s="457"/>
      <c r="D356" s="466" t="s">
        <v>160</v>
      </c>
      <c r="E356" s="459"/>
      <c r="F356" s="459"/>
      <c r="G356" s="460"/>
      <c r="H356" s="467"/>
      <c r="I356" s="468"/>
      <c r="J356" s="468"/>
      <c r="K356" s="465"/>
      <c r="L356" s="465"/>
      <c r="M356" s="465"/>
      <c r="N356" s="465"/>
      <c r="O356" s="465"/>
      <c r="P356" s="465"/>
    </row>
    <row r="357" spans="1:26" ht="19.5">
      <c r="A357" s="170"/>
      <c r="B357" s="171"/>
      <c r="C357" s="164" t="s">
        <v>16</v>
      </c>
      <c r="D357" s="823" t="s">
        <v>38</v>
      </c>
      <c r="E357" s="173"/>
      <c r="F357" s="173"/>
      <c r="G357" s="174"/>
      <c r="H357" s="753"/>
      <c r="I357" s="269"/>
      <c r="J357" s="269"/>
      <c r="K357" s="496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69">
        <v>0</v>
      </c>
      <c r="J358" s="269">
        <f ca="1">IFERROR(__xludf.DUMMYFUNCTION("IMPORTRANGE(""https://docs.google.com/spreadsheets/d/1XWAQStnk-4SwqDmLtmXYiTMKHgktTP8We1SCoS47DrQ/edit?usp=sharing"",""จัดที่ดิน!W54"")"),46)</f>
        <v>46</v>
      </c>
      <c r="K358" s="496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69">
        <f ca="1">IFERROR(__xludf.DUMMYFUNCTION("IMPORTRANGE(""https://docs.google.com/spreadsheets/d/1QqKyyYR6Q21VydFLVH3TRQUabQu_ym0Zz7PgGX0-kHA/edit?usp=sharing"",""แผน!EO54"")"),3700)</f>
        <v>3700</v>
      </c>
      <c r="J359" s="269">
        <f ca="1">IFERROR(__xludf.DUMMYFUNCTION("IMPORTRANGE(""https://docs.google.com/spreadsheets/d/1XWAQStnk-4SwqDmLtmXYiTMKHgktTP8We1SCoS47DrQ/edit?usp=sharing"",""จัดที่ดิน!X54"")"),338.8)</f>
        <v>338.8</v>
      </c>
      <c r="K359" s="496">
        <f t="shared" ca="1" si="161"/>
        <v>9.1567567567567565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755" t="s">
        <v>35</v>
      </c>
      <c r="I360" s="269">
        <f ca="1">IFERROR(__xludf.DUMMYFUNCTION("IMPORTRANGE(""https://docs.google.com/spreadsheets/d/1QqKyyYR6Q21VydFLVH3TRQUabQu_ym0Zz7PgGX0-kHA/edit?usp=sharing"",""แผน!EP54"")"),255)</f>
        <v>255</v>
      </c>
      <c r="J360" s="269">
        <f ca="1">IFERROR(__xludf.DUMMYFUNCTION("IMPORTRANGE(""https://docs.google.com/spreadsheets/d/1XWAQStnk-4SwqDmLtmXYiTMKHgktTP8We1SCoS47DrQ/edit?usp=sharing"",""จัดที่ดิน!Y54"")"),7)</f>
        <v>7</v>
      </c>
      <c r="K360" s="496">
        <f t="shared" ca="1" si="161"/>
        <v>2.7450980392156863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755" t="s">
        <v>46</v>
      </c>
      <c r="I361" s="269">
        <v>0</v>
      </c>
      <c r="J361" s="269">
        <f ca="1">IFERROR(__xludf.DUMMYFUNCTION("IMPORTRANGE(""https://docs.google.com/spreadsheets/d/1XWAQStnk-4SwqDmLtmXYiTMKHgktTP8We1SCoS47DrQ/edit?usp=sharing"",""จัดที่ดิน!Z54"")"),75.39)</f>
        <v>75.39</v>
      </c>
      <c r="K361" s="496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755" t="s">
        <v>35</v>
      </c>
      <c r="I362" s="269">
        <f ca="1">IFERROR(__xludf.DUMMYFUNCTION("IMPORTRANGE(""https://docs.google.com/spreadsheets/d/1QqKyyYR6Q21VydFLVH3TRQUabQu_ym0Zz7PgGX0-kHA/edit?usp=sharing"",""แผน!EP54"")"),255)</f>
        <v>255</v>
      </c>
      <c r="J362" s="269">
        <f ca="1">IFERROR(__xludf.DUMMYFUNCTION("IMPORTRANGE(""https://docs.google.com/spreadsheets/d/1XWAQStnk-4SwqDmLtmXYiTMKHgktTP8We1SCoS47DrQ/edit?usp=sharing"",""จัดที่ดิน!AA54"")"),4)</f>
        <v>4</v>
      </c>
      <c r="K362" s="496">
        <f t="shared" ca="1" si="161"/>
        <v>1.5686274509803921</v>
      </c>
      <c r="L362" s="163"/>
      <c r="M362" s="163"/>
      <c r="N362" s="163"/>
      <c r="O362" s="163"/>
      <c r="P362" s="163"/>
    </row>
    <row r="363" spans="1:26" ht="18.75">
      <c r="A363" s="469" t="s">
        <v>164</v>
      </c>
      <c r="B363" s="178"/>
      <c r="C363" s="171"/>
      <c r="D363" s="178"/>
      <c r="E363" s="446"/>
      <c r="F363" s="178"/>
      <c r="G363" s="179"/>
      <c r="H363" s="755" t="s">
        <v>46</v>
      </c>
      <c r="I363" s="269">
        <v>0</v>
      </c>
      <c r="J363" s="269">
        <f ca="1">IFERROR(__xludf.DUMMYFUNCTION("IMPORTRANGE(""https://docs.google.com/spreadsheets/d/1XWAQStnk-4SwqDmLtmXYiTMKHgktTP8We1SCoS47DrQ/edit?usp=sharing"",""จัดที่ดิน!AB54"")"),65.05)</f>
        <v>65.05</v>
      </c>
      <c r="K363" s="496">
        <f t="shared" si="161"/>
        <v>0</v>
      </c>
      <c r="L363" s="163"/>
      <c r="M363" s="163"/>
      <c r="N363" s="163"/>
      <c r="O363" s="163"/>
      <c r="P363" s="163"/>
    </row>
    <row r="364" spans="1:26" ht="19.5">
      <c r="A364" s="470"/>
      <c r="B364" s="471"/>
      <c r="C364" s="472"/>
      <c r="D364" s="473" t="s">
        <v>165</v>
      </c>
      <c r="E364" s="474"/>
      <c r="F364" s="474"/>
      <c r="G364" s="475"/>
      <c r="H364" s="476" t="s">
        <v>35</v>
      </c>
      <c r="I364" s="477">
        <f t="shared" ref="I364:J364" ca="1" si="162">I365+I374</f>
        <v>355</v>
      </c>
      <c r="J364" s="477">
        <f t="shared" ca="1" si="162"/>
        <v>25</v>
      </c>
      <c r="K364" s="478">
        <f t="shared" ca="1" si="161"/>
        <v>7.042253521126761</v>
      </c>
      <c r="L364" s="479"/>
      <c r="M364" s="479"/>
      <c r="N364" s="479"/>
      <c r="O364" s="479"/>
      <c r="P364" s="479"/>
      <c r="Q364" s="480"/>
      <c r="R364" s="480"/>
      <c r="S364" s="480"/>
      <c r="T364" s="480"/>
      <c r="U364" s="480"/>
      <c r="V364" s="480"/>
      <c r="W364" s="480"/>
      <c r="X364" s="480"/>
      <c r="Y364" s="480"/>
      <c r="Z364" s="480"/>
    </row>
    <row r="365" spans="1:26" ht="19.5">
      <c r="A365" s="481"/>
      <c r="B365" s="482"/>
      <c r="C365" s="484"/>
      <c r="D365" s="484" t="s">
        <v>166</v>
      </c>
      <c r="E365" s="485"/>
      <c r="F365" s="485"/>
      <c r="G365" s="486"/>
      <c r="H365" s="487" t="s">
        <v>35</v>
      </c>
      <c r="I365" s="489">
        <f ca="1">IFERROR(__xludf.DUMMYFUNCTION("IMPORTRANGE(""https://docs.google.com/spreadsheets/d/1QqKyyYR6Q21VydFLVH3TRQUabQu_ym0Zz7PgGX0-kHA/edit?usp=sharing"",""แผน!EJ54"")"),205)</f>
        <v>205</v>
      </c>
      <c r="J365" s="489">
        <f ca="1">J372</f>
        <v>4</v>
      </c>
      <c r="K365" s="490">
        <f t="shared" ca="1" si="161"/>
        <v>1.9512195121951219</v>
      </c>
      <c r="L365" s="491"/>
      <c r="M365" s="491"/>
      <c r="N365" s="491"/>
      <c r="O365" s="491"/>
      <c r="P365" s="491"/>
      <c r="Q365" s="480"/>
      <c r="R365" s="480"/>
      <c r="S365" s="480"/>
      <c r="T365" s="480"/>
      <c r="U365" s="480"/>
      <c r="V365" s="480"/>
      <c r="W365" s="480"/>
      <c r="X365" s="480"/>
      <c r="Y365" s="480"/>
      <c r="Z365" s="480"/>
    </row>
    <row r="366" spans="1:26" ht="19.5">
      <c r="A366" s="481"/>
      <c r="B366" s="482"/>
      <c r="C366" s="484"/>
      <c r="D366" s="492" t="s">
        <v>167</v>
      </c>
      <c r="E366" s="485"/>
      <c r="F366" s="485"/>
      <c r="G366" s="486"/>
      <c r="H366" s="493"/>
      <c r="I366" s="494"/>
      <c r="J366" s="494"/>
      <c r="K366" s="491"/>
      <c r="L366" s="491"/>
      <c r="M366" s="491"/>
      <c r="N366" s="491"/>
      <c r="O366" s="491"/>
      <c r="P366" s="491"/>
      <c r="Q366" s="480"/>
      <c r="R366" s="480"/>
      <c r="S366" s="480"/>
      <c r="T366" s="480"/>
      <c r="U366" s="480"/>
      <c r="V366" s="480"/>
      <c r="W366" s="480"/>
      <c r="X366" s="480"/>
      <c r="Y366" s="480"/>
      <c r="Z366" s="480"/>
    </row>
    <row r="367" spans="1:26" ht="19.5">
      <c r="A367" s="170"/>
      <c r="B367" s="171"/>
      <c r="C367" s="164" t="s">
        <v>16</v>
      </c>
      <c r="D367" s="823" t="s">
        <v>38</v>
      </c>
      <c r="E367" s="173"/>
      <c r="F367" s="173"/>
      <c r="G367" s="174"/>
      <c r="H367" s="753"/>
      <c r="I367" s="269"/>
      <c r="J367" s="269"/>
      <c r="K367" s="496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69">
        <v>0</v>
      </c>
      <c r="J368" s="269">
        <f ca="1">IFERROR(__xludf.DUMMYFUNCTION("IMPORTRANGE(""https://docs.google.com/spreadsheets/d/1XWAQStnk-4SwqDmLtmXYiTMKHgktTP8We1SCoS47DrQ/edit?usp=sharing"",""จัดที่ดิน!E54"")"),18)</f>
        <v>18</v>
      </c>
      <c r="K368" s="496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69">
        <f ca="1">IFERROR(__xludf.DUMMYFUNCTION("IMPORTRANGE(""https://docs.google.com/spreadsheets/d/1QqKyyYR6Q21VydFLVH3TRQUabQu_ym0Zz7PgGX0-kHA/edit?usp=sharing"",""แผน!EI54"")"),2700)</f>
        <v>2700</v>
      </c>
      <c r="J369" s="269">
        <f ca="1">IFERROR(__xludf.DUMMYFUNCTION("IMPORTRANGE(""https://docs.google.com/spreadsheets/d/1XWAQStnk-4SwqDmLtmXYiTMKHgktTP8We1SCoS47DrQ/edit?usp=sharing"",""จัดที่ดิน!F54"")"),154.11)</f>
        <v>154.11000000000001</v>
      </c>
      <c r="K369" s="496">
        <f t="shared" ca="1" si="163"/>
        <v>5.7077777777777783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55" t="s">
        <v>35</v>
      </c>
      <c r="I370" s="269">
        <f ca="1">IFERROR(__xludf.DUMMYFUNCTION("IMPORTRANGE(""https://docs.google.com/spreadsheets/d/1QqKyyYR6Q21VydFLVH3TRQUabQu_ym0Zz7PgGX0-kHA/edit?usp=sharing"",""แผน!EJ54"")"),205)</f>
        <v>205</v>
      </c>
      <c r="J370" s="269">
        <f ca="1">IFERROR(__xludf.DUMMYFUNCTION("IMPORTRANGE(""https://docs.google.com/spreadsheets/d/1XWAQStnk-4SwqDmLtmXYiTMKHgktTP8We1SCoS47DrQ/edit?usp=sharing"",""จัดที่ดิน!G54"")"),7)</f>
        <v>7</v>
      </c>
      <c r="K370" s="496">
        <f t="shared" ca="1" si="163"/>
        <v>3.4146341463414633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55" t="s">
        <v>46</v>
      </c>
      <c r="I371" s="269">
        <v>0</v>
      </c>
      <c r="J371" s="269">
        <f ca="1">IFERROR(__xludf.DUMMYFUNCTION("IMPORTRANGE(""https://docs.google.com/spreadsheets/d/1XWAQStnk-4SwqDmLtmXYiTMKHgktTP8We1SCoS47DrQ/edit?usp=sharing"",""จัดที่ดิน!H54"")"),75.39)</f>
        <v>75.39</v>
      </c>
      <c r="K371" s="496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55" t="s">
        <v>35</v>
      </c>
      <c r="I372" s="269">
        <f ca="1">IFERROR(__xludf.DUMMYFUNCTION("IMPORTRANGE(""https://docs.google.com/spreadsheets/d/1QqKyyYR6Q21VydFLVH3TRQUabQu_ym0Zz7PgGX0-kHA/edit?usp=sharing"",""แผน!EJ54"")"),205)</f>
        <v>205</v>
      </c>
      <c r="J372" s="269">
        <f ca="1">IFERROR(__xludf.DUMMYFUNCTION("IMPORTRANGE(""https://docs.google.com/spreadsheets/d/1XWAQStnk-4SwqDmLtmXYiTMKHgktTP8We1SCoS47DrQ/edit?usp=sharing"",""จัดที่ดิน!I54"")"),4)</f>
        <v>4</v>
      </c>
      <c r="K372" s="496">
        <f t="shared" ca="1" si="163"/>
        <v>1.9512195121951219</v>
      </c>
      <c r="L372" s="163"/>
      <c r="M372" s="163"/>
      <c r="N372" s="163"/>
      <c r="O372" s="163"/>
      <c r="P372" s="163"/>
    </row>
    <row r="373" spans="1:26" ht="18.75">
      <c r="A373" s="469" t="s">
        <v>164</v>
      </c>
      <c r="B373" s="178"/>
      <c r="C373" s="171"/>
      <c r="D373" s="178"/>
      <c r="E373" s="446"/>
      <c r="F373" s="178"/>
      <c r="G373" s="179"/>
      <c r="H373" s="755" t="s">
        <v>46</v>
      </c>
      <c r="I373" s="269">
        <v>0</v>
      </c>
      <c r="J373" s="269">
        <f ca="1">IFERROR(__xludf.DUMMYFUNCTION("IMPORTRANGE(""https://docs.google.com/spreadsheets/d/1XWAQStnk-4SwqDmLtmXYiTMKHgktTP8We1SCoS47DrQ/edit?usp=sharing"",""จัดที่ดิน!J54"")"),65.05)</f>
        <v>65.05</v>
      </c>
      <c r="K373" s="496">
        <f t="shared" si="163"/>
        <v>0</v>
      </c>
      <c r="L373" s="163"/>
      <c r="M373" s="163"/>
      <c r="N373" s="163"/>
      <c r="O373" s="163"/>
      <c r="P373" s="163"/>
    </row>
    <row r="374" spans="1:26" ht="19.5">
      <c r="A374" s="481"/>
      <c r="B374" s="482"/>
      <c r="C374" s="484"/>
      <c r="D374" s="484" t="s">
        <v>168</v>
      </c>
      <c r="E374" s="485"/>
      <c r="F374" s="485"/>
      <c r="G374" s="486"/>
      <c r="H374" s="487" t="s">
        <v>35</v>
      </c>
      <c r="I374" s="495">
        <f ca="1">IFERROR(__xludf.DUMMYFUNCTION("IMPORTRANGE(""https://docs.google.com/spreadsheets/d/1QqKyyYR6Q21VydFLVH3TRQUabQu_ym0Zz7PgGX0-kHA/edit?usp=sharing"",""แผน!EU54"")"),150)</f>
        <v>150</v>
      </c>
      <c r="J374" s="489">
        <f ca="1">J381</f>
        <v>21</v>
      </c>
      <c r="K374" s="490">
        <f t="shared" ca="1" si="163"/>
        <v>14</v>
      </c>
      <c r="L374" s="491"/>
      <c r="M374" s="491"/>
      <c r="N374" s="491"/>
      <c r="O374" s="491"/>
      <c r="P374" s="491"/>
      <c r="Q374" s="480"/>
      <c r="R374" s="480"/>
      <c r="S374" s="480"/>
      <c r="T374" s="480"/>
      <c r="U374" s="480"/>
      <c r="V374" s="480"/>
      <c r="W374" s="480"/>
      <c r="X374" s="480"/>
      <c r="Y374" s="480"/>
      <c r="Z374" s="480"/>
    </row>
    <row r="375" spans="1:26" ht="19.5">
      <c r="A375" s="481"/>
      <c r="B375" s="482"/>
      <c r="C375" s="484"/>
      <c r="D375" s="492" t="s">
        <v>169</v>
      </c>
      <c r="E375" s="485"/>
      <c r="F375" s="485"/>
      <c r="G375" s="486"/>
      <c r="H375" s="493"/>
      <c r="I375" s="494"/>
      <c r="J375" s="494"/>
      <c r="K375" s="491"/>
      <c r="L375" s="491"/>
      <c r="M375" s="491"/>
      <c r="N375" s="491"/>
      <c r="O375" s="491"/>
      <c r="P375" s="491"/>
      <c r="Q375" s="480"/>
      <c r="R375" s="480"/>
      <c r="S375" s="480"/>
      <c r="T375" s="480"/>
      <c r="U375" s="480"/>
      <c r="V375" s="480"/>
      <c r="W375" s="480"/>
      <c r="X375" s="480"/>
      <c r="Y375" s="480"/>
      <c r="Z375" s="480"/>
    </row>
    <row r="376" spans="1:26" ht="19.5">
      <c r="A376" s="170"/>
      <c r="B376" s="171"/>
      <c r="C376" s="164" t="s">
        <v>16</v>
      </c>
      <c r="D376" s="823" t="s">
        <v>38</v>
      </c>
      <c r="E376" s="173"/>
      <c r="F376" s="173"/>
      <c r="G376" s="174"/>
      <c r="H376" s="753"/>
      <c r="I376" s="269"/>
      <c r="J376" s="269"/>
      <c r="K376" s="496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69">
        <v>0</v>
      </c>
      <c r="J377" s="269">
        <f ca="1">IFERROR(__xludf.DUMMYFUNCTION("IMPORTRANGE(""https://docs.google.com/spreadsheets/d/1XWAQStnk-4SwqDmLtmXYiTMKHgktTP8We1SCoS47DrQ/edit?usp=sharing"",""จัดที่ดิน!AH54"")"),28)</f>
        <v>28</v>
      </c>
      <c r="K377" s="496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69">
        <f ca="1">IFERROR(__xludf.DUMMYFUNCTION("IMPORTRANGE(""https://docs.google.com/spreadsheets/d/1QqKyyYR6Q21VydFLVH3TRQUabQu_ym0Zz7PgGX0-kHA/edit?usp=sharing"",""แผน!ET54"")"),1000)</f>
        <v>1000</v>
      </c>
      <c r="J378" s="269">
        <f ca="1">IFERROR(__xludf.DUMMYFUNCTION("IMPORTRANGE(""https://docs.google.com/spreadsheets/d/1XWAQStnk-4SwqDmLtmXYiTMKHgktTP8We1SCoS47DrQ/edit?usp=sharing"",""จัดที่ดิน!AI54"")"),184.69)</f>
        <v>184.69</v>
      </c>
      <c r="K378" s="496">
        <f t="shared" ca="1" si="164"/>
        <v>18.469000000000001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55" t="s">
        <v>35</v>
      </c>
      <c r="I379" s="269">
        <f ca="1">IFERROR(__xludf.DUMMYFUNCTION("IMPORTRANGE(""https://docs.google.com/spreadsheets/d/1QqKyyYR6Q21VydFLVH3TRQUabQu_ym0Zz7PgGX0-kHA/edit?usp=sharing"",""แผน!EU54"")"),150)</f>
        <v>150</v>
      </c>
      <c r="J379" s="269">
        <f ca="1">IFERROR(__xludf.DUMMYFUNCTION("IMPORTRANGE(""https://docs.google.com/spreadsheets/d/1XWAQStnk-4SwqDmLtmXYiTMKHgktTP8We1SCoS47DrQ/edit?usp=sharing"",""จัดที่ดิน!AJ54"")"),21)</f>
        <v>21</v>
      </c>
      <c r="K379" s="496">
        <f t="shared" ca="1" si="164"/>
        <v>14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55" t="s">
        <v>46</v>
      </c>
      <c r="I380" s="269">
        <v>0</v>
      </c>
      <c r="J380" s="269">
        <f ca="1">IFERROR(__xludf.DUMMYFUNCTION("IMPORTRANGE(""https://docs.google.com/spreadsheets/d/1XWAQStnk-4SwqDmLtmXYiTMKHgktTP8We1SCoS47DrQ/edit?usp=sharing"",""จัดที่ดิน!AK54"")"),284.44)</f>
        <v>284.44</v>
      </c>
      <c r="K380" s="496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55" t="s">
        <v>35</v>
      </c>
      <c r="I381" s="269">
        <f ca="1">IFERROR(__xludf.DUMMYFUNCTION("IMPORTRANGE(""https://docs.google.com/spreadsheets/d/1QqKyyYR6Q21VydFLVH3TRQUabQu_ym0Zz7PgGX0-kHA/edit?usp=sharing"",""แผน!EU54"")"),150)</f>
        <v>150</v>
      </c>
      <c r="J381" s="269">
        <f ca="1">IFERROR(__xludf.DUMMYFUNCTION("IMPORTRANGE(""https://docs.google.com/spreadsheets/d/1XWAQStnk-4SwqDmLtmXYiTMKHgktTP8We1SCoS47DrQ/edit?usp=sharing"",""จัดที่ดิน!AL54"")"),21)</f>
        <v>21</v>
      </c>
      <c r="K381" s="496">
        <f t="shared" ca="1" si="164"/>
        <v>14</v>
      </c>
      <c r="L381" s="163"/>
      <c r="M381" s="163"/>
      <c r="N381" s="163"/>
      <c r="O381" s="163"/>
      <c r="P381" s="163"/>
    </row>
    <row r="382" spans="1:26" ht="18.75">
      <c r="A382" s="469" t="s">
        <v>164</v>
      </c>
      <c r="B382" s="178"/>
      <c r="C382" s="171"/>
      <c r="D382" s="178"/>
      <c r="E382" s="446"/>
      <c r="F382" s="178"/>
      <c r="G382" s="179"/>
      <c r="H382" s="755" t="s">
        <v>46</v>
      </c>
      <c r="I382" s="269">
        <v>0</v>
      </c>
      <c r="J382" s="269">
        <f ca="1">IFERROR(__xludf.DUMMYFUNCTION("IMPORTRANGE(""https://docs.google.com/spreadsheets/d/1XWAQStnk-4SwqDmLtmXYiTMKHgktTP8We1SCoS47DrQ/edit?usp=sharing"",""จัดที่ดิน!AM54"")"),284.44)</f>
        <v>284.44</v>
      </c>
      <c r="K382" s="496">
        <f t="shared" si="164"/>
        <v>0</v>
      </c>
      <c r="L382" s="163"/>
      <c r="M382" s="163"/>
      <c r="N382" s="163"/>
      <c r="O382" s="163"/>
      <c r="P382" s="163"/>
    </row>
    <row r="383" spans="1:26" ht="19.5">
      <c r="A383" s="255"/>
      <c r="B383" s="263"/>
      <c r="C383" s="256"/>
      <c r="D383" s="832" t="s">
        <v>170</v>
      </c>
      <c r="E383" s="256"/>
      <c r="F383" s="256"/>
      <c r="G383" s="258"/>
      <c r="H383" s="454"/>
      <c r="I383" s="260"/>
      <c r="J383" s="260"/>
      <c r="K383" s="261"/>
      <c r="L383" s="261"/>
      <c r="M383" s="261"/>
      <c r="N383" s="261"/>
      <c r="O383" s="261"/>
      <c r="P383" s="261"/>
    </row>
    <row r="384" spans="1:26" ht="19.5">
      <c r="A384" s="170"/>
      <c r="B384" s="171"/>
      <c r="C384" s="33" t="s">
        <v>16</v>
      </c>
      <c r="D384" s="823" t="s">
        <v>38</v>
      </c>
      <c r="E384" s="173"/>
      <c r="F384" s="173"/>
      <c r="G384" s="174"/>
      <c r="H384" s="753"/>
      <c r="I384" s="269"/>
      <c r="J384" s="269"/>
      <c r="K384" s="496"/>
      <c r="L384" s="163"/>
      <c r="M384" s="163"/>
      <c r="N384" s="163"/>
      <c r="O384" s="163"/>
      <c r="P384" s="163"/>
    </row>
    <row r="385" spans="1:26" ht="18.75">
      <c r="A385" s="377"/>
      <c r="B385" s="380"/>
      <c r="C385" s="378"/>
      <c r="D385" s="380"/>
      <c r="E385" s="497" t="s">
        <v>163</v>
      </c>
      <c r="F385" s="380"/>
      <c r="G385" s="381"/>
      <c r="H385" s="498" t="s">
        <v>35</v>
      </c>
      <c r="I385" s="499">
        <f ca="1">IFERROR(__xludf.DUMMYFUNCTION("IMPORTRANGE(""https://docs.google.com/spreadsheets/d/1QqKyyYR6Q21VydFLVH3TRQUabQu_ym0Zz7PgGX0-kHA/edit?usp=sharing"",""แผน!EW54"")"),10)</f>
        <v>10</v>
      </c>
      <c r="J385" s="499">
        <f ca="1">IFERROR(__xludf.DUMMYFUNCTION("IMPORTRANGE(""https://docs.google.com/spreadsheets/d/1XWAQStnk-4SwqDmLtmXYiTMKHgktTP8We1SCoS47DrQ/edit?usp=sharing"",""จัดที่ดิน!AP54"")"),3)</f>
        <v>3</v>
      </c>
      <c r="K385" s="500">
        <f ca="1">IF(I385&gt;0,J385*100/I385,0)</f>
        <v>30</v>
      </c>
      <c r="L385" s="384"/>
      <c r="M385" s="384"/>
      <c r="N385" s="384"/>
      <c r="O385" s="384"/>
      <c r="P385" s="384"/>
    </row>
    <row r="386" spans="1:26" ht="19.5" hidden="1">
      <c r="A386" s="501" t="s">
        <v>171</v>
      </c>
      <c r="B386" s="502"/>
      <c r="C386" s="502"/>
      <c r="D386" s="502"/>
      <c r="E386" s="503"/>
      <c r="F386" s="503"/>
      <c r="G386" s="504"/>
      <c r="H386" s="505"/>
      <c r="I386" s="506"/>
      <c r="J386" s="506"/>
      <c r="K386" s="507"/>
      <c r="L386" s="507"/>
      <c r="M386" s="507"/>
      <c r="N386" s="507"/>
      <c r="O386" s="507"/>
      <c r="P386" s="507"/>
    </row>
    <row r="387" spans="1:26" ht="19.5" hidden="1">
      <c r="A387" s="508" t="s">
        <v>172</v>
      </c>
      <c r="B387" s="509"/>
      <c r="C387" s="509"/>
      <c r="D387" s="510"/>
      <c r="E387" s="509"/>
      <c r="F387" s="509"/>
      <c r="G387" s="509"/>
      <c r="H387" s="511"/>
      <c r="I387" s="512"/>
      <c r="J387" s="512"/>
      <c r="K387" s="513"/>
      <c r="L387" s="513"/>
      <c r="M387" s="513"/>
      <c r="N387" s="513"/>
      <c r="O387" s="513"/>
      <c r="P387" s="513"/>
    </row>
    <row r="388" spans="1:26" ht="19.5" hidden="1">
      <c r="A388" s="514"/>
      <c r="B388" s="515" t="s">
        <v>173</v>
      </c>
      <c r="C388" s="516"/>
      <c r="D388" s="517"/>
      <c r="E388" s="517"/>
      <c r="F388" s="517"/>
      <c r="G388" s="518"/>
      <c r="H388" s="519" t="s">
        <v>69</v>
      </c>
      <c r="I388" s="520">
        <f t="shared" ref="I388:J388" si="165">I400</f>
        <v>0</v>
      </c>
      <c r="J388" s="520">
        <f t="shared" si="165"/>
        <v>0</v>
      </c>
      <c r="K388" s="521">
        <f>IF(I388&gt;0,J388*100/I388,0)</f>
        <v>0</v>
      </c>
      <c r="L388" s="522"/>
      <c r="M388" s="522"/>
      <c r="N388" s="522"/>
      <c r="O388" s="522"/>
      <c r="P388" s="522"/>
    </row>
    <row r="389" spans="1:26" ht="19.5" hidden="1">
      <c r="A389" s="147"/>
      <c r="B389" s="148"/>
      <c r="C389" s="149" t="s">
        <v>16</v>
      </c>
      <c r="D389" s="822" t="s">
        <v>17</v>
      </c>
      <c r="E389" s="148"/>
      <c r="F389" s="148"/>
      <c r="G389" s="151"/>
      <c r="H389" s="152" t="s">
        <v>12</v>
      </c>
      <c r="I389" s="419"/>
      <c r="J389" s="419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2" t="s">
        <v>18</v>
      </c>
      <c r="F390" s="40"/>
      <c r="G390" s="157"/>
      <c r="H390" s="158" t="s">
        <v>12</v>
      </c>
      <c r="I390" s="610"/>
      <c r="J390" s="610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2" t="s">
        <v>19</v>
      </c>
      <c r="F391" s="40"/>
      <c r="G391" s="157"/>
      <c r="H391" s="158" t="s">
        <v>12</v>
      </c>
      <c r="I391" s="610"/>
      <c r="J391" s="610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1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6">
        <f t="shared" ref="L392:N392" ca="1" si="170">L393+L394</f>
        <v>0</v>
      </c>
      <c r="M392" s="496">
        <f t="shared" ca="1" si="170"/>
        <v>0</v>
      </c>
      <c r="N392" s="496">
        <f t="shared" ca="1" si="170"/>
        <v>0</v>
      </c>
      <c r="O392" s="496">
        <f t="shared" ca="1" si="167"/>
        <v>0</v>
      </c>
      <c r="P392" s="496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2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2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IFERROR(__xludf.DUMMYFUNCTION("IMPORTRANGE(""https://docs.google.com/spreadsheets/d/1MeEWN-I1oV_STSDYn1IFDPWt_1FKiwhDph83XaGc0o0/edit?usp=sharing"",""งบพรบ!FG54"")"),0)</f>
        <v>0</v>
      </c>
      <c r="M394" s="93">
        <f ca="1">IFERROR(__xludf.DUMMYFUNCTION("IMPORTRANGE(""https://docs.google.com/spreadsheets/d/1MeEWN-I1oV_STSDYn1IFDPWt_1FKiwhDph83XaGc0o0/edit?usp=sharing"",""งบพรบ!FL54"")"),0)</f>
        <v>0</v>
      </c>
      <c r="N394" s="93">
        <f ca="1">IFERROR(__xludf.DUMMYFUNCTION("IMPORTRANGE(""https://docs.google.com/spreadsheets/d/1MeEWN-I1oV_STSDYn1IFDPWt_1FKiwhDph83XaGc0o0/edit?usp=sharing"",""งบพรบ!FN54"")"),0)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1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6">
        <f t="shared" ref="L395:N395" ca="1" si="171">L396+L397</f>
        <v>0</v>
      </c>
      <c r="M395" s="496">
        <f t="shared" ca="1" si="171"/>
        <v>0</v>
      </c>
      <c r="N395" s="496">
        <f t="shared" ca="1" si="171"/>
        <v>0</v>
      </c>
      <c r="O395" s="496">
        <f t="shared" ca="1" si="167"/>
        <v>0</v>
      </c>
      <c r="P395" s="496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2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2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IFERROR(__xludf.DUMMYFUNCTION("IMPORTRANGE(""https://docs.google.com/spreadsheets/d/1MeEWN-I1oV_STSDYn1IFDPWt_1FKiwhDph83XaGc0o0/edit?usp=sharing"",""งบพรบ!FJ54"")"),0)</f>
        <v>0</v>
      </c>
      <c r="M397" s="93">
        <f ca="1">IFERROR(__xludf.DUMMYFUNCTION("IMPORTRANGE(""https://docs.google.com/spreadsheets/d/1MeEWN-I1oV_STSDYn1IFDPWt_1FKiwhDph83XaGc0o0/edit?usp=sharing"",""งบพรบ!FM54"")"),0)</f>
        <v>0</v>
      </c>
      <c r="N397" s="93">
        <f ca="1">IFERROR(__xludf.DUMMYFUNCTION("IMPORTRANGE(""https://docs.google.com/spreadsheets/d/1MeEWN-I1oV_STSDYn1IFDPWt_1FKiwhDph83XaGc0o0/edit?usp=sharing"",""งบพรบ!FO54"")"),0)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23" t="s">
        <v>38</v>
      </c>
      <c r="E398" s="173"/>
      <c r="F398" s="173"/>
      <c r="G398" s="174"/>
      <c r="H398" s="753"/>
      <c r="I398" s="184"/>
      <c r="J398" s="269"/>
      <c r="K398" s="496"/>
      <c r="L398" s="496"/>
      <c r="M398" s="496"/>
      <c r="N398" s="496"/>
      <c r="O398" s="163"/>
      <c r="P398" s="163"/>
    </row>
    <row r="399" spans="1:26" ht="18.75" hidden="1">
      <c r="A399" s="523"/>
      <c r="B399" s="148"/>
      <c r="C399" s="524"/>
      <c r="D399" s="525" t="s">
        <v>174</v>
      </c>
      <c r="E399" s="414"/>
      <c r="F399" s="148"/>
      <c r="G399" s="151"/>
      <c r="H399" s="526" t="s">
        <v>9</v>
      </c>
      <c r="I399" s="269">
        <v>0</v>
      </c>
      <c r="J399" s="214">
        <v>0</v>
      </c>
      <c r="K399" s="496">
        <f t="shared" ref="K399:K401" si="172">IF(I399&gt;0,J399*100/I399,0)</f>
        <v>0</v>
      </c>
      <c r="L399" s="527"/>
      <c r="M399" s="527"/>
      <c r="N399" s="527"/>
      <c r="O399" s="527"/>
      <c r="P399" s="527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4"/>
      <c r="B400" s="33"/>
      <c r="C400" s="280"/>
      <c r="D400" s="446" t="s">
        <v>175</v>
      </c>
      <c r="E400" s="171"/>
      <c r="F400" s="33"/>
      <c r="G400" s="35"/>
      <c r="H400" s="276" t="s">
        <v>69</v>
      </c>
      <c r="I400" s="269">
        <v>0</v>
      </c>
      <c r="J400" s="214">
        <v>0</v>
      </c>
      <c r="K400" s="496">
        <f t="shared" si="172"/>
        <v>0</v>
      </c>
      <c r="L400" s="496"/>
      <c r="M400" s="496"/>
      <c r="N400" s="496"/>
      <c r="O400" s="496"/>
      <c r="P400" s="496"/>
    </row>
    <row r="401" spans="1:26" ht="19.5" hidden="1">
      <c r="A401" s="514"/>
      <c r="B401" s="515" t="s">
        <v>176</v>
      </c>
      <c r="C401" s="516"/>
      <c r="D401" s="517"/>
      <c r="E401" s="517"/>
      <c r="F401" s="517"/>
      <c r="G401" s="518"/>
      <c r="H401" s="519" t="s">
        <v>69</v>
      </c>
      <c r="I401" s="520">
        <f t="shared" ref="I401:J401" si="173">I412</f>
        <v>0</v>
      </c>
      <c r="J401" s="520">
        <f t="shared" si="173"/>
        <v>0</v>
      </c>
      <c r="K401" s="521">
        <f t="shared" si="172"/>
        <v>0</v>
      </c>
      <c r="L401" s="522"/>
      <c r="M401" s="522"/>
      <c r="N401" s="522"/>
      <c r="O401" s="522"/>
      <c r="P401" s="522"/>
    </row>
    <row r="402" spans="1:26" ht="19.5" hidden="1">
      <c r="A402" s="147"/>
      <c r="B402" s="148"/>
      <c r="C402" s="149" t="s">
        <v>16</v>
      </c>
      <c r="D402" s="822" t="s">
        <v>17</v>
      </c>
      <c r="E402" s="148"/>
      <c r="F402" s="148"/>
      <c r="G402" s="151"/>
      <c r="H402" s="152" t="s">
        <v>12</v>
      </c>
      <c r="I402" s="419"/>
      <c r="J402" s="419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2" t="s">
        <v>18</v>
      </c>
      <c r="F403" s="40"/>
      <c r="G403" s="157"/>
      <c r="H403" s="158" t="s">
        <v>12</v>
      </c>
      <c r="I403" s="610"/>
      <c r="J403" s="610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2" t="s">
        <v>19</v>
      </c>
      <c r="F404" s="40"/>
      <c r="G404" s="157"/>
      <c r="H404" s="158" t="s">
        <v>12</v>
      </c>
      <c r="I404" s="610"/>
      <c r="J404" s="610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1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6">
        <f t="shared" ref="L405:N405" ca="1" si="178">L406+L407</f>
        <v>0</v>
      </c>
      <c r="M405" s="496">
        <f t="shared" ca="1" si="178"/>
        <v>0</v>
      </c>
      <c r="N405" s="496">
        <f t="shared" ca="1" si="178"/>
        <v>0</v>
      </c>
      <c r="O405" s="496">
        <f t="shared" ca="1" si="175"/>
        <v>0</v>
      </c>
      <c r="P405" s="496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2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2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IFERROR(__xludf.DUMMYFUNCTION("IMPORTRANGE(""https://docs.google.com/spreadsheets/d/1MeEWN-I1oV_STSDYn1IFDPWt_1FKiwhDph83XaGc0o0/edit?usp=sharing"",""งบพรบ!FQ54"")"),0)</f>
        <v>0</v>
      </c>
      <c r="M407" s="93">
        <f ca="1">IFERROR(__xludf.DUMMYFUNCTION("IMPORTRANGE(""https://docs.google.com/spreadsheets/d/1MeEWN-I1oV_STSDYn1IFDPWt_1FKiwhDph83XaGc0o0/edit?usp=sharing"",""งบพรบ!FV54"")"),0)</f>
        <v>0</v>
      </c>
      <c r="N407" s="93">
        <f ca="1">IFERROR(__xludf.DUMMYFUNCTION("IMPORTRANGE(""https://docs.google.com/spreadsheets/d/1MeEWN-I1oV_STSDYn1IFDPWt_1FKiwhDph83XaGc0o0/edit?usp=sharing"",""งบพรบ!FX54"")"),0)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1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6">
        <f t="shared" ref="L408:N408" ca="1" si="179">L409+L410</f>
        <v>0</v>
      </c>
      <c r="M408" s="496">
        <f t="shared" ca="1" si="179"/>
        <v>0</v>
      </c>
      <c r="N408" s="496">
        <f t="shared" ca="1" si="179"/>
        <v>0</v>
      </c>
      <c r="O408" s="496">
        <f t="shared" ca="1" si="175"/>
        <v>0</v>
      </c>
      <c r="P408" s="496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2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2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IFERROR(__xludf.DUMMYFUNCTION("IMPORTRANGE(""https://docs.google.com/spreadsheets/d/1MeEWN-I1oV_STSDYn1IFDPWt_1FKiwhDph83XaGc0o0/edit?usp=sharing"",""งบพรบ!FT54"")"),0)</f>
        <v>0</v>
      </c>
      <c r="M410" s="93">
        <f ca="1">IFERROR(__xludf.DUMMYFUNCTION("IMPORTRANGE(""https://docs.google.com/spreadsheets/d/1MeEWN-I1oV_STSDYn1IFDPWt_1FKiwhDph83XaGc0o0/edit?usp=sharing"",""งบพรบ!FW54"")"),0)</f>
        <v>0</v>
      </c>
      <c r="N410" s="93">
        <f ca="1">IFERROR(__xludf.DUMMYFUNCTION("IMPORTRANGE(""https://docs.google.com/spreadsheets/d/1MeEWN-I1oV_STSDYn1IFDPWt_1FKiwhDph83XaGc0o0/edit?usp=sharing"",""งบพรบ!FY54"")"),0)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34" t="s">
        <v>38</v>
      </c>
      <c r="E411" s="529"/>
      <c r="F411" s="529"/>
      <c r="G411" s="530"/>
      <c r="H411" s="753"/>
      <c r="I411" s="269"/>
      <c r="J411" s="269"/>
      <c r="K411" s="496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6" t="s">
        <v>177</v>
      </c>
      <c r="E412" s="178"/>
      <c r="F412" s="178"/>
      <c r="G412" s="179"/>
      <c r="H412" s="531" t="s">
        <v>69</v>
      </c>
      <c r="I412" s="269">
        <v>0</v>
      </c>
      <c r="J412" s="214">
        <v>0</v>
      </c>
      <c r="K412" s="496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2"/>
      <c r="B413" s="533"/>
      <c r="C413" s="533"/>
      <c r="D413" s="534" t="s">
        <v>178</v>
      </c>
      <c r="E413" s="533"/>
      <c r="F413" s="533"/>
      <c r="G413" s="535"/>
      <c r="H413" s="536" t="s">
        <v>179</v>
      </c>
      <c r="I413" s="537">
        <v>0</v>
      </c>
      <c r="J413" s="538">
        <v>0</v>
      </c>
      <c r="K413" s="539">
        <f t="shared" si="180"/>
        <v>0</v>
      </c>
      <c r="L413" s="540"/>
      <c r="M413" s="540"/>
      <c r="N413" s="540"/>
      <c r="O413" s="540"/>
      <c r="P413" s="540"/>
    </row>
    <row r="414" spans="1:26" ht="19.5">
      <c r="A414" s="541" t="s">
        <v>180</v>
      </c>
      <c r="B414" s="542"/>
      <c r="C414" s="542"/>
      <c r="D414" s="542"/>
      <c r="E414" s="542"/>
      <c r="F414" s="542"/>
      <c r="G414" s="543"/>
      <c r="H414" s="544"/>
      <c r="I414" s="545"/>
      <c r="J414" s="545"/>
      <c r="K414" s="546"/>
      <c r="L414" s="547">
        <f t="shared" ref="L414:N414" ca="1" si="181">L419+L444+L467+L502+L523+L544+L629+L655+L685+L737+L754+L770+L786+L805</f>
        <v>738903</v>
      </c>
      <c r="M414" s="547">
        <f t="shared" si="181"/>
        <v>0</v>
      </c>
      <c r="N414" s="547">
        <f t="shared" si="181"/>
        <v>43627</v>
      </c>
      <c r="O414" s="547">
        <f ca="1">IF(L414&gt;0,N414*100/L414,0)</f>
        <v>5.904293256354352</v>
      </c>
      <c r="P414" s="547">
        <f>IF(M414&gt;0,N414*100/M414,0)</f>
        <v>0</v>
      </c>
    </row>
    <row r="415" spans="1:26" ht="19.5">
      <c r="A415" s="548" t="s">
        <v>181</v>
      </c>
      <c r="B415" s="549"/>
      <c r="C415" s="549"/>
      <c r="D415" s="549"/>
      <c r="E415" s="549"/>
      <c r="F415" s="549"/>
      <c r="G415" s="549"/>
      <c r="H415" s="550"/>
      <c r="I415" s="551"/>
      <c r="J415" s="551"/>
      <c r="K415" s="552"/>
      <c r="L415" s="553"/>
      <c r="M415" s="553"/>
      <c r="N415" s="553"/>
      <c r="O415" s="553"/>
      <c r="P415" s="553"/>
    </row>
    <row r="416" spans="1:26" ht="19.5">
      <c r="A416" s="548" t="s">
        <v>182</v>
      </c>
      <c r="B416" s="549"/>
      <c r="C416" s="549"/>
      <c r="D416" s="549"/>
      <c r="E416" s="549"/>
      <c r="F416" s="549"/>
      <c r="G416" s="554"/>
      <c r="H416" s="555"/>
      <c r="I416" s="556"/>
      <c r="J416" s="556"/>
      <c r="K416" s="553"/>
      <c r="L416" s="553"/>
      <c r="M416" s="553"/>
      <c r="N416" s="553"/>
      <c r="O416" s="553"/>
      <c r="P416" s="553"/>
    </row>
    <row r="417" spans="1:26" ht="39">
      <c r="A417" s="557">
        <v>1</v>
      </c>
      <c r="B417" s="559" t="s">
        <v>183</v>
      </c>
      <c r="C417" s="559"/>
      <c r="D417" s="560"/>
      <c r="E417" s="560"/>
      <c r="F417" s="560"/>
      <c r="G417" s="561"/>
      <c r="H417" s="562" t="s">
        <v>35</v>
      </c>
      <c r="I417" s="563">
        <f t="shared" ref="I417:J418" ca="1" si="182">I433</f>
        <v>20</v>
      </c>
      <c r="J417" s="563">
        <f t="shared" ca="1" si="182"/>
        <v>0</v>
      </c>
      <c r="K417" s="564">
        <f t="shared" ref="K417:K418" ca="1" si="183">IF(I417&gt;0,J417*100/I417,0)</f>
        <v>0</v>
      </c>
      <c r="L417" s="565"/>
      <c r="M417" s="565"/>
      <c r="N417" s="565"/>
      <c r="O417" s="565"/>
      <c r="P417" s="565"/>
    </row>
    <row r="418" spans="1:26" ht="19.5">
      <c r="A418" s="566"/>
      <c r="B418" s="557"/>
      <c r="C418" s="559"/>
      <c r="D418" s="560"/>
      <c r="E418" s="560"/>
      <c r="F418" s="560"/>
      <c r="G418" s="561"/>
      <c r="H418" s="562" t="s">
        <v>49</v>
      </c>
      <c r="I418" s="563">
        <f t="shared" ca="1" si="182"/>
        <v>1</v>
      </c>
      <c r="J418" s="563">
        <f t="shared" si="182"/>
        <v>0</v>
      </c>
      <c r="K418" s="564">
        <f t="shared" ca="1" si="183"/>
        <v>0</v>
      </c>
      <c r="L418" s="565"/>
      <c r="M418" s="565"/>
      <c r="N418" s="565"/>
      <c r="O418" s="565"/>
      <c r="P418" s="565"/>
    </row>
    <row r="419" spans="1:26" ht="19.5">
      <c r="A419" s="147"/>
      <c r="B419" s="148"/>
      <c r="C419" s="148" t="s">
        <v>16</v>
      </c>
      <c r="D419" s="868" t="s">
        <v>17</v>
      </c>
      <c r="E419" s="862"/>
      <c r="F419" s="862"/>
      <c r="G419" s="151"/>
      <c r="H419" s="274" t="s">
        <v>12</v>
      </c>
      <c r="I419" s="419"/>
      <c r="J419" s="419"/>
      <c r="K419" s="154"/>
      <c r="L419" s="155">
        <f t="shared" ref="L419:N419" ca="1" si="184">L420+L421</f>
        <v>78660</v>
      </c>
      <c r="M419" s="155">
        <f t="shared" si="184"/>
        <v>0</v>
      </c>
      <c r="N419" s="155">
        <f t="shared" si="184"/>
        <v>1480</v>
      </c>
      <c r="O419" s="155">
        <f t="shared" ref="O419:O424" ca="1" si="185">IF(L419&gt;0,N419*100/L419,0)</f>
        <v>1.8815153826595474</v>
      </c>
      <c r="P419" s="155">
        <f t="shared" ref="P419:P424" si="186">IF(M419&gt;0,N419*100/M419,0)</f>
        <v>0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2"/>
      <c r="E420" s="222" t="s">
        <v>184</v>
      </c>
      <c r="F420" s="40"/>
      <c r="G420" s="157"/>
      <c r="H420" s="165" t="s">
        <v>12</v>
      </c>
      <c r="I420" s="610"/>
      <c r="J420" s="610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2"/>
      <c r="E421" s="222" t="s">
        <v>185</v>
      </c>
      <c r="F421" s="40"/>
      <c r="G421" s="157"/>
      <c r="H421" s="165" t="s">
        <v>12</v>
      </c>
      <c r="I421" s="610"/>
      <c r="J421" s="610"/>
      <c r="K421" s="93"/>
      <c r="L421" s="93">
        <f t="shared" ca="1" si="187"/>
        <v>78660</v>
      </c>
      <c r="M421" s="93">
        <f t="shared" si="187"/>
        <v>0</v>
      </c>
      <c r="N421" s="93">
        <f t="shared" si="187"/>
        <v>1480</v>
      </c>
      <c r="O421" s="93">
        <f t="shared" ca="1" si="185"/>
        <v>1.8815153826595474</v>
      </c>
      <c r="P421" s="93">
        <f t="shared" si="186"/>
        <v>0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0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6">
        <f t="shared" ref="L422:N422" ca="1" si="188">L423+L424</f>
        <v>78660</v>
      </c>
      <c r="M422" s="496">
        <f t="shared" si="188"/>
        <v>0</v>
      </c>
      <c r="N422" s="496">
        <f t="shared" si="188"/>
        <v>1480</v>
      </c>
      <c r="O422" s="496">
        <f t="shared" ca="1" si="185"/>
        <v>1.8815153826595474</v>
      </c>
      <c r="P422" s="496">
        <f t="shared" si="186"/>
        <v>0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2"/>
      <c r="E423" s="222" t="s">
        <v>184</v>
      </c>
      <c r="F423" s="40"/>
      <c r="G423" s="157"/>
      <c r="H423" s="165" t="s">
        <v>12</v>
      </c>
      <c r="I423" s="610"/>
      <c r="J423" s="610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2"/>
      <c r="E424" s="222" t="s">
        <v>185</v>
      </c>
      <c r="F424" s="40"/>
      <c r="G424" s="157"/>
      <c r="H424" s="165" t="s">
        <v>12</v>
      </c>
      <c r="I424" s="610"/>
      <c r="J424" s="610"/>
      <c r="K424" s="93"/>
      <c r="L424" s="93">
        <f ca="1">IFERROR(__xludf.DUMMYFUNCTION("IMPORTRANGE(""https://docs.google.com/spreadsheets/d/1QqKyyYR6Q21VydFLVH3TRQUabQu_ym0Zz7PgGX0-kHA/edit?usp=sharing"",""แผน!EY54"")"),78660)</f>
        <v>78660</v>
      </c>
      <c r="M424" s="93">
        <v>0</v>
      </c>
      <c r="N424" s="93">
        <f>N425+N426+N427+N428</f>
        <v>1480</v>
      </c>
      <c r="O424" s="93">
        <f t="shared" ca="1" si="185"/>
        <v>1.8815153826595474</v>
      </c>
      <c r="P424" s="93">
        <f t="shared" si="186"/>
        <v>0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67"/>
      <c r="B425" s="568"/>
      <c r="C425" s="754"/>
      <c r="D425" s="754"/>
      <c r="E425" s="754"/>
      <c r="F425" s="754" t="s">
        <v>186</v>
      </c>
      <c r="G425" s="189"/>
      <c r="H425" s="161" t="s">
        <v>12</v>
      </c>
      <c r="I425" s="269"/>
      <c r="J425" s="269"/>
      <c r="K425" s="496"/>
      <c r="L425" s="496"/>
      <c r="M425" s="496"/>
      <c r="N425" s="817">
        <v>0</v>
      </c>
      <c r="O425" s="496"/>
      <c r="P425" s="496"/>
      <c r="Q425" s="571"/>
      <c r="R425" s="571"/>
      <c r="S425" s="571"/>
      <c r="T425" s="571"/>
      <c r="U425" s="571"/>
      <c r="V425" s="571"/>
      <c r="W425" s="571"/>
      <c r="X425" s="571"/>
      <c r="Y425" s="571"/>
      <c r="Z425" s="571"/>
    </row>
    <row r="426" spans="1:26" ht="18.75">
      <c r="A426" s="567"/>
      <c r="B426" s="568"/>
      <c r="C426" s="754"/>
      <c r="D426" s="754"/>
      <c r="E426" s="754"/>
      <c r="F426" s="754" t="s">
        <v>187</v>
      </c>
      <c r="G426" s="189"/>
      <c r="H426" s="161" t="s">
        <v>12</v>
      </c>
      <c r="I426" s="269"/>
      <c r="J426" s="269"/>
      <c r="K426" s="496"/>
      <c r="L426" s="496"/>
      <c r="M426" s="496"/>
      <c r="N426" s="817">
        <v>0</v>
      </c>
      <c r="O426" s="496"/>
      <c r="P426" s="496"/>
      <c r="Q426" s="571"/>
      <c r="R426" s="571"/>
      <c r="S426" s="571"/>
      <c r="T426" s="571"/>
      <c r="U426" s="571"/>
      <c r="V426" s="571"/>
      <c r="W426" s="571"/>
      <c r="X426" s="571"/>
      <c r="Y426" s="571"/>
      <c r="Z426" s="571"/>
    </row>
    <row r="427" spans="1:26" ht="18.75">
      <c r="A427" s="567"/>
      <c r="B427" s="568"/>
      <c r="C427" s="754"/>
      <c r="D427" s="754"/>
      <c r="E427" s="754"/>
      <c r="F427" s="754" t="s">
        <v>188</v>
      </c>
      <c r="G427" s="189"/>
      <c r="H427" s="161" t="s">
        <v>12</v>
      </c>
      <c r="I427" s="269"/>
      <c r="J427" s="269"/>
      <c r="K427" s="496"/>
      <c r="L427" s="496"/>
      <c r="M427" s="496"/>
      <c r="N427" s="817">
        <v>0</v>
      </c>
      <c r="O427" s="496"/>
      <c r="P427" s="496"/>
      <c r="Q427" s="571"/>
      <c r="R427" s="571"/>
      <c r="S427" s="571"/>
      <c r="T427" s="571"/>
      <c r="U427" s="571"/>
      <c r="V427" s="571"/>
      <c r="W427" s="571"/>
      <c r="X427" s="571"/>
      <c r="Y427" s="571"/>
      <c r="Z427" s="571"/>
    </row>
    <row r="428" spans="1:26" ht="18.75">
      <c r="A428" s="284"/>
      <c r="B428" s="280"/>
      <c r="C428" s="33"/>
      <c r="D428" s="33"/>
      <c r="E428" s="33"/>
      <c r="F428" s="281" t="s">
        <v>189</v>
      </c>
      <c r="G428" s="213"/>
      <c r="H428" s="161" t="s">
        <v>12</v>
      </c>
      <c r="I428" s="269"/>
      <c r="J428" s="269"/>
      <c r="K428" s="496"/>
      <c r="L428" s="496"/>
      <c r="M428" s="496"/>
      <c r="N428" s="817">
        <v>1480</v>
      </c>
      <c r="O428" s="496"/>
      <c r="P428" s="496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0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6">
        <f t="shared" ref="L429:N429" ca="1" si="189">L430+L431</f>
        <v>0</v>
      </c>
      <c r="M429" s="496">
        <f t="shared" si="189"/>
        <v>0</v>
      </c>
      <c r="N429" s="496">
        <f t="shared" si="189"/>
        <v>0</v>
      </c>
      <c r="O429" s="496">
        <f t="shared" ref="O429:O431" ca="1" si="190">IF(L429&gt;0,N429*100/L429,0)</f>
        <v>0</v>
      </c>
      <c r="P429" s="496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6"/>
      <c r="C430" s="40"/>
      <c r="D430" s="40"/>
      <c r="E430" s="222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6"/>
      <c r="C431" s="40"/>
      <c r="D431" s="40"/>
      <c r="E431" s="222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IFERROR(__xludf.DUMMYFUNCTION("IMPORTRANGE(""https://docs.google.com/spreadsheets/d/1QqKyyYR6Q21VydFLVH3TRQUabQu_ym0Zz7PgGX0-kHA/edit?usp=sharing"",""แผน!FB54"")"),0)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3"/>
      <c r="B432" s="414"/>
      <c r="C432" s="148" t="s">
        <v>16</v>
      </c>
      <c r="D432" s="835" t="s">
        <v>38</v>
      </c>
      <c r="E432" s="573"/>
      <c r="F432" s="573"/>
      <c r="G432" s="574"/>
      <c r="H432" s="575"/>
      <c r="I432" s="419"/>
      <c r="J432" s="419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190</v>
      </c>
      <c r="E433" s="178"/>
      <c r="F433" s="178"/>
      <c r="G433" s="179"/>
      <c r="H433" s="196" t="s">
        <v>35</v>
      </c>
      <c r="I433" s="674">
        <f ca="1">I435</f>
        <v>20</v>
      </c>
      <c r="J433" s="674">
        <f ca="1">IF(AND(J435=I435,J437=I437,J439=I439),I437+I439,IF(AND(J435=I437,J437=I437),I437,IF(AND(J435=I439,J439=I439),I439,0)))</f>
        <v>0</v>
      </c>
      <c r="K433" s="195">
        <f t="shared" ref="K433:K435" ca="1" si="192">IF(I433&gt;0,J433*100/I433,0)</f>
        <v>0</v>
      </c>
      <c r="L433" s="496"/>
      <c r="M433" s="496"/>
      <c r="N433" s="496"/>
      <c r="O433" s="496"/>
      <c r="P433" s="496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191</v>
      </c>
      <c r="E434" s="178"/>
      <c r="F434" s="178"/>
      <c r="G434" s="179"/>
      <c r="H434" s="196" t="s">
        <v>49</v>
      </c>
      <c r="I434" s="674">
        <f t="shared" ref="I434:J434" ca="1" si="193">I438+I440</f>
        <v>1</v>
      </c>
      <c r="J434" s="674">
        <f t="shared" si="193"/>
        <v>0</v>
      </c>
      <c r="K434" s="195">
        <f t="shared" ca="1" si="192"/>
        <v>0</v>
      </c>
      <c r="L434" s="496"/>
      <c r="M434" s="496"/>
      <c r="N434" s="496"/>
      <c r="O434" s="496"/>
      <c r="P434" s="496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6" t="s">
        <v>192</v>
      </c>
      <c r="E435" s="178"/>
      <c r="F435" s="178"/>
      <c r="G435" s="179"/>
      <c r="H435" s="616" t="s">
        <v>35</v>
      </c>
      <c r="I435" s="576">
        <f ca="1">IFERROR(__xludf.DUMMYFUNCTION("IMPORTRANGE(""https://docs.google.com/spreadsheets/d/1QqKyyYR6Q21VydFLVH3TRQUabQu_ym0Zz7PgGX0-kHA/edit?usp=sharing"",""แผน!FC54"")"),20)</f>
        <v>20</v>
      </c>
      <c r="J435" s="577">
        <v>0</v>
      </c>
      <c r="K435" s="496">
        <f t="shared" ca="1" si="192"/>
        <v>0</v>
      </c>
      <c r="L435" s="496"/>
      <c r="M435" s="496"/>
      <c r="N435" s="496"/>
      <c r="O435" s="496"/>
      <c r="P435" s="496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6" t="s">
        <v>193</v>
      </c>
      <c r="E436" s="178"/>
      <c r="F436" s="178"/>
      <c r="G436" s="179"/>
      <c r="H436" s="616"/>
      <c r="I436" s="269"/>
      <c r="J436" s="269"/>
      <c r="K436" s="496"/>
      <c r="L436" s="496"/>
      <c r="M436" s="496"/>
      <c r="N436" s="496"/>
      <c r="O436" s="496"/>
      <c r="P436" s="496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6" t="s">
        <v>194</v>
      </c>
      <c r="E437" s="178"/>
      <c r="F437" s="178"/>
      <c r="G437" s="179"/>
      <c r="H437" s="616" t="s">
        <v>35</v>
      </c>
      <c r="I437" s="576">
        <f ca="1">IFERROR(__xludf.DUMMYFUNCTION("IMPORTRANGE(""https://docs.google.com/spreadsheets/d/1QqKyyYR6Q21VydFLVH3TRQUabQu_ym0Zz7PgGX0-kHA/edit?usp=sharing"",""แผน!FD54"")"),0)</f>
        <v>0</v>
      </c>
      <c r="J437" s="577">
        <v>0</v>
      </c>
      <c r="K437" s="496">
        <f t="shared" ref="K437:K443" ca="1" si="194">IF(I437&gt;0,J437*100/I437,0)</f>
        <v>0</v>
      </c>
      <c r="L437" s="496"/>
      <c r="M437" s="496"/>
      <c r="N437" s="496"/>
      <c r="O437" s="496"/>
      <c r="P437" s="496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6" t="s">
        <v>195</v>
      </c>
      <c r="E438" s="178"/>
      <c r="F438" s="178"/>
      <c r="G438" s="179"/>
      <c r="H438" s="616" t="s">
        <v>49</v>
      </c>
      <c r="I438" s="269">
        <f ca="1">IFERROR(__xludf.DUMMYFUNCTION("IMPORTRANGE(""https://docs.google.com/spreadsheets/d/1QqKyyYR6Q21VydFLVH3TRQUabQu_ym0Zz7PgGX0-kHA/edit?usp=sharing"",""แผน!FE54"")"),0)</f>
        <v>0</v>
      </c>
      <c r="J438" s="214">
        <v>0</v>
      </c>
      <c r="K438" s="496">
        <f t="shared" ca="1" si="194"/>
        <v>0</v>
      </c>
      <c r="L438" s="496"/>
      <c r="M438" s="496"/>
      <c r="N438" s="496"/>
      <c r="O438" s="496"/>
      <c r="P438" s="496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6" t="s">
        <v>196</v>
      </c>
      <c r="E439" s="178"/>
      <c r="F439" s="178"/>
      <c r="G439" s="179"/>
      <c r="H439" s="616" t="s">
        <v>35</v>
      </c>
      <c r="I439" s="576">
        <f ca="1">IFERROR(__xludf.DUMMYFUNCTION("IMPORTRANGE(""https://docs.google.com/spreadsheets/d/1QqKyyYR6Q21VydFLVH3TRQUabQu_ym0Zz7PgGX0-kHA/edit?usp=sharing"",""แผน!FF54"")"),20)</f>
        <v>20</v>
      </c>
      <c r="J439" s="577">
        <v>0</v>
      </c>
      <c r="K439" s="496">
        <f t="shared" ca="1" si="194"/>
        <v>0</v>
      </c>
      <c r="L439" s="496"/>
      <c r="M439" s="496"/>
      <c r="N439" s="496"/>
      <c r="O439" s="496"/>
      <c r="P439" s="496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6" t="s">
        <v>197</v>
      </c>
      <c r="E440" s="178"/>
      <c r="F440" s="178"/>
      <c r="G440" s="179"/>
      <c r="H440" s="616" t="s">
        <v>49</v>
      </c>
      <c r="I440" s="269">
        <f ca="1">IFERROR(__xludf.DUMMYFUNCTION("IMPORTRANGE(""https://docs.google.com/spreadsheets/d/1QqKyyYR6Q21VydFLVH3TRQUabQu_ym0Zz7PgGX0-kHA/edit?usp=sharing"",""แผน!FG54"")"),1)</f>
        <v>1</v>
      </c>
      <c r="J440" s="214">
        <v>0</v>
      </c>
      <c r="K440" s="496">
        <f t="shared" ca="1" si="194"/>
        <v>0</v>
      </c>
      <c r="L440" s="496"/>
      <c r="M440" s="496"/>
      <c r="N440" s="496"/>
      <c r="O440" s="496"/>
      <c r="P440" s="496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>
      <c r="A441" s="170"/>
      <c r="B441" s="171"/>
      <c r="C441" s="171"/>
      <c r="D441" s="446" t="s">
        <v>198</v>
      </c>
      <c r="E441" s="178"/>
      <c r="F441" s="178"/>
      <c r="G441" s="179"/>
      <c r="H441" s="616" t="s">
        <v>35</v>
      </c>
      <c r="I441" s="269">
        <f ca="1">IFERROR(__xludf.DUMMYFUNCTION("IMPORTRANGE(""https://docs.google.com/spreadsheets/d/1QqKyyYR6Q21VydFLVH3TRQUabQu_ym0Zz7PgGX0-kHA/edit?usp=sharing"",""แผน!FH54"")"),0)</f>
        <v>0</v>
      </c>
      <c r="J441" s="269">
        <v>0</v>
      </c>
      <c r="K441" s="496">
        <f t="shared" ca="1" si="194"/>
        <v>0</v>
      </c>
      <c r="L441" s="496"/>
      <c r="M441" s="496"/>
      <c r="N441" s="496"/>
      <c r="O441" s="496"/>
      <c r="P441" s="496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 hidden="1">
      <c r="A442" s="578">
        <v>2</v>
      </c>
      <c r="B442" s="579" t="s">
        <v>199</v>
      </c>
      <c r="C442" s="580"/>
      <c r="D442" s="580"/>
      <c r="E442" s="580"/>
      <c r="F442" s="580"/>
      <c r="G442" s="581"/>
      <c r="H442" s="582" t="s">
        <v>35</v>
      </c>
      <c r="I442" s="583">
        <f t="shared" ref="I442:J442" ca="1" si="195">I460</f>
        <v>0</v>
      </c>
      <c r="J442" s="583">
        <f t="shared" si="195"/>
        <v>0</v>
      </c>
      <c r="K442" s="584">
        <f t="shared" ca="1" si="194"/>
        <v>0</v>
      </c>
      <c r="L442" s="585"/>
      <c r="M442" s="585"/>
      <c r="N442" s="585"/>
      <c r="O442" s="585"/>
      <c r="P442" s="585"/>
      <c r="Q442" s="571"/>
      <c r="R442" s="571"/>
      <c r="S442" s="571"/>
      <c r="T442" s="571"/>
      <c r="U442" s="571"/>
      <c r="V442" s="571"/>
      <c r="W442" s="571"/>
      <c r="X442" s="571"/>
      <c r="Y442" s="571"/>
      <c r="Z442" s="571"/>
    </row>
    <row r="443" spans="1:26" ht="19.5" hidden="1">
      <c r="A443" s="586"/>
      <c r="B443" s="587"/>
      <c r="C443" s="588"/>
      <c r="D443" s="588"/>
      <c r="E443" s="588"/>
      <c r="F443" s="588"/>
      <c r="G443" s="589"/>
      <c r="H443" s="562" t="s">
        <v>46</v>
      </c>
      <c r="I443" s="563">
        <f t="shared" ref="I443:J443" ca="1" si="196">I462</f>
        <v>0</v>
      </c>
      <c r="J443" s="563">
        <f t="shared" si="196"/>
        <v>0</v>
      </c>
      <c r="K443" s="564">
        <f t="shared" ca="1" si="194"/>
        <v>0</v>
      </c>
      <c r="L443" s="565"/>
      <c r="M443" s="565"/>
      <c r="N443" s="565"/>
      <c r="O443" s="565"/>
      <c r="P443" s="565"/>
      <c r="Q443" s="571"/>
      <c r="R443" s="571"/>
      <c r="S443" s="571"/>
      <c r="T443" s="571"/>
      <c r="U443" s="571"/>
      <c r="V443" s="571"/>
      <c r="W443" s="571"/>
      <c r="X443" s="571"/>
      <c r="Y443" s="571"/>
      <c r="Z443" s="571"/>
    </row>
    <row r="444" spans="1:26" ht="19.5" hidden="1">
      <c r="A444" s="590"/>
      <c r="B444" s="754"/>
      <c r="C444" s="754" t="s">
        <v>16</v>
      </c>
      <c r="D444" s="863" t="s">
        <v>17</v>
      </c>
      <c r="E444" s="857"/>
      <c r="F444" s="857"/>
      <c r="G444" s="189"/>
      <c r="H444" s="591" t="s">
        <v>12</v>
      </c>
      <c r="I444" s="269"/>
      <c r="J444" s="269"/>
      <c r="K444" s="496"/>
      <c r="L444" s="195">
        <f t="shared" ref="L444:N444" ca="1" si="197">L445+L446</f>
        <v>0</v>
      </c>
      <c r="M444" s="195">
        <f t="shared" si="197"/>
        <v>0</v>
      </c>
      <c r="N444" s="195">
        <f t="shared" si="197"/>
        <v>0</v>
      </c>
      <c r="O444" s="195">
        <f t="shared" ref="O444:O449" ca="1" si="198">IF(L444&gt;0,N444*100/L444,0)</f>
        <v>0</v>
      </c>
      <c r="P444" s="195">
        <f t="shared" ref="P444:P449" si="199">IF(M444&gt;0,N444*100/M444,0)</f>
        <v>0</v>
      </c>
      <c r="Q444" s="571"/>
      <c r="R444" s="571"/>
      <c r="S444" s="571"/>
      <c r="T444" s="571"/>
      <c r="U444" s="571"/>
      <c r="V444" s="571"/>
      <c r="W444" s="571"/>
      <c r="X444" s="571"/>
      <c r="Y444" s="571"/>
      <c r="Z444" s="571"/>
    </row>
    <row r="445" spans="1:26" ht="18.75" hidden="1">
      <c r="A445" s="592"/>
      <c r="B445" s="750"/>
      <c r="C445" s="750"/>
      <c r="D445" s="711"/>
      <c r="E445" s="750" t="s">
        <v>184</v>
      </c>
      <c r="F445" s="750"/>
      <c r="G445" s="596"/>
      <c r="H445" s="165" t="s">
        <v>12</v>
      </c>
      <c r="I445" s="610"/>
      <c r="J445" s="610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597"/>
      <c r="R445" s="597"/>
      <c r="S445" s="597"/>
      <c r="T445" s="597"/>
      <c r="U445" s="597"/>
      <c r="V445" s="597"/>
      <c r="W445" s="597"/>
      <c r="X445" s="597"/>
      <c r="Y445" s="597"/>
      <c r="Z445" s="597"/>
    </row>
    <row r="446" spans="1:26" ht="18.75" hidden="1">
      <c r="A446" s="592"/>
      <c r="B446" s="600"/>
      <c r="C446" s="750"/>
      <c r="D446" s="711"/>
      <c r="E446" s="750" t="s">
        <v>185</v>
      </c>
      <c r="F446" s="750"/>
      <c r="G446" s="596"/>
      <c r="H446" s="165" t="s">
        <v>12</v>
      </c>
      <c r="I446" s="610"/>
      <c r="J446" s="610"/>
      <c r="K446" s="93"/>
      <c r="L446" s="93">
        <f t="shared" ca="1" si="200"/>
        <v>0</v>
      </c>
      <c r="M446" s="93">
        <f t="shared" si="200"/>
        <v>0</v>
      </c>
      <c r="N446" s="93">
        <f t="shared" si="200"/>
        <v>0</v>
      </c>
      <c r="O446" s="93">
        <f t="shared" ca="1" si="198"/>
        <v>0</v>
      </c>
      <c r="P446" s="93">
        <f t="shared" si="199"/>
        <v>0</v>
      </c>
      <c r="Q446" s="597"/>
      <c r="R446" s="597"/>
      <c r="S446" s="597"/>
      <c r="T446" s="597"/>
      <c r="U446" s="597"/>
      <c r="V446" s="597"/>
      <c r="W446" s="597"/>
      <c r="X446" s="597"/>
      <c r="Y446" s="597"/>
      <c r="Z446" s="597"/>
    </row>
    <row r="447" spans="1:26" ht="18.75" hidden="1">
      <c r="A447" s="590"/>
      <c r="B447" s="568"/>
      <c r="C447" s="754"/>
      <c r="D447" s="599" t="s">
        <v>20</v>
      </c>
      <c r="E447" s="754"/>
      <c r="F447" s="754"/>
      <c r="G447" s="189"/>
      <c r="H447" s="161" t="s">
        <v>12</v>
      </c>
      <c r="I447" s="184"/>
      <c r="J447" s="184"/>
      <c r="K447" s="163"/>
      <c r="L447" s="496">
        <f t="shared" ref="L447:N447" ca="1" si="201">L448+L449</f>
        <v>0</v>
      </c>
      <c r="M447" s="496">
        <f t="shared" si="201"/>
        <v>0</v>
      </c>
      <c r="N447" s="496">
        <f t="shared" si="201"/>
        <v>0</v>
      </c>
      <c r="O447" s="496">
        <f t="shared" ca="1" si="198"/>
        <v>0</v>
      </c>
      <c r="P447" s="496">
        <f t="shared" si="199"/>
        <v>0</v>
      </c>
      <c r="Q447" s="571"/>
      <c r="R447" s="571"/>
      <c r="S447" s="571"/>
      <c r="T447" s="571"/>
      <c r="U447" s="571"/>
      <c r="V447" s="571"/>
      <c r="W447" s="571"/>
      <c r="X447" s="571"/>
      <c r="Y447" s="571"/>
      <c r="Z447" s="571"/>
    </row>
    <row r="448" spans="1:26" ht="18.75" hidden="1">
      <c r="A448" s="592"/>
      <c r="B448" s="600"/>
      <c r="C448" s="750"/>
      <c r="D448" s="711"/>
      <c r="E448" s="750" t="s">
        <v>184</v>
      </c>
      <c r="F448" s="750"/>
      <c r="G448" s="596"/>
      <c r="H448" s="165" t="s">
        <v>12</v>
      </c>
      <c r="I448" s="610"/>
      <c r="J448" s="610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597"/>
      <c r="R448" s="597"/>
      <c r="S448" s="597"/>
      <c r="T448" s="597"/>
      <c r="U448" s="597"/>
      <c r="V448" s="597"/>
      <c r="W448" s="597"/>
      <c r="X448" s="597"/>
      <c r="Y448" s="597"/>
      <c r="Z448" s="597"/>
    </row>
    <row r="449" spans="1:26" ht="18.75" hidden="1">
      <c r="A449" s="592"/>
      <c r="B449" s="600"/>
      <c r="C449" s="750"/>
      <c r="D449" s="711"/>
      <c r="E449" s="750" t="s">
        <v>185</v>
      </c>
      <c r="F449" s="750"/>
      <c r="G449" s="596"/>
      <c r="H449" s="165" t="s">
        <v>12</v>
      </c>
      <c r="I449" s="610"/>
      <c r="J449" s="610"/>
      <c r="K449" s="93"/>
      <c r="L449" s="93">
        <f ca="1">IFERROR(__xludf.DUMMYFUNCTION("IMPORTRANGE(""https://docs.google.com/spreadsheets/d/1QqKyyYR6Q21VydFLVH3TRQUabQu_ym0Zz7PgGX0-kHA/edit?usp=sharing"",""แผน!FJ54"")"),0)</f>
        <v>0</v>
      </c>
      <c r="M449" s="93">
        <v>0</v>
      </c>
      <c r="N449" s="93">
        <f>N450+N451+N452+N453</f>
        <v>0</v>
      </c>
      <c r="O449" s="93">
        <f t="shared" ca="1" si="198"/>
        <v>0</v>
      </c>
      <c r="P449" s="93">
        <f t="shared" si="199"/>
        <v>0</v>
      </c>
      <c r="Q449" s="597"/>
      <c r="R449" s="597"/>
      <c r="S449" s="597"/>
      <c r="T449" s="597"/>
      <c r="U449" s="597"/>
      <c r="V449" s="597"/>
      <c r="W449" s="597"/>
      <c r="X449" s="597"/>
      <c r="Y449" s="597"/>
      <c r="Z449" s="597"/>
    </row>
    <row r="450" spans="1:26" ht="18.75" hidden="1">
      <c r="A450" s="567"/>
      <c r="B450" s="568"/>
      <c r="C450" s="754"/>
      <c r="D450" s="754"/>
      <c r="E450" s="754"/>
      <c r="F450" s="754" t="s">
        <v>186</v>
      </c>
      <c r="G450" s="189"/>
      <c r="H450" s="161" t="s">
        <v>12</v>
      </c>
      <c r="I450" s="269"/>
      <c r="J450" s="269"/>
      <c r="K450" s="496"/>
      <c r="L450" s="496"/>
      <c r="M450" s="496"/>
      <c r="N450" s="817">
        <v>0</v>
      </c>
      <c r="O450" s="496"/>
      <c r="P450" s="496"/>
      <c r="Q450" s="571"/>
      <c r="R450" s="571"/>
      <c r="S450" s="571"/>
      <c r="T450" s="571"/>
      <c r="U450" s="571"/>
      <c r="V450" s="571"/>
      <c r="W450" s="571"/>
      <c r="X450" s="571"/>
      <c r="Y450" s="571"/>
      <c r="Z450" s="571"/>
    </row>
    <row r="451" spans="1:26" ht="18.75" hidden="1">
      <c r="A451" s="567"/>
      <c r="B451" s="568"/>
      <c r="C451" s="754"/>
      <c r="D451" s="754"/>
      <c r="E451" s="754"/>
      <c r="F451" s="754" t="s">
        <v>187</v>
      </c>
      <c r="G451" s="189"/>
      <c r="H451" s="161" t="s">
        <v>12</v>
      </c>
      <c r="I451" s="269"/>
      <c r="J451" s="269"/>
      <c r="K451" s="496"/>
      <c r="L451" s="496"/>
      <c r="M451" s="496"/>
      <c r="N451" s="817">
        <v>0</v>
      </c>
      <c r="O451" s="496"/>
      <c r="P451" s="496"/>
      <c r="Q451" s="571"/>
      <c r="R451" s="571"/>
      <c r="S451" s="571"/>
      <c r="T451" s="571"/>
      <c r="U451" s="571"/>
      <c r="V451" s="571"/>
      <c r="W451" s="571"/>
      <c r="X451" s="571"/>
      <c r="Y451" s="571"/>
      <c r="Z451" s="571"/>
    </row>
    <row r="452" spans="1:26" ht="18.75" hidden="1">
      <c r="A452" s="567"/>
      <c r="B452" s="568"/>
      <c r="C452" s="568"/>
      <c r="D452" s="568"/>
      <c r="E452" s="568"/>
      <c r="F452" s="754" t="s">
        <v>188</v>
      </c>
      <c r="G452" s="189"/>
      <c r="H452" s="161" t="s">
        <v>12</v>
      </c>
      <c r="I452" s="269"/>
      <c r="J452" s="269"/>
      <c r="K452" s="496"/>
      <c r="L452" s="496"/>
      <c r="M452" s="496"/>
      <c r="N452" s="817">
        <v>0</v>
      </c>
      <c r="O452" s="496"/>
      <c r="P452" s="496"/>
      <c r="Q452" s="571"/>
      <c r="R452" s="571"/>
      <c r="S452" s="571"/>
      <c r="T452" s="571"/>
      <c r="U452" s="571"/>
      <c r="V452" s="571"/>
      <c r="W452" s="571"/>
      <c r="X452" s="571"/>
      <c r="Y452" s="571"/>
      <c r="Z452" s="571"/>
    </row>
    <row r="453" spans="1:26" ht="18.75" hidden="1">
      <c r="A453" s="567"/>
      <c r="B453" s="568"/>
      <c r="C453" s="568"/>
      <c r="D453" s="568"/>
      <c r="E453" s="568"/>
      <c r="F453" s="754" t="s">
        <v>189</v>
      </c>
      <c r="G453" s="189"/>
      <c r="H453" s="161" t="s">
        <v>12</v>
      </c>
      <c r="I453" s="269"/>
      <c r="J453" s="269"/>
      <c r="K453" s="496"/>
      <c r="L453" s="496"/>
      <c r="M453" s="496"/>
      <c r="N453" s="817">
        <v>0</v>
      </c>
      <c r="O453" s="496"/>
      <c r="P453" s="496"/>
      <c r="Q453" s="571"/>
      <c r="R453" s="571"/>
      <c r="S453" s="571"/>
      <c r="T453" s="571"/>
      <c r="U453" s="571"/>
      <c r="V453" s="571"/>
      <c r="W453" s="571"/>
      <c r="X453" s="571"/>
      <c r="Y453" s="571"/>
      <c r="Z453" s="571"/>
    </row>
    <row r="454" spans="1:26" ht="18.75" hidden="1">
      <c r="A454" s="590"/>
      <c r="B454" s="568"/>
      <c r="C454" s="568"/>
      <c r="D454" s="599" t="s">
        <v>21</v>
      </c>
      <c r="E454" s="568"/>
      <c r="F454" s="754"/>
      <c r="G454" s="189"/>
      <c r="H454" s="168" t="s">
        <v>12</v>
      </c>
      <c r="I454" s="184"/>
      <c r="J454" s="184"/>
      <c r="K454" s="163"/>
      <c r="L454" s="496">
        <f t="shared" ref="L454:N454" ca="1" si="202">L455+L456</f>
        <v>0</v>
      </c>
      <c r="M454" s="496">
        <f t="shared" si="202"/>
        <v>0</v>
      </c>
      <c r="N454" s="496">
        <f t="shared" si="202"/>
        <v>0</v>
      </c>
      <c r="O454" s="496">
        <f t="shared" ref="O454:O456" ca="1" si="203">IF(L454&gt;0,N454*100/L454,0)</f>
        <v>0</v>
      </c>
      <c r="P454" s="496">
        <f t="shared" ref="P454:P456" si="204">IF(M454&gt;0,N454*100/M454,0)</f>
        <v>0</v>
      </c>
      <c r="Q454" s="571"/>
      <c r="R454" s="571"/>
      <c r="S454" s="571"/>
      <c r="T454" s="571"/>
      <c r="U454" s="571"/>
      <c r="V454" s="571"/>
      <c r="W454" s="571"/>
      <c r="X454" s="571"/>
      <c r="Y454" s="571"/>
      <c r="Z454" s="571"/>
    </row>
    <row r="455" spans="1:26" ht="18.75" hidden="1">
      <c r="A455" s="592"/>
      <c r="B455" s="600"/>
      <c r="C455" s="600"/>
      <c r="D455" s="600"/>
      <c r="E455" s="600" t="s">
        <v>18</v>
      </c>
      <c r="F455" s="750"/>
      <c r="G455" s="596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597"/>
      <c r="R455" s="597"/>
      <c r="S455" s="597"/>
      <c r="T455" s="597"/>
      <c r="U455" s="597"/>
      <c r="V455" s="597"/>
      <c r="W455" s="597"/>
      <c r="X455" s="597"/>
      <c r="Y455" s="597"/>
      <c r="Z455" s="597"/>
    </row>
    <row r="456" spans="1:26" ht="18.75" hidden="1">
      <c r="A456" s="592"/>
      <c r="B456" s="600"/>
      <c r="C456" s="600"/>
      <c r="D456" s="600"/>
      <c r="E456" s="600" t="s">
        <v>19</v>
      </c>
      <c r="F456" s="750"/>
      <c r="G456" s="596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IFERROR(__xludf.DUMMYFUNCTION("IMPORTRANGE(""https://docs.google.com/spreadsheets/d/1QqKyyYR6Q21VydFLVH3TRQUabQu_ym0Zz7PgGX0-kHA/edit?usp=sharing"",""แผน!FM54"")"),0)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597"/>
      <c r="R456" s="597"/>
      <c r="S456" s="597"/>
      <c r="T456" s="597"/>
      <c r="U456" s="597"/>
      <c r="V456" s="597"/>
      <c r="W456" s="597"/>
      <c r="X456" s="597"/>
      <c r="Y456" s="597"/>
      <c r="Z456" s="597"/>
    </row>
    <row r="457" spans="1:26" ht="19.5" hidden="1">
      <c r="A457" s="601"/>
      <c r="B457" s="611"/>
      <c r="C457" s="568" t="s">
        <v>16</v>
      </c>
      <c r="D457" s="836" t="s">
        <v>38</v>
      </c>
      <c r="E457" s="604"/>
      <c r="F457" s="752"/>
      <c r="G457" s="606"/>
      <c r="H457" s="753"/>
      <c r="I457" s="269"/>
      <c r="J457" s="269"/>
      <c r="K457" s="496"/>
      <c r="L457" s="496"/>
      <c r="M457" s="496"/>
      <c r="N457" s="496"/>
      <c r="O457" s="496"/>
      <c r="P457" s="496"/>
      <c r="Q457" s="571"/>
      <c r="R457" s="571"/>
      <c r="S457" s="571"/>
      <c r="T457" s="571"/>
      <c r="U457" s="571"/>
      <c r="V457" s="571"/>
      <c r="W457" s="571"/>
      <c r="X457" s="571"/>
      <c r="Y457" s="571"/>
      <c r="Z457" s="571"/>
    </row>
    <row r="458" spans="1:26" ht="18.75" hidden="1">
      <c r="A458" s="607"/>
      <c r="B458" s="609"/>
      <c r="C458" s="609"/>
      <c r="D458" s="609" t="s">
        <v>200</v>
      </c>
      <c r="E458" s="609"/>
      <c r="F458" s="711"/>
      <c r="G458" s="365"/>
      <c r="H458" s="369" t="s">
        <v>35</v>
      </c>
      <c r="I458" s="610">
        <v>0</v>
      </c>
      <c r="J458" s="610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597"/>
      <c r="R458" s="597"/>
      <c r="S458" s="597"/>
      <c r="T458" s="597"/>
      <c r="U458" s="597"/>
      <c r="V458" s="597"/>
      <c r="W458" s="597"/>
      <c r="X458" s="597"/>
      <c r="Y458" s="597"/>
      <c r="Z458" s="597"/>
    </row>
    <row r="459" spans="1:26" ht="18.75" hidden="1">
      <c r="A459" s="607"/>
      <c r="B459" s="609"/>
      <c r="C459" s="609"/>
      <c r="D459" s="609" t="s">
        <v>201</v>
      </c>
      <c r="E459" s="609"/>
      <c r="F459" s="711"/>
      <c r="G459" s="365"/>
      <c r="H459" s="369"/>
      <c r="I459" s="610"/>
      <c r="J459" s="610"/>
      <c r="K459" s="93"/>
      <c r="L459" s="93"/>
      <c r="M459" s="93"/>
      <c r="N459" s="93"/>
      <c r="O459" s="93"/>
      <c r="P459" s="93"/>
      <c r="Q459" s="597"/>
      <c r="R459" s="597"/>
      <c r="S459" s="597"/>
      <c r="T459" s="597"/>
      <c r="U459" s="597"/>
      <c r="V459" s="597"/>
      <c r="W459" s="597"/>
      <c r="X459" s="597"/>
      <c r="Y459" s="597"/>
      <c r="Z459" s="597"/>
    </row>
    <row r="460" spans="1:26" ht="18.75" hidden="1">
      <c r="A460" s="601"/>
      <c r="B460" s="611"/>
      <c r="C460" s="611"/>
      <c r="D460" s="611" t="s">
        <v>202</v>
      </c>
      <c r="E460" s="611"/>
      <c r="F460" s="619"/>
      <c r="G460" s="753"/>
      <c r="H460" s="755" t="s">
        <v>35</v>
      </c>
      <c r="I460" s="269">
        <f ca="1">IFERROR(__xludf.DUMMYFUNCTION("IMPORTRANGE(""https://docs.google.com/spreadsheets/d/1QqKyyYR6Q21VydFLVH3TRQUabQu_ym0Zz7PgGX0-kHA/edit?usp=sharing"",""แผน!FN54"")"),0)</f>
        <v>0</v>
      </c>
      <c r="J460" s="214">
        <v>0</v>
      </c>
      <c r="K460" s="496">
        <f ca="1">IF(I460&gt;0,J460*100/I460,0)</f>
        <v>0</v>
      </c>
      <c r="L460" s="496"/>
      <c r="M460" s="496"/>
      <c r="N460" s="496"/>
      <c r="O460" s="496"/>
      <c r="P460" s="496"/>
      <c r="Q460" s="571"/>
      <c r="R460" s="571"/>
      <c r="S460" s="571"/>
      <c r="T460" s="571"/>
      <c r="U460" s="571"/>
      <c r="V460" s="571"/>
      <c r="W460" s="571"/>
      <c r="X460" s="571"/>
      <c r="Y460" s="571"/>
      <c r="Z460" s="571"/>
    </row>
    <row r="461" spans="1:26" ht="18.75" hidden="1">
      <c r="A461" s="601"/>
      <c r="B461" s="611"/>
      <c r="C461" s="611"/>
      <c r="D461" s="611" t="s">
        <v>203</v>
      </c>
      <c r="E461" s="619"/>
      <c r="F461" s="619"/>
      <c r="G461" s="753"/>
      <c r="H461" s="755"/>
      <c r="I461" s="269"/>
      <c r="J461" s="269"/>
      <c r="K461" s="496"/>
      <c r="L461" s="496"/>
      <c r="M461" s="496"/>
      <c r="N461" s="496"/>
      <c r="O461" s="496"/>
      <c r="P461" s="496"/>
      <c r="Q461" s="571"/>
      <c r="R461" s="571"/>
      <c r="S461" s="571"/>
      <c r="T461" s="571"/>
      <c r="U461" s="571"/>
      <c r="V461" s="571"/>
      <c r="W461" s="571"/>
      <c r="X461" s="571"/>
      <c r="Y461" s="571"/>
      <c r="Z461" s="571"/>
    </row>
    <row r="462" spans="1:26" ht="18.75" hidden="1">
      <c r="A462" s="601"/>
      <c r="B462" s="611"/>
      <c r="C462" s="611"/>
      <c r="D462" s="611" t="s">
        <v>204</v>
      </c>
      <c r="E462" s="619"/>
      <c r="F462" s="619"/>
      <c r="G462" s="753"/>
      <c r="H462" s="755" t="s">
        <v>46</v>
      </c>
      <c r="I462" s="269">
        <f ca="1">IFERROR(__xludf.DUMMYFUNCTION("IMPORTRANGE(""https://docs.google.com/spreadsheets/d/1QqKyyYR6Q21VydFLVH3TRQUabQu_ym0Zz7PgGX0-kHA/edit?usp=sharing"",""แผน!FO54"")"),0)</f>
        <v>0</v>
      </c>
      <c r="J462" s="214">
        <v>0</v>
      </c>
      <c r="K462" s="496">
        <f ca="1">IF(I462&gt;0,J462*100/I462,0)</f>
        <v>0</v>
      </c>
      <c r="L462" s="496"/>
      <c r="M462" s="496"/>
      <c r="N462" s="496"/>
      <c r="O462" s="496"/>
      <c r="P462" s="496"/>
      <c r="Q462" s="571"/>
      <c r="R462" s="571"/>
      <c r="S462" s="571"/>
      <c r="T462" s="571"/>
      <c r="U462" s="571"/>
      <c r="V462" s="571"/>
      <c r="W462" s="571"/>
      <c r="X462" s="571"/>
      <c r="Y462" s="571"/>
      <c r="Z462" s="571"/>
    </row>
    <row r="463" spans="1:26" ht="18.75" hidden="1">
      <c r="A463" s="601"/>
      <c r="B463" s="611"/>
      <c r="C463" s="611"/>
      <c r="D463" s="611" t="s">
        <v>59</v>
      </c>
      <c r="E463" s="619"/>
      <c r="F463" s="754"/>
      <c r="G463" s="189"/>
      <c r="H463" s="755" t="s">
        <v>46</v>
      </c>
      <c r="I463" s="269">
        <f ca="1">IFERROR(__xludf.DUMMYFUNCTION("IMPORTRANGE(""https://docs.google.com/spreadsheets/d/1QqKyyYR6Q21VydFLVH3TRQUabQu_ym0Zz7PgGX0-kHA/edit?usp=sharing"",""แผน!FO54"")"),0)</f>
        <v>0</v>
      </c>
      <c r="J463" s="214">
        <v>0</v>
      </c>
      <c r="K463" s="496"/>
      <c r="L463" s="496"/>
      <c r="M463" s="496"/>
      <c r="N463" s="496"/>
      <c r="O463" s="496"/>
      <c r="P463" s="496"/>
      <c r="Q463" s="571"/>
      <c r="R463" s="571"/>
      <c r="S463" s="571"/>
      <c r="T463" s="571"/>
      <c r="U463" s="571"/>
      <c r="V463" s="571"/>
      <c r="W463" s="571"/>
      <c r="X463" s="571"/>
      <c r="Y463" s="571"/>
      <c r="Z463" s="571"/>
    </row>
    <row r="464" spans="1:26" ht="19.5" hidden="1">
      <c r="A464" s="601"/>
      <c r="B464" s="611"/>
      <c r="C464" s="611"/>
      <c r="D464" s="611"/>
      <c r="E464" s="619"/>
      <c r="F464" s="619"/>
      <c r="G464" s="613"/>
      <c r="H464" s="755" t="s">
        <v>35</v>
      </c>
      <c r="I464" s="269">
        <f ca="1">IFERROR(__xludf.DUMMYFUNCTION("IMPORTRANGE(""https://docs.google.com/spreadsheets/d/1QqKyyYR6Q21VydFLVH3TRQUabQu_ym0Zz7PgGX0-kHA/edit?usp=sharing"",""แผน!FN54"")"),0)</f>
        <v>0</v>
      </c>
      <c r="J464" s="214">
        <v>0</v>
      </c>
      <c r="K464" s="496"/>
      <c r="L464" s="496"/>
      <c r="M464" s="496"/>
      <c r="N464" s="496"/>
      <c r="O464" s="496"/>
      <c r="P464" s="496"/>
      <c r="Q464" s="571"/>
      <c r="R464" s="571"/>
      <c r="S464" s="571"/>
      <c r="T464" s="571"/>
      <c r="U464" s="571"/>
      <c r="V464" s="571"/>
      <c r="W464" s="571"/>
      <c r="X464" s="571"/>
      <c r="Y464" s="571"/>
      <c r="Z464" s="571"/>
    </row>
    <row r="465" spans="1:26" ht="19.5">
      <c r="A465" s="578">
        <v>3</v>
      </c>
      <c r="B465" s="579" t="s">
        <v>205</v>
      </c>
      <c r="C465" s="580"/>
      <c r="D465" s="580"/>
      <c r="E465" s="580"/>
      <c r="F465" s="580"/>
      <c r="G465" s="581"/>
      <c r="H465" s="582" t="s">
        <v>35</v>
      </c>
      <c r="I465" s="583">
        <f ca="1">IFERROR(__xludf.DUMMYFUNCTION("IMPORTRANGE(""https://docs.google.com/spreadsheets/d/1QqKyyYR6Q21VydFLVH3TRQUabQu_ym0Zz7PgGX0-kHA/edit?usp=sharing"",""แผน!FX54"")"),51)</f>
        <v>51</v>
      </c>
      <c r="J465" s="583">
        <f>J485+J489+J492</f>
        <v>0</v>
      </c>
      <c r="K465" s="584">
        <f t="shared" ref="K465:K466" ca="1" si="205">IF(I465&gt;0,J465*100/I465,0)</f>
        <v>0</v>
      </c>
      <c r="L465" s="585"/>
      <c r="M465" s="585"/>
      <c r="N465" s="585"/>
      <c r="O465" s="585"/>
      <c r="P465" s="585"/>
      <c r="Q465" s="571"/>
      <c r="R465" s="571"/>
      <c r="S465" s="571"/>
      <c r="T465" s="571"/>
      <c r="U465" s="571"/>
      <c r="V465" s="571"/>
      <c r="W465" s="571"/>
      <c r="X465" s="571"/>
      <c r="Y465" s="571"/>
      <c r="Z465" s="571"/>
    </row>
    <row r="466" spans="1:26" ht="19.5">
      <c r="A466" s="586"/>
      <c r="B466" s="587"/>
      <c r="C466" s="588"/>
      <c r="D466" s="588"/>
      <c r="E466" s="588"/>
      <c r="F466" s="588"/>
      <c r="G466" s="589"/>
      <c r="H466" s="562" t="s">
        <v>46</v>
      </c>
      <c r="I466" s="563">
        <f ca="1">IFERROR(__xludf.DUMMYFUNCTION("IMPORTRANGE(""https://docs.google.com/spreadsheets/d/1QqKyyYR6Q21VydFLVH3TRQUabQu_ym0Zz7PgGX0-kHA/edit?usp=sharing"",""แผน!FW54"")"),500)</f>
        <v>500</v>
      </c>
      <c r="J466" s="563">
        <f>J483+J487</f>
        <v>0</v>
      </c>
      <c r="K466" s="564">
        <f t="shared" ca="1" si="205"/>
        <v>0</v>
      </c>
      <c r="L466" s="565"/>
      <c r="M466" s="565"/>
      <c r="N466" s="565"/>
      <c r="O466" s="565"/>
      <c r="P466" s="565"/>
      <c r="Q466" s="571"/>
      <c r="R466" s="571"/>
      <c r="S466" s="571"/>
      <c r="T466" s="571"/>
      <c r="U466" s="571"/>
      <c r="V466" s="571"/>
      <c r="W466" s="571"/>
      <c r="X466" s="571"/>
      <c r="Y466" s="571"/>
      <c r="Z466" s="571"/>
    </row>
    <row r="467" spans="1:26" ht="19.5">
      <c r="A467" s="590"/>
      <c r="B467" s="754"/>
      <c r="C467" s="754" t="s">
        <v>16</v>
      </c>
      <c r="D467" s="863" t="s">
        <v>17</v>
      </c>
      <c r="E467" s="857"/>
      <c r="F467" s="857"/>
      <c r="G467" s="189"/>
      <c r="H467" s="591" t="s">
        <v>12</v>
      </c>
      <c r="I467" s="269"/>
      <c r="J467" s="269"/>
      <c r="K467" s="496"/>
      <c r="L467" s="195">
        <f t="shared" ref="L467:N467" ca="1" si="206">L468+L469</f>
        <v>403983</v>
      </c>
      <c r="M467" s="195">
        <f t="shared" si="206"/>
        <v>0</v>
      </c>
      <c r="N467" s="195">
        <f t="shared" si="206"/>
        <v>6760</v>
      </c>
      <c r="O467" s="195">
        <f t="shared" ref="O467:O472" ca="1" si="207">IF(L467&gt;0,N467*100/L467,0)</f>
        <v>1.6733377394593336</v>
      </c>
      <c r="P467" s="195">
        <f t="shared" ref="P467:P472" si="208">IF(M467&gt;0,N467*100/M467,0)</f>
        <v>0</v>
      </c>
      <c r="Q467" s="571"/>
      <c r="R467" s="571"/>
      <c r="S467" s="571"/>
      <c r="T467" s="571"/>
      <c r="U467" s="571"/>
      <c r="V467" s="571"/>
      <c r="W467" s="571"/>
      <c r="X467" s="571"/>
      <c r="Y467" s="571"/>
      <c r="Z467" s="571"/>
    </row>
    <row r="468" spans="1:26" ht="18.75" hidden="1">
      <c r="A468" s="592"/>
      <c r="B468" s="750"/>
      <c r="C468" s="750"/>
      <c r="D468" s="711"/>
      <c r="E468" s="750" t="s">
        <v>184</v>
      </c>
      <c r="F468" s="750"/>
      <c r="G468" s="596"/>
      <c r="H468" s="165" t="s">
        <v>12</v>
      </c>
      <c r="I468" s="610"/>
      <c r="J468" s="610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597"/>
      <c r="R468" s="597"/>
      <c r="S468" s="597"/>
      <c r="T468" s="597"/>
      <c r="U468" s="597"/>
      <c r="V468" s="597"/>
      <c r="W468" s="597"/>
      <c r="X468" s="597"/>
      <c r="Y468" s="597"/>
      <c r="Z468" s="597"/>
    </row>
    <row r="469" spans="1:26" ht="18.75" hidden="1">
      <c r="A469" s="592"/>
      <c r="B469" s="600"/>
      <c r="C469" s="750"/>
      <c r="D469" s="711"/>
      <c r="E469" s="750" t="s">
        <v>185</v>
      </c>
      <c r="F469" s="750"/>
      <c r="G469" s="596"/>
      <c r="H469" s="165" t="s">
        <v>12</v>
      </c>
      <c r="I469" s="610"/>
      <c r="J469" s="610"/>
      <c r="K469" s="93"/>
      <c r="L469" s="93">
        <f t="shared" ca="1" si="209"/>
        <v>403983</v>
      </c>
      <c r="M469" s="93">
        <f t="shared" si="209"/>
        <v>0</v>
      </c>
      <c r="N469" s="93">
        <f t="shared" si="209"/>
        <v>6760</v>
      </c>
      <c r="O469" s="93">
        <f t="shared" ca="1" si="207"/>
        <v>1.6733377394593336</v>
      </c>
      <c r="P469" s="93">
        <f t="shared" si="208"/>
        <v>0</v>
      </c>
      <c r="Q469" s="597"/>
      <c r="R469" s="597"/>
      <c r="S469" s="597"/>
      <c r="T469" s="597"/>
      <c r="U469" s="597"/>
      <c r="V469" s="597"/>
      <c r="W469" s="597"/>
      <c r="X469" s="597"/>
      <c r="Y469" s="597"/>
      <c r="Z469" s="597"/>
    </row>
    <row r="470" spans="1:26" ht="18.75">
      <c r="A470" s="590"/>
      <c r="B470" s="568"/>
      <c r="C470" s="754"/>
      <c r="D470" s="599" t="s">
        <v>20</v>
      </c>
      <c r="E470" s="754"/>
      <c r="F470" s="754"/>
      <c r="G470" s="189"/>
      <c r="H470" s="161" t="s">
        <v>12</v>
      </c>
      <c r="I470" s="184"/>
      <c r="J470" s="184"/>
      <c r="K470" s="163"/>
      <c r="L470" s="496">
        <f t="shared" ref="L470:N470" ca="1" si="210">L471+L472</f>
        <v>403983</v>
      </c>
      <c r="M470" s="496">
        <f t="shared" si="210"/>
        <v>0</v>
      </c>
      <c r="N470" s="496">
        <f t="shared" si="210"/>
        <v>6760</v>
      </c>
      <c r="O470" s="496">
        <f t="shared" ca="1" si="207"/>
        <v>1.6733377394593336</v>
      </c>
      <c r="P470" s="496">
        <f t="shared" si="208"/>
        <v>0</v>
      </c>
      <c r="Q470" s="571"/>
      <c r="R470" s="571"/>
      <c r="S470" s="571"/>
      <c r="T470" s="571"/>
      <c r="U470" s="571"/>
      <c r="V470" s="571"/>
      <c r="W470" s="571"/>
      <c r="X470" s="571"/>
      <c r="Y470" s="571"/>
      <c r="Z470" s="571"/>
    </row>
    <row r="471" spans="1:26" ht="18.75" hidden="1">
      <c r="A471" s="592"/>
      <c r="B471" s="600"/>
      <c r="C471" s="750"/>
      <c r="D471" s="711"/>
      <c r="E471" s="750" t="s">
        <v>184</v>
      </c>
      <c r="F471" s="750"/>
      <c r="G471" s="596"/>
      <c r="H471" s="165" t="s">
        <v>12</v>
      </c>
      <c r="I471" s="610"/>
      <c r="J471" s="610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597"/>
      <c r="R471" s="597"/>
      <c r="S471" s="597"/>
      <c r="T471" s="597"/>
      <c r="U471" s="597"/>
      <c r="V471" s="597"/>
      <c r="W471" s="597"/>
      <c r="X471" s="597"/>
      <c r="Y471" s="597"/>
      <c r="Z471" s="597"/>
    </row>
    <row r="472" spans="1:26" ht="18.75" hidden="1">
      <c r="A472" s="592"/>
      <c r="B472" s="600"/>
      <c r="C472" s="750"/>
      <c r="D472" s="711"/>
      <c r="E472" s="750" t="s">
        <v>185</v>
      </c>
      <c r="F472" s="750"/>
      <c r="G472" s="596"/>
      <c r="H472" s="165" t="s">
        <v>12</v>
      </c>
      <c r="I472" s="610"/>
      <c r="J472" s="610"/>
      <c r="K472" s="93"/>
      <c r="L472" s="93">
        <f ca="1">IFERROR(__xludf.DUMMYFUNCTION("IMPORTRANGE(""https://docs.google.com/spreadsheets/d/1QqKyyYR6Q21VydFLVH3TRQUabQu_ym0Zz7PgGX0-kHA/edit?usp=sharing"",""แผน!FS54"")"),403983)</f>
        <v>403983</v>
      </c>
      <c r="M472" s="93">
        <v>0</v>
      </c>
      <c r="N472" s="93">
        <f>N473+N474+N475+N476</f>
        <v>6760</v>
      </c>
      <c r="O472" s="93">
        <f t="shared" ca="1" si="207"/>
        <v>1.6733377394593336</v>
      </c>
      <c r="P472" s="93">
        <f t="shared" si="208"/>
        <v>0</v>
      </c>
      <c r="Q472" s="597"/>
      <c r="R472" s="597"/>
      <c r="S472" s="597"/>
      <c r="T472" s="597"/>
      <c r="U472" s="597"/>
      <c r="V472" s="597"/>
      <c r="W472" s="597"/>
      <c r="X472" s="597"/>
      <c r="Y472" s="597"/>
      <c r="Z472" s="597"/>
    </row>
    <row r="473" spans="1:26" ht="18.75">
      <c r="A473" s="567"/>
      <c r="B473" s="568"/>
      <c r="C473" s="754"/>
      <c r="D473" s="754"/>
      <c r="E473" s="754"/>
      <c r="F473" s="754" t="s">
        <v>186</v>
      </c>
      <c r="G473" s="189"/>
      <c r="H473" s="161" t="s">
        <v>12</v>
      </c>
      <c r="I473" s="269"/>
      <c r="J473" s="269"/>
      <c r="K473" s="496"/>
      <c r="L473" s="496"/>
      <c r="M473" s="496"/>
      <c r="N473" s="817">
        <v>810</v>
      </c>
      <c r="O473" s="496"/>
      <c r="P473" s="496"/>
      <c r="Q473" s="571"/>
      <c r="R473" s="571"/>
      <c r="S473" s="571"/>
      <c r="T473" s="571"/>
      <c r="U473" s="571"/>
      <c r="V473" s="571"/>
      <c r="W473" s="571"/>
      <c r="X473" s="571"/>
      <c r="Y473" s="571"/>
      <c r="Z473" s="571"/>
    </row>
    <row r="474" spans="1:26" ht="18.75">
      <c r="A474" s="567"/>
      <c r="B474" s="568"/>
      <c r="C474" s="754"/>
      <c r="D474" s="754"/>
      <c r="E474" s="754"/>
      <c r="F474" s="754" t="s">
        <v>187</v>
      </c>
      <c r="G474" s="189"/>
      <c r="H474" s="161" t="s">
        <v>12</v>
      </c>
      <c r="I474" s="269"/>
      <c r="J474" s="269"/>
      <c r="K474" s="496"/>
      <c r="L474" s="496"/>
      <c r="M474" s="496"/>
      <c r="N474" s="817">
        <v>0</v>
      </c>
      <c r="O474" s="496"/>
      <c r="P474" s="496"/>
      <c r="Q474" s="571"/>
      <c r="R474" s="571"/>
      <c r="S474" s="571"/>
      <c r="T474" s="571"/>
      <c r="U474" s="571"/>
      <c r="V474" s="571"/>
      <c r="W474" s="571"/>
      <c r="X474" s="571"/>
      <c r="Y474" s="571"/>
      <c r="Z474" s="571"/>
    </row>
    <row r="475" spans="1:26" ht="18.75">
      <c r="A475" s="567"/>
      <c r="B475" s="568"/>
      <c r="C475" s="568"/>
      <c r="D475" s="568"/>
      <c r="E475" s="568"/>
      <c r="F475" s="754" t="s">
        <v>188</v>
      </c>
      <c r="G475" s="189"/>
      <c r="H475" s="161" t="s">
        <v>12</v>
      </c>
      <c r="I475" s="269"/>
      <c r="J475" s="269"/>
      <c r="K475" s="496"/>
      <c r="L475" s="496"/>
      <c r="M475" s="496"/>
      <c r="N475" s="817">
        <v>0</v>
      </c>
      <c r="O475" s="496"/>
      <c r="P475" s="496"/>
      <c r="Q475" s="571"/>
      <c r="R475" s="571"/>
      <c r="S475" s="571"/>
      <c r="T475" s="571"/>
      <c r="U475" s="571"/>
      <c r="V475" s="571"/>
      <c r="W475" s="571"/>
      <c r="X475" s="571"/>
      <c r="Y475" s="571"/>
      <c r="Z475" s="571"/>
    </row>
    <row r="476" spans="1:26" ht="18.75">
      <c r="A476" s="567"/>
      <c r="B476" s="568"/>
      <c r="C476" s="568"/>
      <c r="D476" s="568"/>
      <c r="E476" s="568"/>
      <c r="F476" s="754" t="s">
        <v>189</v>
      </c>
      <c r="G476" s="189"/>
      <c r="H476" s="161" t="s">
        <v>12</v>
      </c>
      <c r="I476" s="269"/>
      <c r="J476" s="269"/>
      <c r="K476" s="496"/>
      <c r="L476" s="496"/>
      <c r="M476" s="496"/>
      <c r="N476" s="817">
        <v>5950</v>
      </c>
      <c r="O476" s="496"/>
      <c r="P476" s="496"/>
      <c r="Q476" s="571"/>
      <c r="R476" s="571"/>
      <c r="S476" s="571"/>
      <c r="T476" s="571"/>
      <c r="U476" s="571"/>
      <c r="V476" s="571"/>
      <c r="W476" s="571"/>
      <c r="X476" s="571"/>
      <c r="Y476" s="571"/>
      <c r="Z476" s="571"/>
    </row>
    <row r="477" spans="1:26" ht="18.75">
      <c r="A477" s="590"/>
      <c r="B477" s="568"/>
      <c r="C477" s="568"/>
      <c r="D477" s="599" t="s">
        <v>21</v>
      </c>
      <c r="E477" s="568"/>
      <c r="F477" s="568"/>
      <c r="G477" s="189"/>
      <c r="H477" s="168" t="s">
        <v>12</v>
      </c>
      <c r="I477" s="184"/>
      <c r="J477" s="184"/>
      <c r="K477" s="163"/>
      <c r="L477" s="496">
        <f t="shared" ref="L477:N477" ca="1" si="211">L478+L479</f>
        <v>0</v>
      </c>
      <c r="M477" s="496">
        <f t="shared" si="211"/>
        <v>0</v>
      </c>
      <c r="N477" s="496">
        <f t="shared" si="211"/>
        <v>0</v>
      </c>
      <c r="O477" s="496">
        <f t="shared" ref="O477:O479" ca="1" si="212">IF(L477&gt;0,N477*100/L477,0)</f>
        <v>0</v>
      </c>
      <c r="P477" s="496">
        <f t="shared" ref="P477:P479" si="213">IF(M477&gt;0,N477*100/M477,0)</f>
        <v>0</v>
      </c>
      <c r="Q477" s="571"/>
      <c r="R477" s="571"/>
      <c r="S477" s="571"/>
      <c r="T477" s="571"/>
      <c r="U477" s="571"/>
      <c r="V477" s="571"/>
      <c r="W477" s="571"/>
      <c r="X477" s="571"/>
      <c r="Y477" s="571"/>
      <c r="Z477" s="571"/>
    </row>
    <row r="478" spans="1:26" ht="18.75" hidden="1">
      <c r="A478" s="592"/>
      <c r="B478" s="600"/>
      <c r="C478" s="600"/>
      <c r="D478" s="600"/>
      <c r="E478" s="600" t="s">
        <v>18</v>
      </c>
      <c r="F478" s="600"/>
      <c r="G478" s="596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597"/>
      <c r="R478" s="597"/>
      <c r="S478" s="597"/>
      <c r="T478" s="597"/>
      <c r="U478" s="597"/>
      <c r="V478" s="597"/>
      <c r="W478" s="597"/>
      <c r="X478" s="597"/>
      <c r="Y478" s="597"/>
      <c r="Z478" s="597"/>
    </row>
    <row r="479" spans="1:26" ht="18.75" hidden="1">
      <c r="A479" s="592"/>
      <c r="B479" s="600"/>
      <c r="C479" s="600"/>
      <c r="D479" s="600"/>
      <c r="E479" s="600" t="s">
        <v>19</v>
      </c>
      <c r="F479" s="600"/>
      <c r="G479" s="596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IFERROR(__xludf.DUMMYFUNCTION("IMPORTRANGE(""https://docs.google.com/spreadsheets/d/1QqKyyYR6Q21VydFLVH3TRQUabQu_ym0Zz7PgGX0-kHA/edit?usp=sharing"",""แผน!FV54"")"),0)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597"/>
      <c r="R479" s="597"/>
      <c r="S479" s="597"/>
      <c r="T479" s="597"/>
      <c r="U479" s="597"/>
      <c r="V479" s="597"/>
      <c r="W479" s="597"/>
      <c r="X479" s="597"/>
      <c r="Y479" s="597"/>
      <c r="Z479" s="597"/>
    </row>
    <row r="480" spans="1:26" ht="19.5">
      <c r="A480" s="601"/>
      <c r="B480" s="611"/>
      <c r="C480" s="568" t="s">
        <v>16</v>
      </c>
      <c r="D480" s="837" t="s">
        <v>38</v>
      </c>
      <c r="E480" s="604"/>
      <c r="F480" s="752"/>
      <c r="G480" s="606"/>
      <c r="H480" s="753"/>
      <c r="I480" s="269"/>
      <c r="J480" s="269"/>
      <c r="K480" s="496"/>
      <c r="L480" s="496"/>
      <c r="M480" s="496"/>
      <c r="N480" s="496"/>
      <c r="O480" s="496"/>
      <c r="P480" s="496"/>
      <c r="Q480" s="571"/>
      <c r="R480" s="571"/>
      <c r="S480" s="571"/>
      <c r="T480" s="571"/>
      <c r="U480" s="571"/>
      <c r="V480" s="571"/>
      <c r="W480" s="571"/>
      <c r="X480" s="571"/>
      <c r="Y480" s="571"/>
      <c r="Z480" s="571"/>
    </row>
    <row r="481" spans="1:26" ht="19.5">
      <c r="A481" s="601"/>
      <c r="B481" s="611"/>
      <c r="C481" s="611"/>
      <c r="D481" s="618" t="s">
        <v>206</v>
      </c>
      <c r="E481" s="611"/>
      <c r="F481" s="611"/>
      <c r="G481" s="753"/>
      <c r="H481" s="189"/>
      <c r="I481" s="269"/>
      <c r="J481" s="269"/>
      <c r="K481" s="496"/>
      <c r="L481" s="496"/>
      <c r="M481" s="496"/>
      <c r="N481" s="496"/>
      <c r="O481" s="496"/>
      <c r="P481" s="496"/>
      <c r="Q481" s="571"/>
      <c r="R481" s="571"/>
      <c r="S481" s="571"/>
      <c r="T481" s="571"/>
      <c r="U481" s="571"/>
      <c r="V481" s="571"/>
      <c r="W481" s="571"/>
      <c r="X481" s="571"/>
      <c r="Y481" s="571"/>
      <c r="Z481" s="571"/>
    </row>
    <row r="482" spans="1:26" ht="18.75">
      <c r="A482" s="601"/>
      <c r="B482" s="611"/>
      <c r="C482" s="611"/>
      <c r="D482" s="611"/>
      <c r="E482" s="611" t="s">
        <v>207</v>
      </c>
      <c r="F482" s="611"/>
      <c r="G482" s="753"/>
      <c r="H482" s="189"/>
      <c r="I482" s="269"/>
      <c r="J482" s="269"/>
      <c r="K482" s="496"/>
      <c r="L482" s="496"/>
      <c r="M482" s="496"/>
      <c r="N482" s="496"/>
      <c r="O482" s="496"/>
      <c r="P482" s="496"/>
      <c r="Q482" s="571"/>
      <c r="R482" s="571"/>
      <c r="S482" s="571"/>
      <c r="T482" s="571"/>
      <c r="U482" s="571"/>
      <c r="V482" s="571"/>
      <c r="W482" s="571"/>
      <c r="X482" s="571"/>
      <c r="Y482" s="571"/>
      <c r="Z482" s="571"/>
    </row>
    <row r="483" spans="1:26" ht="18.75">
      <c r="A483" s="601"/>
      <c r="B483" s="611"/>
      <c r="C483" s="611"/>
      <c r="D483" s="611"/>
      <c r="E483" s="611"/>
      <c r="F483" s="611" t="s">
        <v>208</v>
      </c>
      <c r="G483" s="753"/>
      <c r="H483" s="616" t="s">
        <v>46</v>
      </c>
      <c r="I483" s="269">
        <f ca="1">IFERROR(__xludf.DUMMYFUNCTION("IMPORTRANGE(""https://docs.google.com/spreadsheets/d/1QqKyyYR6Q21VydFLVH3TRQUabQu_ym0Zz7PgGX0-kHA/edit?usp=sharing"",""แผน!FY54"")"),450)</f>
        <v>450</v>
      </c>
      <c r="J483" s="214">
        <v>0</v>
      </c>
      <c r="K483" s="496">
        <f ca="1">IF(I483&gt;0,J483*100/I483,0)</f>
        <v>0</v>
      </c>
      <c r="L483" s="496"/>
      <c r="M483" s="496"/>
      <c r="N483" s="496"/>
      <c r="O483" s="496"/>
      <c r="P483" s="496"/>
      <c r="Q483" s="571"/>
      <c r="R483" s="571"/>
      <c r="S483" s="571"/>
      <c r="T483" s="571"/>
      <c r="U483" s="571"/>
      <c r="V483" s="571"/>
      <c r="W483" s="571"/>
      <c r="X483" s="571"/>
      <c r="Y483" s="571"/>
      <c r="Z483" s="571"/>
    </row>
    <row r="484" spans="1:26" ht="18.75">
      <c r="A484" s="601"/>
      <c r="B484" s="611"/>
      <c r="C484" s="611"/>
      <c r="D484" s="611"/>
      <c r="E484" s="611"/>
      <c r="F484" s="611" t="s">
        <v>209</v>
      </c>
      <c r="G484" s="753"/>
      <c r="H484" s="616" t="s">
        <v>35</v>
      </c>
      <c r="I484" s="269"/>
      <c r="J484" s="214">
        <v>0</v>
      </c>
      <c r="K484" s="496"/>
      <c r="L484" s="496"/>
      <c r="M484" s="496"/>
      <c r="N484" s="496"/>
      <c r="O484" s="496"/>
      <c r="P484" s="496"/>
      <c r="Q484" s="571"/>
      <c r="R484" s="571"/>
      <c r="S484" s="571"/>
      <c r="T484" s="571"/>
      <c r="U484" s="571"/>
      <c r="V484" s="571"/>
      <c r="W484" s="571"/>
      <c r="X484" s="571"/>
      <c r="Y484" s="571"/>
      <c r="Z484" s="571"/>
    </row>
    <row r="485" spans="1:26" ht="18.75">
      <c r="A485" s="601"/>
      <c r="B485" s="611"/>
      <c r="C485" s="611"/>
      <c r="D485" s="611"/>
      <c r="E485" s="611"/>
      <c r="F485" s="611" t="s">
        <v>210</v>
      </c>
      <c r="G485" s="753"/>
      <c r="H485" s="616" t="s">
        <v>35</v>
      </c>
      <c r="I485" s="269">
        <f ca="1">IFERROR(__xludf.DUMMYFUNCTION("IMPORTRANGE(""https://docs.google.com/spreadsheets/d/1QqKyyYR6Q21VydFLVH3TRQUabQu_ym0Zz7PgGX0-kHA/edit?usp=sharing"",""แผน!FZ54"")"),45)</f>
        <v>45</v>
      </c>
      <c r="J485" s="214">
        <v>0</v>
      </c>
      <c r="K485" s="496">
        <f ca="1">IF(I485&gt;0,J485*100/I485,0)</f>
        <v>0</v>
      </c>
      <c r="L485" s="496"/>
      <c r="M485" s="496"/>
      <c r="N485" s="496"/>
      <c r="O485" s="496"/>
      <c r="P485" s="496"/>
      <c r="Q485" s="571"/>
      <c r="R485" s="571"/>
      <c r="S485" s="571"/>
      <c r="T485" s="571"/>
      <c r="U485" s="571"/>
      <c r="V485" s="571"/>
      <c r="W485" s="571"/>
      <c r="X485" s="571"/>
      <c r="Y485" s="571"/>
      <c r="Z485" s="571"/>
    </row>
    <row r="486" spans="1:26" ht="18.75">
      <c r="A486" s="601"/>
      <c r="B486" s="611"/>
      <c r="C486" s="611"/>
      <c r="D486" s="611"/>
      <c r="E486" s="611" t="s">
        <v>62</v>
      </c>
      <c r="F486" s="611"/>
      <c r="G486" s="753"/>
      <c r="H486" s="616"/>
      <c r="I486" s="269"/>
      <c r="J486" s="269"/>
      <c r="K486" s="496"/>
      <c r="L486" s="496"/>
      <c r="M486" s="496"/>
      <c r="N486" s="496"/>
      <c r="O486" s="496"/>
      <c r="P486" s="496"/>
      <c r="Q486" s="571"/>
      <c r="R486" s="571"/>
      <c r="S486" s="571"/>
      <c r="T486" s="571"/>
      <c r="U486" s="571"/>
      <c r="V486" s="571"/>
      <c r="W486" s="571"/>
      <c r="X486" s="571"/>
      <c r="Y486" s="571"/>
      <c r="Z486" s="571"/>
    </row>
    <row r="487" spans="1:26" ht="18.75">
      <c r="A487" s="601"/>
      <c r="B487" s="611"/>
      <c r="C487" s="611"/>
      <c r="D487" s="611"/>
      <c r="E487" s="611"/>
      <c r="F487" s="611" t="s">
        <v>208</v>
      </c>
      <c r="G487" s="753"/>
      <c r="H487" s="616" t="s">
        <v>46</v>
      </c>
      <c r="I487" s="269">
        <f ca="1">IFERROR(__xludf.DUMMYFUNCTION("IMPORTRANGE(""https://docs.google.com/spreadsheets/d/1QqKyyYR6Q21VydFLVH3TRQUabQu_ym0Zz7PgGX0-kHA/edit?usp=sharing"",""แผน!GA54"")"),50)</f>
        <v>50</v>
      </c>
      <c r="J487" s="214">
        <v>0</v>
      </c>
      <c r="K487" s="496">
        <f ca="1">IF(I487&gt;0,J487*100/I487,0)</f>
        <v>0</v>
      </c>
      <c r="L487" s="496"/>
      <c r="M487" s="496"/>
      <c r="N487" s="496"/>
      <c r="O487" s="496"/>
      <c r="P487" s="496"/>
      <c r="Q487" s="571"/>
      <c r="R487" s="571"/>
      <c r="S487" s="571"/>
      <c r="T487" s="571"/>
      <c r="U487" s="571"/>
      <c r="V487" s="571"/>
      <c r="W487" s="571"/>
      <c r="X487" s="571"/>
      <c r="Y487" s="571"/>
      <c r="Z487" s="571"/>
    </row>
    <row r="488" spans="1:26" ht="18.75">
      <c r="A488" s="601"/>
      <c r="B488" s="611"/>
      <c r="C488" s="611"/>
      <c r="D488" s="611"/>
      <c r="E488" s="611"/>
      <c r="F488" s="611" t="s">
        <v>211</v>
      </c>
      <c r="G488" s="753"/>
      <c r="H488" s="616" t="s">
        <v>35</v>
      </c>
      <c r="I488" s="269"/>
      <c r="J488" s="214">
        <v>0</v>
      </c>
      <c r="K488" s="496"/>
      <c r="L488" s="496"/>
      <c r="M488" s="496"/>
      <c r="N488" s="496"/>
      <c r="O488" s="496"/>
      <c r="P488" s="496"/>
      <c r="Q488" s="571"/>
      <c r="R488" s="571"/>
      <c r="S488" s="571"/>
      <c r="T488" s="571"/>
      <c r="U488" s="571"/>
      <c r="V488" s="571"/>
      <c r="W488" s="571"/>
      <c r="X488" s="571"/>
      <c r="Y488" s="571"/>
      <c r="Z488" s="571"/>
    </row>
    <row r="489" spans="1:26" ht="18.75">
      <c r="A489" s="601"/>
      <c r="B489" s="611"/>
      <c r="C489" s="611"/>
      <c r="D489" s="611"/>
      <c r="E489" s="611"/>
      <c r="F489" s="611" t="s">
        <v>212</v>
      </c>
      <c r="G489" s="753"/>
      <c r="H489" s="616" t="s">
        <v>35</v>
      </c>
      <c r="I489" s="269">
        <f ca="1">IFERROR(__xludf.DUMMYFUNCTION("IMPORTRANGE(""https://docs.google.com/spreadsheets/d/1QqKyyYR6Q21VydFLVH3TRQUabQu_ym0Zz7PgGX0-kHA/edit?usp=sharing"",""แผน!GB54"")"),5)</f>
        <v>5</v>
      </c>
      <c r="J489" s="214">
        <v>0</v>
      </c>
      <c r="K489" s="496">
        <f ca="1">IF(I489&gt;0,J489*100/I489,0)</f>
        <v>0</v>
      </c>
      <c r="L489" s="496"/>
      <c r="M489" s="496"/>
      <c r="N489" s="496"/>
      <c r="O489" s="496"/>
      <c r="P489" s="496"/>
      <c r="Q489" s="571"/>
      <c r="R489" s="571"/>
      <c r="S489" s="571"/>
      <c r="T489" s="571"/>
      <c r="U489" s="571"/>
      <c r="V489" s="571"/>
      <c r="W489" s="571"/>
      <c r="X489" s="571"/>
      <c r="Y489" s="571"/>
      <c r="Z489" s="571"/>
    </row>
    <row r="490" spans="1:26" ht="18.75">
      <c r="A490" s="601"/>
      <c r="B490" s="611"/>
      <c r="C490" s="611"/>
      <c r="D490" s="611"/>
      <c r="E490" s="611" t="s">
        <v>63</v>
      </c>
      <c r="F490" s="619"/>
      <c r="G490" s="753"/>
      <c r="H490" s="616"/>
      <c r="I490" s="269"/>
      <c r="J490" s="269"/>
      <c r="K490" s="496"/>
      <c r="L490" s="496"/>
      <c r="M490" s="496"/>
      <c r="N490" s="496"/>
      <c r="O490" s="496"/>
      <c r="P490" s="496"/>
      <c r="Q490" s="571"/>
      <c r="R490" s="571"/>
      <c r="S490" s="571"/>
      <c r="T490" s="571"/>
      <c r="U490" s="571"/>
      <c r="V490" s="571"/>
      <c r="W490" s="571"/>
      <c r="X490" s="571"/>
      <c r="Y490" s="571"/>
      <c r="Z490" s="571"/>
    </row>
    <row r="491" spans="1:26" ht="18.75">
      <c r="A491" s="601"/>
      <c r="B491" s="611"/>
      <c r="C491" s="611"/>
      <c r="D491" s="611"/>
      <c r="E491" s="611"/>
      <c r="F491" s="611" t="s">
        <v>213</v>
      </c>
      <c r="G491" s="753"/>
      <c r="H491" s="616" t="s">
        <v>35</v>
      </c>
      <c r="I491" s="269"/>
      <c r="J491" s="214">
        <v>0</v>
      </c>
      <c r="K491" s="496"/>
      <c r="L491" s="496"/>
      <c r="M491" s="496"/>
      <c r="N491" s="496"/>
      <c r="O491" s="496"/>
      <c r="P491" s="496"/>
      <c r="Q491" s="571"/>
      <c r="R491" s="571"/>
      <c r="S491" s="571"/>
      <c r="T491" s="571"/>
      <c r="U491" s="571"/>
      <c r="V491" s="571"/>
      <c r="W491" s="571"/>
      <c r="X491" s="571"/>
      <c r="Y491" s="571"/>
      <c r="Z491" s="571"/>
    </row>
    <row r="492" spans="1:26" ht="18.75">
      <c r="A492" s="601"/>
      <c r="B492" s="611"/>
      <c r="C492" s="611"/>
      <c r="D492" s="611"/>
      <c r="E492" s="611"/>
      <c r="F492" s="611" t="s">
        <v>214</v>
      </c>
      <c r="G492" s="753"/>
      <c r="H492" s="616" t="s">
        <v>35</v>
      </c>
      <c r="I492" s="269">
        <f ca="1">IFERROR(__xludf.DUMMYFUNCTION("IMPORTRANGE(""https://docs.google.com/spreadsheets/d/1QqKyyYR6Q21VydFLVH3TRQUabQu_ym0Zz7PgGX0-kHA/edit?usp=sharing"",""แผน!GC54"")"),1)</f>
        <v>1</v>
      </c>
      <c r="J492" s="214">
        <v>0</v>
      </c>
      <c r="K492" s="496">
        <f ca="1">IF(I492&gt;0,J492*100/I492,0)</f>
        <v>0</v>
      </c>
      <c r="L492" s="496"/>
      <c r="M492" s="496"/>
      <c r="N492" s="496"/>
      <c r="O492" s="496"/>
      <c r="P492" s="496"/>
      <c r="Q492" s="571"/>
      <c r="R492" s="571"/>
      <c r="S492" s="571"/>
      <c r="T492" s="571"/>
      <c r="U492" s="571"/>
      <c r="V492" s="571"/>
      <c r="W492" s="571"/>
      <c r="X492" s="571"/>
      <c r="Y492" s="571"/>
      <c r="Z492" s="571"/>
    </row>
    <row r="493" spans="1:26" ht="19.5">
      <c r="A493" s="601"/>
      <c r="B493" s="611"/>
      <c r="C493" s="611"/>
      <c r="D493" s="618" t="s">
        <v>59</v>
      </c>
      <c r="E493" s="611"/>
      <c r="F493" s="619"/>
      <c r="G493" s="753"/>
      <c r="H493" s="189"/>
      <c r="I493" s="269"/>
      <c r="J493" s="269"/>
      <c r="K493" s="496"/>
      <c r="L493" s="496"/>
      <c r="M493" s="496"/>
      <c r="N493" s="496"/>
      <c r="O493" s="496"/>
      <c r="P493" s="496"/>
      <c r="Q493" s="571"/>
      <c r="R493" s="571"/>
      <c r="S493" s="571"/>
      <c r="T493" s="571"/>
      <c r="U493" s="571"/>
      <c r="V493" s="571"/>
      <c r="W493" s="571"/>
      <c r="X493" s="571"/>
      <c r="Y493" s="571"/>
      <c r="Z493" s="571"/>
    </row>
    <row r="494" spans="1:26" ht="18.75">
      <c r="A494" s="601"/>
      <c r="B494" s="611"/>
      <c r="C494" s="611"/>
      <c r="D494" s="611"/>
      <c r="E494" s="611" t="s">
        <v>207</v>
      </c>
      <c r="F494" s="619"/>
      <c r="G494" s="753"/>
      <c r="H494" s="189"/>
      <c r="I494" s="269"/>
      <c r="J494" s="269"/>
      <c r="K494" s="496"/>
      <c r="L494" s="496"/>
      <c r="M494" s="496"/>
      <c r="N494" s="496"/>
      <c r="O494" s="496"/>
      <c r="P494" s="496"/>
      <c r="Q494" s="571"/>
      <c r="R494" s="571"/>
      <c r="S494" s="571"/>
      <c r="T494" s="571"/>
      <c r="U494" s="571"/>
      <c r="V494" s="571"/>
      <c r="W494" s="571"/>
      <c r="X494" s="571"/>
      <c r="Y494" s="571"/>
      <c r="Z494" s="571"/>
    </row>
    <row r="495" spans="1:26" ht="18.75">
      <c r="A495" s="601"/>
      <c r="B495" s="611"/>
      <c r="C495" s="611"/>
      <c r="D495" s="611"/>
      <c r="E495" s="611"/>
      <c r="F495" s="619" t="s">
        <v>215</v>
      </c>
      <c r="G495" s="753"/>
      <c r="H495" s="616" t="s">
        <v>46</v>
      </c>
      <c r="I495" s="269">
        <f ca="1">IFERROR(__xludf.DUMMYFUNCTION("IMPORTRANGE(""https://docs.google.com/spreadsheets/d/1QqKyyYR6Q21VydFLVH3TRQUabQu_ym0Zz7PgGX0-kHA/edit?usp=sharing"",""แผน!FY54"")"),450)</f>
        <v>450</v>
      </c>
      <c r="J495" s="214">
        <v>0</v>
      </c>
      <c r="K495" s="496">
        <f ca="1">IF(I495&gt;0,J495*100/I495,0)</f>
        <v>0</v>
      </c>
      <c r="L495" s="496"/>
      <c r="M495" s="496"/>
      <c r="N495" s="496"/>
      <c r="O495" s="496"/>
      <c r="P495" s="496"/>
      <c r="Q495" s="571"/>
      <c r="R495" s="571"/>
      <c r="S495" s="571"/>
      <c r="T495" s="571"/>
      <c r="U495" s="571"/>
      <c r="V495" s="571"/>
      <c r="W495" s="571"/>
      <c r="X495" s="571"/>
      <c r="Y495" s="571"/>
      <c r="Z495" s="571"/>
    </row>
    <row r="496" spans="1:26" ht="18.75">
      <c r="A496" s="601"/>
      <c r="B496" s="611"/>
      <c r="C496" s="611"/>
      <c r="D496" s="611"/>
      <c r="E496" s="611"/>
      <c r="F496" s="619" t="s">
        <v>216</v>
      </c>
      <c r="G496" s="753"/>
      <c r="H496" s="616" t="s">
        <v>46</v>
      </c>
      <c r="I496" s="269"/>
      <c r="J496" s="214">
        <v>0</v>
      </c>
      <c r="K496" s="496"/>
      <c r="L496" s="496"/>
      <c r="M496" s="496"/>
      <c r="N496" s="496"/>
      <c r="O496" s="496"/>
      <c r="P496" s="496"/>
      <c r="Q496" s="571"/>
      <c r="R496" s="571"/>
      <c r="S496" s="571"/>
      <c r="T496" s="571"/>
      <c r="U496" s="571"/>
      <c r="V496" s="571"/>
      <c r="W496" s="571"/>
      <c r="X496" s="571"/>
      <c r="Y496" s="571"/>
      <c r="Z496" s="571"/>
    </row>
    <row r="497" spans="1:26" ht="18.75">
      <c r="A497" s="601"/>
      <c r="B497" s="611"/>
      <c r="C497" s="611"/>
      <c r="D497" s="611"/>
      <c r="E497" s="611" t="s">
        <v>62</v>
      </c>
      <c r="F497" s="619"/>
      <c r="G497" s="753"/>
      <c r="H497" s="189"/>
      <c r="I497" s="269"/>
      <c r="J497" s="269"/>
      <c r="K497" s="496"/>
      <c r="L497" s="496"/>
      <c r="M497" s="496"/>
      <c r="N497" s="496"/>
      <c r="O497" s="496"/>
      <c r="P497" s="496"/>
      <c r="Q497" s="571"/>
      <c r="R497" s="571"/>
      <c r="S497" s="571"/>
      <c r="T497" s="571"/>
      <c r="U497" s="571"/>
      <c r="V497" s="571"/>
      <c r="W497" s="571"/>
      <c r="X497" s="571"/>
      <c r="Y497" s="571"/>
      <c r="Z497" s="571"/>
    </row>
    <row r="498" spans="1:26" ht="18.75">
      <c r="A498" s="601"/>
      <c r="B498" s="611"/>
      <c r="C498" s="611"/>
      <c r="D498" s="611"/>
      <c r="E498" s="619"/>
      <c r="F498" s="619" t="s">
        <v>217</v>
      </c>
      <c r="G498" s="753"/>
      <c r="H498" s="616" t="s">
        <v>46</v>
      </c>
      <c r="I498" s="269">
        <f ca="1">IFERROR(__xludf.DUMMYFUNCTION("IMPORTRANGE(""https://docs.google.com/spreadsheets/d/1QqKyyYR6Q21VydFLVH3TRQUabQu_ym0Zz7PgGX0-kHA/edit?usp=sharing"",""แผน!GA54"")"),50)</f>
        <v>50</v>
      </c>
      <c r="J498" s="214">
        <v>0</v>
      </c>
      <c r="K498" s="496">
        <f ca="1">IF(I498&gt;0,J498*100/I498,0)</f>
        <v>0</v>
      </c>
      <c r="L498" s="496"/>
      <c r="M498" s="496"/>
      <c r="N498" s="496"/>
      <c r="O498" s="496"/>
      <c r="P498" s="496"/>
      <c r="Q498" s="571"/>
      <c r="R498" s="571"/>
      <c r="S498" s="571"/>
      <c r="T498" s="571"/>
      <c r="U498" s="571"/>
      <c r="V498" s="571"/>
      <c r="W498" s="571"/>
      <c r="X498" s="571"/>
      <c r="Y498" s="571"/>
      <c r="Z498" s="571"/>
    </row>
    <row r="499" spans="1:26" ht="18.75">
      <c r="A499" s="601"/>
      <c r="B499" s="611"/>
      <c r="C499" s="611"/>
      <c r="D499" s="611"/>
      <c r="E499" s="619"/>
      <c r="F499" s="619" t="s">
        <v>218</v>
      </c>
      <c r="G499" s="753"/>
      <c r="H499" s="616" t="s">
        <v>46</v>
      </c>
      <c r="I499" s="269"/>
      <c r="J499" s="214">
        <v>0</v>
      </c>
      <c r="K499" s="496"/>
      <c r="L499" s="496"/>
      <c r="M499" s="496"/>
      <c r="N499" s="496"/>
      <c r="O499" s="496"/>
      <c r="P499" s="496"/>
      <c r="Q499" s="571"/>
      <c r="R499" s="571"/>
      <c r="S499" s="571"/>
      <c r="T499" s="571"/>
      <c r="U499" s="571"/>
      <c r="V499" s="571"/>
      <c r="W499" s="571"/>
      <c r="X499" s="571"/>
      <c r="Y499" s="571"/>
      <c r="Z499" s="571"/>
    </row>
    <row r="500" spans="1:26" ht="19.5" hidden="1">
      <c r="A500" s="620">
        <v>4</v>
      </c>
      <c r="B500" s="621" t="s">
        <v>219</v>
      </c>
      <c r="C500" s="622"/>
      <c r="D500" s="623"/>
      <c r="E500" s="623"/>
      <c r="F500" s="623"/>
      <c r="G500" s="624"/>
      <c r="H500" s="625" t="s">
        <v>109</v>
      </c>
      <c r="I500" s="626"/>
      <c r="J500" s="626">
        <f t="shared" ref="J500:J501" si="214">J516</f>
        <v>0</v>
      </c>
      <c r="K500" s="627">
        <f t="shared" ref="K500:K501" si="215">IF(I500&gt;0,J500*100/I500,0)</f>
        <v>0</v>
      </c>
      <c r="L500" s="628"/>
      <c r="M500" s="628"/>
      <c r="N500" s="628"/>
      <c r="O500" s="628"/>
      <c r="P500" s="628"/>
      <c r="Q500" s="597"/>
      <c r="R500" s="597"/>
      <c r="S500" s="597"/>
      <c r="T500" s="597"/>
      <c r="U500" s="597"/>
      <c r="V500" s="597"/>
      <c r="W500" s="597"/>
      <c r="X500" s="597"/>
      <c r="Y500" s="597"/>
      <c r="Z500" s="597"/>
    </row>
    <row r="501" spans="1:26" ht="19.5" hidden="1">
      <c r="A501" s="629"/>
      <c r="B501" s="631" t="s">
        <v>220</v>
      </c>
      <c r="C501" s="631"/>
      <c r="D501" s="632"/>
      <c r="E501" s="632"/>
      <c r="F501" s="632"/>
      <c r="G501" s="633"/>
      <c r="H501" s="634" t="s">
        <v>35</v>
      </c>
      <c r="I501" s="635"/>
      <c r="J501" s="635">
        <f t="shared" si="214"/>
        <v>0</v>
      </c>
      <c r="K501" s="636">
        <f t="shared" si="215"/>
        <v>0</v>
      </c>
      <c r="L501" s="637"/>
      <c r="M501" s="637"/>
      <c r="N501" s="637"/>
      <c r="O501" s="637"/>
      <c r="P501" s="637"/>
      <c r="Q501" s="597"/>
      <c r="R501" s="597"/>
      <c r="S501" s="597"/>
      <c r="T501" s="597"/>
      <c r="U501" s="597"/>
      <c r="V501" s="597"/>
      <c r="W501" s="597"/>
      <c r="X501" s="597"/>
      <c r="Y501" s="597"/>
      <c r="Z501" s="597"/>
    </row>
    <row r="502" spans="1:26" ht="19.5" hidden="1">
      <c r="A502" s="592"/>
      <c r="B502" s="750"/>
      <c r="C502" s="750" t="s">
        <v>16</v>
      </c>
      <c r="D502" s="864" t="s">
        <v>17</v>
      </c>
      <c r="E502" s="857"/>
      <c r="F502" s="857"/>
      <c r="G502" s="596"/>
      <c r="H502" s="639" t="s">
        <v>12</v>
      </c>
      <c r="I502" s="610"/>
      <c r="J502" s="610"/>
      <c r="K502" s="93"/>
      <c r="L502" s="640">
        <f t="shared" ref="L502:N502" si="216">L503+L504</f>
        <v>0</v>
      </c>
      <c r="M502" s="640">
        <f t="shared" si="216"/>
        <v>0</v>
      </c>
      <c r="N502" s="640">
        <f t="shared" si="216"/>
        <v>0</v>
      </c>
      <c r="O502" s="640">
        <f t="shared" ref="O502:O507" si="217">IF(L502&gt;0,N502*100/L502,0)</f>
        <v>0</v>
      </c>
      <c r="P502" s="640">
        <f t="shared" ref="P502:P507" si="218">IF(M502&gt;0,N502*100/M502,0)</f>
        <v>0</v>
      </c>
      <c r="Q502" s="597"/>
      <c r="R502" s="597"/>
      <c r="S502" s="597"/>
      <c r="T502" s="597"/>
      <c r="U502" s="597"/>
      <c r="V502" s="597"/>
      <c r="W502" s="597"/>
      <c r="X502" s="597"/>
      <c r="Y502" s="597"/>
      <c r="Z502" s="597"/>
    </row>
    <row r="503" spans="1:26" ht="18.75" hidden="1">
      <c r="A503" s="592"/>
      <c r="B503" s="750"/>
      <c r="C503" s="750"/>
      <c r="D503" s="711"/>
      <c r="E503" s="750" t="s">
        <v>184</v>
      </c>
      <c r="F503" s="750"/>
      <c r="G503" s="596"/>
      <c r="H503" s="165" t="s">
        <v>12</v>
      </c>
      <c r="I503" s="610"/>
      <c r="J503" s="610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597"/>
      <c r="R503" s="597"/>
      <c r="S503" s="597"/>
      <c r="T503" s="597"/>
      <c r="U503" s="597"/>
      <c r="V503" s="597"/>
      <c r="W503" s="597"/>
      <c r="X503" s="597"/>
      <c r="Y503" s="597"/>
      <c r="Z503" s="597"/>
    </row>
    <row r="504" spans="1:26" ht="18.75" hidden="1">
      <c r="A504" s="592"/>
      <c r="B504" s="600"/>
      <c r="C504" s="750"/>
      <c r="D504" s="711"/>
      <c r="E504" s="750" t="s">
        <v>185</v>
      </c>
      <c r="F504" s="750"/>
      <c r="G504" s="596"/>
      <c r="H504" s="165" t="s">
        <v>12</v>
      </c>
      <c r="I504" s="610"/>
      <c r="J504" s="610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597"/>
      <c r="R504" s="597"/>
      <c r="S504" s="597"/>
      <c r="T504" s="597"/>
      <c r="U504" s="597"/>
      <c r="V504" s="597"/>
      <c r="W504" s="597"/>
      <c r="X504" s="597"/>
      <c r="Y504" s="597"/>
      <c r="Z504" s="597"/>
    </row>
    <row r="505" spans="1:26" ht="18.75" hidden="1">
      <c r="A505" s="592"/>
      <c r="B505" s="600"/>
      <c r="C505" s="750"/>
      <c r="D505" s="641" t="s">
        <v>20</v>
      </c>
      <c r="E505" s="750"/>
      <c r="F505" s="750"/>
      <c r="G505" s="596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597"/>
      <c r="R505" s="597"/>
      <c r="S505" s="597"/>
      <c r="T505" s="597"/>
      <c r="U505" s="597"/>
      <c r="V505" s="597"/>
      <c r="W505" s="597"/>
      <c r="X505" s="597"/>
      <c r="Y505" s="597"/>
      <c r="Z505" s="597"/>
    </row>
    <row r="506" spans="1:26" ht="18.75" hidden="1">
      <c r="A506" s="592"/>
      <c r="B506" s="600"/>
      <c r="C506" s="750"/>
      <c r="D506" s="711"/>
      <c r="E506" s="750" t="s">
        <v>184</v>
      </c>
      <c r="F506" s="750"/>
      <c r="G506" s="596"/>
      <c r="H506" s="165" t="s">
        <v>12</v>
      </c>
      <c r="I506" s="610"/>
      <c r="J506" s="610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597"/>
      <c r="R506" s="597"/>
      <c r="S506" s="597"/>
      <c r="T506" s="597"/>
      <c r="U506" s="597"/>
      <c r="V506" s="597"/>
      <c r="W506" s="597"/>
      <c r="X506" s="597"/>
      <c r="Y506" s="597"/>
      <c r="Z506" s="597"/>
    </row>
    <row r="507" spans="1:26" ht="18.75" hidden="1">
      <c r="A507" s="592"/>
      <c r="B507" s="600"/>
      <c r="C507" s="750"/>
      <c r="D507" s="711"/>
      <c r="E507" s="750" t="s">
        <v>185</v>
      </c>
      <c r="F507" s="750"/>
      <c r="G507" s="596"/>
      <c r="H507" s="165" t="s">
        <v>12</v>
      </c>
      <c r="I507" s="610"/>
      <c r="J507" s="610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597"/>
      <c r="R507" s="597"/>
      <c r="S507" s="597"/>
      <c r="T507" s="597"/>
      <c r="U507" s="597"/>
      <c r="V507" s="597"/>
      <c r="W507" s="597"/>
      <c r="X507" s="597"/>
      <c r="Y507" s="597"/>
      <c r="Z507" s="597"/>
    </row>
    <row r="508" spans="1:26" ht="18.75" hidden="1">
      <c r="A508" s="642"/>
      <c r="B508" s="600"/>
      <c r="C508" s="750"/>
      <c r="D508" s="750"/>
      <c r="E508" s="750"/>
      <c r="F508" s="750" t="s">
        <v>186</v>
      </c>
      <c r="G508" s="596"/>
      <c r="H508" s="165" t="s">
        <v>12</v>
      </c>
      <c r="I508" s="610"/>
      <c r="J508" s="610"/>
      <c r="K508" s="93"/>
      <c r="L508" s="93"/>
      <c r="M508" s="93"/>
      <c r="N508" s="93">
        <v>0</v>
      </c>
      <c r="O508" s="93"/>
      <c r="P508" s="93"/>
      <c r="Q508" s="597"/>
      <c r="R508" s="597"/>
      <c r="S508" s="597"/>
      <c r="T508" s="597"/>
      <c r="U508" s="597"/>
      <c r="V508" s="597"/>
      <c r="W508" s="597"/>
      <c r="X508" s="597"/>
      <c r="Y508" s="597"/>
      <c r="Z508" s="597"/>
    </row>
    <row r="509" spans="1:26" ht="18.75" hidden="1">
      <c r="A509" s="642"/>
      <c r="B509" s="600"/>
      <c r="C509" s="750"/>
      <c r="D509" s="750"/>
      <c r="E509" s="750"/>
      <c r="F509" s="750" t="s">
        <v>187</v>
      </c>
      <c r="G509" s="596"/>
      <c r="H509" s="165" t="s">
        <v>12</v>
      </c>
      <c r="I509" s="610"/>
      <c r="J509" s="610"/>
      <c r="K509" s="93"/>
      <c r="L509" s="93"/>
      <c r="M509" s="93"/>
      <c r="N509" s="93">
        <v>0</v>
      </c>
      <c r="O509" s="93"/>
      <c r="P509" s="93"/>
      <c r="Q509" s="597"/>
      <c r="R509" s="597"/>
      <c r="S509" s="597"/>
      <c r="T509" s="597"/>
      <c r="U509" s="597"/>
      <c r="V509" s="597"/>
      <c r="W509" s="597"/>
      <c r="X509" s="597"/>
      <c r="Y509" s="597"/>
      <c r="Z509" s="597"/>
    </row>
    <row r="510" spans="1:26" ht="18.75" hidden="1">
      <c r="A510" s="642"/>
      <c r="B510" s="600"/>
      <c r="C510" s="600"/>
      <c r="D510" s="600"/>
      <c r="E510" s="750"/>
      <c r="F510" s="750" t="s">
        <v>188</v>
      </c>
      <c r="G510" s="596"/>
      <c r="H510" s="165" t="s">
        <v>12</v>
      </c>
      <c r="I510" s="610"/>
      <c r="J510" s="610"/>
      <c r="K510" s="93"/>
      <c r="L510" s="93"/>
      <c r="M510" s="93"/>
      <c r="N510" s="93">
        <v>0</v>
      </c>
      <c r="O510" s="93"/>
      <c r="P510" s="93"/>
      <c r="Q510" s="597"/>
      <c r="R510" s="597"/>
      <c r="S510" s="597"/>
      <c r="T510" s="597"/>
      <c r="U510" s="597"/>
      <c r="V510" s="597"/>
      <c r="W510" s="597"/>
      <c r="X510" s="597"/>
      <c r="Y510" s="597"/>
      <c r="Z510" s="597"/>
    </row>
    <row r="511" spans="1:26" ht="18.75" hidden="1">
      <c r="A511" s="642"/>
      <c r="B511" s="600"/>
      <c r="C511" s="600"/>
      <c r="D511" s="600"/>
      <c r="E511" s="750"/>
      <c r="F511" s="750" t="s">
        <v>189</v>
      </c>
      <c r="G511" s="596"/>
      <c r="H511" s="165" t="s">
        <v>12</v>
      </c>
      <c r="I511" s="610"/>
      <c r="J511" s="610"/>
      <c r="K511" s="93"/>
      <c r="L511" s="93"/>
      <c r="M511" s="93"/>
      <c r="N511" s="93">
        <v>0</v>
      </c>
      <c r="O511" s="93"/>
      <c r="P511" s="93"/>
      <c r="Q511" s="597"/>
      <c r="R511" s="597"/>
      <c r="S511" s="597"/>
      <c r="T511" s="597"/>
      <c r="U511" s="597"/>
      <c r="V511" s="597"/>
      <c r="W511" s="597"/>
      <c r="X511" s="597"/>
      <c r="Y511" s="597"/>
      <c r="Z511" s="597"/>
    </row>
    <row r="512" spans="1:26" ht="18.75" hidden="1">
      <c r="A512" s="592"/>
      <c r="B512" s="600"/>
      <c r="C512" s="600"/>
      <c r="D512" s="641" t="s">
        <v>21</v>
      </c>
      <c r="E512" s="600"/>
      <c r="F512" s="750"/>
      <c r="G512" s="596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597"/>
      <c r="R512" s="597"/>
      <c r="S512" s="597"/>
      <c r="T512" s="597"/>
      <c r="U512" s="597"/>
      <c r="V512" s="597"/>
      <c r="W512" s="597"/>
      <c r="X512" s="597"/>
      <c r="Y512" s="597"/>
      <c r="Z512" s="597"/>
    </row>
    <row r="513" spans="1:26" ht="18.75" hidden="1">
      <c r="A513" s="592"/>
      <c r="B513" s="600"/>
      <c r="C513" s="600"/>
      <c r="D513" s="600"/>
      <c r="E513" s="600" t="s">
        <v>18</v>
      </c>
      <c r="F513" s="750"/>
      <c r="G513" s="596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597"/>
      <c r="R513" s="597"/>
      <c r="S513" s="597"/>
      <c r="T513" s="597"/>
      <c r="U513" s="597"/>
      <c r="V513" s="597"/>
      <c r="W513" s="597"/>
      <c r="X513" s="597"/>
      <c r="Y513" s="597"/>
      <c r="Z513" s="597"/>
    </row>
    <row r="514" spans="1:26" ht="18.75" hidden="1">
      <c r="A514" s="592"/>
      <c r="B514" s="600"/>
      <c r="C514" s="600"/>
      <c r="D514" s="750"/>
      <c r="E514" s="600" t="s">
        <v>19</v>
      </c>
      <c r="F514" s="750"/>
      <c r="G514" s="596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597"/>
      <c r="R514" s="597"/>
      <c r="S514" s="597"/>
      <c r="T514" s="597"/>
      <c r="U514" s="597"/>
      <c r="V514" s="597"/>
      <c r="W514" s="597"/>
      <c r="X514" s="597"/>
      <c r="Y514" s="597"/>
      <c r="Z514" s="597"/>
    </row>
    <row r="515" spans="1:26" ht="19.5" hidden="1">
      <c r="A515" s="607"/>
      <c r="B515" s="609"/>
      <c r="C515" s="600" t="s">
        <v>16</v>
      </c>
      <c r="D515" s="838" t="s">
        <v>38</v>
      </c>
      <c r="E515" s="644"/>
      <c r="F515" s="644"/>
      <c r="G515" s="645"/>
      <c r="H515" s="365"/>
      <c r="I515" s="166"/>
      <c r="J515" s="166"/>
      <c r="K515" s="167"/>
      <c r="L515" s="167"/>
      <c r="M515" s="167"/>
      <c r="N515" s="167"/>
      <c r="O515" s="167"/>
      <c r="P515" s="167"/>
      <c r="Q515" s="597"/>
      <c r="R515" s="597"/>
      <c r="S515" s="597"/>
      <c r="T515" s="597"/>
      <c r="U515" s="597"/>
      <c r="V515" s="597"/>
      <c r="W515" s="597"/>
      <c r="X515" s="597"/>
      <c r="Y515" s="597"/>
      <c r="Z515" s="597"/>
    </row>
    <row r="516" spans="1:26" ht="18.75" hidden="1">
      <c r="A516" s="607"/>
      <c r="B516" s="609"/>
      <c r="C516" s="609"/>
      <c r="D516" s="609" t="s">
        <v>221</v>
      </c>
      <c r="E516" s="711"/>
      <c r="F516" s="711"/>
      <c r="G516" s="365"/>
      <c r="H516" s="646" t="s">
        <v>109</v>
      </c>
      <c r="I516" s="610"/>
      <c r="J516" s="610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597"/>
      <c r="R516" s="597"/>
      <c r="S516" s="597"/>
      <c r="T516" s="597"/>
      <c r="U516" s="597"/>
      <c r="V516" s="597"/>
      <c r="W516" s="597"/>
      <c r="X516" s="597"/>
      <c r="Y516" s="597"/>
      <c r="Z516" s="597"/>
    </row>
    <row r="517" spans="1:26" ht="19.5" hidden="1">
      <c r="A517" s="607"/>
      <c r="B517" s="609"/>
      <c r="C517" s="609"/>
      <c r="D517" s="609" t="s">
        <v>222</v>
      </c>
      <c r="E517" s="711"/>
      <c r="F517" s="711"/>
      <c r="G517" s="365"/>
      <c r="H517" s="647" t="s">
        <v>35</v>
      </c>
      <c r="I517" s="648"/>
      <c r="J517" s="648">
        <f>J518+J519</f>
        <v>0</v>
      </c>
      <c r="K517" s="649">
        <f t="shared" si="224"/>
        <v>0</v>
      </c>
      <c r="L517" s="167"/>
      <c r="M517" s="167"/>
      <c r="N517" s="167"/>
      <c r="O517" s="167"/>
      <c r="P517" s="167"/>
      <c r="Q517" s="597"/>
      <c r="R517" s="597"/>
      <c r="S517" s="597"/>
      <c r="T517" s="597"/>
      <c r="U517" s="597"/>
      <c r="V517" s="597"/>
      <c r="W517" s="597"/>
      <c r="X517" s="597"/>
      <c r="Y517" s="597"/>
      <c r="Z517" s="597"/>
    </row>
    <row r="518" spans="1:26" ht="18.75" hidden="1">
      <c r="A518" s="607"/>
      <c r="B518" s="609"/>
      <c r="C518" s="609"/>
      <c r="D518" s="609"/>
      <c r="E518" s="609" t="s">
        <v>223</v>
      </c>
      <c r="F518" s="711"/>
      <c r="G518" s="365"/>
      <c r="H518" s="369" t="s">
        <v>35</v>
      </c>
      <c r="I518" s="610"/>
      <c r="J518" s="610"/>
      <c r="K518" s="167"/>
      <c r="L518" s="167"/>
      <c r="M518" s="167"/>
      <c r="N518" s="167"/>
      <c r="O518" s="167"/>
      <c r="P518" s="167"/>
      <c r="Q518" s="597"/>
      <c r="R518" s="597"/>
      <c r="S518" s="597"/>
      <c r="T518" s="597"/>
      <c r="U518" s="597"/>
      <c r="V518" s="597"/>
      <c r="W518" s="597"/>
      <c r="X518" s="597"/>
      <c r="Y518" s="597"/>
      <c r="Z518" s="597"/>
    </row>
    <row r="519" spans="1:26" ht="18.75" hidden="1">
      <c r="A519" s="607"/>
      <c r="B519" s="609"/>
      <c r="C519" s="609"/>
      <c r="D519" s="609"/>
      <c r="E519" s="609" t="s">
        <v>224</v>
      </c>
      <c r="F519" s="711"/>
      <c r="G519" s="365"/>
      <c r="H519" s="646" t="s">
        <v>35</v>
      </c>
      <c r="I519" s="610"/>
      <c r="J519" s="610"/>
      <c r="K519" s="167"/>
      <c r="L519" s="167"/>
      <c r="M519" s="167"/>
      <c r="N519" s="167"/>
      <c r="O519" s="167"/>
      <c r="P519" s="167"/>
      <c r="Q519" s="597"/>
      <c r="R519" s="597"/>
      <c r="S519" s="597"/>
      <c r="T519" s="597"/>
      <c r="U519" s="597"/>
      <c r="V519" s="597"/>
      <c r="W519" s="597"/>
      <c r="X519" s="597"/>
      <c r="Y519" s="597"/>
      <c r="Z519" s="597"/>
    </row>
    <row r="520" spans="1:26" ht="19.5" hidden="1">
      <c r="A520" s="650" t="s">
        <v>137</v>
      </c>
      <c r="B520" s="651"/>
      <c r="C520" s="651"/>
      <c r="D520" s="652"/>
      <c r="E520" s="652"/>
      <c r="F520" s="652"/>
      <c r="G520" s="653"/>
      <c r="H520" s="654"/>
      <c r="I520" s="655"/>
      <c r="J520" s="655"/>
      <c r="K520" s="656"/>
      <c r="L520" s="656"/>
      <c r="M520" s="656"/>
      <c r="N520" s="656"/>
      <c r="O520" s="656"/>
      <c r="P520" s="656"/>
    </row>
    <row r="521" spans="1:26" ht="19.5" hidden="1">
      <c r="A521" s="657">
        <v>5</v>
      </c>
      <c r="B521" s="658" t="s">
        <v>225</v>
      </c>
      <c r="C521" s="659"/>
      <c r="D521" s="660"/>
      <c r="E521" s="660"/>
      <c r="F521" s="660"/>
      <c r="G521" s="660"/>
      <c r="H521" s="661"/>
      <c r="I521" s="662"/>
      <c r="J521" s="662"/>
      <c r="K521" s="663"/>
      <c r="L521" s="663"/>
      <c r="M521" s="663"/>
      <c r="N521" s="663"/>
      <c r="O521" s="663"/>
      <c r="P521" s="663"/>
      <c r="Q521" s="571"/>
      <c r="R521" s="571"/>
      <c r="S521" s="571"/>
      <c r="T521" s="571"/>
      <c r="U521" s="571"/>
      <c r="V521" s="571"/>
      <c r="W521" s="571"/>
      <c r="X521" s="571"/>
      <c r="Y521" s="571"/>
      <c r="Z521" s="571"/>
    </row>
    <row r="522" spans="1:26" ht="19.5" hidden="1">
      <c r="A522" s="664"/>
      <c r="B522" s="665" t="s">
        <v>226</v>
      </c>
      <c r="C522" s="666"/>
      <c r="D522" s="666"/>
      <c r="E522" s="666"/>
      <c r="F522" s="666"/>
      <c r="G522" s="667"/>
      <c r="H522" s="668" t="s">
        <v>35</v>
      </c>
      <c r="I522" s="699">
        <f t="shared" ref="I522:J522" ca="1" si="225">I537</f>
        <v>0</v>
      </c>
      <c r="J522" s="699">
        <f t="shared" ca="1" si="225"/>
        <v>0</v>
      </c>
      <c r="K522" s="670">
        <f ca="1">IF(I522&gt;0,J522*100/I522,0)</f>
        <v>0</v>
      </c>
      <c r="L522" s="671"/>
      <c r="M522" s="671"/>
      <c r="N522" s="671"/>
      <c r="O522" s="671"/>
      <c r="P522" s="671"/>
      <c r="Q522" s="571"/>
      <c r="R522" s="571"/>
      <c r="S522" s="571"/>
      <c r="T522" s="571"/>
      <c r="U522" s="571"/>
      <c r="V522" s="571"/>
      <c r="W522" s="571"/>
      <c r="X522" s="571"/>
      <c r="Y522" s="571"/>
      <c r="Z522" s="571"/>
    </row>
    <row r="523" spans="1:26" ht="19.5" hidden="1">
      <c r="A523" s="590"/>
      <c r="B523" s="754"/>
      <c r="C523" s="754" t="s">
        <v>16</v>
      </c>
      <c r="D523" s="863" t="s">
        <v>17</v>
      </c>
      <c r="E523" s="857"/>
      <c r="F523" s="857"/>
      <c r="G523" s="189"/>
      <c r="H523" s="591" t="s">
        <v>12</v>
      </c>
      <c r="I523" s="269"/>
      <c r="J523" s="269"/>
      <c r="K523" s="496"/>
      <c r="L523" s="195">
        <f t="shared" ref="L523:N523" ca="1" si="226">L524+L525</f>
        <v>0</v>
      </c>
      <c r="M523" s="195">
        <f t="shared" si="226"/>
        <v>0</v>
      </c>
      <c r="N523" s="195">
        <f t="shared" si="226"/>
        <v>0</v>
      </c>
      <c r="O523" s="195">
        <f t="shared" ref="O523:O528" ca="1" si="227">IF(L523&gt;0,N523*100/L523,0)</f>
        <v>0</v>
      </c>
      <c r="P523" s="195">
        <f t="shared" ref="P523:P528" si="228">IF(M523&gt;0,N523*100/M523,0)</f>
        <v>0</v>
      </c>
      <c r="Q523" s="571"/>
      <c r="R523" s="571"/>
      <c r="S523" s="571"/>
      <c r="T523" s="571"/>
      <c r="U523" s="571"/>
      <c r="V523" s="571"/>
      <c r="W523" s="571"/>
      <c r="X523" s="571"/>
      <c r="Y523" s="571"/>
      <c r="Z523" s="571"/>
    </row>
    <row r="524" spans="1:26" ht="18.75" hidden="1">
      <c r="A524" s="592"/>
      <c r="B524" s="750"/>
      <c r="C524" s="750"/>
      <c r="D524" s="711"/>
      <c r="E524" s="750" t="s">
        <v>184</v>
      </c>
      <c r="F524" s="750"/>
      <c r="G524" s="596"/>
      <c r="H524" s="165" t="s">
        <v>12</v>
      </c>
      <c r="I524" s="610"/>
      <c r="J524" s="610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597"/>
      <c r="R524" s="597"/>
      <c r="S524" s="597"/>
      <c r="T524" s="597"/>
      <c r="U524" s="597"/>
      <c r="V524" s="597"/>
      <c r="W524" s="597"/>
      <c r="X524" s="597"/>
      <c r="Y524" s="597"/>
      <c r="Z524" s="597"/>
    </row>
    <row r="525" spans="1:26" ht="18.75" hidden="1">
      <c r="A525" s="592"/>
      <c r="B525" s="600"/>
      <c r="C525" s="750"/>
      <c r="D525" s="711"/>
      <c r="E525" s="750" t="s">
        <v>185</v>
      </c>
      <c r="F525" s="750"/>
      <c r="G525" s="596"/>
      <c r="H525" s="165" t="s">
        <v>12</v>
      </c>
      <c r="I525" s="610"/>
      <c r="J525" s="610"/>
      <c r="K525" s="93"/>
      <c r="L525" s="93">
        <f t="shared" ca="1" si="229"/>
        <v>0</v>
      </c>
      <c r="M525" s="93">
        <f t="shared" si="229"/>
        <v>0</v>
      </c>
      <c r="N525" s="93">
        <f t="shared" si="229"/>
        <v>0</v>
      </c>
      <c r="O525" s="93">
        <f t="shared" ca="1" si="227"/>
        <v>0</v>
      </c>
      <c r="P525" s="93">
        <f t="shared" si="228"/>
        <v>0</v>
      </c>
      <c r="Q525" s="597"/>
      <c r="R525" s="597"/>
      <c r="S525" s="597"/>
      <c r="T525" s="597"/>
      <c r="U525" s="597"/>
      <c r="V525" s="597"/>
      <c r="W525" s="597"/>
      <c r="X525" s="597"/>
      <c r="Y525" s="597"/>
      <c r="Z525" s="597"/>
    </row>
    <row r="526" spans="1:26" ht="18.75" hidden="1">
      <c r="A526" s="590"/>
      <c r="B526" s="568"/>
      <c r="C526" s="754"/>
      <c r="D526" s="599" t="s">
        <v>20</v>
      </c>
      <c r="E526" s="754"/>
      <c r="F526" s="754"/>
      <c r="G526" s="189"/>
      <c r="H526" s="161" t="s">
        <v>12</v>
      </c>
      <c r="I526" s="184"/>
      <c r="J526" s="184"/>
      <c r="K526" s="163"/>
      <c r="L526" s="496">
        <f t="shared" ref="L526:N526" ca="1" si="230">L527+L528</f>
        <v>0</v>
      </c>
      <c r="M526" s="496">
        <f t="shared" si="230"/>
        <v>0</v>
      </c>
      <c r="N526" s="496">
        <f t="shared" si="230"/>
        <v>0</v>
      </c>
      <c r="O526" s="496">
        <f t="shared" ca="1" si="227"/>
        <v>0</v>
      </c>
      <c r="P526" s="496">
        <f t="shared" si="228"/>
        <v>0</v>
      </c>
      <c r="Q526" s="571"/>
      <c r="R526" s="571"/>
      <c r="S526" s="571"/>
      <c r="T526" s="571"/>
      <c r="U526" s="571"/>
      <c r="V526" s="571"/>
      <c r="W526" s="571"/>
      <c r="X526" s="571"/>
      <c r="Y526" s="571"/>
      <c r="Z526" s="571"/>
    </row>
    <row r="527" spans="1:26" ht="18.75" hidden="1">
      <c r="A527" s="592"/>
      <c r="B527" s="600"/>
      <c r="C527" s="750"/>
      <c r="D527" s="711"/>
      <c r="E527" s="750" t="s">
        <v>184</v>
      </c>
      <c r="F527" s="750"/>
      <c r="G527" s="596"/>
      <c r="H527" s="165" t="s">
        <v>12</v>
      </c>
      <c r="I527" s="610"/>
      <c r="J527" s="610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597"/>
      <c r="R527" s="597"/>
      <c r="S527" s="597"/>
      <c r="T527" s="597"/>
      <c r="U527" s="597"/>
      <c r="V527" s="597"/>
      <c r="W527" s="597"/>
      <c r="X527" s="597"/>
      <c r="Y527" s="597"/>
      <c r="Z527" s="597"/>
    </row>
    <row r="528" spans="1:26" ht="18.75" hidden="1">
      <c r="A528" s="592"/>
      <c r="B528" s="600"/>
      <c r="C528" s="750"/>
      <c r="D528" s="711"/>
      <c r="E528" s="750" t="s">
        <v>185</v>
      </c>
      <c r="F528" s="750"/>
      <c r="G528" s="596"/>
      <c r="H528" s="165" t="s">
        <v>12</v>
      </c>
      <c r="I528" s="610"/>
      <c r="J528" s="610"/>
      <c r="K528" s="93"/>
      <c r="L528" s="93">
        <f ca="1">IFERROR(__xludf.DUMMYFUNCTION("IMPORTRANGE(""https://docs.google.com/spreadsheets/d/1QqKyyYR6Q21VydFLVH3TRQUabQu_ym0Zz7PgGX0-kHA/edit?usp=sharing"",""แผน!GQ54"")"),0)</f>
        <v>0</v>
      </c>
      <c r="M528" s="93">
        <v>0</v>
      </c>
      <c r="N528" s="93">
        <f>N529+N530+N531+N532</f>
        <v>0</v>
      </c>
      <c r="O528" s="93">
        <f t="shared" ca="1" si="227"/>
        <v>0</v>
      </c>
      <c r="P528" s="93">
        <f t="shared" si="228"/>
        <v>0</v>
      </c>
      <c r="Q528" s="597"/>
      <c r="R528" s="597"/>
      <c r="S528" s="597"/>
      <c r="T528" s="597"/>
      <c r="U528" s="597"/>
      <c r="V528" s="597"/>
      <c r="W528" s="597"/>
      <c r="X528" s="597"/>
      <c r="Y528" s="597"/>
      <c r="Z528" s="597"/>
    </row>
    <row r="529" spans="1:26" ht="18.75" hidden="1">
      <c r="A529" s="567"/>
      <c r="B529" s="568"/>
      <c r="C529" s="754"/>
      <c r="D529" s="754"/>
      <c r="E529" s="754"/>
      <c r="F529" s="754" t="s">
        <v>186</v>
      </c>
      <c r="G529" s="189"/>
      <c r="H529" s="161" t="s">
        <v>12</v>
      </c>
      <c r="I529" s="269"/>
      <c r="J529" s="269"/>
      <c r="K529" s="496"/>
      <c r="L529" s="496"/>
      <c r="M529" s="496"/>
      <c r="N529" s="817">
        <v>0</v>
      </c>
      <c r="O529" s="496"/>
      <c r="P529" s="496"/>
      <c r="Q529" s="571"/>
      <c r="R529" s="571"/>
      <c r="S529" s="571"/>
      <c r="T529" s="571"/>
      <c r="U529" s="571"/>
      <c r="V529" s="571"/>
      <c r="W529" s="571"/>
      <c r="X529" s="571"/>
      <c r="Y529" s="571"/>
      <c r="Z529" s="571"/>
    </row>
    <row r="530" spans="1:26" ht="18.75" hidden="1">
      <c r="A530" s="567"/>
      <c r="B530" s="568"/>
      <c r="C530" s="754"/>
      <c r="D530" s="754"/>
      <c r="E530" s="754"/>
      <c r="F530" s="754" t="s">
        <v>187</v>
      </c>
      <c r="G530" s="189"/>
      <c r="H530" s="161" t="s">
        <v>12</v>
      </c>
      <c r="I530" s="269"/>
      <c r="J530" s="269"/>
      <c r="K530" s="496"/>
      <c r="L530" s="496"/>
      <c r="M530" s="496"/>
      <c r="N530" s="817">
        <v>0</v>
      </c>
      <c r="O530" s="496"/>
      <c r="P530" s="496"/>
      <c r="Q530" s="571"/>
      <c r="R530" s="571"/>
      <c r="S530" s="571"/>
      <c r="T530" s="571"/>
      <c r="U530" s="571"/>
      <c r="V530" s="571"/>
      <c r="W530" s="571"/>
      <c r="X530" s="571"/>
      <c r="Y530" s="571"/>
      <c r="Z530" s="571"/>
    </row>
    <row r="531" spans="1:26" ht="18.75" hidden="1">
      <c r="A531" s="567"/>
      <c r="B531" s="568"/>
      <c r="C531" s="754"/>
      <c r="D531" s="754"/>
      <c r="E531" s="754"/>
      <c r="F531" s="754" t="s">
        <v>188</v>
      </c>
      <c r="G531" s="189"/>
      <c r="H531" s="161" t="s">
        <v>12</v>
      </c>
      <c r="I531" s="269"/>
      <c r="J531" s="269"/>
      <c r="K531" s="496"/>
      <c r="L531" s="496"/>
      <c r="M531" s="496"/>
      <c r="N531" s="817">
        <v>0</v>
      </c>
      <c r="O531" s="496"/>
      <c r="P531" s="496"/>
      <c r="Q531" s="571"/>
      <c r="R531" s="571"/>
      <c r="S531" s="571"/>
      <c r="T531" s="571"/>
      <c r="U531" s="571"/>
      <c r="V531" s="571"/>
      <c r="W531" s="571"/>
      <c r="X531" s="571"/>
      <c r="Y531" s="571"/>
      <c r="Z531" s="571"/>
    </row>
    <row r="532" spans="1:26" ht="18.75" hidden="1">
      <c r="A532" s="567"/>
      <c r="B532" s="568"/>
      <c r="C532" s="754"/>
      <c r="D532" s="754"/>
      <c r="E532" s="754"/>
      <c r="F532" s="754" t="s">
        <v>189</v>
      </c>
      <c r="G532" s="189"/>
      <c r="H532" s="161" t="s">
        <v>12</v>
      </c>
      <c r="I532" s="269"/>
      <c r="J532" s="269"/>
      <c r="K532" s="496"/>
      <c r="L532" s="496"/>
      <c r="M532" s="496"/>
      <c r="N532" s="817">
        <v>0</v>
      </c>
      <c r="O532" s="496"/>
      <c r="P532" s="496"/>
      <c r="Q532" s="571"/>
      <c r="R532" s="571"/>
      <c r="S532" s="571"/>
      <c r="T532" s="571"/>
      <c r="U532" s="571"/>
      <c r="V532" s="571"/>
      <c r="W532" s="571"/>
      <c r="X532" s="571"/>
      <c r="Y532" s="571"/>
      <c r="Z532" s="571"/>
    </row>
    <row r="533" spans="1:26" ht="18.75" hidden="1">
      <c r="A533" s="590"/>
      <c r="B533" s="568"/>
      <c r="C533" s="754"/>
      <c r="D533" s="599" t="s">
        <v>21</v>
      </c>
      <c r="E533" s="754"/>
      <c r="F533" s="754"/>
      <c r="G533" s="189"/>
      <c r="H533" s="168" t="s">
        <v>12</v>
      </c>
      <c r="I533" s="184"/>
      <c r="J533" s="184"/>
      <c r="K533" s="163"/>
      <c r="L533" s="496">
        <f t="shared" ref="L533:N533" ca="1" si="231">L534+L535</f>
        <v>0</v>
      </c>
      <c r="M533" s="496">
        <f t="shared" si="231"/>
        <v>0</v>
      </c>
      <c r="N533" s="496">
        <f t="shared" si="231"/>
        <v>0</v>
      </c>
      <c r="O533" s="496">
        <f t="shared" ref="O533:O535" ca="1" si="232">IF(L533&gt;0,N533*100/L533,0)</f>
        <v>0</v>
      </c>
      <c r="P533" s="496">
        <f t="shared" ref="P533:P535" si="233">IF(M533&gt;0,N533*100/M533,0)</f>
        <v>0</v>
      </c>
      <c r="Q533" s="571"/>
      <c r="R533" s="571"/>
      <c r="S533" s="571"/>
      <c r="T533" s="571"/>
      <c r="U533" s="571"/>
      <c r="V533" s="571"/>
      <c r="W533" s="571"/>
      <c r="X533" s="571"/>
      <c r="Y533" s="571"/>
      <c r="Z533" s="571"/>
    </row>
    <row r="534" spans="1:26" ht="18.75" hidden="1">
      <c r="A534" s="592"/>
      <c r="B534" s="600"/>
      <c r="C534" s="750"/>
      <c r="D534" s="750"/>
      <c r="E534" s="750" t="s">
        <v>18</v>
      </c>
      <c r="F534" s="750"/>
      <c r="G534" s="596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597"/>
      <c r="R534" s="597"/>
      <c r="S534" s="597"/>
      <c r="T534" s="597"/>
      <c r="U534" s="597"/>
      <c r="V534" s="597"/>
      <c r="W534" s="597"/>
      <c r="X534" s="597"/>
      <c r="Y534" s="597"/>
      <c r="Z534" s="597"/>
    </row>
    <row r="535" spans="1:26" ht="18.75" hidden="1">
      <c r="A535" s="592"/>
      <c r="B535" s="600"/>
      <c r="C535" s="750"/>
      <c r="D535" s="750"/>
      <c r="E535" s="750" t="s">
        <v>19</v>
      </c>
      <c r="F535" s="750"/>
      <c r="G535" s="596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IFERROR(__xludf.DUMMYFUNCTION("IMPORTRANGE(""https://docs.google.com/spreadsheets/d/1QqKyyYR6Q21VydFLVH3TRQUabQu_ym0Zz7PgGX0-kHA/edit?usp=sharing"",""แผน!GT54"")"),0)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597"/>
      <c r="R535" s="597"/>
      <c r="S535" s="597"/>
      <c r="T535" s="597"/>
      <c r="U535" s="597"/>
      <c r="V535" s="597"/>
      <c r="W535" s="597"/>
      <c r="X535" s="597"/>
      <c r="Y535" s="597"/>
      <c r="Z535" s="597"/>
    </row>
    <row r="536" spans="1:26" ht="19.5" hidden="1">
      <c r="A536" s="601"/>
      <c r="B536" s="611"/>
      <c r="C536" s="754" t="s">
        <v>16</v>
      </c>
      <c r="D536" s="839" t="s">
        <v>38</v>
      </c>
      <c r="E536" s="752"/>
      <c r="F536" s="752"/>
      <c r="G536" s="606"/>
      <c r="H536" s="753"/>
      <c r="I536" s="184"/>
      <c r="J536" s="184"/>
      <c r="K536" s="163"/>
      <c r="L536" s="163"/>
      <c r="M536" s="163"/>
      <c r="N536" s="163"/>
      <c r="O536" s="163"/>
      <c r="P536" s="163"/>
      <c r="Q536" s="571"/>
      <c r="R536" s="571"/>
      <c r="S536" s="571"/>
      <c r="T536" s="571"/>
      <c r="U536" s="571"/>
      <c r="V536" s="571"/>
      <c r="W536" s="571"/>
      <c r="X536" s="571"/>
      <c r="Y536" s="571"/>
      <c r="Z536" s="571"/>
    </row>
    <row r="537" spans="1:26" ht="19.5" hidden="1">
      <c r="A537" s="567"/>
      <c r="B537" s="568"/>
      <c r="C537" s="754"/>
      <c r="D537" s="754" t="s">
        <v>227</v>
      </c>
      <c r="E537" s="754"/>
      <c r="F537" s="754"/>
      <c r="G537" s="189"/>
      <c r="H537" s="616" t="s">
        <v>35</v>
      </c>
      <c r="I537" s="674">
        <f ca="1">IFERROR(__xludf.DUMMYFUNCTION("IMPORTRANGE(""https://docs.google.com/spreadsheets/d/1QqKyyYR6Q21VydFLVH3TRQUabQu_ym0Zz7PgGX0-kHA/edit?usp=sharing"",""แผน!GU54"")"),0)</f>
        <v>0</v>
      </c>
      <c r="J537" s="674">
        <f ca="1">IF(AND(J538=I538,J539=I539,J540=I540,J541=I541),I537,0)</f>
        <v>0</v>
      </c>
      <c r="K537" s="496">
        <f t="shared" ref="K537:K543" ca="1" si="234">IF(I537&gt;0,J537*100/I537,0)</f>
        <v>0</v>
      </c>
      <c r="L537" s="496"/>
      <c r="M537" s="496"/>
      <c r="N537" s="496"/>
      <c r="O537" s="496"/>
      <c r="P537" s="496"/>
      <c r="Q537" s="675"/>
      <c r="R537" s="675"/>
      <c r="S537" s="675"/>
      <c r="T537" s="675"/>
      <c r="U537" s="675"/>
      <c r="V537" s="675"/>
      <c r="W537" s="675"/>
      <c r="X537" s="675"/>
      <c r="Y537" s="675"/>
      <c r="Z537" s="675"/>
    </row>
    <row r="538" spans="1:26" ht="18.75" hidden="1">
      <c r="A538" s="567"/>
      <c r="B538" s="568"/>
      <c r="C538" s="754"/>
      <c r="D538" s="754"/>
      <c r="E538" s="754" t="s">
        <v>228</v>
      </c>
      <c r="F538" s="754"/>
      <c r="G538" s="189"/>
      <c r="H538" s="616" t="s">
        <v>35</v>
      </c>
      <c r="I538" s="269">
        <f ca="1">IFERROR(__xludf.DUMMYFUNCTION("IMPORTRANGE(""https://docs.google.com/spreadsheets/d/1QqKyyYR6Q21VydFLVH3TRQUabQu_ym0Zz7PgGX0-kHA/edit?usp=sharing"",""แผน!GV54"")"),0)</f>
        <v>0</v>
      </c>
      <c r="J538" s="214">
        <v>0</v>
      </c>
      <c r="K538" s="496">
        <f t="shared" ca="1" si="234"/>
        <v>0</v>
      </c>
      <c r="L538" s="496"/>
      <c r="M538" s="496"/>
      <c r="N538" s="496"/>
      <c r="O538" s="496"/>
      <c r="P538" s="496"/>
      <c r="Q538" s="675"/>
      <c r="R538" s="675"/>
      <c r="S538" s="675"/>
      <c r="T538" s="675"/>
      <c r="U538" s="675"/>
      <c r="V538" s="675"/>
      <c r="W538" s="675"/>
      <c r="X538" s="675"/>
      <c r="Y538" s="675"/>
      <c r="Z538" s="675"/>
    </row>
    <row r="539" spans="1:26" ht="18.75" hidden="1">
      <c r="A539" s="567"/>
      <c r="B539" s="568"/>
      <c r="C539" s="754"/>
      <c r="D539" s="754"/>
      <c r="E539" s="754" t="s">
        <v>229</v>
      </c>
      <c r="F539" s="754"/>
      <c r="G539" s="189"/>
      <c r="H539" s="616" t="s">
        <v>35</v>
      </c>
      <c r="I539" s="269">
        <f ca="1">IFERROR(__xludf.DUMMYFUNCTION("IMPORTRANGE(""https://docs.google.com/spreadsheets/d/1QqKyyYR6Q21VydFLVH3TRQUabQu_ym0Zz7PgGX0-kHA/edit?usp=sharing"",""แผน!GW54"")"),0)</f>
        <v>0</v>
      </c>
      <c r="J539" s="214">
        <v>0</v>
      </c>
      <c r="K539" s="496">
        <f t="shared" ca="1" si="234"/>
        <v>0</v>
      </c>
      <c r="L539" s="496"/>
      <c r="M539" s="496"/>
      <c r="N539" s="496"/>
      <c r="O539" s="496"/>
      <c r="P539" s="496"/>
      <c r="Q539" s="675"/>
      <c r="R539" s="675"/>
      <c r="S539" s="675"/>
      <c r="T539" s="675"/>
      <c r="U539" s="675"/>
      <c r="V539" s="675"/>
      <c r="W539" s="675"/>
      <c r="X539" s="675"/>
      <c r="Y539" s="675"/>
      <c r="Z539" s="675"/>
    </row>
    <row r="540" spans="1:26" ht="18.75" hidden="1">
      <c r="A540" s="567"/>
      <c r="B540" s="568"/>
      <c r="C540" s="754"/>
      <c r="D540" s="754"/>
      <c r="E540" s="754" t="s">
        <v>230</v>
      </c>
      <c r="F540" s="754"/>
      <c r="G540" s="189"/>
      <c r="H540" s="616" t="s">
        <v>35</v>
      </c>
      <c r="I540" s="269">
        <f ca="1">IFERROR(__xludf.DUMMYFUNCTION("IMPORTRANGE(""https://docs.google.com/spreadsheets/d/1QqKyyYR6Q21VydFLVH3TRQUabQu_ym0Zz7PgGX0-kHA/edit?usp=sharing"",""แผน!GX54"")"),0)</f>
        <v>0</v>
      </c>
      <c r="J540" s="214">
        <v>0</v>
      </c>
      <c r="K540" s="496">
        <f t="shared" ca="1" si="234"/>
        <v>0</v>
      </c>
      <c r="L540" s="496"/>
      <c r="M540" s="496"/>
      <c r="N540" s="496"/>
      <c r="O540" s="496"/>
      <c r="P540" s="496"/>
      <c r="Q540" s="675"/>
      <c r="R540" s="675"/>
      <c r="S540" s="675"/>
      <c r="T540" s="675"/>
      <c r="U540" s="675"/>
      <c r="V540" s="675"/>
      <c r="W540" s="675"/>
      <c r="X540" s="675"/>
      <c r="Y540" s="675"/>
      <c r="Z540" s="675"/>
    </row>
    <row r="541" spans="1:26" ht="18.75" hidden="1">
      <c r="A541" s="567"/>
      <c r="B541" s="568"/>
      <c r="C541" s="754"/>
      <c r="D541" s="754"/>
      <c r="E541" s="760" t="s">
        <v>231</v>
      </c>
      <c r="F541" s="754"/>
      <c r="G541" s="189"/>
      <c r="H541" s="616" t="s">
        <v>35</v>
      </c>
      <c r="I541" s="269">
        <f ca="1">IFERROR(__xludf.DUMMYFUNCTION("IMPORTRANGE(""https://docs.google.com/spreadsheets/d/1QqKyyYR6Q21VydFLVH3TRQUabQu_ym0Zz7PgGX0-kHA/edit?usp=sharing"",""แผน!GY54"")"),0)</f>
        <v>0</v>
      </c>
      <c r="J541" s="214">
        <v>0</v>
      </c>
      <c r="K541" s="496">
        <f t="shared" ca="1" si="234"/>
        <v>0</v>
      </c>
      <c r="L541" s="496"/>
      <c r="M541" s="496"/>
      <c r="N541" s="496"/>
      <c r="O541" s="496"/>
      <c r="P541" s="496"/>
      <c r="Q541" s="675"/>
      <c r="R541" s="675"/>
      <c r="S541" s="675"/>
      <c r="T541" s="675"/>
      <c r="U541" s="675"/>
      <c r="V541" s="675"/>
      <c r="W541" s="675"/>
      <c r="X541" s="675"/>
      <c r="Y541" s="675"/>
      <c r="Z541" s="675"/>
    </row>
    <row r="542" spans="1:26" ht="18.75" hidden="1">
      <c r="A542" s="567"/>
      <c r="B542" s="568"/>
      <c r="C542" s="754"/>
      <c r="D542" s="754" t="s">
        <v>59</v>
      </c>
      <c r="E542" s="754"/>
      <c r="F542" s="754"/>
      <c r="G542" s="189"/>
      <c r="H542" s="616" t="s">
        <v>35</v>
      </c>
      <c r="I542" s="269">
        <f ca="1">IFERROR(__xludf.DUMMYFUNCTION("IMPORTRANGE(""https://docs.google.com/spreadsheets/d/1QqKyyYR6Q21VydFLVH3TRQUabQu_ym0Zz7PgGX0-kHA/edit?usp=sharing"",""แผน!GZ54"")"),0)</f>
        <v>0</v>
      </c>
      <c r="J542" s="214">
        <v>0</v>
      </c>
      <c r="K542" s="496">
        <f t="shared" ca="1" si="234"/>
        <v>0</v>
      </c>
      <c r="L542" s="496"/>
      <c r="M542" s="496"/>
      <c r="N542" s="496"/>
      <c r="O542" s="496"/>
      <c r="P542" s="496"/>
      <c r="Q542" s="675"/>
      <c r="R542" s="675"/>
      <c r="S542" s="675"/>
      <c r="T542" s="675"/>
      <c r="U542" s="675"/>
      <c r="V542" s="675"/>
      <c r="W542" s="675"/>
      <c r="X542" s="675"/>
      <c r="Y542" s="675"/>
      <c r="Z542" s="675"/>
    </row>
    <row r="543" spans="1:26" ht="19.5">
      <c r="A543" s="657">
        <v>6</v>
      </c>
      <c r="B543" s="678" t="s">
        <v>232</v>
      </c>
      <c r="C543" s="660"/>
      <c r="D543" s="660"/>
      <c r="E543" s="660"/>
      <c r="F543" s="660"/>
      <c r="G543" s="661"/>
      <c r="H543" s="679" t="s">
        <v>46</v>
      </c>
      <c r="I543" s="680">
        <f t="shared" ref="I543:J543" ca="1" si="235">I559</f>
        <v>0</v>
      </c>
      <c r="J543" s="680">
        <f t="shared" si="235"/>
        <v>0</v>
      </c>
      <c r="K543" s="681">
        <f t="shared" ca="1" si="234"/>
        <v>0</v>
      </c>
      <c r="L543" s="663"/>
      <c r="M543" s="663"/>
      <c r="N543" s="663"/>
      <c r="O543" s="663"/>
      <c r="P543" s="663"/>
      <c r="Q543" s="571"/>
      <c r="R543" s="571"/>
      <c r="S543" s="571"/>
      <c r="T543" s="571"/>
      <c r="U543" s="571"/>
      <c r="V543" s="571"/>
      <c r="W543" s="571"/>
      <c r="X543" s="571"/>
      <c r="Y543" s="571"/>
      <c r="Z543" s="571"/>
    </row>
    <row r="544" spans="1:26" ht="19.5">
      <c r="A544" s="682"/>
      <c r="B544" s="683"/>
      <c r="C544" s="683" t="s">
        <v>16</v>
      </c>
      <c r="D544" s="867" t="s">
        <v>17</v>
      </c>
      <c r="E544" s="862"/>
      <c r="F544" s="862"/>
      <c r="G544" s="684"/>
      <c r="H544" s="274" t="s">
        <v>12</v>
      </c>
      <c r="I544" s="419"/>
      <c r="J544" s="419"/>
      <c r="K544" s="154"/>
      <c r="L544" s="155">
        <f t="shared" ref="L544:N544" ca="1" si="236">L545+L546</f>
        <v>219500</v>
      </c>
      <c r="M544" s="155">
        <f t="shared" si="236"/>
        <v>0</v>
      </c>
      <c r="N544" s="155">
        <f t="shared" si="236"/>
        <v>31598</v>
      </c>
      <c r="O544" s="155">
        <f t="shared" ref="O544:O549" ca="1" si="237">IF(L544&gt;0,N544*100/L544,0)</f>
        <v>14.395444191343964</v>
      </c>
      <c r="P544" s="155">
        <f t="shared" ref="P544:P549" si="238">IF(M544&gt;0,N544*100/M544,0)</f>
        <v>0</v>
      </c>
      <c r="Q544" s="571"/>
      <c r="R544" s="571"/>
      <c r="S544" s="571"/>
      <c r="T544" s="571"/>
      <c r="U544" s="571"/>
      <c r="V544" s="571"/>
      <c r="W544" s="571"/>
      <c r="X544" s="571"/>
      <c r="Y544" s="571"/>
      <c r="Z544" s="571"/>
    </row>
    <row r="545" spans="1:26" ht="18.75" hidden="1">
      <c r="A545" s="592"/>
      <c r="B545" s="750"/>
      <c r="C545" s="750"/>
      <c r="D545" s="750"/>
      <c r="E545" s="750" t="s">
        <v>184</v>
      </c>
      <c r="F545" s="750"/>
      <c r="G545" s="596"/>
      <c r="H545" s="165" t="s">
        <v>12</v>
      </c>
      <c r="I545" s="610"/>
      <c r="J545" s="610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597"/>
      <c r="R545" s="597"/>
      <c r="S545" s="597"/>
      <c r="T545" s="597"/>
      <c r="U545" s="597"/>
      <c r="V545" s="597"/>
      <c r="W545" s="597"/>
      <c r="X545" s="597"/>
      <c r="Y545" s="597"/>
      <c r="Z545" s="597"/>
    </row>
    <row r="546" spans="1:26" ht="18.75" hidden="1">
      <c r="A546" s="592"/>
      <c r="B546" s="600"/>
      <c r="C546" s="750"/>
      <c r="D546" s="750"/>
      <c r="E546" s="750" t="s">
        <v>185</v>
      </c>
      <c r="F546" s="750"/>
      <c r="G546" s="596"/>
      <c r="H546" s="165" t="s">
        <v>12</v>
      </c>
      <c r="I546" s="610"/>
      <c r="J546" s="610"/>
      <c r="K546" s="93"/>
      <c r="L546" s="93">
        <f t="shared" ca="1" si="239"/>
        <v>219500</v>
      </c>
      <c r="M546" s="93">
        <f t="shared" si="240"/>
        <v>0</v>
      </c>
      <c r="N546" s="93">
        <f t="shared" si="240"/>
        <v>31598</v>
      </c>
      <c r="O546" s="93">
        <f t="shared" ca="1" si="237"/>
        <v>14.395444191343964</v>
      </c>
      <c r="P546" s="93">
        <f t="shared" si="238"/>
        <v>0</v>
      </c>
      <c r="Q546" s="597"/>
      <c r="R546" s="597"/>
      <c r="S546" s="597"/>
      <c r="T546" s="597"/>
      <c r="U546" s="597"/>
      <c r="V546" s="597"/>
      <c r="W546" s="597"/>
      <c r="X546" s="597"/>
      <c r="Y546" s="597"/>
      <c r="Z546" s="597"/>
    </row>
    <row r="547" spans="1:26" ht="18.75">
      <c r="A547" s="590"/>
      <c r="B547" s="568"/>
      <c r="C547" s="754"/>
      <c r="D547" s="599" t="s">
        <v>20</v>
      </c>
      <c r="E547" s="754"/>
      <c r="F547" s="754"/>
      <c r="G547" s="189"/>
      <c r="H547" s="161" t="s">
        <v>12</v>
      </c>
      <c r="I547" s="184"/>
      <c r="J547" s="184"/>
      <c r="K547" s="163"/>
      <c r="L547" s="496">
        <f t="shared" ref="L547:N547" ca="1" si="241">L548+L549</f>
        <v>219500</v>
      </c>
      <c r="M547" s="496">
        <f t="shared" si="241"/>
        <v>0</v>
      </c>
      <c r="N547" s="496">
        <f t="shared" si="241"/>
        <v>31598</v>
      </c>
      <c r="O547" s="496">
        <f t="shared" ca="1" si="237"/>
        <v>14.395444191343964</v>
      </c>
      <c r="P547" s="496">
        <f t="shared" si="238"/>
        <v>0</v>
      </c>
      <c r="Q547" s="571"/>
      <c r="R547" s="571"/>
      <c r="S547" s="571"/>
      <c r="T547" s="571"/>
      <c r="U547" s="571"/>
      <c r="V547" s="571"/>
      <c r="W547" s="571"/>
      <c r="X547" s="571"/>
      <c r="Y547" s="571"/>
      <c r="Z547" s="571"/>
    </row>
    <row r="548" spans="1:26" ht="18.75" hidden="1">
      <c r="A548" s="592"/>
      <c r="B548" s="600"/>
      <c r="C548" s="750"/>
      <c r="D548" s="711"/>
      <c r="E548" s="750" t="s">
        <v>184</v>
      </c>
      <c r="F548" s="750"/>
      <c r="G548" s="596"/>
      <c r="H548" s="165" t="s">
        <v>12</v>
      </c>
      <c r="I548" s="610"/>
      <c r="J548" s="610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597"/>
      <c r="R548" s="597"/>
      <c r="S548" s="597"/>
      <c r="T548" s="597"/>
      <c r="U548" s="597"/>
      <c r="V548" s="597"/>
      <c r="W548" s="597"/>
      <c r="X548" s="597"/>
      <c r="Y548" s="597"/>
      <c r="Z548" s="597"/>
    </row>
    <row r="549" spans="1:26" ht="18.75" hidden="1">
      <c r="A549" s="592"/>
      <c r="B549" s="600"/>
      <c r="C549" s="750"/>
      <c r="D549" s="711"/>
      <c r="E549" s="750" t="s">
        <v>185</v>
      </c>
      <c r="F549" s="750"/>
      <c r="G549" s="596"/>
      <c r="H549" s="165" t="s">
        <v>12</v>
      </c>
      <c r="I549" s="610"/>
      <c r="J549" s="610"/>
      <c r="K549" s="93"/>
      <c r="L549" s="93">
        <f ca="1">IFERROR(__xludf.DUMMYFUNCTION("IMPORTRANGE(""https://docs.google.com/spreadsheets/d/1QqKyyYR6Q21VydFLVH3TRQUabQu_ym0Zz7PgGX0-kHA/edit?usp=sharing"",""แผน!HB54"")"),219500)</f>
        <v>219500</v>
      </c>
      <c r="M549" s="93">
        <v>0</v>
      </c>
      <c r="N549" s="93">
        <f>N550+N551+N552+N553+N554</f>
        <v>31598</v>
      </c>
      <c r="O549" s="93">
        <f t="shared" ca="1" si="237"/>
        <v>14.395444191343964</v>
      </c>
      <c r="P549" s="93">
        <f t="shared" si="238"/>
        <v>0</v>
      </c>
      <c r="Q549" s="597"/>
      <c r="R549" s="597"/>
      <c r="S549" s="597"/>
      <c r="T549" s="597"/>
      <c r="U549" s="597"/>
      <c r="V549" s="597"/>
      <c r="W549" s="597"/>
      <c r="X549" s="597"/>
      <c r="Y549" s="597"/>
      <c r="Z549" s="597"/>
    </row>
    <row r="550" spans="1:26" ht="18.75">
      <c r="A550" s="567"/>
      <c r="B550" s="568"/>
      <c r="C550" s="754"/>
      <c r="D550" s="754"/>
      <c r="E550" s="754"/>
      <c r="F550" s="754" t="s">
        <v>186</v>
      </c>
      <c r="G550" s="189"/>
      <c r="H550" s="161" t="s">
        <v>12</v>
      </c>
      <c r="I550" s="269"/>
      <c r="J550" s="269"/>
      <c r="K550" s="496"/>
      <c r="L550" s="496"/>
      <c r="M550" s="496"/>
      <c r="N550" s="817">
        <v>0</v>
      </c>
      <c r="O550" s="496"/>
      <c r="P550" s="496"/>
      <c r="Q550" s="571"/>
      <c r="R550" s="571"/>
      <c r="S550" s="571"/>
      <c r="T550" s="571"/>
      <c r="U550" s="571"/>
      <c r="V550" s="571"/>
      <c r="W550" s="571"/>
      <c r="X550" s="571"/>
      <c r="Y550" s="571"/>
      <c r="Z550" s="571"/>
    </row>
    <row r="551" spans="1:26" ht="18.75">
      <c r="A551" s="567"/>
      <c r="B551" s="568"/>
      <c r="C551" s="568"/>
      <c r="D551" s="568"/>
      <c r="E551" s="754"/>
      <c r="F551" s="754" t="s">
        <v>187</v>
      </c>
      <c r="G551" s="189"/>
      <c r="H551" s="161" t="s">
        <v>12</v>
      </c>
      <c r="I551" s="269"/>
      <c r="J551" s="269"/>
      <c r="K551" s="496"/>
      <c r="L551" s="496"/>
      <c r="M551" s="496"/>
      <c r="N551" s="817">
        <v>0</v>
      </c>
      <c r="O551" s="496"/>
      <c r="P551" s="496"/>
      <c r="Q551" s="571"/>
      <c r="R551" s="571"/>
      <c r="S551" s="571"/>
      <c r="T551" s="571"/>
      <c r="U551" s="571"/>
      <c r="V551" s="571"/>
      <c r="W551" s="571"/>
      <c r="X551" s="571"/>
      <c r="Y551" s="571"/>
      <c r="Z551" s="571"/>
    </row>
    <row r="552" spans="1:26" ht="18.75">
      <c r="A552" s="567"/>
      <c r="B552" s="568"/>
      <c r="C552" s="754"/>
      <c r="D552" s="754"/>
      <c r="E552" s="754"/>
      <c r="F552" s="754" t="s">
        <v>188</v>
      </c>
      <c r="G552" s="189"/>
      <c r="H552" s="161" t="s">
        <v>12</v>
      </c>
      <c r="I552" s="269"/>
      <c r="J552" s="269"/>
      <c r="K552" s="496"/>
      <c r="L552" s="496"/>
      <c r="M552" s="496"/>
      <c r="N552" s="817">
        <v>24698</v>
      </c>
      <c r="O552" s="496"/>
      <c r="P552" s="496"/>
      <c r="Q552" s="571"/>
      <c r="R552" s="571"/>
      <c r="S552" s="571"/>
      <c r="T552" s="571"/>
      <c r="U552" s="571"/>
      <c r="V552" s="571"/>
      <c r="W552" s="571"/>
      <c r="X552" s="571"/>
      <c r="Y552" s="571"/>
      <c r="Z552" s="571"/>
    </row>
    <row r="553" spans="1:26" ht="18.75">
      <c r="A553" s="567"/>
      <c r="B553" s="568"/>
      <c r="C553" s="568"/>
      <c r="D553" s="568"/>
      <c r="E553" s="754"/>
      <c r="F553" s="754" t="s">
        <v>189</v>
      </c>
      <c r="G553" s="189"/>
      <c r="H553" s="161" t="s">
        <v>12</v>
      </c>
      <c r="I553" s="269"/>
      <c r="J553" s="269"/>
      <c r="K553" s="496"/>
      <c r="L553" s="496"/>
      <c r="M553" s="496"/>
      <c r="N553" s="817">
        <v>6900</v>
      </c>
      <c r="O553" s="496"/>
      <c r="P553" s="496"/>
      <c r="Q553" s="571"/>
      <c r="R553" s="571"/>
      <c r="S553" s="571"/>
      <c r="T553" s="571"/>
      <c r="U553" s="571"/>
      <c r="V553" s="571"/>
      <c r="W553" s="571"/>
      <c r="X553" s="571"/>
      <c r="Y553" s="571"/>
      <c r="Z553" s="571"/>
    </row>
    <row r="554" spans="1:26" ht="18.75">
      <c r="A554" s="567"/>
      <c r="B554" s="568"/>
      <c r="C554" s="568"/>
      <c r="D554" s="568"/>
      <c r="E554" s="754"/>
      <c r="F554" s="754" t="s">
        <v>233</v>
      </c>
      <c r="G554" s="189"/>
      <c r="H554" s="161" t="s">
        <v>12</v>
      </c>
      <c r="I554" s="269"/>
      <c r="J554" s="269"/>
      <c r="K554" s="496"/>
      <c r="L554" s="496"/>
      <c r="M554" s="496"/>
      <c r="N554" s="817">
        <v>0</v>
      </c>
      <c r="O554" s="496"/>
      <c r="P554" s="496"/>
      <c r="Q554" s="571"/>
      <c r="R554" s="571"/>
      <c r="S554" s="571"/>
      <c r="T554" s="571"/>
      <c r="U554" s="571"/>
      <c r="V554" s="571"/>
      <c r="W554" s="571"/>
      <c r="X554" s="571"/>
      <c r="Y554" s="571"/>
      <c r="Z554" s="571"/>
    </row>
    <row r="555" spans="1:26" ht="18.75">
      <c r="A555" s="590"/>
      <c r="B555" s="568"/>
      <c r="C555" s="568"/>
      <c r="D555" s="599" t="s">
        <v>21</v>
      </c>
      <c r="E555" s="754"/>
      <c r="F555" s="754"/>
      <c r="G555" s="189"/>
      <c r="H555" s="168" t="s">
        <v>12</v>
      </c>
      <c r="I555" s="184"/>
      <c r="J555" s="184"/>
      <c r="K555" s="163"/>
      <c r="L555" s="496">
        <f t="shared" ref="L555:N555" ca="1" si="242">L556+L557</f>
        <v>0</v>
      </c>
      <c r="M555" s="496">
        <f t="shared" si="242"/>
        <v>0</v>
      </c>
      <c r="N555" s="496">
        <f t="shared" si="242"/>
        <v>0</v>
      </c>
      <c r="O555" s="496">
        <f t="shared" ref="O555:O557" ca="1" si="243">IF(L555&gt;0,N555*100/L555,0)</f>
        <v>0</v>
      </c>
      <c r="P555" s="496">
        <f t="shared" ref="P555:P557" si="244">IF(M555&gt;0,N555*100/M555,0)</f>
        <v>0</v>
      </c>
      <c r="Q555" s="571"/>
      <c r="R555" s="571"/>
      <c r="S555" s="571"/>
      <c r="T555" s="571"/>
      <c r="U555" s="571"/>
      <c r="V555" s="571"/>
      <c r="W555" s="571"/>
      <c r="X555" s="571"/>
      <c r="Y555" s="571"/>
      <c r="Z555" s="571"/>
    </row>
    <row r="556" spans="1:26" ht="18.75" hidden="1">
      <c r="A556" s="592"/>
      <c r="B556" s="600"/>
      <c r="C556" s="600"/>
      <c r="D556" s="750"/>
      <c r="E556" s="750" t="s">
        <v>18</v>
      </c>
      <c r="F556" s="750"/>
      <c r="G556" s="596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597"/>
      <c r="R556" s="597"/>
      <c r="S556" s="597"/>
      <c r="T556" s="597"/>
      <c r="U556" s="597"/>
      <c r="V556" s="597"/>
      <c r="W556" s="597"/>
      <c r="X556" s="597"/>
      <c r="Y556" s="597"/>
      <c r="Z556" s="597"/>
    </row>
    <row r="557" spans="1:26" ht="18.75" hidden="1">
      <c r="A557" s="592"/>
      <c r="B557" s="600"/>
      <c r="C557" s="600"/>
      <c r="D557" s="750"/>
      <c r="E557" s="750" t="s">
        <v>19</v>
      </c>
      <c r="F557" s="750"/>
      <c r="G557" s="596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IFERROR(__xludf.DUMMYFUNCTION("IMPORTRANGE(""https://docs.google.com/spreadsheets/d/1QqKyyYR6Q21VydFLVH3TRQUabQu_ym0Zz7PgGX0-kHA/edit?usp=sharing"",""แผน!HF54"")"),0)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597"/>
      <c r="R557" s="597"/>
      <c r="S557" s="597"/>
      <c r="T557" s="597"/>
      <c r="U557" s="597"/>
      <c r="V557" s="597"/>
      <c r="W557" s="597"/>
      <c r="X557" s="597"/>
      <c r="Y557" s="597"/>
      <c r="Z557" s="597"/>
    </row>
    <row r="558" spans="1:26" ht="19.5">
      <c r="A558" s="601"/>
      <c r="B558" s="611"/>
      <c r="C558" s="568" t="s">
        <v>16</v>
      </c>
      <c r="D558" s="839" t="s">
        <v>38</v>
      </c>
      <c r="E558" s="752"/>
      <c r="F558" s="752"/>
      <c r="G558" s="606"/>
      <c r="H558" s="753"/>
      <c r="I558" s="184"/>
      <c r="J558" s="184"/>
      <c r="K558" s="163"/>
      <c r="L558" s="163"/>
      <c r="M558" s="163"/>
      <c r="N558" s="163"/>
      <c r="O558" s="163"/>
      <c r="P558" s="163"/>
      <c r="Q558" s="571"/>
      <c r="R558" s="571"/>
      <c r="S558" s="571"/>
      <c r="T558" s="571"/>
      <c r="U558" s="571"/>
      <c r="V558" s="571"/>
      <c r="W558" s="571"/>
      <c r="X558" s="571"/>
      <c r="Y558" s="571"/>
      <c r="Z558" s="571"/>
    </row>
    <row r="559" spans="1:26" ht="19.5" hidden="1">
      <c r="A559" s="685"/>
      <c r="B559" s="686" t="s">
        <v>234</v>
      </c>
      <c r="C559" s="687"/>
      <c r="D559" s="687"/>
      <c r="E559" s="666"/>
      <c r="F559" s="666"/>
      <c r="G559" s="667"/>
      <c r="H559" s="688" t="s">
        <v>46</v>
      </c>
      <c r="I559" s="699">
        <f t="shared" ref="I559:J559" ca="1" si="245">I576</f>
        <v>0</v>
      </c>
      <c r="J559" s="699">
        <f t="shared" si="245"/>
        <v>0</v>
      </c>
      <c r="K559" s="670">
        <f t="shared" ref="K559:K561" ca="1" si="246">IF(I559&gt;0,J559*100/I559,0)</f>
        <v>0</v>
      </c>
      <c r="L559" s="671"/>
      <c r="M559" s="671"/>
      <c r="N559" s="671"/>
      <c r="O559" s="671"/>
      <c r="P559" s="671"/>
      <c r="Q559" s="571"/>
      <c r="R559" s="571"/>
      <c r="S559" s="571"/>
      <c r="T559" s="571"/>
      <c r="U559" s="571"/>
      <c r="V559" s="571"/>
      <c r="W559" s="571"/>
      <c r="X559" s="571"/>
      <c r="Y559" s="571"/>
      <c r="Z559" s="571"/>
    </row>
    <row r="560" spans="1:26" ht="19.5" hidden="1">
      <c r="A560" s="601"/>
      <c r="B560" s="611"/>
      <c r="C560" s="618" t="s">
        <v>235</v>
      </c>
      <c r="D560" s="611"/>
      <c r="E560" s="619"/>
      <c r="F560" s="619"/>
      <c r="G560" s="753"/>
      <c r="H560" s="758" t="s">
        <v>46</v>
      </c>
      <c r="I560" s="193">
        <f ca="1">IFERROR(__xludf.DUMMYFUNCTION("IMPORTRANGE(""https://docs.google.com/spreadsheets/d/1QqKyyYR6Q21VydFLVH3TRQUabQu_ym0Zz7PgGX0-kHA/edit?usp=sharing"",""แผน!HH54"")"),0)</f>
        <v>0</v>
      </c>
      <c r="J560" s="193">
        <f t="shared" ref="J560:J561" si="247">J562+J564+J566</f>
        <v>0</v>
      </c>
      <c r="K560" s="410">
        <f t="shared" ca="1" si="246"/>
        <v>0</v>
      </c>
      <c r="L560" s="163"/>
      <c r="M560" s="163"/>
      <c r="N560" s="163"/>
      <c r="O560" s="163"/>
      <c r="P560" s="163"/>
      <c r="Q560" s="571"/>
      <c r="R560" s="571"/>
      <c r="S560" s="571"/>
      <c r="T560" s="571"/>
      <c r="U560" s="571"/>
      <c r="V560" s="571"/>
      <c r="W560" s="571"/>
      <c r="X560" s="571"/>
      <c r="Y560" s="571"/>
      <c r="Z560" s="571"/>
    </row>
    <row r="561" spans="1:26" ht="19.5" hidden="1">
      <c r="A561" s="601"/>
      <c r="B561" s="611"/>
      <c r="C561" s="611"/>
      <c r="D561" s="619"/>
      <c r="E561" s="619"/>
      <c r="F561" s="619"/>
      <c r="G561" s="753"/>
      <c r="H561" s="758" t="s">
        <v>34</v>
      </c>
      <c r="I561" s="193">
        <f ca="1">IFERROR(__xludf.DUMMYFUNCTION("IMPORTRANGE(""https://docs.google.com/spreadsheets/d/1QqKyyYR6Q21VydFLVH3TRQUabQu_ym0Zz7PgGX0-kHA/edit?usp=sharing"",""แผน!HG54"")"),0)</f>
        <v>0</v>
      </c>
      <c r="J561" s="193">
        <f t="shared" si="247"/>
        <v>0</v>
      </c>
      <c r="K561" s="410">
        <f t="shared" ca="1" si="246"/>
        <v>0</v>
      </c>
      <c r="L561" s="163"/>
      <c r="M561" s="163"/>
      <c r="N561" s="163"/>
      <c r="O561" s="163"/>
      <c r="P561" s="163"/>
      <c r="Q561" s="571"/>
      <c r="R561" s="571"/>
      <c r="S561" s="571"/>
      <c r="T561" s="571"/>
      <c r="U561" s="571"/>
      <c r="V561" s="571"/>
      <c r="W561" s="571"/>
      <c r="X561" s="571"/>
      <c r="Y561" s="571"/>
      <c r="Z561" s="571"/>
    </row>
    <row r="562" spans="1:26" ht="18.75" hidden="1">
      <c r="A562" s="601"/>
      <c r="B562" s="611"/>
      <c r="C562" s="611"/>
      <c r="D562" s="619" t="s">
        <v>236</v>
      </c>
      <c r="E562" s="619"/>
      <c r="F562" s="619"/>
      <c r="G562" s="753"/>
      <c r="H562" s="755" t="s">
        <v>46</v>
      </c>
      <c r="I562" s="184"/>
      <c r="J562" s="214">
        <v>0</v>
      </c>
      <c r="K562" s="163"/>
      <c r="L562" s="163"/>
      <c r="M562" s="163"/>
      <c r="N562" s="163"/>
      <c r="O562" s="163"/>
      <c r="P562" s="163"/>
      <c r="Q562" s="571"/>
      <c r="R562" s="571"/>
      <c r="S562" s="571"/>
      <c r="T562" s="571"/>
      <c r="U562" s="571"/>
      <c r="V562" s="571"/>
      <c r="W562" s="571"/>
      <c r="X562" s="571"/>
      <c r="Y562" s="571"/>
      <c r="Z562" s="571"/>
    </row>
    <row r="563" spans="1:26" ht="18.75" hidden="1">
      <c r="A563" s="601"/>
      <c r="B563" s="611"/>
      <c r="C563" s="611"/>
      <c r="D563" s="611"/>
      <c r="E563" s="619"/>
      <c r="F563" s="619"/>
      <c r="G563" s="753"/>
      <c r="H563" s="755" t="s">
        <v>34</v>
      </c>
      <c r="I563" s="184"/>
      <c r="J563" s="214">
        <v>0</v>
      </c>
      <c r="K563" s="163"/>
      <c r="L563" s="163"/>
      <c r="M563" s="163"/>
      <c r="N563" s="163"/>
      <c r="O563" s="163"/>
      <c r="P563" s="163"/>
      <c r="Q563" s="571"/>
      <c r="R563" s="571"/>
      <c r="S563" s="571"/>
      <c r="T563" s="571"/>
      <c r="U563" s="571"/>
      <c r="V563" s="571"/>
      <c r="W563" s="571"/>
      <c r="X563" s="571"/>
      <c r="Y563" s="571"/>
      <c r="Z563" s="571"/>
    </row>
    <row r="564" spans="1:26" ht="18.75" hidden="1">
      <c r="A564" s="601"/>
      <c r="B564" s="611"/>
      <c r="C564" s="611"/>
      <c r="D564" s="619" t="s">
        <v>237</v>
      </c>
      <c r="E564" s="619"/>
      <c r="F564" s="619"/>
      <c r="G564" s="753"/>
      <c r="H564" s="755" t="s">
        <v>46</v>
      </c>
      <c r="I564" s="184"/>
      <c r="J564" s="214">
        <v>0</v>
      </c>
      <c r="K564" s="163"/>
      <c r="L564" s="163"/>
      <c r="M564" s="163"/>
      <c r="N564" s="163"/>
      <c r="O564" s="163"/>
      <c r="P564" s="163"/>
      <c r="Q564" s="571"/>
      <c r="R564" s="571"/>
      <c r="S564" s="571"/>
      <c r="T564" s="571"/>
      <c r="U564" s="571"/>
      <c r="V564" s="571"/>
      <c r="W564" s="571"/>
      <c r="X564" s="571"/>
      <c r="Y564" s="571"/>
      <c r="Z564" s="571"/>
    </row>
    <row r="565" spans="1:26" ht="18.75" hidden="1">
      <c r="A565" s="601"/>
      <c r="B565" s="611"/>
      <c r="C565" s="611"/>
      <c r="D565" s="619"/>
      <c r="E565" s="619"/>
      <c r="F565" s="619"/>
      <c r="G565" s="753"/>
      <c r="H565" s="755" t="s">
        <v>34</v>
      </c>
      <c r="I565" s="184"/>
      <c r="J565" s="214">
        <v>0</v>
      </c>
      <c r="K565" s="163"/>
      <c r="L565" s="163"/>
      <c r="M565" s="163"/>
      <c r="N565" s="163"/>
      <c r="O565" s="163"/>
      <c r="P565" s="163"/>
      <c r="Q565" s="571"/>
      <c r="R565" s="571"/>
      <c r="S565" s="571"/>
      <c r="T565" s="571"/>
      <c r="U565" s="571"/>
      <c r="V565" s="571"/>
      <c r="W565" s="571"/>
      <c r="X565" s="571"/>
      <c r="Y565" s="571"/>
      <c r="Z565" s="571"/>
    </row>
    <row r="566" spans="1:26" ht="18.75" hidden="1">
      <c r="A566" s="601"/>
      <c r="B566" s="611"/>
      <c r="C566" s="611"/>
      <c r="D566" s="619" t="s">
        <v>238</v>
      </c>
      <c r="E566" s="619"/>
      <c r="F566" s="619"/>
      <c r="G566" s="753"/>
      <c r="H566" s="755" t="s">
        <v>46</v>
      </c>
      <c r="I566" s="184"/>
      <c r="J566" s="214">
        <v>0</v>
      </c>
      <c r="K566" s="163"/>
      <c r="L566" s="163"/>
      <c r="M566" s="163"/>
      <c r="N566" s="163"/>
      <c r="O566" s="163"/>
      <c r="P566" s="163"/>
      <c r="Q566" s="571"/>
      <c r="R566" s="571"/>
      <c r="S566" s="571"/>
      <c r="T566" s="571"/>
      <c r="U566" s="571"/>
      <c r="V566" s="571"/>
      <c r="W566" s="571"/>
      <c r="X566" s="571"/>
      <c r="Y566" s="571"/>
      <c r="Z566" s="571"/>
    </row>
    <row r="567" spans="1:26" ht="18.75" hidden="1">
      <c r="A567" s="601"/>
      <c r="B567" s="611"/>
      <c r="C567" s="611"/>
      <c r="D567" s="619"/>
      <c r="E567" s="619"/>
      <c r="F567" s="619"/>
      <c r="G567" s="753"/>
      <c r="H567" s="755" t="s">
        <v>34</v>
      </c>
      <c r="I567" s="184"/>
      <c r="J567" s="214">
        <v>0</v>
      </c>
      <c r="K567" s="163"/>
      <c r="L567" s="163"/>
      <c r="M567" s="163"/>
      <c r="N567" s="163"/>
      <c r="O567" s="163"/>
      <c r="P567" s="163"/>
      <c r="Q567" s="571"/>
      <c r="R567" s="571"/>
      <c r="S567" s="571"/>
      <c r="T567" s="571"/>
      <c r="U567" s="571"/>
      <c r="V567" s="571"/>
      <c r="W567" s="571"/>
      <c r="X567" s="571"/>
      <c r="Y567" s="571"/>
      <c r="Z567" s="571"/>
    </row>
    <row r="568" spans="1:26" ht="19.5" hidden="1">
      <c r="A568" s="601"/>
      <c r="B568" s="611"/>
      <c r="C568" s="618" t="s">
        <v>239</v>
      </c>
      <c r="D568" s="619"/>
      <c r="E568" s="619"/>
      <c r="F568" s="619"/>
      <c r="G568" s="753"/>
      <c r="H568" s="758" t="s">
        <v>46</v>
      </c>
      <c r="I568" s="193">
        <f ca="1">IFERROR(__xludf.DUMMYFUNCTION("IMPORTRANGE(""https://docs.google.com/spreadsheets/d/1QqKyyYR6Q21VydFLVH3TRQUabQu_ym0Zz7PgGX0-kHA/edit?usp=sharing"",""แผน!HH54"")"),0)</f>
        <v>0</v>
      </c>
      <c r="J568" s="674">
        <f t="shared" ref="J568:J569" si="248">J570+J572+J574</f>
        <v>0</v>
      </c>
      <c r="K568" s="410">
        <f t="shared" ref="K568:K569" ca="1" si="249">IF(I568&gt;0,J568*100/I568,0)</f>
        <v>0</v>
      </c>
      <c r="L568" s="163"/>
      <c r="M568" s="163"/>
      <c r="N568" s="163"/>
      <c r="O568" s="163"/>
      <c r="P568" s="163"/>
      <c r="Q568" s="571"/>
      <c r="R568" s="571"/>
      <c r="S568" s="571"/>
      <c r="T568" s="571"/>
      <c r="U568" s="571"/>
      <c r="V568" s="571"/>
      <c r="W568" s="571"/>
      <c r="X568" s="571"/>
      <c r="Y568" s="571"/>
      <c r="Z568" s="571"/>
    </row>
    <row r="569" spans="1:26" ht="19.5" hidden="1">
      <c r="A569" s="601"/>
      <c r="B569" s="611"/>
      <c r="C569" s="611"/>
      <c r="D569" s="611"/>
      <c r="E569" s="619"/>
      <c r="F569" s="619"/>
      <c r="G569" s="753"/>
      <c r="H569" s="758" t="s">
        <v>34</v>
      </c>
      <c r="I569" s="193">
        <f ca="1">IFERROR(__xludf.DUMMYFUNCTION("IMPORTRANGE(""https://docs.google.com/spreadsheets/d/1QqKyyYR6Q21VydFLVH3TRQUabQu_ym0Zz7PgGX0-kHA/edit?usp=sharing"",""แผน!HG54"")"),0)</f>
        <v>0</v>
      </c>
      <c r="J569" s="674">
        <f t="shared" si="248"/>
        <v>0</v>
      </c>
      <c r="K569" s="410">
        <f t="shared" ca="1" si="249"/>
        <v>0</v>
      </c>
      <c r="L569" s="163"/>
      <c r="M569" s="163"/>
      <c r="N569" s="163"/>
      <c r="O569" s="163"/>
      <c r="P569" s="163"/>
      <c r="Q569" s="571"/>
      <c r="R569" s="571"/>
      <c r="S569" s="571"/>
      <c r="T569" s="571"/>
      <c r="U569" s="571"/>
      <c r="V569" s="571"/>
      <c r="W569" s="571"/>
      <c r="X569" s="571"/>
      <c r="Y569" s="571"/>
      <c r="Z569" s="571"/>
    </row>
    <row r="570" spans="1:26" ht="18.75" hidden="1">
      <c r="A570" s="601"/>
      <c r="B570" s="611"/>
      <c r="C570" s="611"/>
      <c r="D570" s="619" t="s">
        <v>240</v>
      </c>
      <c r="E570" s="611"/>
      <c r="F570" s="619"/>
      <c r="G570" s="753"/>
      <c r="H570" s="755" t="s">
        <v>46</v>
      </c>
      <c r="I570" s="184"/>
      <c r="J570" s="214">
        <v>0</v>
      </c>
      <c r="K570" s="163"/>
      <c r="L570" s="163"/>
      <c r="M570" s="163"/>
      <c r="N570" s="163"/>
      <c r="O570" s="163"/>
      <c r="P570" s="163"/>
      <c r="Q570" s="571"/>
      <c r="R570" s="571"/>
      <c r="S570" s="571"/>
      <c r="T570" s="571"/>
      <c r="U570" s="571"/>
      <c r="V570" s="571"/>
      <c r="W570" s="571"/>
      <c r="X570" s="571"/>
      <c r="Y570" s="571"/>
      <c r="Z570" s="571"/>
    </row>
    <row r="571" spans="1:26" ht="18.75" hidden="1">
      <c r="A571" s="601"/>
      <c r="B571" s="611"/>
      <c r="C571" s="611"/>
      <c r="D571" s="611"/>
      <c r="E571" s="619"/>
      <c r="F571" s="619"/>
      <c r="G571" s="753"/>
      <c r="H571" s="755" t="s">
        <v>34</v>
      </c>
      <c r="I571" s="184"/>
      <c r="J571" s="214">
        <v>0</v>
      </c>
      <c r="K571" s="163"/>
      <c r="L571" s="163"/>
      <c r="M571" s="163"/>
      <c r="N571" s="163"/>
      <c r="O571" s="163"/>
      <c r="P571" s="163"/>
      <c r="Q571" s="571"/>
      <c r="R571" s="571"/>
      <c r="S571" s="571"/>
      <c r="T571" s="571"/>
      <c r="U571" s="571"/>
      <c r="V571" s="571"/>
      <c r="W571" s="571"/>
      <c r="X571" s="571"/>
      <c r="Y571" s="571"/>
      <c r="Z571" s="571"/>
    </row>
    <row r="572" spans="1:26" ht="18.75" hidden="1">
      <c r="A572" s="601"/>
      <c r="B572" s="611"/>
      <c r="C572" s="611"/>
      <c r="D572" s="619" t="s">
        <v>241</v>
      </c>
      <c r="E572" s="619"/>
      <c r="F572" s="619"/>
      <c r="G572" s="753"/>
      <c r="H572" s="755" t="s">
        <v>46</v>
      </c>
      <c r="I572" s="184"/>
      <c r="J572" s="214">
        <v>0</v>
      </c>
      <c r="K572" s="163"/>
      <c r="L572" s="163"/>
      <c r="M572" s="163"/>
      <c r="N572" s="163"/>
      <c r="O572" s="163"/>
      <c r="P572" s="163"/>
      <c r="Q572" s="571"/>
      <c r="R572" s="571"/>
      <c r="S572" s="571"/>
      <c r="T572" s="571"/>
      <c r="U572" s="571"/>
      <c r="V572" s="571"/>
      <c r="W572" s="571"/>
      <c r="X572" s="571"/>
      <c r="Y572" s="571"/>
      <c r="Z572" s="571"/>
    </row>
    <row r="573" spans="1:26" ht="18.75" hidden="1">
      <c r="A573" s="601"/>
      <c r="B573" s="611"/>
      <c r="C573" s="611"/>
      <c r="D573" s="619"/>
      <c r="E573" s="619"/>
      <c r="F573" s="619"/>
      <c r="G573" s="753"/>
      <c r="H573" s="755" t="s">
        <v>34</v>
      </c>
      <c r="I573" s="184"/>
      <c r="J573" s="214">
        <v>0</v>
      </c>
      <c r="K573" s="163"/>
      <c r="L573" s="163"/>
      <c r="M573" s="163"/>
      <c r="N573" s="163"/>
      <c r="O573" s="163"/>
      <c r="P573" s="163"/>
      <c r="Q573" s="571"/>
      <c r="R573" s="571"/>
      <c r="S573" s="571"/>
      <c r="T573" s="571"/>
      <c r="U573" s="571"/>
      <c r="V573" s="571"/>
      <c r="W573" s="571"/>
      <c r="X573" s="571"/>
      <c r="Y573" s="571"/>
      <c r="Z573" s="571"/>
    </row>
    <row r="574" spans="1:26" ht="18.75" hidden="1">
      <c r="A574" s="601"/>
      <c r="B574" s="611"/>
      <c r="C574" s="611"/>
      <c r="D574" s="619" t="s">
        <v>242</v>
      </c>
      <c r="E574" s="619"/>
      <c r="F574" s="619"/>
      <c r="G574" s="753"/>
      <c r="H574" s="755" t="s">
        <v>46</v>
      </c>
      <c r="I574" s="184"/>
      <c r="J574" s="214">
        <v>0</v>
      </c>
      <c r="K574" s="163"/>
      <c r="L574" s="163"/>
      <c r="M574" s="163"/>
      <c r="N574" s="163"/>
      <c r="O574" s="163"/>
      <c r="P574" s="163"/>
      <c r="Q574" s="571"/>
      <c r="R574" s="571"/>
      <c r="S574" s="571"/>
      <c r="T574" s="571"/>
      <c r="U574" s="571"/>
      <c r="V574" s="571"/>
      <c r="W574" s="571"/>
      <c r="X574" s="571"/>
      <c r="Y574" s="571"/>
      <c r="Z574" s="571"/>
    </row>
    <row r="575" spans="1:26" ht="18.75" hidden="1">
      <c r="A575" s="601"/>
      <c r="B575" s="611"/>
      <c r="C575" s="611"/>
      <c r="D575" s="611"/>
      <c r="E575" s="619"/>
      <c r="F575" s="619"/>
      <c r="G575" s="753"/>
      <c r="H575" s="755" t="s">
        <v>34</v>
      </c>
      <c r="I575" s="184"/>
      <c r="J575" s="214">
        <v>0</v>
      </c>
      <c r="K575" s="163"/>
      <c r="L575" s="163"/>
      <c r="M575" s="163"/>
      <c r="N575" s="163"/>
      <c r="O575" s="163"/>
      <c r="P575" s="163"/>
      <c r="Q575" s="571"/>
      <c r="R575" s="571"/>
      <c r="S575" s="571"/>
      <c r="T575" s="571"/>
      <c r="U575" s="571"/>
      <c r="V575" s="571"/>
      <c r="W575" s="571"/>
      <c r="X575" s="571"/>
      <c r="Y575" s="571"/>
      <c r="Z575" s="571"/>
    </row>
    <row r="576" spans="1:26" ht="19.5" hidden="1">
      <c r="A576" s="601"/>
      <c r="B576" s="611"/>
      <c r="C576" s="618" t="s">
        <v>243</v>
      </c>
      <c r="D576" s="611"/>
      <c r="E576" s="611"/>
      <c r="F576" s="619"/>
      <c r="G576" s="753"/>
      <c r="H576" s="758" t="s">
        <v>46</v>
      </c>
      <c r="I576" s="193">
        <f ca="1">IFERROR(__xludf.DUMMYFUNCTION("IMPORTRANGE(""https://docs.google.com/spreadsheets/d/1QqKyyYR6Q21VydFLVH3TRQUabQu_ym0Zz7PgGX0-kHA/edit?usp=sharing"",""แผน!HH54"")"),0)</f>
        <v>0</v>
      </c>
      <c r="J576" s="674">
        <f t="shared" ref="J576:J577" si="250">J578+J580+J582+J588+J590</f>
        <v>0</v>
      </c>
      <c r="K576" s="410">
        <f t="shared" ref="K576:K577" ca="1" si="251">IF(I576&gt;0,J576*100/I576,0)</f>
        <v>0</v>
      </c>
      <c r="L576" s="163"/>
      <c r="M576" s="163"/>
      <c r="N576" s="163"/>
      <c r="O576" s="163"/>
      <c r="P576" s="163"/>
      <c r="Q576" s="571"/>
      <c r="R576" s="571"/>
      <c r="S576" s="571"/>
      <c r="T576" s="571"/>
      <c r="U576" s="571"/>
      <c r="V576" s="571"/>
      <c r="W576" s="571"/>
      <c r="X576" s="571"/>
      <c r="Y576" s="571"/>
      <c r="Z576" s="571"/>
    </row>
    <row r="577" spans="1:26" ht="19.5" hidden="1">
      <c r="A577" s="601"/>
      <c r="B577" s="611"/>
      <c r="C577" s="611"/>
      <c r="D577" s="611"/>
      <c r="E577" s="619"/>
      <c r="F577" s="619"/>
      <c r="G577" s="753"/>
      <c r="H577" s="758" t="s">
        <v>34</v>
      </c>
      <c r="I577" s="193">
        <f ca="1">IFERROR(__xludf.DUMMYFUNCTION("IMPORTRANGE(""https://docs.google.com/spreadsheets/d/1QqKyyYR6Q21VydFLVH3TRQUabQu_ym0Zz7PgGX0-kHA/edit?usp=sharing"",""แผน!HG54"")"),0)</f>
        <v>0</v>
      </c>
      <c r="J577" s="674">
        <f t="shared" si="250"/>
        <v>0</v>
      </c>
      <c r="K577" s="410">
        <f t="shared" ca="1" si="251"/>
        <v>0</v>
      </c>
      <c r="L577" s="163"/>
      <c r="M577" s="163"/>
      <c r="N577" s="163"/>
      <c r="O577" s="163"/>
      <c r="P577" s="163"/>
      <c r="Q577" s="571"/>
      <c r="R577" s="571"/>
      <c r="S577" s="571"/>
      <c r="T577" s="571"/>
      <c r="U577" s="571"/>
      <c r="V577" s="571"/>
      <c r="W577" s="571"/>
      <c r="X577" s="571"/>
      <c r="Y577" s="571"/>
      <c r="Z577" s="571"/>
    </row>
    <row r="578" spans="1:26" ht="18.75" hidden="1">
      <c r="A578" s="601"/>
      <c r="B578" s="611"/>
      <c r="C578" s="611"/>
      <c r="D578" s="619" t="s">
        <v>244</v>
      </c>
      <c r="E578" s="619"/>
      <c r="F578" s="619"/>
      <c r="G578" s="753"/>
      <c r="H578" s="755" t="s">
        <v>46</v>
      </c>
      <c r="I578" s="184"/>
      <c r="J578" s="214">
        <v>0</v>
      </c>
      <c r="K578" s="163"/>
      <c r="L578" s="163"/>
      <c r="M578" s="163"/>
      <c r="N578" s="163"/>
      <c r="O578" s="163"/>
      <c r="P578" s="163"/>
      <c r="Q578" s="571"/>
      <c r="R578" s="571"/>
      <c r="S578" s="571"/>
      <c r="T578" s="571"/>
      <c r="U578" s="571"/>
      <c r="V578" s="571"/>
      <c r="W578" s="571"/>
      <c r="X578" s="571"/>
      <c r="Y578" s="571"/>
      <c r="Z578" s="571"/>
    </row>
    <row r="579" spans="1:26" ht="18.75" hidden="1">
      <c r="A579" s="601"/>
      <c r="B579" s="611"/>
      <c r="C579" s="611"/>
      <c r="D579" s="611"/>
      <c r="E579" s="619"/>
      <c r="F579" s="619"/>
      <c r="G579" s="753"/>
      <c r="H579" s="755" t="s">
        <v>34</v>
      </c>
      <c r="I579" s="184"/>
      <c r="J579" s="214">
        <v>0</v>
      </c>
      <c r="K579" s="163"/>
      <c r="L579" s="163"/>
      <c r="M579" s="163"/>
      <c r="N579" s="163"/>
      <c r="O579" s="163"/>
      <c r="P579" s="163"/>
      <c r="Q579" s="571"/>
      <c r="R579" s="571"/>
      <c r="S579" s="571"/>
      <c r="T579" s="571"/>
      <c r="U579" s="571"/>
      <c r="V579" s="571"/>
      <c r="W579" s="571"/>
      <c r="X579" s="571"/>
      <c r="Y579" s="571"/>
      <c r="Z579" s="571"/>
    </row>
    <row r="580" spans="1:26" ht="18.75" hidden="1">
      <c r="A580" s="601"/>
      <c r="B580" s="611"/>
      <c r="C580" s="611"/>
      <c r="D580" s="619" t="s">
        <v>245</v>
      </c>
      <c r="E580" s="619"/>
      <c r="F580" s="619"/>
      <c r="G580" s="753"/>
      <c r="H580" s="755" t="s">
        <v>46</v>
      </c>
      <c r="I580" s="184"/>
      <c r="J580" s="214">
        <v>0</v>
      </c>
      <c r="K580" s="163"/>
      <c r="L580" s="163"/>
      <c r="M580" s="163"/>
      <c r="N580" s="163"/>
      <c r="O580" s="163"/>
      <c r="P580" s="163"/>
      <c r="Q580" s="571"/>
      <c r="R580" s="571"/>
      <c r="S580" s="571"/>
      <c r="T580" s="571"/>
      <c r="U580" s="571"/>
      <c r="V580" s="571"/>
      <c r="W580" s="571"/>
      <c r="X580" s="571"/>
      <c r="Y580" s="571"/>
      <c r="Z580" s="571"/>
    </row>
    <row r="581" spans="1:26" ht="18.75" hidden="1">
      <c r="A581" s="601"/>
      <c r="B581" s="611"/>
      <c r="C581" s="611"/>
      <c r="D581" s="611"/>
      <c r="E581" s="619"/>
      <c r="F581" s="619"/>
      <c r="G581" s="753"/>
      <c r="H581" s="755" t="s">
        <v>34</v>
      </c>
      <c r="I581" s="184"/>
      <c r="J581" s="214">
        <v>0</v>
      </c>
      <c r="K581" s="163"/>
      <c r="L581" s="163"/>
      <c r="M581" s="163"/>
      <c r="N581" s="163"/>
      <c r="O581" s="163"/>
      <c r="P581" s="163"/>
      <c r="Q581" s="571"/>
      <c r="R581" s="571"/>
      <c r="S581" s="571"/>
      <c r="T581" s="571"/>
      <c r="U581" s="571"/>
      <c r="V581" s="571"/>
      <c r="W581" s="571"/>
      <c r="X581" s="571"/>
      <c r="Y581" s="571"/>
      <c r="Z581" s="571"/>
    </row>
    <row r="582" spans="1:26" ht="19.5" hidden="1">
      <c r="A582" s="601"/>
      <c r="B582" s="611"/>
      <c r="C582" s="611"/>
      <c r="D582" s="619" t="s">
        <v>246</v>
      </c>
      <c r="E582" s="619"/>
      <c r="F582" s="619"/>
      <c r="G582" s="753"/>
      <c r="H582" s="755" t="s">
        <v>46</v>
      </c>
      <c r="I582" s="184"/>
      <c r="J582" s="674">
        <f t="shared" ref="J582:J583" si="252">J584+J586</f>
        <v>0</v>
      </c>
      <c r="K582" s="410"/>
      <c r="L582" s="163"/>
      <c r="M582" s="163"/>
      <c r="N582" s="163"/>
      <c r="O582" s="163"/>
      <c r="P582" s="163"/>
      <c r="Q582" s="571"/>
      <c r="R582" s="571"/>
      <c r="S582" s="571"/>
      <c r="T582" s="571"/>
      <c r="U582" s="571"/>
      <c r="V582" s="571"/>
      <c r="W582" s="571"/>
      <c r="X582" s="571"/>
      <c r="Y582" s="571"/>
      <c r="Z582" s="571"/>
    </row>
    <row r="583" spans="1:26" ht="19.5" hidden="1">
      <c r="A583" s="601"/>
      <c r="B583" s="611"/>
      <c r="C583" s="611"/>
      <c r="D583" s="611"/>
      <c r="E583" s="619"/>
      <c r="F583" s="619"/>
      <c r="G583" s="753"/>
      <c r="H583" s="755" t="s">
        <v>34</v>
      </c>
      <c r="I583" s="184"/>
      <c r="J583" s="674">
        <f t="shared" si="252"/>
        <v>0</v>
      </c>
      <c r="K583" s="410"/>
      <c r="L583" s="163"/>
      <c r="M583" s="163"/>
      <c r="N583" s="163"/>
      <c r="O583" s="163"/>
      <c r="P583" s="163"/>
      <c r="Q583" s="571"/>
      <c r="R583" s="571"/>
      <c r="S583" s="571"/>
      <c r="T583" s="571"/>
      <c r="U583" s="571"/>
      <c r="V583" s="571"/>
      <c r="W583" s="571"/>
      <c r="X583" s="571"/>
      <c r="Y583" s="571"/>
      <c r="Z583" s="571"/>
    </row>
    <row r="584" spans="1:26" ht="18.75" hidden="1">
      <c r="A584" s="601"/>
      <c r="B584" s="611"/>
      <c r="C584" s="611"/>
      <c r="D584" s="611"/>
      <c r="E584" s="619" t="s">
        <v>247</v>
      </c>
      <c r="F584" s="619"/>
      <c r="G584" s="753"/>
      <c r="H584" s="755" t="s">
        <v>46</v>
      </c>
      <c r="I584" s="184"/>
      <c r="J584" s="214">
        <v>0</v>
      </c>
      <c r="K584" s="163"/>
      <c r="L584" s="163"/>
      <c r="M584" s="163"/>
      <c r="N584" s="163"/>
      <c r="O584" s="163"/>
      <c r="P584" s="163"/>
      <c r="Q584" s="571"/>
      <c r="R584" s="571"/>
      <c r="S584" s="571"/>
      <c r="T584" s="571"/>
      <c r="U584" s="571"/>
      <c r="V584" s="571"/>
      <c r="W584" s="571"/>
      <c r="X584" s="571"/>
      <c r="Y584" s="571"/>
      <c r="Z584" s="571"/>
    </row>
    <row r="585" spans="1:26" ht="18.75" hidden="1">
      <c r="A585" s="601"/>
      <c r="B585" s="611"/>
      <c r="C585" s="611"/>
      <c r="D585" s="611"/>
      <c r="E585" s="619"/>
      <c r="F585" s="619"/>
      <c r="G585" s="753"/>
      <c r="H585" s="755" t="s">
        <v>34</v>
      </c>
      <c r="I585" s="184"/>
      <c r="J585" s="214">
        <v>0</v>
      </c>
      <c r="K585" s="163"/>
      <c r="L585" s="163"/>
      <c r="M585" s="163"/>
      <c r="N585" s="163"/>
      <c r="O585" s="163"/>
      <c r="P585" s="163"/>
      <c r="Q585" s="571"/>
      <c r="R585" s="571"/>
      <c r="S585" s="571"/>
      <c r="T585" s="571"/>
      <c r="U585" s="571"/>
      <c r="V585" s="571"/>
      <c r="W585" s="571"/>
      <c r="X585" s="571"/>
      <c r="Y585" s="571"/>
      <c r="Z585" s="571"/>
    </row>
    <row r="586" spans="1:26" ht="18.75" hidden="1">
      <c r="A586" s="601"/>
      <c r="B586" s="611"/>
      <c r="C586" s="611"/>
      <c r="D586" s="611"/>
      <c r="E586" s="619" t="s">
        <v>248</v>
      </c>
      <c r="F586" s="619"/>
      <c r="G586" s="753"/>
      <c r="H586" s="755" t="s">
        <v>46</v>
      </c>
      <c r="I586" s="184"/>
      <c r="J586" s="214">
        <v>0</v>
      </c>
      <c r="K586" s="163"/>
      <c r="L586" s="163"/>
      <c r="M586" s="163"/>
      <c r="N586" s="163"/>
      <c r="O586" s="163"/>
      <c r="P586" s="163"/>
      <c r="Q586" s="571"/>
      <c r="R586" s="571"/>
      <c r="S586" s="571"/>
      <c r="T586" s="571"/>
      <c r="U586" s="571"/>
      <c r="V586" s="571"/>
      <c r="W586" s="571"/>
      <c r="X586" s="571"/>
      <c r="Y586" s="571"/>
      <c r="Z586" s="571"/>
    </row>
    <row r="587" spans="1:26" ht="18.75" hidden="1">
      <c r="A587" s="601"/>
      <c r="B587" s="611"/>
      <c r="C587" s="611"/>
      <c r="D587" s="611"/>
      <c r="E587" s="611"/>
      <c r="F587" s="619"/>
      <c r="G587" s="753"/>
      <c r="H587" s="755" t="s">
        <v>34</v>
      </c>
      <c r="I587" s="184"/>
      <c r="J587" s="214">
        <v>0</v>
      </c>
      <c r="K587" s="163"/>
      <c r="L587" s="163"/>
      <c r="M587" s="163"/>
      <c r="N587" s="163"/>
      <c r="O587" s="163"/>
      <c r="P587" s="163"/>
      <c r="Q587" s="571"/>
      <c r="R587" s="571"/>
      <c r="S587" s="571"/>
      <c r="T587" s="571"/>
      <c r="U587" s="571"/>
      <c r="V587" s="571"/>
      <c r="W587" s="571"/>
      <c r="X587" s="571"/>
      <c r="Y587" s="571"/>
      <c r="Z587" s="571"/>
    </row>
    <row r="588" spans="1:26" ht="18.75" hidden="1">
      <c r="A588" s="601"/>
      <c r="B588" s="611"/>
      <c r="C588" s="611"/>
      <c r="D588" s="619" t="s">
        <v>249</v>
      </c>
      <c r="E588" s="619"/>
      <c r="F588" s="619"/>
      <c r="G588" s="753"/>
      <c r="H588" s="755" t="s">
        <v>46</v>
      </c>
      <c r="I588" s="184"/>
      <c r="J588" s="214">
        <v>0</v>
      </c>
      <c r="K588" s="163"/>
      <c r="L588" s="163"/>
      <c r="M588" s="163"/>
      <c r="N588" s="163"/>
      <c r="O588" s="163"/>
      <c r="P588" s="163"/>
      <c r="Q588" s="571"/>
      <c r="R588" s="571"/>
      <c r="S588" s="571"/>
      <c r="T588" s="571"/>
      <c r="U588" s="571"/>
      <c r="V588" s="571"/>
      <c r="W588" s="571"/>
      <c r="X588" s="571"/>
      <c r="Y588" s="571"/>
      <c r="Z588" s="571"/>
    </row>
    <row r="589" spans="1:26" ht="18.75" hidden="1">
      <c r="A589" s="601"/>
      <c r="B589" s="611"/>
      <c r="C589" s="611"/>
      <c r="D589" s="611"/>
      <c r="E589" s="611"/>
      <c r="F589" s="619"/>
      <c r="G589" s="753"/>
      <c r="H589" s="755" t="s">
        <v>34</v>
      </c>
      <c r="I589" s="184"/>
      <c r="J589" s="214">
        <v>0</v>
      </c>
      <c r="K589" s="163"/>
      <c r="L589" s="163"/>
      <c r="M589" s="163"/>
      <c r="N589" s="163"/>
      <c r="O589" s="163"/>
      <c r="P589" s="163"/>
      <c r="Q589" s="571"/>
      <c r="R589" s="571"/>
      <c r="S589" s="571"/>
      <c r="T589" s="571"/>
      <c r="U589" s="571"/>
      <c r="V589" s="571"/>
      <c r="W589" s="571"/>
      <c r="X589" s="571"/>
      <c r="Y589" s="571"/>
      <c r="Z589" s="571"/>
    </row>
    <row r="590" spans="1:26" ht="18.75" hidden="1">
      <c r="A590" s="601"/>
      <c r="B590" s="611"/>
      <c r="C590" s="611"/>
      <c r="D590" s="619" t="s">
        <v>250</v>
      </c>
      <c r="E590" s="619"/>
      <c r="F590" s="619"/>
      <c r="G590" s="753"/>
      <c r="H590" s="755" t="s">
        <v>46</v>
      </c>
      <c r="I590" s="184"/>
      <c r="J590" s="214">
        <v>0</v>
      </c>
      <c r="K590" s="163"/>
      <c r="L590" s="163"/>
      <c r="M590" s="163"/>
      <c r="N590" s="163"/>
      <c r="O590" s="163"/>
      <c r="P590" s="163"/>
      <c r="Q590" s="571"/>
      <c r="R590" s="571"/>
      <c r="S590" s="571"/>
      <c r="T590" s="571"/>
      <c r="U590" s="571"/>
      <c r="V590" s="571"/>
      <c r="W590" s="571"/>
      <c r="X590" s="571"/>
      <c r="Y590" s="571"/>
      <c r="Z590" s="571"/>
    </row>
    <row r="591" spans="1:26" ht="18.75" hidden="1">
      <c r="A591" s="689"/>
      <c r="B591" s="690"/>
      <c r="C591" s="690"/>
      <c r="D591" s="690"/>
      <c r="E591" s="571"/>
      <c r="F591" s="571"/>
      <c r="G591" s="691"/>
      <c r="H591" s="692" t="s">
        <v>34</v>
      </c>
      <c r="I591" s="693"/>
      <c r="J591" s="694">
        <v>0</v>
      </c>
      <c r="K591" s="695"/>
      <c r="L591" s="695"/>
      <c r="M591" s="695"/>
      <c r="N591" s="695"/>
      <c r="O591" s="695"/>
      <c r="P591" s="695"/>
      <c r="Q591" s="571"/>
      <c r="R591" s="571"/>
      <c r="S591" s="571"/>
      <c r="T591" s="571"/>
      <c r="U591" s="571"/>
      <c r="V591" s="571"/>
      <c r="W591" s="571"/>
      <c r="X591" s="571"/>
      <c r="Y591" s="571"/>
      <c r="Z591" s="571"/>
    </row>
    <row r="592" spans="1:26" ht="19.5">
      <c r="A592" s="685"/>
      <c r="B592" s="686" t="s">
        <v>251</v>
      </c>
      <c r="C592" s="687"/>
      <c r="D592" s="687"/>
      <c r="E592" s="666"/>
      <c r="F592" s="666"/>
      <c r="G592" s="667"/>
      <c r="H592" s="688" t="s">
        <v>46</v>
      </c>
      <c r="I592" s="699">
        <f t="shared" ref="I592:J592" ca="1" si="253">I593</f>
        <v>845</v>
      </c>
      <c r="J592" s="699">
        <f t="shared" si="253"/>
        <v>388.2</v>
      </c>
      <c r="K592" s="670">
        <f t="shared" ref="K592:K594" ca="1" si="254">IF(I592&gt;0,J592*100/I592,0)</f>
        <v>45.940828402366861</v>
      </c>
      <c r="L592" s="671"/>
      <c r="M592" s="671"/>
      <c r="N592" s="671"/>
      <c r="O592" s="671"/>
      <c r="P592" s="671"/>
      <c r="Q592" s="571"/>
      <c r="R592" s="571"/>
      <c r="S592" s="571"/>
      <c r="T592" s="571"/>
      <c r="U592" s="571"/>
      <c r="V592" s="571"/>
      <c r="W592" s="571"/>
      <c r="X592" s="571"/>
      <c r="Y592" s="571"/>
      <c r="Z592" s="571"/>
    </row>
    <row r="593" spans="1:26" ht="19.5">
      <c r="A593" s="601"/>
      <c r="B593" s="611"/>
      <c r="C593" s="618" t="s">
        <v>252</v>
      </c>
      <c r="D593" s="611"/>
      <c r="E593" s="611"/>
      <c r="F593" s="619"/>
      <c r="G593" s="753"/>
      <c r="H593" s="758" t="s">
        <v>46</v>
      </c>
      <c r="I593" s="193">
        <f ca="1">IFERROR(__xludf.DUMMYFUNCTION("IMPORTRANGE(""https://docs.google.com/spreadsheets/d/1QqKyyYR6Q21VydFLVH3TRQUabQu_ym0Zz7PgGX0-kHA/edit?usp=sharing"",""แผน!HJ54"")"),845)</f>
        <v>845</v>
      </c>
      <c r="J593" s="193">
        <f t="shared" ref="J593:J594" si="255">J595+J603+J609</f>
        <v>388.2</v>
      </c>
      <c r="K593" s="410">
        <f t="shared" ca="1" si="254"/>
        <v>45.940828402366861</v>
      </c>
      <c r="L593" s="163"/>
      <c r="M593" s="163"/>
      <c r="N593" s="163"/>
      <c r="O593" s="163"/>
      <c r="P593" s="163"/>
      <c r="Q593" s="571"/>
      <c r="R593" s="571"/>
      <c r="S593" s="571"/>
      <c r="T593" s="571"/>
      <c r="U593" s="571"/>
      <c r="V593" s="571"/>
      <c r="W593" s="571"/>
      <c r="X593" s="571"/>
      <c r="Y593" s="571"/>
      <c r="Z593" s="571"/>
    </row>
    <row r="594" spans="1:26" ht="19.5">
      <c r="A594" s="601"/>
      <c r="B594" s="611"/>
      <c r="C594" s="611"/>
      <c r="D594" s="611"/>
      <c r="E594" s="619"/>
      <c r="F594" s="619"/>
      <c r="G594" s="753"/>
      <c r="H594" s="758" t="s">
        <v>34</v>
      </c>
      <c r="I594" s="193">
        <f ca="1">IFERROR(__xludf.DUMMYFUNCTION("IMPORTRANGE(""https://docs.google.com/spreadsheets/d/1QqKyyYR6Q21VydFLVH3TRQUabQu_ym0Zz7PgGX0-kHA/edit?usp=sharing"",""แผน!HI54"")"),25)</f>
        <v>25</v>
      </c>
      <c r="J594" s="193">
        <f t="shared" si="255"/>
        <v>28</v>
      </c>
      <c r="K594" s="410">
        <f t="shared" ca="1" si="254"/>
        <v>112</v>
      </c>
      <c r="L594" s="163"/>
      <c r="M594" s="163"/>
      <c r="N594" s="163"/>
      <c r="O594" s="163"/>
      <c r="P594" s="163"/>
      <c r="Q594" s="571"/>
      <c r="R594" s="571"/>
      <c r="S594" s="571"/>
      <c r="T594" s="571"/>
      <c r="U594" s="571"/>
      <c r="V594" s="571"/>
      <c r="W594" s="571"/>
      <c r="X594" s="571"/>
      <c r="Y594" s="571"/>
      <c r="Z594" s="571"/>
    </row>
    <row r="595" spans="1:26" ht="18.75">
      <c r="A595" s="601"/>
      <c r="B595" s="611"/>
      <c r="C595" s="611" t="s">
        <v>253</v>
      </c>
      <c r="D595" s="611"/>
      <c r="E595" s="611"/>
      <c r="F595" s="619"/>
      <c r="G595" s="753"/>
      <c r="H595" s="755" t="s">
        <v>46</v>
      </c>
      <c r="I595" s="184"/>
      <c r="J595" s="184">
        <f t="shared" ref="J595:J596" si="256">J597+J599</f>
        <v>388.2</v>
      </c>
      <c r="K595" s="163"/>
      <c r="L595" s="163"/>
      <c r="M595" s="163"/>
      <c r="N595" s="163"/>
      <c r="O595" s="163"/>
      <c r="P595" s="163"/>
      <c r="Q595" s="571"/>
      <c r="R595" s="571"/>
      <c r="S595" s="571"/>
      <c r="T595" s="571"/>
      <c r="U595" s="571"/>
      <c r="V595" s="571"/>
      <c r="W595" s="571"/>
      <c r="X595" s="571"/>
      <c r="Y595" s="571"/>
      <c r="Z595" s="571"/>
    </row>
    <row r="596" spans="1:26" ht="18.75">
      <c r="A596" s="601"/>
      <c r="B596" s="611"/>
      <c r="C596" s="611"/>
      <c r="D596" s="611"/>
      <c r="E596" s="619"/>
      <c r="F596" s="619"/>
      <c r="G596" s="753"/>
      <c r="H596" s="755" t="s">
        <v>34</v>
      </c>
      <c r="I596" s="184"/>
      <c r="J596" s="184">
        <f t="shared" si="256"/>
        <v>28</v>
      </c>
      <c r="K596" s="163"/>
      <c r="L596" s="163"/>
      <c r="M596" s="163"/>
      <c r="N596" s="163"/>
      <c r="O596" s="163"/>
      <c r="P596" s="163"/>
      <c r="Q596" s="571"/>
      <c r="R596" s="571"/>
      <c r="S596" s="571"/>
      <c r="T596" s="571"/>
      <c r="U596" s="571"/>
      <c r="V596" s="571"/>
      <c r="W596" s="571"/>
      <c r="X596" s="571"/>
      <c r="Y596" s="571"/>
      <c r="Z596" s="571"/>
    </row>
    <row r="597" spans="1:26" ht="18.75">
      <c r="A597" s="601"/>
      <c r="B597" s="611"/>
      <c r="C597" s="611"/>
      <c r="D597" s="737" t="s">
        <v>254</v>
      </c>
      <c r="E597" s="619"/>
      <c r="F597" s="619"/>
      <c r="G597" s="753"/>
      <c r="H597" s="755" t="s">
        <v>46</v>
      </c>
      <c r="I597" s="184"/>
      <c r="J597" s="214">
        <v>388.2</v>
      </c>
      <c r="K597" s="163"/>
      <c r="L597" s="163"/>
      <c r="M597" s="163"/>
      <c r="N597" s="163"/>
      <c r="O597" s="163"/>
      <c r="P597" s="163"/>
      <c r="Q597" s="571"/>
      <c r="R597" s="571"/>
      <c r="S597" s="571"/>
      <c r="T597" s="571"/>
      <c r="U597" s="571"/>
      <c r="V597" s="571"/>
      <c r="W597" s="571"/>
      <c r="X597" s="571"/>
      <c r="Y597" s="571"/>
      <c r="Z597" s="571"/>
    </row>
    <row r="598" spans="1:26" ht="18.75">
      <c r="A598" s="601"/>
      <c r="B598" s="611"/>
      <c r="C598" s="611"/>
      <c r="D598" s="611"/>
      <c r="E598" s="619"/>
      <c r="F598" s="619"/>
      <c r="G598" s="753"/>
      <c r="H598" s="755" t="s">
        <v>34</v>
      </c>
      <c r="I598" s="269"/>
      <c r="J598" s="214">
        <v>28</v>
      </c>
      <c r="K598" s="163"/>
      <c r="L598" s="163"/>
      <c r="M598" s="163"/>
      <c r="N598" s="163"/>
      <c r="O598" s="163"/>
      <c r="P598" s="163"/>
      <c r="Q598" s="571"/>
      <c r="R598" s="571"/>
      <c r="S598" s="571"/>
      <c r="T598" s="571"/>
      <c r="U598" s="571"/>
      <c r="V598" s="571"/>
      <c r="W598" s="571"/>
      <c r="X598" s="571"/>
      <c r="Y598" s="571"/>
      <c r="Z598" s="571"/>
    </row>
    <row r="599" spans="1:26" ht="18.75">
      <c r="A599" s="601"/>
      <c r="B599" s="611"/>
      <c r="C599" s="611"/>
      <c r="D599" s="737" t="s">
        <v>255</v>
      </c>
      <c r="E599" s="619"/>
      <c r="F599" s="619"/>
      <c r="G599" s="753"/>
      <c r="H599" s="755" t="s">
        <v>46</v>
      </c>
      <c r="I599" s="269"/>
      <c r="J599" s="214">
        <v>0</v>
      </c>
      <c r="K599" s="163"/>
      <c r="L599" s="163"/>
      <c r="M599" s="163"/>
      <c r="N599" s="163"/>
      <c r="O599" s="163"/>
      <c r="P599" s="163"/>
      <c r="Q599" s="571"/>
      <c r="R599" s="571"/>
      <c r="S599" s="571"/>
      <c r="T599" s="571"/>
      <c r="U599" s="571"/>
      <c r="V599" s="571"/>
      <c r="W599" s="571"/>
      <c r="X599" s="571"/>
      <c r="Y599" s="571"/>
      <c r="Z599" s="571"/>
    </row>
    <row r="600" spans="1:26" ht="18.75">
      <c r="A600" s="601"/>
      <c r="B600" s="611"/>
      <c r="C600" s="611"/>
      <c r="D600" s="611"/>
      <c r="E600" s="619"/>
      <c r="F600" s="619"/>
      <c r="G600" s="753"/>
      <c r="H600" s="755" t="s">
        <v>34</v>
      </c>
      <c r="I600" s="269"/>
      <c r="J600" s="214">
        <v>0</v>
      </c>
      <c r="K600" s="163"/>
      <c r="L600" s="163"/>
      <c r="M600" s="163"/>
      <c r="N600" s="163"/>
      <c r="O600" s="163"/>
      <c r="P600" s="163"/>
      <c r="Q600" s="571"/>
      <c r="R600" s="571"/>
      <c r="S600" s="571"/>
      <c r="T600" s="571"/>
      <c r="U600" s="571"/>
      <c r="V600" s="571"/>
      <c r="W600" s="571"/>
      <c r="X600" s="571"/>
      <c r="Y600" s="571"/>
      <c r="Z600" s="571"/>
    </row>
    <row r="601" spans="1:26" ht="18.75">
      <c r="A601" s="601"/>
      <c r="B601" s="611"/>
      <c r="C601" s="611"/>
      <c r="D601" s="737" t="s">
        <v>256</v>
      </c>
      <c r="E601" s="619"/>
      <c r="F601" s="619"/>
      <c r="G601" s="753"/>
      <c r="H601" s="755" t="s">
        <v>46</v>
      </c>
      <c r="I601" s="269"/>
      <c r="J601" s="214">
        <v>0</v>
      </c>
      <c r="K601" s="163"/>
      <c r="L601" s="163"/>
      <c r="M601" s="163"/>
      <c r="N601" s="163"/>
      <c r="O601" s="163"/>
      <c r="P601" s="163"/>
      <c r="Q601" s="571"/>
      <c r="R601" s="571"/>
      <c r="S601" s="571"/>
      <c r="T601" s="571"/>
      <c r="U601" s="571"/>
      <c r="V601" s="571"/>
      <c r="W601" s="571"/>
      <c r="X601" s="571"/>
      <c r="Y601" s="571"/>
      <c r="Z601" s="571"/>
    </row>
    <row r="602" spans="1:26" ht="18.75">
      <c r="A602" s="601"/>
      <c r="B602" s="611"/>
      <c r="C602" s="611"/>
      <c r="D602" s="611"/>
      <c r="E602" s="619"/>
      <c r="F602" s="619"/>
      <c r="G602" s="753"/>
      <c r="H602" s="755" t="s">
        <v>34</v>
      </c>
      <c r="I602" s="269"/>
      <c r="J602" s="214">
        <v>0</v>
      </c>
      <c r="K602" s="163"/>
      <c r="L602" s="163"/>
      <c r="M602" s="163"/>
      <c r="N602" s="163"/>
      <c r="O602" s="163"/>
      <c r="P602" s="163"/>
      <c r="Q602" s="571"/>
      <c r="R602" s="571"/>
      <c r="S602" s="571"/>
      <c r="T602" s="571"/>
      <c r="U602" s="571"/>
      <c r="V602" s="571"/>
      <c r="W602" s="571"/>
      <c r="X602" s="571"/>
      <c r="Y602" s="571"/>
      <c r="Z602" s="571"/>
    </row>
    <row r="603" spans="1:26" ht="18.75">
      <c r="A603" s="601"/>
      <c r="B603" s="611"/>
      <c r="C603" s="696" t="s">
        <v>257</v>
      </c>
      <c r="D603" s="611"/>
      <c r="E603" s="611"/>
      <c r="F603" s="619"/>
      <c r="G603" s="753"/>
      <c r="H603" s="755" t="s">
        <v>46</v>
      </c>
      <c r="I603" s="269"/>
      <c r="J603" s="269">
        <f t="shared" ref="J603:J604" si="257">J605+J607</f>
        <v>0</v>
      </c>
      <c r="K603" s="163"/>
      <c r="L603" s="163"/>
      <c r="M603" s="163"/>
      <c r="N603" s="163"/>
      <c r="O603" s="163"/>
      <c r="P603" s="163"/>
      <c r="Q603" s="571"/>
      <c r="R603" s="571"/>
      <c r="S603" s="571"/>
      <c r="T603" s="571"/>
      <c r="U603" s="571"/>
      <c r="V603" s="571"/>
      <c r="W603" s="571"/>
      <c r="X603" s="571"/>
      <c r="Y603" s="571"/>
      <c r="Z603" s="571"/>
    </row>
    <row r="604" spans="1:26" ht="18.75">
      <c r="A604" s="601"/>
      <c r="B604" s="611"/>
      <c r="C604" s="611"/>
      <c r="D604" s="611"/>
      <c r="E604" s="619"/>
      <c r="F604" s="619"/>
      <c r="G604" s="753"/>
      <c r="H604" s="755" t="s">
        <v>34</v>
      </c>
      <c r="I604" s="269"/>
      <c r="J604" s="269">
        <f t="shared" si="257"/>
        <v>0</v>
      </c>
      <c r="K604" s="163"/>
      <c r="L604" s="163"/>
      <c r="M604" s="163"/>
      <c r="N604" s="163"/>
      <c r="O604" s="163"/>
      <c r="P604" s="163"/>
      <c r="Q604" s="571"/>
      <c r="R604" s="571"/>
      <c r="S604" s="571"/>
      <c r="T604" s="571"/>
      <c r="U604" s="571"/>
      <c r="V604" s="571"/>
      <c r="W604" s="571"/>
      <c r="X604" s="571"/>
      <c r="Y604" s="571"/>
      <c r="Z604" s="571"/>
    </row>
    <row r="605" spans="1:26" ht="18.75">
      <c r="A605" s="601"/>
      <c r="B605" s="611"/>
      <c r="C605" s="611"/>
      <c r="D605" s="696" t="s">
        <v>258</v>
      </c>
      <c r="E605" s="619"/>
      <c r="F605" s="619"/>
      <c r="G605" s="753"/>
      <c r="H605" s="755" t="s">
        <v>46</v>
      </c>
      <c r="I605" s="269"/>
      <c r="J605" s="214">
        <v>0</v>
      </c>
      <c r="K605" s="163"/>
      <c r="L605" s="163"/>
      <c r="M605" s="163"/>
      <c r="N605" s="163"/>
      <c r="O605" s="163"/>
      <c r="P605" s="163"/>
      <c r="Q605" s="571"/>
      <c r="R605" s="571"/>
      <c r="S605" s="571"/>
      <c r="T605" s="571"/>
      <c r="U605" s="571"/>
      <c r="V605" s="571"/>
      <c r="W605" s="571"/>
      <c r="X605" s="571"/>
      <c r="Y605" s="571"/>
      <c r="Z605" s="571"/>
    </row>
    <row r="606" spans="1:26" ht="18.75">
      <c r="A606" s="601"/>
      <c r="B606" s="611"/>
      <c r="C606" s="611"/>
      <c r="D606" s="611"/>
      <c r="E606" s="611"/>
      <c r="F606" s="619"/>
      <c r="G606" s="753"/>
      <c r="H606" s="755" t="s">
        <v>34</v>
      </c>
      <c r="I606" s="269"/>
      <c r="J606" s="214">
        <v>0</v>
      </c>
      <c r="K606" s="163"/>
      <c r="L606" s="163"/>
      <c r="M606" s="163"/>
      <c r="N606" s="163"/>
      <c r="O606" s="163"/>
      <c r="P606" s="163"/>
      <c r="Q606" s="571"/>
      <c r="R606" s="571"/>
      <c r="S606" s="571"/>
      <c r="T606" s="571"/>
      <c r="U606" s="571"/>
      <c r="V606" s="571"/>
      <c r="W606" s="571"/>
      <c r="X606" s="571"/>
      <c r="Y606" s="571"/>
      <c r="Z606" s="571"/>
    </row>
    <row r="607" spans="1:26" ht="18.75">
      <c r="A607" s="601"/>
      <c r="B607" s="611"/>
      <c r="C607" s="611"/>
      <c r="D607" s="696" t="s">
        <v>259</v>
      </c>
      <c r="E607" s="611"/>
      <c r="F607" s="619"/>
      <c r="G607" s="753"/>
      <c r="H607" s="755" t="s">
        <v>46</v>
      </c>
      <c r="I607" s="269"/>
      <c r="J607" s="214">
        <v>0</v>
      </c>
      <c r="K607" s="163"/>
      <c r="L607" s="163"/>
      <c r="M607" s="163"/>
      <c r="N607" s="163"/>
      <c r="O607" s="163"/>
      <c r="P607" s="163"/>
      <c r="Q607" s="571"/>
      <c r="R607" s="571"/>
      <c r="S607" s="571"/>
      <c r="T607" s="571"/>
      <c r="U607" s="571"/>
      <c r="V607" s="571"/>
      <c r="W607" s="571"/>
      <c r="X607" s="571"/>
      <c r="Y607" s="571"/>
      <c r="Z607" s="571"/>
    </row>
    <row r="608" spans="1:26" ht="18.75">
      <c r="A608" s="601"/>
      <c r="B608" s="611"/>
      <c r="C608" s="611"/>
      <c r="D608" s="611"/>
      <c r="E608" s="619"/>
      <c r="F608" s="619"/>
      <c r="G608" s="753"/>
      <c r="H608" s="755" t="s">
        <v>34</v>
      </c>
      <c r="I608" s="269"/>
      <c r="J608" s="214">
        <v>0</v>
      </c>
      <c r="K608" s="163"/>
      <c r="L608" s="163"/>
      <c r="M608" s="163"/>
      <c r="N608" s="163"/>
      <c r="O608" s="163"/>
      <c r="P608" s="163"/>
      <c r="Q608" s="571"/>
      <c r="R608" s="571"/>
      <c r="S608" s="571"/>
      <c r="T608" s="571"/>
      <c r="U608" s="571"/>
      <c r="V608" s="571"/>
      <c r="W608" s="571"/>
      <c r="X608" s="571"/>
      <c r="Y608" s="571"/>
      <c r="Z608" s="571"/>
    </row>
    <row r="609" spans="1:26" ht="18.75">
      <c r="A609" s="601"/>
      <c r="B609" s="611"/>
      <c r="C609" s="611" t="s">
        <v>260</v>
      </c>
      <c r="D609" s="611"/>
      <c r="E609" s="611"/>
      <c r="F609" s="619"/>
      <c r="G609" s="753"/>
      <c r="H609" s="755" t="s">
        <v>46</v>
      </c>
      <c r="I609" s="269"/>
      <c r="J609" s="214">
        <v>0</v>
      </c>
      <c r="K609" s="163"/>
      <c r="L609" s="163"/>
      <c r="M609" s="163"/>
      <c r="N609" s="163"/>
      <c r="O609" s="163"/>
      <c r="P609" s="163"/>
      <c r="Q609" s="571"/>
      <c r="R609" s="571"/>
      <c r="S609" s="571"/>
      <c r="T609" s="571"/>
      <c r="U609" s="571"/>
      <c r="V609" s="571"/>
      <c r="W609" s="571"/>
      <c r="X609" s="571"/>
      <c r="Y609" s="571"/>
      <c r="Z609" s="571"/>
    </row>
    <row r="610" spans="1:26" ht="18.75">
      <c r="A610" s="601"/>
      <c r="B610" s="611"/>
      <c r="C610" s="611"/>
      <c r="D610" s="611"/>
      <c r="E610" s="619"/>
      <c r="F610" s="619"/>
      <c r="G610" s="753"/>
      <c r="H610" s="755" t="s">
        <v>34</v>
      </c>
      <c r="I610" s="269"/>
      <c r="J610" s="214">
        <v>0</v>
      </c>
      <c r="K610" s="163"/>
      <c r="L610" s="163"/>
      <c r="M610" s="163"/>
      <c r="N610" s="163"/>
      <c r="O610" s="163"/>
      <c r="P610" s="163"/>
      <c r="Q610" s="571"/>
      <c r="R610" s="571"/>
      <c r="S610" s="571"/>
      <c r="T610" s="571"/>
      <c r="U610" s="571"/>
      <c r="V610" s="571"/>
      <c r="W610" s="571"/>
      <c r="X610" s="571"/>
      <c r="Y610" s="571"/>
      <c r="Z610" s="571"/>
    </row>
    <row r="611" spans="1:26" ht="19.5" hidden="1">
      <c r="A611" s="685"/>
      <c r="B611" s="697" t="s">
        <v>261</v>
      </c>
      <c r="C611" s="687"/>
      <c r="D611" s="687"/>
      <c r="E611" s="666"/>
      <c r="F611" s="666"/>
      <c r="G611" s="667"/>
      <c r="H611" s="698" t="s">
        <v>46</v>
      </c>
      <c r="I611" s="699">
        <v>0</v>
      </c>
      <c r="J611" s="699">
        <f>J614+J616</f>
        <v>0</v>
      </c>
      <c r="K611" s="670">
        <f t="shared" ref="K611:K613" si="258">IF(I611&gt;0,J611*100/I611,0)</f>
        <v>0</v>
      </c>
      <c r="L611" s="671"/>
      <c r="M611" s="671"/>
      <c r="N611" s="671"/>
      <c r="O611" s="671"/>
      <c r="P611" s="671"/>
      <c r="Q611" s="571"/>
      <c r="R611" s="571"/>
      <c r="S611" s="571"/>
      <c r="T611" s="571"/>
      <c r="U611" s="571"/>
      <c r="V611" s="571"/>
      <c r="W611" s="571"/>
      <c r="X611" s="571"/>
      <c r="Y611" s="571"/>
      <c r="Z611" s="571"/>
    </row>
    <row r="612" spans="1:26" ht="19.5" hidden="1">
      <c r="A612" s="700"/>
      <c r="B612" s="710"/>
      <c r="C612" s="702" t="s">
        <v>262</v>
      </c>
      <c r="D612" s="710"/>
      <c r="E612" s="710"/>
      <c r="F612" s="703"/>
      <c r="G612" s="704"/>
      <c r="H612" s="705" t="s">
        <v>46</v>
      </c>
      <c r="I612" s="707">
        <v>0</v>
      </c>
      <c r="J612" s="707">
        <f t="shared" ref="J612:J613" si="259">J614+J616</f>
        <v>0</v>
      </c>
      <c r="K612" s="708">
        <f t="shared" si="258"/>
        <v>0</v>
      </c>
      <c r="L612" s="709"/>
      <c r="M612" s="709"/>
      <c r="N612" s="709"/>
      <c r="O612" s="709"/>
      <c r="P612" s="709"/>
      <c r="Q612" s="597"/>
      <c r="R612" s="597"/>
      <c r="S612" s="597"/>
      <c r="T612" s="597"/>
      <c r="U612" s="597"/>
      <c r="V612" s="597"/>
      <c r="W612" s="597"/>
      <c r="X612" s="597"/>
      <c r="Y612" s="597"/>
      <c r="Z612" s="597"/>
    </row>
    <row r="613" spans="1:26" ht="19.5" hidden="1">
      <c r="A613" s="700"/>
      <c r="B613" s="710"/>
      <c r="C613" s="710" t="s">
        <v>263</v>
      </c>
      <c r="D613" s="710"/>
      <c r="E613" s="710"/>
      <c r="F613" s="703"/>
      <c r="G613" s="704"/>
      <c r="H613" s="705" t="s">
        <v>34</v>
      </c>
      <c r="I613" s="707">
        <v>0</v>
      </c>
      <c r="J613" s="707">
        <f t="shared" si="259"/>
        <v>0</v>
      </c>
      <c r="K613" s="708">
        <f t="shared" si="258"/>
        <v>0</v>
      </c>
      <c r="L613" s="709"/>
      <c r="M613" s="709"/>
      <c r="N613" s="709"/>
      <c r="O613" s="709"/>
      <c r="P613" s="709"/>
      <c r="Q613" s="597"/>
      <c r="R613" s="597"/>
      <c r="S613" s="597"/>
      <c r="T613" s="597"/>
      <c r="U613" s="597"/>
      <c r="V613" s="597"/>
      <c r="W613" s="597"/>
      <c r="X613" s="597"/>
      <c r="Y613" s="597"/>
      <c r="Z613" s="597"/>
    </row>
    <row r="614" spans="1:26" ht="18.75" hidden="1">
      <c r="A614" s="607"/>
      <c r="B614" s="609"/>
      <c r="C614" s="609"/>
      <c r="D614" s="711" t="s">
        <v>264</v>
      </c>
      <c r="E614" s="609"/>
      <c r="F614" s="711"/>
      <c r="G614" s="365"/>
      <c r="H614" s="369" t="s">
        <v>46</v>
      </c>
      <c r="I614" s="610"/>
      <c r="J614" s="610">
        <v>0</v>
      </c>
      <c r="K614" s="167"/>
      <c r="L614" s="167"/>
      <c r="M614" s="167"/>
      <c r="N614" s="167"/>
      <c r="O614" s="167"/>
      <c r="P614" s="167"/>
      <c r="Q614" s="597"/>
      <c r="R614" s="597"/>
      <c r="S614" s="597"/>
      <c r="T614" s="597"/>
      <c r="U614" s="597"/>
      <c r="V614" s="597"/>
      <c r="W614" s="597"/>
      <c r="X614" s="597"/>
      <c r="Y614" s="597"/>
      <c r="Z614" s="597"/>
    </row>
    <row r="615" spans="1:26" ht="18.75" hidden="1">
      <c r="A615" s="607"/>
      <c r="B615" s="609"/>
      <c r="C615" s="609"/>
      <c r="D615" s="609"/>
      <c r="E615" s="609"/>
      <c r="F615" s="711"/>
      <c r="G615" s="365"/>
      <c r="H615" s="369" t="s">
        <v>34</v>
      </c>
      <c r="I615" s="610"/>
      <c r="J615" s="610">
        <v>0</v>
      </c>
      <c r="K615" s="167"/>
      <c r="L615" s="167"/>
      <c r="M615" s="167"/>
      <c r="N615" s="167"/>
      <c r="O615" s="167"/>
      <c r="P615" s="167"/>
      <c r="Q615" s="597"/>
      <c r="R615" s="597"/>
      <c r="S615" s="597"/>
      <c r="T615" s="597"/>
      <c r="U615" s="597"/>
      <c r="V615" s="597"/>
      <c r="W615" s="597"/>
      <c r="X615" s="597"/>
      <c r="Y615" s="597"/>
      <c r="Z615" s="597"/>
    </row>
    <row r="616" spans="1:26" ht="18.75" hidden="1">
      <c r="A616" s="607"/>
      <c r="B616" s="609"/>
      <c r="C616" s="609"/>
      <c r="D616" s="712" t="s">
        <v>264</v>
      </c>
      <c r="E616" s="711"/>
      <c r="F616" s="711"/>
      <c r="G616" s="365"/>
      <c r="H616" s="369" t="s">
        <v>46</v>
      </c>
      <c r="I616" s="610"/>
      <c r="J616" s="610">
        <v>0</v>
      </c>
      <c r="K616" s="167"/>
      <c r="L616" s="167"/>
      <c r="M616" s="167"/>
      <c r="N616" s="167"/>
      <c r="O616" s="167"/>
      <c r="P616" s="167"/>
      <c r="Q616" s="597"/>
      <c r="R616" s="597"/>
      <c r="S616" s="597"/>
      <c r="T616" s="597"/>
      <c r="U616" s="597"/>
      <c r="V616" s="597"/>
      <c r="W616" s="597"/>
      <c r="X616" s="597"/>
      <c r="Y616" s="597"/>
      <c r="Z616" s="597"/>
    </row>
    <row r="617" spans="1:26" ht="18.75" hidden="1">
      <c r="A617" s="607"/>
      <c r="B617" s="609"/>
      <c r="C617" s="609"/>
      <c r="D617" s="609"/>
      <c r="E617" s="711"/>
      <c r="F617" s="711"/>
      <c r="G617" s="365"/>
      <c r="H617" s="369" t="s">
        <v>34</v>
      </c>
      <c r="I617" s="610"/>
      <c r="J617" s="610">
        <v>0</v>
      </c>
      <c r="K617" s="167"/>
      <c r="L617" s="167"/>
      <c r="M617" s="167"/>
      <c r="N617" s="167"/>
      <c r="O617" s="167"/>
      <c r="P617" s="167"/>
      <c r="Q617" s="597"/>
      <c r="R617" s="597"/>
      <c r="S617" s="597"/>
      <c r="T617" s="597"/>
      <c r="U617" s="597"/>
      <c r="V617" s="597"/>
      <c r="W617" s="597"/>
      <c r="X617" s="597"/>
      <c r="Y617" s="597"/>
      <c r="Z617" s="597"/>
    </row>
    <row r="618" spans="1:26" ht="18.75" hidden="1">
      <c r="A618" s="607"/>
      <c r="B618" s="609"/>
      <c r="C618" s="609"/>
      <c r="D618" s="712" t="s">
        <v>265</v>
      </c>
      <c r="E618" s="711"/>
      <c r="F618" s="711"/>
      <c r="G618" s="365"/>
      <c r="H618" s="369" t="s">
        <v>46</v>
      </c>
      <c r="I618" s="610"/>
      <c r="J618" s="610">
        <v>0</v>
      </c>
      <c r="K618" s="167"/>
      <c r="L618" s="167"/>
      <c r="M618" s="167"/>
      <c r="N618" s="167"/>
      <c r="O618" s="167"/>
      <c r="P618" s="167"/>
      <c r="Q618" s="597"/>
      <c r="R618" s="597"/>
      <c r="S618" s="597"/>
      <c r="T618" s="597"/>
      <c r="U618" s="597"/>
      <c r="V618" s="597"/>
      <c r="W618" s="597"/>
      <c r="X618" s="597"/>
      <c r="Y618" s="597"/>
      <c r="Z618" s="597"/>
    </row>
    <row r="619" spans="1:26" ht="18.75" hidden="1">
      <c r="A619" s="607"/>
      <c r="B619" s="609"/>
      <c r="C619" s="609"/>
      <c r="D619" s="609"/>
      <c r="E619" s="711"/>
      <c r="F619" s="711"/>
      <c r="G619" s="365"/>
      <c r="H619" s="369" t="s">
        <v>34</v>
      </c>
      <c r="I619" s="610"/>
      <c r="J619" s="610">
        <v>0</v>
      </c>
      <c r="K619" s="167"/>
      <c r="L619" s="167"/>
      <c r="M619" s="167"/>
      <c r="N619" s="167"/>
      <c r="O619" s="167"/>
      <c r="P619" s="167"/>
      <c r="Q619" s="597"/>
      <c r="R619" s="597"/>
      <c r="S619" s="597"/>
      <c r="T619" s="597"/>
      <c r="U619" s="597"/>
      <c r="V619" s="597"/>
      <c r="W619" s="597"/>
      <c r="X619" s="597"/>
      <c r="Y619" s="597"/>
      <c r="Z619" s="597"/>
    </row>
    <row r="620" spans="1:26" ht="19.5" hidden="1">
      <c r="A620" s="713"/>
      <c r="B620" s="722"/>
      <c r="C620" s="715" t="s">
        <v>266</v>
      </c>
      <c r="D620" s="722"/>
      <c r="E620" s="722"/>
      <c r="F620" s="716"/>
      <c r="G620" s="717"/>
      <c r="H620" s="718" t="s">
        <v>46</v>
      </c>
      <c r="I620" s="719">
        <f ca="1">IFERROR(__xludf.DUMMYFUNCTION("IMPORTRANGE(""https://docs.google.com/spreadsheets/d/1QqKyyYR6Q21VydFLVH3TRQUabQu_ym0Zz7PgGX0-kHA/edit?usp=sharing"",""แผน!HL54"")"),0)</f>
        <v>0</v>
      </c>
      <c r="J620" s="719">
        <f t="shared" ref="J620:J621" si="260">J622+J624+J626</f>
        <v>0</v>
      </c>
      <c r="K620" s="720">
        <f t="shared" ref="K620:K621" ca="1" si="261">IF(I620&gt;0,J620*100/I620,0)</f>
        <v>0</v>
      </c>
      <c r="L620" s="721"/>
      <c r="M620" s="721"/>
      <c r="N620" s="721"/>
      <c r="O620" s="721"/>
      <c r="P620" s="721"/>
      <c r="Q620" s="571"/>
      <c r="R620" s="571"/>
      <c r="S620" s="571"/>
      <c r="T620" s="571"/>
      <c r="U620" s="571"/>
      <c r="V620" s="571"/>
      <c r="W620" s="571"/>
      <c r="X620" s="571"/>
      <c r="Y620" s="571"/>
      <c r="Z620" s="571"/>
    </row>
    <row r="621" spans="1:26" ht="19.5" hidden="1">
      <c r="A621" s="713"/>
      <c r="B621" s="722"/>
      <c r="C621" s="722" t="s">
        <v>267</v>
      </c>
      <c r="D621" s="722"/>
      <c r="E621" s="722"/>
      <c r="F621" s="716"/>
      <c r="G621" s="717"/>
      <c r="H621" s="718" t="s">
        <v>34</v>
      </c>
      <c r="I621" s="719">
        <f ca="1">IFERROR(__xludf.DUMMYFUNCTION("IMPORTRANGE(""https://docs.google.com/spreadsheets/d/1QqKyyYR6Q21VydFLVH3TRQUabQu_ym0Zz7PgGX0-kHA/edit?usp=sharing"",""แผน!HK54"")"),0)</f>
        <v>0</v>
      </c>
      <c r="J621" s="719">
        <f t="shared" si="260"/>
        <v>0</v>
      </c>
      <c r="K621" s="720">
        <f t="shared" ca="1" si="261"/>
        <v>0</v>
      </c>
      <c r="L621" s="721"/>
      <c r="M621" s="721"/>
      <c r="N621" s="721"/>
      <c r="O621" s="721"/>
      <c r="P621" s="721"/>
      <c r="Q621" s="571"/>
      <c r="R621" s="571"/>
      <c r="S621" s="571"/>
      <c r="T621" s="571"/>
      <c r="U621" s="571"/>
      <c r="V621" s="571"/>
      <c r="W621" s="571"/>
      <c r="X621" s="571"/>
      <c r="Y621" s="571"/>
      <c r="Z621" s="571"/>
    </row>
    <row r="622" spans="1:26" ht="18.75" hidden="1">
      <c r="A622" s="601"/>
      <c r="B622" s="611"/>
      <c r="C622" s="611"/>
      <c r="D622" s="737" t="s">
        <v>268</v>
      </c>
      <c r="E622" s="619"/>
      <c r="F622" s="619"/>
      <c r="G622" s="753"/>
      <c r="H622" s="755" t="s">
        <v>46</v>
      </c>
      <c r="I622" s="269"/>
      <c r="J622" s="214">
        <v>0</v>
      </c>
      <c r="K622" s="163"/>
      <c r="L622" s="163"/>
      <c r="M622" s="163"/>
      <c r="N622" s="163"/>
      <c r="O622" s="163"/>
      <c r="P622" s="163"/>
      <c r="Q622" s="571"/>
      <c r="R622" s="571"/>
      <c r="S622" s="571"/>
      <c r="T622" s="571"/>
      <c r="U622" s="571"/>
      <c r="V622" s="571"/>
      <c r="W622" s="571"/>
      <c r="X622" s="571"/>
      <c r="Y622" s="571"/>
      <c r="Z622" s="571"/>
    </row>
    <row r="623" spans="1:26" ht="18.75" hidden="1">
      <c r="A623" s="601"/>
      <c r="B623" s="611"/>
      <c r="C623" s="611"/>
      <c r="D623" s="611"/>
      <c r="E623" s="619"/>
      <c r="F623" s="619"/>
      <c r="G623" s="753"/>
      <c r="H623" s="755" t="s">
        <v>34</v>
      </c>
      <c r="I623" s="269"/>
      <c r="J623" s="214">
        <v>0</v>
      </c>
      <c r="K623" s="163"/>
      <c r="L623" s="163"/>
      <c r="M623" s="163"/>
      <c r="N623" s="163"/>
      <c r="O623" s="163"/>
      <c r="P623" s="163"/>
      <c r="Q623" s="571"/>
      <c r="R623" s="571"/>
      <c r="S623" s="571"/>
      <c r="T623" s="571"/>
      <c r="U623" s="571"/>
      <c r="V623" s="571"/>
      <c r="W623" s="571"/>
      <c r="X623" s="571"/>
      <c r="Y623" s="571"/>
      <c r="Z623" s="571"/>
    </row>
    <row r="624" spans="1:26" ht="18.75" hidden="1">
      <c r="A624" s="601"/>
      <c r="B624" s="611"/>
      <c r="C624" s="611"/>
      <c r="D624" s="737" t="s">
        <v>264</v>
      </c>
      <c r="E624" s="619"/>
      <c r="F624" s="619"/>
      <c r="G624" s="753"/>
      <c r="H624" s="755" t="s">
        <v>46</v>
      </c>
      <c r="I624" s="269"/>
      <c r="J624" s="214">
        <v>0</v>
      </c>
      <c r="K624" s="163"/>
      <c r="L624" s="163"/>
      <c r="M624" s="163"/>
      <c r="N624" s="163"/>
      <c r="O624" s="163"/>
      <c r="P624" s="163"/>
      <c r="Q624" s="571"/>
      <c r="R624" s="571"/>
      <c r="S624" s="571"/>
      <c r="T624" s="571"/>
      <c r="U624" s="571"/>
      <c r="V624" s="571"/>
      <c r="W624" s="571"/>
      <c r="X624" s="571"/>
      <c r="Y624" s="571"/>
      <c r="Z624" s="571"/>
    </row>
    <row r="625" spans="1:26" ht="18.75" hidden="1">
      <c r="A625" s="601"/>
      <c r="B625" s="611"/>
      <c r="C625" s="611"/>
      <c r="D625" s="611"/>
      <c r="E625" s="619"/>
      <c r="F625" s="619"/>
      <c r="G625" s="753"/>
      <c r="H625" s="755" t="s">
        <v>34</v>
      </c>
      <c r="I625" s="269"/>
      <c r="J625" s="214">
        <v>0</v>
      </c>
      <c r="K625" s="163"/>
      <c r="L625" s="163"/>
      <c r="M625" s="163"/>
      <c r="N625" s="163"/>
      <c r="O625" s="163"/>
      <c r="P625" s="163"/>
      <c r="Q625" s="571"/>
      <c r="R625" s="571"/>
      <c r="S625" s="571"/>
      <c r="T625" s="571"/>
      <c r="U625" s="571"/>
      <c r="V625" s="571"/>
      <c r="W625" s="571"/>
      <c r="X625" s="571"/>
      <c r="Y625" s="571"/>
      <c r="Z625" s="571"/>
    </row>
    <row r="626" spans="1:26" ht="18.75" hidden="1">
      <c r="A626" s="601"/>
      <c r="B626" s="611"/>
      <c r="C626" s="611"/>
      <c r="D626" s="737" t="s">
        <v>269</v>
      </c>
      <c r="E626" s="619"/>
      <c r="F626" s="619"/>
      <c r="G626" s="753"/>
      <c r="H626" s="755" t="s">
        <v>46</v>
      </c>
      <c r="I626" s="269"/>
      <c r="J626" s="214">
        <v>0</v>
      </c>
      <c r="K626" s="163"/>
      <c r="L626" s="163"/>
      <c r="M626" s="163"/>
      <c r="N626" s="163"/>
      <c r="O626" s="163"/>
      <c r="P626" s="163"/>
      <c r="Q626" s="571"/>
      <c r="R626" s="571"/>
      <c r="S626" s="571"/>
      <c r="T626" s="571"/>
      <c r="U626" s="571"/>
      <c r="V626" s="571"/>
      <c r="W626" s="571"/>
      <c r="X626" s="571"/>
      <c r="Y626" s="571"/>
      <c r="Z626" s="571"/>
    </row>
    <row r="627" spans="1:26" ht="18.75" hidden="1">
      <c r="A627" s="723"/>
      <c r="B627" s="724"/>
      <c r="C627" s="724"/>
      <c r="D627" s="724"/>
      <c r="E627" s="725"/>
      <c r="F627" s="725"/>
      <c r="G627" s="726"/>
      <c r="H627" s="421" t="s">
        <v>34</v>
      </c>
      <c r="I627" s="499"/>
      <c r="J627" s="423">
        <v>0</v>
      </c>
      <c r="K627" s="384"/>
      <c r="L627" s="384"/>
      <c r="M627" s="384"/>
      <c r="N627" s="384"/>
      <c r="O627" s="384"/>
      <c r="P627" s="384"/>
      <c r="Q627" s="571"/>
      <c r="R627" s="571"/>
      <c r="S627" s="571"/>
      <c r="T627" s="571"/>
      <c r="U627" s="571"/>
      <c r="V627" s="571"/>
      <c r="W627" s="571"/>
      <c r="X627" s="571"/>
      <c r="Y627" s="571"/>
      <c r="Z627" s="571"/>
    </row>
    <row r="628" spans="1:26" ht="19.5" hidden="1">
      <c r="A628" s="727">
        <v>7</v>
      </c>
      <c r="B628" s="728" t="s">
        <v>270</v>
      </c>
      <c r="C628" s="729"/>
      <c r="D628" s="729"/>
      <c r="E628" s="729"/>
      <c r="F628" s="729"/>
      <c r="G628" s="730"/>
      <c r="H628" s="731" t="s">
        <v>35</v>
      </c>
      <c r="I628" s="732">
        <f t="shared" ref="I628:J628" ca="1" si="262">I651</f>
        <v>0</v>
      </c>
      <c r="J628" s="732">
        <f t="shared" ca="1" si="262"/>
        <v>0</v>
      </c>
      <c r="K628" s="733">
        <f ca="1">IF(I628&gt;0,J628*100/I628,0)</f>
        <v>0</v>
      </c>
      <c r="L628" s="734"/>
      <c r="M628" s="734"/>
      <c r="N628" s="734"/>
      <c r="O628" s="734"/>
      <c r="P628" s="734"/>
      <c r="Q628" s="571"/>
      <c r="R628" s="571"/>
      <c r="S628" s="571"/>
      <c r="T628" s="571"/>
      <c r="U628" s="571"/>
      <c r="V628" s="571"/>
      <c r="W628" s="571"/>
      <c r="X628" s="571"/>
      <c r="Y628" s="571"/>
      <c r="Z628" s="571"/>
    </row>
    <row r="629" spans="1:26" ht="19.5" hidden="1">
      <c r="A629" s="590"/>
      <c r="B629" s="754"/>
      <c r="C629" s="754" t="s">
        <v>16</v>
      </c>
      <c r="D629" s="863" t="s">
        <v>17</v>
      </c>
      <c r="E629" s="857"/>
      <c r="F629" s="857"/>
      <c r="G629" s="189"/>
      <c r="H629" s="591" t="s">
        <v>12</v>
      </c>
      <c r="I629" s="269"/>
      <c r="J629" s="269"/>
      <c r="K629" s="496"/>
      <c r="L629" s="195">
        <f t="shared" ref="L629:N629" ca="1" si="263">L630+L631</f>
        <v>0</v>
      </c>
      <c r="M629" s="195">
        <f t="shared" si="263"/>
        <v>0</v>
      </c>
      <c r="N629" s="195">
        <f t="shared" si="263"/>
        <v>0</v>
      </c>
      <c r="O629" s="195">
        <f t="shared" ref="O629:O634" ca="1" si="264">IF(L629&gt;0,N629*100/L629,0)</f>
        <v>0</v>
      </c>
      <c r="P629" s="195">
        <f t="shared" ref="P629:P634" si="265">IF(M629&gt;0,N629*100/M629,0)</f>
        <v>0</v>
      </c>
      <c r="Q629" s="571"/>
      <c r="R629" s="571"/>
      <c r="S629" s="571"/>
      <c r="T629" s="571"/>
      <c r="U629" s="571"/>
      <c r="V629" s="571"/>
      <c r="W629" s="571"/>
      <c r="X629" s="571"/>
      <c r="Y629" s="571"/>
      <c r="Z629" s="571"/>
    </row>
    <row r="630" spans="1:26" ht="18.75" hidden="1">
      <c r="A630" s="592"/>
      <c r="B630" s="750"/>
      <c r="C630" s="750"/>
      <c r="D630" s="711"/>
      <c r="E630" s="750" t="s">
        <v>184</v>
      </c>
      <c r="F630" s="750"/>
      <c r="G630" s="596"/>
      <c r="H630" s="165" t="s">
        <v>12</v>
      </c>
      <c r="I630" s="610"/>
      <c r="J630" s="610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597"/>
      <c r="R630" s="597"/>
      <c r="S630" s="597"/>
      <c r="T630" s="597"/>
      <c r="U630" s="597"/>
      <c r="V630" s="597"/>
      <c r="W630" s="597"/>
      <c r="X630" s="597"/>
      <c r="Y630" s="597"/>
      <c r="Z630" s="597"/>
    </row>
    <row r="631" spans="1:26" ht="18.75" hidden="1">
      <c r="A631" s="592"/>
      <c r="B631" s="600"/>
      <c r="C631" s="750"/>
      <c r="D631" s="711"/>
      <c r="E631" s="750" t="s">
        <v>185</v>
      </c>
      <c r="F631" s="750"/>
      <c r="G631" s="596"/>
      <c r="H631" s="165" t="s">
        <v>12</v>
      </c>
      <c r="I631" s="610"/>
      <c r="J631" s="610"/>
      <c r="K631" s="93"/>
      <c r="L631" s="93">
        <f t="shared" ca="1" si="266"/>
        <v>0</v>
      </c>
      <c r="M631" s="93">
        <f t="shared" si="266"/>
        <v>0</v>
      </c>
      <c r="N631" s="93">
        <f t="shared" si="266"/>
        <v>0</v>
      </c>
      <c r="O631" s="93">
        <f t="shared" ca="1" si="264"/>
        <v>0</v>
      </c>
      <c r="P631" s="93">
        <f t="shared" si="265"/>
        <v>0</v>
      </c>
      <c r="Q631" s="597"/>
      <c r="R631" s="597"/>
      <c r="S631" s="597"/>
      <c r="T631" s="597"/>
      <c r="U631" s="597"/>
      <c r="V631" s="597"/>
      <c r="W631" s="597"/>
      <c r="X631" s="597"/>
      <c r="Y631" s="597"/>
      <c r="Z631" s="597"/>
    </row>
    <row r="632" spans="1:26" ht="18.75" hidden="1">
      <c r="A632" s="590"/>
      <c r="B632" s="568"/>
      <c r="C632" s="754"/>
      <c r="D632" s="599" t="s">
        <v>20</v>
      </c>
      <c r="E632" s="754"/>
      <c r="F632" s="754"/>
      <c r="G632" s="189"/>
      <c r="H632" s="161" t="s">
        <v>12</v>
      </c>
      <c r="I632" s="184"/>
      <c r="J632" s="184"/>
      <c r="K632" s="163"/>
      <c r="L632" s="496">
        <f t="shared" ref="L632:N632" ca="1" si="267">L633+L634</f>
        <v>0</v>
      </c>
      <c r="M632" s="496">
        <f t="shared" si="267"/>
        <v>0</v>
      </c>
      <c r="N632" s="496">
        <f t="shared" si="267"/>
        <v>0</v>
      </c>
      <c r="O632" s="496">
        <f t="shared" ca="1" si="264"/>
        <v>0</v>
      </c>
      <c r="P632" s="496">
        <f t="shared" si="265"/>
        <v>0</v>
      </c>
      <c r="Q632" s="571"/>
      <c r="R632" s="571"/>
      <c r="S632" s="571"/>
      <c r="T632" s="571"/>
      <c r="U632" s="571"/>
      <c r="V632" s="571"/>
      <c r="W632" s="571"/>
      <c r="X632" s="571"/>
      <c r="Y632" s="571"/>
      <c r="Z632" s="571"/>
    </row>
    <row r="633" spans="1:26" ht="18.75" hidden="1">
      <c r="A633" s="592"/>
      <c r="B633" s="600"/>
      <c r="C633" s="750"/>
      <c r="D633" s="711"/>
      <c r="E633" s="750" t="s">
        <v>184</v>
      </c>
      <c r="F633" s="750"/>
      <c r="G633" s="596"/>
      <c r="H633" s="165" t="s">
        <v>12</v>
      </c>
      <c r="I633" s="610"/>
      <c r="J633" s="610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597"/>
      <c r="R633" s="597"/>
      <c r="S633" s="597"/>
      <c r="T633" s="597"/>
      <c r="U633" s="597"/>
      <c r="V633" s="597"/>
      <c r="W633" s="597"/>
      <c r="X633" s="597"/>
      <c r="Y633" s="597"/>
      <c r="Z633" s="597"/>
    </row>
    <row r="634" spans="1:26" ht="18.75" hidden="1">
      <c r="A634" s="592"/>
      <c r="B634" s="600"/>
      <c r="C634" s="750"/>
      <c r="D634" s="711"/>
      <c r="E634" s="750" t="s">
        <v>185</v>
      </c>
      <c r="F634" s="750"/>
      <c r="G634" s="596"/>
      <c r="H634" s="165" t="s">
        <v>12</v>
      </c>
      <c r="I634" s="610"/>
      <c r="J634" s="610"/>
      <c r="K634" s="93"/>
      <c r="L634" s="93">
        <f ca="1">IFERROR(__xludf.DUMMYFUNCTION("IMPORTRANGE(""https://docs.google.com/spreadsheets/d/1QqKyyYR6Q21VydFLVH3TRQUabQu_ym0Zz7PgGX0-kHA/edit?usp=sharing"",""แผน!HN54"")"),0)</f>
        <v>0</v>
      </c>
      <c r="M634" s="93">
        <v>0</v>
      </c>
      <c r="N634" s="93">
        <f>N635+N636+N637+N638</f>
        <v>0</v>
      </c>
      <c r="O634" s="93">
        <f t="shared" ca="1" si="264"/>
        <v>0</v>
      </c>
      <c r="P634" s="93">
        <f t="shared" si="265"/>
        <v>0</v>
      </c>
      <c r="Q634" s="597"/>
      <c r="R634" s="597"/>
      <c r="S634" s="597"/>
      <c r="T634" s="597"/>
      <c r="U634" s="597"/>
      <c r="V634" s="597"/>
      <c r="W634" s="597"/>
      <c r="X634" s="597"/>
      <c r="Y634" s="597"/>
      <c r="Z634" s="597"/>
    </row>
    <row r="635" spans="1:26" ht="18.75" hidden="1">
      <c r="A635" s="567"/>
      <c r="B635" s="568"/>
      <c r="C635" s="754"/>
      <c r="D635" s="754"/>
      <c r="E635" s="754"/>
      <c r="F635" s="754" t="s">
        <v>186</v>
      </c>
      <c r="G635" s="189"/>
      <c r="H635" s="161" t="s">
        <v>12</v>
      </c>
      <c r="I635" s="269"/>
      <c r="J635" s="269"/>
      <c r="K635" s="496"/>
      <c r="L635" s="496"/>
      <c r="M635" s="496"/>
      <c r="N635" s="817">
        <v>0</v>
      </c>
      <c r="O635" s="496"/>
      <c r="P635" s="496"/>
      <c r="Q635" s="571"/>
      <c r="R635" s="571"/>
      <c r="S635" s="571"/>
      <c r="T635" s="571"/>
      <c r="U635" s="571"/>
      <c r="V635" s="571"/>
      <c r="W635" s="571"/>
      <c r="X635" s="571"/>
      <c r="Y635" s="571"/>
      <c r="Z635" s="571"/>
    </row>
    <row r="636" spans="1:26" ht="18.75" hidden="1">
      <c r="A636" s="567"/>
      <c r="B636" s="568"/>
      <c r="C636" s="754"/>
      <c r="D636" s="754"/>
      <c r="E636" s="754"/>
      <c r="F636" s="754" t="s">
        <v>187</v>
      </c>
      <c r="G636" s="189"/>
      <c r="H636" s="161" t="s">
        <v>12</v>
      </c>
      <c r="I636" s="269"/>
      <c r="J636" s="269"/>
      <c r="K636" s="496"/>
      <c r="L636" s="496"/>
      <c r="M636" s="496"/>
      <c r="N636" s="817">
        <v>0</v>
      </c>
      <c r="O636" s="496"/>
      <c r="P636" s="496"/>
      <c r="Q636" s="571"/>
      <c r="R636" s="571"/>
      <c r="S636" s="571"/>
      <c r="T636" s="571"/>
      <c r="U636" s="571"/>
      <c r="V636" s="571"/>
      <c r="W636" s="571"/>
      <c r="X636" s="571"/>
      <c r="Y636" s="571"/>
      <c r="Z636" s="571"/>
    </row>
    <row r="637" spans="1:26" ht="18.75" hidden="1">
      <c r="A637" s="567"/>
      <c r="B637" s="568"/>
      <c r="C637" s="754"/>
      <c r="D637" s="754"/>
      <c r="E637" s="754"/>
      <c r="F637" s="754" t="s">
        <v>188</v>
      </c>
      <c r="G637" s="189"/>
      <c r="H637" s="161" t="s">
        <v>12</v>
      </c>
      <c r="I637" s="269"/>
      <c r="J637" s="269"/>
      <c r="K637" s="496"/>
      <c r="L637" s="496"/>
      <c r="M637" s="496"/>
      <c r="N637" s="817">
        <v>0</v>
      </c>
      <c r="O637" s="496"/>
      <c r="P637" s="496"/>
      <c r="Q637" s="571"/>
      <c r="R637" s="571"/>
      <c r="S637" s="571"/>
      <c r="T637" s="571"/>
      <c r="U637" s="571"/>
      <c r="V637" s="571"/>
      <c r="W637" s="571"/>
      <c r="X637" s="571"/>
      <c r="Y637" s="571"/>
      <c r="Z637" s="571"/>
    </row>
    <row r="638" spans="1:26" ht="18.75" hidden="1">
      <c r="A638" s="567"/>
      <c r="B638" s="568"/>
      <c r="C638" s="754"/>
      <c r="D638" s="754"/>
      <c r="E638" s="754"/>
      <c r="F638" s="754" t="s">
        <v>189</v>
      </c>
      <c r="G638" s="189"/>
      <c r="H638" s="161" t="s">
        <v>12</v>
      </c>
      <c r="I638" s="269"/>
      <c r="J638" s="269"/>
      <c r="K638" s="496"/>
      <c r="L638" s="496"/>
      <c r="M638" s="496"/>
      <c r="N638" s="817">
        <v>0</v>
      </c>
      <c r="O638" s="496"/>
      <c r="P638" s="496"/>
      <c r="Q638" s="571"/>
      <c r="R638" s="571"/>
      <c r="S638" s="571"/>
      <c r="T638" s="571"/>
      <c r="U638" s="571"/>
      <c r="V638" s="571"/>
      <c r="W638" s="571"/>
      <c r="X638" s="571"/>
      <c r="Y638" s="571"/>
      <c r="Z638" s="571"/>
    </row>
    <row r="639" spans="1:26" ht="18.75" hidden="1">
      <c r="A639" s="590"/>
      <c r="B639" s="568"/>
      <c r="C639" s="754"/>
      <c r="D639" s="599" t="s">
        <v>21</v>
      </c>
      <c r="E639" s="754"/>
      <c r="F639" s="754"/>
      <c r="G639" s="189"/>
      <c r="H639" s="168" t="s">
        <v>12</v>
      </c>
      <c r="I639" s="184"/>
      <c r="J639" s="184"/>
      <c r="K639" s="163"/>
      <c r="L639" s="496">
        <f t="shared" ref="L639:N639" ca="1" si="268">L640+L641</f>
        <v>0</v>
      </c>
      <c r="M639" s="496">
        <f t="shared" si="268"/>
        <v>0</v>
      </c>
      <c r="N639" s="496">
        <f t="shared" si="268"/>
        <v>0</v>
      </c>
      <c r="O639" s="496">
        <f t="shared" ref="O639:O641" ca="1" si="269">IF(L639&gt;0,N639*100/L639,0)</f>
        <v>0</v>
      </c>
      <c r="P639" s="496">
        <f t="shared" ref="P639:P641" si="270">IF(M639&gt;0,N639*100/M639,0)</f>
        <v>0</v>
      </c>
      <c r="Q639" s="571"/>
      <c r="R639" s="571"/>
      <c r="S639" s="571"/>
      <c r="T639" s="571"/>
      <c r="U639" s="571"/>
      <c r="V639" s="571"/>
      <c r="W639" s="571"/>
      <c r="X639" s="571"/>
      <c r="Y639" s="571"/>
      <c r="Z639" s="571"/>
    </row>
    <row r="640" spans="1:26" ht="18.75" hidden="1">
      <c r="A640" s="592"/>
      <c r="B640" s="600"/>
      <c r="C640" s="750"/>
      <c r="D640" s="750"/>
      <c r="E640" s="750" t="s">
        <v>18</v>
      </c>
      <c r="F640" s="750"/>
      <c r="G640" s="596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597"/>
      <c r="R640" s="597"/>
      <c r="S640" s="597"/>
      <c r="T640" s="597"/>
      <c r="U640" s="597"/>
      <c r="V640" s="597"/>
      <c r="W640" s="597"/>
      <c r="X640" s="597"/>
      <c r="Y640" s="597"/>
      <c r="Z640" s="597"/>
    </row>
    <row r="641" spans="1:26" ht="18.75" hidden="1">
      <c r="A641" s="592"/>
      <c r="B641" s="600"/>
      <c r="C641" s="750"/>
      <c r="D641" s="750"/>
      <c r="E641" s="750" t="s">
        <v>19</v>
      </c>
      <c r="F641" s="750"/>
      <c r="G641" s="596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IFERROR(__xludf.DUMMYFUNCTION("IMPORTRANGE(""https://docs.google.com/spreadsheets/d/1QqKyyYR6Q21VydFLVH3TRQUabQu_ym0Zz7PgGX0-kHA/edit?usp=sharing"",""แผน!HQ54"")"),0)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597"/>
      <c r="R641" s="597"/>
      <c r="S641" s="597"/>
      <c r="T641" s="597"/>
      <c r="U641" s="597"/>
      <c r="V641" s="597"/>
      <c r="W641" s="597"/>
      <c r="X641" s="597"/>
      <c r="Y641" s="597"/>
      <c r="Z641" s="597"/>
    </row>
    <row r="642" spans="1:26" ht="19.5" hidden="1">
      <c r="A642" s="601"/>
      <c r="B642" s="611"/>
      <c r="C642" s="754" t="s">
        <v>16</v>
      </c>
      <c r="D642" s="839" t="s">
        <v>38</v>
      </c>
      <c r="E642" s="752"/>
      <c r="F642" s="752"/>
      <c r="G642" s="606"/>
      <c r="H642" s="753"/>
      <c r="I642" s="184"/>
      <c r="J642" s="184"/>
      <c r="K642" s="163"/>
      <c r="L642" s="163"/>
      <c r="M642" s="163"/>
      <c r="N642" s="163"/>
      <c r="O642" s="163"/>
      <c r="P642" s="163"/>
      <c r="Q642" s="571"/>
      <c r="R642" s="571"/>
      <c r="S642" s="571"/>
      <c r="T642" s="571"/>
      <c r="U642" s="571"/>
      <c r="V642" s="571"/>
      <c r="W642" s="571"/>
      <c r="X642" s="571"/>
      <c r="Y642" s="571"/>
      <c r="Z642" s="571"/>
    </row>
    <row r="643" spans="1:26" ht="18.75" hidden="1">
      <c r="A643" s="735"/>
      <c r="B643" s="568"/>
      <c r="C643" s="754"/>
      <c r="D643" s="619"/>
      <c r="E643" s="737" t="s">
        <v>271</v>
      </c>
      <c r="F643" s="619"/>
      <c r="G643" s="753"/>
      <c r="H643" s="755" t="s">
        <v>272</v>
      </c>
      <c r="I643" s="269">
        <f ca="1">IFERROR(__xludf.DUMMYFUNCTION("IMPORTRANGE(""https://docs.google.com/spreadsheets/d/1QqKyyYR6Q21VydFLVH3TRQUabQu_ym0Zz7PgGX0-kHA/edit?usp=sharing"",""แผน!HR54"")"),0)</f>
        <v>0</v>
      </c>
      <c r="J643" s="214">
        <v>0</v>
      </c>
      <c r="K643" s="163">
        <f t="shared" ref="K643:K652" ca="1" si="271">IF(I643&gt;0,J643*100/I643,0)</f>
        <v>0</v>
      </c>
      <c r="L643" s="163"/>
      <c r="M643" s="163"/>
      <c r="N643" s="496"/>
      <c r="O643" s="163"/>
      <c r="P643" s="163"/>
      <c r="Q643" s="571"/>
      <c r="R643" s="571"/>
      <c r="S643" s="571"/>
      <c r="T643" s="571"/>
      <c r="U643" s="571"/>
      <c r="V643" s="571"/>
      <c r="W643" s="571"/>
      <c r="X643" s="571"/>
      <c r="Y643" s="571"/>
      <c r="Z643" s="571"/>
    </row>
    <row r="644" spans="1:26" ht="18.75" hidden="1">
      <c r="A644" s="735"/>
      <c r="B644" s="568"/>
      <c r="C644" s="754"/>
      <c r="D644" s="619"/>
      <c r="E644" s="737" t="s">
        <v>273</v>
      </c>
      <c r="F644" s="619"/>
      <c r="G644" s="753"/>
      <c r="H644" s="755" t="s">
        <v>274</v>
      </c>
      <c r="I644" s="269">
        <f ca="1">IFERROR(__xludf.DUMMYFUNCTION("IMPORTRANGE(""https://docs.google.com/spreadsheets/d/1QqKyyYR6Q21VydFLVH3TRQUabQu_ym0Zz7PgGX0-kHA/edit?usp=sharing"",""แผน!HR54"")"),0)</f>
        <v>0</v>
      </c>
      <c r="J644" s="214">
        <v>0</v>
      </c>
      <c r="K644" s="163">
        <f t="shared" ca="1" si="271"/>
        <v>0</v>
      </c>
      <c r="L644" s="163"/>
      <c r="M644" s="163"/>
      <c r="N644" s="496"/>
      <c r="O644" s="163"/>
      <c r="P644" s="163"/>
      <c r="Q644" s="571"/>
      <c r="R644" s="571"/>
      <c r="S644" s="571"/>
      <c r="T644" s="571"/>
      <c r="U644" s="571"/>
      <c r="V644" s="571"/>
      <c r="W644" s="571"/>
      <c r="X644" s="571"/>
      <c r="Y644" s="571"/>
      <c r="Z644" s="571"/>
    </row>
    <row r="645" spans="1:26" ht="18.75" hidden="1">
      <c r="A645" s="735"/>
      <c r="B645" s="568"/>
      <c r="C645" s="754"/>
      <c r="D645" s="619"/>
      <c r="E645" s="737" t="s">
        <v>275</v>
      </c>
      <c r="F645" s="619"/>
      <c r="G645" s="753"/>
      <c r="H645" s="755" t="s">
        <v>34</v>
      </c>
      <c r="I645" s="269">
        <v>0</v>
      </c>
      <c r="J645" s="269">
        <f ca="1">IFERROR(__xludf.DUMMYFUNCTION("IMPORTRANGE(""https://docs.google.com/spreadsheets/d/1XWAQStnk-4SwqDmLtmXYiTMKHgktTP8We1SCoS47DrQ/edit?usp=sharing"",""จัดที่ดิน!AS54"")"),1)</f>
        <v>1</v>
      </c>
      <c r="K645" s="163">
        <f t="shared" si="271"/>
        <v>0</v>
      </c>
      <c r="L645" s="163"/>
      <c r="M645" s="163"/>
      <c r="N645" s="496"/>
      <c r="O645" s="163"/>
      <c r="P645" s="163"/>
      <c r="Q645" s="571"/>
      <c r="R645" s="571"/>
      <c r="S645" s="571"/>
      <c r="T645" s="571"/>
      <c r="U645" s="571"/>
      <c r="V645" s="571"/>
      <c r="W645" s="571"/>
      <c r="X645" s="571"/>
      <c r="Y645" s="571"/>
      <c r="Z645" s="571"/>
    </row>
    <row r="646" spans="1:26" ht="18.75" hidden="1">
      <c r="A646" s="735"/>
      <c r="B646" s="568"/>
      <c r="C646" s="754"/>
      <c r="D646" s="619"/>
      <c r="E646" s="619"/>
      <c r="F646" s="619"/>
      <c r="G646" s="753"/>
      <c r="H646" s="755" t="s">
        <v>46</v>
      </c>
      <c r="I646" s="269">
        <v>0</v>
      </c>
      <c r="J646" s="269">
        <f ca="1">IFERROR(__xludf.DUMMYFUNCTION("IMPORTRANGE(""https://docs.google.com/spreadsheets/d/1XWAQStnk-4SwqDmLtmXYiTMKHgktTP8We1SCoS47DrQ/edit?usp=sharing"",""จัดที่ดิน!AT54"")"),1.05)</f>
        <v>1.05</v>
      </c>
      <c r="K646" s="496">
        <f t="shared" si="271"/>
        <v>0</v>
      </c>
      <c r="L646" s="163"/>
      <c r="M646" s="163"/>
      <c r="N646" s="496"/>
      <c r="O646" s="163"/>
      <c r="P646" s="163"/>
      <c r="Q646" s="571"/>
      <c r="R646" s="571"/>
      <c r="S646" s="571"/>
      <c r="T646" s="571"/>
      <c r="U646" s="571"/>
      <c r="V646" s="571"/>
      <c r="W646" s="571"/>
      <c r="X646" s="571"/>
      <c r="Y646" s="571"/>
      <c r="Z646" s="571"/>
    </row>
    <row r="647" spans="1:26" ht="18.75" hidden="1">
      <c r="A647" s="735"/>
      <c r="B647" s="568"/>
      <c r="C647" s="754"/>
      <c r="D647" s="619"/>
      <c r="E647" s="737" t="s">
        <v>162</v>
      </c>
      <c r="F647" s="619"/>
      <c r="G647" s="753"/>
      <c r="H647" s="755" t="s">
        <v>35</v>
      </c>
      <c r="I647" s="269">
        <f ca="1">IFERROR(__xludf.DUMMYFUNCTION("IMPORTRANGE(""https://docs.google.com/spreadsheets/d/1QqKyyYR6Q21VydFLVH3TRQUabQu_ym0Zz7PgGX0-kHA/edit?usp=sharing"",""แผน!HS54"")"),0)</f>
        <v>0</v>
      </c>
      <c r="J647" s="269">
        <f ca="1">IFERROR(__xludf.DUMMYFUNCTION("IMPORTRANGE(""https://docs.google.com/spreadsheets/d/1XWAQStnk-4SwqDmLtmXYiTMKHgktTP8We1SCoS47DrQ/edit?usp=sharing"",""จัดที่ดิน!AU54"")"),1)</f>
        <v>1</v>
      </c>
      <c r="K647" s="163">
        <f t="shared" ca="1" si="271"/>
        <v>0</v>
      </c>
      <c r="L647" s="163"/>
      <c r="M647" s="163"/>
      <c r="N647" s="163"/>
      <c r="O647" s="163"/>
      <c r="P647" s="163"/>
      <c r="Q647" s="571"/>
      <c r="R647" s="571"/>
      <c r="S647" s="571"/>
      <c r="T647" s="571"/>
      <c r="U647" s="571"/>
      <c r="V647" s="571"/>
      <c r="W647" s="571"/>
      <c r="X647" s="571"/>
      <c r="Y647" s="571"/>
      <c r="Z647" s="571"/>
    </row>
    <row r="648" spans="1:26" ht="18.75" hidden="1">
      <c r="A648" s="735"/>
      <c r="B648" s="568"/>
      <c r="C648" s="754"/>
      <c r="D648" s="619"/>
      <c r="E648" s="619"/>
      <c r="F648" s="619"/>
      <c r="G648" s="753"/>
      <c r="H648" s="755" t="s">
        <v>46</v>
      </c>
      <c r="I648" s="269">
        <v>0</v>
      </c>
      <c r="J648" s="269">
        <f ca="1">IFERROR(__xludf.DUMMYFUNCTION("IMPORTRANGE(""https://docs.google.com/spreadsheets/d/1XWAQStnk-4SwqDmLtmXYiTMKHgktTP8We1SCoS47DrQ/edit?usp=sharing"",""จัดที่ดิน!AV54"")"),1.05)</f>
        <v>1.05</v>
      </c>
      <c r="K648" s="496">
        <f t="shared" si="271"/>
        <v>0</v>
      </c>
      <c r="L648" s="163"/>
      <c r="M648" s="163"/>
      <c r="N648" s="163"/>
      <c r="O648" s="163"/>
      <c r="P648" s="163"/>
      <c r="Q648" s="571"/>
      <c r="R648" s="571"/>
      <c r="S648" s="571"/>
      <c r="T648" s="571"/>
      <c r="U648" s="571"/>
      <c r="V648" s="571"/>
      <c r="W648" s="571"/>
      <c r="X648" s="571"/>
      <c r="Y648" s="571"/>
      <c r="Z648" s="571"/>
    </row>
    <row r="649" spans="1:26" ht="18.75" hidden="1">
      <c r="A649" s="735"/>
      <c r="B649" s="568"/>
      <c r="C649" s="754"/>
      <c r="D649" s="619"/>
      <c r="E649" s="737" t="s">
        <v>276</v>
      </c>
      <c r="F649" s="619"/>
      <c r="G649" s="753"/>
      <c r="H649" s="755" t="s">
        <v>35</v>
      </c>
      <c r="I649" s="269">
        <f ca="1">IFERROR(__xludf.DUMMYFUNCTION("IMPORTRANGE(""https://docs.google.com/spreadsheets/d/1QqKyyYR6Q21VydFLVH3TRQUabQu_ym0Zz7PgGX0-kHA/edit?usp=sharing"",""แผน!HS54"")"),0)</f>
        <v>0</v>
      </c>
      <c r="J649" s="269">
        <f ca="1">IFERROR(__xludf.DUMMYFUNCTION("IMPORTRANGE(""https://docs.google.com/spreadsheets/d/1XWAQStnk-4SwqDmLtmXYiTMKHgktTP8We1SCoS47DrQ/edit?usp=sharing"",""จัดที่ดิน!AW54"")"),0)</f>
        <v>0</v>
      </c>
      <c r="K649" s="163">
        <f t="shared" ca="1" si="271"/>
        <v>0</v>
      </c>
      <c r="L649" s="163"/>
      <c r="M649" s="163"/>
      <c r="N649" s="163"/>
      <c r="O649" s="163"/>
      <c r="P649" s="163"/>
      <c r="Q649" s="571"/>
      <c r="R649" s="571"/>
      <c r="S649" s="571"/>
      <c r="T649" s="571"/>
      <c r="U649" s="571"/>
      <c r="V649" s="571"/>
      <c r="W649" s="571"/>
      <c r="X649" s="571"/>
      <c r="Y649" s="571"/>
      <c r="Z649" s="571"/>
    </row>
    <row r="650" spans="1:26" ht="18.75" hidden="1">
      <c r="A650" s="735"/>
      <c r="B650" s="568"/>
      <c r="C650" s="754"/>
      <c r="D650" s="619"/>
      <c r="E650" s="619"/>
      <c r="F650" s="619"/>
      <c r="G650" s="753"/>
      <c r="H650" s="755" t="s">
        <v>46</v>
      </c>
      <c r="I650" s="269">
        <v>0</v>
      </c>
      <c r="J650" s="269">
        <f ca="1">IFERROR(__xludf.DUMMYFUNCTION("IMPORTRANGE(""https://docs.google.com/spreadsheets/d/1XWAQStnk-4SwqDmLtmXYiTMKHgktTP8We1SCoS47DrQ/edit?usp=sharing"",""จัดที่ดิน!AX54"")"),0)</f>
        <v>0</v>
      </c>
      <c r="K650" s="496">
        <f t="shared" si="271"/>
        <v>0</v>
      </c>
      <c r="L650" s="163"/>
      <c r="M650" s="163"/>
      <c r="N650" s="163"/>
      <c r="O650" s="163"/>
      <c r="P650" s="163"/>
      <c r="Q650" s="571"/>
      <c r="R650" s="571"/>
      <c r="S650" s="571"/>
      <c r="T650" s="571"/>
      <c r="U650" s="571"/>
      <c r="V650" s="571"/>
      <c r="W650" s="571"/>
      <c r="X650" s="571"/>
      <c r="Y650" s="571"/>
      <c r="Z650" s="571"/>
    </row>
    <row r="651" spans="1:26" ht="18.75" hidden="1">
      <c r="A651" s="735"/>
      <c r="B651" s="568"/>
      <c r="C651" s="754"/>
      <c r="D651" s="619"/>
      <c r="E651" s="737" t="s">
        <v>277</v>
      </c>
      <c r="F651" s="619"/>
      <c r="G651" s="753"/>
      <c r="H651" s="755" t="s">
        <v>35</v>
      </c>
      <c r="I651" s="269">
        <f ca="1">IFERROR(__xludf.DUMMYFUNCTION("IMPORTRANGE(""https://docs.google.com/spreadsheets/d/1QqKyyYR6Q21VydFLVH3TRQUabQu_ym0Zz7PgGX0-kHA/edit?usp=sharing"",""แผน!HS54"")"),0)</f>
        <v>0</v>
      </c>
      <c r="J651" s="269">
        <f ca="1">IFERROR(__xludf.DUMMYFUNCTION("IMPORTRANGE(""https://docs.google.com/spreadsheets/d/1XWAQStnk-4SwqDmLtmXYiTMKHgktTP8We1SCoS47DrQ/edit?usp=sharing"",""จัดที่ดิน!AY54"")"),0)</f>
        <v>0</v>
      </c>
      <c r="K651" s="163">
        <f t="shared" ca="1" si="271"/>
        <v>0</v>
      </c>
      <c r="L651" s="163"/>
      <c r="M651" s="163"/>
      <c r="N651" s="163"/>
      <c r="O651" s="163"/>
      <c r="P651" s="163"/>
      <c r="Q651" s="571"/>
      <c r="R651" s="571"/>
      <c r="S651" s="571"/>
      <c r="T651" s="571"/>
      <c r="U651" s="571"/>
      <c r="V651" s="571"/>
      <c r="W651" s="571"/>
      <c r="X651" s="571"/>
      <c r="Y651" s="571"/>
      <c r="Z651" s="571"/>
    </row>
    <row r="652" spans="1:26" ht="18.75" hidden="1">
      <c r="A652" s="738"/>
      <c r="B652" s="739"/>
      <c r="C652" s="740"/>
      <c r="D652" s="725"/>
      <c r="E652" s="725"/>
      <c r="F652" s="725"/>
      <c r="G652" s="726"/>
      <c r="H652" s="498" t="s">
        <v>46</v>
      </c>
      <c r="I652" s="499">
        <v>0</v>
      </c>
      <c r="J652" s="499">
        <f ca="1">IFERROR(__xludf.DUMMYFUNCTION("IMPORTRANGE(""https://docs.google.com/spreadsheets/d/1XWAQStnk-4SwqDmLtmXYiTMKHgktTP8We1SCoS47DrQ/edit?usp=sharing"",""จัดที่ดิน!AZ54"")"),0)</f>
        <v>0</v>
      </c>
      <c r="K652" s="500">
        <f t="shared" si="271"/>
        <v>0</v>
      </c>
      <c r="L652" s="384"/>
      <c r="M652" s="384"/>
      <c r="N652" s="384"/>
      <c r="O652" s="384"/>
      <c r="P652" s="384"/>
      <c r="Q652" s="571"/>
      <c r="R652" s="571"/>
      <c r="S652" s="571"/>
      <c r="T652" s="571"/>
      <c r="U652" s="571"/>
      <c r="V652" s="571"/>
      <c r="W652" s="571"/>
      <c r="X652" s="571"/>
      <c r="Y652" s="571"/>
      <c r="Z652" s="571"/>
    </row>
    <row r="653" spans="1:26" ht="19.5">
      <c r="A653" s="741">
        <v>8</v>
      </c>
      <c r="B653" s="728" t="s">
        <v>278</v>
      </c>
      <c r="C653" s="729"/>
      <c r="D653" s="729"/>
      <c r="E653" s="729"/>
      <c r="F653" s="729"/>
      <c r="G653" s="730"/>
      <c r="H653" s="730"/>
      <c r="I653" s="742"/>
      <c r="J653" s="742"/>
      <c r="K653" s="734"/>
      <c r="L653" s="734"/>
      <c r="M653" s="734"/>
      <c r="N653" s="734"/>
      <c r="O653" s="734"/>
      <c r="P653" s="734"/>
      <c r="Q653" s="571"/>
      <c r="R653" s="571"/>
      <c r="S653" s="571"/>
      <c r="T653" s="571"/>
      <c r="U653" s="571"/>
      <c r="V653" s="571"/>
      <c r="W653" s="571"/>
      <c r="X653" s="571"/>
      <c r="Y653" s="571"/>
      <c r="Z653" s="571"/>
    </row>
    <row r="654" spans="1:26" ht="19.5">
      <c r="A654" s="666"/>
      <c r="B654" s="665" t="s">
        <v>279</v>
      </c>
      <c r="C654" s="666"/>
      <c r="D654" s="666"/>
      <c r="E654" s="666"/>
      <c r="F654" s="666"/>
      <c r="G654" s="667"/>
      <c r="H654" s="698" t="s">
        <v>46</v>
      </c>
      <c r="I654" s="699">
        <f t="shared" ref="I654:J654" ca="1" si="272">I669</f>
        <v>50</v>
      </c>
      <c r="J654" s="699">
        <f t="shared" si="272"/>
        <v>0</v>
      </c>
      <c r="K654" s="670">
        <f ca="1">IF(I654&gt;0,J654*100/I654,0)</f>
        <v>0</v>
      </c>
      <c r="L654" s="671"/>
      <c r="M654" s="671"/>
      <c r="N654" s="671"/>
      <c r="O654" s="671"/>
      <c r="P654" s="671"/>
      <c r="Q654" s="571"/>
      <c r="R654" s="571"/>
      <c r="S654" s="571"/>
      <c r="T654" s="571"/>
      <c r="U654" s="571"/>
      <c r="V654" s="571"/>
      <c r="W654" s="571"/>
      <c r="X654" s="571"/>
      <c r="Y654" s="571"/>
      <c r="Z654" s="571"/>
    </row>
    <row r="655" spans="1:26" ht="19.5">
      <c r="A655" s="590"/>
      <c r="B655" s="754"/>
      <c r="C655" s="754" t="s">
        <v>16</v>
      </c>
      <c r="D655" s="863" t="s">
        <v>17</v>
      </c>
      <c r="E655" s="857"/>
      <c r="F655" s="857"/>
      <c r="G655" s="189"/>
      <c r="H655" s="591" t="s">
        <v>12</v>
      </c>
      <c r="I655" s="269"/>
      <c r="J655" s="269"/>
      <c r="K655" s="496"/>
      <c r="L655" s="195">
        <f t="shared" ref="L655:N655" ca="1" si="273">L656+L657</f>
        <v>9400</v>
      </c>
      <c r="M655" s="195">
        <f t="shared" si="273"/>
        <v>0</v>
      </c>
      <c r="N655" s="195">
        <f t="shared" si="273"/>
        <v>3789</v>
      </c>
      <c r="O655" s="195">
        <f t="shared" ref="O655:O660" ca="1" si="274">IF(L655&gt;0,N655*100/L655,0)</f>
        <v>40.308510638297875</v>
      </c>
      <c r="P655" s="195">
        <f t="shared" ref="P655:P660" si="275">IF(M655&gt;0,N655*100/M655,0)</f>
        <v>0</v>
      </c>
      <c r="Q655" s="571"/>
      <c r="R655" s="571"/>
      <c r="S655" s="571"/>
      <c r="T655" s="571"/>
      <c r="U655" s="571"/>
      <c r="V655" s="571"/>
      <c r="W655" s="571"/>
      <c r="X655" s="571"/>
      <c r="Y655" s="571"/>
      <c r="Z655" s="571"/>
    </row>
    <row r="656" spans="1:26" ht="18.75" hidden="1">
      <c r="A656" s="592"/>
      <c r="B656" s="750"/>
      <c r="C656" s="750"/>
      <c r="D656" s="711"/>
      <c r="E656" s="750" t="s">
        <v>184</v>
      </c>
      <c r="F656" s="750"/>
      <c r="G656" s="596"/>
      <c r="H656" s="165" t="s">
        <v>12</v>
      </c>
      <c r="I656" s="610"/>
      <c r="J656" s="610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597"/>
      <c r="R656" s="597"/>
      <c r="S656" s="597"/>
      <c r="T656" s="597"/>
      <c r="U656" s="597"/>
      <c r="V656" s="597"/>
      <c r="W656" s="597"/>
      <c r="X656" s="597"/>
      <c r="Y656" s="597"/>
      <c r="Z656" s="597"/>
    </row>
    <row r="657" spans="1:26" ht="18.75" hidden="1">
      <c r="A657" s="592"/>
      <c r="B657" s="600"/>
      <c r="C657" s="750"/>
      <c r="D657" s="711"/>
      <c r="E657" s="750" t="s">
        <v>185</v>
      </c>
      <c r="F657" s="750"/>
      <c r="G657" s="596"/>
      <c r="H657" s="165" t="s">
        <v>12</v>
      </c>
      <c r="I657" s="610"/>
      <c r="J657" s="610"/>
      <c r="K657" s="93"/>
      <c r="L657" s="93">
        <f t="shared" ca="1" si="276"/>
        <v>9400</v>
      </c>
      <c r="M657" s="93">
        <f t="shared" si="276"/>
        <v>0</v>
      </c>
      <c r="N657" s="93">
        <f t="shared" si="276"/>
        <v>3789</v>
      </c>
      <c r="O657" s="93">
        <f t="shared" ca="1" si="274"/>
        <v>40.308510638297875</v>
      </c>
      <c r="P657" s="93">
        <f t="shared" si="275"/>
        <v>0</v>
      </c>
      <c r="Q657" s="597"/>
      <c r="R657" s="597"/>
      <c r="S657" s="597"/>
      <c r="T657" s="597"/>
      <c r="U657" s="597"/>
      <c r="V657" s="597"/>
      <c r="W657" s="597"/>
      <c r="X657" s="597"/>
      <c r="Y657" s="597"/>
      <c r="Z657" s="597"/>
    </row>
    <row r="658" spans="1:26" ht="18.75">
      <c r="A658" s="590"/>
      <c r="B658" s="568"/>
      <c r="C658" s="754"/>
      <c r="D658" s="599" t="s">
        <v>20</v>
      </c>
      <c r="E658" s="754"/>
      <c r="F658" s="754"/>
      <c r="G658" s="189"/>
      <c r="H658" s="161" t="s">
        <v>12</v>
      </c>
      <c r="I658" s="184"/>
      <c r="J658" s="184"/>
      <c r="K658" s="163"/>
      <c r="L658" s="496">
        <f t="shared" ref="L658:N658" ca="1" si="277">L659+L660</f>
        <v>9400</v>
      </c>
      <c r="M658" s="496">
        <f t="shared" si="277"/>
        <v>0</v>
      </c>
      <c r="N658" s="496">
        <f t="shared" si="277"/>
        <v>3789</v>
      </c>
      <c r="O658" s="496">
        <f t="shared" ca="1" si="274"/>
        <v>40.308510638297875</v>
      </c>
      <c r="P658" s="496">
        <f t="shared" si="275"/>
        <v>0</v>
      </c>
      <c r="Q658" s="571"/>
      <c r="R658" s="571"/>
      <c r="S658" s="571"/>
      <c r="T658" s="571"/>
      <c r="U658" s="571"/>
      <c r="V658" s="571"/>
      <c r="W658" s="571"/>
      <c r="X658" s="571"/>
      <c r="Y658" s="571"/>
      <c r="Z658" s="571"/>
    </row>
    <row r="659" spans="1:26" ht="18.75" hidden="1">
      <c r="A659" s="592"/>
      <c r="B659" s="600"/>
      <c r="C659" s="750"/>
      <c r="D659" s="711"/>
      <c r="E659" s="750" t="s">
        <v>184</v>
      </c>
      <c r="F659" s="750"/>
      <c r="G659" s="596"/>
      <c r="H659" s="165" t="s">
        <v>12</v>
      </c>
      <c r="I659" s="610"/>
      <c r="J659" s="610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597"/>
      <c r="R659" s="597"/>
      <c r="S659" s="597"/>
      <c r="T659" s="597"/>
      <c r="U659" s="597"/>
      <c r="V659" s="597"/>
      <c r="W659" s="597"/>
      <c r="X659" s="597"/>
      <c r="Y659" s="597"/>
      <c r="Z659" s="597"/>
    </row>
    <row r="660" spans="1:26" ht="18.75" hidden="1">
      <c r="A660" s="592"/>
      <c r="B660" s="600"/>
      <c r="C660" s="750"/>
      <c r="D660" s="711"/>
      <c r="E660" s="750" t="s">
        <v>185</v>
      </c>
      <c r="F660" s="750"/>
      <c r="G660" s="596"/>
      <c r="H660" s="165" t="s">
        <v>12</v>
      </c>
      <c r="I660" s="610"/>
      <c r="J660" s="610"/>
      <c r="K660" s="93"/>
      <c r="L660" s="93">
        <f ca="1">IFERROR(__xludf.DUMMYFUNCTION("IMPORTRANGE(""https://docs.google.com/spreadsheets/d/1QqKyyYR6Q21VydFLVH3TRQUabQu_ym0Zz7PgGX0-kHA/edit?usp=sharing"",""แผน!HV54"")"),9400)</f>
        <v>9400</v>
      </c>
      <c r="M660" s="93">
        <v>0</v>
      </c>
      <c r="N660" s="93">
        <f>N661+N662+N663+N664</f>
        <v>3789</v>
      </c>
      <c r="O660" s="93">
        <f t="shared" ca="1" si="274"/>
        <v>40.308510638297875</v>
      </c>
      <c r="P660" s="93">
        <f t="shared" si="275"/>
        <v>0</v>
      </c>
      <c r="Q660" s="597"/>
      <c r="R660" s="597"/>
      <c r="S660" s="597"/>
      <c r="T660" s="597"/>
      <c r="U660" s="597"/>
      <c r="V660" s="597"/>
      <c r="W660" s="597"/>
      <c r="X660" s="597"/>
      <c r="Y660" s="597"/>
      <c r="Z660" s="597"/>
    </row>
    <row r="661" spans="1:26" ht="18.75">
      <c r="A661" s="567"/>
      <c r="B661" s="568"/>
      <c r="C661" s="754"/>
      <c r="D661" s="754"/>
      <c r="E661" s="754"/>
      <c r="F661" s="754" t="s">
        <v>186</v>
      </c>
      <c r="G661" s="189"/>
      <c r="H661" s="161" t="s">
        <v>12</v>
      </c>
      <c r="I661" s="269"/>
      <c r="J661" s="269"/>
      <c r="K661" s="496"/>
      <c r="L661" s="496"/>
      <c r="M661" s="496"/>
      <c r="N661" s="817">
        <v>0</v>
      </c>
      <c r="O661" s="496"/>
      <c r="P661" s="496"/>
      <c r="Q661" s="571"/>
      <c r="R661" s="571"/>
      <c r="S661" s="571"/>
      <c r="T661" s="571"/>
      <c r="U661" s="571"/>
      <c r="V661" s="571"/>
      <c r="W661" s="571"/>
      <c r="X661" s="571"/>
      <c r="Y661" s="571"/>
      <c r="Z661" s="571"/>
    </row>
    <row r="662" spans="1:26" ht="18.75">
      <c r="A662" s="567"/>
      <c r="B662" s="568"/>
      <c r="C662" s="754"/>
      <c r="D662" s="754"/>
      <c r="E662" s="754"/>
      <c r="F662" s="754" t="s">
        <v>187</v>
      </c>
      <c r="G662" s="189"/>
      <c r="H662" s="161" t="s">
        <v>12</v>
      </c>
      <c r="I662" s="269"/>
      <c r="J662" s="269"/>
      <c r="K662" s="496"/>
      <c r="L662" s="496"/>
      <c r="M662" s="496"/>
      <c r="N662" s="817">
        <v>0</v>
      </c>
      <c r="O662" s="496"/>
      <c r="P662" s="496"/>
      <c r="Q662" s="571"/>
      <c r="R662" s="571"/>
      <c r="S662" s="571"/>
      <c r="T662" s="571"/>
      <c r="U662" s="571"/>
      <c r="V662" s="571"/>
      <c r="W662" s="571"/>
      <c r="X662" s="571"/>
      <c r="Y662" s="571"/>
      <c r="Z662" s="571"/>
    </row>
    <row r="663" spans="1:26" ht="18.75">
      <c r="A663" s="567"/>
      <c r="B663" s="568"/>
      <c r="C663" s="568"/>
      <c r="D663" s="754"/>
      <c r="E663" s="754"/>
      <c r="F663" s="754" t="s">
        <v>188</v>
      </c>
      <c r="G663" s="189"/>
      <c r="H663" s="161" t="s">
        <v>12</v>
      </c>
      <c r="I663" s="269"/>
      <c r="J663" s="269"/>
      <c r="K663" s="496"/>
      <c r="L663" s="496"/>
      <c r="M663" s="496"/>
      <c r="N663" s="817">
        <v>0</v>
      </c>
      <c r="O663" s="496"/>
      <c r="P663" s="496"/>
      <c r="Q663" s="571"/>
      <c r="R663" s="571"/>
      <c r="S663" s="571"/>
      <c r="T663" s="571"/>
      <c r="U663" s="571"/>
      <c r="V663" s="571"/>
      <c r="W663" s="571"/>
      <c r="X663" s="571"/>
      <c r="Y663" s="571"/>
      <c r="Z663" s="571"/>
    </row>
    <row r="664" spans="1:26" ht="18.75">
      <c r="A664" s="567"/>
      <c r="B664" s="568"/>
      <c r="C664" s="568"/>
      <c r="D664" s="568"/>
      <c r="E664" s="754"/>
      <c r="F664" s="754" t="s">
        <v>189</v>
      </c>
      <c r="G664" s="189"/>
      <c r="H664" s="161" t="s">
        <v>12</v>
      </c>
      <c r="I664" s="269"/>
      <c r="J664" s="269"/>
      <c r="K664" s="496"/>
      <c r="L664" s="496"/>
      <c r="M664" s="496"/>
      <c r="N664" s="817">
        <f>2139+1650</f>
        <v>3789</v>
      </c>
      <c r="O664" s="496"/>
      <c r="P664" s="496"/>
      <c r="Q664" s="571"/>
      <c r="R664" s="571"/>
      <c r="S664" s="571"/>
      <c r="T664" s="571"/>
      <c r="U664" s="571"/>
      <c r="V664" s="571"/>
      <c r="W664" s="571"/>
      <c r="X664" s="571"/>
      <c r="Y664" s="571"/>
      <c r="Z664" s="571"/>
    </row>
    <row r="665" spans="1:26" ht="18.75">
      <c r="A665" s="590"/>
      <c r="B665" s="568"/>
      <c r="C665" s="568"/>
      <c r="D665" s="599" t="s">
        <v>21</v>
      </c>
      <c r="E665" s="754"/>
      <c r="F665" s="754"/>
      <c r="G665" s="189"/>
      <c r="H665" s="168" t="s">
        <v>12</v>
      </c>
      <c r="I665" s="184"/>
      <c r="J665" s="184"/>
      <c r="K665" s="163"/>
      <c r="L665" s="496">
        <f t="shared" ref="L665:N665" si="278">L666+L667</f>
        <v>0</v>
      </c>
      <c r="M665" s="496">
        <f t="shared" si="278"/>
        <v>0</v>
      </c>
      <c r="N665" s="496">
        <f t="shared" si="278"/>
        <v>0</v>
      </c>
      <c r="O665" s="496">
        <f t="shared" ref="O665:O667" si="279">IF(L665&gt;0,N665*100/L665,0)</f>
        <v>0</v>
      </c>
      <c r="P665" s="496">
        <f t="shared" ref="P665:P667" si="280">IF(M665&gt;0,N665*100/M665,0)</f>
        <v>0</v>
      </c>
      <c r="Q665" s="571"/>
      <c r="R665" s="571"/>
      <c r="S665" s="571"/>
      <c r="T665" s="571"/>
      <c r="U665" s="571"/>
      <c r="V665" s="571"/>
      <c r="W665" s="571"/>
      <c r="X665" s="571"/>
      <c r="Y665" s="571"/>
      <c r="Z665" s="571"/>
    </row>
    <row r="666" spans="1:26" ht="18.75" hidden="1">
      <c r="A666" s="592"/>
      <c r="B666" s="600"/>
      <c r="C666" s="600"/>
      <c r="D666" s="600"/>
      <c r="E666" s="750" t="s">
        <v>18</v>
      </c>
      <c r="F666" s="750"/>
      <c r="G666" s="596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597"/>
      <c r="R666" s="597"/>
      <c r="S666" s="597"/>
      <c r="T666" s="597"/>
      <c r="U666" s="597"/>
      <c r="V666" s="597"/>
      <c r="W666" s="597"/>
      <c r="X666" s="597"/>
      <c r="Y666" s="597"/>
      <c r="Z666" s="597"/>
    </row>
    <row r="667" spans="1:26" ht="18.75" hidden="1">
      <c r="A667" s="592"/>
      <c r="B667" s="600"/>
      <c r="C667" s="600"/>
      <c r="D667" s="600"/>
      <c r="E667" s="750" t="s">
        <v>19</v>
      </c>
      <c r="F667" s="750"/>
      <c r="G667" s="596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597"/>
      <c r="R667" s="597"/>
      <c r="S667" s="597"/>
      <c r="T667" s="597"/>
      <c r="U667" s="597"/>
      <c r="V667" s="597"/>
      <c r="W667" s="597"/>
      <c r="X667" s="597"/>
      <c r="Y667" s="597"/>
      <c r="Z667" s="597"/>
    </row>
    <row r="668" spans="1:26" ht="19.5">
      <c r="A668" s="601"/>
      <c r="B668" s="611"/>
      <c r="C668" s="568" t="s">
        <v>16</v>
      </c>
      <c r="D668" s="836" t="s">
        <v>38</v>
      </c>
      <c r="E668" s="752"/>
      <c r="F668" s="752"/>
      <c r="G668" s="606"/>
      <c r="H668" s="753"/>
      <c r="I668" s="184"/>
      <c r="J668" s="184"/>
      <c r="K668" s="163"/>
      <c r="L668" s="163"/>
      <c r="M668" s="163"/>
      <c r="N668" s="163"/>
      <c r="O668" s="163"/>
      <c r="P668" s="163"/>
      <c r="Q668" s="571"/>
      <c r="R668" s="571"/>
      <c r="S668" s="571"/>
      <c r="T668" s="571"/>
      <c r="U668" s="571"/>
      <c r="V668" s="571"/>
      <c r="W668" s="571"/>
      <c r="X668" s="571"/>
      <c r="Y668" s="571"/>
      <c r="Z668" s="571"/>
    </row>
    <row r="669" spans="1:26" ht="19.5">
      <c r="A669" s="601"/>
      <c r="B669" s="611"/>
      <c r="C669" s="611"/>
      <c r="D669" s="611" t="s">
        <v>280</v>
      </c>
      <c r="E669" s="619"/>
      <c r="F669" s="619"/>
      <c r="G669" s="753"/>
      <c r="H669" s="758" t="s">
        <v>46</v>
      </c>
      <c r="I669" s="674">
        <f ca="1">IFERROR(__xludf.DUMMYFUNCTION("IMPORTRANGE(""https://docs.google.com/spreadsheets/d/1QqKyyYR6Q21VydFLVH3TRQUabQu_ym0Zz7PgGX0-kHA/edit?usp=sharing"",""แผน!IA54"")"),50)</f>
        <v>50</v>
      </c>
      <c r="J669" s="674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1"/>
      <c r="R669" s="571"/>
      <c r="S669" s="571"/>
      <c r="T669" s="571"/>
      <c r="U669" s="571"/>
      <c r="V669" s="571"/>
      <c r="W669" s="571"/>
      <c r="X669" s="571"/>
      <c r="Y669" s="571"/>
      <c r="Z669" s="571"/>
    </row>
    <row r="670" spans="1:26" ht="18.75">
      <c r="A670" s="601"/>
      <c r="B670" s="611"/>
      <c r="C670" s="611"/>
      <c r="D670" s="611"/>
      <c r="E670" s="619" t="s">
        <v>281</v>
      </c>
      <c r="F670" s="619"/>
      <c r="G670" s="753"/>
      <c r="H670" s="755" t="s">
        <v>69</v>
      </c>
      <c r="I670" s="269">
        <f ca="1">IFERROR(__xludf.DUMMYFUNCTION("IMPORTRANGE(""https://docs.google.com/spreadsheets/d/1QqKyyYR6Q21VydFLVH3TRQUabQu_ym0Zz7PgGX0-kHA/edit?usp=sharing"",""แผน!HZ54"")"),4)</f>
        <v>4</v>
      </c>
      <c r="J670" s="214">
        <v>4</v>
      </c>
      <c r="K670" s="496">
        <f ca="1">IF(I670&gt;0,(J670*100)/I670,0)</f>
        <v>100</v>
      </c>
      <c r="L670" s="163"/>
      <c r="M670" s="163"/>
      <c r="N670" s="163"/>
      <c r="O670" s="163"/>
      <c r="P670" s="163"/>
      <c r="Q670" s="571"/>
      <c r="R670" s="571"/>
      <c r="S670" s="571"/>
      <c r="T670" s="571"/>
      <c r="U670" s="571"/>
      <c r="V670" s="571"/>
      <c r="W670" s="571"/>
      <c r="X670" s="571"/>
      <c r="Y670" s="571"/>
      <c r="Z670" s="571"/>
    </row>
    <row r="671" spans="1:26" ht="18.75">
      <c r="A671" s="601"/>
      <c r="B671" s="611"/>
      <c r="C671" s="611"/>
      <c r="D671" s="611"/>
      <c r="E671" s="619" t="s">
        <v>282</v>
      </c>
      <c r="F671" s="619"/>
      <c r="G671" s="753"/>
      <c r="H671" s="755" t="s">
        <v>69</v>
      </c>
      <c r="I671" s="269">
        <f ca="1">IFERROR(__xludf.DUMMYFUNCTION("IMPORTRANGE(""https://docs.google.com/spreadsheets/d/1QqKyyYR6Q21VydFLVH3TRQUabQu_ym0Zz7PgGX0-kHA/edit?usp=sharing"",""แผน!HZ54"")"),4)</f>
        <v>4</v>
      </c>
      <c r="J671" s="214">
        <v>4</v>
      </c>
      <c r="K671" s="496">
        <f ca="1">IF(I$671&gt;0,J671*100/I$671,0)</f>
        <v>100</v>
      </c>
      <c r="L671" s="163"/>
      <c r="M671" s="163"/>
      <c r="N671" s="163"/>
      <c r="O671" s="163"/>
      <c r="P671" s="163"/>
      <c r="Q671" s="571"/>
      <c r="R671" s="571"/>
      <c r="S671" s="571"/>
      <c r="T671" s="571"/>
      <c r="U671" s="571"/>
      <c r="V671" s="571"/>
      <c r="W671" s="571"/>
      <c r="X671" s="571"/>
      <c r="Y671" s="571"/>
      <c r="Z671" s="571"/>
    </row>
    <row r="672" spans="1:26" ht="18.75">
      <c r="A672" s="601"/>
      <c r="B672" s="611"/>
      <c r="C672" s="611"/>
      <c r="D672" s="611"/>
      <c r="E672" s="619" t="s">
        <v>283</v>
      </c>
      <c r="F672" s="619"/>
      <c r="G672" s="753"/>
      <c r="H672" s="755" t="s">
        <v>46</v>
      </c>
      <c r="I672" s="269"/>
      <c r="J672" s="214">
        <v>0</v>
      </c>
      <c r="K672" s="496">
        <f t="shared" ref="K672:K675" ca="1" si="281">IF(I$669&gt;0,J672*100/I$669,0)</f>
        <v>0</v>
      </c>
      <c r="L672" s="163"/>
      <c r="M672" s="163"/>
      <c r="N672" s="163"/>
      <c r="O672" s="163"/>
      <c r="P672" s="163"/>
      <c r="Q672" s="571"/>
      <c r="R672" s="571"/>
      <c r="S672" s="571"/>
      <c r="T672" s="571"/>
      <c r="U672" s="571"/>
      <c r="V672" s="571"/>
      <c r="W672" s="571"/>
      <c r="X672" s="571"/>
      <c r="Y672" s="571"/>
      <c r="Z672" s="571"/>
    </row>
    <row r="673" spans="1:26" ht="18.75">
      <c r="A673" s="601"/>
      <c r="B673" s="611"/>
      <c r="C673" s="611"/>
      <c r="D673" s="611"/>
      <c r="E673" s="619" t="s">
        <v>284</v>
      </c>
      <c r="F673" s="619"/>
      <c r="G673" s="753"/>
      <c r="H673" s="755" t="s">
        <v>46</v>
      </c>
      <c r="I673" s="269"/>
      <c r="J673" s="214">
        <v>0</v>
      </c>
      <c r="K673" s="496">
        <f t="shared" ca="1" si="281"/>
        <v>0</v>
      </c>
      <c r="L673" s="163"/>
      <c r="M673" s="163"/>
      <c r="N673" s="163"/>
      <c r="O673" s="163"/>
      <c r="P673" s="163"/>
      <c r="Q673" s="571"/>
      <c r="R673" s="571"/>
      <c r="S673" s="571"/>
      <c r="T673" s="571"/>
      <c r="U673" s="571"/>
      <c r="V673" s="571"/>
      <c r="W673" s="571"/>
      <c r="X673" s="571"/>
      <c r="Y673" s="571"/>
      <c r="Z673" s="571"/>
    </row>
    <row r="674" spans="1:26" ht="18.75">
      <c r="A674" s="601"/>
      <c r="B674" s="611"/>
      <c r="C674" s="611"/>
      <c r="D674" s="611"/>
      <c r="E674" s="619" t="s">
        <v>285</v>
      </c>
      <c r="F674" s="619"/>
      <c r="G674" s="753"/>
      <c r="H674" s="755" t="s">
        <v>46</v>
      </c>
      <c r="I674" s="269"/>
      <c r="J674" s="214">
        <v>0</v>
      </c>
      <c r="K674" s="496">
        <f t="shared" ca="1" si="281"/>
        <v>0</v>
      </c>
      <c r="L674" s="163"/>
      <c r="M674" s="163"/>
      <c r="N674" s="163"/>
      <c r="O674" s="163"/>
      <c r="P674" s="163"/>
      <c r="Q674" s="571"/>
      <c r="R674" s="571"/>
      <c r="S674" s="571"/>
      <c r="T674" s="571"/>
      <c r="U674" s="571"/>
      <c r="V674" s="571"/>
      <c r="W674" s="571"/>
      <c r="X674" s="571"/>
      <c r="Y674" s="571"/>
      <c r="Z674" s="571"/>
    </row>
    <row r="675" spans="1:26" ht="19.5">
      <c r="A675" s="601"/>
      <c r="B675" s="611"/>
      <c r="C675" s="611"/>
      <c r="D675" s="611"/>
      <c r="E675" s="619" t="s">
        <v>286</v>
      </c>
      <c r="F675" s="619"/>
      <c r="G675" s="753"/>
      <c r="H675" s="755" t="s">
        <v>46</v>
      </c>
      <c r="I675" s="269"/>
      <c r="J675" s="674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71"/>
      <c r="R675" s="571"/>
      <c r="S675" s="571"/>
      <c r="T675" s="571"/>
      <c r="U675" s="571"/>
      <c r="V675" s="571"/>
      <c r="W675" s="571"/>
      <c r="X675" s="571"/>
      <c r="Y675" s="571"/>
      <c r="Z675" s="571"/>
    </row>
    <row r="676" spans="1:26" ht="18.75">
      <c r="A676" s="601"/>
      <c r="B676" s="611"/>
      <c r="C676" s="611"/>
      <c r="D676" s="611"/>
      <c r="E676" s="619"/>
      <c r="F676" s="619" t="s">
        <v>287</v>
      </c>
      <c r="G676" s="753"/>
      <c r="H676" s="755" t="s">
        <v>46</v>
      </c>
      <c r="I676" s="269"/>
      <c r="J676" s="214">
        <v>0</v>
      </c>
      <c r="K676" s="496"/>
      <c r="L676" s="163"/>
      <c r="M676" s="163"/>
      <c r="N676" s="163"/>
      <c r="O676" s="163"/>
      <c r="P676" s="163"/>
      <c r="Q676" s="571"/>
      <c r="R676" s="571"/>
      <c r="S676" s="571"/>
      <c r="T676" s="571"/>
      <c r="U676" s="571"/>
      <c r="V676" s="571"/>
      <c r="W676" s="571"/>
      <c r="X676" s="571"/>
      <c r="Y676" s="571"/>
      <c r="Z676" s="571"/>
    </row>
    <row r="677" spans="1:26" ht="18.75">
      <c r="A677" s="601"/>
      <c r="B677" s="611"/>
      <c r="C677" s="611"/>
      <c r="D677" s="611"/>
      <c r="E677" s="619"/>
      <c r="F677" s="619" t="s">
        <v>288</v>
      </c>
      <c r="G677" s="753"/>
      <c r="H677" s="755" t="s">
        <v>46</v>
      </c>
      <c r="I677" s="269"/>
      <c r="J677" s="214">
        <v>0</v>
      </c>
      <c r="K677" s="496"/>
      <c r="L677" s="163"/>
      <c r="M677" s="163"/>
      <c r="N677" s="163"/>
      <c r="O677" s="163"/>
      <c r="P677" s="163"/>
      <c r="Q677" s="571"/>
      <c r="R677" s="571"/>
      <c r="S677" s="571"/>
      <c r="T677" s="571"/>
      <c r="U677" s="571"/>
      <c r="V677" s="571"/>
      <c r="W677" s="571"/>
      <c r="X677" s="571"/>
      <c r="Y677" s="571"/>
      <c r="Z677" s="571"/>
    </row>
    <row r="678" spans="1:26" ht="19.5">
      <c r="A678" s="601"/>
      <c r="B678" s="611"/>
      <c r="C678" s="611"/>
      <c r="D678" s="611" t="s">
        <v>289</v>
      </c>
      <c r="E678" s="619"/>
      <c r="F678" s="619"/>
      <c r="G678" s="753"/>
      <c r="H678" s="755" t="s">
        <v>46</v>
      </c>
      <c r="I678" s="674">
        <f ca="1">IFERROR(__xludf.DUMMYFUNCTION("IMPORTRANGE(""https://docs.google.com/spreadsheets/d/1QqKyyYR6Q21VydFLVH3TRQUabQu_ym0Zz7PgGX0-kHA/edit?usp=sharing"",""แผน!IB54"")"),0)</f>
        <v>0</v>
      </c>
      <c r="J678" s="674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1"/>
      <c r="R678" s="571"/>
      <c r="S678" s="571"/>
      <c r="T678" s="571"/>
      <c r="U678" s="571"/>
      <c r="V678" s="571"/>
      <c r="W678" s="571"/>
      <c r="X678" s="571"/>
      <c r="Y678" s="571"/>
      <c r="Z678" s="571"/>
    </row>
    <row r="679" spans="1:26" ht="18.75">
      <c r="A679" s="601"/>
      <c r="B679" s="611"/>
      <c r="C679" s="611"/>
      <c r="D679" s="611"/>
      <c r="E679" s="619" t="s">
        <v>290</v>
      </c>
      <c r="F679" s="619"/>
      <c r="G679" s="753"/>
      <c r="H679" s="755" t="s">
        <v>46</v>
      </c>
      <c r="I679" s="269"/>
      <c r="J679" s="269">
        <f>J680+J681</f>
        <v>0</v>
      </c>
      <c r="K679" s="496"/>
      <c r="L679" s="163"/>
      <c r="M679" s="163"/>
      <c r="N679" s="163"/>
      <c r="O679" s="163"/>
      <c r="P679" s="163"/>
      <c r="Q679" s="571"/>
      <c r="R679" s="571"/>
      <c r="S679" s="571"/>
      <c r="T679" s="571"/>
      <c r="U679" s="571"/>
      <c r="V679" s="571"/>
      <c r="W679" s="571"/>
      <c r="X679" s="571"/>
      <c r="Y679" s="571"/>
      <c r="Z679" s="571"/>
    </row>
    <row r="680" spans="1:26" ht="18.75">
      <c r="A680" s="601"/>
      <c r="B680" s="611"/>
      <c r="C680" s="611"/>
      <c r="D680" s="611"/>
      <c r="E680" s="619"/>
      <c r="F680" s="619" t="s">
        <v>287</v>
      </c>
      <c r="G680" s="753"/>
      <c r="H680" s="755" t="s">
        <v>46</v>
      </c>
      <c r="I680" s="269"/>
      <c r="J680" s="214">
        <v>0</v>
      </c>
      <c r="K680" s="496"/>
      <c r="L680" s="163"/>
      <c r="M680" s="163"/>
      <c r="N680" s="163"/>
      <c r="O680" s="163"/>
      <c r="P680" s="163"/>
      <c r="Q680" s="571"/>
      <c r="R680" s="571"/>
      <c r="S680" s="571"/>
      <c r="T680" s="571"/>
      <c r="U680" s="571"/>
      <c r="V680" s="571"/>
      <c r="W680" s="571"/>
      <c r="X680" s="571"/>
      <c r="Y680" s="571"/>
      <c r="Z680" s="571"/>
    </row>
    <row r="681" spans="1:26" ht="18.75">
      <c r="A681" s="601"/>
      <c r="B681" s="611"/>
      <c r="C681" s="611"/>
      <c r="D681" s="611"/>
      <c r="E681" s="619"/>
      <c r="F681" s="619" t="s">
        <v>288</v>
      </c>
      <c r="G681" s="753"/>
      <c r="H681" s="755" t="s">
        <v>46</v>
      </c>
      <c r="I681" s="269"/>
      <c r="J681" s="214">
        <v>0</v>
      </c>
      <c r="K681" s="496"/>
      <c r="L681" s="163"/>
      <c r="M681" s="163"/>
      <c r="N681" s="163"/>
      <c r="O681" s="163"/>
      <c r="P681" s="163"/>
      <c r="Q681" s="571"/>
      <c r="R681" s="571"/>
      <c r="S681" s="571"/>
      <c r="T681" s="571"/>
      <c r="U681" s="571"/>
      <c r="V681" s="571"/>
      <c r="W681" s="571"/>
      <c r="X681" s="571"/>
      <c r="Y681" s="571"/>
      <c r="Z681" s="571"/>
    </row>
    <row r="682" spans="1:26" ht="18.75">
      <c r="A682" s="601"/>
      <c r="B682" s="611"/>
      <c r="C682" s="611"/>
      <c r="D682" s="611"/>
      <c r="E682" s="619" t="s">
        <v>291</v>
      </c>
      <c r="F682" s="619"/>
      <c r="G682" s="753"/>
      <c r="H682" s="755" t="s">
        <v>46</v>
      </c>
      <c r="I682" s="269"/>
      <c r="J682" s="214">
        <v>0</v>
      </c>
      <c r="K682" s="496"/>
      <c r="L682" s="163"/>
      <c r="M682" s="163"/>
      <c r="N682" s="163"/>
      <c r="O682" s="163"/>
      <c r="P682" s="163"/>
      <c r="Q682" s="571"/>
      <c r="R682" s="571"/>
      <c r="S682" s="571"/>
      <c r="T682" s="571"/>
      <c r="U682" s="571"/>
      <c r="V682" s="571"/>
      <c r="W682" s="571"/>
      <c r="X682" s="571"/>
      <c r="Y682" s="571"/>
      <c r="Z682" s="571"/>
    </row>
    <row r="683" spans="1:26" ht="18.75">
      <c r="A683" s="601"/>
      <c r="B683" s="611"/>
      <c r="C683" s="611"/>
      <c r="D683" s="611"/>
      <c r="E683" s="619"/>
      <c r="F683" s="619" t="s">
        <v>292</v>
      </c>
      <c r="G683" s="753"/>
      <c r="H683" s="755" t="s">
        <v>46</v>
      </c>
      <c r="I683" s="269"/>
      <c r="J683" s="214">
        <v>0</v>
      </c>
      <c r="K683" s="496"/>
      <c r="L683" s="163"/>
      <c r="M683" s="163"/>
      <c r="N683" s="163"/>
      <c r="O683" s="163"/>
      <c r="P683" s="163"/>
      <c r="Q683" s="571"/>
      <c r="R683" s="571"/>
      <c r="S683" s="571"/>
      <c r="T683" s="571"/>
      <c r="U683" s="571"/>
      <c r="V683" s="571"/>
      <c r="W683" s="571"/>
      <c r="X683" s="571"/>
      <c r="Y683" s="571"/>
      <c r="Z683" s="571"/>
    </row>
    <row r="684" spans="1:26" ht="19.5">
      <c r="A684" s="744"/>
      <c r="B684" s="745" t="s">
        <v>293</v>
      </c>
      <c r="C684" s="744"/>
      <c r="D684" s="744"/>
      <c r="E684" s="744"/>
      <c r="F684" s="744"/>
      <c r="G684" s="746"/>
      <c r="H684" s="746"/>
      <c r="I684" s="747"/>
      <c r="J684" s="747"/>
      <c r="K684" s="748"/>
      <c r="L684" s="748"/>
      <c r="M684" s="748"/>
      <c r="N684" s="748"/>
      <c r="O684" s="748"/>
      <c r="P684" s="748"/>
      <c r="Q684" s="571"/>
      <c r="R684" s="571"/>
      <c r="S684" s="571"/>
      <c r="T684" s="571"/>
      <c r="U684" s="571"/>
      <c r="V684" s="571"/>
      <c r="W684" s="571"/>
      <c r="X684" s="571"/>
      <c r="Y684" s="571"/>
      <c r="Z684" s="571"/>
    </row>
    <row r="685" spans="1:26" ht="19.5">
      <c r="A685" s="590"/>
      <c r="B685" s="754"/>
      <c r="C685" s="754" t="s">
        <v>16</v>
      </c>
      <c r="D685" s="863" t="s">
        <v>17</v>
      </c>
      <c r="E685" s="857"/>
      <c r="F685" s="857"/>
      <c r="G685" s="189"/>
      <c r="H685" s="591" t="s">
        <v>12</v>
      </c>
      <c r="I685" s="269"/>
      <c r="J685" s="269"/>
      <c r="K685" s="496"/>
      <c r="L685" s="195">
        <f t="shared" ref="L685:N685" ca="1" si="282">L686+L687</f>
        <v>27360</v>
      </c>
      <c r="M685" s="195">
        <f t="shared" si="282"/>
        <v>0</v>
      </c>
      <c r="N685" s="195">
        <f t="shared" si="282"/>
        <v>0</v>
      </c>
      <c r="O685" s="195">
        <f t="shared" ref="O685:O688" ca="1" si="283">IF(L685&gt;0,N685*100/L685,0)</f>
        <v>0</v>
      </c>
      <c r="P685" s="195">
        <f t="shared" ref="P685:P688" si="284">IF(M685&gt;0,N685*100/M685,0)</f>
        <v>0</v>
      </c>
      <c r="Q685" s="571"/>
      <c r="R685" s="571"/>
      <c r="S685" s="571"/>
      <c r="T685" s="571"/>
      <c r="U685" s="571"/>
      <c r="V685" s="571"/>
      <c r="W685" s="571"/>
      <c r="X685" s="571"/>
      <c r="Y685" s="571"/>
      <c r="Z685" s="571"/>
    </row>
    <row r="686" spans="1:26" ht="18.75" hidden="1">
      <c r="A686" s="592"/>
      <c r="B686" s="750"/>
      <c r="C686" s="750"/>
      <c r="D686" s="711"/>
      <c r="E686" s="750" t="s">
        <v>184</v>
      </c>
      <c r="F686" s="750"/>
      <c r="G686" s="596"/>
      <c r="H686" s="165" t="s">
        <v>12</v>
      </c>
      <c r="I686" s="610"/>
      <c r="J686" s="610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597"/>
      <c r="R686" s="597"/>
      <c r="S686" s="597"/>
      <c r="T686" s="597"/>
      <c r="U686" s="597"/>
      <c r="V686" s="597"/>
      <c r="W686" s="597"/>
      <c r="X686" s="597"/>
      <c r="Y686" s="597"/>
      <c r="Z686" s="597"/>
    </row>
    <row r="687" spans="1:26" ht="18.75" hidden="1">
      <c r="A687" s="592"/>
      <c r="B687" s="600"/>
      <c r="C687" s="750"/>
      <c r="D687" s="711"/>
      <c r="E687" s="750" t="s">
        <v>185</v>
      </c>
      <c r="F687" s="750"/>
      <c r="G687" s="596"/>
      <c r="H687" s="165" t="s">
        <v>12</v>
      </c>
      <c r="I687" s="610"/>
      <c r="J687" s="610"/>
      <c r="K687" s="93"/>
      <c r="L687" s="93">
        <f t="shared" ca="1" si="285"/>
        <v>27360</v>
      </c>
      <c r="M687" s="93">
        <f t="shared" si="285"/>
        <v>0</v>
      </c>
      <c r="N687" s="93">
        <f t="shared" si="285"/>
        <v>0</v>
      </c>
      <c r="O687" s="93">
        <f t="shared" ca="1" si="283"/>
        <v>0</v>
      </c>
      <c r="P687" s="93">
        <f t="shared" si="284"/>
        <v>0</v>
      </c>
      <c r="Q687" s="597"/>
      <c r="R687" s="597"/>
      <c r="S687" s="597"/>
      <c r="T687" s="597"/>
      <c r="U687" s="597"/>
      <c r="V687" s="597"/>
      <c r="W687" s="597"/>
      <c r="X687" s="597"/>
      <c r="Y687" s="597"/>
      <c r="Z687" s="597"/>
    </row>
    <row r="688" spans="1:26" ht="18.75">
      <c r="A688" s="590"/>
      <c r="B688" s="568"/>
      <c r="C688" s="754"/>
      <c r="D688" s="599" t="s">
        <v>20</v>
      </c>
      <c r="E688" s="754"/>
      <c r="F688" s="754"/>
      <c r="G688" s="189"/>
      <c r="H688" s="161" t="s">
        <v>12</v>
      </c>
      <c r="I688" s="184"/>
      <c r="J688" s="184"/>
      <c r="K688" s="163"/>
      <c r="L688" s="496">
        <f t="shared" ref="L688:N688" ca="1" si="286">L689+L690</f>
        <v>27360</v>
      </c>
      <c r="M688" s="496">
        <f t="shared" si="286"/>
        <v>0</v>
      </c>
      <c r="N688" s="496">
        <f t="shared" si="286"/>
        <v>0</v>
      </c>
      <c r="O688" s="496">
        <f t="shared" ca="1" si="283"/>
        <v>0</v>
      </c>
      <c r="P688" s="496">
        <f t="shared" si="284"/>
        <v>0</v>
      </c>
      <c r="Q688" s="571"/>
      <c r="R688" s="571"/>
      <c r="S688" s="571"/>
      <c r="T688" s="571"/>
      <c r="U688" s="571"/>
      <c r="V688" s="571"/>
      <c r="W688" s="571"/>
      <c r="X688" s="571"/>
      <c r="Y688" s="571"/>
      <c r="Z688" s="571"/>
    </row>
    <row r="689" spans="1:26" ht="18.75" hidden="1">
      <c r="A689" s="592"/>
      <c r="B689" s="600"/>
      <c r="C689" s="750"/>
      <c r="D689" s="711"/>
      <c r="E689" s="750" t="s">
        <v>184</v>
      </c>
      <c r="F689" s="750"/>
      <c r="G689" s="596"/>
      <c r="H689" s="165" t="s">
        <v>12</v>
      </c>
      <c r="I689" s="610"/>
      <c r="J689" s="610"/>
      <c r="K689" s="93"/>
      <c r="L689" s="93">
        <v>0</v>
      </c>
      <c r="M689" s="93">
        <v>0</v>
      </c>
      <c r="N689" s="93">
        <v>0</v>
      </c>
      <c r="O689" s="93"/>
      <c r="P689" s="93"/>
      <c r="Q689" s="597"/>
      <c r="R689" s="597"/>
      <c r="S689" s="597"/>
      <c r="T689" s="597"/>
      <c r="U689" s="597"/>
      <c r="V689" s="597"/>
      <c r="W689" s="597"/>
      <c r="X689" s="597"/>
      <c r="Y689" s="597"/>
      <c r="Z689" s="597"/>
    </row>
    <row r="690" spans="1:26" ht="18.75" hidden="1">
      <c r="A690" s="592"/>
      <c r="B690" s="600"/>
      <c r="C690" s="750"/>
      <c r="D690" s="711"/>
      <c r="E690" s="750" t="s">
        <v>185</v>
      </c>
      <c r="F690" s="750"/>
      <c r="G690" s="596"/>
      <c r="H690" s="165" t="s">
        <v>12</v>
      </c>
      <c r="I690" s="610"/>
      <c r="J690" s="610"/>
      <c r="K690" s="93"/>
      <c r="L690" s="93">
        <f ca="1">IFERROR(__xludf.DUMMYFUNCTION("IMPORTRANGE(""https://docs.google.com/spreadsheets/d/1QqKyyYR6Q21VydFLVH3TRQUabQu_ym0Zz7PgGX0-kHA/edit?usp=sharing"",""แผน!HW54"")"),27360)</f>
        <v>27360</v>
      </c>
      <c r="M690" s="93">
        <v>0</v>
      </c>
      <c r="N690" s="93">
        <f>N691+N692+N693+N694</f>
        <v>0</v>
      </c>
      <c r="O690" s="93">
        <f ca="1">IF(L690&gt;0,N690*100/L690,0)</f>
        <v>0</v>
      </c>
      <c r="P690" s="93">
        <f>IF(M690&gt;0,N690*100/M690,0)</f>
        <v>0</v>
      </c>
      <c r="Q690" s="597"/>
      <c r="R690" s="597"/>
      <c r="S690" s="597"/>
      <c r="T690" s="597"/>
      <c r="U690" s="597"/>
      <c r="V690" s="597"/>
      <c r="W690" s="597"/>
      <c r="X690" s="597"/>
      <c r="Y690" s="597"/>
      <c r="Z690" s="597"/>
    </row>
    <row r="691" spans="1:26" ht="18.75">
      <c r="A691" s="567"/>
      <c r="B691" s="568"/>
      <c r="C691" s="754"/>
      <c r="D691" s="754"/>
      <c r="E691" s="754"/>
      <c r="F691" s="754" t="s">
        <v>186</v>
      </c>
      <c r="G691" s="189"/>
      <c r="H691" s="161" t="s">
        <v>12</v>
      </c>
      <c r="I691" s="269"/>
      <c r="J691" s="269"/>
      <c r="K691" s="496"/>
      <c r="L691" s="496"/>
      <c r="M691" s="496"/>
      <c r="N691" s="817">
        <v>0</v>
      </c>
      <c r="O691" s="496"/>
      <c r="P691" s="496"/>
      <c r="Q691" s="571"/>
      <c r="R691" s="571"/>
      <c r="S691" s="571"/>
      <c r="T691" s="571"/>
      <c r="U691" s="571"/>
      <c r="V691" s="571"/>
      <c r="W691" s="571"/>
      <c r="X691" s="571"/>
      <c r="Y691" s="571"/>
      <c r="Z691" s="571"/>
    </row>
    <row r="692" spans="1:26" ht="18.75">
      <c r="A692" s="567"/>
      <c r="B692" s="568"/>
      <c r="C692" s="754"/>
      <c r="D692" s="754"/>
      <c r="E692" s="754"/>
      <c r="F692" s="754" t="s">
        <v>187</v>
      </c>
      <c r="G692" s="189"/>
      <c r="H692" s="161" t="s">
        <v>12</v>
      </c>
      <c r="I692" s="269"/>
      <c r="J692" s="269"/>
      <c r="K692" s="496"/>
      <c r="L692" s="496"/>
      <c r="M692" s="496"/>
      <c r="N692" s="817">
        <v>0</v>
      </c>
      <c r="O692" s="496"/>
      <c r="P692" s="496"/>
      <c r="Q692" s="571"/>
      <c r="R692" s="571"/>
      <c r="S692" s="571"/>
      <c r="T692" s="571"/>
      <c r="U692" s="571"/>
      <c r="V692" s="571"/>
      <c r="W692" s="571"/>
      <c r="X692" s="571"/>
      <c r="Y692" s="571"/>
      <c r="Z692" s="571"/>
    </row>
    <row r="693" spans="1:26" ht="18.75">
      <c r="A693" s="567"/>
      <c r="B693" s="568"/>
      <c r="C693" s="754"/>
      <c r="D693" s="754"/>
      <c r="E693" s="754"/>
      <c r="F693" s="754" t="s">
        <v>188</v>
      </c>
      <c r="G693" s="189"/>
      <c r="H693" s="161" t="s">
        <v>12</v>
      </c>
      <c r="I693" s="269"/>
      <c r="J693" s="269"/>
      <c r="K693" s="496"/>
      <c r="L693" s="496"/>
      <c r="M693" s="496"/>
      <c r="N693" s="817">
        <v>0</v>
      </c>
      <c r="O693" s="496"/>
      <c r="P693" s="496"/>
      <c r="Q693" s="571"/>
      <c r="R693" s="571"/>
      <c r="S693" s="571"/>
      <c r="T693" s="571"/>
      <c r="U693" s="571"/>
      <c r="V693" s="571"/>
      <c r="W693" s="571"/>
      <c r="X693" s="571"/>
      <c r="Y693" s="571"/>
      <c r="Z693" s="571"/>
    </row>
    <row r="694" spans="1:26" ht="18.75">
      <c r="A694" s="567"/>
      <c r="B694" s="568"/>
      <c r="C694" s="754"/>
      <c r="D694" s="754"/>
      <c r="E694" s="754"/>
      <c r="F694" s="754" t="s">
        <v>189</v>
      </c>
      <c r="G694" s="189"/>
      <c r="H694" s="161" t="s">
        <v>12</v>
      </c>
      <c r="I694" s="269"/>
      <c r="J694" s="269"/>
      <c r="K694" s="496"/>
      <c r="L694" s="496"/>
      <c r="M694" s="496"/>
      <c r="N694" s="817">
        <v>0</v>
      </c>
      <c r="O694" s="496"/>
      <c r="P694" s="496"/>
      <c r="Q694" s="571"/>
      <c r="R694" s="571"/>
      <c r="S694" s="571"/>
      <c r="T694" s="571"/>
      <c r="U694" s="571"/>
      <c r="V694" s="571"/>
      <c r="W694" s="571"/>
      <c r="X694" s="571"/>
      <c r="Y694" s="571"/>
      <c r="Z694" s="571"/>
    </row>
    <row r="695" spans="1:26" ht="18.75">
      <c r="A695" s="590"/>
      <c r="B695" s="568"/>
      <c r="C695" s="754"/>
      <c r="D695" s="599" t="s">
        <v>21</v>
      </c>
      <c r="E695" s="754"/>
      <c r="F695" s="754"/>
      <c r="G695" s="189"/>
      <c r="H695" s="168" t="s">
        <v>12</v>
      </c>
      <c r="I695" s="184"/>
      <c r="J695" s="184"/>
      <c r="K695" s="163"/>
      <c r="L695" s="496">
        <f t="shared" ref="L695:N695" si="287">L696+L697</f>
        <v>0</v>
      </c>
      <c r="M695" s="496">
        <f t="shared" si="287"/>
        <v>0</v>
      </c>
      <c r="N695" s="496">
        <f t="shared" si="287"/>
        <v>0</v>
      </c>
      <c r="O695" s="496">
        <f t="shared" ref="O695:O697" si="288">IF(L695&gt;0,N695*100/L695,0)</f>
        <v>0</v>
      </c>
      <c r="P695" s="496">
        <f t="shared" ref="P695:P697" si="289">IF(M695&gt;0,N695*100/M695,0)</f>
        <v>0</v>
      </c>
      <c r="Q695" s="571"/>
      <c r="R695" s="571"/>
      <c r="S695" s="571"/>
      <c r="T695" s="571"/>
      <c r="U695" s="571"/>
      <c r="V695" s="571"/>
      <c r="W695" s="571"/>
      <c r="X695" s="571"/>
      <c r="Y695" s="571"/>
      <c r="Z695" s="571"/>
    </row>
    <row r="696" spans="1:26" ht="18.75" hidden="1">
      <c r="A696" s="592"/>
      <c r="B696" s="600"/>
      <c r="C696" s="750"/>
      <c r="D696" s="750"/>
      <c r="E696" s="750" t="s">
        <v>18</v>
      </c>
      <c r="F696" s="750"/>
      <c r="G696" s="596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597"/>
      <c r="R696" s="597"/>
      <c r="S696" s="597"/>
      <c r="T696" s="597"/>
      <c r="U696" s="597"/>
      <c r="V696" s="597"/>
      <c r="W696" s="597"/>
      <c r="X696" s="597"/>
      <c r="Y696" s="597"/>
      <c r="Z696" s="597"/>
    </row>
    <row r="697" spans="1:26" ht="18.75" hidden="1">
      <c r="A697" s="592"/>
      <c r="B697" s="600"/>
      <c r="C697" s="750"/>
      <c r="D697" s="750"/>
      <c r="E697" s="750" t="s">
        <v>19</v>
      </c>
      <c r="F697" s="750"/>
      <c r="G697" s="596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597"/>
      <c r="R697" s="597"/>
      <c r="S697" s="597"/>
      <c r="T697" s="597"/>
      <c r="U697" s="597"/>
      <c r="V697" s="597"/>
      <c r="W697" s="597"/>
      <c r="X697" s="597"/>
      <c r="Y697" s="597"/>
      <c r="Z697" s="597"/>
    </row>
    <row r="698" spans="1:26" ht="19.5">
      <c r="A698" s="601"/>
      <c r="B698" s="611"/>
      <c r="C698" s="754" t="s">
        <v>16</v>
      </c>
      <c r="D698" s="840" t="s">
        <v>38</v>
      </c>
      <c r="E698" s="752"/>
      <c r="F698" s="752"/>
      <c r="G698" s="606"/>
      <c r="H698" s="753"/>
      <c r="I698" s="184"/>
      <c r="J698" s="184"/>
      <c r="K698" s="163"/>
      <c r="L698" s="163"/>
      <c r="M698" s="163"/>
      <c r="N698" s="163"/>
      <c r="O698" s="163"/>
      <c r="P698" s="163"/>
      <c r="Q698" s="571"/>
      <c r="R698" s="571"/>
      <c r="S698" s="571"/>
      <c r="T698" s="571"/>
      <c r="U698" s="571"/>
      <c r="V698" s="571"/>
      <c r="W698" s="571"/>
      <c r="X698" s="571"/>
      <c r="Y698" s="571"/>
      <c r="Z698" s="571"/>
    </row>
    <row r="699" spans="1:26" ht="18.75">
      <c r="A699" s="735"/>
      <c r="B699" s="754"/>
      <c r="C699" s="754"/>
      <c r="D699" s="754" t="s">
        <v>294</v>
      </c>
      <c r="E699" s="754"/>
      <c r="F699" s="754"/>
      <c r="G699" s="189"/>
      <c r="H699" s="755" t="s">
        <v>46</v>
      </c>
      <c r="I699" s="756">
        <f ca="1">IFERROR(__xludf.DUMMYFUNCTION("IMPORTRANGE(""https://docs.google.com/spreadsheets/d/1QqKyyYR6Q21VydFLVH3TRQUabQu_ym0Zz7PgGX0-kHA/edit?usp=sharing"",""แผน!IC54"")"),10)</f>
        <v>10</v>
      </c>
      <c r="J699" s="269">
        <f ca="1">IFERROR(__xludf.DUMMYFUNCTION("IMPORTRANGE(""https://docs.google.com/spreadsheets/d/1XWAQStnk-4SwqDmLtmXYiTMKHgktTP8We1SCoS47DrQ/edit?usp=sharing"",""จัดที่ดิน!BB54"")"),0)</f>
        <v>0</v>
      </c>
      <c r="K699" s="496">
        <f t="shared" ref="K699:K701" ca="1" si="290">IF(I699&gt;0,J699*100/I699,0)</f>
        <v>0</v>
      </c>
      <c r="L699" s="496"/>
      <c r="M699" s="189"/>
      <c r="N699" s="757"/>
      <c r="O699" s="496"/>
      <c r="P699" s="496"/>
      <c r="Q699" s="571"/>
      <c r="R699" s="571"/>
      <c r="S699" s="571"/>
      <c r="T699" s="571"/>
      <c r="U699" s="571"/>
      <c r="V699" s="571"/>
      <c r="W699" s="571"/>
      <c r="X699" s="571"/>
      <c r="Y699" s="571"/>
      <c r="Z699" s="571"/>
    </row>
    <row r="700" spans="1:26" ht="18.75">
      <c r="A700" s="735"/>
      <c r="B700" s="754"/>
      <c r="C700" s="754"/>
      <c r="D700" s="754" t="s">
        <v>295</v>
      </c>
      <c r="E700" s="754"/>
      <c r="F700" s="754"/>
      <c r="G700" s="189"/>
      <c r="H700" s="755" t="s">
        <v>35</v>
      </c>
      <c r="I700" s="756">
        <f ca="1">IFERROR(__xludf.DUMMYFUNCTION("IMPORTRANGE(""https://docs.google.com/spreadsheets/d/1QqKyyYR6Q21VydFLVH3TRQUabQu_ym0Zz7PgGX0-kHA/edit?usp=sharing"",""แผน!ID54"")"),2)</f>
        <v>2</v>
      </c>
      <c r="J700" s="269">
        <f ca="1">IFERROR(__xludf.DUMMYFUNCTION("IMPORTRANGE(""https://docs.google.com/spreadsheets/d/1XWAQStnk-4SwqDmLtmXYiTMKHgktTP8We1SCoS47DrQ/edit?usp=sharing"",""จัดที่ดิน!BD54"")"),0)</f>
        <v>0</v>
      </c>
      <c r="K700" s="496">
        <f t="shared" ca="1" si="290"/>
        <v>0</v>
      </c>
      <c r="L700" s="496"/>
      <c r="M700" s="189"/>
      <c r="N700" s="757"/>
      <c r="O700" s="496"/>
      <c r="P700" s="496"/>
      <c r="Q700" s="571"/>
      <c r="R700" s="571"/>
      <c r="S700" s="571"/>
      <c r="T700" s="571"/>
      <c r="U700" s="571"/>
      <c r="V700" s="571"/>
      <c r="W700" s="571"/>
      <c r="X700" s="571"/>
      <c r="Y700" s="571"/>
      <c r="Z700" s="571"/>
    </row>
    <row r="701" spans="1:26" ht="19.5">
      <c r="A701" s="735"/>
      <c r="B701" s="754"/>
      <c r="C701" s="754"/>
      <c r="D701" s="754" t="s">
        <v>296</v>
      </c>
      <c r="E701" s="754"/>
      <c r="F701" s="754"/>
      <c r="G701" s="189"/>
      <c r="H701" s="758" t="s">
        <v>46</v>
      </c>
      <c r="I701" s="759">
        <f ca="1">IFERROR(__xludf.DUMMYFUNCTION("IMPORTRANGE(""https://docs.google.com/spreadsheets/d/1QqKyyYR6Q21VydFLVH3TRQUabQu_ym0Zz7PgGX0-kHA/edit?usp=sharing"",""แผน!IE54"")"),0)</f>
        <v>0</v>
      </c>
      <c r="J701" s="674">
        <f>J704+J707</f>
        <v>0</v>
      </c>
      <c r="K701" s="195">
        <f t="shared" ca="1" si="290"/>
        <v>0</v>
      </c>
      <c r="L701" s="496"/>
      <c r="M701" s="189"/>
      <c r="N701" s="757"/>
      <c r="O701" s="496"/>
      <c r="P701" s="496"/>
      <c r="Q701" s="571"/>
      <c r="R701" s="571"/>
      <c r="S701" s="571"/>
      <c r="T701" s="571"/>
      <c r="U701" s="571"/>
      <c r="V701" s="571"/>
      <c r="W701" s="571"/>
      <c r="X701" s="571"/>
      <c r="Y701" s="571"/>
      <c r="Z701" s="571"/>
    </row>
    <row r="702" spans="1:26" ht="18.75">
      <c r="A702" s="735"/>
      <c r="B702" s="754"/>
      <c r="C702" s="754"/>
      <c r="D702" s="754"/>
      <c r="E702" s="754" t="s">
        <v>297</v>
      </c>
      <c r="F702" s="754"/>
      <c r="G702" s="189"/>
      <c r="H702" s="755" t="s">
        <v>35</v>
      </c>
      <c r="I702" s="756"/>
      <c r="J702" s="214">
        <v>0</v>
      </c>
      <c r="K702" s="496"/>
      <c r="L702" s="496"/>
      <c r="M702" s="189"/>
      <c r="N702" s="757"/>
      <c r="O702" s="496"/>
      <c r="P702" s="496"/>
      <c r="Q702" s="571"/>
      <c r="R702" s="571"/>
      <c r="S702" s="571"/>
      <c r="T702" s="571"/>
      <c r="U702" s="571"/>
      <c r="V702" s="571"/>
      <c r="W702" s="571"/>
      <c r="X702" s="571"/>
      <c r="Y702" s="571"/>
      <c r="Z702" s="571"/>
    </row>
    <row r="703" spans="1:26" ht="18.75">
      <c r="A703" s="735"/>
      <c r="B703" s="754"/>
      <c r="C703" s="754"/>
      <c r="D703" s="754"/>
      <c r="E703" s="754"/>
      <c r="F703" s="754"/>
      <c r="G703" s="189"/>
      <c r="H703" s="755" t="s">
        <v>34</v>
      </c>
      <c r="I703" s="756"/>
      <c r="J703" s="214">
        <v>0</v>
      </c>
      <c r="K703" s="496"/>
      <c r="L703" s="496"/>
      <c r="M703" s="189"/>
      <c r="N703" s="757"/>
      <c r="O703" s="496"/>
      <c r="P703" s="496"/>
      <c r="Q703" s="571"/>
      <c r="R703" s="571"/>
      <c r="S703" s="571"/>
      <c r="T703" s="571"/>
      <c r="U703" s="571"/>
      <c r="V703" s="571"/>
      <c r="W703" s="571"/>
      <c r="X703" s="571"/>
      <c r="Y703" s="571"/>
      <c r="Z703" s="571"/>
    </row>
    <row r="704" spans="1:26" ht="18.75">
      <c r="A704" s="735"/>
      <c r="B704" s="754"/>
      <c r="C704" s="754"/>
      <c r="D704" s="754"/>
      <c r="E704" s="754"/>
      <c r="F704" s="754"/>
      <c r="G704" s="189"/>
      <c r="H704" s="755" t="s">
        <v>46</v>
      </c>
      <c r="I704" s="756">
        <f ca="1">IFERROR(__xludf.DUMMYFUNCTION("IMPORTRANGE(""https://docs.google.com/spreadsheets/d/1QqKyyYR6Q21VydFLVH3TRQUabQu_ym0Zz7PgGX0-kHA/edit?usp=sharing"",""แผน!IF54"")"),0)</f>
        <v>0</v>
      </c>
      <c r="J704" s="214">
        <v>0</v>
      </c>
      <c r="K704" s="496"/>
      <c r="L704" s="496"/>
      <c r="M704" s="189"/>
      <c r="N704" s="757"/>
      <c r="O704" s="496"/>
      <c r="P704" s="496"/>
      <c r="Q704" s="571"/>
      <c r="R704" s="571"/>
      <c r="S704" s="571"/>
      <c r="T704" s="571"/>
      <c r="U704" s="571"/>
      <c r="V704" s="571"/>
      <c r="W704" s="571"/>
      <c r="X704" s="571"/>
      <c r="Y704" s="571"/>
      <c r="Z704" s="571"/>
    </row>
    <row r="705" spans="1:26" ht="18.75">
      <c r="A705" s="735"/>
      <c r="B705" s="754"/>
      <c r="C705" s="754"/>
      <c r="D705" s="754"/>
      <c r="E705" s="754" t="s">
        <v>298</v>
      </c>
      <c r="F705" s="754"/>
      <c r="G705" s="189"/>
      <c r="H705" s="755" t="s">
        <v>35</v>
      </c>
      <c r="I705" s="756"/>
      <c r="J705" s="214">
        <v>0</v>
      </c>
      <c r="K705" s="496"/>
      <c r="L705" s="496"/>
      <c r="M705" s="189"/>
      <c r="N705" s="757"/>
      <c r="O705" s="496"/>
      <c r="P705" s="496"/>
      <c r="Q705" s="571"/>
      <c r="R705" s="571"/>
      <c r="S705" s="571"/>
      <c r="T705" s="571"/>
      <c r="U705" s="571"/>
      <c r="V705" s="571"/>
      <c r="W705" s="571"/>
      <c r="X705" s="571"/>
      <c r="Y705" s="571"/>
      <c r="Z705" s="571"/>
    </row>
    <row r="706" spans="1:26" ht="18.75">
      <c r="A706" s="735"/>
      <c r="B706" s="754"/>
      <c r="C706" s="754"/>
      <c r="D706" s="754"/>
      <c r="E706" s="754"/>
      <c r="F706" s="754"/>
      <c r="G706" s="189"/>
      <c r="H706" s="755" t="s">
        <v>34</v>
      </c>
      <c r="I706" s="756"/>
      <c r="J706" s="214">
        <v>0</v>
      </c>
      <c r="K706" s="496"/>
      <c r="L706" s="496"/>
      <c r="M706" s="189"/>
      <c r="N706" s="757"/>
      <c r="O706" s="496"/>
      <c r="P706" s="496"/>
      <c r="Q706" s="571"/>
      <c r="R706" s="571"/>
      <c r="S706" s="571"/>
      <c r="T706" s="571"/>
      <c r="U706" s="571"/>
      <c r="V706" s="571"/>
      <c r="W706" s="571"/>
      <c r="X706" s="571"/>
      <c r="Y706" s="571"/>
      <c r="Z706" s="571"/>
    </row>
    <row r="707" spans="1:26" ht="18.75">
      <c r="A707" s="735"/>
      <c r="B707" s="754"/>
      <c r="C707" s="754"/>
      <c r="D707" s="754"/>
      <c r="E707" s="754"/>
      <c r="F707" s="754"/>
      <c r="G707" s="189"/>
      <c r="H707" s="755" t="s">
        <v>46</v>
      </c>
      <c r="I707" s="756">
        <f ca="1">IFERROR(__xludf.DUMMYFUNCTION("IMPORTRANGE(""https://docs.google.com/spreadsheets/d/1QqKyyYR6Q21VydFLVH3TRQUabQu_ym0Zz7PgGX0-kHA/edit?usp=sharing"",""แผน!IG54"")"),0)</f>
        <v>0</v>
      </c>
      <c r="J707" s="214">
        <v>0</v>
      </c>
      <c r="K707" s="496"/>
      <c r="L707" s="496"/>
      <c r="M707" s="189"/>
      <c r="N707" s="757"/>
      <c r="O707" s="496"/>
      <c r="P707" s="496"/>
      <c r="Q707" s="571"/>
      <c r="R707" s="571"/>
      <c r="S707" s="571"/>
      <c r="T707" s="571"/>
      <c r="U707" s="571"/>
      <c r="V707" s="571"/>
      <c r="W707" s="571"/>
      <c r="X707" s="571"/>
      <c r="Y707" s="571"/>
      <c r="Z707" s="571"/>
    </row>
    <row r="708" spans="1:26" ht="19.5">
      <c r="A708" s="735"/>
      <c r="B708" s="754"/>
      <c r="C708" s="754"/>
      <c r="D708" s="760" t="s">
        <v>299</v>
      </c>
      <c r="E708" s="754"/>
      <c r="F708" s="754"/>
      <c r="G708" s="189"/>
      <c r="H708" s="758" t="s">
        <v>46</v>
      </c>
      <c r="I708" s="759">
        <f ca="1">IFERROR(__xludf.DUMMYFUNCTION("IMPORTRANGE(""https://docs.google.com/spreadsheets/d/1QqKyyYR6Q21VydFLVH3TRQUabQu_ym0Zz7PgGX0-kHA/edit?usp=sharing"",""แผน!IH54"")"),1245)</f>
        <v>1245</v>
      </c>
      <c r="J708" s="674">
        <f>J714+J717</f>
        <v>0</v>
      </c>
      <c r="K708" s="195">
        <f ca="1">IF(I708&gt;0,J708*100/I708,0)</f>
        <v>0</v>
      </c>
      <c r="L708" s="496"/>
      <c r="M708" s="189"/>
      <c r="N708" s="757"/>
      <c r="O708" s="496"/>
      <c r="P708" s="496"/>
      <c r="Q708" s="571"/>
      <c r="R708" s="571"/>
      <c r="S708" s="571"/>
      <c r="T708" s="571"/>
      <c r="U708" s="571"/>
      <c r="V708" s="571"/>
      <c r="W708" s="571"/>
      <c r="X708" s="571"/>
      <c r="Y708" s="571"/>
      <c r="Z708" s="571"/>
    </row>
    <row r="709" spans="1:26" ht="18.75">
      <c r="A709" s="735"/>
      <c r="B709" s="754"/>
      <c r="C709" s="754"/>
      <c r="D709" s="754"/>
      <c r="E709" s="754" t="s">
        <v>300</v>
      </c>
      <c r="F709" s="754"/>
      <c r="G709" s="189"/>
      <c r="H709" s="755" t="s">
        <v>34</v>
      </c>
      <c r="I709" s="756"/>
      <c r="J709" s="214">
        <v>0</v>
      </c>
      <c r="K709" s="496"/>
      <c r="L709" s="757"/>
      <c r="M709" s="189"/>
      <c r="N709" s="757"/>
      <c r="O709" s="496"/>
      <c r="P709" s="496"/>
      <c r="Q709" s="571"/>
      <c r="R709" s="571"/>
      <c r="S709" s="571"/>
      <c r="T709" s="571"/>
      <c r="U709" s="571"/>
      <c r="V709" s="571"/>
      <c r="W709" s="571"/>
      <c r="X709" s="571"/>
      <c r="Y709" s="571"/>
      <c r="Z709" s="571"/>
    </row>
    <row r="710" spans="1:26" ht="18.75">
      <c r="A710" s="735"/>
      <c r="B710" s="754"/>
      <c r="C710" s="754"/>
      <c r="D710" s="754"/>
      <c r="E710" s="754"/>
      <c r="F710" s="754"/>
      <c r="G710" s="189"/>
      <c r="H710" s="755" t="s">
        <v>46</v>
      </c>
      <c r="I710" s="756"/>
      <c r="J710" s="214">
        <v>0</v>
      </c>
      <c r="K710" s="496"/>
      <c r="L710" s="757"/>
      <c r="M710" s="189"/>
      <c r="N710" s="757"/>
      <c r="O710" s="496"/>
      <c r="P710" s="496"/>
      <c r="Q710" s="571"/>
      <c r="R710" s="571"/>
      <c r="S710" s="571"/>
      <c r="T710" s="571"/>
      <c r="U710" s="571"/>
      <c r="V710" s="571"/>
      <c r="W710" s="571"/>
      <c r="X710" s="571"/>
      <c r="Y710" s="571"/>
      <c r="Z710" s="571"/>
    </row>
    <row r="711" spans="1:26" ht="18.75">
      <c r="A711" s="735"/>
      <c r="B711" s="754"/>
      <c r="C711" s="754"/>
      <c r="D711" s="754"/>
      <c r="E711" s="754" t="s">
        <v>301</v>
      </c>
      <c r="F711" s="754"/>
      <c r="G711" s="189"/>
      <c r="H711" s="753"/>
      <c r="I711" s="756"/>
      <c r="J711" s="269"/>
      <c r="K711" s="496"/>
      <c r="L711" s="757"/>
      <c r="M711" s="189"/>
      <c r="N711" s="757"/>
      <c r="O711" s="496"/>
      <c r="P711" s="496"/>
      <c r="Q711" s="571"/>
      <c r="R711" s="571"/>
      <c r="S711" s="571"/>
      <c r="T711" s="571"/>
      <c r="U711" s="571"/>
      <c r="V711" s="571"/>
      <c r="W711" s="571"/>
      <c r="X711" s="571"/>
      <c r="Y711" s="571"/>
      <c r="Z711" s="571"/>
    </row>
    <row r="712" spans="1:26" ht="18.75">
      <c r="A712" s="735"/>
      <c r="B712" s="754"/>
      <c r="C712" s="754"/>
      <c r="D712" s="754"/>
      <c r="E712" s="754"/>
      <c r="F712" s="754" t="s">
        <v>302</v>
      </c>
      <c r="G712" s="189"/>
      <c r="H712" s="755" t="s">
        <v>35</v>
      </c>
      <c r="I712" s="756"/>
      <c r="J712" s="214">
        <v>0</v>
      </c>
      <c r="K712" s="496"/>
      <c r="L712" s="757"/>
      <c r="M712" s="189"/>
      <c r="N712" s="757"/>
      <c r="O712" s="496"/>
      <c r="P712" s="496"/>
      <c r="Q712" s="571"/>
      <c r="R712" s="571"/>
      <c r="S712" s="571"/>
      <c r="T712" s="571"/>
      <c r="U712" s="571"/>
      <c r="V712" s="571"/>
      <c r="W712" s="571"/>
      <c r="X712" s="571"/>
      <c r="Y712" s="571"/>
      <c r="Z712" s="571"/>
    </row>
    <row r="713" spans="1:26" ht="18.75">
      <c r="A713" s="735"/>
      <c r="B713" s="754"/>
      <c r="C713" s="754"/>
      <c r="D713" s="754"/>
      <c r="E713" s="754"/>
      <c r="F713" s="754"/>
      <c r="G713" s="189"/>
      <c r="H713" s="755" t="s">
        <v>34</v>
      </c>
      <c r="I713" s="756"/>
      <c r="J713" s="214">
        <v>0</v>
      </c>
      <c r="K713" s="496"/>
      <c r="L713" s="757"/>
      <c r="M713" s="189"/>
      <c r="N713" s="757"/>
      <c r="O713" s="496"/>
      <c r="P713" s="496"/>
      <c r="Q713" s="571"/>
      <c r="R713" s="571"/>
      <c r="S713" s="571"/>
      <c r="T713" s="571"/>
      <c r="U713" s="571"/>
      <c r="V713" s="571"/>
      <c r="W713" s="571"/>
      <c r="X713" s="571"/>
      <c r="Y713" s="571"/>
      <c r="Z713" s="571"/>
    </row>
    <row r="714" spans="1:26" ht="18.75">
      <c r="A714" s="735"/>
      <c r="B714" s="754"/>
      <c r="C714" s="754"/>
      <c r="D714" s="754"/>
      <c r="E714" s="754"/>
      <c r="F714" s="754"/>
      <c r="G714" s="189"/>
      <c r="H714" s="755" t="s">
        <v>46</v>
      </c>
      <c r="I714" s="756"/>
      <c r="J714" s="214">
        <v>0</v>
      </c>
      <c r="K714" s="496"/>
      <c r="L714" s="757"/>
      <c r="M714" s="189"/>
      <c r="N714" s="757"/>
      <c r="O714" s="496"/>
      <c r="P714" s="496"/>
      <c r="Q714" s="571"/>
      <c r="R714" s="571"/>
      <c r="S714" s="571"/>
      <c r="T714" s="571"/>
      <c r="U714" s="571"/>
      <c r="V714" s="571"/>
      <c r="W714" s="571"/>
      <c r="X714" s="571"/>
      <c r="Y714" s="571"/>
      <c r="Z714" s="571"/>
    </row>
    <row r="715" spans="1:26" ht="18.75">
      <c r="A715" s="735"/>
      <c r="B715" s="754"/>
      <c r="C715" s="754"/>
      <c r="D715" s="754"/>
      <c r="E715" s="754"/>
      <c r="F715" s="754" t="s">
        <v>303</v>
      </c>
      <c r="G715" s="189"/>
      <c r="H715" s="755" t="s">
        <v>35</v>
      </c>
      <c r="I715" s="756"/>
      <c r="J715" s="214">
        <v>0</v>
      </c>
      <c r="K715" s="496"/>
      <c r="L715" s="757"/>
      <c r="M715" s="189"/>
      <c r="N715" s="757"/>
      <c r="O715" s="496"/>
      <c r="P715" s="496"/>
      <c r="Q715" s="571"/>
      <c r="R715" s="571"/>
      <c r="S715" s="571"/>
      <c r="T715" s="571"/>
      <c r="U715" s="571"/>
      <c r="V715" s="571"/>
      <c r="W715" s="571"/>
      <c r="X715" s="571"/>
      <c r="Y715" s="571"/>
      <c r="Z715" s="571"/>
    </row>
    <row r="716" spans="1:26" ht="18.75">
      <c r="A716" s="735"/>
      <c r="B716" s="754"/>
      <c r="C716" s="754"/>
      <c r="D716" s="754"/>
      <c r="E716" s="754"/>
      <c r="F716" s="754"/>
      <c r="G716" s="189"/>
      <c r="H716" s="755" t="s">
        <v>34</v>
      </c>
      <c r="I716" s="756"/>
      <c r="J716" s="214">
        <v>0</v>
      </c>
      <c r="K716" s="496"/>
      <c r="L716" s="757"/>
      <c r="M716" s="189"/>
      <c r="N716" s="757"/>
      <c r="O716" s="496"/>
      <c r="P716" s="496"/>
      <c r="Q716" s="571"/>
      <c r="R716" s="571"/>
      <c r="S716" s="571"/>
      <c r="T716" s="571"/>
      <c r="U716" s="571"/>
      <c r="V716" s="571"/>
      <c r="W716" s="571"/>
      <c r="X716" s="571"/>
      <c r="Y716" s="571"/>
      <c r="Z716" s="571"/>
    </row>
    <row r="717" spans="1:26" ht="18.75">
      <c r="A717" s="735"/>
      <c r="B717" s="754"/>
      <c r="C717" s="754"/>
      <c r="D717" s="754"/>
      <c r="E717" s="754"/>
      <c r="F717" s="754"/>
      <c r="G717" s="189"/>
      <c r="H717" s="755" t="s">
        <v>46</v>
      </c>
      <c r="I717" s="756"/>
      <c r="J717" s="214">
        <v>0</v>
      </c>
      <c r="K717" s="496"/>
      <c r="L717" s="757"/>
      <c r="M717" s="189"/>
      <c r="N717" s="757"/>
      <c r="O717" s="496"/>
      <c r="P717" s="496"/>
      <c r="Q717" s="571"/>
      <c r="R717" s="571"/>
      <c r="S717" s="571"/>
      <c r="T717" s="571"/>
      <c r="U717" s="571"/>
      <c r="V717" s="571"/>
      <c r="W717" s="571"/>
      <c r="X717" s="571"/>
      <c r="Y717" s="571"/>
      <c r="Z717" s="571"/>
    </row>
    <row r="718" spans="1:26" ht="18.75">
      <c r="A718" s="735"/>
      <c r="B718" s="754"/>
      <c r="C718" s="754"/>
      <c r="D718" s="754" t="s">
        <v>304</v>
      </c>
      <c r="E718" s="754"/>
      <c r="F718" s="754"/>
      <c r="G718" s="189"/>
      <c r="H718" s="755" t="s">
        <v>35</v>
      </c>
      <c r="I718" s="756"/>
      <c r="J718" s="269">
        <f ca="1">IFERROR(__xludf.DUMMYFUNCTION("IMPORTRANGE(""https://docs.google.com/spreadsheets/d/1XWAQStnk-4SwqDmLtmXYiTMKHgktTP8We1SCoS47DrQ/edit?usp=sharing"",""จัดที่ดิน!BF54"")"),0)</f>
        <v>0</v>
      </c>
      <c r="K718" s="496"/>
      <c r="L718" s="496"/>
      <c r="M718" s="189"/>
      <c r="N718" s="757"/>
      <c r="O718" s="496"/>
      <c r="P718" s="496"/>
      <c r="Q718" s="571"/>
      <c r="R718" s="571"/>
      <c r="S718" s="571"/>
      <c r="T718" s="571"/>
      <c r="U718" s="571"/>
      <c r="V718" s="571"/>
      <c r="W718" s="571"/>
      <c r="X718" s="571"/>
      <c r="Y718" s="571"/>
      <c r="Z718" s="571"/>
    </row>
    <row r="719" spans="1:26" ht="18.75">
      <c r="A719" s="735"/>
      <c r="B719" s="754"/>
      <c r="C719" s="754"/>
      <c r="D719" s="754"/>
      <c r="E719" s="754"/>
      <c r="F719" s="754"/>
      <c r="G719" s="189"/>
      <c r="H719" s="755" t="s">
        <v>34</v>
      </c>
      <c r="I719" s="756"/>
      <c r="J719" s="269">
        <f ca="1">IFERROR(__xludf.DUMMYFUNCTION("IMPORTRANGE(""https://docs.google.com/spreadsheets/d/1XWAQStnk-4SwqDmLtmXYiTMKHgktTP8We1SCoS47DrQ/edit?usp=sharing"",""จัดที่ดิน!BG54"")"),0)</f>
        <v>0</v>
      </c>
      <c r="K719" s="496"/>
      <c r="L719" s="757"/>
      <c r="M719" s="189"/>
      <c r="N719" s="757"/>
      <c r="O719" s="496"/>
      <c r="P719" s="496"/>
      <c r="Q719" s="571"/>
      <c r="R719" s="571"/>
      <c r="S719" s="571"/>
      <c r="T719" s="571"/>
      <c r="U719" s="571"/>
      <c r="V719" s="571"/>
      <c r="W719" s="571"/>
      <c r="X719" s="571"/>
      <c r="Y719" s="571"/>
      <c r="Z719" s="571"/>
    </row>
    <row r="720" spans="1:26" ht="18.75">
      <c r="A720" s="735"/>
      <c r="B720" s="754"/>
      <c r="C720" s="754"/>
      <c r="D720" s="754"/>
      <c r="E720" s="754"/>
      <c r="F720" s="754"/>
      <c r="G720" s="189"/>
      <c r="H720" s="755" t="s">
        <v>46</v>
      </c>
      <c r="I720" s="756">
        <f ca="1">IFERROR(__xludf.DUMMYFUNCTION("IMPORTRANGE(""https://docs.google.com/spreadsheets/d/1QqKyyYR6Q21VydFLVH3TRQUabQu_ym0Zz7PgGX0-kHA/edit?usp=sharing"",""แผน!II54"")"),0)</f>
        <v>0</v>
      </c>
      <c r="J720" s="269">
        <f ca="1">IFERROR(__xludf.DUMMYFUNCTION("IMPORTRANGE(""https://docs.google.com/spreadsheets/d/1XWAQStnk-4SwqDmLtmXYiTMKHgktTP8We1SCoS47DrQ/edit?usp=sharing"",""จัดที่ดิน!BH54"")"),0)</f>
        <v>0</v>
      </c>
      <c r="K720" s="496">
        <f t="shared" ref="K720:K723" ca="1" si="291">IF(I720&gt;0,J720*100/I720,0)</f>
        <v>0</v>
      </c>
      <c r="L720" s="757"/>
      <c r="M720" s="189"/>
      <c r="N720" s="757"/>
      <c r="O720" s="496"/>
      <c r="P720" s="496"/>
      <c r="Q720" s="571"/>
      <c r="R720" s="571"/>
      <c r="S720" s="571"/>
      <c r="T720" s="571"/>
      <c r="U720" s="571"/>
      <c r="V720" s="571"/>
      <c r="W720" s="571"/>
      <c r="X720" s="571"/>
      <c r="Y720" s="571"/>
      <c r="Z720" s="571"/>
    </row>
    <row r="721" spans="1:26" ht="19.5">
      <c r="A721" s="735"/>
      <c r="B721" s="754"/>
      <c r="C721" s="754"/>
      <c r="D721" s="754" t="s">
        <v>305</v>
      </c>
      <c r="E721" s="754"/>
      <c r="F721" s="754"/>
      <c r="G721" s="189"/>
      <c r="H721" s="758" t="s">
        <v>35</v>
      </c>
      <c r="I721" s="759">
        <f ca="1">IFERROR(__xludf.DUMMYFUNCTION("IMPORTRANGE(""https://docs.google.com/spreadsheets/d/1QqKyyYR6Q21VydFLVH3TRQUabQu_ym0Zz7PgGX0-kHA/edit?usp=sharing"",""แผน!IJ54"")"),1)</f>
        <v>1</v>
      </c>
      <c r="J721" s="674">
        <f ca="1">J723+J726</f>
        <v>0</v>
      </c>
      <c r="K721" s="195">
        <f t="shared" ca="1" si="291"/>
        <v>0</v>
      </c>
      <c r="L721" s="757"/>
      <c r="M721" s="189"/>
      <c r="N721" s="757"/>
      <c r="O721" s="496"/>
      <c r="P721" s="496"/>
      <c r="Q721" s="571"/>
      <c r="R721" s="571"/>
      <c r="S721" s="571"/>
      <c r="T721" s="571"/>
      <c r="U721" s="571"/>
      <c r="V721" s="571"/>
      <c r="W721" s="571"/>
      <c r="X721" s="571"/>
      <c r="Y721" s="571"/>
      <c r="Z721" s="571"/>
    </row>
    <row r="722" spans="1:26" ht="19.5">
      <c r="A722" s="735"/>
      <c r="B722" s="754"/>
      <c r="C722" s="754"/>
      <c r="D722" s="754"/>
      <c r="E722" s="754"/>
      <c r="F722" s="754"/>
      <c r="G722" s="189"/>
      <c r="H722" s="758" t="s">
        <v>46</v>
      </c>
      <c r="I722" s="759">
        <f ca="1">IFERROR(__xludf.DUMMYFUNCTION("IMPORTRANGE(""https://docs.google.com/spreadsheets/d/1QqKyyYR6Q21VydFLVH3TRQUabQu_ym0Zz7PgGX0-kHA/edit?usp=sharing"",""แผน!IK54"")"),9)</f>
        <v>9</v>
      </c>
      <c r="J722" s="674">
        <f ca="1">J725+J728</f>
        <v>0</v>
      </c>
      <c r="K722" s="195">
        <f t="shared" ca="1" si="291"/>
        <v>0</v>
      </c>
      <c r="L722" s="496"/>
      <c r="M722" s="189"/>
      <c r="N722" s="757"/>
      <c r="O722" s="496"/>
      <c r="P722" s="496"/>
      <c r="Q722" s="571"/>
      <c r="R722" s="571"/>
      <c r="S722" s="571"/>
      <c r="T722" s="571"/>
      <c r="U722" s="571"/>
      <c r="V722" s="571"/>
      <c r="W722" s="571"/>
      <c r="X722" s="571"/>
      <c r="Y722" s="571"/>
      <c r="Z722" s="571"/>
    </row>
    <row r="723" spans="1:26" ht="18.75">
      <c r="A723" s="735"/>
      <c r="B723" s="754"/>
      <c r="C723" s="754"/>
      <c r="D723" s="754"/>
      <c r="E723" s="754" t="s">
        <v>306</v>
      </c>
      <c r="F723" s="754"/>
      <c r="G723" s="189"/>
      <c r="H723" s="755" t="s">
        <v>35</v>
      </c>
      <c r="I723" s="756">
        <f ca="1">IFERROR(__xludf.DUMMYFUNCTION("IMPORTRANGE(""https://docs.google.com/spreadsheets/d/1QqKyyYR6Q21VydFLVH3TRQUabQu_ym0Zz7PgGX0-kHA/edit?usp=sharing"",""แผน!IL54"")"),1)</f>
        <v>1</v>
      </c>
      <c r="J723" s="269">
        <f ca="1">IFERROR(__xludf.DUMMYFUNCTION("IMPORTRANGE(""https://docs.google.com/spreadsheets/d/1XWAQStnk-4SwqDmLtmXYiTMKHgktTP8We1SCoS47DrQ/edit?usp=sharing"",""จัดที่ดิน!BM54"")"),0)</f>
        <v>0</v>
      </c>
      <c r="K723" s="496">
        <f t="shared" ca="1" si="291"/>
        <v>0</v>
      </c>
      <c r="L723" s="496"/>
      <c r="M723" s="189"/>
      <c r="N723" s="757"/>
      <c r="O723" s="496"/>
      <c r="P723" s="496"/>
      <c r="Q723" s="571"/>
      <c r="R723" s="571"/>
      <c r="S723" s="571"/>
      <c r="T723" s="571"/>
      <c r="U723" s="571"/>
      <c r="V723" s="571"/>
      <c r="W723" s="571"/>
      <c r="X723" s="571"/>
      <c r="Y723" s="571"/>
      <c r="Z723" s="571"/>
    </row>
    <row r="724" spans="1:26" ht="18.75">
      <c r="A724" s="735"/>
      <c r="B724" s="754"/>
      <c r="C724" s="754"/>
      <c r="D724" s="754"/>
      <c r="E724" s="754"/>
      <c r="F724" s="754"/>
      <c r="G724" s="189"/>
      <c r="H724" s="755" t="s">
        <v>34</v>
      </c>
      <c r="I724" s="756"/>
      <c r="J724" s="269">
        <f ca="1">IFERROR(__xludf.DUMMYFUNCTION("IMPORTRANGE(""https://docs.google.com/spreadsheets/d/1XWAQStnk-4SwqDmLtmXYiTMKHgktTP8We1SCoS47DrQ/edit?usp=sharing"",""จัดที่ดิน!BN54"")"),0)</f>
        <v>0</v>
      </c>
      <c r="K724" s="496"/>
      <c r="L724" s="757"/>
      <c r="M724" s="189"/>
      <c r="N724" s="757"/>
      <c r="O724" s="496"/>
      <c r="P724" s="496"/>
      <c r="Q724" s="571"/>
      <c r="R724" s="571"/>
      <c r="S724" s="571"/>
      <c r="T724" s="571"/>
      <c r="U724" s="571"/>
      <c r="V724" s="571"/>
      <c r="W724" s="571"/>
      <c r="X724" s="571"/>
      <c r="Y724" s="571"/>
      <c r="Z724" s="571"/>
    </row>
    <row r="725" spans="1:26" ht="18.75">
      <c r="A725" s="735"/>
      <c r="B725" s="754"/>
      <c r="C725" s="754"/>
      <c r="D725" s="754"/>
      <c r="E725" s="754"/>
      <c r="F725" s="754"/>
      <c r="G725" s="189"/>
      <c r="H725" s="755" t="s">
        <v>46</v>
      </c>
      <c r="I725" s="756">
        <f ca="1">IFERROR(__xludf.DUMMYFUNCTION("IMPORTRANGE(""https://docs.google.com/spreadsheets/d/1QqKyyYR6Q21VydFLVH3TRQUabQu_ym0Zz7PgGX0-kHA/edit?usp=sharing"",""แผน!IM54"")"),9)</f>
        <v>9</v>
      </c>
      <c r="J725" s="269">
        <f ca="1">IFERROR(__xludf.DUMMYFUNCTION("IMPORTRANGE(""https://docs.google.com/spreadsheets/d/1XWAQStnk-4SwqDmLtmXYiTMKHgktTP8We1SCoS47DrQ/edit?usp=sharing"",""จัดที่ดิน!BO54"")"),0)</f>
        <v>0</v>
      </c>
      <c r="K725" s="496">
        <f t="shared" ref="K725:K726" ca="1" si="292">IF(I725&gt;0,J725*100/I725,0)</f>
        <v>0</v>
      </c>
      <c r="L725" s="757"/>
      <c r="M725" s="189"/>
      <c r="N725" s="757"/>
      <c r="O725" s="496"/>
      <c r="P725" s="496"/>
      <c r="Q725" s="571"/>
      <c r="R725" s="571"/>
      <c r="S725" s="571"/>
      <c r="T725" s="571"/>
      <c r="U725" s="571"/>
      <c r="V725" s="571"/>
      <c r="W725" s="571"/>
      <c r="X725" s="571"/>
      <c r="Y725" s="571"/>
      <c r="Z725" s="571"/>
    </row>
    <row r="726" spans="1:26" ht="18.75">
      <c r="A726" s="735"/>
      <c r="B726" s="754"/>
      <c r="C726" s="754"/>
      <c r="D726" s="754"/>
      <c r="E726" s="754" t="s">
        <v>307</v>
      </c>
      <c r="F726" s="754"/>
      <c r="G726" s="189"/>
      <c r="H726" s="755" t="s">
        <v>35</v>
      </c>
      <c r="I726" s="756">
        <f ca="1">IFERROR(__xludf.DUMMYFUNCTION("IMPORTRANGE(""https://docs.google.com/spreadsheets/d/1QqKyyYR6Q21VydFLVH3TRQUabQu_ym0Zz7PgGX0-kHA/edit?usp=sharing"",""แผน!IN54"")"),0)</f>
        <v>0</v>
      </c>
      <c r="J726" s="269">
        <f ca="1">IFERROR(__xludf.DUMMYFUNCTION("IMPORTRANGE(""https://docs.google.com/spreadsheets/d/1XWAQStnk-4SwqDmLtmXYiTMKHgktTP8We1SCoS47DrQ/edit?usp=sharing"",""จัดที่ดิน!BR54"")"),0)</f>
        <v>0</v>
      </c>
      <c r="K726" s="496">
        <f t="shared" ca="1" si="292"/>
        <v>0</v>
      </c>
      <c r="L726" s="496"/>
      <c r="M726" s="189"/>
      <c r="N726" s="757"/>
      <c r="O726" s="496"/>
      <c r="P726" s="496"/>
      <c r="Q726" s="571"/>
      <c r="R726" s="571"/>
      <c r="S726" s="571"/>
      <c r="T726" s="571"/>
      <c r="U726" s="571"/>
      <c r="V726" s="571"/>
      <c r="W726" s="571"/>
      <c r="X726" s="571"/>
      <c r="Y726" s="571"/>
      <c r="Z726" s="571"/>
    </row>
    <row r="727" spans="1:26" ht="18.75">
      <c r="A727" s="735"/>
      <c r="B727" s="754"/>
      <c r="C727" s="754"/>
      <c r="D727" s="754"/>
      <c r="E727" s="754"/>
      <c r="F727" s="754"/>
      <c r="G727" s="189"/>
      <c r="H727" s="755" t="s">
        <v>34</v>
      </c>
      <c r="I727" s="756"/>
      <c r="J727" s="269">
        <f ca="1">IFERROR(__xludf.DUMMYFUNCTION("IMPORTRANGE(""https://docs.google.com/spreadsheets/d/1XWAQStnk-4SwqDmLtmXYiTMKHgktTP8We1SCoS47DrQ/edit?usp=sharing"",""จัดที่ดิน!BS54"")"),0)</f>
        <v>0</v>
      </c>
      <c r="K727" s="496"/>
      <c r="L727" s="757"/>
      <c r="M727" s="189"/>
      <c r="N727" s="757"/>
      <c r="O727" s="496"/>
      <c r="P727" s="496"/>
      <c r="Q727" s="571"/>
      <c r="R727" s="571"/>
      <c r="S727" s="571"/>
      <c r="T727" s="571"/>
      <c r="U727" s="571"/>
      <c r="V727" s="571"/>
      <c r="W727" s="571"/>
      <c r="X727" s="571"/>
      <c r="Y727" s="571"/>
      <c r="Z727" s="571"/>
    </row>
    <row r="728" spans="1:26" ht="18.75">
      <c r="A728" s="735"/>
      <c r="B728" s="754"/>
      <c r="C728" s="754"/>
      <c r="D728" s="754"/>
      <c r="E728" s="754"/>
      <c r="F728" s="754"/>
      <c r="G728" s="189"/>
      <c r="H728" s="755" t="s">
        <v>46</v>
      </c>
      <c r="I728" s="756">
        <f ca="1">IFERROR(__xludf.DUMMYFUNCTION("IMPORTRANGE(""https://docs.google.com/spreadsheets/d/1QqKyyYR6Q21VydFLVH3TRQUabQu_ym0Zz7PgGX0-kHA/edit?usp=sharing"",""แผน!IO54"")"),0)</f>
        <v>0</v>
      </c>
      <c r="J728" s="269">
        <f ca="1">IFERROR(__xludf.DUMMYFUNCTION("IMPORTRANGE(""https://docs.google.com/spreadsheets/d/1XWAQStnk-4SwqDmLtmXYiTMKHgktTP8We1SCoS47DrQ/edit?usp=sharing"",""จัดที่ดิน!BT54"")"),0)</f>
        <v>0</v>
      </c>
      <c r="K728" s="496">
        <f t="shared" ref="K728:K729" ca="1" si="293">IF(I728&gt;0,J728*100/I728,0)</f>
        <v>0</v>
      </c>
      <c r="L728" s="757"/>
      <c r="M728" s="189"/>
      <c r="N728" s="757"/>
      <c r="O728" s="496"/>
      <c r="P728" s="496"/>
      <c r="Q728" s="571"/>
      <c r="R728" s="571"/>
      <c r="S728" s="571"/>
      <c r="T728" s="571"/>
      <c r="U728" s="571"/>
      <c r="V728" s="571"/>
      <c r="W728" s="571"/>
      <c r="X728" s="571"/>
      <c r="Y728" s="571"/>
      <c r="Z728" s="571"/>
    </row>
    <row r="729" spans="1:26" ht="19.5">
      <c r="A729" s="735"/>
      <c r="B729" s="754"/>
      <c r="C729" s="754"/>
      <c r="D729" s="754" t="s">
        <v>308</v>
      </c>
      <c r="E729" s="754"/>
      <c r="F729" s="754"/>
      <c r="G729" s="189"/>
      <c r="H729" s="758" t="s">
        <v>46</v>
      </c>
      <c r="I729" s="759">
        <f ca="1">IFERROR(__xludf.DUMMYFUNCTION("IMPORTRANGE(""https://docs.google.com/spreadsheets/d/1QqKyyYR6Q21VydFLVH3TRQUabQu_ym0Zz7PgGX0-kHA/edit?usp=sharing"",""แผน!IP54"")"),1)</f>
        <v>1</v>
      </c>
      <c r="J729" s="674">
        <f>J732+J735</f>
        <v>0</v>
      </c>
      <c r="K729" s="195">
        <f t="shared" ca="1" si="293"/>
        <v>0</v>
      </c>
      <c r="L729" s="496"/>
      <c r="M729" s="189"/>
      <c r="N729" s="757"/>
      <c r="O729" s="496"/>
      <c r="P729" s="496"/>
      <c r="Q729" s="571"/>
      <c r="R729" s="571"/>
      <c r="S729" s="571"/>
      <c r="T729" s="571"/>
      <c r="U729" s="571"/>
      <c r="V729" s="571"/>
      <c r="W729" s="571"/>
      <c r="X729" s="571"/>
      <c r="Y729" s="571"/>
      <c r="Z729" s="571"/>
    </row>
    <row r="730" spans="1:26" ht="18.75">
      <c r="A730" s="735"/>
      <c r="B730" s="754"/>
      <c r="C730" s="754"/>
      <c r="D730" s="754"/>
      <c r="E730" s="754" t="s">
        <v>309</v>
      </c>
      <c r="F730" s="754"/>
      <c r="G730" s="189"/>
      <c r="H730" s="755" t="s">
        <v>35</v>
      </c>
      <c r="I730" s="756"/>
      <c r="J730" s="214">
        <v>0</v>
      </c>
      <c r="K730" s="496"/>
      <c r="L730" s="757"/>
      <c r="M730" s="496"/>
      <c r="N730" s="757"/>
      <c r="O730" s="496"/>
      <c r="P730" s="496"/>
      <c r="Q730" s="571"/>
      <c r="R730" s="571"/>
      <c r="S730" s="571"/>
      <c r="T730" s="571"/>
      <c r="U730" s="571"/>
      <c r="V730" s="571"/>
      <c r="W730" s="571"/>
      <c r="X730" s="571"/>
      <c r="Y730" s="571"/>
      <c r="Z730" s="571"/>
    </row>
    <row r="731" spans="1:26" ht="18.75">
      <c r="A731" s="735"/>
      <c r="B731" s="754"/>
      <c r="C731" s="754"/>
      <c r="D731" s="754"/>
      <c r="E731" s="754"/>
      <c r="F731" s="754"/>
      <c r="G731" s="189"/>
      <c r="H731" s="755" t="s">
        <v>34</v>
      </c>
      <c r="I731" s="756"/>
      <c r="J731" s="214">
        <v>0</v>
      </c>
      <c r="K731" s="496"/>
      <c r="L731" s="757"/>
      <c r="M731" s="496"/>
      <c r="N731" s="757"/>
      <c r="O731" s="496"/>
      <c r="P731" s="496"/>
      <c r="Q731" s="571"/>
      <c r="R731" s="571"/>
      <c r="S731" s="571"/>
      <c r="T731" s="571"/>
      <c r="U731" s="571"/>
      <c r="V731" s="571"/>
      <c r="W731" s="571"/>
      <c r="X731" s="571"/>
      <c r="Y731" s="571"/>
      <c r="Z731" s="571"/>
    </row>
    <row r="732" spans="1:26" ht="18.75">
      <c r="A732" s="735"/>
      <c r="B732" s="754"/>
      <c r="C732" s="754"/>
      <c r="D732" s="754"/>
      <c r="E732" s="754"/>
      <c r="F732" s="754"/>
      <c r="G732" s="189"/>
      <c r="H732" s="755" t="s">
        <v>46</v>
      </c>
      <c r="I732" s="756"/>
      <c r="J732" s="214">
        <v>0</v>
      </c>
      <c r="K732" s="496"/>
      <c r="L732" s="757"/>
      <c r="M732" s="496"/>
      <c r="N732" s="757"/>
      <c r="O732" s="496"/>
      <c r="P732" s="496"/>
      <c r="Q732" s="571"/>
      <c r="R732" s="571"/>
      <c r="S732" s="571"/>
      <c r="T732" s="571"/>
      <c r="U732" s="571"/>
      <c r="V732" s="571"/>
      <c r="W732" s="571"/>
      <c r="X732" s="571"/>
      <c r="Y732" s="571"/>
      <c r="Z732" s="571"/>
    </row>
    <row r="733" spans="1:26" ht="18.75">
      <c r="A733" s="735"/>
      <c r="B733" s="754"/>
      <c r="C733" s="754"/>
      <c r="D733" s="754"/>
      <c r="E733" s="754" t="s">
        <v>310</v>
      </c>
      <c r="F733" s="754"/>
      <c r="G733" s="189"/>
      <c r="H733" s="755" t="s">
        <v>35</v>
      </c>
      <c r="I733" s="756"/>
      <c r="J733" s="214">
        <v>0</v>
      </c>
      <c r="K733" s="496"/>
      <c r="L733" s="757"/>
      <c r="M733" s="496"/>
      <c r="N733" s="757"/>
      <c r="O733" s="496"/>
      <c r="P733" s="496"/>
      <c r="Q733" s="571"/>
      <c r="R733" s="571"/>
      <c r="S733" s="571"/>
      <c r="T733" s="571"/>
      <c r="U733" s="571"/>
      <c r="V733" s="571"/>
      <c r="W733" s="571"/>
      <c r="X733" s="571"/>
      <c r="Y733" s="571"/>
      <c r="Z733" s="571"/>
    </row>
    <row r="734" spans="1:26" ht="18.75">
      <c r="A734" s="735"/>
      <c r="B734" s="754"/>
      <c r="C734" s="754"/>
      <c r="D734" s="754"/>
      <c r="E734" s="754"/>
      <c r="F734" s="754"/>
      <c r="G734" s="189"/>
      <c r="H734" s="755" t="s">
        <v>34</v>
      </c>
      <c r="I734" s="756"/>
      <c r="J734" s="214">
        <v>0</v>
      </c>
      <c r="K734" s="496"/>
      <c r="L734" s="757"/>
      <c r="M734" s="496"/>
      <c r="N734" s="757"/>
      <c r="O734" s="496"/>
      <c r="P734" s="496"/>
      <c r="Q734" s="571"/>
      <c r="R734" s="571"/>
      <c r="S734" s="571"/>
      <c r="T734" s="571"/>
      <c r="U734" s="571"/>
      <c r="V734" s="571"/>
      <c r="W734" s="571"/>
      <c r="X734" s="571"/>
      <c r="Y734" s="571"/>
      <c r="Z734" s="571"/>
    </row>
    <row r="735" spans="1:26" ht="19.5">
      <c r="A735" s="761"/>
      <c r="B735" s="762" t="s">
        <v>311</v>
      </c>
      <c r="C735" s="725"/>
      <c r="D735" s="725"/>
      <c r="E735" s="725"/>
      <c r="F735" s="725"/>
      <c r="G735" s="726"/>
      <c r="H735" s="421" t="s">
        <v>46</v>
      </c>
      <c r="I735" s="763"/>
      <c r="J735" s="423">
        <v>0</v>
      </c>
      <c r="K735" s="500"/>
      <c r="L735" s="764"/>
      <c r="M735" s="500"/>
      <c r="N735" s="764"/>
      <c r="O735" s="500"/>
      <c r="P735" s="500"/>
      <c r="Q735" s="571"/>
      <c r="R735" s="571"/>
      <c r="S735" s="571"/>
      <c r="T735" s="571"/>
      <c r="U735" s="571"/>
      <c r="V735" s="571"/>
      <c r="W735" s="571"/>
      <c r="X735" s="571"/>
      <c r="Y735" s="571"/>
      <c r="Z735" s="571"/>
    </row>
    <row r="736" spans="1:26" ht="19.5" hidden="1">
      <c r="A736" s="765">
        <v>9</v>
      </c>
      <c r="B736" s="766" t="s">
        <v>312</v>
      </c>
      <c r="C736" s="767"/>
      <c r="D736" s="767"/>
      <c r="E736" s="767"/>
      <c r="F736" s="767"/>
      <c r="G736" s="768"/>
      <c r="H736" s="769" t="s">
        <v>46</v>
      </c>
      <c r="I736" s="770"/>
      <c r="J736" s="770">
        <f>J751</f>
        <v>0</v>
      </c>
      <c r="K736" s="771">
        <f>IF(I736&gt;0,J736*100/I736,0)</f>
        <v>0</v>
      </c>
      <c r="L736" s="772"/>
      <c r="M736" s="772"/>
      <c r="N736" s="772"/>
      <c r="O736" s="772"/>
      <c r="P736" s="772"/>
      <c r="Q736" s="597"/>
      <c r="R736" s="597"/>
      <c r="S736" s="597"/>
      <c r="T736" s="597"/>
      <c r="U736" s="597"/>
      <c r="V736" s="597"/>
      <c r="W736" s="597"/>
      <c r="X736" s="597"/>
      <c r="Y736" s="597"/>
      <c r="Z736" s="597"/>
    </row>
    <row r="737" spans="1:26" ht="19.5" hidden="1">
      <c r="A737" s="592"/>
      <c r="B737" s="750"/>
      <c r="C737" s="750" t="s">
        <v>16</v>
      </c>
      <c r="D737" s="864" t="s">
        <v>17</v>
      </c>
      <c r="E737" s="857"/>
      <c r="F737" s="857"/>
      <c r="G737" s="596"/>
      <c r="H737" s="639" t="s">
        <v>12</v>
      </c>
      <c r="I737" s="610"/>
      <c r="J737" s="610"/>
      <c r="K737" s="93"/>
      <c r="L737" s="640">
        <f t="shared" ref="L737:N737" si="294">L738+L739</f>
        <v>0</v>
      </c>
      <c r="M737" s="640">
        <f t="shared" si="294"/>
        <v>0</v>
      </c>
      <c r="N737" s="640">
        <f t="shared" si="294"/>
        <v>0</v>
      </c>
      <c r="O737" s="640">
        <f t="shared" ref="O737:O742" si="295">IF(L737&gt;0,N737*100/L737,0)</f>
        <v>0</v>
      </c>
      <c r="P737" s="640">
        <f t="shared" ref="P737:P742" si="296">IF(M737&gt;0,N737*100/M737,0)</f>
        <v>0</v>
      </c>
      <c r="Q737" s="597"/>
      <c r="R737" s="597"/>
      <c r="S737" s="597"/>
      <c r="T737" s="597"/>
      <c r="U737" s="597"/>
      <c r="V737" s="597"/>
      <c r="W737" s="597"/>
      <c r="X737" s="597"/>
      <c r="Y737" s="597"/>
      <c r="Z737" s="597"/>
    </row>
    <row r="738" spans="1:26" ht="18.75" hidden="1">
      <c r="A738" s="592"/>
      <c r="B738" s="750"/>
      <c r="C738" s="750"/>
      <c r="D738" s="711"/>
      <c r="E738" s="750" t="s">
        <v>184</v>
      </c>
      <c r="F738" s="750"/>
      <c r="G738" s="596"/>
      <c r="H738" s="165" t="s">
        <v>12</v>
      </c>
      <c r="I738" s="610"/>
      <c r="J738" s="610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597"/>
      <c r="R738" s="597"/>
      <c r="S738" s="597"/>
      <c r="T738" s="597"/>
      <c r="U738" s="597"/>
      <c r="V738" s="597"/>
      <c r="W738" s="597"/>
      <c r="X738" s="597"/>
      <c r="Y738" s="597"/>
      <c r="Z738" s="597"/>
    </row>
    <row r="739" spans="1:26" ht="18.75" hidden="1">
      <c r="A739" s="592"/>
      <c r="B739" s="600"/>
      <c r="C739" s="750"/>
      <c r="D739" s="711"/>
      <c r="E739" s="750" t="s">
        <v>185</v>
      </c>
      <c r="F739" s="750"/>
      <c r="G739" s="596"/>
      <c r="H739" s="165" t="s">
        <v>12</v>
      </c>
      <c r="I739" s="610"/>
      <c r="J739" s="610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597"/>
      <c r="R739" s="597"/>
      <c r="S739" s="597"/>
      <c r="T739" s="597"/>
      <c r="U739" s="597"/>
      <c r="V739" s="597"/>
      <c r="W739" s="597"/>
      <c r="X739" s="597"/>
      <c r="Y739" s="597"/>
      <c r="Z739" s="597"/>
    </row>
    <row r="740" spans="1:26" ht="19.5" hidden="1">
      <c r="A740" s="592"/>
      <c r="B740" s="600"/>
      <c r="C740" s="750"/>
      <c r="D740" s="638" t="s">
        <v>20</v>
      </c>
      <c r="E740" s="750"/>
      <c r="F740" s="750"/>
      <c r="G740" s="596"/>
      <c r="H740" s="639" t="s">
        <v>12</v>
      </c>
      <c r="I740" s="166"/>
      <c r="J740" s="166"/>
      <c r="K740" s="167"/>
      <c r="L740" s="640">
        <f t="shared" ref="L740:N740" si="298">L741+L742</f>
        <v>0</v>
      </c>
      <c r="M740" s="640">
        <f t="shared" si="298"/>
        <v>0</v>
      </c>
      <c r="N740" s="640">
        <f t="shared" si="298"/>
        <v>0</v>
      </c>
      <c r="O740" s="640">
        <f t="shared" si="295"/>
        <v>0</v>
      </c>
      <c r="P740" s="640">
        <f t="shared" si="296"/>
        <v>0</v>
      </c>
      <c r="Q740" s="597"/>
      <c r="R740" s="597"/>
      <c r="S740" s="597"/>
      <c r="T740" s="597"/>
      <c r="U740" s="597"/>
      <c r="V740" s="597"/>
      <c r="W740" s="597"/>
      <c r="X740" s="597"/>
      <c r="Y740" s="597"/>
      <c r="Z740" s="597"/>
    </row>
    <row r="741" spans="1:26" ht="18.75" hidden="1">
      <c r="A741" s="592"/>
      <c r="B741" s="600"/>
      <c r="C741" s="750"/>
      <c r="D741" s="711"/>
      <c r="E741" s="750" t="s">
        <v>184</v>
      </c>
      <c r="F741" s="750"/>
      <c r="G741" s="596"/>
      <c r="H741" s="165" t="s">
        <v>12</v>
      </c>
      <c r="I741" s="610"/>
      <c r="J741" s="610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597"/>
      <c r="R741" s="597"/>
      <c r="S741" s="597"/>
      <c r="T741" s="597"/>
      <c r="U741" s="597"/>
      <c r="V741" s="597"/>
      <c r="W741" s="597"/>
      <c r="X741" s="597"/>
      <c r="Y741" s="597"/>
      <c r="Z741" s="597"/>
    </row>
    <row r="742" spans="1:26" ht="18.75" hidden="1">
      <c r="A742" s="592"/>
      <c r="B742" s="600"/>
      <c r="C742" s="750"/>
      <c r="D742" s="711"/>
      <c r="E742" s="750" t="s">
        <v>185</v>
      </c>
      <c r="F742" s="750"/>
      <c r="G742" s="596"/>
      <c r="H742" s="165" t="s">
        <v>12</v>
      </c>
      <c r="I742" s="610"/>
      <c r="J742" s="610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597"/>
      <c r="R742" s="597"/>
      <c r="S742" s="597"/>
      <c r="T742" s="597"/>
      <c r="U742" s="597"/>
      <c r="V742" s="597"/>
      <c r="W742" s="597"/>
      <c r="X742" s="597"/>
      <c r="Y742" s="597"/>
      <c r="Z742" s="597"/>
    </row>
    <row r="743" spans="1:26" ht="18.75" hidden="1">
      <c r="A743" s="642"/>
      <c r="B743" s="600"/>
      <c r="C743" s="750"/>
      <c r="D743" s="750"/>
      <c r="E743" s="750"/>
      <c r="F743" s="750" t="s">
        <v>186</v>
      </c>
      <c r="G743" s="596"/>
      <c r="H743" s="165" t="s">
        <v>12</v>
      </c>
      <c r="I743" s="610"/>
      <c r="J743" s="610"/>
      <c r="K743" s="93"/>
      <c r="L743" s="93"/>
      <c r="M743" s="93"/>
      <c r="N743" s="93"/>
      <c r="O743" s="93"/>
      <c r="P743" s="93"/>
      <c r="Q743" s="597"/>
      <c r="R743" s="597"/>
      <c r="S743" s="597"/>
      <c r="T743" s="597"/>
      <c r="U743" s="597"/>
      <c r="V743" s="597"/>
      <c r="W743" s="597"/>
      <c r="X743" s="597"/>
      <c r="Y743" s="597"/>
      <c r="Z743" s="597"/>
    </row>
    <row r="744" spans="1:26" ht="18.75" hidden="1">
      <c r="A744" s="642"/>
      <c r="B744" s="600"/>
      <c r="C744" s="750"/>
      <c r="D744" s="750"/>
      <c r="E744" s="750"/>
      <c r="F744" s="750" t="s">
        <v>187</v>
      </c>
      <c r="G744" s="596"/>
      <c r="H744" s="165" t="s">
        <v>12</v>
      </c>
      <c r="I744" s="610"/>
      <c r="J744" s="610"/>
      <c r="K744" s="93"/>
      <c r="L744" s="93"/>
      <c r="M744" s="93"/>
      <c r="N744" s="93"/>
      <c r="O744" s="93"/>
      <c r="P744" s="93"/>
      <c r="Q744" s="597"/>
      <c r="R744" s="597"/>
      <c r="S744" s="597"/>
      <c r="T744" s="597"/>
      <c r="U744" s="597"/>
      <c r="V744" s="597"/>
      <c r="W744" s="597"/>
      <c r="X744" s="597"/>
      <c r="Y744" s="597"/>
      <c r="Z744" s="597"/>
    </row>
    <row r="745" spans="1:26" ht="18.75" hidden="1">
      <c r="A745" s="642"/>
      <c r="B745" s="600"/>
      <c r="C745" s="750"/>
      <c r="D745" s="750"/>
      <c r="E745" s="750"/>
      <c r="F745" s="750" t="s">
        <v>188</v>
      </c>
      <c r="G745" s="596"/>
      <c r="H745" s="165" t="s">
        <v>12</v>
      </c>
      <c r="I745" s="610"/>
      <c r="J745" s="610"/>
      <c r="K745" s="93"/>
      <c r="L745" s="93"/>
      <c r="M745" s="93"/>
      <c r="N745" s="93"/>
      <c r="O745" s="93"/>
      <c r="P745" s="93"/>
      <c r="Q745" s="597"/>
      <c r="R745" s="597"/>
      <c r="S745" s="597"/>
      <c r="T745" s="597"/>
      <c r="U745" s="597"/>
      <c r="V745" s="597"/>
      <c r="W745" s="597"/>
      <c r="X745" s="597"/>
      <c r="Y745" s="597"/>
      <c r="Z745" s="597"/>
    </row>
    <row r="746" spans="1:26" ht="18.75" hidden="1">
      <c r="A746" s="642"/>
      <c r="B746" s="600"/>
      <c r="C746" s="750"/>
      <c r="D746" s="750"/>
      <c r="E746" s="750"/>
      <c r="F746" s="750" t="s">
        <v>189</v>
      </c>
      <c r="G746" s="596"/>
      <c r="H746" s="165" t="s">
        <v>12</v>
      </c>
      <c r="I746" s="610"/>
      <c r="J746" s="610"/>
      <c r="K746" s="93"/>
      <c r="L746" s="93"/>
      <c r="M746" s="93"/>
      <c r="N746" s="93"/>
      <c r="O746" s="93"/>
      <c r="P746" s="93"/>
      <c r="Q746" s="597"/>
      <c r="R746" s="597"/>
      <c r="S746" s="597"/>
      <c r="T746" s="597"/>
      <c r="U746" s="597"/>
      <c r="V746" s="597"/>
      <c r="W746" s="597"/>
      <c r="X746" s="597"/>
      <c r="Y746" s="597"/>
      <c r="Z746" s="597"/>
    </row>
    <row r="747" spans="1:26" ht="19.5" hidden="1">
      <c r="A747" s="592"/>
      <c r="B747" s="600"/>
      <c r="C747" s="750"/>
      <c r="D747" s="638" t="s">
        <v>21</v>
      </c>
      <c r="E747" s="750"/>
      <c r="F747" s="750"/>
      <c r="G747" s="596"/>
      <c r="H747" s="774" t="s">
        <v>12</v>
      </c>
      <c r="I747" s="166"/>
      <c r="J747" s="166"/>
      <c r="K747" s="167"/>
      <c r="L747" s="640">
        <f t="shared" ref="L747:N747" si="299">L748+L749</f>
        <v>0</v>
      </c>
      <c r="M747" s="640">
        <f t="shared" si="299"/>
        <v>0</v>
      </c>
      <c r="N747" s="640">
        <f t="shared" si="299"/>
        <v>0</v>
      </c>
      <c r="O747" s="640">
        <f t="shared" ref="O747:O749" si="300">IF(L747&gt;0,N747*100/L747,0)</f>
        <v>0</v>
      </c>
      <c r="P747" s="640">
        <f t="shared" ref="P747:P749" si="301">IF(M747&gt;0,N747*100/M747,0)</f>
        <v>0</v>
      </c>
      <c r="Q747" s="597"/>
      <c r="R747" s="597"/>
      <c r="S747" s="597"/>
      <c r="T747" s="597"/>
      <c r="U747" s="597"/>
      <c r="V747" s="597"/>
      <c r="W747" s="597"/>
      <c r="X747" s="597"/>
      <c r="Y747" s="597"/>
      <c r="Z747" s="597"/>
    </row>
    <row r="748" spans="1:26" ht="18.75" hidden="1">
      <c r="A748" s="592"/>
      <c r="B748" s="600"/>
      <c r="C748" s="750"/>
      <c r="D748" s="750"/>
      <c r="E748" s="750" t="s">
        <v>18</v>
      </c>
      <c r="F748" s="750"/>
      <c r="G748" s="596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597"/>
      <c r="R748" s="597"/>
      <c r="S748" s="597"/>
      <c r="T748" s="597"/>
      <c r="U748" s="597"/>
      <c r="V748" s="597"/>
      <c r="W748" s="597"/>
      <c r="X748" s="597"/>
      <c r="Y748" s="597"/>
      <c r="Z748" s="597"/>
    </row>
    <row r="749" spans="1:26" ht="18.75" hidden="1">
      <c r="A749" s="592"/>
      <c r="B749" s="600"/>
      <c r="C749" s="750"/>
      <c r="D749" s="750"/>
      <c r="E749" s="750" t="s">
        <v>19</v>
      </c>
      <c r="F749" s="750"/>
      <c r="G749" s="596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597"/>
      <c r="R749" s="597"/>
      <c r="S749" s="597"/>
      <c r="T749" s="597"/>
      <c r="U749" s="597"/>
      <c r="V749" s="597"/>
      <c r="W749" s="597"/>
      <c r="X749" s="597"/>
      <c r="Y749" s="597"/>
      <c r="Z749" s="597"/>
    </row>
    <row r="750" spans="1:26" ht="19.5" hidden="1">
      <c r="A750" s="607"/>
      <c r="B750" s="609"/>
      <c r="C750" s="750" t="s">
        <v>16</v>
      </c>
      <c r="D750" s="841" t="s">
        <v>38</v>
      </c>
      <c r="E750" s="644"/>
      <c r="F750" s="644"/>
      <c r="G750" s="645"/>
      <c r="H750" s="365"/>
      <c r="I750" s="166"/>
      <c r="J750" s="166"/>
      <c r="K750" s="167"/>
      <c r="L750" s="167"/>
      <c r="M750" s="167"/>
      <c r="N750" s="167"/>
      <c r="O750" s="167"/>
      <c r="P750" s="167"/>
      <c r="Q750" s="597"/>
      <c r="R750" s="597"/>
      <c r="S750" s="597"/>
      <c r="T750" s="597"/>
      <c r="U750" s="597"/>
      <c r="V750" s="597"/>
      <c r="W750" s="597"/>
      <c r="X750" s="597"/>
      <c r="Y750" s="597"/>
      <c r="Z750" s="597"/>
    </row>
    <row r="751" spans="1:26" ht="18.75" hidden="1">
      <c r="A751" s="642"/>
      <c r="B751" s="600"/>
      <c r="C751" s="750"/>
      <c r="D751" s="750"/>
      <c r="E751" s="750" t="s">
        <v>313</v>
      </c>
      <c r="F751" s="750"/>
      <c r="G751" s="596"/>
      <c r="H751" s="165" t="s">
        <v>46</v>
      </c>
      <c r="I751" s="610"/>
      <c r="J751" s="610"/>
      <c r="K751" s="93"/>
      <c r="L751" s="93"/>
      <c r="M751" s="93"/>
      <c r="N751" s="93"/>
      <c r="O751" s="93"/>
      <c r="P751" s="93"/>
      <c r="Q751" s="597"/>
      <c r="R751" s="597"/>
      <c r="S751" s="597"/>
      <c r="T751" s="597"/>
      <c r="U751" s="597"/>
      <c r="V751" s="597"/>
      <c r="W751" s="597"/>
      <c r="X751" s="597"/>
      <c r="Y751" s="597"/>
      <c r="Z751" s="597"/>
    </row>
    <row r="752" spans="1:26" ht="18.75" hidden="1">
      <c r="A752" s="642"/>
      <c r="B752" s="600"/>
      <c r="C752" s="750"/>
      <c r="D752" s="750"/>
      <c r="E752" s="750"/>
      <c r="F752" s="750"/>
      <c r="G752" s="596"/>
      <c r="H752" s="165" t="s">
        <v>314</v>
      </c>
      <c r="I752" s="610"/>
      <c r="J752" s="610"/>
      <c r="K752" s="93"/>
      <c r="L752" s="93"/>
      <c r="M752" s="93"/>
      <c r="N752" s="93"/>
      <c r="O752" s="93"/>
      <c r="P752" s="93"/>
      <c r="Q752" s="597"/>
      <c r="R752" s="597"/>
      <c r="S752" s="597"/>
      <c r="T752" s="597"/>
      <c r="U752" s="597"/>
      <c r="V752" s="597"/>
      <c r="W752" s="597"/>
      <c r="X752" s="597"/>
      <c r="Y752" s="597"/>
      <c r="Z752" s="597"/>
    </row>
    <row r="753" spans="1:26" ht="19.5" hidden="1">
      <c r="A753" s="776">
        <v>10</v>
      </c>
      <c r="B753" s="777" t="s">
        <v>315</v>
      </c>
      <c r="C753" s="778"/>
      <c r="D753" s="778"/>
      <c r="E753" s="778"/>
      <c r="F753" s="778"/>
      <c r="G753" s="779"/>
      <c r="H753" s="780" t="s">
        <v>46</v>
      </c>
      <c r="I753" s="781"/>
      <c r="J753" s="781">
        <f>J768</f>
        <v>0</v>
      </c>
      <c r="K753" s="782">
        <f>IF(I753&gt;0,J753*100/I753,0)</f>
        <v>0</v>
      </c>
      <c r="L753" s="783"/>
      <c r="M753" s="783"/>
      <c r="N753" s="783"/>
      <c r="O753" s="783"/>
      <c r="P753" s="783"/>
      <c r="Q753" s="597"/>
      <c r="R753" s="597"/>
      <c r="S753" s="597"/>
      <c r="T753" s="597"/>
      <c r="U753" s="597"/>
      <c r="V753" s="597"/>
      <c r="W753" s="597"/>
      <c r="X753" s="597"/>
      <c r="Y753" s="597"/>
      <c r="Z753" s="597"/>
    </row>
    <row r="754" spans="1:26" ht="19.5" hidden="1">
      <c r="A754" s="592"/>
      <c r="B754" s="750"/>
      <c r="C754" s="750" t="s">
        <v>16</v>
      </c>
      <c r="D754" s="864" t="s">
        <v>17</v>
      </c>
      <c r="E754" s="857"/>
      <c r="F754" s="857"/>
      <c r="G754" s="596"/>
      <c r="H754" s="639" t="s">
        <v>12</v>
      </c>
      <c r="I754" s="610"/>
      <c r="J754" s="610"/>
      <c r="K754" s="93"/>
      <c r="L754" s="640">
        <f t="shared" ref="L754:N754" si="302">L755+L756</f>
        <v>0</v>
      </c>
      <c r="M754" s="640">
        <f t="shared" si="302"/>
        <v>0</v>
      </c>
      <c r="N754" s="640">
        <f t="shared" si="302"/>
        <v>0</v>
      </c>
      <c r="O754" s="640">
        <f t="shared" ref="O754:O759" si="303">IF(L754&gt;0,N754*100/L754,0)</f>
        <v>0</v>
      </c>
      <c r="P754" s="640">
        <f t="shared" ref="P754:P759" si="304">IF(M754&gt;0,N754*100/M754,0)</f>
        <v>0</v>
      </c>
      <c r="Q754" s="597"/>
      <c r="R754" s="597"/>
      <c r="S754" s="597"/>
      <c r="T754" s="597"/>
      <c r="U754" s="597"/>
      <c r="V754" s="597"/>
      <c r="W754" s="597"/>
      <c r="X754" s="597"/>
      <c r="Y754" s="597"/>
      <c r="Z754" s="597"/>
    </row>
    <row r="755" spans="1:26" ht="18.75" hidden="1">
      <c r="A755" s="592"/>
      <c r="B755" s="750"/>
      <c r="C755" s="750"/>
      <c r="D755" s="711"/>
      <c r="E755" s="750" t="s">
        <v>184</v>
      </c>
      <c r="F755" s="750"/>
      <c r="G755" s="596"/>
      <c r="H755" s="165" t="s">
        <v>12</v>
      </c>
      <c r="I755" s="610"/>
      <c r="J755" s="610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597"/>
      <c r="R755" s="597"/>
      <c r="S755" s="597"/>
      <c r="T755" s="597"/>
      <c r="U755" s="597"/>
      <c r="V755" s="597"/>
      <c r="W755" s="597"/>
      <c r="X755" s="597"/>
      <c r="Y755" s="597"/>
      <c r="Z755" s="597"/>
    </row>
    <row r="756" spans="1:26" ht="18.75" hidden="1">
      <c r="A756" s="592"/>
      <c r="B756" s="600"/>
      <c r="C756" s="750"/>
      <c r="D756" s="711"/>
      <c r="E756" s="750" t="s">
        <v>185</v>
      </c>
      <c r="F756" s="750"/>
      <c r="G756" s="596"/>
      <c r="H756" s="165" t="s">
        <v>12</v>
      </c>
      <c r="I756" s="610"/>
      <c r="J756" s="610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597"/>
      <c r="R756" s="597"/>
      <c r="S756" s="597"/>
      <c r="T756" s="597"/>
      <c r="U756" s="597"/>
      <c r="V756" s="597"/>
      <c r="W756" s="597"/>
      <c r="X756" s="597"/>
      <c r="Y756" s="597"/>
      <c r="Z756" s="597"/>
    </row>
    <row r="757" spans="1:26" ht="19.5" hidden="1">
      <c r="A757" s="592"/>
      <c r="B757" s="600"/>
      <c r="C757" s="750"/>
      <c r="D757" s="638" t="s">
        <v>20</v>
      </c>
      <c r="E757" s="750"/>
      <c r="F757" s="750"/>
      <c r="G757" s="596"/>
      <c r="H757" s="639" t="s">
        <v>12</v>
      </c>
      <c r="I757" s="166"/>
      <c r="J757" s="166"/>
      <c r="K757" s="167"/>
      <c r="L757" s="640">
        <f t="shared" ref="L757:N757" si="306">L758+L759</f>
        <v>0</v>
      </c>
      <c r="M757" s="640">
        <f t="shared" si="306"/>
        <v>0</v>
      </c>
      <c r="N757" s="640">
        <f t="shared" si="306"/>
        <v>0</v>
      </c>
      <c r="O757" s="640">
        <f t="shared" si="303"/>
        <v>0</v>
      </c>
      <c r="P757" s="640">
        <f t="shared" si="304"/>
        <v>0</v>
      </c>
      <c r="Q757" s="597"/>
      <c r="R757" s="597"/>
      <c r="S757" s="597"/>
      <c r="T757" s="597"/>
      <c r="U757" s="597"/>
      <c r="V757" s="597"/>
      <c r="W757" s="597"/>
      <c r="X757" s="597"/>
      <c r="Y757" s="597"/>
      <c r="Z757" s="597"/>
    </row>
    <row r="758" spans="1:26" ht="18.75" hidden="1">
      <c r="A758" s="592"/>
      <c r="B758" s="600"/>
      <c r="C758" s="750"/>
      <c r="D758" s="711"/>
      <c r="E758" s="750" t="s">
        <v>184</v>
      </c>
      <c r="F758" s="750"/>
      <c r="G758" s="596"/>
      <c r="H758" s="165" t="s">
        <v>12</v>
      </c>
      <c r="I758" s="610"/>
      <c r="J758" s="610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597"/>
      <c r="R758" s="597"/>
      <c r="S758" s="597"/>
      <c r="T758" s="597"/>
      <c r="U758" s="597"/>
      <c r="V758" s="597"/>
      <c r="W758" s="597"/>
      <c r="X758" s="597"/>
      <c r="Y758" s="597"/>
      <c r="Z758" s="597"/>
    </row>
    <row r="759" spans="1:26" ht="18.75" hidden="1">
      <c r="A759" s="592"/>
      <c r="B759" s="600"/>
      <c r="C759" s="750"/>
      <c r="D759" s="711"/>
      <c r="E759" s="750" t="s">
        <v>185</v>
      </c>
      <c r="F759" s="750"/>
      <c r="G759" s="596"/>
      <c r="H759" s="165" t="s">
        <v>12</v>
      </c>
      <c r="I759" s="610"/>
      <c r="J759" s="610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597"/>
      <c r="R759" s="597"/>
      <c r="S759" s="597"/>
      <c r="T759" s="597"/>
      <c r="U759" s="597"/>
      <c r="V759" s="597"/>
      <c r="W759" s="597"/>
      <c r="X759" s="597"/>
      <c r="Y759" s="597"/>
      <c r="Z759" s="597"/>
    </row>
    <row r="760" spans="1:26" ht="18.75" hidden="1">
      <c r="A760" s="642"/>
      <c r="B760" s="600"/>
      <c r="C760" s="750"/>
      <c r="D760" s="750"/>
      <c r="E760" s="750"/>
      <c r="F760" s="750" t="s">
        <v>186</v>
      </c>
      <c r="G760" s="596"/>
      <c r="H760" s="165" t="s">
        <v>12</v>
      </c>
      <c r="I760" s="610"/>
      <c r="J760" s="610"/>
      <c r="K760" s="93"/>
      <c r="L760" s="93"/>
      <c r="M760" s="93"/>
      <c r="N760" s="93"/>
      <c r="O760" s="93"/>
      <c r="P760" s="93"/>
      <c r="Q760" s="597"/>
      <c r="R760" s="597"/>
      <c r="S760" s="597"/>
      <c r="T760" s="597"/>
      <c r="U760" s="597"/>
      <c r="V760" s="597"/>
      <c r="W760" s="597"/>
      <c r="X760" s="597"/>
      <c r="Y760" s="597"/>
      <c r="Z760" s="597"/>
    </row>
    <row r="761" spans="1:26" ht="18.75" hidden="1">
      <c r="A761" s="642"/>
      <c r="B761" s="600"/>
      <c r="C761" s="750"/>
      <c r="D761" s="750"/>
      <c r="E761" s="750"/>
      <c r="F761" s="750" t="s">
        <v>187</v>
      </c>
      <c r="G761" s="596"/>
      <c r="H761" s="165" t="s">
        <v>12</v>
      </c>
      <c r="I761" s="610"/>
      <c r="J761" s="610"/>
      <c r="K761" s="93"/>
      <c r="L761" s="93"/>
      <c r="M761" s="93"/>
      <c r="N761" s="93"/>
      <c r="O761" s="93"/>
      <c r="P761" s="93"/>
      <c r="Q761" s="597"/>
      <c r="R761" s="597"/>
      <c r="S761" s="597"/>
      <c r="T761" s="597"/>
      <c r="U761" s="597"/>
      <c r="V761" s="597"/>
      <c r="W761" s="597"/>
      <c r="X761" s="597"/>
      <c r="Y761" s="597"/>
      <c r="Z761" s="597"/>
    </row>
    <row r="762" spans="1:26" ht="18.75" hidden="1">
      <c r="A762" s="642"/>
      <c r="B762" s="600"/>
      <c r="C762" s="750"/>
      <c r="D762" s="750"/>
      <c r="E762" s="750"/>
      <c r="F762" s="750" t="s">
        <v>188</v>
      </c>
      <c r="G762" s="596"/>
      <c r="H762" s="165" t="s">
        <v>12</v>
      </c>
      <c r="I762" s="610"/>
      <c r="J762" s="610"/>
      <c r="K762" s="93"/>
      <c r="L762" s="93"/>
      <c r="M762" s="93"/>
      <c r="N762" s="93"/>
      <c r="O762" s="93"/>
      <c r="P762" s="93"/>
      <c r="Q762" s="597"/>
      <c r="R762" s="597"/>
      <c r="S762" s="597"/>
      <c r="T762" s="597"/>
      <c r="U762" s="597"/>
      <c r="V762" s="597"/>
      <c r="W762" s="597"/>
      <c r="X762" s="597"/>
      <c r="Y762" s="597"/>
      <c r="Z762" s="597"/>
    </row>
    <row r="763" spans="1:26" ht="18.75" hidden="1">
      <c r="A763" s="642"/>
      <c r="B763" s="600"/>
      <c r="C763" s="750"/>
      <c r="D763" s="750"/>
      <c r="E763" s="750"/>
      <c r="F763" s="750" t="s">
        <v>189</v>
      </c>
      <c r="G763" s="596"/>
      <c r="H763" s="165" t="s">
        <v>12</v>
      </c>
      <c r="I763" s="610"/>
      <c r="J763" s="610"/>
      <c r="K763" s="93"/>
      <c r="L763" s="93"/>
      <c r="M763" s="93"/>
      <c r="N763" s="93"/>
      <c r="O763" s="93"/>
      <c r="P763" s="93"/>
      <c r="Q763" s="597"/>
      <c r="R763" s="597"/>
      <c r="S763" s="597"/>
      <c r="T763" s="597"/>
      <c r="U763" s="597"/>
      <c r="V763" s="597"/>
      <c r="W763" s="597"/>
      <c r="X763" s="597"/>
      <c r="Y763" s="597"/>
      <c r="Z763" s="597"/>
    </row>
    <row r="764" spans="1:26" ht="19.5" hidden="1">
      <c r="A764" s="592"/>
      <c r="B764" s="600"/>
      <c r="C764" s="750"/>
      <c r="D764" s="638" t="s">
        <v>21</v>
      </c>
      <c r="E764" s="750"/>
      <c r="F764" s="750"/>
      <c r="G764" s="596"/>
      <c r="H764" s="774" t="s">
        <v>12</v>
      </c>
      <c r="I764" s="166"/>
      <c r="J764" s="166"/>
      <c r="K764" s="167"/>
      <c r="L764" s="640">
        <f t="shared" ref="L764:N764" si="307">L765+L766</f>
        <v>0</v>
      </c>
      <c r="M764" s="640">
        <f t="shared" si="307"/>
        <v>0</v>
      </c>
      <c r="N764" s="640">
        <f t="shared" si="307"/>
        <v>0</v>
      </c>
      <c r="O764" s="640">
        <f t="shared" ref="O764:O766" si="308">IF(L764&gt;0,N764*100/L764,0)</f>
        <v>0</v>
      </c>
      <c r="P764" s="640">
        <f t="shared" ref="P764:P766" si="309">IF(M764&gt;0,N764*100/M764,0)</f>
        <v>0</v>
      </c>
      <c r="Q764" s="597"/>
      <c r="R764" s="597"/>
      <c r="S764" s="597"/>
      <c r="T764" s="597"/>
      <c r="U764" s="597"/>
      <c r="V764" s="597"/>
      <c r="W764" s="597"/>
      <c r="X764" s="597"/>
      <c r="Y764" s="597"/>
      <c r="Z764" s="597"/>
    </row>
    <row r="765" spans="1:26" ht="18.75" hidden="1">
      <c r="A765" s="592"/>
      <c r="B765" s="600"/>
      <c r="C765" s="750"/>
      <c r="D765" s="750"/>
      <c r="E765" s="750" t="s">
        <v>18</v>
      </c>
      <c r="F765" s="750"/>
      <c r="G765" s="596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597"/>
      <c r="R765" s="597"/>
      <c r="S765" s="597"/>
      <c r="T765" s="597"/>
      <c r="U765" s="597"/>
      <c r="V765" s="597"/>
      <c r="W765" s="597"/>
      <c r="X765" s="597"/>
      <c r="Y765" s="597"/>
      <c r="Z765" s="597"/>
    </row>
    <row r="766" spans="1:26" ht="18.75" hidden="1">
      <c r="A766" s="592"/>
      <c r="B766" s="600"/>
      <c r="C766" s="750"/>
      <c r="D766" s="750"/>
      <c r="E766" s="750" t="s">
        <v>19</v>
      </c>
      <c r="F766" s="750"/>
      <c r="G766" s="596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597"/>
      <c r="R766" s="597"/>
      <c r="S766" s="597"/>
      <c r="T766" s="597"/>
      <c r="U766" s="597"/>
      <c r="V766" s="597"/>
      <c r="W766" s="597"/>
      <c r="X766" s="597"/>
      <c r="Y766" s="597"/>
      <c r="Z766" s="597"/>
    </row>
    <row r="767" spans="1:26" ht="19.5" hidden="1">
      <c r="A767" s="607"/>
      <c r="B767" s="609"/>
      <c r="C767" s="750" t="s">
        <v>16</v>
      </c>
      <c r="D767" s="841" t="s">
        <v>38</v>
      </c>
      <c r="E767" s="644"/>
      <c r="F767" s="644"/>
      <c r="G767" s="645"/>
      <c r="H767" s="365"/>
      <c r="I767" s="166"/>
      <c r="J767" s="166"/>
      <c r="K767" s="167"/>
      <c r="L767" s="167"/>
      <c r="M767" s="167"/>
      <c r="N767" s="167"/>
      <c r="O767" s="167"/>
      <c r="P767" s="167"/>
      <c r="Q767" s="597"/>
      <c r="R767" s="597"/>
      <c r="S767" s="597"/>
      <c r="T767" s="597"/>
      <c r="U767" s="597"/>
      <c r="V767" s="597"/>
      <c r="W767" s="597"/>
      <c r="X767" s="597"/>
      <c r="Y767" s="597"/>
      <c r="Z767" s="597"/>
    </row>
    <row r="768" spans="1:26" ht="18.75" hidden="1">
      <c r="A768" s="642"/>
      <c r="B768" s="600"/>
      <c r="C768" s="750"/>
      <c r="D768" s="750"/>
      <c r="E768" s="750" t="s">
        <v>316</v>
      </c>
      <c r="F768" s="750"/>
      <c r="G768" s="596"/>
      <c r="H768" s="165" t="s">
        <v>46</v>
      </c>
      <c r="I768" s="610"/>
      <c r="J768" s="610"/>
      <c r="K768" s="93"/>
      <c r="L768" s="93"/>
      <c r="M768" s="93"/>
      <c r="N768" s="93"/>
      <c r="O768" s="93"/>
      <c r="P768" s="93"/>
      <c r="Q768" s="597"/>
      <c r="R768" s="597"/>
      <c r="S768" s="597"/>
      <c r="T768" s="597"/>
      <c r="U768" s="597"/>
      <c r="V768" s="597"/>
      <c r="W768" s="597"/>
      <c r="X768" s="597"/>
      <c r="Y768" s="597"/>
      <c r="Z768" s="597"/>
    </row>
    <row r="769" spans="1:26" ht="19.5" hidden="1">
      <c r="A769" s="784">
        <v>11</v>
      </c>
      <c r="B769" s="785" t="s">
        <v>317</v>
      </c>
      <c r="C769" s="786"/>
      <c r="D769" s="786"/>
      <c r="E769" s="786"/>
      <c r="F769" s="786"/>
      <c r="G769" s="787"/>
      <c r="H769" s="788" t="s">
        <v>46</v>
      </c>
      <c r="I769" s="789"/>
      <c r="J769" s="789">
        <f>J784</f>
        <v>0</v>
      </c>
      <c r="K769" s="790">
        <f>IF(I769&gt;0,J769*100/I769,0)</f>
        <v>0</v>
      </c>
      <c r="L769" s="791"/>
      <c r="M769" s="791"/>
      <c r="N769" s="791"/>
      <c r="O769" s="791"/>
      <c r="P769" s="791"/>
      <c r="Q769" s="597"/>
      <c r="R769" s="597"/>
      <c r="S769" s="597"/>
      <c r="T769" s="597"/>
      <c r="U769" s="597"/>
      <c r="V769" s="597"/>
      <c r="W769" s="597"/>
      <c r="X769" s="597"/>
      <c r="Y769" s="597"/>
      <c r="Z769" s="597"/>
    </row>
    <row r="770" spans="1:26" ht="19.5" hidden="1">
      <c r="A770" s="592"/>
      <c r="B770" s="750"/>
      <c r="C770" s="750" t="s">
        <v>16</v>
      </c>
      <c r="D770" s="864" t="s">
        <v>17</v>
      </c>
      <c r="E770" s="857"/>
      <c r="F770" s="857"/>
      <c r="G770" s="596"/>
      <c r="H770" s="639" t="s">
        <v>12</v>
      </c>
      <c r="I770" s="610"/>
      <c r="J770" s="610"/>
      <c r="K770" s="93"/>
      <c r="L770" s="640">
        <f t="shared" ref="L770:N770" si="310">L771+L772</f>
        <v>0</v>
      </c>
      <c r="M770" s="640">
        <f t="shared" si="310"/>
        <v>0</v>
      </c>
      <c r="N770" s="640">
        <f t="shared" si="310"/>
        <v>0</v>
      </c>
      <c r="O770" s="640">
        <f t="shared" ref="O770:O775" si="311">IF(L770&gt;0,N770*100/L770,0)</f>
        <v>0</v>
      </c>
      <c r="P770" s="640">
        <f t="shared" ref="P770:P775" si="312">IF(M770&gt;0,N770*100/M770,0)</f>
        <v>0</v>
      </c>
      <c r="Q770" s="597"/>
      <c r="R770" s="597"/>
      <c r="S770" s="597"/>
      <c r="T770" s="597"/>
      <c r="U770" s="597"/>
      <c r="V770" s="597"/>
      <c r="W770" s="597"/>
      <c r="X770" s="597"/>
      <c r="Y770" s="597"/>
      <c r="Z770" s="597"/>
    </row>
    <row r="771" spans="1:26" ht="18.75" hidden="1">
      <c r="A771" s="592"/>
      <c r="B771" s="750"/>
      <c r="C771" s="750"/>
      <c r="D771" s="711"/>
      <c r="E771" s="750" t="s">
        <v>184</v>
      </c>
      <c r="F771" s="750"/>
      <c r="G771" s="596"/>
      <c r="H771" s="165" t="s">
        <v>12</v>
      </c>
      <c r="I771" s="610"/>
      <c r="J771" s="610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597"/>
      <c r="R771" s="597"/>
      <c r="S771" s="597"/>
      <c r="T771" s="597"/>
      <c r="U771" s="597"/>
      <c r="V771" s="597"/>
      <c r="W771" s="597"/>
      <c r="X771" s="597"/>
      <c r="Y771" s="597"/>
      <c r="Z771" s="597"/>
    </row>
    <row r="772" spans="1:26" ht="18.75" hidden="1">
      <c r="A772" s="592"/>
      <c r="B772" s="600"/>
      <c r="C772" s="750"/>
      <c r="D772" s="711"/>
      <c r="E772" s="750" t="s">
        <v>185</v>
      </c>
      <c r="F772" s="750"/>
      <c r="G772" s="596"/>
      <c r="H772" s="165" t="s">
        <v>12</v>
      </c>
      <c r="I772" s="610"/>
      <c r="J772" s="610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597"/>
      <c r="R772" s="597"/>
      <c r="S772" s="597"/>
      <c r="T772" s="597"/>
      <c r="U772" s="597"/>
      <c r="V772" s="597"/>
      <c r="W772" s="597"/>
      <c r="X772" s="597"/>
      <c r="Y772" s="597"/>
      <c r="Z772" s="597"/>
    </row>
    <row r="773" spans="1:26" ht="19.5" hidden="1">
      <c r="A773" s="592"/>
      <c r="B773" s="600"/>
      <c r="C773" s="750"/>
      <c r="D773" s="638" t="s">
        <v>20</v>
      </c>
      <c r="E773" s="750"/>
      <c r="F773" s="750"/>
      <c r="G773" s="596"/>
      <c r="H773" s="639" t="s">
        <v>12</v>
      </c>
      <c r="I773" s="166"/>
      <c r="J773" s="166"/>
      <c r="K773" s="167"/>
      <c r="L773" s="640">
        <f t="shared" ref="L773:N773" si="314">L774+L775</f>
        <v>0</v>
      </c>
      <c r="M773" s="640">
        <f t="shared" si="314"/>
        <v>0</v>
      </c>
      <c r="N773" s="640">
        <f t="shared" si="314"/>
        <v>0</v>
      </c>
      <c r="O773" s="640">
        <f t="shared" si="311"/>
        <v>0</v>
      </c>
      <c r="P773" s="640">
        <f t="shared" si="312"/>
        <v>0</v>
      </c>
      <c r="Q773" s="597"/>
      <c r="R773" s="597"/>
      <c r="S773" s="597"/>
      <c r="T773" s="597"/>
      <c r="U773" s="597"/>
      <c r="V773" s="597"/>
      <c r="W773" s="597"/>
      <c r="X773" s="597"/>
      <c r="Y773" s="597"/>
      <c r="Z773" s="597"/>
    </row>
    <row r="774" spans="1:26" ht="18.75" hidden="1">
      <c r="A774" s="592"/>
      <c r="B774" s="600"/>
      <c r="C774" s="750"/>
      <c r="D774" s="711"/>
      <c r="E774" s="750" t="s">
        <v>184</v>
      </c>
      <c r="F774" s="750"/>
      <c r="G774" s="596"/>
      <c r="H774" s="165" t="s">
        <v>12</v>
      </c>
      <c r="I774" s="610"/>
      <c r="J774" s="610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597"/>
      <c r="R774" s="597"/>
      <c r="S774" s="597"/>
      <c r="T774" s="597"/>
      <c r="U774" s="597"/>
      <c r="V774" s="597"/>
      <c r="W774" s="597"/>
      <c r="X774" s="597"/>
      <c r="Y774" s="597"/>
      <c r="Z774" s="597"/>
    </row>
    <row r="775" spans="1:26" ht="18.75" hidden="1">
      <c r="A775" s="592"/>
      <c r="B775" s="600"/>
      <c r="C775" s="750"/>
      <c r="D775" s="711"/>
      <c r="E775" s="750" t="s">
        <v>185</v>
      </c>
      <c r="F775" s="750"/>
      <c r="G775" s="596"/>
      <c r="H775" s="165" t="s">
        <v>12</v>
      </c>
      <c r="I775" s="610"/>
      <c r="J775" s="610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597"/>
      <c r="R775" s="597"/>
      <c r="S775" s="597"/>
      <c r="T775" s="597"/>
      <c r="U775" s="597"/>
      <c r="V775" s="597"/>
      <c r="W775" s="597"/>
      <c r="X775" s="597"/>
      <c r="Y775" s="597"/>
      <c r="Z775" s="597"/>
    </row>
    <row r="776" spans="1:26" ht="18.75" hidden="1">
      <c r="A776" s="642"/>
      <c r="B776" s="600"/>
      <c r="C776" s="750"/>
      <c r="D776" s="750"/>
      <c r="E776" s="750"/>
      <c r="F776" s="750" t="s">
        <v>186</v>
      </c>
      <c r="G776" s="596"/>
      <c r="H776" s="165" t="s">
        <v>12</v>
      </c>
      <c r="I776" s="610"/>
      <c r="J776" s="610"/>
      <c r="K776" s="93"/>
      <c r="L776" s="93"/>
      <c r="M776" s="93"/>
      <c r="N776" s="93"/>
      <c r="O776" s="93"/>
      <c r="P776" s="93"/>
      <c r="Q776" s="597"/>
      <c r="R776" s="597"/>
      <c r="S776" s="597"/>
      <c r="T776" s="597"/>
      <c r="U776" s="597"/>
      <c r="V776" s="597"/>
      <c r="W776" s="597"/>
      <c r="X776" s="597"/>
      <c r="Y776" s="597"/>
      <c r="Z776" s="597"/>
    </row>
    <row r="777" spans="1:26" ht="18.75" hidden="1">
      <c r="A777" s="642"/>
      <c r="B777" s="600"/>
      <c r="C777" s="750"/>
      <c r="D777" s="750"/>
      <c r="E777" s="750"/>
      <c r="F777" s="750" t="s">
        <v>187</v>
      </c>
      <c r="G777" s="596"/>
      <c r="H777" s="165" t="s">
        <v>12</v>
      </c>
      <c r="I777" s="610"/>
      <c r="J777" s="610"/>
      <c r="K777" s="93"/>
      <c r="L777" s="93"/>
      <c r="M777" s="93"/>
      <c r="N777" s="93"/>
      <c r="O777" s="93"/>
      <c r="P777" s="93"/>
      <c r="Q777" s="597"/>
      <c r="R777" s="597"/>
      <c r="S777" s="597"/>
      <c r="T777" s="597"/>
      <c r="U777" s="597"/>
      <c r="V777" s="597"/>
      <c r="W777" s="597"/>
      <c r="X777" s="597"/>
      <c r="Y777" s="597"/>
      <c r="Z777" s="597"/>
    </row>
    <row r="778" spans="1:26" ht="18.75" hidden="1">
      <c r="A778" s="642"/>
      <c r="B778" s="600"/>
      <c r="C778" s="750"/>
      <c r="D778" s="750"/>
      <c r="E778" s="750"/>
      <c r="F778" s="750" t="s">
        <v>188</v>
      </c>
      <c r="G778" s="596"/>
      <c r="H778" s="165" t="s">
        <v>12</v>
      </c>
      <c r="I778" s="610"/>
      <c r="J778" s="610"/>
      <c r="K778" s="93"/>
      <c r="L778" s="93"/>
      <c r="M778" s="93"/>
      <c r="N778" s="93"/>
      <c r="O778" s="93"/>
      <c r="P778" s="93"/>
      <c r="Q778" s="597"/>
      <c r="R778" s="597"/>
      <c r="S778" s="597"/>
      <c r="T778" s="597"/>
      <c r="U778" s="597"/>
      <c r="V778" s="597"/>
      <c r="W778" s="597"/>
      <c r="X778" s="597"/>
      <c r="Y778" s="597"/>
      <c r="Z778" s="597"/>
    </row>
    <row r="779" spans="1:26" ht="18.75" hidden="1">
      <c r="A779" s="642"/>
      <c r="B779" s="600"/>
      <c r="C779" s="750"/>
      <c r="D779" s="750"/>
      <c r="E779" s="750"/>
      <c r="F779" s="750" t="s">
        <v>189</v>
      </c>
      <c r="G779" s="596"/>
      <c r="H779" s="165" t="s">
        <v>12</v>
      </c>
      <c r="I779" s="610"/>
      <c r="J779" s="610"/>
      <c r="K779" s="93"/>
      <c r="L779" s="93"/>
      <c r="M779" s="93"/>
      <c r="N779" s="93"/>
      <c r="O779" s="93"/>
      <c r="P779" s="93"/>
      <c r="Q779" s="597"/>
      <c r="R779" s="597"/>
      <c r="S779" s="597"/>
      <c r="T779" s="597"/>
      <c r="U779" s="597"/>
      <c r="V779" s="597"/>
      <c r="W779" s="597"/>
      <c r="X779" s="597"/>
      <c r="Y779" s="597"/>
      <c r="Z779" s="597"/>
    </row>
    <row r="780" spans="1:26" ht="19.5" hidden="1">
      <c r="A780" s="592"/>
      <c r="B780" s="600"/>
      <c r="C780" s="750"/>
      <c r="D780" s="638" t="s">
        <v>21</v>
      </c>
      <c r="E780" s="750"/>
      <c r="F780" s="750"/>
      <c r="G780" s="596"/>
      <c r="H780" s="774" t="s">
        <v>12</v>
      </c>
      <c r="I780" s="166"/>
      <c r="J780" s="166"/>
      <c r="K780" s="167"/>
      <c r="L780" s="640">
        <f t="shared" ref="L780:N780" si="315">L781+L782</f>
        <v>0</v>
      </c>
      <c r="M780" s="640">
        <f t="shared" si="315"/>
        <v>0</v>
      </c>
      <c r="N780" s="640">
        <f t="shared" si="315"/>
        <v>0</v>
      </c>
      <c r="O780" s="640">
        <f t="shared" ref="O780:O782" si="316">IF(L780&gt;0,N780*100/L780,0)</f>
        <v>0</v>
      </c>
      <c r="P780" s="640">
        <f t="shared" ref="P780:P782" si="317">IF(M780&gt;0,N780*100/M780,0)</f>
        <v>0</v>
      </c>
      <c r="Q780" s="597"/>
      <c r="R780" s="597"/>
      <c r="S780" s="597"/>
      <c r="T780" s="597"/>
      <c r="U780" s="597"/>
      <c r="V780" s="597"/>
      <c r="W780" s="597"/>
      <c r="X780" s="597"/>
      <c r="Y780" s="597"/>
      <c r="Z780" s="597"/>
    </row>
    <row r="781" spans="1:26" ht="18.75" hidden="1">
      <c r="A781" s="592"/>
      <c r="B781" s="600"/>
      <c r="C781" s="750"/>
      <c r="D781" s="750"/>
      <c r="E781" s="750" t="s">
        <v>18</v>
      </c>
      <c r="F781" s="750"/>
      <c r="G781" s="596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597"/>
      <c r="R781" s="597"/>
      <c r="S781" s="597"/>
      <c r="T781" s="597"/>
      <c r="U781" s="597"/>
      <c r="V781" s="597"/>
      <c r="W781" s="597"/>
      <c r="X781" s="597"/>
      <c r="Y781" s="597"/>
      <c r="Z781" s="597"/>
    </row>
    <row r="782" spans="1:26" ht="18.75" hidden="1">
      <c r="A782" s="592"/>
      <c r="B782" s="600"/>
      <c r="C782" s="750"/>
      <c r="D782" s="750"/>
      <c r="E782" s="750" t="s">
        <v>19</v>
      </c>
      <c r="F782" s="750"/>
      <c r="G782" s="596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597"/>
      <c r="R782" s="597"/>
      <c r="S782" s="597"/>
      <c r="T782" s="597"/>
      <c r="U782" s="597"/>
      <c r="V782" s="597"/>
      <c r="W782" s="597"/>
      <c r="X782" s="597"/>
      <c r="Y782" s="597"/>
      <c r="Z782" s="597"/>
    </row>
    <row r="783" spans="1:26" ht="19.5" hidden="1">
      <c r="A783" s="607"/>
      <c r="B783" s="609"/>
      <c r="C783" s="750" t="s">
        <v>16</v>
      </c>
      <c r="D783" s="841" t="s">
        <v>38</v>
      </c>
      <c r="E783" s="644"/>
      <c r="F783" s="644"/>
      <c r="G783" s="645"/>
      <c r="H783" s="792"/>
      <c r="I783" s="166"/>
      <c r="J783" s="166"/>
      <c r="K783" s="167"/>
      <c r="L783" s="167"/>
      <c r="M783" s="167"/>
      <c r="N783" s="167"/>
      <c r="O783" s="167"/>
      <c r="P783" s="167"/>
      <c r="Q783" s="597"/>
      <c r="R783" s="597"/>
      <c r="S783" s="597"/>
      <c r="T783" s="597"/>
      <c r="U783" s="597"/>
      <c r="V783" s="597"/>
      <c r="W783" s="597"/>
      <c r="X783" s="597"/>
      <c r="Y783" s="597"/>
      <c r="Z783" s="597"/>
    </row>
    <row r="784" spans="1:26" ht="18.75" hidden="1">
      <c r="A784" s="642"/>
      <c r="B784" s="600"/>
      <c r="C784" s="750"/>
      <c r="D784" s="750"/>
      <c r="E784" s="750" t="s">
        <v>318</v>
      </c>
      <c r="F784" s="750"/>
      <c r="G784" s="596"/>
      <c r="H784" s="165" t="s">
        <v>46</v>
      </c>
      <c r="I784" s="610"/>
      <c r="J784" s="610"/>
      <c r="K784" s="93"/>
      <c r="L784" s="93"/>
      <c r="M784" s="93"/>
      <c r="N784" s="93"/>
      <c r="O784" s="93"/>
      <c r="P784" s="93"/>
      <c r="Q784" s="597"/>
      <c r="R784" s="597"/>
      <c r="S784" s="597"/>
      <c r="T784" s="597"/>
      <c r="U784" s="597"/>
      <c r="V784" s="597"/>
      <c r="W784" s="597"/>
      <c r="X784" s="597"/>
      <c r="Y784" s="597"/>
      <c r="Z784" s="597"/>
    </row>
    <row r="785" spans="1:26" ht="19.5" hidden="1">
      <c r="A785" s="793">
        <v>12</v>
      </c>
      <c r="B785" s="794" t="s">
        <v>319</v>
      </c>
      <c r="C785" s="795"/>
      <c r="D785" s="795"/>
      <c r="E785" s="795"/>
      <c r="F785" s="795"/>
      <c r="G785" s="796"/>
      <c r="H785" s="797" t="s">
        <v>46</v>
      </c>
      <c r="I785" s="798">
        <f t="shared" ref="I785:J785" ca="1" si="318">I800</f>
        <v>0</v>
      </c>
      <c r="J785" s="799">
        <f t="shared" ca="1" si="318"/>
        <v>0</v>
      </c>
      <c r="K785" s="800">
        <f ca="1">IF(I785&gt;0,J785*100/I785,0)</f>
        <v>0</v>
      </c>
      <c r="L785" s="801"/>
      <c r="M785" s="801"/>
      <c r="N785" s="801"/>
      <c r="O785" s="801"/>
      <c r="P785" s="801"/>
      <c r="Q785" s="571"/>
      <c r="R785" s="571"/>
      <c r="S785" s="571"/>
      <c r="T785" s="571"/>
      <c r="U785" s="571"/>
      <c r="V785" s="571"/>
      <c r="W785" s="571"/>
      <c r="X785" s="571"/>
      <c r="Y785" s="571"/>
      <c r="Z785" s="571"/>
    </row>
    <row r="786" spans="1:26" ht="19.5" hidden="1">
      <c r="A786" s="590"/>
      <c r="B786" s="568"/>
      <c r="C786" s="754" t="s">
        <v>16</v>
      </c>
      <c r="D786" s="863" t="s">
        <v>17</v>
      </c>
      <c r="E786" s="857"/>
      <c r="F786" s="857"/>
      <c r="G786" s="189"/>
      <c r="H786" s="591" t="s">
        <v>12</v>
      </c>
      <c r="I786" s="269"/>
      <c r="J786" s="269"/>
      <c r="K786" s="496"/>
      <c r="L786" s="195">
        <f t="shared" ref="L786:N786" ca="1" si="319">L787+L788</f>
        <v>0</v>
      </c>
      <c r="M786" s="195">
        <f t="shared" si="319"/>
        <v>0</v>
      </c>
      <c r="N786" s="195">
        <f t="shared" si="319"/>
        <v>0</v>
      </c>
      <c r="O786" s="195">
        <f t="shared" ref="O786:O791" ca="1" si="320">IF(L786&gt;0,N786*100/L786,0)</f>
        <v>0</v>
      </c>
      <c r="P786" s="195">
        <f t="shared" ref="P786:P791" si="321">IF(M786&gt;0,N786*100/M786,0)</f>
        <v>0</v>
      </c>
      <c r="Q786" s="571"/>
      <c r="R786" s="571"/>
      <c r="S786" s="571"/>
      <c r="T786" s="571"/>
      <c r="U786" s="571"/>
      <c r="V786" s="571"/>
      <c r="W786" s="571"/>
      <c r="X786" s="571"/>
      <c r="Y786" s="571"/>
      <c r="Z786" s="571"/>
    </row>
    <row r="787" spans="1:26" ht="18.75" hidden="1">
      <c r="A787" s="592"/>
      <c r="B787" s="600"/>
      <c r="C787" s="750"/>
      <c r="D787" s="711"/>
      <c r="E787" s="750" t="s">
        <v>184</v>
      </c>
      <c r="F787" s="750"/>
      <c r="G787" s="596"/>
      <c r="H787" s="165" t="s">
        <v>12</v>
      </c>
      <c r="I787" s="610"/>
      <c r="J787" s="610"/>
      <c r="K787" s="93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597"/>
      <c r="R787" s="597"/>
      <c r="S787" s="597"/>
      <c r="T787" s="597"/>
      <c r="U787" s="597"/>
      <c r="V787" s="597"/>
      <c r="W787" s="597"/>
      <c r="X787" s="597"/>
      <c r="Y787" s="597"/>
      <c r="Z787" s="597"/>
    </row>
    <row r="788" spans="1:26" ht="18.75" hidden="1">
      <c r="A788" s="592"/>
      <c r="B788" s="600"/>
      <c r="C788" s="600"/>
      <c r="D788" s="609"/>
      <c r="E788" s="750" t="s">
        <v>185</v>
      </c>
      <c r="F788" s="750"/>
      <c r="G788" s="596"/>
      <c r="H788" s="165" t="s">
        <v>12</v>
      </c>
      <c r="I788" s="610"/>
      <c r="J788" s="610"/>
      <c r="K788" s="93"/>
      <c r="L788" s="93">
        <f t="shared" ca="1" si="322"/>
        <v>0</v>
      </c>
      <c r="M788" s="93">
        <f t="shared" si="322"/>
        <v>0</v>
      </c>
      <c r="N788" s="93">
        <f t="shared" si="322"/>
        <v>0</v>
      </c>
      <c r="O788" s="93">
        <f t="shared" ca="1" si="320"/>
        <v>0</v>
      </c>
      <c r="P788" s="93">
        <f t="shared" si="321"/>
        <v>0</v>
      </c>
      <c r="Q788" s="597"/>
      <c r="R788" s="597"/>
      <c r="S788" s="597"/>
      <c r="T788" s="597"/>
      <c r="U788" s="597"/>
      <c r="V788" s="597"/>
      <c r="W788" s="597"/>
      <c r="X788" s="597"/>
      <c r="Y788" s="597"/>
      <c r="Z788" s="597"/>
    </row>
    <row r="789" spans="1:26" ht="18.75" hidden="1">
      <c r="A789" s="590"/>
      <c r="B789" s="568"/>
      <c r="C789" s="568"/>
      <c r="D789" s="599" t="s">
        <v>20</v>
      </c>
      <c r="E789" s="754"/>
      <c r="F789" s="754"/>
      <c r="G789" s="189"/>
      <c r="H789" s="161" t="s">
        <v>12</v>
      </c>
      <c r="I789" s="184"/>
      <c r="J789" s="184"/>
      <c r="K789" s="163"/>
      <c r="L789" s="496">
        <f t="shared" ref="L789:N789" ca="1" si="323">L790+L791</f>
        <v>0</v>
      </c>
      <c r="M789" s="496">
        <f t="shared" si="323"/>
        <v>0</v>
      </c>
      <c r="N789" s="496">
        <f t="shared" si="323"/>
        <v>0</v>
      </c>
      <c r="O789" s="496">
        <f t="shared" ca="1" si="320"/>
        <v>0</v>
      </c>
      <c r="P789" s="496">
        <f t="shared" si="321"/>
        <v>0</v>
      </c>
      <c r="Q789" s="571"/>
      <c r="R789" s="571"/>
      <c r="S789" s="571"/>
      <c r="T789" s="571"/>
      <c r="U789" s="571"/>
      <c r="V789" s="571"/>
      <c r="W789" s="571"/>
      <c r="X789" s="571"/>
      <c r="Y789" s="571"/>
      <c r="Z789" s="571"/>
    </row>
    <row r="790" spans="1:26" ht="18.75" hidden="1">
      <c r="A790" s="592"/>
      <c r="B790" s="600"/>
      <c r="C790" s="600"/>
      <c r="D790" s="609"/>
      <c r="E790" s="750" t="s">
        <v>184</v>
      </c>
      <c r="F790" s="750"/>
      <c r="G790" s="596"/>
      <c r="H790" s="165" t="s">
        <v>12</v>
      </c>
      <c r="I790" s="610"/>
      <c r="J790" s="610"/>
      <c r="K790" s="93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597"/>
      <c r="R790" s="597"/>
      <c r="S790" s="597"/>
      <c r="T790" s="597"/>
      <c r="U790" s="597"/>
      <c r="V790" s="597"/>
      <c r="W790" s="597"/>
      <c r="X790" s="597"/>
      <c r="Y790" s="597"/>
      <c r="Z790" s="597"/>
    </row>
    <row r="791" spans="1:26" ht="18.75" hidden="1">
      <c r="A791" s="592"/>
      <c r="B791" s="600"/>
      <c r="C791" s="600"/>
      <c r="D791" s="609"/>
      <c r="E791" s="750" t="s">
        <v>185</v>
      </c>
      <c r="F791" s="750"/>
      <c r="G791" s="596"/>
      <c r="H791" s="165" t="s">
        <v>12</v>
      </c>
      <c r="I791" s="610"/>
      <c r="J791" s="610"/>
      <c r="K791" s="93"/>
      <c r="L791" s="93">
        <f ca="1">IFERROR(__xludf.DUMMYFUNCTION("IMPORTRANGE(""https://docs.google.com/spreadsheets/d/1QqKyyYR6Q21VydFLVH3TRQUabQu_ym0Zz7PgGX0-kHA/edit?usp=sharing"",""แผน!JJ54"")"),0)</f>
        <v>0</v>
      </c>
      <c r="M791" s="93">
        <v>0</v>
      </c>
      <c r="N791" s="93">
        <f>N792+N793+N794+N795</f>
        <v>0</v>
      </c>
      <c r="O791" s="93">
        <f t="shared" ca="1" si="320"/>
        <v>0</v>
      </c>
      <c r="P791" s="93">
        <f t="shared" si="321"/>
        <v>0</v>
      </c>
      <c r="Q791" s="597"/>
      <c r="R791" s="597"/>
      <c r="S791" s="597"/>
      <c r="T791" s="597"/>
      <c r="U791" s="597"/>
      <c r="V791" s="597"/>
      <c r="W791" s="597"/>
      <c r="X791" s="597"/>
      <c r="Y791" s="597"/>
      <c r="Z791" s="597"/>
    </row>
    <row r="792" spans="1:26" ht="18.75" hidden="1">
      <c r="A792" s="567"/>
      <c r="B792" s="568"/>
      <c r="C792" s="754"/>
      <c r="D792" s="754"/>
      <c r="E792" s="754"/>
      <c r="F792" s="754" t="s">
        <v>186</v>
      </c>
      <c r="G792" s="189"/>
      <c r="H792" s="161" t="s">
        <v>12</v>
      </c>
      <c r="I792" s="269"/>
      <c r="J792" s="269"/>
      <c r="K792" s="496"/>
      <c r="L792" s="496"/>
      <c r="M792" s="496"/>
      <c r="N792" s="817">
        <v>0</v>
      </c>
      <c r="O792" s="496"/>
      <c r="P792" s="496"/>
      <c r="Q792" s="571"/>
      <c r="R792" s="571"/>
      <c r="S792" s="571"/>
      <c r="T792" s="571"/>
      <c r="U792" s="571"/>
      <c r="V792" s="571"/>
      <c r="W792" s="571"/>
      <c r="X792" s="571"/>
      <c r="Y792" s="571"/>
      <c r="Z792" s="571"/>
    </row>
    <row r="793" spans="1:26" ht="18.75" hidden="1">
      <c r="A793" s="567"/>
      <c r="B793" s="568"/>
      <c r="C793" s="754"/>
      <c r="D793" s="754"/>
      <c r="E793" s="754"/>
      <c r="F793" s="754" t="s">
        <v>187</v>
      </c>
      <c r="G793" s="189"/>
      <c r="H793" s="161" t="s">
        <v>12</v>
      </c>
      <c r="I793" s="269"/>
      <c r="J793" s="269"/>
      <c r="K793" s="496"/>
      <c r="L793" s="496"/>
      <c r="M793" s="496"/>
      <c r="N793" s="817">
        <v>0</v>
      </c>
      <c r="O793" s="496"/>
      <c r="P793" s="496"/>
      <c r="Q793" s="571"/>
      <c r="R793" s="571"/>
      <c r="S793" s="571"/>
      <c r="T793" s="571"/>
      <c r="U793" s="571"/>
      <c r="V793" s="571"/>
      <c r="W793" s="571"/>
      <c r="X793" s="571"/>
      <c r="Y793" s="571"/>
      <c r="Z793" s="571"/>
    </row>
    <row r="794" spans="1:26" ht="18.75" hidden="1">
      <c r="A794" s="567"/>
      <c r="B794" s="568"/>
      <c r="C794" s="754"/>
      <c r="D794" s="754"/>
      <c r="E794" s="754"/>
      <c r="F794" s="754" t="s">
        <v>188</v>
      </c>
      <c r="G794" s="189"/>
      <c r="H794" s="161" t="s">
        <v>12</v>
      </c>
      <c r="I794" s="269"/>
      <c r="J794" s="269"/>
      <c r="K794" s="496"/>
      <c r="L794" s="496"/>
      <c r="M794" s="496"/>
      <c r="N794" s="817">
        <v>0</v>
      </c>
      <c r="O794" s="496"/>
      <c r="P794" s="496"/>
      <c r="Q794" s="571"/>
      <c r="R794" s="571"/>
      <c r="S794" s="571"/>
      <c r="T794" s="571"/>
      <c r="U794" s="571"/>
      <c r="V794" s="571"/>
      <c r="W794" s="571"/>
      <c r="X794" s="571"/>
      <c r="Y794" s="571"/>
      <c r="Z794" s="571"/>
    </row>
    <row r="795" spans="1:26" ht="18.75" hidden="1">
      <c r="A795" s="567"/>
      <c r="B795" s="568"/>
      <c r="C795" s="754"/>
      <c r="D795" s="754"/>
      <c r="E795" s="754"/>
      <c r="F795" s="754" t="s">
        <v>189</v>
      </c>
      <c r="G795" s="189"/>
      <c r="H795" s="161" t="s">
        <v>12</v>
      </c>
      <c r="I795" s="269"/>
      <c r="J795" s="269"/>
      <c r="K795" s="496"/>
      <c r="L795" s="496"/>
      <c r="M795" s="496"/>
      <c r="N795" s="817">
        <v>0</v>
      </c>
      <c r="O795" s="496"/>
      <c r="P795" s="496"/>
      <c r="Q795" s="571"/>
      <c r="R795" s="571"/>
      <c r="S795" s="571"/>
      <c r="T795" s="571"/>
      <c r="U795" s="571"/>
      <c r="V795" s="571"/>
      <c r="W795" s="571"/>
      <c r="X795" s="571"/>
      <c r="Y795" s="571"/>
      <c r="Z795" s="571"/>
    </row>
    <row r="796" spans="1:26" ht="18.75" hidden="1">
      <c r="A796" s="590"/>
      <c r="B796" s="568"/>
      <c r="C796" s="754"/>
      <c r="D796" s="599" t="s">
        <v>21</v>
      </c>
      <c r="E796" s="754"/>
      <c r="F796" s="754"/>
      <c r="G796" s="189"/>
      <c r="H796" s="168" t="s">
        <v>12</v>
      </c>
      <c r="I796" s="184"/>
      <c r="J796" s="184"/>
      <c r="K796" s="163"/>
      <c r="L796" s="496">
        <f t="shared" ref="L796:N796" si="324">L797+L798</f>
        <v>0</v>
      </c>
      <c r="M796" s="496">
        <f t="shared" si="324"/>
        <v>0</v>
      </c>
      <c r="N796" s="496">
        <f t="shared" si="324"/>
        <v>0</v>
      </c>
      <c r="O796" s="496">
        <f t="shared" ref="O796:O798" si="325">IF(L796&gt;0,N796*100/L796,0)</f>
        <v>0</v>
      </c>
      <c r="P796" s="496">
        <f t="shared" ref="P796:P798" si="326">IF(M796&gt;0,N796*100/M796,0)</f>
        <v>0</v>
      </c>
      <c r="Q796" s="571"/>
      <c r="R796" s="571"/>
      <c r="S796" s="571"/>
      <c r="T796" s="571"/>
      <c r="U796" s="571"/>
      <c r="V796" s="571"/>
      <c r="W796" s="571"/>
      <c r="X796" s="571"/>
      <c r="Y796" s="571"/>
      <c r="Z796" s="571"/>
    </row>
    <row r="797" spans="1:26" ht="18.75" hidden="1">
      <c r="A797" s="592"/>
      <c r="B797" s="600"/>
      <c r="C797" s="750"/>
      <c r="D797" s="750"/>
      <c r="E797" s="750" t="s">
        <v>18</v>
      </c>
      <c r="F797" s="750"/>
      <c r="G797" s="596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597"/>
      <c r="R797" s="597"/>
      <c r="S797" s="597"/>
      <c r="T797" s="597"/>
      <c r="U797" s="597"/>
      <c r="V797" s="597"/>
      <c r="W797" s="597"/>
      <c r="X797" s="597"/>
      <c r="Y797" s="597"/>
      <c r="Z797" s="597"/>
    </row>
    <row r="798" spans="1:26" ht="18.75" hidden="1">
      <c r="A798" s="592"/>
      <c r="B798" s="600"/>
      <c r="C798" s="750"/>
      <c r="D798" s="750"/>
      <c r="E798" s="750" t="s">
        <v>19</v>
      </c>
      <c r="F798" s="750"/>
      <c r="G798" s="596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597"/>
      <c r="R798" s="597"/>
      <c r="S798" s="597"/>
      <c r="T798" s="597"/>
      <c r="U798" s="597"/>
      <c r="V798" s="597"/>
      <c r="W798" s="597"/>
      <c r="X798" s="597"/>
      <c r="Y798" s="597"/>
      <c r="Z798" s="597"/>
    </row>
    <row r="799" spans="1:26" ht="19.5" hidden="1">
      <c r="A799" s="601"/>
      <c r="B799" s="611"/>
      <c r="C799" s="754" t="s">
        <v>16</v>
      </c>
      <c r="D799" s="840" t="s">
        <v>38</v>
      </c>
      <c r="E799" s="752"/>
      <c r="F799" s="752"/>
      <c r="G799" s="606"/>
      <c r="H799" s="802"/>
      <c r="I799" s="184"/>
      <c r="J799" s="184"/>
      <c r="K799" s="163"/>
      <c r="L799" s="163"/>
      <c r="M799" s="163"/>
      <c r="N799" s="163"/>
      <c r="O799" s="163"/>
      <c r="P799" s="163"/>
      <c r="Q799" s="571"/>
      <c r="R799" s="571"/>
      <c r="S799" s="571"/>
      <c r="T799" s="571"/>
      <c r="U799" s="571"/>
      <c r="V799" s="571"/>
      <c r="W799" s="571"/>
      <c r="X799" s="571"/>
      <c r="Y799" s="571"/>
      <c r="Z799" s="571"/>
    </row>
    <row r="800" spans="1:26" ht="18.75" hidden="1">
      <c r="A800" s="601"/>
      <c r="B800" s="611"/>
      <c r="C800" s="611"/>
      <c r="D800" s="611"/>
      <c r="E800" s="619"/>
      <c r="F800" s="619" t="s">
        <v>320</v>
      </c>
      <c r="G800" s="753"/>
      <c r="H800" s="185" t="s">
        <v>46</v>
      </c>
      <c r="I800" s="184">
        <f ca="1">IFERROR(__xludf.DUMMYFUNCTION("IMPORTRANGE(""https://docs.google.com/spreadsheets/d/1QqKyyYR6Q21VydFLVH3TRQUabQu_ym0Zz7PgGX0-kHA/edit?usp=sharing"",""แผน!JN54"")"),0)</f>
        <v>0</v>
      </c>
      <c r="J800" s="184">
        <f ca="1">IFERROR(__xludf.DUMMYFUNCTION("IMPORTRANGE(""https://docs.google.com/spreadsheets/d/1MaWodYyGHDf7siQLGxnXhG4mBNTNIuy296niS2xXulU/edit?usp=sharing"",""RTK!H54"")"),0)</f>
        <v>0</v>
      </c>
      <c r="K800" s="496">
        <f ca="1">IF(I800&gt;0,J800*100/I800,0)</f>
        <v>0</v>
      </c>
      <c r="L800" s="496"/>
      <c r="M800" s="496"/>
      <c r="N800" s="496"/>
      <c r="O800" s="163"/>
      <c r="P800" s="163"/>
      <c r="Q800" s="571"/>
      <c r="R800" s="571"/>
      <c r="S800" s="571"/>
      <c r="T800" s="571"/>
      <c r="U800" s="571"/>
      <c r="V800" s="571"/>
      <c r="W800" s="571"/>
      <c r="X800" s="571"/>
      <c r="Y800" s="571"/>
      <c r="Z800" s="571"/>
    </row>
    <row r="801" spans="1:26" ht="18.75" hidden="1">
      <c r="A801" s="601"/>
      <c r="B801" s="611"/>
      <c r="C801" s="611"/>
      <c r="D801" s="611"/>
      <c r="E801" s="619"/>
      <c r="F801" s="619"/>
      <c r="G801" s="753"/>
      <c r="H801" s="161" t="s">
        <v>34</v>
      </c>
      <c r="I801" s="184"/>
      <c r="J801" s="269">
        <f ca="1">IFERROR(__xludf.DUMMYFUNCTION("IMPORTRANGE(""https://docs.google.com/spreadsheets/d/1MaWodYyGHDf7siQLGxnXhG4mBNTNIuy296niS2xXulU/edit?usp=sharing"",""RTK!I54"")"),0)</f>
        <v>0</v>
      </c>
      <c r="K801" s="496"/>
      <c r="L801" s="496"/>
      <c r="M801" s="496"/>
      <c r="N801" s="496"/>
      <c r="O801" s="163"/>
      <c r="P801" s="163"/>
      <c r="Q801" s="571"/>
      <c r="R801" s="571"/>
      <c r="S801" s="571"/>
      <c r="T801" s="571"/>
      <c r="U801" s="571"/>
      <c r="V801" s="571"/>
      <c r="W801" s="571"/>
      <c r="X801" s="571"/>
      <c r="Y801" s="571"/>
      <c r="Z801" s="571"/>
    </row>
    <row r="802" spans="1:26" ht="18.75" hidden="1">
      <c r="A802" s="607"/>
      <c r="B802" s="609"/>
      <c r="C802" s="609"/>
      <c r="D802" s="609"/>
      <c r="E802" s="711"/>
      <c r="F802" s="711" t="s">
        <v>321</v>
      </c>
      <c r="G802" s="365"/>
      <c r="H802" s="646" t="s">
        <v>46</v>
      </c>
      <c r="I802" s="166"/>
      <c r="J802" s="610"/>
      <c r="K802" s="167">
        <f>IF(I802&gt;0,J802*100/I802,0)</f>
        <v>0</v>
      </c>
      <c r="L802" s="167"/>
      <c r="M802" s="167"/>
      <c r="N802" s="167"/>
      <c r="O802" s="167"/>
      <c r="P802" s="167"/>
      <c r="Q802" s="597"/>
      <c r="R802" s="597"/>
      <c r="S802" s="597"/>
      <c r="T802" s="597"/>
      <c r="U802" s="597"/>
      <c r="V802" s="597"/>
      <c r="W802" s="597"/>
      <c r="X802" s="597"/>
      <c r="Y802" s="597"/>
      <c r="Z802" s="597"/>
    </row>
    <row r="803" spans="1:26" ht="18.75" hidden="1">
      <c r="A803" s="607"/>
      <c r="B803" s="609"/>
      <c r="C803" s="609"/>
      <c r="D803" s="609"/>
      <c r="E803" s="711"/>
      <c r="F803" s="711"/>
      <c r="G803" s="365"/>
      <c r="H803" s="646" t="s">
        <v>34</v>
      </c>
      <c r="I803" s="166"/>
      <c r="J803" s="610"/>
      <c r="K803" s="167"/>
      <c r="L803" s="167"/>
      <c r="M803" s="167"/>
      <c r="N803" s="167"/>
      <c r="O803" s="167"/>
      <c r="P803" s="167"/>
      <c r="Q803" s="597"/>
      <c r="R803" s="597"/>
      <c r="S803" s="597"/>
      <c r="T803" s="597"/>
      <c r="U803" s="597"/>
      <c r="V803" s="597"/>
      <c r="W803" s="597"/>
      <c r="X803" s="597"/>
      <c r="Y803" s="597"/>
      <c r="Z803" s="597"/>
    </row>
    <row r="804" spans="1:26" ht="19.5" hidden="1">
      <c r="A804" s="784">
        <v>13</v>
      </c>
      <c r="B804" s="785" t="s">
        <v>322</v>
      </c>
      <c r="C804" s="786"/>
      <c r="D804" s="803"/>
      <c r="E804" s="786"/>
      <c r="F804" s="786"/>
      <c r="G804" s="787"/>
      <c r="H804" s="788" t="s">
        <v>46</v>
      </c>
      <c r="I804" s="789"/>
      <c r="J804" s="789">
        <f>J819</f>
        <v>0</v>
      </c>
      <c r="K804" s="790">
        <f>IF(I804&gt;0,J804*100/I804,0)</f>
        <v>0</v>
      </c>
      <c r="L804" s="791"/>
      <c r="M804" s="791"/>
      <c r="N804" s="791"/>
      <c r="O804" s="791"/>
      <c r="P804" s="791"/>
      <c r="Q804" s="597"/>
      <c r="R804" s="597"/>
      <c r="S804" s="597"/>
      <c r="T804" s="597"/>
      <c r="U804" s="597"/>
      <c r="V804" s="597"/>
      <c r="W804" s="597"/>
      <c r="X804" s="597"/>
      <c r="Y804" s="597"/>
      <c r="Z804" s="597"/>
    </row>
    <row r="805" spans="1:26" ht="19.5" hidden="1">
      <c r="A805" s="592"/>
      <c r="B805" s="750"/>
      <c r="C805" s="750" t="s">
        <v>16</v>
      </c>
      <c r="D805" s="864" t="s">
        <v>17</v>
      </c>
      <c r="E805" s="857"/>
      <c r="F805" s="857"/>
      <c r="G805" s="596"/>
      <c r="H805" s="639" t="s">
        <v>12</v>
      </c>
      <c r="I805" s="610"/>
      <c r="J805" s="610"/>
      <c r="K805" s="93"/>
      <c r="L805" s="640">
        <f t="shared" ref="L805:N805" si="327">L806+L807</f>
        <v>0</v>
      </c>
      <c r="M805" s="640">
        <f t="shared" si="327"/>
        <v>0</v>
      </c>
      <c r="N805" s="640">
        <f t="shared" si="327"/>
        <v>0</v>
      </c>
      <c r="O805" s="640">
        <f t="shared" ref="O805:O810" si="328">IF(L805&gt;0,N805*100/L805,0)</f>
        <v>0</v>
      </c>
      <c r="P805" s="640">
        <f t="shared" ref="P805:P810" si="329">IF(M805&gt;0,N805*100/M805,0)</f>
        <v>0</v>
      </c>
      <c r="Q805" s="597"/>
      <c r="R805" s="597"/>
      <c r="S805" s="597"/>
      <c r="T805" s="597"/>
      <c r="U805" s="597"/>
      <c r="V805" s="597"/>
      <c r="W805" s="597"/>
      <c r="X805" s="597"/>
      <c r="Y805" s="597"/>
      <c r="Z805" s="597"/>
    </row>
    <row r="806" spans="1:26" ht="18.75" hidden="1">
      <c r="A806" s="592"/>
      <c r="B806" s="750"/>
      <c r="C806" s="750"/>
      <c r="D806" s="609"/>
      <c r="E806" s="750" t="s">
        <v>184</v>
      </c>
      <c r="F806" s="750"/>
      <c r="G806" s="596"/>
      <c r="H806" s="165" t="s">
        <v>12</v>
      </c>
      <c r="I806" s="610"/>
      <c r="J806" s="610"/>
      <c r="K806" s="93"/>
      <c r="L806" s="93">
        <f t="shared" ref="L806:N807" si="330">L809+L816</f>
        <v>0</v>
      </c>
      <c r="M806" s="93">
        <f t="shared" si="330"/>
        <v>0</v>
      </c>
      <c r="N806" s="93">
        <f t="shared" si="330"/>
        <v>0</v>
      </c>
      <c r="O806" s="93">
        <f t="shared" si="328"/>
        <v>0</v>
      </c>
      <c r="P806" s="93">
        <f t="shared" si="329"/>
        <v>0</v>
      </c>
      <c r="Q806" s="597"/>
      <c r="R806" s="597"/>
      <c r="S806" s="597"/>
      <c r="T806" s="597"/>
      <c r="U806" s="597"/>
      <c r="V806" s="597"/>
      <c r="W806" s="597"/>
      <c r="X806" s="597"/>
      <c r="Y806" s="597"/>
      <c r="Z806" s="597"/>
    </row>
    <row r="807" spans="1:26" ht="18.75" hidden="1">
      <c r="A807" s="592"/>
      <c r="B807" s="750"/>
      <c r="C807" s="750"/>
      <c r="D807" s="609"/>
      <c r="E807" s="750" t="s">
        <v>185</v>
      </c>
      <c r="F807" s="750"/>
      <c r="G807" s="596"/>
      <c r="H807" s="165" t="s">
        <v>12</v>
      </c>
      <c r="I807" s="610"/>
      <c r="J807" s="610"/>
      <c r="K807" s="93"/>
      <c r="L807" s="93">
        <f t="shared" si="330"/>
        <v>0</v>
      </c>
      <c r="M807" s="93">
        <f t="shared" si="330"/>
        <v>0</v>
      </c>
      <c r="N807" s="93">
        <f t="shared" si="330"/>
        <v>0</v>
      </c>
      <c r="O807" s="93">
        <f t="shared" si="328"/>
        <v>0</v>
      </c>
      <c r="P807" s="93">
        <f t="shared" si="329"/>
        <v>0</v>
      </c>
      <c r="Q807" s="597"/>
      <c r="R807" s="597"/>
      <c r="S807" s="597"/>
      <c r="T807" s="597"/>
      <c r="U807" s="597"/>
      <c r="V807" s="597"/>
      <c r="W807" s="597"/>
      <c r="X807" s="597"/>
      <c r="Y807" s="597"/>
      <c r="Z807" s="597"/>
    </row>
    <row r="808" spans="1:26" ht="19.5" hidden="1">
      <c r="A808" s="592"/>
      <c r="B808" s="600"/>
      <c r="C808" s="750"/>
      <c r="D808" s="869" t="s">
        <v>20</v>
      </c>
      <c r="E808" s="857"/>
      <c r="F808" s="857"/>
      <c r="G808" s="596"/>
      <c r="H808" s="639" t="s">
        <v>12</v>
      </c>
      <c r="I808" s="166"/>
      <c r="J808" s="166"/>
      <c r="K808" s="167"/>
      <c r="L808" s="640">
        <f t="shared" ref="L808:N808" si="331">L809+L810</f>
        <v>0</v>
      </c>
      <c r="M808" s="640">
        <f t="shared" si="331"/>
        <v>0</v>
      </c>
      <c r="N808" s="640">
        <f t="shared" si="331"/>
        <v>0</v>
      </c>
      <c r="O808" s="640">
        <f t="shared" si="328"/>
        <v>0</v>
      </c>
      <c r="P808" s="640">
        <f t="shared" si="329"/>
        <v>0</v>
      </c>
      <c r="Q808" s="597"/>
      <c r="R808" s="597"/>
      <c r="S808" s="597"/>
      <c r="T808" s="597"/>
      <c r="U808" s="597"/>
      <c r="V808" s="597"/>
      <c r="W808" s="597"/>
      <c r="X808" s="597"/>
      <c r="Y808" s="597"/>
      <c r="Z808" s="597"/>
    </row>
    <row r="809" spans="1:26" ht="18.75" hidden="1">
      <c r="A809" s="592"/>
      <c r="B809" s="750"/>
      <c r="C809" s="750"/>
      <c r="D809" s="609"/>
      <c r="E809" s="750" t="s">
        <v>184</v>
      </c>
      <c r="F809" s="750"/>
      <c r="G809" s="596"/>
      <c r="H809" s="165" t="s">
        <v>12</v>
      </c>
      <c r="I809" s="610"/>
      <c r="J809" s="610"/>
      <c r="K809" s="93"/>
      <c r="L809" s="93">
        <v>0</v>
      </c>
      <c r="M809" s="93">
        <v>0</v>
      </c>
      <c r="N809" s="93">
        <v>0</v>
      </c>
      <c r="O809" s="93">
        <f t="shared" si="328"/>
        <v>0</v>
      </c>
      <c r="P809" s="93">
        <f t="shared" si="329"/>
        <v>0</v>
      </c>
      <c r="Q809" s="597"/>
      <c r="R809" s="597"/>
      <c r="S809" s="597"/>
      <c r="T809" s="597"/>
      <c r="U809" s="597"/>
      <c r="V809" s="597"/>
      <c r="W809" s="597"/>
      <c r="X809" s="597"/>
      <c r="Y809" s="597"/>
      <c r="Z809" s="597"/>
    </row>
    <row r="810" spans="1:26" ht="18.75" hidden="1">
      <c r="A810" s="592"/>
      <c r="B810" s="750"/>
      <c r="C810" s="750"/>
      <c r="D810" s="609"/>
      <c r="E810" s="750" t="s">
        <v>185</v>
      </c>
      <c r="F810" s="750"/>
      <c r="G810" s="596"/>
      <c r="H810" s="165" t="s">
        <v>12</v>
      </c>
      <c r="I810" s="610"/>
      <c r="J810" s="610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8"/>
        <v>0</v>
      </c>
      <c r="P810" s="93">
        <f t="shared" si="329"/>
        <v>0</v>
      </c>
      <c r="Q810" s="597"/>
      <c r="R810" s="597"/>
      <c r="S810" s="597"/>
      <c r="T810" s="597"/>
      <c r="U810" s="597"/>
      <c r="V810" s="597"/>
      <c r="W810" s="597"/>
      <c r="X810" s="597"/>
      <c r="Y810" s="597"/>
      <c r="Z810" s="597"/>
    </row>
    <row r="811" spans="1:26" ht="18.75" hidden="1">
      <c r="A811" s="642"/>
      <c r="B811" s="600"/>
      <c r="C811" s="750"/>
      <c r="D811" s="600"/>
      <c r="E811" s="750"/>
      <c r="F811" s="750" t="s">
        <v>186</v>
      </c>
      <c r="G811" s="596"/>
      <c r="H811" s="165" t="s">
        <v>12</v>
      </c>
      <c r="I811" s="610"/>
      <c r="J811" s="610"/>
      <c r="K811" s="93"/>
      <c r="L811" s="93"/>
      <c r="M811" s="93"/>
      <c r="N811" s="93"/>
      <c r="O811" s="93"/>
      <c r="P811" s="93"/>
      <c r="Q811" s="597"/>
      <c r="R811" s="597"/>
      <c r="S811" s="597"/>
      <c r="T811" s="597"/>
      <c r="U811" s="597"/>
      <c r="V811" s="597"/>
      <c r="W811" s="597"/>
      <c r="X811" s="597"/>
      <c r="Y811" s="597"/>
      <c r="Z811" s="597"/>
    </row>
    <row r="812" spans="1:26" ht="18.75" hidden="1">
      <c r="A812" s="642"/>
      <c r="B812" s="600"/>
      <c r="C812" s="750"/>
      <c r="D812" s="600"/>
      <c r="E812" s="750"/>
      <c r="F812" s="750" t="s">
        <v>187</v>
      </c>
      <c r="G812" s="596"/>
      <c r="H812" s="165" t="s">
        <v>12</v>
      </c>
      <c r="I812" s="610"/>
      <c r="J812" s="610"/>
      <c r="K812" s="93"/>
      <c r="L812" s="93"/>
      <c r="M812" s="93"/>
      <c r="N812" s="93"/>
      <c r="O812" s="93"/>
      <c r="P812" s="93"/>
      <c r="Q812" s="597"/>
      <c r="R812" s="597"/>
      <c r="S812" s="597"/>
      <c r="T812" s="597"/>
      <c r="U812" s="597"/>
      <c r="V812" s="597"/>
      <c r="W812" s="597"/>
      <c r="X812" s="597"/>
      <c r="Y812" s="597"/>
      <c r="Z812" s="597"/>
    </row>
    <row r="813" spans="1:26" ht="18.75" hidden="1">
      <c r="A813" s="642"/>
      <c r="B813" s="600"/>
      <c r="C813" s="750"/>
      <c r="D813" s="600"/>
      <c r="E813" s="750"/>
      <c r="F813" s="750" t="s">
        <v>188</v>
      </c>
      <c r="G813" s="596"/>
      <c r="H813" s="165" t="s">
        <v>12</v>
      </c>
      <c r="I813" s="610"/>
      <c r="J813" s="610"/>
      <c r="K813" s="93"/>
      <c r="L813" s="93"/>
      <c r="M813" s="93"/>
      <c r="N813" s="93"/>
      <c r="O813" s="93"/>
      <c r="P813" s="93"/>
      <c r="Q813" s="597"/>
      <c r="R813" s="597"/>
      <c r="S813" s="597"/>
      <c r="T813" s="597"/>
      <c r="U813" s="597"/>
      <c r="V813" s="597"/>
      <c r="W813" s="597"/>
      <c r="X813" s="597"/>
      <c r="Y813" s="597"/>
      <c r="Z813" s="597"/>
    </row>
    <row r="814" spans="1:26" ht="18.75" hidden="1">
      <c r="A814" s="642"/>
      <c r="B814" s="600"/>
      <c r="C814" s="750"/>
      <c r="D814" s="600"/>
      <c r="E814" s="750"/>
      <c r="F814" s="750" t="s">
        <v>189</v>
      </c>
      <c r="G814" s="596"/>
      <c r="H814" s="165" t="s">
        <v>12</v>
      </c>
      <c r="I814" s="610"/>
      <c r="J814" s="610"/>
      <c r="K814" s="93"/>
      <c r="L814" s="93"/>
      <c r="M814" s="93"/>
      <c r="N814" s="93"/>
      <c r="O814" s="93"/>
      <c r="P814" s="93"/>
      <c r="Q814" s="597"/>
      <c r="R814" s="597"/>
      <c r="S814" s="597"/>
      <c r="T814" s="597"/>
      <c r="U814" s="597"/>
      <c r="V814" s="597"/>
      <c r="W814" s="597"/>
      <c r="X814" s="597"/>
      <c r="Y814" s="597"/>
      <c r="Z814" s="597"/>
    </row>
    <row r="815" spans="1:26" ht="19.5" hidden="1">
      <c r="A815" s="592"/>
      <c r="B815" s="600"/>
      <c r="C815" s="750"/>
      <c r="D815" s="869" t="s">
        <v>21</v>
      </c>
      <c r="E815" s="857"/>
      <c r="F815" s="857"/>
      <c r="G815" s="596"/>
      <c r="H815" s="774" t="s">
        <v>12</v>
      </c>
      <c r="I815" s="166"/>
      <c r="J815" s="166"/>
      <c r="K815" s="167"/>
      <c r="L815" s="640">
        <f t="shared" ref="L815:N815" si="332">L816+L817</f>
        <v>0</v>
      </c>
      <c r="M815" s="640">
        <f t="shared" si="332"/>
        <v>0</v>
      </c>
      <c r="N815" s="640">
        <f t="shared" si="332"/>
        <v>0</v>
      </c>
      <c r="O815" s="640">
        <f t="shared" ref="O815:O817" si="333">IF(L815&gt;0,N815*100/L815,0)</f>
        <v>0</v>
      </c>
      <c r="P815" s="640">
        <f t="shared" ref="P815:P817" si="334">IF(M815&gt;0,N815*100/M815,0)</f>
        <v>0</v>
      </c>
      <c r="Q815" s="597"/>
      <c r="R815" s="597"/>
      <c r="S815" s="597"/>
      <c r="T815" s="597"/>
      <c r="U815" s="597"/>
      <c r="V815" s="597"/>
      <c r="W815" s="597"/>
      <c r="X815" s="597"/>
      <c r="Y815" s="597"/>
      <c r="Z815" s="597"/>
    </row>
    <row r="816" spans="1:26" ht="18.75" hidden="1">
      <c r="A816" s="592"/>
      <c r="B816" s="600"/>
      <c r="C816" s="750"/>
      <c r="D816" s="600"/>
      <c r="E816" s="750" t="s">
        <v>18</v>
      </c>
      <c r="F816" s="750"/>
      <c r="G816" s="596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3"/>
        <v>0</v>
      </c>
      <c r="P816" s="93">
        <f t="shared" si="334"/>
        <v>0</v>
      </c>
      <c r="Q816" s="597"/>
      <c r="R816" s="597"/>
      <c r="S816" s="597"/>
      <c r="T816" s="597"/>
      <c r="U816" s="597"/>
      <c r="V816" s="597"/>
      <c r="W816" s="597"/>
      <c r="X816" s="597"/>
      <c r="Y816" s="597"/>
      <c r="Z816" s="597"/>
    </row>
    <row r="817" spans="1:26" ht="18.75" hidden="1">
      <c r="A817" s="592"/>
      <c r="B817" s="600"/>
      <c r="C817" s="750"/>
      <c r="D817" s="600"/>
      <c r="E817" s="750" t="s">
        <v>19</v>
      </c>
      <c r="F817" s="750"/>
      <c r="G817" s="596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3"/>
        <v>0</v>
      </c>
      <c r="P817" s="93">
        <f t="shared" si="334"/>
        <v>0</v>
      </c>
      <c r="Q817" s="597"/>
      <c r="R817" s="597"/>
      <c r="S817" s="597"/>
      <c r="T817" s="597"/>
      <c r="U817" s="597"/>
      <c r="V817" s="597"/>
      <c r="W817" s="597"/>
      <c r="X817" s="597"/>
      <c r="Y817" s="597"/>
      <c r="Z817" s="597"/>
    </row>
    <row r="818" spans="1:26" ht="19.5" hidden="1">
      <c r="A818" s="607"/>
      <c r="B818" s="609"/>
      <c r="C818" s="750" t="s">
        <v>16</v>
      </c>
      <c r="D818" s="842" t="s">
        <v>38</v>
      </c>
      <c r="E818" s="644"/>
      <c r="F818" s="644"/>
      <c r="G818" s="645"/>
      <c r="H818" s="365"/>
      <c r="I818" s="166"/>
      <c r="J818" s="166"/>
      <c r="K818" s="167"/>
      <c r="L818" s="167"/>
      <c r="M818" s="167"/>
      <c r="N818" s="167"/>
      <c r="O818" s="167"/>
      <c r="P818" s="167"/>
      <c r="Q818" s="597"/>
      <c r="R818" s="597"/>
      <c r="S818" s="597"/>
      <c r="T818" s="597"/>
      <c r="U818" s="597"/>
      <c r="V818" s="597"/>
      <c r="W818" s="597"/>
      <c r="X818" s="597"/>
      <c r="Y818" s="597"/>
      <c r="Z818" s="597"/>
    </row>
    <row r="819" spans="1:26" ht="19.5" hidden="1" thickBot="1">
      <c r="A819" s="805"/>
      <c r="B819" s="806"/>
      <c r="C819" s="808"/>
      <c r="D819" s="806"/>
      <c r="E819" s="808" t="s">
        <v>323</v>
      </c>
      <c r="F819" s="808"/>
      <c r="G819" s="809"/>
      <c r="H819" s="810" t="s">
        <v>46</v>
      </c>
      <c r="I819" s="811"/>
      <c r="J819" s="811"/>
      <c r="K819" s="812"/>
      <c r="L819" s="812"/>
      <c r="M819" s="812"/>
      <c r="N819" s="812"/>
      <c r="O819" s="812"/>
      <c r="P819" s="812"/>
      <c r="Q819" s="597"/>
      <c r="R819" s="597"/>
      <c r="S819" s="597"/>
      <c r="T819" s="597"/>
      <c r="U819" s="597"/>
      <c r="V819" s="597"/>
      <c r="W819" s="597"/>
      <c r="X819" s="597"/>
      <c r="Y819" s="597"/>
      <c r="Z819" s="597"/>
    </row>
    <row r="820" spans="1:26" ht="19.5">
      <c r="A820" s="813" t="s">
        <v>331</v>
      </c>
      <c r="B820" s="814"/>
      <c r="C820" s="814"/>
      <c r="D820" s="815"/>
      <c r="E820" s="814"/>
      <c r="F820" s="814"/>
      <c r="G820" s="816"/>
      <c r="H820" s="816"/>
      <c r="I820" s="214"/>
      <c r="J820" s="214"/>
      <c r="K820" s="817"/>
      <c r="L820" s="817"/>
      <c r="M820" s="817"/>
      <c r="N820" s="817"/>
      <c r="O820" s="817"/>
      <c r="P820" s="817"/>
      <c r="Q820" s="571"/>
      <c r="R820" s="571"/>
      <c r="S820" s="571"/>
      <c r="T820" s="571"/>
      <c r="U820" s="571"/>
      <c r="V820" s="571"/>
      <c r="W820" s="571"/>
      <c r="X820" s="571"/>
      <c r="Y820" s="571"/>
      <c r="Z820" s="571"/>
    </row>
    <row r="821" spans="1:26" ht="18.75">
      <c r="A821" s="735"/>
      <c r="B821" s="754" t="s">
        <v>325</v>
      </c>
      <c r="C821" s="754"/>
      <c r="D821" s="568"/>
      <c r="E821" s="754"/>
      <c r="F821" s="754"/>
      <c r="G821" s="189"/>
      <c r="H821" s="616" t="s">
        <v>12</v>
      </c>
      <c r="I821" s="269">
        <f ca="1">IFERROR(__xludf.DUMMYFUNCTION("IMPORTRANGE(""https://docs.google.com/spreadsheets/d/19vJNZY_5yjcGF2XGBMNZRCAIB0Kwfpjp8YEOfu-bneM/edit?usp=sharing"",""งานกองทุน!D54"")"),6886000)</f>
        <v>6886000</v>
      </c>
      <c r="J821" s="269">
        <f ca="1">IFERROR(__xludf.DUMMYFUNCTION("IMPORTRANGE(""https://docs.google.com/spreadsheets/d/19vJNZY_5yjcGF2XGBMNZRCAIB0Kwfpjp8YEOfu-bneM/edit?usp=sharing"",""งานกองทุน!F54"")"),80000)</f>
        <v>80000</v>
      </c>
      <c r="K821" s="496">
        <f t="shared" ref="K821:K828" ca="1" si="335">IF(I821&gt;0,J821*100/I821,0)</f>
        <v>1.1617775196049955</v>
      </c>
      <c r="L821" s="496"/>
      <c r="M821" s="496"/>
      <c r="N821" s="496"/>
      <c r="O821" s="496"/>
      <c r="P821" s="496"/>
      <c r="Q821" s="571"/>
      <c r="R821" s="571"/>
      <c r="S821" s="571"/>
      <c r="T821" s="571"/>
      <c r="U821" s="571"/>
      <c r="V821" s="571"/>
      <c r="W821" s="571"/>
      <c r="X821" s="571"/>
      <c r="Y821" s="571"/>
      <c r="Z821" s="571"/>
    </row>
    <row r="822" spans="1:26" ht="18.75">
      <c r="A822" s="735"/>
      <c r="B822" s="754"/>
      <c r="C822" s="754"/>
      <c r="D822" s="568"/>
      <c r="E822" s="754"/>
      <c r="F822" s="754"/>
      <c r="G822" s="189"/>
      <c r="H822" s="616" t="s">
        <v>35</v>
      </c>
      <c r="I822" s="269">
        <f ca="1">IFERROR(__xludf.DUMMYFUNCTION("IMPORTRANGE(""https://docs.google.com/spreadsheets/d/19vJNZY_5yjcGF2XGBMNZRCAIB0Kwfpjp8YEOfu-bneM/edit?usp=sharing"",""งานกองทุน!C54"")"),345)</f>
        <v>345</v>
      </c>
      <c r="J822" s="269">
        <f ca="1">IFERROR(__xludf.DUMMYFUNCTION("IMPORTRANGE(""https://docs.google.com/spreadsheets/d/19vJNZY_5yjcGF2XGBMNZRCAIB0Kwfpjp8YEOfu-bneM/edit?usp=sharing"",""งานกองทุน!E54"")"),4)</f>
        <v>4</v>
      </c>
      <c r="K822" s="496">
        <f t="shared" ca="1" si="335"/>
        <v>1.1594202898550725</v>
      </c>
      <c r="L822" s="496"/>
      <c r="M822" s="496"/>
      <c r="N822" s="496"/>
      <c r="O822" s="496"/>
      <c r="P822" s="496"/>
      <c r="Q822" s="571"/>
      <c r="R822" s="571"/>
      <c r="S822" s="571"/>
      <c r="T822" s="571"/>
      <c r="U822" s="571"/>
      <c r="V822" s="571"/>
      <c r="W822" s="571"/>
      <c r="X822" s="571"/>
      <c r="Y822" s="571"/>
      <c r="Z822" s="571"/>
    </row>
    <row r="823" spans="1:26" ht="18.75">
      <c r="A823" s="735"/>
      <c r="B823" s="754" t="s">
        <v>326</v>
      </c>
      <c r="C823" s="754"/>
      <c r="D823" s="568"/>
      <c r="E823" s="754"/>
      <c r="F823" s="754"/>
      <c r="G823" s="189"/>
      <c r="H823" s="616" t="s">
        <v>12</v>
      </c>
      <c r="I823" s="269">
        <f ca="1">IFERROR(__xludf.DUMMYFUNCTION("IMPORTRANGE(""https://docs.google.com/spreadsheets/d/19vJNZY_5yjcGF2XGBMNZRCAIB0Kwfpjp8YEOfu-bneM/edit?usp=sharing"",""งานกองทุน!I54"")"),15151062.83)</f>
        <v>15151062.83</v>
      </c>
      <c r="J823" s="269">
        <f ca="1">IFERROR(__xludf.DUMMYFUNCTION("IMPORTRANGE(""https://docs.google.com/spreadsheets/d/19vJNZY_5yjcGF2XGBMNZRCAIB0Kwfpjp8YEOfu-bneM/edit?usp=sharing"",""งานกองทุน!K54"")"),243961.16)</f>
        <v>243961.16</v>
      </c>
      <c r="K823" s="496">
        <f t="shared" ca="1" si="335"/>
        <v>1.6101917254078209</v>
      </c>
      <c r="L823" s="496"/>
      <c r="M823" s="496"/>
      <c r="N823" s="496"/>
      <c r="O823" s="496"/>
      <c r="P823" s="496"/>
      <c r="Q823" s="571"/>
      <c r="R823" s="571"/>
      <c r="S823" s="571"/>
      <c r="T823" s="571"/>
      <c r="U823" s="571"/>
      <c r="V823" s="571"/>
      <c r="W823" s="571"/>
      <c r="X823" s="571"/>
      <c r="Y823" s="571"/>
      <c r="Z823" s="571"/>
    </row>
    <row r="824" spans="1:26" ht="18.75">
      <c r="A824" s="735"/>
      <c r="B824" s="754"/>
      <c r="C824" s="754"/>
      <c r="D824" s="568"/>
      <c r="E824" s="754"/>
      <c r="F824" s="754"/>
      <c r="G824" s="189"/>
      <c r="H824" s="616" t="s">
        <v>35</v>
      </c>
      <c r="I824" s="269">
        <f ca="1">IFERROR(__xludf.DUMMYFUNCTION("IMPORTRANGE(""https://docs.google.com/spreadsheets/d/19vJNZY_5yjcGF2XGBMNZRCAIB0Kwfpjp8YEOfu-bneM/edit?usp=sharing"",""งานกองทุน!H54"")"),345)</f>
        <v>345</v>
      </c>
      <c r="J824" s="269">
        <f ca="1">IFERROR(__xludf.DUMMYFUNCTION("IMPORTRANGE(""https://docs.google.com/spreadsheets/d/19vJNZY_5yjcGF2XGBMNZRCAIB0Kwfpjp8YEOfu-bneM/edit?usp=sharing"",""งานกองทุน!J54"")"),75)</f>
        <v>75</v>
      </c>
      <c r="K824" s="496">
        <f t="shared" ca="1" si="335"/>
        <v>21.739130434782609</v>
      </c>
      <c r="L824" s="496"/>
      <c r="M824" s="496"/>
      <c r="N824" s="496"/>
      <c r="O824" s="496"/>
      <c r="P824" s="496"/>
      <c r="Q824" s="571"/>
      <c r="R824" s="571"/>
      <c r="S824" s="571"/>
      <c r="T824" s="571"/>
      <c r="U824" s="571"/>
      <c r="V824" s="571"/>
      <c r="W824" s="571"/>
      <c r="X824" s="571"/>
      <c r="Y824" s="571"/>
      <c r="Z824" s="571"/>
    </row>
    <row r="825" spans="1:26" ht="18.75">
      <c r="A825" s="735"/>
      <c r="B825" s="754" t="s">
        <v>327</v>
      </c>
      <c r="C825" s="754"/>
      <c r="D825" s="568"/>
      <c r="E825" s="754"/>
      <c r="F825" s="754"/>
      <c r="G825" s="189"/>
      <c r="H825" s="616" t="s">
        <v>12</v>
      </c>
      <c r="I825" s="269">
        <f ca="1">IFERROR(__xludf.DUMMYFUNCTION("IMPORTRANGE(""https://docs.google.com/spreadsheets/d/19vJNZY_5yjcGF2XGBMNZRCAIB0Kwfpjp8YEOfu-bneM/edit?usp=sharing"",""งานกองทุน!N54"")"),1056836.5)</f>
        <v>1056836.5</v>
      </c>
      <c r="J825" s="269">
        <f ca="1">IFERROR(__xludf.DUMMYFUNCTION("IMPORTRANGE(""https://docs.google.com/spreadsheets/d/19vJNZY_5yjcGF2XGBMNZRCAIB0Kwfpjp8YEOfu-bneM/edit?usp=sharing"",""งานกองทุน!P54"")"),1252.3)</f>
        <v>1252.3</v>
      </c>
      <c r="K825" s="496">
        <f t="shared" ca="1" si="335"/>
        <v>0.11849515038513526</v>
      </c>
      <c r="L825" s="496"/>
      <c r="M825" s="496"/>
      <c r="N825" s="496"/>
      <c r="O825" s="496"/>
      <c r="P825" s="496"/>
      <c r="Q825" s="571"/>
      <c r="R825" s="571"/>
      <c r="S825" s="571"/>
      <c r="T825" s="571"/>
      <c r="U825" s="571"/>
      <c r="V825" s="571"/>
      <c r="W825" s="571"/>
      <c r="X825" s="571"/>
      <c r="Y825" s="571"/>
      <c r="Z825" s="571"/>
    </row>
    <row r="826" spans="1:26" ht="18.75">
      <c r="A826" s="735"/>
      <c r="B826" s="754"/>
      <c r="C826" s="754"/>
      <c r="D826" s="568"/>
      <c r="E826" s="754"/>
      <c r="F826" s="754"/>
      <c r="G826" s="189"/>
      <c r="H826" s="616" t="s">
        <v>35</v>
      </c>
      <c r="I826" s="269">
        <f ca="1">IFERROR(__xludf.DUMMYFUNCTION("IMPORTRANGE(""https://docs.google.com/spreadsheets/d/19vJNZY_5yjcGF2XGBMNZRCAIB0Kwfpjp8YEOfu-bneM/edit?usp=sharing"",""งานกองทุน!M54"")"),109)</f>
        <v>109</v>
      </c>
      <c r="J826" s="269">
        <f ca="1">IFERROR(__xludf.DUMMYFUNCTION("IMPORTRANGE(""https://docs.google.com/spreadsheets/d/19vJNZY_5yjcGF2XGBMNZRCAIB0Kwfpjp8YEOfu-bneM/edit?usp=sharing"",""งานกองทุน!O54"")"),2)</f>
        <v>2</v>
      </c>
      <c r="K826" s="496">
        <f t="shared" ca="1" si="335"/>
        <v>1.834862385321101</v>
      </c>
      <c r="L826" s="496"/>
      <c r="M826" s="496"/>
      <c r="N826" s="496"/>
      <c r="O826" s="496"/>
      <c r="P826" s="496"/>
      <c r="Q826" s="571"/>
      <c r="R826" s="571"/>
      <c r="S826" s="571"/>
      <c r="T826" s="571"/>
      <c r="U826" s="571"/>
      <c r="V826" s="571"/>
      <c r="W826" s="571"/>
      <c r="X826" s="571"/>
      <c r="Y826" s="571"/>
      <c r="Z826" s="571"/>
    </row>
    <row r="827" spans="1:26" ht="18.75">
      <c r="A827" s="735"/>
      <c r="B827" s="754" t="s">
        <v>328</v>
      </c>
      <c r="C827" s="754"/>
      <c r="D827" s="568"/>
      <c r="E827" s="754"/>
      <c r="F827" s="754"/>
      <c r="G827" s="189"/>
      <c r="H827" s="616" t="s">
        <v>12</v>
      </c>
      <c r="I827" s="269">
        <f ca="1">IFERROR(__xludf.DUMMYFUNCTION("IMPORTRANGE(""https://docs.google.com/spreadsheets/d/19vJNZY_5yjcGF2XGBMNZRCAIB0Kwfpjp8YEOfu-bneM/edit?usp=sharing"",""งานกองทุน!S54"")"),13880000)</f>
        <v>13880000</v>
      </c>
      <c r="J827" s="269">
        <f ca="1">IFERROR(__xludf.DUMMYFUNCTION("IMPORTRANGE(""https://docs.google.com/spreadsheets/d/19vJNZY_5yjcGF2XGBMNZRCAIB0Kwfpjp8YEOfu-bneM/edit?usp=sharing"",""งานกองทุน!U54"")"),0)</f>
        <v>0</v>
      </c>
      <c r="K827" s="496">
        <f t="shared" ca="1" si="335"/>
        <v>0</v>
      </c>
      <c r="L827" s="496"/>
      <c r="M827" s="496"/>
      <c r="N827" s="496"/>
      <c r="O827" s="496"/>
      <c r="P827" s="496"/>
      <c r="Q827" s="571"/>
      <c r="R827" s="571"/>
      <c r="S827" s="571"/>
      <c r="T827" s="571"/>
      <c r="U827" s="571"/>
      <c r="V827" s="571"/>
      <c r="W827" s="571"/>
      <c r="X827" s="571"/>
      <c r="Y827" s="571"/>
      <c r="Z827" s="571"/>
    </row>
    <row r="828" spans="1:26" ht="18.75">
      <c r="A828" s="738"/>
      <c r="B828" s="740"/>
      <c r="C828" s="740"/>
      <c r="D828" s="739"/>
      <c r="E828" s="740"/>
      <c r="F828" s="740"/>
      <c r="G828" s="818"/>
      <c r="H828" s="819" t="s">
        <v>35</v>
      </c>
      <c r="I828" s="499">
        <f ca="1">IFERROR(__xludf.DUMMYFUNCTION("IMPORTRANGE(""https://docs.google.com/spreadsheets/d/19vJNZY_5yjcGF2XGBMNZRCAIB0Kwfpjp8YEOfu-bneM/edit?usp=sharing"",""งานกองทุน!R54"")"),555)</f>
        <v>555</v>
      </c>
      <c r="J828" s="499">
        <f ca="1">IFERROR(__xludf.DUMMYFUNCTION("IMPORTRANGE(""https://docs.google.com/spreadsheets/d/19vJNZY_5yjcGF2XGBMNZRCAIB0Kwfpjp8YEOfu-bneM/edit?usp=sharing"",""งานกองทุน!T54"")"),0)</f>
        <v>0</v>
      </c>
      <c r="K828" s="500">
        <f t="shared" ca="1" si="335"/>
        <v>0</v>
      </c>
      <c r="L828" s="500"/>
      <c r="M828" s="500"/>
      <c r="N828" s="500"/>
      <c r="O828" s="500"/>
      <c r="P828" s="500"/>
      <c r="Q828" s="571"/>
      <c r="R828" s="571"/>
      <c r="S828" s="571"/>
      <c r="T828" s="571"/>
      <c r="U828" s="571"/>
      <c r="V828" s="571"/>
      <c r="W828" s="571"/>
      <c r="X828" s="571"/>
      <c r="Y828" s="571"/>
      <c r="Z828" s="571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544:F544"/>
    <mergeCell ref="A7:G7"/>
    <mergeCell ref="A17:G17"/>
    <mergeCell ref="A27:G27"/>
    <mergeCell ref="B40:G40"/>
    <mergeCell ref="A50:G50"/>
    <mergeCell ref="B51:G51"/>
    <mergeCell ref="D419:F419"/>
    <mergeCell ref="D444:F444"/>
    <mergeCell ref="D467:F467"/>
    <mergeCell ref="D502:F502"/>
    <mergeCell ref="D523:F523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 gridLines="1"/>
  <pageMargins left="0.23622047244094491" right="0.23622047244094491" top="0.74803149606299213" bottom="0.74803149606299213" header="0" footer="0"/>
  <pageSetup paperSize="9" scale="43" fitToHeight="0" pageOrder="overThenDown" orientation="portrait" cellComments="atEnd" r:id="rId1"/>
  <headerFooter>
    <oddFooter>&amp;Cหน้า &amp;P/&amp;N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5A8468-C15A-4A3F-BB94-8395CF19EEB3}">
  <sheetPr codeName="Sheet4"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activeCell="A2" sqref="A2:P2"/>
      <selection pane="bottomLeft" activeCell="A2" sqref="A2:P2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9" width="16.85546875" bestFit="1" customWidth="1"/>
    <col min="10" max="10" width="14.42578125" bestFit="1" customWidth="1"/>
    <col min="11" max="11" width="12.5703125" customWidth="1"/>
    <col min="12" max="14" width="21.28515625" bestFit="1" customWidth="1"/>
    <col min="15" max="16" width="17.5703125" customWidth="1"/>
  </cols>
  <sheetData>
    <row r="1" spans="1:26" ht="19.5">
      <c r="A1" s="844" t="s">
        <v>0</v>
      </c>
      <c r="B1" s="845"/>
      <c r="C1" s="845"/>
      <c r="D1" s="845"/>
      <c r="E1" s="845"/>
      <c r="F1" s="845"/>
      <c r="G1" s="845"/>
      <c r="H1" s="845"/>
      <c r="I1" s="845"/>
      <c r="J1" s="845"/>
      <c r="K1" s="845"/>
      <c r="L1" s="845"/>
      <c r="M1" s="845"/>
      <c r="N1" s="845"/>
      <c r="O1" s="845"/>
      <c r="P1" s="845"/>
    </row>
    <row r="2" spans="1:26" ht="19.5">
      <c r="A2" s="844" t="s">
        <v>334</v>
      </c>
      <c r="B2" s="845"/>
      <c r="C2" s="845"/>
      <c r="D2" s="845"/>
      <c r="E2" s="845"/>
      <c r="F2" s="845"/>
      <c r="G2" s="845"/>
      <c r="H2" s="845"/>
      <c r="I2" s="845"/>
      <c r="J2" s="845"/>
      <c r="K2" s="845"/>
      <c r="L2" s="845"/>
      <c r="M2" s="845"/>
      <c r="N2" s="845"/>
      <c r="O2" s="845"/>
      <c r="P2" s="845"/>
    </row>
    <row r="3" spans="1:26" ht="19.5">
      <c r="A3" s="844" t="s">
        <v>347</v>
      </c>
      <c r="B3" s="845"/>
      <c r="C3" s="845"/>
      <c r="D3" s="845"/>
      <c r="E3" s="845"/>
      <c r="F3" s="845"/>
      <c r="G3" s="845"/>
      <c r="H3" s="845"/>
      <c r="I3" s="845"/>
      <c r="J3" s="845"/>
      <c r="K3" s="845"/>
      <c r="L3" s="845"/>
      <c r="M3" s="845"/>
      <c r="N3" s="845"/>
      <c r="O3" s="845"/>
      <c r="P3" s="845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52" t="s">
        <v>2</v>
      </c>
      <c r="B5" s="845"/>
      <c r="C5" s="845"/>
      <c r="D5" s="845"/>
      <c r="E5" s="845"/>
      <c r="F5" s="845"/>
      <c r="G5" s="853"/>
      <c r="H5" s="846" t="s">
        <v>3</v>
      </c>
      <c r="I5" s="848" t="s">
        <v>4</v>
      </c>
      <c r="J5" s="849"/>
      <c r="K5" s="847"/>
      <c r="L5" s="850" t="s">
        <v>5</v>
      </c>
      <c r="M5" s="847"/>
      <c r="N5" s="851" t="s">
        <v>6</v>
      </c>
      <c r="O5" s="849"/>
      <c r="P5" s="847"/>
    </row>
    <row r="6" spans="1:26" ht="19.5">
      <c r="A6" s="854"/>
      <c r="B6" s="849"/>
      <c r="C6" s="849"/>
      <c r="D6" s="849"/>
      <c r="E6" s="849"/>
      <c r="F6" s="849"/>
      <c r="G6" s="847"/>
      <c r="H6" s="847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55" t="s">
        <v>15</v>
      </c>
      <c r="B7" s="849"/>
      <c r="C7" s="849"/>
      <c r="D7" s="849"/>
      <c r="E7" s="849"/>
      <c r="F7" s="849"/>
      <c r="G7" s="847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7305033</v>
      </c>
      <c r="M8" s="22">
        <f t="shared" ca="1" si="0"/>
        <v>3422670</v>
      </c>
      <c r="N8" s="22">
        <f t="shared" ca="1" si="0"/>
        <v>1715491.78</v>
      </c>
      <c r="O8" s="22">
        <f t="shared" ref="O8:O16" ca="1" si="1">IF(L8&gt;0,N8*100/L8,0)</f>
        <v>23.483696514444219</v>
      </c>
      <c r="P8" s="22">
        <f t="shared" ref="P8:P16" ca="1" si="2">IF(M8&gt;0,N8*100/M8,0)</f>
        <v>50.121448459828144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7305033</v>
      </c>
      <c r="M10" s="30">
        <f t="shared" ca="1" si="3"/>
        <v>3422670</v>
      </c>
      <c r="N10" s="30">
        <f t="shared" ca="1" si="3"/>
        <v>1715491.78</v>
      </c>
      <c r="O10" s="30">
        <f t="shared" ca="1" si="1"/>
        <v>23.483696514444219</v>
      </c>
      <c r="P10" s="30">
        <f t="shared" ca="1" si="2"/>
        <v>50.121448459828144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16" t="s">
        <v>12</v>
      </c>
      <c r="I11" s="269"/>
      <c r="J11" s="269"/>
      <c r="K11" s="496"/>
      <c r="L11" s="496">
        <f t="shared" ref="L11:N11" ca="1" si="4">L12+L13</f>
        <v>5811433</v>
      </c>
      <c r="M11" s="496">
        <f t="shared" ca="1" si="4"/>
        <v>1929070</v>
      </c>
      <c r="N11" s="496">
        <f t="shared" ca="1" si="4"/>
        <v>1183891.78</v>
      </c>
      <c r="O11" s="496">
        <f t="shared" ca="1" si="1"/>
        <v>20.371770267333375</v>
      </c>
      <c r="P11" s="496">
        <f t="shared" ca="1" si="2"/>
        <v>61.371115615296489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2" t="s">
        <v>18</v>
      </c>
      <c r="F12" s="40"/>
      <c r="G12" s="42"/>
      <c r="H12" s="43" t="s">
        <v>12</v>
      </c>
      <c r="I12" s="610"/>
      <c r="J12" s="610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2" t="s">
        <v>19</v>
      </c>
      <c r="F13" s="40"/>
      <c r="G13" s="42"/>
      <c r="H13" s="43" t="s">
        <v>12</v>
      </c>
      <c r="I13" s="610"/>
      <c r="J13" s="610"/>
      <c r="K13" s="93"/>
      <c r="L13" s="93">
        <f t="shared" ca="1" si="5"/>
        <v>5811433</v>
      </c>
      <c r="M13" s="93">
        <f t="shared" ca="1" si="5"/>
        <v>1929070</v>
      </c>
      <c r="N13" s="93">
        <f t="shared" ca="1" si="5"/>
        <v>1183891.78</v>
      </c>
      <c r="O13" s="93">
        <f t="shared" ca="1" si="1"/>
        <v>20.371770267333375</v>
      </c>
      <c r="P13" s="93">
        <f t="shared" ca="1" si="2"/>
        <v>61.371115615296489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16" t="s">
        <v>12</v>
      </c>
      <c r="I14" s="269"/>
      <c r="J14" s="269"/>
      <c r="K14" s="496"/>
      <c r="L14" s="496">
        <f t="shared" ref="L14:N14" ca="1" si="6">L15+L16</f>
        <v>1493600</v>
      </c>
      <c r="M14" s="496">
        <f t="shared" ca="1" si="6"/>
        <v>1493600</v>
      </c>
      <c r="N14" s="496">
        <f t="shared" ca="1" si="6"/>
        <v>531600</v>
      </c>
      <c r="O14" s="496">
        <f t="shared" ca="1" si="1"/>
        <v>35.591858596679167</v>
      </c>
      <c r="P14" s="496">
        <f t="shared" ca="1" si="2"/>
        <v>35.591858596679167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2" t="s">
        <v>18</v>
      </c>
      <c r="F15" s="40"/>
      <c r="G15" s="42"/>
      <c r="H15" s="43" t="s">
        <v>12</v>
      </c>
      <c r="I15" s="610"/>
      <c r="J15" s="610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1493600</v>
      </c>
      <c r="M16" s="52">
        <f t="shared" ca="1" si="7"/>
        <v>1493600</v>
      </c>
      <c r="N16" s="52">
        <f t="shared" ca="1" si="7"/>
        <v>531600</v>
      </c>
      <c r="O16" s="52">
        <f t="shared" ca="1" si="1"/>
        <v>35.591858596679167</v>
      </c>
      <c r="P16" s="52">
        <f t="shared" ca="1" si="2"/>
        <v>35.591858596679167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55" t="s">
        <v>22</v>
      </c>
      <c r="B17" s="849"/>
      <c r="C17" s="849"/>
      <c r="D17" s="849"/>
      <c r="E17" s="849"/>
      <c r="F17" s="849"/>
      <c r="G17" s="847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5413505</v>
      </c>
      <c r="M18" s="22">
        <f t="shared" ca="1" si="8"/>
        <v>3422670</v>
      </c>
      <c r="N18" s="22">
        <f t="shared" ca="1" si="8"/>
        <v>1630888.81</v>
      </c>
      <c r="O18" s="22">
        <f t="shared" ref="O18:O26" ca="1" si="9">IF(L18&gt;0,N18*100/L18,0)</f>
        <v>30.12630098245037</v>
      </c>
      <c r="P18" s="22">
        <f t="shared" ref="P18:P26" ca="1" si="10">IF(M18&gt;0,N18*100/M18,0)</f>
        <v>47.649607178021839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5413505</v>
      </c>
      <c r="M20" s="30">
        <f t="shared" ca="1" si="11"/>
        <v>3422670</v>
      </c>
      <c r="N20" s="30">
        <f t="shared" ca="1" si="11"/>
        <v>1630888.81</v>
      </c>
      <c r="O20" s="30">
        <f t="shared" ca="1" si="9"/>
        <v>30.12630098245037</v>
      </c>
      <c r="P20" s="30">
        <f t="shared" ca="1" si="10"/>
        <v>47.649607178021839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16" t="s">
        <v>12</v>
      </c>
      <c r="I21" s="269"/>
      <c r="J21" s="269"/>
      <c r="K21" s="496"/>
      <c r="L21" s="496">
        <f t="shared" ref="L21:N21" ca="1" si="12">L22+L23</f>
        <v>3919905</v>
      </c>
      <c r="M21" s="496">
        <f t="shared" ca="1" si="12"/>
        <v>1929070</v>
      </c>
      <c r="N21" s="496">
        <f t="shared" ca="1" si="12"/>
        <v>1099288.81</v>
      </c>
      <c r="O21" s="496">
        <f t="shared" ca="1" si="9"/>
        <v>28.043761519730708</v>
      </c>
      <c r="P21" s="496">
        <f t="shared" ca="1" si="10"/>
        <v>56.985428729906118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2" t="s">
        <v>18</v>
      </c>
      <c r="F22" s="40"/>
      <c r="G22" s="42"/>
      <c r="H22" s="43" t="s">
        <v>12</v>
      </c>
      <c r="I22" s="610"/>
      <c r="J22" s="610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2" t="s">
        <v>19</v>
      </c>
      <c r="F23" s="40"/>
      <c r="G23" s="42"/>
      <c r="H23" s="43" t="s">
        <v>12</v>
      </c>
      <c r="I23" s="610"/>
      <c r="J23" s="610"/>
      <c r="K23" s="93"/>
      <c r="L23" s="93">
        <f t="shared" ca="1" si="13"/>
        <v>3919905</v>
      </c>
      <c r="M23" s="93">
        <f t="shared" ca="1" si="13"/>
        <v>1929070</v>
      </c>
      <c r="N23" s="93">
        <f t="shared" ca="1" si="13"/>
        <v>1099288.81</v>
      </c>
      <c r="O23" s="93">
        <f t="shared" ca="1" si="9"/>
        <v>28.043761519730708</v>
      </c>
      <c r="P23" s="93">
        <f t="shared" ca="1" si="10"/>
        <v>56.985428729906118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16" t="s">
        <v>12</v>
      </c>
      <c r="I24" s="269"/>
      <c r="J24" s="269"/>
      <c r="K24" s="496"/>
      <c r="L24" s="496">
        <f t="shared" ref="L24:N24" ca="1" si="14">L25+L26</f>
        <v>1493600</v>
      </c>
      <c r="M24" s="496">
        <f t="shared" ca="1" si="14"/>
        <v>1493600</v>
      </c>
      <c r="N24" s="496">
        <f t="shared" ca="1" si="14"/>
        <v>531600</v>
      </c>
      <c r="O24" s="496">
        <f t="shared" ca="1" si="9"/>
        <v>35.591858596679167</v>
      </c>
      <c r="P24" s="496">
        <f t="shared" ca="1" si="10"/>
        <v>35.591858596679167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2" t="s">
        <v>18</v>
      </c>
      <c r="F25" s="40"/>
      <c r="G25" s="42"/>
      <c r="H25" s="43" t="s">
        <v>12</v>
      </c>
      <c r="I25" s="610"/>
      <c r="J25" s="610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1493600</v>
      </c>
      <c r="M26" s="52">
        <f t="shared" ca="1" si="15"/>
        <v>1493600</v>
      </c>
      <c r="N26" s="52">
        <f t="shared" ca="1" si="15"/>
        <v>531600</v>
      </c>
      <c r="O26" s="52">
        <f t="shared" ca="1" si="9"/>
        <v>35.591858596679167</v>
      </c>
      <c r="P26" s="52">
        <f t="shared" ca="1" si="10"/>
        <v>35.591858596679167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55" t="s">
        <v>23</v>
      </c>
      <c r="B27" s="849"/>
      <c r="C27" s="849"/>
      <c r="D27" s="849"/>
      <c r="E27" s="849"/>
      <c r="F27" s="849"/>
      <c r="G27" s="847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1891528</v>
      </c>
      <c r="M28" s="22">
        <f t="shared" si="16"/>
        <v>0</v>
      </c>
      <c r="N28" s="22">
        <f t="shared" si="16"/>
        <v>84602.97</v>
      </c>
      <c r="O28" s="22">
        <f t="shared" ref="O28:O37" ca="1" si="17">IF(L28&gt;0,N28*100/L28,0)</f>
        <v>4.4727315693978626</v>
      </c>
      <c r="P28" s="22">
        <f t="shared" ref="P28:P37" si="18">IF(M28&gt;0,N28*100/M28,0)</f>
        <v>0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1891528</v>
      </c>
      <c r="M30" s="30">
        <f t="shared" si="19"/>
        <v>0</v>
      </c>
      <c r="N30" s="30">
        <f t="shared" si="19"/>
        <v>84602.97</v>
      </c>
      <c r="O30" s="30">
        <f t="shared" ca="1" si="17"/>
        <v>4.4727315693978626</v>
      </c>
      <c r="P30" s="30">
        <f t="shared" si="18"/>
        <v>0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16" t="s">
        <v>12</v>
      </c>
      <c r="I31" s="269"/>
      <c r="J31" s="269"/>
      <c r="K31" s="496"/>
      <c r="L31" s="496">
        <f t="shared" ref="L31:N31" ca="1" si="20">L32+L33</f>
        <v>1891528</v>
      </c>
      <c r="M31" s="496">
        <f t="shared" si="20"/>
        <v>0</v>
      </c>
      <c r="N31" s="496">
        <f t="shared" si="20"/>
        <v>84602.97</v>
      </c>
      <c r="O31" s="496">
        <f t="shared" ca="1" si="17"/>
        <v>4.4727315693978626</v>
      </c>
      <c r="P31" s="496">
        <f t="shared" si="18"/>
        <v>0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2" t="s">
        <v>18</v>
      </c>
      <c r="F32" s="40"/>
      <c r="G32" s="42"/>
      <c r="H32" s="43" t="s">
        <v>12</v>
      </c>
      <c r="I32" s="610"/>
      <c r="J32" s="610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2" t="s">
        <v>19</v>
      </c>
      <c r="F33" s="40"/>
      <c r="G33" s="42"/>
      <c r="H33" s="43" t="s">
        <v>12</v>
      </c>
      <c r="I33" s="610"/>
      <c r="J33" s="610"/>
      <c r="K33" s="93"/>
      <c r="L33" s="93">
        <f t="shared" ca="1" si="21"/>
        <v>1891528</v>
      </c>
      <c r="M33" s="93">
        <f t="shared" si="21"/>
        <v>0</v>
      </c>
      <c r="N33" s="93">
        <f t="shared" si="21"/>
        <v>84602.97</v>
      </c>
      <c r="O33" s="93">
        <f t="shared" ca="1" si="17"/>
        <v>4.4727315693978626</v>
      </c>
      <c r="P33" s="93">
        <f t="shared" si="18"/>
        <v>0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16" t="s">
        <v>12</v>
      </c>
      <c r="I34" s="269"/>
      <c r="J34" s="269"/>
      <c r="K34" s="496"/>
      <c r="L34" s="496">
        <f t="shared" ref="L34:N34" ca="1" si="22">L35+L36</f>
        <v>0</v>
      </c>
      <c r="M34" s="496">
        <f t="shared" si="22"/>
        <v>0</v>
      </c>
      <c r="N34" s="496">
        <f t="shared" si="22"/>
        <v>0</v>
      </c>
      <c r="O34" s="496">
        <f t="shared" ca="1" si="17"/>
        <v>0</v>
      </c>
      <c r="P34" s="496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2" t="s">
        <v>18</v>
      </c>
      <c r="F35" s="40"/>
      <c r="G35" s="42"/>
      <c r="H35" s="43" t="s">
        <v>12</v>
      </c>
      <c r="I35" s="610"/>
      <c r="J35" s="610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53" t="s">
        <v>24</v>
      </c>
      <c r="B37" s="54"/>
      <c r="C37" s="54"/>
      <c r="D37" s="54"/>
      <c r="E37" s="54"/>
      <c r="F37" s="54"/>
      <c r="G37" s="55"/>
      <c r="H37" s="56"/>
      <c r="I37" s="423"/>
      <c r="J37" s="423"/>
      <c r="K37" s="58"/>
      <c r="L37" s="59">
        <f t="shared" ref="L37:N37" ca="1" si="24">L41+L53+L66+L88+L119+L132+L149+L165+L181+L261+L277+L298+L315+L328+L345+L389+L402</f>
        <v>5413505</v>
      </c>
      <c r="M37" s="59">
        <f t="shared" ca="1" si="24"/>
        <v>3422670</v>
      </c>
      <c r="N37" s="59">
        <f t="shared" ca="1" si="24"/>
        <v>1630888.81</v>
      </c>
      <c r="O37" s="59">
        <f t="shared" ca="1" si="17"/>
        <v>30.12630098245037</v>
      </c>
      <c r="P37" s="59">
        <f t="shared" ca="1" si="18"/>
        <v>47.649607178021839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56" t="s">
        <v>27</v>
      </c>
      <c r="C40" s="857"/>
      <c r="D40" s="857"/>
      <c r="E40" s="857"/>
      <c r="F40" s="857"/>
      <c r="G40" s="858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20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536750</v>
      </c>
      <c r="M41" s="85">
        <f t="shared" ca="1" si="25"/>
        <v>283000</v>
      </c>
      <c r="N41" s="85">
        <f t="shared" ca="1" si="25"/>
        <v>170279</v>
      </c>
      <c r="O41" s="85">
        <f t="shared" ref="O41:O49" ca="1" si="26">IF(L41&gt;0,N41*100/L41,0)</f>
        <v>31.724080111783884</v>
      </c>
      <c r="P41" s="85">
        <f t="shared" ref="P41:P49" ca="1" si="27">IF(M41&gt;0,N41*100/M41,0)</f>
        <v>60.169257950530039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536750</v>
      </c>
      <c r="M43" s="92">
        <f t="shared" ca="1" si="28"/>
        <v>283000</v>
      </c>
      <c r="N43" s="92">
        <f t="shared" ca="1" si="28"/>
        <v>170279</v>
      </c>
      <c r="O43" s="92">
        <f t="shared" ca="1" si="26"/>
        <v>31.724080111783884</v>
      </c>
      <c r="P43" s="92">
        <f t="shared" ca="1" si="27"/>
        <v>60.169257950530039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16" t="s">
        <v>12</v>
      </c>
      <c r="I44" s="269"/>
      <c r="J44" s="269"/>
      <c r="K44" s="496"/>
      <c r="L44" s="496">
        <f t="shared" ref="L44:N44" ca="1" si="29">L45+L46</f>
        <v>536750</v>
      </c>
      <c r="M44" s="496">
        <f t="shared" ca="1" si="29"/>
        <v>283000</v>
      </c>
      <c r="N44" s="496">
        <f t="shared" ca="1" si="29"/>
        <v>170279</v>
      </c>
      <c r="O44" s="496">
        <f t="shared" ca="1" si="26"/>
        <v>31.724080111783884</v>
      </c>
      <c r="P44" s="496">
        <f t="shared" ca="1" si="27"/>
        <v>60.169257950530039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2" t="s">
        <v>18</v>
      </c>
      <c r="F45" s="40"/>
      <c r="G45" s="42"/>
      <c r="H45" s="43" t="s">
        <v>12</v>
      </c>
      <c r="I45" s="610"/>
      <c r="J45" s="610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2" t="s">
        <v>19</v>
      </c>
      <c r="F46" s="40"/>
      <c r="G46" s="42"/>
      <c r="H46" s="43" t="s">
        <v>12</v>
      </c>
      <c r="I46" s="610"/>
      <c r="J46" s="610"/>
      <c r="K46" s="93"/>
      <c r="L46" s="93">
        <f ca="1">IFERROR(__xludf.DUMMYFUNCTION("IMPORTRANGE(""https://docs.google.com/spreadsheets/d/1MeEWN-I1oV_STSDYn1IFDPWt_1FKiwhDph83XaGc0o0/edit?usp=sharing"",""งบพรบ!M55"")"),536750)</f>
        <v>536750</v>
      </c>
      <c r="M46" s="93">
        <f ca="1">IFERROR(__xludf.DUMMYFUNCTION("IMPORTRANGE(""https://docs.google.com/spreadsheets/d/1MeEWN-I1oV_STSDYn1IFDPWt_1FKiwhDph83XaGc0o0/edit?usp=sharing"",""งบพรบ!R55"")"),283000)</f>
        <v>283000</v>
      </c>
      <c r="N46" s="93">
        <f ca="1">IFERROR(__xludf.DUMMYFUNCTION("IMPORTRANGE(""https://docs.google.com/spreadsheets/d/1MeEWN-I1oV_STSDYn1IFDPWt_1FKiwhDph83XaGc0o0/edit?usp=sharing"",""งบพรบ!T55"")"),170279)</f>
        <v>170279</v>
      </c>
      <c r="O46" s="93">
        <f t="shared" ca="1" si="26"/>
        <v>31.724080111783884</v>
      </c>
      <c r="P46" s="93">
        <f t="shared" ca="1" si="27"/>
        <v>60.169257950530039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16" t="s">
        <v>12</v>
      </c>
      <c r="I47" s="269"/>
      <c r="J47" s="269"/>
      <c r="K47" s="496"/>
      <c r="L47" s="496">
        <f t="shared" ref="L47:N47" ca="1" si="30">L48+L49</f>
        <v>0</v>
      </c>
      <c r="M47" s="496">
        <f t="shared" ca="1" si="30"/>
        <v>0</v>
      </c>
      <c r="N47" s="496">
        <f t="shared" ca="1" si="30"/>
        <v>0</v>
      </c>
      <c r="O47" s="496">
        <f t="shared" ca="1" si="26"/>
        <v>0</v>
      </c>
      <c r="P47" s="496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2" t="s">
        <v>18</v>
      </c>
      <c r="F48" s="40"/>
      <c r="G48" s="42"/>
      <c r="H48" s="43" t="s">
        <v>12</v>
      </c>
      <c r="I48" s="610"/>
      <c r="J48" s="610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IFERROR(__xludf.DUMMYFUNCTION("IMPORTRANGE(""https://docs.google.com/spreadsheets/d/1MeEWN-I1oV_STSDYn1IFDPWt_1FKiwhDph83XaGc0o0/edit?usp=sharing"",""งบพรบ!P55"")"),0)</f>
        <v>0</v>
      </c>
      <c r="M49" s="52">
        <f ca="1">IFERROR(__xludf.DUMMYFUNCTION("IMPORTRANGE(""https://docs.google.com/spreadsheets/d/1MeEWN-I1oV_STSDYn1IFDPWt_1FKiwhDph83XaGc0o0/edit?usp=sharing"",""งบพรบ!S55"")"),0)</f>
        <v>0</v>
      </c>
      <c r="N49" s="52">
        <f ca="1">IFERROR(__xludf.DUMMYFUNCTION("IMPORTRANGE(""https://docs.google.com/spreadsheets/d/1MeEWN-I1oV_STSDYn1IFDPWt_1FKiwhDph83XaGc0o0/edit?usp=sharing"",""งบพรบ!U55"")"),0)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59" t="s">
        <v>28</v>
      </c>
      <c r="B50" s="849"/>
      <c r="C50" s="849"/>
      <c r="D50" s="849"/>
      <c r="E50" s="849"/>
      <c r="F50" s="849"/>
      <c r="G50" s="847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60" t="s">
        <v>29</v>
      </c>
      <c r="C51" s="857"/>
      <c r="D51" s="857"/>
      <c r="E51" s="857"/>
      <c r="F51" s="857"/>
      <c r="G51" s="858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21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1117500</v>
      </c>
      <c r="M53" s="116">
        <f t="shared" ca="1" si="31"/>
        <v>653850</v>
      </c>
      <c r="N53" s="116">
        <f t="shared" ca="1" si="31"/>
        <v>466859.34</v>
      </c>
      <c r="O53" s="116">
        <f t="shared" ref="O53:O61" ca="1" si="32">IF(L53&gt;0,N53*100/L53,0)</f>
        <v>41.777122147651006</v>
      </c>
      <c r="P53" s="116">
        <f t="shared" ref="P53:P61" ca="1" si="33">IF(M53&gt;0,N53*100/M53,0)</f>
        <v>71.401596696490017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1117500</v>
      </c>
      <c r="M55" s="123">
        <f t="shared" ca="1" si="34"/>
        <v>653850</v>
      </c>
      <c r="N55" s="123">
        <f t="shared" ca="1" si="34"/>
        <v>466859.34</v>
      </c>
      <c r="O55" s="123">
        <f t="shared" ca="1" si="32"/>
        <v>41.777122147651006</v>
      </c>
      <c r="P55" s="123">
        <f t="shared" ca="1" si="33"/>
        <v>71.401596696490017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16" t="s">
        <v>12</v>
      </c>
      <c r="I56" s="269"/>
      <c r="J56" s="269"/>
      <c r="K56" s="496"/>
      <c r="L56" s="496">
        <f t="shared" ref="L56:N56" ca="1" si="35">L57+L58</f>
        <v>928700</v>
      </c>
      <c r="M56" s="496">
        <f t="shared" ca="1" si="35"/>
        <v>465050</v>
      </c>
      <c r="N56" s="496">
        <f t="shared" ca="1" si="35"/>
        <v>278059.34000000003</v>
      </c>
      <c r="O56" s="496">
        <f t="shared" ca="1" si="32"/>
        <v>29.940706363734257</v>
      </c>
      <c r="P56" s="496">
        <f t="shared" ca="1" si="33"/>
        <v>59.791278357165908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2" t="s">
        <v>18</v>
      </c>
      <c r="F57" s="40"/>
      <c r="G57" s="42"/>
      <c r="H57" s="43" t="s">
        <v>12</v>
      </c>
      <c r="I57" s="610"/>
      <c r="J57" s="610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2" t="s">
        <v>19</v>
      </c>
      <c r="F58" s="40"/>
      <c r="G58" s="42"/>
      <c r="H58" s="43" t="s">
        <v>12</v>
      </c>
      <c r="I58" s="610"/>
      <c r="J58" s="610"/>
      <c r="K58" s="93"/>
      <c r="L58" s="93">
        <f ca="1">IFERROR(__xludf.DUMMYFUNCTION("IMPORTRANGE(""https://docs.google.com/spreadsheets/d/1MeEWN-I1oV_STSDYn1IFDPWt_1FKiwhDph83XaGc0o0/edit?usp=sharing"",""งบพรบ!W55"")"),928700)</f>
        <v>928700</v>
      </c>
      <c r="M58" s="93">
        <f ca="1">IFERROR(__xludf.DUMMYFUNCTION("IMPORTRANGE(""https://docs.google.com/spreadsheets/d/1MeEWN-I1oV_STSDYn1IFDPWt_1FKiwhDph83XaGc0o0/edit?usp=sharing"",""งบพรบ!AB55"")"),465050)</f>
        <v>465050</v>
      </c>
      <c r="N58" s="93">
        <f ca="1">IFERROR(__xludf.DUMMYFUNCTION("IMPORTRANGE(""https://docs.google.com/spreadsheets/d/1MeEWN-I1oV_STSDYn1IFDPWt_1FKiwhDph83XaGc0o0/edit?usp=sharing"",""งบพรบ!AD55"")"),278059.34)</f>
        <v>278059.34000000003</v>
      </c>
      <c r="O58" s="93">
        <f t="shared" ca="1" si="32"/>
        <v>29.940706363734257</v>
      </c>
      <c r="P58" s="93">
        <f t="shared" ca="1" si="33"/>
        <v>59.791278357165908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16" t="s">
        <v>12</v>
      </c>
      <c r="I59" s="269"/>
      <c r="J59" s="269"/>
      <c r="K59" s="496"/>
      <c r="L59" s="496">
        <f t="shared" ref="L59:N59" ca="1" si="36">L60+L61</f>
        <v>188800</v>
      </c>
      <c r="M59" s="496">
        <f t="shared" ca="1" si="36"/>
        <v>188800</v>
      </c>
      <c r="N59" s="496">
        <f t="shared" ca="1" si="36"/>
        <v>188800</v>
      </c>
      <c r="O59" s="496">
        <f t="shared" ca="1" si="32"/>
        <v>100</v>
      </c>
      <c r="P59" s="496">
        <f t="shared" ca="1" si="33"/>
        <v>100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2" t="s">
        <v>18</v>
      </c>
      <c r="F60" s="40"/>
      <c r="G60" s="42"/>
      <c r="H60" s="43" t="s">
        <v>12</v>
      </c>
      <c r="I60" s="610"/>
      <c r="J60" s="610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IFERROR(__xludf.DUMMYFUNCTION("IMPORTRANGE(""https://docs.google.com/spreadsheets/d/1MeEWN-I1oV_STSDYn1IFDPWt_1FKiwhDph83XaGc0o0/edit?usp=sharing"",""งบพรบ!Z55"")"),188800)</f>
        <v>188800</v>
      </c>
      <c r="M61" s="52">
        <f ca="1">IFERROR(__xludf.DUMMYFUNCTION("IMPORTRANGE(""https://docs.google.com/spreadsheets/d/1MeEWN-I1oV_STSDYn1IFDPWt_1FKiwhDph83XaGc0o0/edit?usp=sharing"",""งบพรบ!AC55"")"),188800)</f>
        <v>188800</v>
      </c>
      <c r="N61" s="52">
        <f ca="1">IFERROR(__xludf.DUMMYFUNCTION("IMPORTRANGE(""https://docs.google.com/spreadsheets/d/1MeEWN-I1oV_STSDYn1IFDPWt_1FKiwhDph83XaGc0o0/edit?usp=sharing"",""งบพรบ!AE55"")"),188800)</f>
        <v>188800</v>
      </c>
      <c r="O61" s="52">
        <f t="shared" ca="1" si="32"/>
        <v>100</v>
      </c>
      <c r="P61" s="52">
        <f t="shared" ca="1" si="33"/>
        <v>100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 hidden="1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 hidden="1">
      <c r="A64" s="138"/>
      <c r="B64" s="208" t="s">
        <v>33</v>
      </c>
      <c r="C64" s="140"/>
      <c r="D64" s="141"/>
      <c r="E64" s="140"/>
      <c r="F64" s="140"/>
      <c r="G64" s="142"/>
      <c r="H64" s="143" t="s">
        <v>34</v>
      </c>
      <c r="I64" s="144">
        <f t="shared" ref="I64:J65" ca="1" si="37">I76</f>
        <v>0</v>
      </c>
      <c r="J64" s="144">
        <f t="shared" si="37"/>
        <v>0</v>
      </c>
      <c r="K64" s="145">
        <f t="shared" ref="K64:K65" ca="1" si="38">IF(I64&gt;0,J64*100/I64,0)</f>
        <v>0</v>
      </c>
      <c r="L64" s="146"/>
      <c r="M64" s="146"/>
      <c r="N64" s="146"/>
      <c r="O64" s="146"/>
      <c r="P64" s="146"/>
    </row>
    <row r="65" spans="1:26" ht="19.5" hidden="1">
      <c r="A65" s="138"/>
      <c r="B65" s="140"/>
      <c r="C65" s="140"/>
      <c r="D65" s="141"/>
      <c r="E65" s="140"/>
      <c r="F65" s="140"/>
      <c r="G65" s="142"/>
      <c r="H65" s="143" t="s">
        <v>35</v>
      </c>
      <c r="I65" s="144">
        <f t="shared" ca="1" si="37"/>
        <v>0</v>
      </c>
      <c r="J65" s="144">
        <f t="shared" si="37"/>
        <v>0</v>
      </c>
      <c r="K65" s="145">
        <f t="shared" ca="1" si="38"/>
        <v>0</v>
      </c>
      <c r="L65" s="146"/>
      <c r="M65" s="146"/>
      <c r="N65" s="146"/>
      <c r="O65" s="146"/>
      <c r="P65" s="146"/>
    </row>
    <row r="66" spans="1:26" ht="19.5" hidden="1">
      <c r="A66" s="147"/>
      <c r="B66" s="148"/>
      <c r="C66" s="149" t="s">
        <v>16</v>
      </c>
      <c r="D66" s="822" t="s">
        <v>17</v>
      </c>
      <c r="E66" s="148"/>
      <c r="F66" s="148"/>
      <c r="G66" s="151"/>
      <c r="H66" s="152" t="s">
        <v>12</v>
      </c>
      <c r="I66" s="419"/>
      <c r="J66" s="419"/>
      <c r="K66" s="154"/>
      <c r="L66" s="155">
        <f t="shared" ref="L66:N66" ca="1" si="39">L67+L68</f>
        <v>0</v>
      </c>
      <c r="M66" s="155">
        <f t="shared" ca="1" si="39"/>
        <v>0</v>
      </c>
      <c r="N66" s="155">
        <f t="shared" ca="1" si="39"/>
        <v>0</v>
      </c>
      <c r="O66" s="155">
        <f t="shared" ref="O66:O74" ca="1" si="40">IF(L66&gt;0,N66*100/L66,0)</f>
        <v>0</v>
      </c>
      <c r="P66" s="155">
        <f t="shared" ref="P66:P74" ca="1" si="41">IF(M66&gt;0,N66*100/M66,0)</f>
        <v>0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2" t="s">
        <v>18</v>
      </c>
      <c r="F67" s="40"/>
      <c r="G67" s="157"/>
      <c r="H67" s="158" t="s">
        <v>12</v>
      </c>
      <c r="I67" s="610"/>
      <c r="J67" s="610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2" t="s">
        <v>19</v>
      </c>
      <c r="F68" s="40"/>
      <c r="G68" s="157"/>
      <c r="H68" s="158" t="s">
        <v>12</v>
      </c>
      <c r="I68" s="610"/>
      <c r="J68" s="610"/>
      <c r="K68" s="93"/>
      <c r="L68" s="93">
        <f t="shared" ca="1" si="42"/>
        <v>0</v>
      </c>
      <c r="M68" s="93">
        <f t="shared" ca="1" si="42"/>
        <v>0</v>
      </c>
      <c r="N68" s="93">
        <f t="shared" ca="1" si="42"/>
        <v>0</v>
      </c>
      <c r="O68" s="93">
        <f t="shared" ca="1" si="40"/>
        <v>0</v>
      </c>
      <c r="P68" s="93">
        <f t="shared" ca="1" si="41"/>
        <v>0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 hidden="1">
      <c r="A69" s="159"/>
      <c r="B69" s="33"/>
      <c r="C69" s="281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6">
        <f t="shared" ref="L69:N69" ca="1" si="43">L70+L71</f>
        <v>0</v>
      </c>
      <c r="M69" s="496">
        <f t="shared" ca="1" si="43"/>
        <v>0</v>
      </c>
      <c r="N69" s="496">
        <f t="shared" ca="1" si="43"/>
        <v>0</v>
      </c>
      <c r="O69" s="496">
        <f t="shared" ca="1" si="40"/>
        <v>0</v>
      </c>
      <c r="P69" s="496">
        <f t="shared" ca="1" si="41"/>
        <v>0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2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2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IFERROR(__xludf.DUMMYFUNCTION("IMPORTRANGE(""https://docs.google.com/spreadsheets/d/1MeEWN-I1oV_STSDYn1IFDPWt_1FKiwhDph83XaGc0o0/edit?usp=sharing"",""งบพรบ!AG55"")"),0)</f>
        <v>0</v>
      </c>
      <c r="M71" s="93">
        <f ca="1">IFERROR(__xludf.DUMMYFUNCTION("IMPORTRANGE(""https://docs.google.com/spreadsheets/d/1MeEWN-I1oV_STSDYn1IFDPWt_1FKiwhDph83XaGc0o0/edit?usp=sharing"",""งบพรบ!AL55"")"),0)</f>
        <v>0</v>
      </c>
      <c r="N71" s="93">
        <f ca="1">IFERROR(__xludf.DUMMYFUNCTION("IMPORTRANGE(""https://docs.google.com/spreadsheets/d/1MeEWN-I1oV_STSDYn1IFDPWt_1FKiwhDph83XaGc0o0/edit?usp=sharing"",""งบพรบ!AN55"")"),0)</f>
        <v>0</v>
      </c>
      <c r="O71" s="93">
        <f t="shared" ca="1" si="40"/>
        <v>0</v>
      </c>
      <c r="P71" s="93">
        <f t="shared" ca="1" si="41"/>
        <v>0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 hidden="1">
      <c r="A72" s="159"/>
      <c r="B72" s="33"/>
      <c r="C72" s="281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6">
        <f t="shared" ref="L72:N72" ca="1" si="44">L73+L74</f>
        <v>0</v>
      </c>
      <c r="M72" s="496">
        <f t="shared" ca="1" si="44"/>
        <v>0</v>
      </c>
      <c r="N72" s="496">
        <f t="shared" ca="1" si="44"/>
        <v>0</v>
      </c>
      <c r="O72" s="496">
        <f t="shared" ca="1" si="40"/>
        <v>0</v>
      </c>
      <c r="P72" s="496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2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2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IFERROR(__xludf.DUMMYFUNCTION("IMPORTRANGE(""https://docs.google.com/spreadsheets/d/1MeEWN-I1oV_STSDYn1IFDPWt_1FKiwhDph83XaGc0o0/edit?usp=sharing"",""งบพรบ!AJ55"")"),0)</f>
        <v>0</v>
      </c>
      <c r="M74" s="93">
        <f ca="1">IFERROR(__xludf.DUMMYFUNCTION("IMPORTRANGE(""https://docs.google.com/spreadsheets/d/1MeEWN-I1oV_STSDYn1IFDPWt_1FKiwhDph83XaGc0o0/edit?usp=sharing"",""งบพรบ!AM55"")"),0)</f>
        <v>0</v>
      </c>
      <c r="N74" s="93">
        <f ca="1">IFERROR(__xludf.DUMMYFUNCTION("IMPORTRANGE(""https://docs.google.com/spreadsheets/d/1MeEWN-I1oV_STSDYn1IFDPWt_1FKiwhDph83XaGc0o0/edit?usp=sharing"",""งบพรบ!AO55"")"),0)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 hidden="1">
      <c r="A75" s="170"/>
      <c r="B75" s="171"/>
      <c r="C75" s="164" t="s">
        <v>16</v>
      </c>
      <c r="D75" s="823" t="s">
        <v>38</v>
      </c>
      <c r="E75" s="173"/>
      <c r="F75" s="173"/>
      <c r="G75" s="174"/>
      <c r="H75" s="753"/>
      <c r="I75" s="184"/>
      <c r="J75" s="184"/>
      <c r="K75" s="163"/>
      <c r="L75" s="163"/>
      <c r="M75" s="163"/>
      <c r="N75" s="163"/>
      <c r="O75" s="163"/>
      <c r="P75" s="163"/>
    </row>
    <row r="76" spans="1:26" ht="19.5" hidden="1">
      <c r="A76" s="170"/>
      <c r="B76" s="171"/>
      <c r="C76" s="171"/>
      <c r="D76" s="176" t="s">
        <v>39</v>
      </c>
      <c r="E76" s="446"/>
      <c r="F76" s="178"/>
      <c r="G76" s="179"/>
      <c r="H76" s="180" t="s">
        <v>34</v>
      </c>
      <c r="I76" s="269">
        <f t="shared" ref="I76:J77" ca="1" si="45">I78+I80+I82</f>
        <v>0</v>
      </c>
      <c r="J76" s="269">
        <f t="shared" si="45"/>
        <v>0</v>
      </c>
      <c r="K76" s="163">
        <f t="shared" ref="K76:K84" ca="1" si="46">IF(I76&gt;0,J76*100/I76,0)</f>
        <v>0</v>
      </c>
      <c r="L76" s="163"/>
      <c r="M76" s="163"/>
      <c r="N76" s="163"/>
      <c r="O76" s="163"/>
      <c r="P76" s="163"/>
    </row>
    <row r="77" spans="1:26" ht="19.5" hidden="1">
      <c r="A77" s="170"/>
      <c r="B77" s="171"/>
      <c r="C77" s="171"/>
      <c r="D77" s="171"/>
      <c r="E77" s="178"/>
      <c r="F77" s="178"/>
      <c r="G77" s="179"/>
      <c r="H77" s="180" t="s">
        <v>35</v>
      </c>
      <c r="I77" s="269">
        <f t="shared" ca="1" si="45"/>
        <v>0</v>
      </c>
      <c r="J77" s="269">
        <f t="shared" si="45"/>
        <v>0</v>
      </c>
      <c r="K77" s="163">
        <f t="shared" ca="1" si="46"/>
        <v>0</v>
      </c>
      <c r="L77" s="163"/>
      <c r="M77" s="163"/>
      <c r="N77" s="163"/>
      <c r="O77" s="163"/>
      <c r="P77" s="163"/>
    </row>
    <row r="78" spans="1:26" ht="18.75" hidden="1">
      <c r="A78" s="170"/>
      <c r="B78" s="171"/>
      <c r="C78" s="171"/>
      <c r="D78" s="171"/>
      <c r="E78" s="446" t="s">
        <v>40</v>
      </c>
      <c r="F78" s="446"/>
      <c r="G78" s="179"/>
      <c r="H78" s="755" t="s">
        <v>34</v>
      </c>
      <c r="I78" s="184">
        <f ca="1">IFERROR(__xludf.DUMMYFUNCTION("IMPORTRANGE(""https://docs.google.com/spreadsheets/d/1QqKyyYR6Q21VydFLVH3TRQUabQu_ym0Zz7PgGX0-kHA/edit?usp=sharing"",""แผน!H55"")"),0)</f>
        <v>0</v>
      </c>
      <c r="J78" s="214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 hidden="1">
      <c r="A79" s="170"/>
      <c r="B79" s="171"/>
      <c r="C79" s="171"/>
      <c r="D79" s="171"/>
      <c r="E79" s="178"/>
      <c r="F79" s="178"/>
      <c r="G79" s="179"/>
      <c r="H79" s="755" t="s">
        <v>35</v>
      </c>
      <c r="I79" s="184">
        <f ca="1">IFERROR(__xludf.DUMMYFUNCTION("IMPORTRANGE(""https://docs.google.com/spreadsheets/d/1QqKyyYR6Q21VydFLVH3TRQUabQu_ym0Zz7PgGX0-kHA/edit?usp=sharing"",""แผน!I55"")"),0)</f>
        <v>0</v>
      </c>
      <c r="J79" s="214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 hidden="1">
      <c r="A80" s="170"/>
      <c r="B80" s="171"/>
      <c r="C80" s="171"/>
      <c r="D80" s="171"/>
      <c r="E80" s="446" t="s">
        <v>41</v>
      </c>
      <c r="F80" s="446"/>
      <c r="G80" s="179"/>
      <c r="H80" s="755" t="s">
        <v>34</v>
      </c>
      <c r="I80" s="184">
        <f ca="1">IFERROR(__xludf.DUMMYFUNCTION("IMPORTRANGE(""https://docs.google.com/spreadsheets/d/1QqKyyYR6Q21VydFLVH3TRQUabQu_ym0Zz7PgGX0-kHA/edit?usp=sharing"",""แผน!F55"")"),0)</f>
        <v>0</v>
      </c>
      <c r="J80" s="214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 hidden="1">
      <c r="A81" s="170"/>
      <c r="B81" s="171"/>
      <c r="C81" s="171"/>
      <c r="D81" s="171"/>
      <c r="E81" s="178"/>
      <c r="F81" s="178"/>
      <c r="G81" s="179"/>
      <c r="H81" s="755" t="s">
        <v>35</v>
      </c>
      <c r="I81" s="184">
        <f ca="1">IFERROR(__xludf.DUMMYFUNCTION("IMPORTRANGE(""https://docs.google.com/spreadsheets/d/1QqKyyYR6Q21VydFLVH3TRQUabQu_ym0Zz7PgGX0-kHA/edit?usp=sharing"",""แผน!G55"")"),0)</f>
        <v>0</v>
      </c>
      <c r="J81" s="214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 hidden="1">
      <c r="A82" s="170"/>
      <c r="B82" s="171"/>
      <c r="C82" s="171"/>
      <c r="D82" s="171"/>
      <c r="E82" s="446" t="s">
        <v>42</v>
      </c>
      <c r="F82" s="446"/>
      <c r="G82" s="179"/>
      <c r="H82" s="755" t="s">
        <v>34</v>
      </c>
      <c r="I82" s="184">
        <f ca="1">IFERROR(__xludf.DUMMYFUNCTION("IMPORTRANGE(""https://docs.google.com/spreadsheets/d/1QqKyyYR6Q21VydFLVH3TRQUabQu_ym0Zz7PgGX0-kHA/edit?usp=sharing"",""แผน!D55"")"),0)</f>
        <v>0</v>
      </c>
      <c r="J82" s="214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 hidden="1">
      <c r="A83" s="170"/>
      <c r="B83" s="171"/>
      <c r="C83" s="171"/>
      <c r="D83" s="171"/>
      <c r="E83" s="178"/>
      <c r="F83" s="178"/>
      <c r="G83" s="179"/>
      <c r="H83" s="755" t="s">
        <v>35</v>
      </c>
      <c r="I83" s="184">
        <f ca="1">IFERROR(__xludf.DUMMYFUNCTION("IMPORTRANGE(""https://docs.google.com/spreadsheets/d/1QqKyyYR6Q21VydFLVH3TRQUabQu_ym0Zz7PgGX0-kHA/edit?usp=sharing"",""แผน!E55"")"),0)</f>
        <v>0</v>
      </c>
      <c r="J83" s="214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 hidden="1">
      <c r="A84" s="170"/>
      <c r="B84" s="171"/>
      <c r="C84" s="171"/>
      <c r="D84" s="176" t="s">
        <v>43</v>
      </c>
      <c r="E84" s="446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IFERROR(__xludf.DUMMYFUNCTION("IMPORTRANGE(""https://docs.google.com/spreadsheets/d/1QqKyyYR6Q21VydFLVH3TRQUabQu_ym0Zz7PgGX0-kHA/edit?usp=sharing"",""แผน!J55"")"),0)</f>
        <v>0</v>
      </c>
      <c r="J84" s="214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8" t="s">
        <v>45</v>
      </c>
      <c r="C86" s="140"/>
      <c r="D86" s="141"/>
      <c r="E86" s="140"/>
      <c r="F86" s="140"/>
      <c r="G86" s="142"/>
      <c r="H86" s="143" t="s">
        <v>46</v>
      </c>
      <c r="I86" s="144">
        <f t="shared" ref="I86:J87" ca="1" si="47">I98</f>
        <v>30</v>
      </c>
      <c r="J86" s="144">
        <f t="shared" si="47"/>
        <v>0</v>
      </c>
      <c r="K86" s="145">
        <f t="shared" ref="K86:K87" ca="1" si="48">IF(I86&gt;0,J86*100/I86,0)</f>
        <v>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143" t="s">
        <v>35</v>
      </c>
      <c r="I87" s="144">
        <f t="shared" ca="1" si="47"/>
        <v>10</v>
      </c>
      <c r="J87" s="144">
        <f t="shared" si="47"/>
        <v>0</v>
      </c>
      <c r="K87" s="145">
        <f t="shared" ca="1" si="48"/>
        <v>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22" t="s">
        <v>17</v>
      </c>
      <c r="E88" s="148"/>
      <c r="F88" s="148"/>
      <c r="G88" s="151"/>
      <c r="H88" s="152" t="s">
        <v>12</v>
      </c>
      <c r="I88" s="419"/>
      <c r="J88" s="419"/>
      <c r="K88" s="154"/>
      <c r="L88" s="155">
        <f t="shared" ref="L88:N88" ca="1" si="49">L89+L90</f>
        <v>85840</v>
      </c>
      <c r="M88" s="155">
        <f t="shared" ca="1" si="49"/>
        <v>21840</v>
      </c>
      <c r="N88" s="155">
        <f t="shared" ca="1" si="49"/>
        <v>0</v>
      </c>
      <c r="O88" s="155">
        <f t="shared" ref="O88:O96" ca="1" si="50">IF(L88&gt;0,N88*100/L88,0)</f>
        <v>0</v>
      </c>
      <c r="P88" s="155">
        <f t="shared" ref="P88:P96" ca="1" si="51">IF(M88&gt;0,N88*100/M88,0)</f>
        <v>0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2" t="s">
        <v>18</v>
      </c>
      <c r="F89" s="40"/>
      <c r="G89" s="157"/>
      <c r="H89" s="158" t="s">
        <v>12</v>
      </c>
      <c r="I89" s="610"/>
      <c r="J89" s="610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2" t="s">
        <v>19</v>
      </c>
      <c r="F90" s="40"/>
      <c r="G90" s="157"/>
      <c r="H90" s="158" t="s">
        <v>12</v>
      </c>
      <c r="I90" s="610"/>
      <c r="J90" s="610"/>
      <c r="K90" s="93"/>
      <c r="L90" s="93">
        <f t="shared" ca="1" si="52"/>
        <v>85840</v>
      </c>
      <c r="M90" s="93">
        <f t="shared" ca="1" si="52"/>
        <v>21840</v>
      </c>
      <c r="N90" s="93">
        <f t="shared" ca="1" si="52"/>
        <v>0</v>
      </c>
      <c r="O90" s="93">
        <f t="shared" ca="1" si="50"/>
        <v>0</v>
      </c>
      <c r="P90" s="93">
        <f t="shared" ca="1" si="51"/>
        <v>0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1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6">
        <f t="shared" ref="L91:N91" ca="1" si="53">L92+L93</f>
        <v>85840</v>
      </c>
      <c r="M91" s="496">
        <f t="shared" ca="1" si="53"/>
        <v>21840</v>
      </c>
      <c r="N91" s="496">
        <f t="shared" ca="1" si="53"/>
        <v>0</v>
      </c>
      <c r="O91" s="496">
        <f t="shared" ca="1" si="50"/>
        <v>0</v>
      </c>
      <c r="P91" s="496">
        <f t="shared" ca="1" si="51"/>
        <v>0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2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2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IFERROR(__xludf.DUMMYFUNCTION("IMPORTRANGE(""https://docs.google.com/spreadsheets/d/1MeEWN-I1oV_STSDYn1IFDPWt_1FKiwhDph83XaGc0o0/edit?usp=sharing"",""งบพรบ!AQ55"")"),85840)</f>
        <v>85840</v>
      </c>
      <c r="M93" s="93">
        <f ca="1">IFERROR(__xludf.DUMMYFUNCTION("IMPORTRANGE(""https://docs.google.com/spreadsheets/d/1MeEWN-I1oV_STSDYn1IFDPWt_1FKiwhDph83XaGc0o0/edit?usp=sharing"",""งบพรบ!AV55"")"),21840)</f>
        <v>21840</v>
      </c>
      <c r="N93" s="93">
        <f ca="1">IFERROR(__xludf.DUMMYFUNCTION("IMPORTRANGE(""https://docs.google.com/spreadsheets/d/1MeEWN-I1oV_STSDYn1IFDPWt_1FKiwhDph83XaGc0o0/edit?usp=sharing"",""งบพรบ!AX55"")"),0)</f>
        <v>0</v>
      </c>
      <c r="O93" s="93">
        <f t="shared" ca="1" si="50"/>
        <v>0</v>
      </c>
      <c r="P93" s="93">
        <f t="shared" ca="1" si="51"/>
        <v>0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1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6">
        <f t="shared" ref="L94:N94" ca="1" si="54">L95+L96</f>
        <v>0</v>
      </c>
      <c r="M94" s="496">
        <f t="shared" ca="1" si="54"/>
        <v>0</v>
      </c>
      <c r="N94" s="496">
        <f t="shared" ca="1" si="54"/>
        <v>0</v>
      </c>
      <c r="O94" s="496">
        <f t="shared" ca="1" si="50"/>
        <v>0</v>
      </c>
      <c r="P94" s="496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2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2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IFERROR(__xludf.DUMMYFUNCTION("IMPORTRANGE(""https://docs.google.com/spreadsheets/d/1MeEWN-I1oV_STSDYn1IFDPWt_1FKiwhDph83XaGc0o0/edit?usp=sharing"",""งบพรบ!AT55"")"),0)</f>
        <v>0</v>
      </c>
      <c r="M96" s="93">
        <f ca="1">IFERROR(__xludf.DUMMYFUNCTION("IMPORTRANGE(""https://docs.google.com/spreadsheets/d/1MeEWN-I1oV_STSDYn1IFDPWt_1FKiwhDph83XaGc0o0/edit?usp=sharing"",""งบพรบ!AW55"")"),0)</f>
        <v>0</v>
      </c>
      <c r="N96" s="93">
        <f ca="1">IFERROR(__xludf.DUMMYFUNCTION("IMPORTRANGE(""https://docs.google.com/spreadsheets/d/1MeEWN-I1oV_STSDYn1IFDPWt_1FKiwhDph83XaGc0o0/edit?usp=sharing"",""งบพรบ!AY55"")"),0)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23" t="s">
        <v>38</v>
      </c>
      <c r="E97" s="173"/>
      <c r="F97" s="173"/>
      <c r="G97" s="174"/>
      <c r="H97" s="753"/>
      <c r="I97" s="184"/>
      <c r="J97" s="269"/>
      <c r="K97" s="496"/>
      <c r="L97" s="496"/>
      <c r="M97" s="496"/>
      <c r="N97" s="496"/>
      <c r="O97" s="163"/>
      <c r="P97" s="163"/>
    </row>
    <row r="98" spans="1:16" ht="18.75">
      <c r="A98" s="170"/>
      <c r="B98" s="171"/>
      <c r="C98" s="171"/>
      <c r="D98" s="446" t="s">
        <v>47</v>
      </c>
      <c r="E98" s="446"/>
      <c r="F98" s="178"/>
      <c r="G98" s="179"/>
      <c r="H98" s="616" t="s">
        <v>46</v>
      </c>
      <c r="I98" s="269">
        <f ca="1">IFERROR(__xludf.DUMMYFUNCTION("IMPORTRANGE(""https://docs.google.com/spreadsheets/d/1QqKyyYR6Q21VydFLVH3TRQUabQu_ym0Zz7PgGX0-kHA/edit?usp=sharing"",""แผน!K55"")"),30)</f>
        <v>30</v>
      </c>
      <c r="J98" s="269">
        <f>J102</f>
        <v>0</v>
      </c>
      <c r="K98" s="496">
        <f t="shared" ref="K98:K100" ca="1" si="55">IF(I98&gt;0,J98*100/I98,0)</f>
        <v>0</v>
      </c>
      <c r="L98" s="496"/>
      <c r="M98" s="496"/>
      <c r="N98" s="496"/>
      <c r="O98" s="163"/>
      <c r="P98" s="163"/>
    </row>
    <row r="99" spans="1:16" ht="18.75">
      <c r="A99" s="170"/>
      <c r="B99" s="171"/>
      <c r="C99" s="171"/>
      <c r="D99" s="446" t="s">
        <v>48</v>
      </c>
      <c r="E99" s="446"/>
      <c r="F99" s="178"/>
      <c r="G99" s="179"/>
      <c r="H99" s="616" t="s">
        <v>35</v>
      </c>
      <c r="I99" s="269">
        <f ca="1">IFERROR(__xludf.DUMMYFUNCTION("IMPORTRANGE(""https://docs.google.com/spreadsheets/d/1QqKyyYR6Q21VydFLVH3TRQUabQu_ym0Zz7PgGX0-kHA/edit?usp=sharing"",""แผน!L55"")"),10)</f>
        <v>10</v>
      </c>
      <c r="J99" s="269">
        <f>J104</f>
        <v>0</v>
      </c>
      <c r="K99" s="496">
        <f t="shared" ca="1" si="55"/>
        <v>0</v>
      </c>
      <c r="L99" s="496"/>
      <c r="M99" s="496"/>
      <c r="N99" s="496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16" t="s">
        <v>49</v>
      </c>
      <c r="I100" s="269">
        <f ca="1">IFERROR(__xludf.DUMMYFUNCTION("IMPORTRANGE(""https://docs.google.com/spreadsheets/d/1QqKyyYR6Q21VydFLVH3TRQUabQu_ym0Zz7PgGX0-kHA/edit?usp=sharing"",""แผน!M55"")"),2)</f>
        <v>2</v>
      </c>
      <c r="J100" s="269">
        <f>J107+J110</f>
        <v>0</v>
      </c>
      <c r="K100" s="496">
        <f t="shared" ca="1" si="55"/>
        <v>0</v>
      </c>
      <c r="L100" s="496"/>
      <c r="M100" s="496"/>
      <c r="N100" s="496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16"/>
      <c r="I101" s="269"/>
      <c r="J101" s="269"/>
      <c r="K101" s="496"/>
      <c r="L101" s="496"/>
      <c r="M101" s="496"/>
      <c r="N101" s="496"/>
      <c r="O101" s="163"/>
      <c r="P101" s="163"/>
    </row>
    <row r="102" spans="1:16" ht="18.75">
      <c r="A102" s="170"/>
      <c r="B102" s="171"/>
      <c r="C102" s="171"/>
      <c r="D102" s="178"/>
      <c r="E102" s="619" t="s">
        <v>47</v>
      </c>
      <c r="F102" s="178"/>
      <c r="G102" s="179"/>
      <c r="H102" s="616" t="s">
        <v>46</v>
      </c>
      <c r="I102" s="269">
        <f ca="1">IFERROR(__xludf.DUMMYFUNCTION("IMPORTRANGE(""https://docs.google.com/spreadsheets/d/1QqKyyYR6Q21VydFLVH3TRQUabQu_ym0Zz7PgGX0-kHA/edit?usp=sharing"",""แผน!N55"")"),30)</f>
        <v>30</v>
      </c>
      <c r="J102" s="214">
        <v>0</v>
      </c>
      <c r="K102" s="496">
        <f t="shared" ref="K102:K104" ca="1" si="56">IF(I102&gt;0,J102*100/I102,0)</f>
        <v>0</v>
      </c>
      <c r="L102" s="496"/>
      <c r="M102" s="496"/>
      <c r="N102" s="496"/>
      <c r="O102" s="163"/>
      <c r="P102" s="163"/>
    </row>
    <row r="103" spans="1:16" ht="19.5">
      <c r="A103" s="170"/>
      <c r="B103" s="171"/>
      <c r="C103" s="171"/>
      <c r="D103" s="178"/>
      <c r="E103" s="446" t="s">
        <v>51</v>
      </c>
      <c r="F103" s="178"/>
      <c r="G103" s="179"/>
      <c r="H103" s="616" t="s">
        <v>35</v>
      </c>
      <c r="I103" s="269">
        <f ca="1">IFERROR(__xludf.DUMMYFUNCTION("IMPORTRANGE(""https://docs.google.com/spreadsheets/d/1QqKyyYR6Q21VydFLVH3TRQUabQu_ym0Zz7PgGX0-kHA/edit?usp=sharing"",""แผน!O55"")"),10)</f>
        <v>10</v>
      </c>
      <c r="J103" s="214">
        <v>0</v>
      </c>
      <c r="K103" s="496">
        <f t="shared" ca="1" si="56"/>
        <v>0</v>
      </c>
      <c r="L103" s="496"/>
      <c r="M103" s="496"/>
      <c r="N103" s="496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16" t="s">
        <v>35</v>
      </c>
      <c r="I104" s="269">
        <f ca="1">IFERROR(__xludf.DUMMYFUNCTION("IMPORTRANGE(""https://docs.google.com/spreadsheets/d/1QqKyyYR6Q21VydFLVH3TRQUabQu_ym0Zz7PgGX0-kHA/edit?usp=sharing"",""แผน!O55"")"),10)</f>
        <v>10</v>
      </c>
      <c r="J104" s="214">
        <v>0</v>
      </c>
      <c r="K104" s="496">
        <f t="shared" ca="1" si="56"/>
        <v>0</v>
      </c>
      <c r="L104" s="496"/>
      <c r="M104" s="496"/>
      <c r="N104" s="496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69"/>
      <c r="J105" s="269"/>
      <c r="K105" s="496"/>
      <c r="L105" s="496"/>
      <c r="M105" s="496"/>
      <c r="N105" s="496"/>
      <c r="O105" s="163"/>
      <c r="P105" s="163"/>
    </row>
    <row r="106" spans="1:16" ht="19.5">
      <c r="A106" s="170"/>
      <c r="B106" s="171"/>
      <c r="C106" s="171"/>
      <c r="D106" s="178"/>
      <c r="E106" s="446" t="s">
        <v>54</v>
      </c>
      <c r="F106" s="178"/>
      <c r="G106" s="179"/>
      <c r="H106" s="616" t="s">
        <v>49</v>
      </c>
      <c r="I106" s="269">
        <f ca="1">IFERROR(__xludf.DUMMYFUNCTION("IMPORTRANGE(""https://docs.google.com/spreadsheets/d/1QqKyyYR6Q21VydFLVH3TRQUabQu_ym0Zz7PgGX0-kHA/edit?usp=sharing"",""แผน!P55"")"),1)</f>
        <v>1</v>
      </c>
      <c r="J106" s="214">
        <v>0</v>
      </c>
      <c r="K106" s="496">
        <f t="shared" ref="K106:K107" ca="1" si="57">IF(I106&gt;0,J106*100/I106,0)</f>
        <v>0</v>
      </c>
      <c r="L106" s="496"/>
      <c r="M106" s="496"/>
      <c r="N106" s="496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16" t="s">
        <v>49</v>
      </c>
      <c r="I107" s="269">
        <f ca="1">IFERROR(__xludf.DUMMYFUNCTION("IMPORTRANGE(""https://docs.google.com/spreadsheets/d/1QqKyyYR6Q21VydFLVH3TRQUabQu_ym0Zz7PgGX0-kHA/edit?usp=sharing"",""แผน!P55"")"),1)</f>
        <v>1</v>
      </c>
      <c r="J107" s="214">
        <v>0</v>
      </c>
      <c r="K107" s="496">
        <f t="shared" ca="1" si="57"/>
        <v>0</v>
      </c>
      <c r="L107" s="496"/>
      <c r="M107" s="496"/>
      <c r="N107" s="496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69"/>
      <c r="J108" s="269"/>
      <c r="K108" s="496"/>
      <c r="L108" s="496"/>
      <c r="M108" s="496"/>
      <c r="N108" s="496"/>
      <c r="O108" s="163"/>
      <c r="P108" s="163"/>
    </row>
    <row r="109" spans="1:16" ht="19.5">
      <c r="A109" s="170"/>
      <c r="B109" s="171"/>
      <c r="C109" s="171"/>
      <c r="D109" s="178"/>
      <c r="E109" s="446" t="s">
        <v>57</v>
      </c>
      <c r="F109" s="178"/>
      <c r="G109" s="179"/>
      <c r="H109" s="616" t="s">
        <v>49</v>
      </c>
      <c r="I109" s="269">
        <f ca="1">IFERROR(__xludf.DUMMYFUNCTION("IMPORTRANGE(""https://docs.google.com/spreadsheets/d/1QqKyyYR6Q21VydFLVH3TRQUabQu_ym0Zz7PgGX0-kHA/edit?usp=sharing"",""แผน!Q55"")"),1)</f>
        <v>1</v>
      </c>
      <c r="J109" s="214">
        <v>0</v>
      </c>
      <c r="K109" s="496">
        <f t="shared" ref="K109:K116" ca="1" si="58">IF(I109&gt;0,J109*100/I109,0)</f>
        <v>0</v>
      </c>
      <c r="L109" s="496"/>
      <c r="M109" s="496"/>
      <c r="N109" s="496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16" t="s">
        <v>49</v>
      </c>
      <c r="I110" s="269">
        <f ca="1">IFERROR(__xludf.DUMMYFUNCTION("IMPORTRANGE(""https://docs.google.com/spreadsheets/d/1QqKyyYR6Q21VydFLVH3TRQUabQu_ym0Zz7PgGX0-kHA/edit?usp=sharing"",""แผน!Q55"")"),1)</f>
        <v>1</v>
      </c>
      <c r="J110" s="214">
        <v>0</v>
      </c>
      <c r="K110" s="496">
        <f t="shared" ca="1" si="58"/>
        <v>0</v>
      </c>
      <c r="L110" s="496"/>
      <c r="M110" s="496"/>
      <c r="N110" s="496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58" t="s">
        <v>35</v>
      </c>
      <c r="I111" s="193">
        <f ca="1">IFERROR(__xludf.DUMMYFUNCTION("IMPORTRANGE(""https://docs.google.com/spreadsheets/d/1QqKyyYR6Q21VydFLVH3TRQUabQu_ym0Zz7PgGX0-kHA/edit?usp=sharing"",""แผน!R55"")"),10)</f>
        <v>10</v>
      </c>
      <c r="J111" s="674">
        <f>J114</f>
        <v>0</v>
      </c>
      <c r="K111" s="195">
        <f t="shared" ca="1" si="58"/>
        <v>0</v>
      </c>
      <c r="L111" s="496"/>
      <c r="M111" s="496"/>
      <c r="N111" s="496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2</v>
      </c>
      <c r="J112" s="674">
        <f t="shared" si="59"/>
        <v>0</v>
      </c>
      <c r="K112" s="195">
        <f t="shared" ca="1" si="58"/>
        <v>0</v>
      </c>
      <c r="L112" s="496"/>
      <c r="M112" s="496"/>
      <c r="N112" s="496"/>
      <c r="O112" s="163"/>
      <c r="P112" s="163"/>
    </row>
    <row r="113" spans="1:26" ht="19.5">
      <c r="A113" s="170"/>
      <c r="B113" s="171"/>
      <c r="C113" s="171"/>
      <c r="D113" s="171"/>
      <c r="E113" s="525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IFERROR(__xludf.DUMMYFUNCTION("IMPORTRANGE(""https://docs.google.com/spreadsheets/d/1QqKyyYR6Q21VydFLVH3TRQUabQu_ym0Zz7PgGX0-kHA/edit?usp=sharing"",""แผน!R55"")"),10)</f>
        <v>10</v>
      </c>
      <c r="J113" s="214">
        <v>0</v>
      </c>
      <c r="K113" s="496">
        <f t="shared" ca="1" si="58"/>
        <v>0</v>
      </c>
      <c r="L113" s="496"/>
      <c r="M113" s="496"/>
      <c r="N113" s="496"/>
      <c r="O113" s="163"/>
      <c r="P113" s="163"/>
    </row>
    <row r="114" spans="1:26" ht="19.5">
      <c r="A114" s="170"/>
      <c r="B114" s="171"/>
      <c r="C114" s="171"/>
      <c r="D114" s="171"/>
      <c r="E114" s="446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IFERROR(__xludf.DUMMYFUNCTION("IMPORTRANGE(""https://docs.google.com/spreadsheets/d/1QqKyyYR6Q21VydFLVH3TRQUabQu_ym0Zz7PgGX0-kHA/edit?usp=sharing"",""แผน!R55"")"),10)</f>
        <v>10</v>
      </c>
      <c r="J114" s="214">
        <v>0</v>
      </c>
      <c r="K114" s="496">
        <f t="shared" ca="1" si="58"/>
        <v>0</v>
      </c>
      <c r="L114" s="496"/>
      <c r="M114" s="496"/>
      <c r="N114" s="496"/>
      <c r="O114" s="163"/>
      <c r="P114" s="163"/>
    </row>
    <row r="115" spans="1:26" ht="18.75">
      <c r="A115" s="170"/>
      <c r="B115" s="171"/>
      <c r="C115" s="171"/>
      <c r="D115" s="171"/>
      <c r="E115" s="446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IFERROR(__xludf.DUMMYFUNCTION("IMPORTRANGE(""https://docs.google.com/spreadsheets/d/1QqKyyYR6Q21VydFLVH3TRQUabQu_ym0Zz7PgGX0-kHA/edit?usp=sharing"",""แผน!S55"")"),1)</f>
        <v>1</v>
      </c>
      <c r="J115" s="214">
        <v>0</v>
      </c>
      <c r="K115" s="496">
        <f t="shared" ca="1" si="58"/>
        <v>0</v>
      </c>
      <c r="L115" s="496"/>
      <c r="M115" s="496"/>
      <c r="N115" s="496"/>
      <c r="O115" s="163"/>
      <c r="P115" s="163"/>
    </row>
    <row r="116" spans="1:26" ht="18.75">
      <c r="A116" s="170"/>
      <c r="B116" s="171"/>
      <c r="C116" s="171"/>
      <c r="D116" s="171"/>
      <c r="E116" s="446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IFERROR(__xludf.DUMMYFUNCTION("IMPORTRANGE(""https://docs.google.com/spreadsheets/d/1QqKyyYR6Q21VydFLVH3TRQUabQu_ym0Zz7PgGX0-kHA/edit?usp=sharing"",""แผน!T55"")"),1)</f>
        <v>1</v>
      </c>
      <c r="J116" s="214">
        <v>0</v>
      </c>
      <c r="K116" s="496">
        <f t="shared" ca="1" si="58"/>
        <v>0</v>
      </c>
      <c r="L116" s="496"/>
      <c r="M116" s="496"/>
      <c r="N116" s="496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8" t="s">
        <v>65</v>
      </c>
      <c r="C118" s="204"/>
      <c r="D118" s="141"/>
      <c r="E118" s="140"/>
      <c r="F118" s="140"/>
      <c r="G118" s="142"/>
      <c r="H118" s="143"/>
      <c r="I118" s="205"/>
      <c r="J118" s="205"/>
      <c r="K118" s="146"/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22" t="s">
        <v>17</v>
      </c>
      <c r="E119" s="148"/>
      <c r="F119" s="148"/>
      <c r="G119" s="151"/>
      <c r="H119" s="152" t="s">
        <v>12</v>
      </c>
      <c r="I119" s="419"/>
      <c r="J119" s="419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2" t="s">
        <v>18</v>
      </c>
      <c r="F120" s="40"/>
      <c r="G120" s="157"/>
      <c r="H120" s="158" t="s">
        <v>12</v>
      </c>
      <c r="I120" s="610"/>
      <c r="J120" s="610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2" t="s">
        <v>19</v>
      </c>
      <c r="F121" s="40"/>
      <c r="G121" s="157"/>
      <c r="H121" s="158" t="s">
        <v>12</v>
      </c>
      <c r="I121" s="610"/>
      <c r="J121" s="610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1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6">
        <f t="shared" ref="L122:N122" ca="1" si="64">L123+L124</f>
        <v>0</v>
      </c>
      <c r="M122" s="496">
        <f t="shared" ca="1" si="64"/>
        <v>0</v>
      </c>
      <c r="N122" s="496">
        <f t="shared" ca="1" si="64"/>
        <v>0</v>
      </c>
      <c r="O122" s="496">
        <f t="shared" ca="1" si="61"/>
        <v>0</v>
      </c>
      <c r="P122" s="496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2"/>
      <c r="D123" s="40"/>
      <c r="E123" s="222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2"/>
      <c r="D124" s="40"/>
      <c r="E124" s="222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IFERROR(__xludf.DUMMYFUNCTION("IMPORTRANGE(""https://docs.google.com/spreadsheets/d/1MeEWN-I1oV_STSDYn1IFDPWt_1FKiwhDph83XaGc0o0/edit?usp=sharing"",""งบพรบ!BA55"")"),0)</f>
        <v>0</v>
      </c>
      <c r="M124" s="93">
        <f ca="1">IFERROR(__xludf.DUMMYFUNCTION("IMPORTRANGE(""https://docs.google.com/spreadsheets/d/1MeEWN-I1oV_STSDYn1IFDPWt_1FKiwhDph83XaGc0o0/edit?usp=sharing"",""งบพรบ!BF55"")"),0)</f>
        <v>0</v>
      </c>
      <c r="N124" s="93">
        <f ca="1">IFERROR(__xludf.DUMMYFUNCTION("IMPORTRANGE(""https://docs.google.com/spreadsheets/d/1MeEWN-I1oV_STSDYn1IFDPWt_1FKiwhDph83XaGc0o0/edit?usp=sharing"",""งบพรบ!BH55"")"),0)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1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6">
        <f t="shared" ref="L125:N125" ca="1" si="65">L126+L127</f>
        <v>0</v>
      </c>
      <c r="M125" s="496">
        <f t="shared" ca="1" si="65"/>
        <v>0</v>
      </c>
      <c r="N125" s="496">
        <f t="shared" ca="1" si="65"/>
        <v>0</v>
      </c>
      <c r="O125" s="496">
        <f t="shared" ca="1" si="61"/>
        <v>0</v>
      </c>
      <c r="P125" s="496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2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2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IFERROR(__xludf.DUMMYFUNCTION("IMPORTRANGE(""https://docs.google.com/spreadsheets/d/1MeEWN-I1oV_STSDYn1IFDPWt_1FKiwhDph83XaGc0o0/edit?usp=sharing"",""งบพรบ!BD55"")"),0)</f>
        <v>0</v>
      </c>
      <c r="M127" s="93">
        <f ca="1">IFERROR(__xludf.DUMMYFUNCTION("IMPORTRANGE(""https://docs.google.com/spreadsheets/d/1MeEWN-I1oV_STSDYn1IFDPWt_1FKiwhDph83XaGc0o0/edit?usp=sharing"",""งบพรบ!BG55"")"),0)</f>
        <v>0</v>
      </c>
      <c r="N127" s="93">
        <f ca="1">IFERROR(__xludf.DUMMYFUNCTION("IMPORTRANGE(""https://docs.google.com/spreadsheets/d/1MeEWN-I1oV_STSDYn1IFDPWt_1FKiwhDph83XaGc0o0/edit?usp=sharing"",""งบพรบ!BI55"")"),0)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>
      <c r="A128" s="131" t="s">
        <v>66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>
      <c r="A129" s="138"/>
      <c r="B129" s="208" t="s">
        <v>67</v>
      </c>
      <c r="C129" s="204"/>
      <c r="D129" s="141"/>
      <c r="E129" s="140"/>
      <c r="F129" s="140"/>
      <c r="G129" s="140"/>
      <c r="H129" s="207"/>
      <c r="I129" s="205"/>
      <c r="J129" s="205"/>
      <c r="K129" s="146"/>
      <c r="L129" s="146"/>
      <c r="M129" s="146"/>
      <c r="N129" s="146"/>
      <c r="O129" s="146"/>
      <c r="P129" s="146"/>
    </row>
    <row r="130" spans="1:26" ht="19.5">
      <c r="A130" s="138"/>
      <c r="B130" s="208"/>
      <c r="C130" s="209" t="s">
        <v>68</v>
      </c>
      <c r="D130" s="141"/>
      <c r="E130" s="140"/>
      <c r="F130" s="140"/>
      <c r="G130" s="142"/>
      <c r="H130" s="143" t="s">
        <v>69</v>
      </c>
      <c r="I130" s="144">
        <f t="shared" ref="I130:J130" ca="1" si="66">I146</f>
        <v>1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>
      <c r="A131" s="138"/>
      <c r="B131" s="208"/>
      <c r="C131" s="209" t="s">
        <v>70</v>
      </c>
      <c r="D131" s="141"/>
      <c r="E131" s="140"/>
      <c r="F131" s="140"/>
      <c r="G131" s="142"/>
      <c r="H131" s="143" t="s">
        <v>35</v>
      </c>
      <c r="I131" s="144">
        <f t="shared" ref="I131:J131" ca="1" si="68">I143</f>
        <v>10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>
      <c r="A132" s="147"/>
      <c r="B132" s="148"/>
      <c r="C132" s="149" t="s">
        <v>16</v>
      </c>
      <c r="D132" s="822" t="s">
        <v>17</v>
      </c>
      <c r="E132" s="148"/>
      <c r="F132" s="148"/>
      <c r="G132" s="151"/>
      <c r="H132" s="152" t="s">
        <v>12</v>
      </c>
      <c r="I132" s="419"/>
      <c r="J132" s="419"/>
      <c r="K132" s="154"/>
      <c r="L132" s="155">
        <f t="shared" ref="L132:N132" ca="1" si="69">L133+L134</f>
        <v>151655</v>
      </c>
      <c r="M132" s="155">
        <f t="shared" ca="1" si="69"/>
        <v>133600</v>
      </c>
      <c r="N132" s="155">
        <f t="shared" ca="1" si="69"/>
        <v>107180</v>
      </c>
      <c r="O132" s="155">
        <f t="shared" ref="O132:O140" ca="1" si="70">IF(L132&gt;0,N132*100/L132,0)</f>
        <v>70.673568296462363</v>
      </c>
      <c r="P132" s="155">
        <f t="shared" ref="P132:P140" ca="1" si="71">IF(M132&gt;0,N132*100/M132,0)</f>
        <v>80.224550898203589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2" t="s">
        <v>18</v>
      </c>
      <c r="F133" s="40"/>
      <c r="G133" s="157"/>
      <c r="H133" s="158" t="s">
        <v>12</v>
      </c>
      <c r="I133" s="610"/>
      <c r="J133" s="610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2" t="s">
        <v>19</v>
      </c>
      <c r="F134" s="40"/>
      <c r="G134" s="157"/>
      <c r="H134" s="158" t="s">
        <v>12</v>
      </c>
      <c r="I134" s="610"/>
      <c r="J134" s="610"/>
      <c r="K134" s="93"/>
      <c r="L134" s="93">
        <f t="shared" ca="1" si="72"/>
        <v>151655</v>
      </c>
      <c r="M134" s="93">
        <f t="shared" ca="1" si="72"/>
        <v>133600</v>
      </c>
      <c r="N134" s="93">
        <f t="shared" ca="1" si="72"/>
        <v>107180</v>
      </c>
      <c r="O134" s="93">
        <f t="shared" ca="1" si="70"/>
        <v>70.673568296462363</v>
      </c>
      <c r="P134" s="93">
        <f t="shared" ca="1" si="71"/>
        <v>80.224550898203589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>
      <c r="A135" s="159"/>
      <c r="B135" s="33"/>
      <c r="C135" s="281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6">
        <f t="shared" ref="L135:N135" ca="1" si="73">L136+L137</f>
        <v>48655</v>
      </c>
      <c r="M135" s="496">
        <f t="shared" ca="1" si="73"/>
        <v>30600</v>
      </c>
      <c r="N135" s="496">
        <f t="shared" ca="1" si="73"/>
        <v>4180</v>
      </c>
      <c r="O135" s="496">
        <f t="shared" ca="1" si="70"/>
        <v>8.5911006063097322</v>
      </c>
      <c r="P135" s="496">
        <f t="shared" ca="1" si="71"/>
        <v>13.660130718954248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2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2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IFERROR(__xludf.DUMMYFUNCTION("IMPORTRANGE(""https://docs.google.com/spreadsheets/d/1MeEWN-I1oV_STSDYn1IFDPWt_1FKiwhDph83XaGc0o0/edit?usp=sharing"",""งบพรบ!BK55"")"),48655)</f>
        <v>48655</v>
      </c>
      <c r="M137" s="93">
        <f ca="1">IFERROR(__xludf.DUMMYFUNCTION("IMPORTRANGE(""https://docs.google.com/spreadsheets/d/1MeEWN-I1oV_STSDYn1IFDPWt_1FKiwhDph83XaGc0o0/edit?usp=sharing"",""งบพรบ!BP55"")"),30600)</f>
        <v>30600</v>
      </c>
      <c r="N137" s="93">
        <f ca="1">IFERROR(__xludf.DUMMYFUNCTION("IMPORTRANGE(""https://docs.google.com/spreadsheets/d/1MeEWN-I1oV_STSDYn1IFDPWt_1FKiwhDph83XaGc0o0/edit?usp=sharing"",""งบพรบ!BR55"")"),4180)</f>
        <v>4180</v>
      </c>
      <c r="O137" s="93">
        <f t="shared" ca="1" si="70"/>
        <v>8.5911006063097322</v>
      </c>
      <c r="P137" s="93">
        <f t="shared" ca="1" si="71"/>
        <v>13.660130718954248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>
      <c r="A138" s="159"/>
      <c r="B138" s="33"/>
      <c r="C138" s="281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6">
        <f t="shared" ref="L138:N138" ca="1" si="74">L139+L140</f>
        <v>103000</v>
      </c>
      <c r="M138" s="496">
        <f t="shared" ca="1" si="74"/>
        <v>103000</v>
      </c>
      <c r="N138" s="496">
        <f t="shared" ca="1" si="74"/>
        <v>103000</v>
      </c>
      <c r="O138" s="496">
        <f t="shared" ca="1" si="70"/>
        <v>100</v>
      </c>
      <c r="P138" s="496">
        <f t="shared" ca="1" si="71"/>
        <v>100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2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2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IFERROR(__xludf.DUMMYFUNCTION("IMPORTRANGE(""https://docs.google.com/spreadsheets/d/1MeEWN-I1oV_STSDYn1IFDPWt_1FKiwhDph83XaGc0o0/edit?usp=sharing"",""งบพรบ!BN55"")"),103000)</f>
        <v>103000</v>
      </c>
      <c r="M140" s="93">
        <f ca="1">IFERROR(__xludf.DUMMYFUNCTION("IMPORTRANGE(""https://docs.google.com/spreadsheets/d/1MeEWN-I1oV_STSDYn1IFDPWt_1FKiwhDph83XaGc0o0/edit?usp=sharing"",""งบพรบ!BQ55"")"),103000)</f>
        <v>103000</v>
      </c>
      <c r="N140" s="93">
        <f ca="1">IFERROR(__xludf.DUMMYFUNCTION("IMPORTRANGE(""https://docs.google.com/spreadsheets/d/1MeEWN-I1oV_STSDYn1IFDPWt_1FKiwhDph83XaGc0o0/edit?usp=sharing"",""งบพรบ!BS55"")"),103000)</f>
        <v>103000</v>
      </c>
      <c r="O140" s="93">
        <f t="shared" ca="1" si="70"/>
        <v>100</v>
      </c>
      <c r="P140" s="93">
        <f t="shared" ca="1" si="71"/>
        <v>100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>
      <c r="A141" s="170"/>
      <c r="B141" s="171"/>
      <c r="C141" s="149" t="s">
        <v>16</v>
      </c>
      <c r="D141" s="823" t="s">
        <v>38</v>
      </c>
      <c r="E141" s="173"/>
      <c r="F141" s="173"/>
      <c r="G141" s="174"/>
      <c r="H141" s="168"/>
      <c r="I141" s="269"/>
      <c r="J141" s="269"/>
      <c r="K141" s="496"/>
      <c r="L141" s="496"/>
      <c r="M141" s="496"/>
      <c r="N141" s="496"/>
      <c r="O141" s="496"/>
      <c r="P141" s="496"/>
    </row>
    <row r="142" spans="1:26" ht="19.5">
      <c r="A142" s="159"/>
      <c r="B142" s="33"/>
      <c r="C142" s="210"/>
      <c r="D142" s="281" t="s">
        <v>71</v>
      </c>
      <c r="E142" s="34"/>
      <c r="F142" s="33"/>
      <c r="G142" s="213"/>
      <c r="H142" s="168"/>
      <c r="I142" s="269"/>
      <c r="J142" s="214"/>
      <c r="K142" s="496"/>
      <c r="L142" s="496"/>
      <c r="M142" s="496"/>
      <c r="N142" s="496"/>
      <c r="O142" s="496"/>
      <c r="P142" s="496"/>
    </row>
    <row r="143" spans="1:26" ht="19.5">
      <c r="A143" s="159"/>
      <c r="B143" s="33"/>
      <c r="C143" s="210"/>
      <c r="D143" s="281" t="s">
        <v>72</v>
      </c>
      <c r="E143" s="34"/>
      <c r="F143" s="33"/>
      <c r="G143" s="213"/>
      <c r="H143" s="168" t="s">
        <v>35</v>
      </c>
      <c r="I143" s="269">
        <f ca="1">I145</f>
        <v>10</v>
      </c>
      <c r="J143" s="269">
        <f ca="1">IF(AND(J144&gt;=I144,J145&gt;=I145),J145,0)</f>
        <v>0</v>
      </c>
      <c r="K143" s="496">
        <f t="shared" ref="K143:K146" ca="1" si="75">IF(I143&gt;0,J143*100/I143,0)</f>
        <v>0</v>
      </c>
      <c r="L143" s="496"/>
      <c r="M143" s="496"/>
      <c r="N143" s="496"/>
      <c r="O143" s="496"/>
      <c r="P143" s="496"/>
    </row>
    <row r="144" spans="1:26" ht="19.5">
      <c r="A144" s="159"/>
      <c r="B144" s="33"/>
      <c r="C144" s="210"/>
      <c r="D144" s="178"/>
      <c r="E144" s="281" t="s">
        <v>73</v>
      </c>
      <c r="F144" s="33"/>
      <c r="G144" s="213"/>
      <c r="H144" s="168" t="s">
        <v>35</v>
      </c>
      <c r="I144" s="269">
        <f ca="1">IFERROR(__xludf.DUMMYFUNCTION("IMPORTRANGE(""https://docs.google.com/spreadsheets/d/1QqKyyYR6Q21VydFLVH3TRQUabQu_ym0Zz7PgGX0-kHA/edit?usp=sharing"",""แผน!U55"")"),5)</f>
        <v>5</v>
      </c>
      <c r="J144" s="214">
        <v>0</v>
      </c>
      <c r="K144" s="496">
        <f t="shared" ca="1" si="75"/>
        <v>0</v>
      </c>
      <c r="L144" s="496"/>
      <c r="M144" s="496"/>
      <c r="N144" s="496"/>
      <c r="O144" s="496"/>
      <c r="P144" s="496"/>
    </row>
    <row r="145" spans="1:26" ht="19.5">
      <c r="A145" s="159"/>
      <c r="B145" s="33"/>
      <c r="C145" s="210"/>
      <c r="D145" s="178"/>
      <c r="E145" s="281" t="s">
        <v>74</v>
      </c>
      <c r="F145" s="33"/>
      <c r="G145" s="213"/>
      <c r="H145" s="168" t="s">
        <v>35</v>
      </c>
      <c r="I145" s="269">
        <f ca="1">IFERROR(__xludf.DUMMYFUNCTION("IMPORTRANGE(""https://docs.google.com/spreadsheets/d/1QqKyyYR6Q21VydFLVH3TRQUabQu_ym0Zz7PgGX0-kHA/edit?usp=sharing"",""แผน!V55"")"),10)</f>
        <v>10</v>
      </c>
      <c r="J145" s="214">
        <v>0</v>
      </c>
      <c r="K145" s="496">
        <f t="shared" ca="1" si="75"/>
        <v>0</v>
      </c>
      <c r="L145" s="496"/>
      <c r="M145" s="496"/>
      <c r="N145" s="496"/>
      <c r="O145" s="496"/>
      <c r="P145" s="496"/>
    </row>
    <row r="146" spans="1:26" ht="19.5">
      <c r="A146" s="159"/>
      <c r="B146" s="33"/>
      <c r="C146" s="210"/>
      <c r="D146" s="281" t="s">
        <v>75</v>
      </c>
      <c r="E146" s="34"/>
      <c r="F146" s="33"/>
      <c r="G146" s="213"/>
      <c r="H146" s="168" t="s">
        <v>69</v>
      </c>
      <c r="I146" s="269">
        <f ca="1">IFERROR(__xludf.DUMMYFUNCTION("IMPORTRANGE(""https://docs.google.com/spreadsheets/d/1QqKyyYR6Q21VydFLVH3TRQUabQu_ym0Zz7PgGX0-kHA/edit?usp=sharing"",""แผน!W55"")"),1)</f>
        <v>1</v>
      </c>
      <c r="J146" s="214">
        <v>0</v>
      </c>
      <c r="K146" s="496">
        <f t="shared" ca="1" si="75"/>
        <v>0</v>
      </c>
      <c r="L146" s="496"/>
      <c r="M146" s="496"/>
      <c r="N146" s="496"/>
      <c r="O146" s="496"/>
      <c r="P146" s="496"/>
    </row>
    <row r="147" spans="1:26" ht="19.5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>
      <c r="A148" s="216"/>
      <c r="B148" s="208" t="s">
        <v>77</v>
      </c>
      <c r="C148" s="208"/>
      <c r="D148" s="208"/>
      <c r="E148" s="824"/>
      <c r="F148" s="218"/>
      <c r="G148" s="219"/>
      <c r="H148" s="220" t="s">
        <v>35</v>
      </c>
      <c r="I148" s="144">
        <f t="shared" ref="I148:J148" ca="1" si="76">I159</f>
        <v>20</v>
      </c>
      <c r="J148" s="144">
        <f t="shared" si="76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1"/>
      <c r="R148" s="221"/>
      <c r="S148" s="221"/>
      <c r="T148" s="221"/>
      <c r="U148" s="221"/>
      <c r="V148" s="221"/>
      <c r="W148" s="221"/>
      <c r="X148" s="221"/>
      <c r="Y148" s="221"/>
      <c r="Z148" s="221"/>
    </row>
    <row r="149" spans="1:26" ht="19.5">
      <c r="A149" s="147"/>
      <c r="B149" s="148"/>
      <c r="C149" s="149" t="s">
        <v>16</v>
      </c>
      <c r="D149" s="822" t="s">
        <v>17</v>
      </c>
      <c r="E149" s="148"/>
      <c r="F149" s="148"/>
      <c r="G149" s="151"/>
      <c r="H149" s="152" t="s">
        <v>12</v>
      </c>
      <c r="I149" s="419"/>
      <c r="J149" s="419"/>
      <c r="K149" s="154"/>
      <c r="L149" s="155">
        <f t="shared" ref="L149:N149" ca="1" si="77">L150+L151</f>
        <v>10000</v>
      </c>
      <c r="M149" s="155">
        <f t="shared" ca="1" si="77"/>
        <v>10000</v>
      </c>
      <c r="N149" s="155">
        <f t="shared" ca="1" si="77"/>
        <v>0</v>
      </c>
      <c r="O149" s="155">
        <f t="shared" ref="O149:O157" ca="1" si="78">IF(L149&gt;0,N149*100/L149,0)</f>
        <v>0</v>
      </c>
      <c r="P149" s="155">
        <f t="shared" ref="P149:P157" ca="1" si="79">IF(M149&gt;0,N149*100/M149,0)</f>
        <v>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2" t="s">
        <v>18</v>
      </c>
      <c r="F150" s="40"/>
      <c r="G150" s="157"/>
      <c r="H150" s="158" t="s">
        <v>12</v>
      </c>
      <c r="I150" s="610"/>
      <c r="J150" s="610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2" t="s">
        <v>19</v>
      </c>
      <c r="F151" s="40"/>
      <c r="G151" s="157"/>
      <c r="H151" s="158" t="s">
        <v>12</v>
      </c>
      <c r="I151" s="610"/>
      <c r="J151" s="610"/>
      <c r="K151" s="93"/>
      <c r="L151" s="93">
        <f t="shared" ca="1" si="80"/>
        <v>10000</v>
      </c>
      <c r="M151" s="93">
        <f t="shared" ca="1" si="80"/>
        <v>10000</v>
      </c>
      <c r="N151" s="93">
        <f t="shared" ca="1" si="80"/>
        <v>0</v>
      </c>
      <c r="O151" s="93">
        <f t="shared" ca="1" si="78"/>
        <v>0</v>
      </c>
      <c r="P151" s="93">
        <f t="shared" ca="1" si="79"/>
        <v>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>
      <c r="A152" s="159"/>
      <c r="B152" s="33"/>
      <c r="C152" s="281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6">
        <f t="shared" ref="L152:N152" ca="1" si="81">L153+L154</f>
        <v>10000</v>
      </c>
      <c r="M152" s="496">
        <f t="shared" ca="1" si="81"/>
        <v>10000</v>
      </c>
      <c r="N152" s="496">
        <f t="shared" ca="1" si="81"/>
        <v>0</v>
      </c>
      <c r="O152" s="496">
        <f t="shared" ca="1" si="78"/>
        <v>0</v>
      </c>
      <c r="P152" s="496">
        <f t="shared" ca="1" si="79"/>
        <v>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2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2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IFERROR(__xludf.DUMMYFUNCTION("IMPORTRANGE(""https://docs.google.com/spreadsheets/d/1MeEWN-I1oV_STSDYn1IFDPWt_1FKiwhDph83XaGc0o0/edit?usp=sharing"",""งบพรบ!BU55"")"),10000)</f>
        <v>10000</v>
      </c>
      <c r="M154" s="93">
        <f ca="1">IFERROR(__xludf.DUMMYFUNCTION("IMPORTRANGE(""https://docs.google.com/spreadsheets/d/1MeEWN-I1oV_STSDYn1IFDPWt_1FKiwhDph83XaGc0o0/edit?usp=sharing"",""งบพรบ!BZ55"")"),10000)</f>
        <v>10000</v>
      </c>
      <c r="N154" s="93">
        <f ca="1">IFERROR(__xludf.DUMMYFUNCTION("IMPORTRANGE(""https://docs.google.com/spreadsheets/d/1MeEWN-I1oV_STSDYn1IFDPWt_1FKiwhDph83XaGc0o0/edit?usp=sharing"",""งบพรบ!CB55"")"),0)</f>
        <v>0</v>
      </c>
      <c r="O154" s="93">
        <f t="shared" ca="1" si="78"/>
        <v>0</v>
      </c>
      <c r="P154" s="93">
        <f t="shared" ca="1" si="79"/>
        <v>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>
      <c r="A155" s="159"/>
      <c r="B155" s="33"/>
      <c r="C155" s="281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6">
        <f t="shared" ref="L155:N155" ca="1" si="82">L156+L157</f>
        <v>0</v>
      </c>
      <c r="M155" s="496">
        <f t="shared" ca="1" si="82"/>
        <v>0</v>
      </c>
      <c r="N155" s="496">
        <f t="shared" ca="1" si="82"/>
        <v>0</v>
      </c>
      <c r="O155" s="496">
        <f t="shared" ca="1" si="78"/>
        <v>0</v>
      </c>
      <c r="P155" s="496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2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2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IFERROR(__xludf.DUMMYFUNCTION("IMPORTRANGE(""https://docs.google.com/spreadsheets/d/1MeEWN-I1oV_STSDYn1IFDPWt_1FKiwhDph83XaGc0o0/edit?usp=sharing"",""งบพรบ!BX55"")"),0)</f>
        <v>0</v>
      </c>
      <c r="M157" s="93">
        <f ca="1">IFERROR(__xludf.DUMMYFUNCTION("IMPORTRANGE(""https://docs.google.com/spreadsheets/d/1MeEWN-I1oV_STSDYn1IFDPWt_1FKiwhDph83XaGc0o0/edit?usp=sharing"",""งบพรบ!CA55"")"),0)</f>
        <v>0</v>
      </c>
      <c r="N157" s="93">
        <f ca="1">IFERROR(__xludf.DUMMYFUNCTION("IMPORTRANGE(""https://docs.google.com/spreadsheets/d/1MeEWN-I1oV_STSDYn1IFDPWt_1FKiwhDph83XaGc0o0/edit?usp=sharing"",""งบพรบ!CC55"")"),0)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>
      <c r="A158" s="170"/>
      <c r="B158" s="171"/>
      <c r="C158" s="164" t="s">
        <v>16</v>
      </c>
      <c r="D158" s="823" t="s">
        <v>38</v>
      </c>
      <c r="E158" s="173"/>
      <c r="F158" s="173"/>
      <c r="G158" s="174"/>
      <c r="H158" s="168"/>
      <c r="I158" s="269"/>
      <c r="J158" s="269"/>
      <c r="K158" s="496"/>
      <c r="L158" s="496"/>
      <c r="M158" s="496"/>
      <c r="N158" s="496"/>
      <c r="O158" s="496"/>
      <c r="P158" s="496"/>
    </row>
    <row r="159" spans="1:26" ht="19.5">
      <c r="A159" s="159"/>
      <c r="B159" s="33"/>
      <c r="C159" s="210"/>
      <c r="D159" s="281" t="s">
        <v>78</v>
      </c>
      <c r="E159" s="34"/>
      <c r="F159" s="33"/>
      <c r="G159" s="213"/>
      <c r="H159" s="168" t="s">
        <v>35</v>
      </c>
      <c r="I159" s="269">
        <f ca="1">IFERROR(__xludf.DUMMYFUNCTION("IMPORTRANGE(""https://docs.google.com/spreadsheets/d/1QqKyyYR6Q21VydFLVH3TRQUabQu_ym0Zz7PgGX0-kHA/edit?usp=sharing"",""แผน!X55"")"),20)</f>
        <v>20</v>
      </c>
      <c r="J159" s="214">
        <v>0</v>
      </c>
      <c r="K159" s="496">
        <f ca="1">IF(I159&gt;0,J159*100/I159,0)</f>
        <v>0</v>
      </c>
      <c r="L159" s="496"/>
      <c r="M159" s="496"/>
      <c r="N159" s="496"/>
      <c r="O159" s="496"/>
      <c r="P159" s="496"/>
    </row>
    <row r="160" spans="1:26" ht="19.5" hidden="1">
      <c r="A160" s="156"/>
      <c r="B160" s="40"/>
      <c r="C160" s="164"/>
      <c r="D160" s="222" t="s">
        <v>79</v>
      </c>
      <c r="E160" s="223"/>
      <c r="F160" s="40"/>
      <c r="G160" s="157"/>
      <c r="H160" s="169" t="s">
        <v>35</v>
      </c>
      <c r="I160" s="610"/>
      <c r="J160" s="610"/>
      <c r="K160" s="93"/>
      <c r="L160" s="93"/>
      <c r="M160" s="93"/>
      <c r="N160" s="93"/>
      <c r="O160" s="93"/>
      <c r="P160" s="93"/>
      <c r="Q160" s="224"/>
      <c r="R160" s="224"/>
      <c r="S160" s="224"/>
      <c r="T160" s="224"/>
      <c r="U160" s="224"/>
      <c r="V160" s="224"/>
      <c r="W160" s="224"/>
      <c r="X160" s="224"/>
      <c r="Y160" s="224"/>
      <c r="Z160" s="224"/>
    </row>
    <row r="161" spans="1:26" ht="19.5" hidden="1">
      <c r="A161" s="225"/>
      <c r="B161" s="226"/>
      <c r="C161" s="227"/>
      <c r="D161" s="228" t="s">
        <v>80</v>
      </c>
      <c r="E161" s="825"/>
      <c r="F161" s="226"/>
      <c r="G161" s="230"/>
      <c r="H161" s="231" t="s">
        <v>35</v>
      </c>
      <c r="I161" s="232"/>
      <c r="J161" s="232"/>
      <c r="K161" s="233"/>
      <c r="L161" s="233"/>
      <c r="M161" s="233"/>
      <c r="N161" s="233"/>
      <c r="O161" s="233"/>
      <c r="P161" s="233"/>
      <c r="Q161" s="224"/>
      <c r="R161" s="224"/>
      <c r="S161" s="224"/>
      <c r="T161" s="224"/>
      <c r="U161" s="224"/>
      <c r="V161" s="224"/>
      <c r="W161" s="224"/>
      <c r="X161" s="224"/>
      <c r="Y161" s="224"/>
      <c r="Z161" s="224"/>
    </row>
    <row r="162" spans="1:26" ht="19.5">
      <c r="A162" s="234" t="s">
        <v>81</v>
      </c>
      <c r="B162" s="235"/>
      <c r="C162" s="235"/>
      <c r="D162" s="235"/>
      <c r="E162" s="236"/>
      <c r="F162" s="236"/>
      <c r="G162" s="237"/>
      <c r="H162" s="238"/>
      <c r="I162" s="239"/>
      <c r="J162" s="239"/>
      <c r="K162" s="240"/>
      <c r="L162" s="240"/>
      <c r="M162" s="240"/>
      <c r="N162" s="240"/>
      <c r="O162" s="240"/>
      <c r="P162" s="240"/>
    </row>
    <row r="163" spans="1:26" ht="19.5">
      <c r="A163" s="241" t="s">
        <v>82</v>
      </c>
      <c r="B163" s="242"/>
      <c r="C163" s="242"/>
      <c r="D163" s="243"/>
      <c r="E163" s="243"/>
      <c r="F163" s="243"/>
      <c r="G163" s="244"/>
      <c r="H163" s="245"/>
      <c r="I163" s="246"/>
      <c r="J163" s="246"/>
      <c r="K163" s="247"/>
      <c r="L163" s="247"/>
      <c r="M163" s="247"/>
      <c r="N163" s="247"/>
      <c r="O163" s="247"/>
      <c r="P163" s="247"/>
    </row>
    <row r="164" spans="1:26" ht="19.5">
      <c r="A164" s="248"/>
      <c r="B164" s="249" t="s">
        <v>83</v>
      </c>
      <c r="C164" s="250"/>
      <c r="D164" s="173"/>
      <c r="E164" s="173"/>
      <c r="F164" s="173"/>
      <c r="G164" s="174"/>
      <c r="H164" s="251" t="s">
        <v>35</v>
      </c>
      <c r="I164" s="252">
        <f t="shared" ref="I164:J164" ca="1" si="83">I174+I177</f>
        <v>12</v>
      </c>
      <c r="J164" s="252">
        <f t="shared" si="83"/>
        <v>12</v>
      </c>
      <c r="K164" s="253">
        <f ca="1">IF(I164&gt;0,J164*100/I164,0)</f>
        <v>100</v>
      </c>
      <c r="L164" s="254"/>
      <c r="M164" s="254"/>
      <c r="N164" s="254"/>
      <c r="O164" s="254"/>
      <c r="P164" s="254"/>
    </row>
    <row r="165" spans="1:26" ht="19.5">
      <c r="A165" s="147"/>
      <c r="B165" s="148"/>
      <c r="C165" s="149" t="s">
        <v>16</v>
      </c>
      <c r="D165" s="822" t="s">
        <v>17</v>
      </c>
      <c r="E165" s="148"/>
      <c r="F165" s="148"/>
      <c r="G165" s="151"/>
      <c r="H165" s="152" t="s">
        <v>12</v>
      </c>
      <c r="I165" s="419"/>
      <c r="J165" s="419"/>
      <c r="K165" s="154"/>
      <c r="L165" s="155">
        <f t="shared" ref="L165:N165" ca="1" si="84">L166+L167</f>
        <v>23060</v>
      </c>
      <c r="M165" s="155">
        <f t="shared" ca="1" si="84"/>
        <v>23060</v>
      </c>
      <c r="N165" s="155">
        <f t="shared" ca="1" si="84"/>
        <v>23060</v>
      </c>
      <c r="O165" s="155">
        <f t="shared" ref="O165:O173" ca="1" si="85">IF(L165&gt;0,N165*100/L165,0)</f>
        <v>100</v>
      </c>
      <c r="P165" s="155">
        <f t="shared" ref="P165:P173" ca="1" si="86">IF(M165&gt;0,N165*100/M165,0)</f>
        <v>100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2" t="s">
        <v>18</v>
      </c>
      <c r="F166" s="40"/>
      <c r="G166" s="157"/>
      <c r="H166" s="158" t="s">
        <v>12</v>
      </c>
      <c r="I166" s="610"/>
      <c r="J166" s="610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2" t="s">
        <v>19</v>
      </c>
      <c r="F167" s="40"/>
      <c r="G167" s="157"/>
      <c r="H167" s="158" t="s">
        <v>12</v>
      </c>
      <c r="I167" s="610"/>
      <c r="J167" s="610"/>
      <c r="K167" s="93"/>
      <c r="L167" s="93">
        <f t="shared" ca="1" si="87"/>
        <v>23060</v>
      </c>
      <c r="M167" s="93">
        <f t="shared" ca="1" si="87"/>
        <v>23060</v>
      </c>
      <c r="N167" s="93">
        <f t="shared" ca="1" si="87"/>
        <v>23060</v>
      </c>
      <c r="O167" s="93">
        <f t="shared" ca="1" si="85"/>
        <v>100</v>
      </c>
      <c r="P167" s="93">
        <f t="shared" ca="1" si="86"/>
        <v>100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1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6">
        <f t="shared" ref="L168:N168" ca="1" si="88">L169+L170</f>
        <v>23060</v>
      </c>
      <c r="M168" s="496">
        <f t="shared" ca="1" si="88"/>
        <v>23060</v>
      </c>
      <c r="N168" s="496">
        <f t="shared" ca="1" si="88"/>
        <v>23060</v>
      </c>
      <c r="O168" s="496">
        <f t="shared" ca="1" si="85"/>
        <v>100</v>
      </c>
      <c r="P168" s="496">
        <f t="shared" ca="1" si="86"/>
        <v>100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2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2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IFERROR(__xludf.DUMMYFUNCTION("IMPORTRANGE(""https://docs.google.com/spreadsheets/d/1MeEWN-I1oV_STSDYn1IFDPWt_1FKiwhDph83XaGc0o0/edit?usp=sharing"",""งบพรบ!CE55"")"),23060)</f>
        <v>23060</v>
      </c>
      <c r="M170" s="93">
        <f ca="1">IFERROR(__xludf.DUMMYFUNCTION("IMPORTRANGE(""https://docs.google.com/spreadsheets/d/1MeEWN-I1oV_STSDYn1IFDPWt_1FKiwhDph83XaGc0o0/edit?usp=sharing"",""งบพรบ!CJ55"")"),23060)</f>
        <v>23060</v>
      </c>
      <c r="N170" s="93">
        <f ca="1">IFERROR(__xludf.DUMMYFUNCTION("IMPORTRANGE(""https://docs.google.com/spreadsheets/d/1MeEWN-I1oV_STSDYn1IFDPWt_1FKiwhDph83XaGc0o0/edit?usp=sharing"",""งบพรบ!CL55"")"),23060)</f>
        <v>23060</v>
      </c>
      <c r="O170" s="93">
        <f t="shared" ca="1" si="85"/>
        <v>100</v>
      </c>
      <c r="P170" s="93">
        <f t="shared" ca="1" si="86"/>
        <v>100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1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6">
        <f t="shared" ref="L171:N171" ca="1" si="89">L172+L173</f>
        <v>0</v>
      </c>
      <c r="M171" s="496">
        <f t="shared" ca="1" si="89"/>
        <v>0</v>
      </c>
      <c r="N171" s="496">
        <f t="shared" ca="1" si="89"/>
        <v>0</v>
      </c>
      <c r="O171" s="496">
        <f t="shared" ca="1" si="85"/>
        <v>0</v>
      </c>
      <c r="P171" s="496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2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2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IFERROR(__xludf.DUMMYFUNCTION("IMPORTRANGE(""https://docs.google.com/spreadsheets/d/1MeEWN-I1oV_STSDYn1IFDPWt_1FKiwhDph83XaGc0o0/edit?usp=sharing"",""งบพรบ!CH55"")"),0)</f>
        <v>0</v>
      </c>
      <c r="M173" s="93">
        <f ca="1">IFERROR(__xludf.DUMMYFUNCTION("IMPORTRANGE(""https://docs.google.com/spreadsheets/d/1MeEWN-I1oV_STSDYn1IFDPWt_1FKiwhDph83XaGc0o0/edit?usp=sharing"",""งบพรบ!CK55"")"),0)</f>
        <v>0</v>
      </c>
      <c r="N173" s="93">
        <f ca="1">IFERROR(__xludf.DUMMYFUNCTION("IMPORTRANGE(""https://docs.google.com/spreadsheets/d/1MeEWN-I1oV_STSDYn1IFDPWt_1FKiwhDph83XaGc0o0/edit?usp=sharing"",""งบพรบ!CM55"")"),0)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5"/>
      <c r="B174" s="256"/>
      <c r="C174" s="257" t="s">
        <v>84</v>
      </c>
      <c r="D174" s="256"/>
      <c r="E174" s="256"/>
      <c r="F174" s="256"/>
      <c r="G174" s="258"/>
      <c r="H174" s="259" t="s">
        <v>35</v>
      </c>
      <c r="I174" s="260">
        <f t="shared" ref="I174:J174" ca="1" si="90">I176</f>
        <v>12</v>
      </c>
      <c r="J174" s="260">
        <f t="shared" si="90"/>
        <v>12</v>
      </c>
      <c r="K174" s="261">
        <f ca="1">IF(I174&gt;0,J174*100/I174,0)</f>
        <v>100</v>
      </c>
      <c r="L174" s="261"/>
      <c r="M174" s="261"/>
      <c r="N174" s="261"/>
      <c r="O174" s="261"/>
      <c r="P174" s="261"/>
    </row>
    <row r="175" spans="1:26" ht="19.5">
      <c r="A175" s="170"/>
      <c r="B175" s="171"/>
      <c r="C175" s="164" t="s">
        <v>16</v>
      </c>
      <c r="D175" s="823" t="s">
        <v>38</v>
      </c>
      <c r="E175" s="173"/>
      <c r="F175" s="173"/>
      <c r="G175" s="174"/>
      <c r="H175" s="753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37" t="s">
        <v>85</v>
      </c>
      <c r="E176" s="178"/>
      <c r="F176" s="178"/>
      <c r="G176" s="179"/>
      <c r="H176" s="616" t="s">
        <v>35</v>
      </c>
      <c r="I176" s="269">
        <f ca="1">IFERROR(__xludf.DUMMYFUNCTION("IMPORTRANGE(""https://docs.google.com/spreadsheets/d/1QqKyyYR6Q21VydFLVH3TRQUabQu_ym0Zz7PgGX0-kHA/edit?usp=sharing"",""แผน!Y55"")"),12)</f>
        <v>12</v>
      </c>
      <c r="J176" s="214">
        <v>12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5"/>
      <c r="B177" s="263"/>
      <c r="C177" s="264" t="s">
        <v>86</v>
      </c>
      <c r="D177" s="263"/>
      <c r="E177" s="256"/>
      <c r="F177" s="256"/>
      <c r="G177" s="258"/>
      <c r="H177" s="265" t="s">
        <v>35</v>
      </c>
      <c r="I177" s="260"/>
      <c r="J177" s="260">
        <f>J179</f>
        <v>0</v>
      </c>
      <c r="K177" s="261"/>
      <c r="L177" s="261"/>
      <c r="M177" s="261"/>
      <c r="N177" s="261"/>
      <c r="O177" s="261"/>
      <c r="P177" s="261"/>
    </row>
    <row r="178" spans="1:26" ht="19.5" hidden="1">
      <c r="A178" s="170"/>
      <c r="B178" s="171"/>
      <c r="C178" s="164" t="s">
        <v>16</v>
      </c>
      <c r="D178" s="266" t="s">
        <v>38</v>
      </c>
      <c r="E178" s="173"/>
      <c r="F178" s="173"/>
      <c r="G178" s="174"/>
      <c r="H178" s="753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3" t="s">
        <v>87</v>
      </c>
      <c r="E179" s="178"/>
      <c r="F179" s="366"/>
      <c r="G179" s="179"/>
      <c r="H179" s="43" t="s">
        <v>35</v>
      </c>
      <c r="I179" s="269"/>
      <c r="J179" s="269"/>
      <c r="K179" s="163"/>
      <c r="L179" s="163"/>
      <c r="M179" s="163"/>
      <c r="N179" s="163"/>
      <c r="O179" s="163"/>
      <c r="P179" s="163"/>
    </row>
    <row r="180" spans="1:26" ht="19.5">
      <c r="A180" s="248"/>
      <c r="B180" s="249" t="s">
        <v>88</v>
      </c>
      <c r="C180" s="250"/>
      <c r="D180" s="173"/>
      <c r="E180" s="173"/>
      <c r="F180" s="173"/>
      <c r="G180" s="174"/>
      <c r="H180" s="251" t="s">
        <v>35</v>
      </c>
      <c r="I180" s="252">
        <f t="shared" ref="I180:J180" ca="1" si="91">I225+I226</f>
        <v>70</v>
      </c>
      <c r="J180" s="252">
        <f t="shared" si="91"/>
        <v>40</v>
      </c>
      <c r="K180" s="253">
        <f ca="1">IF(I180&gt;0,J180*100/I180,0)</f>
        <v>57.142857142857146</v>
      </c>
      <c r="L180" s="254"/>
      <c r="M180" s="254"/>
      <c r="N180" s="254"/>
      <c r="O180" s="254"/>
      <c r="P180" s="254"/>
    </row>
    <row r="181" spans="1:26" ht="19.5">
      <c r="A181" s="147"/>
      <c r="B181" s="148"/>
      <c r="C181" s="149" t="s">
        <v>16</v>
      </c>
      <c r="D181" s="822" t="s">
        <v>17</v>
      </c>
      <c r="E181" s="148"/>
      <c r="F181" s="148"/>
      <c r="G181" s="151"/>
      <c r="H181" s="152" t="s">
        <v>12</v>
      </c>
      <c r="I181" s="419"/>
      <c r="J181" s="419"/>
      <c r="K181" s="154"/>
      <c r="L181" s="155">
        <f t="shared" ref="L181:N181" ca="1" si="92">L182+L183</f>
        <v>633700</v>
      </c>
      <c r="M181" s="155">
        <f t="shared" ca="1" si="92"/>
        <v>282850</v>
      </c>
      <c r="N181" s="155">
        <f t="shared" ca="1" si="92"/>
        <v>150755.65</v>
      </c>
      <c r="O181" s="155">
        <f t="shared" ref="O181:O189" ca="1" si="93">IF(L181&gt;0,N181*100/L181,0)</f>
        <v>23.78975067066435</v>
      </c>
      <c r="P181" s="155">
        <f t="shared" ref="P181:P189" ca="1" si="94">IF(M181&gt;0,N181*100/M181,0)</f>
        <v>53.29879794944317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2" t="s">
        <v>18</v>
      </c>
      <c r="F182" s="40"/>
      <c r="G182" s="157"/>
      <c r="H182" s="158" t="s">
        <v>12</v>
      </c>
      <c r="I182" s="610"/>
      <c r="J182" s="610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2" t="s">
        <v>19</v>
      </c>
      <c r="F183" s="40"/>
      <c r="G183" s="157"/>
      <c r="H183" s="158" t="s">
        <v>12</v>
      </c>
      <c r="I183" s="610"/>
      <c r="J183" s="610"/>
      <c r="K183" s="93"/>
      <c r="L183" s="93">
        <f t="shared" ca="1" si="95"/>
        <v>633700</v>
      </c>
      <c r="M183" s="93">
        <f t="shared" ca="1" si="95"/>
        <v>282850</v>
      </c>
      <c r="N183" s="93">
        <f t="shared" ca="1" si="95"/>
        <v>150755.65</v>
      </c>
      <c r="O183" s="93">
        <f t="shared" ca="1" si="93"/>
        <v>23.78975067066435</v>
      </c>
      <c r="P183" s="93">
        <f t="shared" ca="1" si="94"/>
        <v>53.29879794944317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1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6">
        <f t="shared" ref="L184:N184" ca="1" si="96">L185+L186</f>
        <v>633700</v>
      </c>
      <c r="M184" s="496">
        <f t="shared" ca="1" si="96"/>
        <v>282850</v>
      </c>
      <c r="N184" s="496">
        <f t="shared" ca="1" si="96"/>
        <v>150755.65</v>
      </c>
      <c r="O184" s="496">
        <f t="shared" ca="1" si="93"/>
        <v>23.78975067066435</v>
      </c>
      <c r="P184" s="496">
        <f t="shared" ca="1" si="94"/>
        <v>53.29879794944317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2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2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IFERROR(__xludf.DUMMYFUNCTION("IMPORTRANGE(""https://docs.google.com/spreadsheets/d/1MeEWN-I1oV_STSDYn1IFDPWt_1FKiwhDph83XaGc0o0/edit?usp=sharing"",""งบพรบ!CO55"")"),633700)</f>
        <v>633700</v>
      </c>
      <c r="M186" s="93">
        <f ca="1">IFERROR(__xludf.DUMMYFUNCTION("IMPORTRANGE(""https://docs.google.com/spreadsheets/d/1MeEWN-I1oV_STSDYn1IFDPWt_1FKiwhDph83XaGc0o0/edit?usp=sharing"",""งบพรบ!CT55"")"),282850)</f>
        <v>282850</v>
      </c>
      <c r="N186" s="93">
        <f ca="1">IFERROR(__xludf.DUMMYFUNCTION("IMPORTRANGE(""https://docs.google.com/spreadsheets/d/1MeEWN-I1oV_STSDYn1IFDPWt_1FKiwhDph83XaGc0o0/edit?usp=sharing"",""งบพรบ!CV55"")"),150755.65)</f>
        <v>150755.65</v>
      </c>
      <c r="O186" s="93">
        <f t="shared" ca="1" si="93"/>
        <v>23.78975067066435</v>
      </c>
      <c r="P186" s="93">
        <f t="shared" ca="1" si="94"/>
        <v>53.29879794944317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1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6">
        <f t="shared" ref="L187:N187" ca="1" si="97">L188+L189</f>
        <v>0</v>
      </c>
      <c r="M187" s="496">
        <f t="shared" ca="1" si="97"/>
        <v>0</v>
      </c>
      <c r="N187" s="496">
        <f t="shared" ca="1" si="97"/>
        <v>0</v>
      </c>
      <c r="O187" s="496">
        <f t="shared" ca="1" si="93"/>
        <v>0</v>
      </c>
      <c r="P187" s="496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2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2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IFERROR(__xludf.DUMMYFUNCTION("IMPORTRANGE(""https://docs.google.com/spreadsheets/d/1MeEWN-I1oV_STSDYn1IFDPWt_1FKiwhDph83XaGc0o0/edit?usp=sharing"",""งบพรบ!CR55"")"),0)</f>
        <v>0</v>
      </c>
      <c r="M189" s="93">
        <f ca="1">IFERROR(__xludf.DUMMYFUNCTION("IMPORTRANGE(""https://docs.google.com/spreadsheets/d/1MeEWN-I1oV_STSDYn1IFDPWt_1FKiwhDph83XaGc0o0/edit?usp=sharing"",""งบพรบ!CU55"")"),0)</f>
        <v>0</v>
      </c>
      <c r="N189" s="93">
        <f ca="1">IFERROR(__xludf.DUMMYFUNCTION("IMPORTRANGE(""https://docs.google.com/spreadsheets/d/1MeEWN-I1oV_STSDYn1IFDPWt_1FKiwhDph83XaGc0o0/edit?usp=sharing"",""งบพรบ!CW55"")"),0)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5"/>
      <c r="B190" s="263"/>
      <c r="C190" s="270" t="s">
        <v>89</v>
      </c>
      <c r="D190" s="256"/>
      <c r="E190" s="256"/>
      <c r="F190" s="256"/>
      <c r="G190" s="258"/>
      <c r="H190" s="259" t="s">
        <v>90</v>
      </c>
      <c r="I190" s="271">
        <f t="shared" ref="I190:J190" ca="1" si="98">I193</f>
        <v>4</v>
      </c>
      <c r="J190" s="271">
        <f t="shared" si="98"/>
        <v>1</v>
      </c>
      <c r="K190" s="272">
        <f ca="1">IF(I190&gt;0,J190*100/I190,0)</f>
        <v>25</v>
      </c>
      <c r="L190" s="261"/>
      <c r="M190" s="261"/>
      <c r="N190" s="261"/>
      <c r="O190" s="261"/>
      <c r="P190" s="261"/>
    </row>
    <row r="191" spans="1:26" ht="19.5">
      <c r="A191" s="147"/>
      <c r="B191" s="148"/>
      <c r="C191" s="149" t="s">
        <v>16</v>
      </c>
      <c r="D191" s="826" t="s">
        <v>17</v>
      </c>
      <c r="E191" s="148"/>
      <c r="F191" s="148"/>
      <c r="G191" s="151"/>
      <c r="H191" s="274" t="s">
        <v>12</v>
      </c>
      <c r="I191" s="419"/>
      <c r="J191" s="419"/>
      <c r="K191" s="154"/>
      <c r="L191" s="155">
        <f ca="1">IFERROR(__xludf.DUMMYFUNCTION("IMPORTRANGE(""https://docs.google.com/spreadsheets/d/1QqKyyYR6Q21VydFLVH3TRQUabQu_ym0Zz7PgGX0-kHA/edit?usp=sharing"",""แผน!Z55"")"),6000)</f>
        <v>6000</v>
      </c>
      <c r="M191" s="155"/>
      <c r="N191" s="275">
        <v>1980</v>
      </c>
      <c r="O191" s="155">
        <f ca="1">IF(L191&gt;0,N191*100/L191,0)</f>
        <v>33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0" t="s">
        <v>16</v>
      </c>
      <c r="D192" s="823" t="s">
        <v>38</v>
      </c>
      <c r="E192" s="173"/>
      <c r="F192" s="173"/>
      <c r="G192" s="174"/>
      <c r="H192" s="753"/>
      <c r="I192" s="269"/>
      <c r="J192" s="269"/>
      <c r="K192" s="496"/>
      <c r="L192" s="496"/>
      <c r="M192" s="496"/>
      <c r="N192" s="496"/>
      <c r="O192" s="496"/>
      <c r="P192" s="496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6" t="s">
        <v>91</v>
      </c>
      <c r="E193" s="178"/>
      <c r="F193" s="178"/>
      <c r="G193" s="179"/>
      <c r="H193" s="755" t="s">
        <v>90</v>
      </c>
      <c r="I193" s="269">
        <f ca="1">IFERROR(__xludf.DUMMYFUNCTION("IMPORTRANGE(""https://docs.google.com/spreadsheets/d/1QqKyyYR6Q21VydFLVH3TRQUabQu_ym0Zz7PgGX0-kHA/edit?usp=sharing"",""แผน!AC55"")"),4)</f>
        <v>4</v>
      </c>
      <c r="J193" s="214">
        <v>1</v>
      </c>
      <c r="K193" s="496">
        <f ca="1">IF(I193&gt;0,J193*100/I193,0)</f>
        <v>25</v>
      </c>
      <c r="L193" s="496"/>
      <c r="M193" s="496"/>
      <c r="N193" s="496"/>
      <c r="O193" s="496"/>
      <c r="P193" s="496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6" t="s">
        <v>92</v>
      </c>
      <c r="E194" s="178"/>
      <c r="F194" s="178"/>
      <c r="G194" s="179"/>
      <c r="H194" s="276" t="s">
        <v>35</v>
      </c>
      <c r="I194" s="269"/>
      <c r="J194" s="269">
        <f>J195+J196</f>
        <v>14</v>
      </c>
      <c r="K194" s="496"/>
      <c r="L194" s="496"/>
      <c r="M194" s="496"/>
      <c r="N194" s="496"/>
      <c r="O194" s="496"/>
      <c r="P194" s="496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6" t="s">
        <v>93</v>
      </c>
      <c r="F195" s="178"/>
      <c r="G195" s="179"/>
      <c r="H195" s="276" t="s">
        <v>35</v>
      </c>
      <c r="I195" s="269"/>
      <c r="J195" s="214">
        <v>14</v>
      </c>
      <c r="K195" s="496"/>
      <c r="L195" s="496"/>
      <c r="M195" s="496"/>
      <c r="N195" s="496"/>
      <c r="O195" s="496"/>
      <c r="P195" s="496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6" t="s">
        <v>94</v>
      </c>
      <c r="F196" s="178"/>
      <c r="G196" s="179"/>
      <c r="H196" s="276" t="s">
        <v>35</v>
      </c>
      <c r="I196" s="269"/>
      <c r="J196" s="214">
        <v>0</v>
      </c>
      <c r="K196" s="496"/>
      <c r="L196" s="496"/>
      <c r="M196" s="496"/>
      <c r="N196" s="496"/>
      <c r="O196" s="496"/>
      <c r="P196" s="496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5"/>
      <c r="B197" s="263"/>
      <c r="C197" s="270" t="s">
        <v>95</v>
      </c>
      <c r="D197" s="256"/>
      <c r="E197" s="256"/>
      <c r="F197" s="256"/>
      <c r="G197" s="258"/>
      <c r="H197" s="277" t="s">
        <v>96</v>
      </c>
      <c r="I197" s="271">
        <f t="shared" ref="I197:J197" ca="1" si="99">I204</f>
        <v>3</v>
      </c>
      <c r="J197" s="271">
        <f t="shared" si="99"/>
        <v>3</v>
      </c>
      <c r="K197" s="272">
        <f ca="1">IF(I197&gt;0,J197*100/I197,0)</f>
        <v>100</v>
      </c>
      <c r="L197" s="261"/>
      <c r="M197" s="261"/>
      <c r="N197" s="261"/>
      <c r="O197" s="261"/>
      <c r="P197" s="261"/>
    </row>
    <row r="198" spans="1:26" ht="19.5">
      <c r="A198" s="147"/>
      <c r="B198" s="148"/>
      <c r="C198" s="149" t="s">
        <v>16</v>
      </c>
      <c r="D198" s="826" t="s">
        <v>17</v>
      </c>
      <c r="E198" s="148"/>
      <c r="F198" s="148"/>
      <c r="G198" s="151"/>
      <c r="H198" s="274" t="s">
        <v>12</v>
      </c>
      <c r="I198" s="418"/>
      <c r="J198" s="418"/>
      <c r="K198" s="279"/>
      <c r="L198" s="155">
        <f ca="1">L199+L200+L201+L202</f>
        <v>39000</v>
      </c>
      <c r="M198" s="155"/>
      <c r="N198" s="155">
        <f>N199+N200+N201+N202</f>
        <v>25720</v>
      </c>
      <c r="O198" s="155">
        <f ca="1">IF(L198&gt;0,N198*100/L198,0)</f>
        <v>65.948717948717942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0"/>
      <c r="C199" s="33"/>
      <c r="D199" s="281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6">
        <f ca="1">IFERROR(__xludf.DUMMYFUNCTION("IMPORTRANGE(""https://docs.google.com/spreadsheets/d/1QqKyyYR6Q21VydFLVH3TRQUabQu_ym0Zz7PgGX0-kHA/edit?usp=sharing"",""แผน!AE55"")"),3000)</f>
        <v>3000</v>
      </c>
      <c r="M199" s="496"/>
      <c r="N199" s="817">
        <v>1720</v>
      </c>
      <c r="O199" s="496"/>
      <c r="P199" s="496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4"/>
      <c r="B200" s="280"/>
      <c r="C200" s="210"/>
      <c r="D200" s="281" t="s">
        <v>98</v>
      </c>
      <c r="E200" s="33"/>
      <c r="F200" s="33"/>
      <c r="G200" s="35"/>
      <c r="H200" s="616" t="s">
        <v>12</v>
      </c>
      <c r="I200" s="269"/>
      <c r="J200" s="269"/>
      <c r="K200" s="496"/>
      <c r="L200" s="496">
        <f ca="1">IFERROR(__xludf.DUMMYFUNCTION("IMPORTRANGE(""https://docs.google.com/spreadsheets/d/1QqKyyYR6Q21VydFLVH3TRQUabQu_ym0Zz7PgGX0-kHA/edit?usp=sharing"",""แผน!AF55"")"),24000)</f>
        <v>24000</v>
      </c>
      <c r="M200" s="496"/>
      <c r="N200" s="817">
        <v>24000</v>
      </c>
      <c r="O200" s="496"/>
      <c r="P200" s="496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>
      <c r="A201" s="284"/>
      <c r="B201" s="280"/>
      <c r="C201" s="210"/>
      <c r="D201" s="281" t="s">
        <v>99</v>
      </c>
      <c r="E201" s="33"/>
      <c r="F201" s="33"/>
      <c r="G201" s="35"/>
      <c r="H201" s="616" t="s">
        <v>12</v>
      </c>
      <c r="I201" s="269"/>
      <c r="J201" s="269"/>
      <c r="K201" s="496"/>
      <c r="L201" s="496">
        <f ca="1">IFERROR(__xludf.DUMMYFUNCTION("IMPORTRANGE(""https://docs.google.com/spreadsheets/d/1QqKyyYR6Q21VydFLVH3TRQUabQu_ym0Zz7PgGX0-kHA/edit?usp=sharing"",""แผน!AG55"")"),12000)</f>
        <v>12000</v>
      </c>
      <c r="M201" s="496"/>
      <c r="N201" s="817">
        <v>0</v>
      </c>
      <c r="O201" s="496"/>
      <c r="P201" s="496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>
      <c r="A202" s="284"/>
      <c r="B202" s="280"/>
      <c r="C202" s="210"/>
      <c r="D202" s="281" t="s">
        <v>100</v>
      </c>
      <c r="E202" s="33"/>
      <c r="F202" s="33"/>
      <c r="G202" s="35"/>
      <c r="H202" s="616" t="s">
        <v>12</v>
      </c>
      <c r="I202" s="269"/>
      <c r="J202" s="269"/>
      <c r="K202" s="496"/>
      <c r="L202" s="496">
        <f ca="1">IFERROR(__xludf.DUMMYFUNCTION("IMPORTRANGE(""https://docs.google.com/spreadsheets/d/1QqKyyYR6Q21VydFLVH3TRQUabQu_ym0Zz7PgGX0-kHA/edit?usp=sharing"",""แผน!AH55"")"),0)</f>
        <v>0</v>
      </c>
      <c r="M202" s="496"/>
      <c r="N202" s="817">
        <v>0</v>
      </c>
      <c r="O202" s="496"/>
      <c r="P202" s="496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>
      <c r="A203" s="170"/>
      <c r="B203" s="171"/>
      <c r="C203" s="210" t="s">
        <v>16</v>
      </c>
      <c r="D203" s="823" t="s">
        <v>38</v>
      </c>
      <c r="E203" s="173"/>
      <c r="F203" s="173"/>
      <c r="G203" s="174"/>
      <c r="H203" s="753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53" t="s">
        <v>96</v>
      </c>
      <c r="I204" s="269">
        <f ca="1">IFERROR(__xludf.DUMMYFUNCTION("IMPORTRANGE(""https://docs.google.com/spreadsheets/d/1QqKyyYR6Q21VydFLVH3TRQUabQu_ym0Zz7PgGX0-kHA/edit?usp=sharing"",""แผน!AI55"")"),3)</f>
        <v>3</v>
      </c>
      <c r="J204" s="214">
        <v>3</v>
      </c>
      <c r="K204" s="163">
        <f ca="1">IF(I204&gt;0,J204*100/I204,0)</f>
        <v>100</v>
      </c>
      <c r="L204" s="496"/>
      <c r="M204" s="496"/>
      <c r="N204" s="496"/>
      <c r="O204" s="496"/>
      <c r="P204" s="496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6" t="s">
        <v>59</v>
      </c>
      <c r="E205" s="178"/>
      <c r="F205" s="178"/>
      <c r="G205" s="179"/>
      <c r="H205" s="753"/>
      <c r="I205" s="269"/>
      <c r="J205" s="269"/>
      <c r="K205" s="163"/>
      <c r="L205" s="496"/>
      <c r="M205" s="496"/>
      <c r="N205" s="496"/>
      <c r="O205" s="496"/>
      <c r="P205" s="496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25" t="s">
        <v>102</v>
      </c>
      <c r="F206" s="287"/>
      <c r="G206" s="288"/>
      <c r="H206" s="289" t="s">
        <v>96</v>
      </c>
      <c r="I206" s="269">
        <v>3</v>
      </c>
      <c r="J206" s="214">
        <v>0</v>
      </c>
      <c r="K206" s="163">
        <f t="shared" ref="K206:K208" si="100">IF(I206&gt;0,J206*100/I206,0)</f>
        <v>0</v>
      </c>
      <c r="L206" s="496"/>
      <c r="M206" s="496"/>
      <c r="N206" s="496"/>
      <c r="O206" s="496"/>
      <c r="P206" s="496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6"/>
      <c r="E207" s="446" t="s">
        <v>103</v>
      </c>
      <c r="F207" s="178"/>
      <c r="G207" s="178"/>
      <c r="H207" s="290" t="s">
        <v>104</v>
      </c>
      <c r="I207" s="269">
        <v>0</v>
      </c>
      <c r="J207" s="214">
        <v>0</v>
      </c>
      <c r="K207" s="163">
        <f t="shared" si="100"/>
        <v>0</v>
      </c>
      <c r="L207" s="496"/>
      <c r="M207" s="496"/>
      <c r="N207" s="496"/>
      <c r="O207" s="496"/>
      <c r="P207" s="496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>
      <c r="A208" s="255"/>
      <c r="B208" s="263"/>
      <c r="C208" s="270" t="s">
        <v>105</v>
      </c>
      <c r="D208" s="256"/>
      <c r="E208" s="256"/>
      <c r="F208" s="291"/>
      <c r="G208" s="258"/>
      <c r="H208" s="277" t="s">
        <v>96</v>
      </c>
      <c r="I208" s="271">
        <f t="shared" ref="I208:J208" ca="1" si="101">I215</f>
        <v>3</v>
      </c>
      <c r="J208" s="271">
        <f t="shared" si="101"/>
        <v>3</v>
      </c>
      <c r="K208" s="272">
        <f t="shared" ca="1" si="100"/>
        <v>100</v>
      </c>
      <c r="L208" s="261"/>
      <c r="M208" s="261"/>
      <c r="N208" s="261"/>
      <c r="O208" s="261"/>
      <c r="P208" s="261"/>
    </row>
    <row r="209" spans="1:26" ht="19.5">
      <c r="A209" s="147"/>
      <c r="B209" s="148"/>
      <c r="C209" s="149" t="s">
        <v>16</v>
      </c>
      <c r="D209" s="826" t="s">
        <v>17</v>
      </c>
      <c r="E209" s="148"/>
      <c r="F209" s="148"/>
      <c r="G209" s="151"/>
      <c r="H209" s="274" t="s">
        <v>12</v>
      </c>
      <c r="I209" s="418"/>
      <c r="J209" s="418"/>
      <c r="K209" s="279"/>
      <c r="L209" s="155">
        <f ca="1">L210+L211+L212</f>
        <v>42000</v>
      </c>
      <c r="M209" s="155"/>
      <c r="N209" s="155">
        <f>N210+N211+N212</f>
        <v>25480</v>
      </c>
      <c r="O209" s="155">
        <f ca="1">IF(L209&gt;0,N209*100/L209,0)</f>
        <v>60.666666666666664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>
      <c r="A210" s="159"/>
      <c r="B210" s="280"/>
      <c r="C210" s="33"/>
      <c r="D210" s="281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6">
        <f ca="1">IFERROR(__xludf.DUMMYFUNCTION("IMPORTRANGE(""https://docs.google.com/spreadsheets/d/1QqKyyYR6Q21VydFLVH3TRQUabQu_ym0Zz7PgGX0-kHA/edit?usp=sharing"",""แผน!AK55"")"),3000)</f>
        <v>3000</v>
      </c>
      <c r="M210" s="496"/>
      <c r="N210" s="817">
        <v>1480</v>
      </c>
      <c r="O210" s="496"/>
      <c r="P210" s="496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>
      <c r="A211" s="284"/>
      <c r="B211" s="280"/>
      <c r="C211" s="292"/>
      <c r="D211" s="281" t="s">
        <v>99</v>
      </c>
      <c r="E211" s="33"/>
      <c r="F211" s="33"/>
      <c r="G211" s="35"/>
      <c r="H211" s="161" t="s">
        <v>12</v>
      </c>
      <c r="I211" s="269"/>
      <c r="J211" s="269"/>
      <c r="K211" s="496"/>
      <c r="L211" s="496">
        <f ca="1">IFERROR(__xludf.DUMMYFUNCTION("IMPORTRANGE(""https://docs.google.com/spreadsheets/d/1QqKyyYR6Q21VydFLVH3TRQUabQu_ym0Zz7PgGX0-kHA/edit?usp=sharing"",""แผน!AL55"")"),15000)</f>
        <v>15000</v>
      </c>
      <c r="M211" s="496"/>
      <c r="N211" s="817">
        <v>0</v>
      </c>
      <c r="O211" s="496"/>
      <c r="P211" s="496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>
      <c r="A212" s="284"/>
      <c r="B212" s="280"/>
      <c r="C212" s="292"/>
      <c r="D212" s="281" t="s">
        <v>98</v>
      </c>
      <c r="E212" s="33"/>
      <c r="F212" s="33"/>
      <c r="G212" s="35"/>
      <c r="H212" s="161" t="s">
        <v>12</v>
      </c>
      <c r="I212" s="269"/>
      <c r="J212" s="269"/>
      <c r="K212" s="496"/>
      <c r="L212" s="496">
        <f ca="1">IFERROR(__xludf.DUMMYFUNCTION("IMPORTRANGE(""https://docs.google.com/spreadsheets/d/1QqKyyYR6Q21VydFLVH3TRQUabQu_ym0Zz7PgGX0-kHA/edit?usp=sharing"",""แผน!AM55"")"),24000)</f>
        <v>24000</v>
      </c>
      <c r="M212" s="496"/>
      <c r="N212" s="817">
        <v>24000</v>
      </c>
      <c r="O212" s="496"/>
      <c r="P212" s="496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>
      <c r="A213" s="170"/>
      <c r="B213" s="171"/>
      <c r="C213" s="292" t="s">
        <v>16</v>
      </c>
      <c r="D213" s="823" t="s">
        <v>38</v>
      </c>
      <c r="E213" s="173"/>
      <c r="F213" s="173"/>
      <c r="G213" s="174"/>
      <c r="H213" s="753"/>
      <c r="I213" s="184"/>
      <c r="J213" s="269"/>
      <c r="K213" s="496"/>
      <c r="L213" s="496"/>
      <c r="M213" s="496"/>
      <c r="N213" s="496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>
      <c r="A214" s="170"/>
      <c r="B214" s="171"/>
      <c r="C214" s="171"/>
      <c r="D214" s="176" t="s">
        <v>106</v>
      </c>
      <c r="E214" s="178"/>
      <c r="F214" s="178"/>
      <c r="G214" s="179"/>
      <c r="H214" s="753" t="s">
        <v>96</v>
      </c>
      <c r="I214" s="269">
        <f ca="1">IFERROR(__xludf.DUMMYFUNCTION("IMPORTRANGE(""https://docs.google.com/spreadsheets/d/1QqKyyYR6Q21VydFLVH3TRQUabQu_ym0Zz7PgGX0-kHA/edit?usp=sharing"",""แผน!AN55"")"),3)</f>
        <v>3</v>
      </c>
      <c r="J214" s="214">
        <v>0</v>
      </c>
      <c r="K214" s="496">
        <f t="shared" ref="K214:K216" ca="1" si="102">IF(I214&gt;0,J214*100/I214,0)</f>
        <v>0</v>
      </c>
      <c r="L214" s="496"/>
      <c r="M214" s="496"/>
      <c r="N214" s="496"/>
      <c r="O214" s="496"/>
      <c r="P214" s="496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>
      <c r="A215" s="170"/>
      <c r="B215" s="171"/>
      <c r="C215" s="171"/>
      <c r="D215" s="176" t="s">
        <v>107</v>
      </c>
      <c r="E215" s="178"/>
      <c r="F215" s="178"/>
      <c r="G215" s="179"/>
      <c r="H215" s="753" t="s">
        <v>96</v>
      </c>
      <c r="I215" s="269">
        <f ca="1">IFERROR(__xludf.DUMMYFUNCTION("IMPORTRANGE(""https://docs.google.com/spreadsheets/d/1QqKyyYR6Q21VydFLVH3TRQUabQu_ym0Zz7PgGX0-kHA/edit?usp=sharing"",""แผน!AN55"")"),3)</f>
        <v>3</v>
      </c>
      <c r="J215" s="214">
        <v>3</v>
      </c>
      <c r="K215" s="496">
        <f t="shared" ca="1" si="102"/>
        <v>100</v>
      </c>
      <c r="L215" s="496"/>
      <c r="M215" s="496"/>
      <c r="N215" s="496"/>
      <c r="O215" s="496"/>
      <c r="P215" s="496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5"/>
      <c r="B216" s="263"/>
      <c r="C216" s="270" t="s">
        <v>108</v>
      </c>
      <c r="D216" s="256"/>
      <c r="E216" s="256"/>
      <c r="F216" s="291"/>
      <c r="G216" s="258"/>
      <c r="H216" s="259" t="s">
        <v>109</v>
      </c>
      <c r="I216" s="271">
        <f t="shared" ref="I216:J216" ca="1" si="103">I224</f>
        <v>40000</v>
      </c>
      <c r="J216" s="271">
        <f t="shared" si="103"/>
        <v>0</v>
      </c>
      <c r="K216" s="272">
        <f t="shared" ca="1" si="102"/>
        <v>0</v>
      </c>
      <c r="L216" s="261"/>
      <c r="M216" s="261"/>
      <c r="N216" s="261"/>
      <c r="O216" s="261"/>
      <c r="P216" s="261"/>
    </row>
    <row r="217" spans="1:26" ht="19.5">
      <c r="A217" s="147"/>
      <c r="B217" s="148"/>
      <c r="C217" s="149" t="s">
        <v>16</v>
      </c>
      <c r="D217" s="826" t="s">
        <v>17</v>
      </c>
      <c r="E217" s="148"/>
      <c r="F217" s="148"/>
      <c r="G217" s="151"/>
      <c r="H217" s="274" t="s">
        <v>12</v>
      </c>
      <c r="I217" s="418"/>
      <c r="J217" s="418"/>
      <c r="K217" s="279"/>
      <c r="L217" s="155">
        <f ca="1">L218+L219+L220</f>
        <v>25000</v>
      </c>
      <c r="M217" s="155"/>
      <c r="N217" s="155">
        <f>N218+N219+N220</f>
        <v>10000</v>
      </c>
      <c r="O217" s="155">
        <f ca="1">IF(L217&gt;0,N217*100/L217,0)</f>
        <v>40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0"/>
      <c r="C218" s="33"/>
      <c r="D218" s="281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6">
        <f ca="1">IFERROR(__xludf.DUMMYFUNCTION("IMPORTRANGE(""https://docs.google.com/spreadsheets/d/1QqKyyYR6Q21VydFLVH3TRQUabQu_ym0Zz7PgGX0-kHA/edit?usp=sharing"",""แผน!AP55"")"),5000)</f>
        <v>5000</v>
      </c>
      <c r="M218" s="496"/>
      <c r="N218" s="817">
        <v>0</v>
      </c>
      <c r="O218" s="496"/>
      <c r="P218" s="496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4"/>
      <c r="B219" s="280"/>
      <c r="C219" s="292"/>
      <c r="D219" s="281" t="s">
        <v>110</v>
      </c>
      <c r="E219" s="33"/>
      <c r="F219" s="33"/>
      <c r="G219" s="35"/>
      <c r="H219" s="161" t="s">
        <v>12</v>
      </c>
      <c r="I219" s="269"/>
      <c r="J219" s="269"/>
      <c r="K219" s="496"/>
      <c r="L219" s="496">
        <f ca="1">IFERROR(__xludf.DUMMYFUNCTION("IMPORTRANGE(""https://docs.google.com/spreadsheets/d/1QqKyyYR6Q21VydFLVH3TRQUabQu_ym0Zz7PgGX0-kHA/edit?usp=sharing"",""แผน!AQ55"")"),10000)</f>
        <v>10000</v>
      </c>
      <c r="M219" s="496"/>
      <c r="N219" s="817">
        <v>0</v>
      </c>
      <c r="O219" s="496"/>
      <c r="P219" s="496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0"/>
      <c r="C220" s="292"/>
      <c r="D220" s="281" t="s">
        <v>98</v>
      </c>
      <c r="E220" s="33"/>
      <c r="F220" s="33"/>
      <c r="G220" s="35"/>
      <c r="H220" s="161" t="s">
        <v>12</v>
      </c>
      <c r="I220" s="269"/>
      <c r="J220" s="269"/>
      <c r="K220" s="496"/>
      <c r="L220" s="496">
        <f ca="1">IFERROR(__xludf.DUMMYFUNCTION("IMPORTRANGE(""https://docs.google.com/spreadsheets/d/1QqKyyYR6Q21VydFLVH3TRQUabQu_ym0Zz7PgGX0-kHA/edit?usp=sharing"",""แผน!AR55"")"),10000)</f>
        <v>10000</v>
      </c>
      <c r="M220" s="496"/>
      <c r="N220" s="817">
        <v>10000</v>
      </c>
      <c r="O220" s="496"/>
      <c r="P220" s="496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70"/>
      <c r="B221" s="171"/>
      <c r="C221" s="292" t="s">
        <v>16</v>
      </c>
      <c r="D221" s="823" t="s">
        <v>38</v>
      </c>
      <c r="E221" s="173"/>
      <c r="F221" s="173"/>
      <c r="G221" s="174"/>
      <c r="H221" s="753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1" t="s">
        <v>111</v>
      </c>
      <c r="E222" s="178"/>
      <c r="F222" s="178"/>
      <c r="G222" s="179"/>
      <c r="H222" s="753"/>
      <c r="I222" s="269"/>
      <c r="J222" s="269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55" t="s">
        <v>109</v>
      </c>
      <c r="I223" s="269">
        <f ca="1">IFERROR(__xludf.DUMMYFUNCTION("IMPORTRANGE(""https://docs.google.com/spreadsheets/d/1QqKyyYR6Q21VydFLVH3TRQUabQu_ym0Zz7PgGX0-kHA/edit?usp=sharing"",""แผน!AT55"")"),40000)</f>
        <v>40000</v>
      </c>
      <c r="J223" s="214">
        <v>0</v>
      </c>
      <c r="K223" s="163">
        <f t="shared" ref="K223:K226" ca="1" si="104">IF(I223&gt;0,J223*100/I223,0)</f>
        <v>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55" t="s">
        <v>109</v>
      </c>
      <c r="I224" s="269">
        <f ca="1">IFERROR(__xludf.DUMMYFUNCTION("IMPORTRANGE(""https://docs.google.com/spreadsheets/d/1QqKyyYR6Q21VydFLVH3TRQUabQu_ym0Zz7PgGX0-kHA/edit?usp=sharing"",""แผน!AT55"")"),40000)</f>
        <v>40000</v>
      </c>
      <c r="J224" s="214">
        <v>0</v>
      </c>
      <c r="K224" s="163">
        <f t="shared" ca="1" si="104"/>
        <v>0</v>
      </c>
      <c r="L224" s="496"/>
      <c r="M224" s="496"/>
      <c r="N224" s="496"/>
      <c r="O224" s="496"/>
      <c r="P224" s="496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1" t="s">
        <v>114</v>
      </c>
      <c r="E225" s="178"/>
      <c r="F225" s="178"/>
      <c r="G225" s="179"/>
      <c r="H225" s="755" t="s">
        <v>35</v>
      </c>
      <c r="I225" s="269">
        <f ca="1">IFERROR(__xludf.DUMMYFUNCTION("IMPORTRANGE(""https://docs.google.com/spreadsheets/d/1QqKyyYR6Q21VydFLVH3TRQUabQu_ym0Zz7PgGX0-kHA/edit?usp=sharing"",""แผน!AS55"")"),10)</f>
        <v>10</v>
      </c>
      <c r="J225" s="214">
        <v>10</v>
      </c>
      <c r="K225" s="163">
        <f t="shared" ca="1" si="104"/>
        <v>100</v>
      </c>
      <c r="L225" s="496"/>
      <c r="M225" s="496"/>
      <c r="N225" s="496"/>
      <c r="O225" s="496"/>
      <c r="P225" s="496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5"/>
      <c r="B226" s="263"/>
      <c r="C226" s="341" t="s">
        <v>115</v>
      </c>
      <c r="D226" s="256"/>
      <c r="E226" s="256"/>
      <c r="F226" s="256"/>
      <c r="G226" s="258"/>
      <c r="H226" s="265" t="s">
        <v>35</v>
      </c>
      <c r="I226" s="344">
        <f t="shared" ref="I226:J226" ca="1" si="105">I237+I248</f>
        <v>60</v>
      </c>
      <c r="J226" s="344">
        <f t="shared" si="105"/>
        <v>30</v>
      </c>
      <c r="K226" s="345">
        <f t="shared" ca="1" si="104"/>
        <v>50</v>
      </c>
      <c r="L226" s="261"/>
      <c r="M226" s="261"/>
      <c r="N226" s="261"/>
      <c r="O226" s="261"/>
      <c r="P226" s="261"/>
    </row>
    <row r="227" spans="1:26" ht="19.5" hidden="1">
      <c r="A227" s="347"/>
      <c r="B227" s="348"/>
      <c r="C227" s="349" t="s">
        <v>16</v>
      </c>
      <c r="D227" s="827" t="s">
        <v>17</v>
      </c>
      <c r="E227" s="348"/>
      <c r="F227" s="348"/>
      <c r="G227" s="351"/>
      <c r="H227" s="352" t="s">
        <v>12</v>
      </c>
      <c r="I227" s="353"/>
      <c r="J227" s="353"/>
      <c r="K227" s="354"/>
      <c r="L227" s="355">
        <f t="shared" ref="L227:L231" ca="1" si="106">L238+L249</f>
        <v>368000</v>
      </c>
      <c r="M227" s="355"/>
      <c r="N227" s="355">
        <f t="shared" ref="N227:N231" si="107">N238+N249</f>
        <v>54223.34</v>
      </c>
      <c r="O227" s="828"/>
      <c r="P227" s="828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6"/>
      <c r="C228" s="40"/>
      <c r="D228" s="222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183000</v>
      </c>
      <c r="M228" s="93"/>
      <c r="N228" s="93">
        <f t="shared" si="107"/>
        <v>36883.339999999997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8"/>
      <c r="B229" s="356"/>
      <c r="C229" s="359"/>
      <c r="D229" s="222" t="s">
        <v>98</v>
      </c>
      <c r="E229" s="40"/>
      <c r="F229" s="40"/>
      <c r="G229" s="42"/>
      <c r="H229" s="165" t="s">
        <v>12</v>
      </c>
      <c r="I229" s="610"/>
      <c r="J229" s="610"/>
      <c r="K229" s="93"/>
      <c r="L229" s="93">
        <f t="shared" ca="1" si="106"/>
        <v>70000</v>
      </c>
      <c r="M229" s="93"/>
      <c r="N229" s="93">
        <f t="shared" si="107"/>
        <v>17340</v>
      </c>
      <c r="O229" s="93"/>
      <c r="P229" s="93"/>
      <c r="Q229" s="360"/>
      <c r="R229" s="360"/>
      <c r="S229" s="360"/>
      <c r="T229" s="360"/>
      <c r="U229" s="360"/>
      <c r="V229" s="360"/>
      <c r="W229" s="360"/>
      <c r="X229" s="360"/>
      <c r="Y229" s="360"/>
      <c r="Z229" s="360"/>
    </row>
    <row r="230" spans="1:26" ht="19.5" hidden="1">
      <c r="A230" s="358"/>
      <c r="B230" s="356"/>
      <c r="C230" s="359"/>
      <c r="D230" s="222" t="s">
        <v>116</v>
      </c>
      <c r="E230" s="40"/>
      <c r="F230" s="40"/>
      <c r="G230" s="42"/>
      <c r="H230" s="165" t="s">
        <v>12</v>
      </c>
      <c r="I230" s="610"/>
      <c r="J230" s="610"/>
      <c r="K230" s="93"/>
      <c r="L230" s="93">
        <f t="shared" ca="1" si="106"/>
        <v>95000</v>
      </c>
      <c r="M230" s="93"/>
      <c r="N230" s="93">
        <f t="shared" si="107"/>
        <v>0</v>
      </c>
      <c r="O230" s="93"/>
      <c r="P230" s="93"/>
      <c r="Q230" s="360"/>
      <c r="R230" s="360"/>
      <c r="S230" s="360"/>
      <c r="T230" s="360"/>
      <c r="U230" s="360"/>
      <c r="V230" s="360"/>
      <c r="W230" s="360"/>
      <c r="X230" s="360"/>
      <c r="Y230" s="360"/>
      <c r="Z230" s="360"/>
    </row>
    <row r="231" spans="1:26" ht="19.5" hidden="1">
      <c r="A231" s="358"/>
      <c r="B231" s="356"/>
      <c r="C231" s="359"/>
      <c r="D231" s="222" t="s">
        <v>100</v>
      </c>
      <c r="E231" s="40"/>
      <c r="F231" s="40"/>
      <c r="G231" s="42"/>
      <c r="H231" s="165" t="s">
        <v>12</v>
      </c>
      <c r="I231" s="610"/>
      <c r="J231" s="610"/>
      <c r="K231" s="93"/>
      <c r="L231" s="93">
        <f t="shared" ca="1" si="106"/>
        <v>20000</v>
      </c>
      <c r="M231" s="93"/>
      <c r="N231" s="93">
        <f t="shared" si="107"/>
        <v>0</v>
      </c>
      <c r="O231" s="93"/>
      <c r="P231" s="93"/>
      <c r="Q231" s="360"/>
      <c r="R231" s="360"/>
      <c r="S231" s="360"/>
      <c r="T231" s="360"/>
      <c r="U231" s="360"/>
      <c r="V231" s="360"/>
      <c r="W231" s="360"/>
      <c r="X231" s="360"/>
      <c r="Y231" s="360"/>
      <c r="Z231" s="360"/>
    </row>
    <row r="232" spans="1:26" ht="19.5" hidden="1">
      <c r="A232" s="361"/>
      <c r="B232" s="362"/>
      <c r="C232" s="359" t="s">
        <v>16</v>
      </c>
      <c r="D232" s="266" t="s">
        <v>38</v>
      </c>
      <c r="E232" s="363"/>
      <c r="F232" s="363"/>
      <c r="G232" s="364"/>
      <c r="H232" s="365"/>
      <c r="I232" s="166"/>
      <c r="J232" s="610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1"/>
      <c r="B233" s="362"/>
      <c r="C233" s="362"/>
      <c r="D233" s="366" t="s">
        <v>117</v>
      </c>
      <c r="E233" s="372"/>
      <c r="F233" s="372"/>
      <c r="G233" s="368"/>
      <c r="H233" s="369" t="s">
        <v>35</v>
      </c>
      <c r="I233" s="610">
        <f t="shared" ref="I233:J233" ca="1" si="108">I244+I255</f>
        <v>60</v>
      </c>
      <c r="J233" s="610">
        <f t="shared" si="108"/>
        <v>30</v>
      </c>
      <c r="K233" s="93">
        <f ca="1">IF(I233&gt;0,J233*100/I233,0)</f>
        <v>50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1"/>
      <c r="B234" s="362"/>
      <c r="C234" s="362"/>
      <c r="D234" s="371" t="s">
        <v>43</v>
      </c>
      <c r="E234" s="372"/>
      <c r="F234" s="372"/>
      <c r="G234" s="368"/>
      <c r="H234" s="369"/>
      <c r="I234" s="610"/>
      <c r="J234" s="610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1"/>
      <c r="B235" s="362"/>
      <c r="C235" s="362"/>
      <c r="D235" s="362"/>
      <c r="E235" s="373" t="s">
        <v>118</v>
      </c>
      <c r="F235" s="372"/>
      <c r="G235" s="368"/>
      <c r="H235" s="369" t="s">
        <v>35</v>
      </c>
      <c r="I235" s="610">
        <f t="shared" ref="I235:J236" si="109">I246+I257</f>
        <v>60</v>
      </c>
      <c r="J235" s="610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1"/>
      <c r="B236" s="362"/>
      <c r="C236" s="362"/>
      <c r="D236" s="362"/>
      <c r="E236" s="373" t="s">
        <v>119</v>
      </c>
      <c r="F236" s="372"/>
      <c r="G236" s="368"/>
      <c r="H236" s="369" t="s">
        <v>69</v>
      </c>
      <c r="I236" s="610">
        <f t="shared" si="109"/>
        <v>2</v>
      </c>
      <c r="J236" s="610">
        <f t="shared" si="109"/>
        <v>0</v>
      </c>
      <c r="K236" s="93">
        <f t="shared" si="110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>
      <c r="A237" s="255"/>
      <c r="B237" s="263"/>
      <c r="C237" s="270" t="s">
        <v>335</v>
      </c>
      <c r="D237" s="256"/>
      <c r="E237" s="256"/>
      <c r="F237" s="256"/>
      <c r="G237" s="258"/>
      <c r="H237" s="259" t="s">
        <v>35</v>
      </c>
      <c r="I237" s="271">
        <f t="shared" ref="I237:J237" ca="1" si="111">I244</f>
        <v>30</v>
      </c>
      <c r="J237" s="271">
        <f t="shared" si="111"/>
        <v>30</v>
      </c>
      <c r="K237" s="272">
        <f t="shared" ca="1" si="110"/>
        <v>100</v>
      </c>
      <c r="L237" s="261"/>
      <c r="M237" s="261"/>
      <c r="N237" s="261"/>
      <c r="O237" s="261"/>
      <c r="P237" s="261"/>
    </row>
    <row r="238" spans="1:26" ht="19.5">
      <c r="A238" s="147"/>
      <c r="B238" s="148"/>
      <c r="C238" s="149" t="s">
        <v>16</v>
      </c>
      <c r="D238" s="822" t="s">
        <v>17</v>
      </c>
      <c r="E238" s="148"/>
      <c r="F238" s="148"/>
      <c r="G238" s="151"/>
      <c r="H238" s="274" t="s">
        <v>12</v>
      </c>
      <c r="I238" s="418"/>
      <c r="J238" s="418"/>
      <c r="K238" s="279"/>
      <c r="L238" s="155">
        <f ca="1">L239+L240+L241+L242</f>
        <v>239900</v>
      </c>
      <c r="M238" s="155"/>
      <c r="N238" s="155">
        <f>N239+N240+N241+N242</f>
        <v>50493.34</v>
      </c>
      <c r="O238" s="155">
        <f ca="1">IF(L238&gt;0,N238*100/L238,0)</f>
        <v>21.047661525635682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>
      <c r="A239" s="314"/>
      <c r="B239" s="315"/>
      <c r="C239" s="316"/>
      <c r="D239" s="324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282">
        <f ca="1">IFERROR(__xludf.DUMMYFUNCTION("IMPORTRANGE(""https://docs.google.com/spreadsheets/d/1QqKyyYR6Q21VydFLVH3TRQUabQu_ym0Zz7PgGX0-kHA/edit?usp=sharing"",""แผน!AV55"")"),163000)</f>
        <v>163000</v>
      </c>
      <c r="M239" s="282"/>
      <c r="N239" s="829">
        <f>25133.34+8020</f>
        <v>33153.339999999997</v>
      </c>
      <c r="O239" s="282"/>
      <c r="P239" s="28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>
      <c r="A240" s="322"/>
      <c r="B240" s="315"/>
      <c r="C240" s="323"/>
      <c r="D240" s="324" t="s">
        <v>98</v>
      </c>
      <c r="E240" s="316"/>
      <c r="F240" s="316"/>
      <c r="G240" s="318"/>
      <c r="H240" s="319" t="s">
        <v>12</v>
      </c>
      <c r="I240" s="325"/>
      <c r="J240" s="325"/>
      <c r="K240" s="282"/>
      <c r="L240" s="282">
        <f ca="1">IFERROR(__xludf.DUMMYFUNCTION("IMPORTRANGE(""https://docs.google.com/spreadsheets/d/1QqKyyYR6Q21VydFLVH3TRQUabQu_ym0Zz7PgGX0-kHA/edit?usp=sharing"",""แผน!AW55"")"),31900)</f>
        <v>31900</v>
      </c>
      <c r="M240" s="282"/>
      <c r="N240" s="829">
        <v>17340</v>
      </c>
      <c r="O240" s="282"/>
      <c r="P240" s="282"/>
      <c r="Q240" s="326"/>
      <c r="R240" s="326"/>
      <c r="S240" s="326"/>
      <c r="T240" s="326"/>
      <c r="U240" s="326"/>
      <c r="V240" s="326"/>
      <c r="W240" s="326"/>
      <c r="X240" s="326"/>
      <c r="Y240" s="326"/>
      <c r="Z240" s="326"/>
    </row>
    <row r="241" spans="1:26" ht="19.5">
      <c r="A241" s="322"/>
      <c r="B241" s="315"/>
      <c r="C241" s="323"/>
      <c r="D241" s="324" t="s">
        <v>116</v>
      </c>
      <c r="E241" s="316"/>
      <c r="F241" s="316"/>
      <c r="G241" s="318"/>
      <c r="H241" s="319" t="s">
        <v>12</v>
      </c>
      <c r="I241" s="325"/>
      <c r="J241" s="325"/>
      <c r="K241" s="282"/>
      <c r="L241" s="282">
        <f ca="1">IFERROR(__xludf.DUMMYFUNCTION("IMPORTRANGE(""https://docs.google.com/spreadsheets/d/1QqKyyYR6Q21VydFLVH3TRQUabQu_ym0Zz7PgGX0-kHA/edit?usp=sharing"",""แผน!AX55"")"),35000)</f>
        <v>35000</v>
      </c>
      <c r="M241" s="282"/>
      <c r="N241" s="829">
        <v>0</v>
      </c>
      <c r="O241" s="282"/>
      <c r="P241" s="282"/>
      <c r="Q241" s="326"/>
      <c r="R241" s="326"/>
      <c r="S241" s="326"/>
      <c r="T241" s="326"/>
      <c r="U241" s="326"/>
      <c r="V241" s="326"/>
      <c r="W241" s="326"/>
      <c r="X241" s="326"/>
      <c r="Y241" s="326"/>
      <c r="Z241" s="326"/>
    </row>
    <row r="242" spans="1:26" ht="19.5">
      <c r="A242" s="322"/>
      <c r="B242" s="315"/>
      <c r="C242" s="323"/>
      <c r="D242" s="324" t="s">
        <v>100</v>
      </c>
      <c r="E242" s="316"/>
      <c r="F242" s="316"/>
      <c r="G242" s="318"/>
      <c r="H242" s="319" t="s">
        <v>12</v>
      </c>
      <c r="I242" s="325"/>
      <c r="J242" s="325"/>
      <c r="K242" s="282"/>
      <c r="L242" s="282">
        <f ca="1">IFERROR(__xludf.DUMMYFUNCTION("IMPORTRANGE(""https://docs.google.com/spreadsheets/d/1QqKyyYR6Q21VydFLVH3TRQUabQu_ym0Zz7PgGX0-kHA/edit?usp=sharing"",""แผน!AY55"")"),10000)</f>
        <v>10000</v>
      </c>
      <c r="M242" s="282"/>
      <c r="N242" s="829">
        <v>0</v>
      </c>
      <c r="O242" s="282"/>
      <c r="P242" s="282"/>
      <c r="Q242" s="326"/>
      <c r="R242" s="326"/>
      <c r="S242" s="326"/>
      <c r="T242" s="326"/>
      <c r="U242" s="326"/>
      <c r="V242" s="326"/>
      <c r="W242" s="326"/>
      <c r="X242" s="326"/>
      <c r="Y242" s="326"/>
      <c r="Z242" s="326"/>
    </row>
    <row r="243" spans="1:26" ht="19.5">
      <c r="A243" s="170"/>
      <c r="B243" s="171"/>
      <c r="C243" s="292" t="s">
        <v>16</v>
      </c>
      <c r="D243" s="823" t="s">
        <v>38</v>
      </c>
      <c r="E243" s="173"/>
      <c r="F243" s="173"/>
      <c r="G243" s="174"/>
      <c r="H243" s="753"/>
      <c r="I243" s="184"/>
      <c r="J243" s="269"/>
      <c r="K243" s="496"/>
      <c r="L243" s="496"/>
      <c r="M243" s="496"/>
      <c r="N243" s="496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>
      <c r="A244" s="170"/>
      <c r="B244" s="171"/>
      <c r="C244" s="171"/>
      <c r="D244" s="446" t="s">
        <v>117</v>
      </c>
      <c r="E244" s="178"/>
      <c r="F244" s="178"/>
      <c r="G244" s="179"/>
      <c r="H244" s="755" t="s">
        <v>35</v>
      </c>
      <c r="I244" s="269">
        <f ca="1">IFERROR(__xludf.DUMMYFUNCTION("IMPORTRANGE(""https://docs.google.com/spreadsheets/d/1QqKyyYR6Q21VydFLVH3TRQUabQu_ym0Zz7PgGX0-kHA/edit?usp=sharing"",""แผน!BE55"")"),30)</f>
        <v>30</v>
      </c>
      <c r="J244" s="214">
        <v>30</v>
      </c>
      <c r="K244" s="496">
        <f ca="1">IF(I244&gt;0,J244*100/I244,0)</f>
        <v>100</v>
      </c>
      <c r="L244" s="496"/>
      <c r="M244" s="496"/>
      <c r="N244" s="496"/>
      <c r="O244" s="496"/>
      <c r="P244" s="496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>
      <c r="A245" s="170"/>
      <c r="B245" s="171"/>
      <c r="C245" s="171"/>
      <c r="D245" s="830" t="s">
        <v>43</v>
      </c>
      <c r="E245" s="178"/>
      <c r="F245" s="178"/>
      <c r="G245" s="179"/>
      <c r="H245" s="755"/>
      <c r="I245" s="269"/>
      <c r="J245" s="269"/>
      <c r="K245" s="496"/>
      <c r="L245" s="496"/>
      <c r="M245" s="496"/>
      <c r="N245" s="496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>
      <c r="A246" s="170"/>
      <c r="B246" s="171"/>
      <c r="C246" s="171"/>
      <c r="D246" s="171"/>
      <c r="E246" s="176" t="s">
        <v>118</v>
      </c>
      <c r="F246" s="178"/>
      <c r="G246" s="179"/>
      <c r="H246" s="755" t="s">
        <v>35</v>
      </c>
      <c r="I246" s="269">
        <v>30</v>
      </c>
      <c r="J246" s="214">
        <v>0</v>
      </c>
      <c r="K246" s="496">
        <f t="shared" ref="K246:K248" si="112">IF(I246&gt;0,J246*100/I246,0)</f>
        <v>0</v>
      </c>
      <c r="L246" s="496"/>
      <c r="M246" s="496"/>
      <c r="N246" s="496"/>
      <c r="O246" s="496"/>
      <c r="P246" s="496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>
      <c r="A247" s="170"/>
      <c r="B247" s="171"/>
      <c r="C247" s="171"/>
      <c r="D247" s="171"/>
      <c r="E247" s="176" t="s">
        <v>119</v>
      </c>
      <c r="F247" s="178"/>
      <c r="G247" s="179"/>
      <c r="H247" s="755" t="s">
        <v>69</v>
      </c>
      <c r="I247" s="269">
        <v>1</v>
      </c>
      <c r="J247" s="214">
        <v>0</v>
      </c>
      <c r="K247" s="496">
        <f t="shared" si="112"/>
        <v>0</v>
      </c>
      <c r="L247" s="496"/>
      <c r="M247" s="496"/>
      <c r="N247" s="496"/>
      <c r="O247" s="496"/>
      <c r="P247" s="496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>
      <c r="A248" s="255"/>
      <c r="B248" s="263"/>
      <c r="C248" s="270" t="s">
        <v>336</v>
      </c>
      <c r="D248" s="256"/>
      <c r="E248" s="256"/>
      <c r="F248" s="256"/>
      <c r="G248" s="258"/>
      <c r="H248" s="259" t="s">
        <v>35</v>
      </c>
      <c r="I248" s="271">
        <f t="shared" ref="I248:J248" ca="1" si="113">I255</f>
        <v>30</v>
      </c>
      <c r="J248" s="271">
        <f t="shared" si="113"/>
        <v>0</v>
      </c>
      <c r="K248" s="272">
        <f t="shared" ca="1" si="112"/>
        <v>0</v>
      </c>
      <c r="L248" s="261"/>
      <c r="M248" s="261"/>
      <c r="N248" s="261"/>
      <c r="O248" s="261"/>
      <c r="P248" s="261"/>
    </row>
    <row r="249" spans="1:26" ht="19.5">
      <c r="A249" s="147"/>
      <c r="B249" s="148"/>
      <c r="C249" s="149" t="s">
        <v>16</v>
      </c>
      <c r="D249" s="826" t="s">
        <v>17</v>
      </c>
      <c r="E249" s="148"/>
      <c r="F249" s="148"/>
      <c r="G249" s="151"/>
      <c r="H249" s="274" t="s">
        <v>12</v>
      </c>
      <c r="I249" s="418"/>
      <c r="J249" s="418"/>
      <c r="K249" s="279"/>
      <c r="L249" s="155">
        <f ca="1">L250+L251+L252+L253</f>
        <v>128100</v>
      </c>
      <c r="M249" s="155"/>
      <c r="N249" s="155">
        <f>N250+N251+N252+N253</f>
        <v>3730</v>
      </c>
      <c r="O249" s="155">
        <f ca="1">IF(L249&gt;0,N249*100/L249,0)</f>
        <v>2.9117876658860267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>
      <c r="A250" s="314"/>
      <c r="B250" s="315"/>
      <c r="C250" s="316"/>
      <c r="D250" s="324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282">
        <f ca="1">IFERROR(__xludf.DUMMYFUNCTION("IMPORTRANGE(""https://docs.google.com/spreadsheets/d/1QqKyyYR6Q21VydFLVH3TRQUabQu_ym0Zz7PgGX0-kHA/edit?usp=sharing"",""แผน!AZ55"")"),20000)</f>
        <v>20000</v>
      </c>
      <c r="M250" s="282"/>
      <c r="N250" s="829">
        <v>3730</v>
      </c>
      <c r="O250" s="282"/>
      <c r="P250" s="282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9.5">
      <c r="A251" s="322"/>
      <c r="B251" s="315"/>
      <c r="C251" s="323"/>
      <c r="D251" s="324" t="s">
        <v>98</v>
      </c>
      <c r="E251" s="316"/>
      <c r="F251" s="316"/>
      <c r="G251" s="318"/>
      <c r="H251" s="319" t="s">
        <v>12</v>
      </c>
      <c r="I251" s="325"/>
      <c r="J251" s="325"/>
      <c r="K251" s="282"/>
      <c r="L251" s="282">
        <f ca="1">IFERROR(__xludf.DUMMYFUNCTION("IMPORTRANGE(""https://docs.google.com/spreadsheets/d/1QqKyyYR6Q21VydFLVH3TRQUabQu_ym0Zz7PgGX0-kHA/edit?usp=sharing"",""แผน!BA55"")"),38100)</f>
        <v>38100</v>
      </c>
      <c r="M251" s="282"/>
      <c r="N251" s="829">
        <v>0</v>
      </c>
      <c r="O251" s="282"/>
      <c r="P251" s="282"/>
      <c r="Q251" s="326"/>
      <c r="R251" s="326"/>
      <c r="S251" s="326"/>
      <c r="T251" s="326"/>
      <c r="U251" s="326"/>
      <c r="V251" s="326"/>
      <c r="W251" s="326"/>
      <c r="X251" s="326"/>
      <c r="Y251" s="326"/>
      <c r="Z251" s="326"/>
    </row>
    <row r="252" spans="1:26" ht="19.5">
      <c r="A252" s="322"/>
      <c r="B252" s="315"/>
      <c r="C252" s="323"/>
      <c r="D252" s="324" t="s">
        <v>116</v>
      </c>
      <c r="E252" s="316"/>
      <c r="F252" s="316"/>
      <c r="G252" s="318"/>
      <c r="H252" s="319" t="s">
        <v>12</v>
      </c>
      <c r="I252" s="325"/>
      <c r="J252" s="325"/>
      <c r="K252" s="282"/>
      <c r="L252" s="282">
        <f ca="1">IFERROR(__xludf.DUMMYFUNCTION("IMPORTRANGE(""https://docs.google.com/spreadsheets/d/1QqKyyYR6Q21VydFLVH3TRQUabQu_ym0Zz7PgGX0-kHA/edit?usp=sharing"",""แผน!BB55"")"),60000)</f>
        <v>60000</v>
      </c>
      <c r="M252" s="282"/>
      <c r="N252" s="829">
        <v>0</v>
      </c>
      <c r="O252" s="282"/>
      <c r="P252" s="282"/>
      <c r="Q252" s="326"/>
      <c r="R252" s="326"/>
      <c r="S252" s="326"/>
      <c r="T252" s="326"/>
      <c r="U252" s="326"/>
      <c r="V252" s="326"/>
      <c r="W252" s="326"/>
      <c r="X252" s="326"/>
      <c r="Y252" s="326"/>
      <c r="Z252" s="326"/>
    </row>
    <row r="253" spans="1:26" ht="19.5">
      <c r="A253" s="322"/>
      <c r="B253" s="315"/>
      <c r="C253" s="323"/>
      <c r="D253" s="324" t="s">
        <v>100</v>
      </c>
      <c r="E253" s="316"/>
      <c r="F253" s="316"/>
      <c r="G253" s="318"/>
      <c r="H253" s="319" t="s">
        <v>12</v>
      </c>
      <c r="I253" s="325"/>
      <c r="J253" s="325"/>
      <c r="K253" s="282"/>
      <c r="L253" s="282">
        <f ca="1">IFERROR(__xludf.DUMMYFUNCTION("IMPORTRANGE(""https://docs.google.com/spreadsheets/d/1QqKyyYR6Q21VydFLVH3TRQUabQu_ym0Zz7PgGX0-kHA/edit?usp=sharing"",""แผน!BC55"")"),10000)</f>
        <v>10000</v>
      </c>
      <c r="M253" s="282"/>
      <c r="N253" s="829">
        <v>0</v>
      </c>
      <c r="O253" s="282"/>
      <c r="P253" s="282"/>
      <c r="Q253" s="326"/>
      <c r="R253" s="326"/>
      <c r="S253" s="326"/>
      <c r="T253" s="326"/>
      <c r="U253" s="326"/>
      <c r="V253" s="326"/>
      <c r="W253" s="326"/>
      <c r="X253" s="326"/>
      <c r="Y253" s="326"/>
      <c r="Z253" s="326"/>
    </row>
    <row r="254" spans="1:26" ht="19.5">
      <c r="A254" s="170"/>
      <c r="B254" s="171"/>
      <c r="C254" s="292" t="s">
        <v>16</v>
      </c>
      <c r="D254" s="823" t="s">
        <v>38</v>
      </c>
      <c r="E254" s="173"/>
      <c r="F254" s="173"/>
      <c r="G254" s="174"/>
      <c r="H254" s="753"/>
      <c r="I254" s="184"/>
      <c r="J254" s="269"/>
      <c r="K254" s="496"/>
      <c r="L254" s="496"/>
      <c r="M254" s="496"/>
      <c r="N254" s="496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>
      <c r="A255" s="170"/>
      <c r="B255" s="171"/>
      <c r="C255" s="171"/>
      <c r="D255" s="446" t="s">
        <v>117</v>
      </c>
      <c r="E255" s="178"/>
      <c r="F255" s="178"/>
      <c r="G255" s="179"/>
      <c r="H255" s="755" t="s">
        <v>35</v>
      </c>
      <c r="I255" s="269">
        <f ca="1">IFERROR(__xludf.DUMMYFUNCTION("IMPORTRANGE(""https://docs.google.com/spreadsheets/d/1QqKyyYR6Q21VydFLVH3TRQUabQu_ym0Zz7PgGX0-kHA/edit?usp=sharing"",""แผน!BF55"")"),30)</f>
        <v>30</v>
      </c>
      <c r="J255" s="214">
        <v>0</v>
      </c>
      <c r="K255" s="496">
        <f ca="1">IF(I255&gt;0,J255*100/I255,0)</f>
        <v>0</v>
      </c>
      <c r="L255" s="496"/>
      <c r="M255" s="496"/>
      <c r="N255" s="496"/>
      <c r="O255" s="496"/>
      <c r="P255" s="496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>
      <c r="A256" s="170"/>
      <c r="B256" s="171"/>
      <c r="C256" s="171"/>
      <c r="D256" s="830" t="s">
        <v>43</v>
      </c>
      <c r="E256" s="178"/>
      <c r="F256" s="178"/>
      <c r="G256" s="179"/>
      <c r="H256" s="755"/>
      <c r="I256" s="269"/>
      <c r="J256" s="269"/>
      <c r="K256" s="496"/>
      <c r="L256" s="496"/>
      <c r="M256" s="496"/>
      <c r="N256" s="496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>
      <c r="A257" s="170"/>
      <c r="B257" s="171"/>
      <c r="C257" s="171"/>
      <c r="D257" s="171"/>
      <c r="E257" s="176" t="s">
        <v>118</v>
      </c>
      <c r="F257" s="178"/>
      <c r="G257" s="179"/>
      <c r="H257" s="755" t="s">
        <v>35</v>
      </c>
      <c r="I257" s="269">
        <v>30</v>
      </c>
      <c r="J257" s="214">
        <v>0</v>
      </c>
      <c r="K257" s="496">
        <f t="shared" ref="K257:K258" si="114">IF(I257&gt;0,J257*100/I257,0)</f>
        <v>0</v>
      </c>
      <c r="L257" s="496"/>
      <c r="M257" s="496"/>
      <c r="N257" s="496"/>
      <c r="O257" s="496"/>
      <c r="P257" s="496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>
      <c r="A258" s="170"/>
      <c r="B258" s="171"/>
      <c r="C258" s="171"/>
      <c r="D258" s="171"/>
      <c r="E258" s="176" t="s">
        <v>119</v>
      </c>
      <c r="F258" s="178"/>
      <c r="G258" s="179"/>
      <c r="H258" s="755" t="s">
        <v>69</v>
      </c>
      <c r="I258" s="269">
        <v>1</v>
      </c>
      <c r="J258" s="214">
        <v>0</v>
      </c>
      <c r="K258" s="496">
        <f t="shared" si="114"/>
        <v>0</v>
      </c>
      <c r="L258" s="496"/>
      <c r="M258" s="496"/>
      <c r="N258" s="496"/>
      <c r="O258" s="496"/>
      <c r="P258" s="496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1" t="s">
        <v>122</v>
      </c>
      <c r="B259" s="242"/>
      <c r="C259" s="242"/>
      <c r="D259" s="243"/>
      <c r="E259" s="243"/>
      <c r="F259" s="243"/>
      <c r="G259" s="244"/>
      <c r="H259" s="245"/>
      <c r="I259" s="246"/>
      <c r="J259" s="246"/>
      <c r="K259" s="247"/>
      <c r="L259" s="247"/>
      <c r="M259" s="247"/>
      <c r="N259" s="247"/>
      <c r="O259" s="247"/>
      <c r="P259" s="247"/>
    </row>
    <row r="260" spans="1:26" ht="19.5">
      <c r="A260" s="248"/>
      <c r="B260" s="249" t="s">
        <v>123</v>
      </c>
      <c r="C260" s="250"/>
      <c r="D260" s="173"/>
      <c r="E260" s="173"/>
      <c r="F260" s="173"/>
      <c r="G260" s="174"/>
      <c r="H260" s="251" t="s">
        <v>35</v>
      </c>
      <c r="I260" s="252">
        <f t="shared" ref="I260:J260" ca="1" si="115">I271</f>
        <v>22</v>
      </c>
      <c r="J260" s="252">
        <f t="shared" si="115"/>
        <v>0</v>
      </c>
      <c r="K260" s="253">
        <f ca="1">IF(I260&gt;0,J260*100/I260,0)</f>
        <v>0</v>
      </c>
      <c r="L260" s="254"/>
      <c r="M260" s="254"/>
      <c r="N260" s="254"/>
      <c r="O260" s="254"/>
      <c r="P260" s="254"/>
    </row>
    <row r="261" spans="1:26" ht="19.5">
      <c r="A261" s="147"/>
      <c r="B261" s="148"/>
      <c r="C261" s="149" t="s">
        <v>16</v>
      </c>
      <c r="D261" s="822" t="s">
        <v>17</v>
      </c>
      <c r="E261" s="148"/>
      <c r="F261" s="148"/>
      <c r="G261" s="151"/>
      <c r="H261" s="152" t="s">
        <v>12</v>
      </c>
      <c r="I261" s="419"/>
      <c r="J261" s="419"/>
      <c r="K261" s="154"/>
      <c r="L261" s="155">
        <f t="shared" ref="L261:N261" ca="1" si="116">L262+L263</f>
        <v>26900</v>
      </c>
      <c r="M261" s="155">
        <f t="shared" ca="1" si="116"/>
        <v>0</v>
      </c>
      <c r="N261" s="155">
        <f t="shared" ca="1" si="116"/>
        <v>0</v>
      </c>
      <c r="O261" s="155">
        <f t="shared" ref="O261:O269" ca="1" si="117">IF(L261&gt;0,N261*100/L261,0)</f>
        <v>0</v>
      </c>
      <c r="P261" s="155">
        <f t="shared" ref="P261:P269" ca="1" si="118">IF(M261&gt;0,N261*100/M261,0)</f>
        <v>0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2" t="s">
        <v>18</v>
      </c>
      <c r="F262" s="40"/>
      <c r="G262" s="157"/>
      <c r="H262" s="158" t="s">
        <v>12</v>
      </c>
      <c r="I262" s="610"/>
      <c r="J262" s="610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2" t="s">
        <v>19</v>
      </c>
      <c r="F263" s="40"/>
      <c r="G263" s="157"/>
      <c r="H263" s="158" t="s">
        <v>12</v>
      </c>
      <c r="I263" s="610"/>
      <c r="J263" s="610"/>
      <c r="K263" s="93"/>
      <c r="L263" s="93">
        <f t="shared" ca="1" si="119"/>
        <v>26900</v>
      </c>
      <c r="M263" s="93">
        <f t="shared" ca="1" si="119"/>
        <v>0</v>
      </c>
      <c r="N263" s="93">
        <f t="shared" ca="1" si="119"/>
        <v>0</v>
      </c>
      <c r="O263" s="93">
        <f t="shared" ca="1" si="117"/>
        <v>0</v>
      </c>
      <c r="P263" s="93">
        <f t="shared" ca="1" si="118"/>
        <v>0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1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6">
        <f t="shared" ref="L264:N264" ca="1" si="120">L265+L266</f>
        <v>26900</v>
      </c>
      <c r="M264" s="496">
        <f t="shared" ca="1" si="120"/>
        <v>0</v>
      </c>
      <c r="N264" s="496">
        <f t="shared" ca="1" si="120"/>
        <v>0</v>
      </c>
      <c r="O264" s="496">
        <f t="shared" ca="1" si="117"/>
        <v>0</v>
      </c>
      <c r="P264" s="496">
        <f t="shared" ca="1" si="118"/>
        <v>0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2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2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IFERROR(__xludf.DUMMYFUNCTION("IMPORTRANGE(""https://docs.google.com/spreadsheets/d/1MeEWN-I1oV_STSDYn1IFDPWt_1FKiwhDph83XaGc0o0/edit?usp=sharing"",""งบพรบ!CY55"")"),26900)</f>
        <v>26900</v>
      </c>
      <c r="M266" s="93">
        <f ca="1">IFERROR(__xludf.DUMMYFUNCTION("IMPORTRANGE(""https://docs.google.com/spreadsheets/d/1MeEWN-I1oV_STSDYn1IFDPWt_1FKiwhDph83XaGc0o0/edit?usp=sharing"",""งบพรบ!DD55"")"),0)</f>
        <v>0</v>
      </c>
      <c r="N266" s="93">
        <f ca="1">IFERROR(__xludf.DUMMYFUNCTION("IMPORTRANGE(""https://docs.google.com/spreadsheets/d/1MeEWN-I1oV_STSDYn1IFDPWt_1FKiwhDph83XaGc0o0/edit?usp=sharing"",""งบพรบ!DF55"")"),0)</f>
        <v>0</v>
      </c>
      <c r="O266" s="93">
        <f t="shared" ca="1" si="117"/>
        <v>0</v>
      </c>
      <c r="P266" s="93">
        <f t="shared" ca="1" si="118"/>
        <v>0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1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6">
        <f t="shared" ref="L267:N267" ca="1" si="121">L268+L269</f>
        <v>0</v>
      </c>
      <c r="M267" s="496">
        <f t="shared" ca="1" si="121"/>
        <v>0</v>
      </c>
      <c r="N267" s="496">
        <f t="shared" ca="1" si="121"/>
        <v>0</v>
      </c>
      <c r="O267" s="496">
        <f t="shared" ca="1" si="117"/>
        <v>0</v>
      </c>
      <c r="P267" s="496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2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2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IFERROR(__xludf.DUMMYFUNCTION("IMPORTRANGE(""https://docs.google.com/spreadsheets/d/1MeEWN-I1oV_STSDYn1IFDPWt_1FKiwhDph83XaGc0o0/edit?usp=sharing"",""งบพรบ!DB55"")"),0)</f>
        <v>0</v>
      </c>
      <c r="M269" s="93">
        <f ca="1">IFERROR(__xludf.DUMMYFUNCTION("IMPORTRANGE(""https://docs.google.com/spreadsheets/d/1MeEWN-I1oV_STSDYn1IFDPWt_1FKiwhDph83XaGc0o0/edit?usp=sharing"",""งบพรบ!DE55"")"),0)</f>
        <v>0</v>
      </c>
      <c r="N269" s="93">
        <f ca="1">IFERROR(__xludf.DUMMYFUNCTION("IMPORTRANGE(""https://docs.google.com/spreadsheets/d/1MeEWN-I1oV_STSDYn1IFDPWt_1FKiwhDph83XaGc0o0/edit?usp=sharing"",""งบพรบ!DG55"")"),0)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1" t="s">
        <v>16</v>
      </c>
      <c r="D270" s="823" t="s">
        <v>38</v>
      </c>
      <c r="E270" s="173"/>
      <c r="F270" s="173"/>
      <c r="G270" s="174"/>
      <c r="H270" s="753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5" t="s">
        <v>124</v>
      </c>
      <c r="E271" s="178"/>
      <c r="F271" s="366"/>
      <c r="G271" s="179"/>
      <c r="H271" s="376" t="s">
        <v>35</v>
      </c>
      <c r="I271" s="269">
        <f ca="1">IFERROR(__xludf.DUMMYFUNCTION("IMPORTRANGE(""https://docs.google.com/spreadsheets/d/1QqKyyYR6Q21VydFLVH3TRQUabQu_ym0Zz7PgGX0-kHA/edit?usp=sharing"",""แผน!EA55"")"),22)</f>
        <v>22</v>
      </c>
      <c r="J271" s="214">
        <v>0</v>
      </c>
      <c r="K271" s="163">
        <f ca="1">IF(I271&gt;0,J271*100/I271,0)</f>
        <v>0</v>
      </c>
      <c r="L271" s="163"/>
      <c r="M271" s="163"/>
      <c r="N271" s="163"/>
      <c r="O271" s="163"/>
      <c r="P271" s="163"/>
    </row>
    <row r="272" spans="1:26" ht="18.75" hidden="1">
      <c r="A272" s="377"/>
      <c r="B272" s="378"/>
      <c r="C272" s="378"/>
      <c r="D272" s="379" t="s">
        <v>125</v>
      </c>
      <c r="E272" s="380"/>
      <c r="F272" s="380"/>
      <c r="G272" s="381"/>
      <c r="H272" s="50" t="s">
        <v>35</v>
      </c>
      <c r="I272" s="499">
        <v>0</v>
      </c>
      <c r="J272" s="499">
        <v>0</v>
      </c>
      <c r="K272" s="384">
        <v>0</v>
      </c>
      <c r="L272" s="384"/>
      <c r="M272" s="384"/>
      <c r="N272" s="384"/>
      <c r="O272" s="384"/>
      <c r="P272" s="384"/>
    </row>
    <row r="273" spans="1:26" ht="19.5">
      <c r="A273" s="385" t="s">
        <v>126</v>
      </c>
      <c r="B273" s="386"/>
      <c r="C273" s="386"/>
      <c r="D273" s="386"/>
      <c r="E273" s="387"/>
      <c r="F273" s="387"/>
      <c r="G273" s="388"/>
      <c r="H273" s="389"/>
      <c r="I273" s="390"/>
      <c r="J273" s="390"/>
      <c r="K273" s="391"/>
      <c r="L273" s="391"/>
      <c r="M273" s="391"/>
      <c r="N273" s="391"/>
      <c r="O273" s="391"/>
      <c r="P273" s="391"/>
    </row>
    <row r="274" spans="1:26" ht="19.5">
      <c r="A274" s="392" t="s">
        <v>127</v>
      </c>
      <c r="B274" s="393"/>
      <c r="C274" s="394"/>
      <c r="D274" s="393"/>
      <c r="E274" s="393"/>
      <c r="F274" s="393"/>
      <c r="G274" s="393"/>
      <c r="H274" s="395"/>
      <c r="I274" s="396"/>
      <c r="J274" s="397"/>
      <c r="K274" s="398"/>
      <c r="L274" s="398"/>
      <c r="M274" s="398"/>
      <c r="N274" s="398"/>
      <c r="O274" s="398"/>
      <c r="P274" s="398"/>
    </row>
    <row r="275" spans="1:26" ht="19.5">
      <c r="A275" s="399"/>
      <c r="B275" s="408" t="s">
        <v>128</v>
      </c>
      <c r="C275" s="401"/>
      <c r="D275" s="402"/>
      <c r="E275" s="401"/>
      <c r="F275" s="401"/>
      <c r="G275" s="403"/>
      <c r="H275" s="404" t="s">
        <v>35</v>
      </c>
      <c r="I275" s="405">
        <f t="shared" ref="I275:J275" ca="1" si="122">I288</f>
        <v>5</v>
      </c>
      <c r="J275" s="405">
        <f t="shared" ca="1" si="122"/>
        <v>0</v>
      </c>
      <c r="K275" s="406">
        <f t="shared" ref="K275:K276" ca="1" si="123">IF(I275&gt;0,J275*100/I275,0)</f>
        <v>0</v>
      </c>
      <c r="L275" s="407"/>
      <c r="M275" s="407"/>
      <c r="N275" s="407"/>
      <c r="O275" s="407"/>
      <c r="P275" s="407"/>
    </row>
    <row r="276" spans="1:26" ht="19.5">
      <c r="A276" s="399"/>
      <c r="B276" s="408"/>
      <c r="C276" s="401"/>
      <c r="D276" s="402"/>
      <c r="E276" s="401"/>
      <c r="F276" s="401"/>
      <c r="G276" s="403"/>
      <c r="H276" s="404" t="s">
        <v>46</v>
      </c>
      <c r="I276" s="831">
        <f t="shared" ref="I276:J276" ca="1" si="124">I287</f>
        <v>50</v>
      </c>
      <c r="J276" s="831">
        <f t="shared" si="124"/>
        <v>50</v>
      </c>
      <c r="K276" s="407">
        <f t="shared" ca="1" si="123"/>
        <v>100</v>
      </c>
      <c r="L276" s="407"/>
      <c r="M276" s="407"/>
      <c r="N276" s="407"/>
      <c r="O276" s="407"/>
      <c r="P276" s="407"/>
    </row>
    <row r="277" spans="1:26" ht="19.5">
      <c r="A277" s="147"/>
      <c r="B277" s="148"/>
      <c r="C277" s="149" t="s">
        <v>16</v>
      </c>
      <c r="D277" s="822" t="s">
        <v>17</v>
      </c>
      <c r="E277" s="148"/>
      <c r="F277" s="148"/>
      <c r="G277" s="151"/>
      <c r="H277" s="152" t="s">
        <v>12</v>
      </c>
      <c r="I277" s="419"/>
      <c r="J277" s="419"/>
      <c r="K277" s="154"/>
      <c r="L277" s="155">
        <f t="shared" ref="L277:N277" ca="1" si="125">L278+L279</f>
        <v>22630</v>
      </c>
      <c r="M277" s="155">
        <f t="shared" ca="1" si="125"/>
        <v>9410</v>
      </c>
      <c r="N277" s="155">
        <f t="shared" ca="1" si="125"/>
        <v>9020</v>
      </c>
      <c r="O277" s="155">
        <f t="shared" ref="O277:O285" ca="1" si="126">IF(L277&gt;0,N277*100/L277,0)</f>
        <v>39.858594785682719</v>
      </c>
      <c r="P277" s="155">
        <f t="shared" ref="P277:P285" ca="1" si="127">IF(M277&gt;0,N277*100/M277,0)</f>
        <v>95.855472901168966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2" t="s">
        <v>18</v>
      </c>
      <c r="F278" s="40"/>
      <c r="G278" s="157"/>
      <c r="H278" s="158" t="s">
        <v>12</v>
      </c>
      <c r="I278" s="610"/>
      <c r="J278" s="610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2" t="s">
        <v>19</v>
      </c>
      <c r="F279" s="40"/>
      <c r="G279" s="157"/>
      <c r="H279" s="158" t="s">
        <v>12</v>
      </c>
      <c r="I279" s="610"/>
      <c r="J279" s="610"/>
      <c r="K279" s="93"/>
      <c r="L279" s="93">
        <f t="shared" ca="1" si="128"/>
        <v>22630</v>
      </c>
      <c r="M279" s="93">
        <f t="shared" ca="1" si="128"/>
        <v>9410</v>
      </c>
      <c r="N279" s="93">
        <f t="shared" ca="1" si="128"/>
        <v>9020</v>
      </c>
      <c r="O279" s="93">
        <f t="shared" ca="1" si="126"/>
        <v>39.858594785682719</v>
      </c>
      <c r="P279" s="93">
        <f t="shared" ca="1" si="127"/>
        <v>95.855472901168966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>
      <c r="A280" s="159"/>
      <c r="B280" s="33"/>
      <c r="C280" s="281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6">
        <f t="shared" ref="L280:N280" ca="1" si="129">L281+L282</f>
        <v>22630</v>
      </c>
      <c r="M280" s="496">
        <f t="shared" ca="1" si="129"/>
        <v>9410</v>
      </c>
      <c r="N280" s="496">
        <f t="shared" ca="1" si="129"/>
        <v>9020</v>
      </c>
      <c r="O280" s="496">
        <f t="shared" ca="1" si="126"/>
        <v>39.858594785682719</v>
      </c>
      <c r="P280" s="496">
        <f t="shared" ca="1" si="127"/>
        <v>95.855472901168966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2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2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IFERROR(__xludf.DUMMYFUNCTION("IMPORTRANGE(""https://docs.google.com/spreadsheets/d/1MeEWN-I1oV_STSDYn1IFDPWt_1FKiwhDph83XaGc0o0/edit?usp=sharing"",""งบพรบ!DI55"")"),22630)</f>
        <v>22630</v>
      </c>
      <c r="M282" s="93">
        <f ca="1">IFERROR(__xludf.DUMMYFUNCTION("IMPORTRANGE(""https://docs.google.com/spreadsheets/d/1MeEWN-I1oV_STSDYn1IFDPWt_1FKiwhDph83XaGc0o0/edit?usp=sharing"",""งบพรบ!DN55"")"),9410)</f>
        <v>9410</v>
      </c>
      <c r="N282" s="93">
        <f ca="1">IFERROR(__xludf.DUMMYFUNCTION("IMPORTRANGE(""https://docs.google.com/spreadsheets/d/1MeEWN-I1oV_STSDYn1IFDPWt_1FKiwhDph83XaGc0o0/edit?usp=sharing"",""งบพรบ!DP55"")"),9020)</f>
        <v>9020</v>
      </c>
      <c r="O282" s="93">
        <f t="shared" ca="1" si="126"/>
        <v>39.858594785682719</v>
      </c>
      <c r="P282" s="93">
        <f t="shared" ca="1" si="127"/>
        <v>95.855472901168966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>
      <c r="A283" s="159"/>
      <c r="B283" s="33"/>
      <c r="C283" s="281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6">
        <f t="shared" ref="L283:N283" ca="1" si="130">L284+L285</f>
        <v>0</v>
      </c>
      <c r="M283" s="496">
        <f t="shared" ca="1" si="130"/>
        <v>0</v>
      </c>
      <c r="N283" s="496">
        <f t="shared" ca="1" si="130"/>
        <v>0</v>
      </c>
      <c r="O283" s="496">
        <f t="shared" ca="1" si="126"/>
        <v>0</v>
      </c>
      <c r="P283" s="496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2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2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IFERROR(__xludf.DUMMYFUNCTION("IMPORTRANGE(""https://docs.google.com/spreadsheets/d/1MeEWN-I1oV_STSDYn1IFDPWt_1FKiwhDph83XaGc0o0/edit?usp=sharing"",""งบพรบ!DL55"")"),0)</f>
        <v>0</v>
      </c>
      <c r="M285" s="93">
        <f ca="1">IFERROR(__xludf.DUMMYFUNCTION("IMPORTRANGE(""https://docs.google.com/spreadsheets/d/1MeEWN-I1oV_STSDYn1IFDPWt_1FKiwhDph83XaGc0o0/edit?usp=sharing"",""งบพรบ!DO55"")"),0)</f>
        <v>0</v>
      </c>
      <c r="N285" s="93">
        <f ca="1">IFERROR(__xludf.DUMMYFUNCTION("IMPORTRANGE(""https://docs.google.com/spreadsheets/d/1MeEWN-I1oV_STSDYn1IFDPWt_1FKiwhDph83XaGc0o0/edit?usp=sharing"",""งบพรบ!DQ55"")"),0)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>
      <c r="A286" s="170"/>
      <c r="B286" s="171"/>
      <c r="C286" s="164" t="s">
        <v>16</v>
      </c>
      <c r="D286" s="823" t="s">
        <v>38</v>
      </c>
      <c r="E286" s="173"/>
      <c r="F286" s="173"/>
      <c r="G286" s="174"/>
      <c r="H286" s="753"/>
      <c r="I286" s="184"/>
      <c r="J286" s="184"/>
      <c r="K286" s="163"/>
      <c r="L286" s="163"/>
      <c r="M286" s="163"/>
      <c r="N286" s="163"/>
      <c r="O286" s="163"/>
      <c r="P286" s="163"/>
    </row>
    <row r="287" spans="1:26" ht="18.75">
      <c r="A287" s="170"/>
      <c r="B287" s="171"/>
      <c r="C287" s="171"/>
      <c r="D287" s="619" t="s">
        <v>129</v>
      </c>
      <c r="E287" s="171"/>
      <c r="F287" s="178"/>
      <c r="G287" s="179"/>
      <c r="H287" s="185" t="s">
        <v>46</v>
      </c>
      <c r="I287" s="269">
        <f ca="1">IFERROR(__xludf.DUMMYFUNCTION("IMPORTRANGE(""https://docs.google.com/spreadsheets/d/1QqKyyYR6Q21VydFLVH3TRQUabQu_ym0Zz7PgGX0-kHA/edit?usp=sharing"",""แผน!EC55"")"),50)</f>
        <v>50</v>
      </c>
      <c r="J287" s="214">
        <v>50</v>
      </c>
      <c r="K287" s="163">
        <f t="shared" ref="K287:K288" ca="1" si="131">IF(I287&gt;0,J287*100/I287,0)</f>
        <v>100</v>
      </c>
      <c r="L287" s="163"/>
      <c r="M287" s="163"/>
      <c r="N287" s="163"/>
      <c r="O287" s="163"/>
      <c r="P287" s="163"/>
    </row>
    <row r="288" spans="1:26" ht="19.5">
      <c r="A288" s="170"/>
      <c r="B288" s="171"/>
      <c r="C288" s="171"/>
      <c r="D288" s="619" t="s">
        <v>130</v>
      </c>
      <c r="E288" s="171"/>
      <c r="F288" s="178"/>
      <c r="G288" s="179"/>
      <c r="H288" s="180" t="s">
        <v>35</v>
      </c>
      <c r="I288" s="674">
        <f ca="1">IFERROR(__xludf.DUMMYFUNCTION("IMPORTRANGE(""https://docs.google.com/spreadsheets/d/1QqKyyYR6Q21VydFLVH3TRQUabQu_ym0Zz7PgGX0-kHA/edit?usp=sharing"",""แผน!EB55"")"),5)</f>
        <v>5</v>
      </c>
      <c r="J288" s="674">
        <f ca="1">IF(AND(J291&gt;=I288,J294&gt;=I288),J294,0)</f>
        <v>0</v>
      </c>
      <c r="K288" s="410">
        <f t="shared" ca="1" si="131"/>
        <v>0</v>
      </c>
      <c r="L288" s="163"/>
      <c r="M288" s="163"/>
      <c r="N288" s="163"/>
      <c r="O288" s="163"/>
      <c r="P288" s="163"/>
    </row>
    <row r="289" spans="1:26" ht="19.5">
      <c r="A289" s="170"/>
      <c r="B289" s="171"/>
      <c r="C289" s="171"/>
      <c r="D289" s="411"/>
      <c r="E289" s="412" t="s">
        <v>131</v>
      </c>
      <c r="F289" s="178"/>
      <c r="G289" s="179"/>
      <c r="H289" s="755"/>
      <c r="I289" s="184"/>
      <c r="J289" s="269"/>
      <c r="K289" s="163"/>
      <c r="L289" s="163"/>
      <c r="M289" s="163"/>
      <c r="N289" s="163"/>
      <c r="O289" s="163"/>
      <c r="P289" s="163"/>
    </row>
    <row r="290" spans="1:26" ht="19.5">
      <c r="A290" s="170"/>
      <c r="B290" s="171"/>
      <c r="C290" s="171"/>
      <c r="D290" s="411"/>
      <c r="E290" s="619" t="s">
        <v>132</v>
      </c>
      <c r="F290" s="178"/>
      <c r="G290" s="179"/>
      <c r="H290" s="755" t="s">
        <v>35</v>
      </c>
      <c r="I290" s="184">
        <f ca="1">IFERROR(__xludf.DUMMYFUNCTION("IMPORTRANGE(""https://docs.google.com/spreadsheets/d/1QqKyyYR6Q21VydFLVH3TRQUabQu_ym0Zz7PgGX0-kHA/edit?usp=sharing"",""แผน!EB55"")"),5)</f>
        <v>5</v>
      </c>
      <c r="J290" s="214">
        <v>5</v>
      </c>
      <c r="K290" s="163">
        <f t="shared" ref="K290:K291" ca="1" si="132">IF(I290&gt;0,J290*100/I290,0)</f>
        <v>100</v>
      </c>
      <c r="L290" s="163"/>
      <c r="M290" s="163"/>
      <c r="N290" s="163"/>
      <c r="O290" s="163"/>
      <c r="P290" s="163"/>
    </row>
    <row r="291" spans="1:26" ht="19.5">
      <c r="A291" s="170"/>
      <c r="B291" s="171"/>
      <c r="C291" s="171"/>
      <c r="D291" s="178"/>
      <c r="E291" s="619" t="s">
        <v>133</v>
      </c>
      <c r="F291" s="178"/>
      <c r="G291" s="179"/>
      <c r="H291" s="755" t="s">
        <v>35</v>
      </c>
      <c r="I291" s="184">
        <f ca="1">IFERROR(__xludf.DUMMYFUNCTION("IMPORTRANGE(""https://docs.google.com/spreadsheets/d/1QqKyyYR6Q21VydFLVH3TRQUabQu_ym0Zz7PgGX0-kHA/edit?usp=sharing"",""แผน!EB55"")"),5)</f>
        <v>5</v>
      </c>
      <c r="J291" s="214">
        <v>5</v>
      </c>
      <c r="K291" s="163">
        <f t="shared" ca="1" si="132"/>
        <v>100</v>
      </c>
      <c r="L291" s="163"/>
      <c r="M291" s="163"/>
      <c r="N291" s="163"/>
      <c r="O291" s="163"/>
      <c r="P291" s="163"/>
    </row>
    <row r="292" spans="1:26" ht="19.5">
      <c r="A292" s="413"/>
      <c r="B292" s="414"/>
      <c r="C292" s="414"/>
      <c r="D292" s="415"/>
      <c r="E292" s="416" t="s">
        <v>134</v>
      </c>
      <c r="F292" s="287"/>
      <c r="G292" s="288"/>
      <c r="H292" s="417"/>
      <c r="I292" s="418"/>
      <c r="J292" s="419"/>
      <c r="K292" s="279"/>
      <c r="L292" s="279"/>
      <c r="M292" s="279"/>
      <c r="N292" s="279"/>
      <c r="O292" s="279"/>
      <c r="P292" s="279"/>
    </row>
    <row r="293" spans="1:26" ht="19.5">
      <c r="A293" s="170"/>
      <c r="B293" s="171"/>
      <c r="C293" s="171"/>
      <c r="D293" s="411"/>
      <c r="E293" s="619" t="s">
        <v>132</v>
      </c>
      <c r="F293" s="178"/>
      <c r="G293" s="179"/>
      <c r="H293" s="755" t="s">
        <v>35</v>
      </c>
      <c r="I293" s="184">
        <f ca="1">IFERROR(__xludf.DUMMYFUNCTION("IMPORTRANGE(""https://docs.google.com/spreadsheets/d/1QqKyyYR6Q21VydFLVH3TRQUabQu_ym0Zz7PgGX0-kHA/edit?usp=sharing"",""แผน!EB55"")"),5)</f>
        <v>5</v>
      </c>
      <c r="J293" s="214">
        <v>0</v>
      </c>
      <c r="K293" s="163">
        <f t="shared" ref="K293:K294" ca="1" si="133">IF(I293&gt;0,J293*100/I293,0)</f>
        <v>0</v>
      </c>
      <c r="L293" s="163"/>
      <c r="M293" s="163"/>
      <c r="N293" s="163"/>
      <c r="O293" s="163"/>
      <c r="P293" s="163"/>
    </row>
    <row r="294" spans="1:26" ht="19.5">
      <c r="A294" s="377"/>
      <c r="B294" s="378"/>
      <c r="C294" s="378"/>
      <c r="D294" s="380"/>
      <c r="E294" s="725" t="s">
        <v>136</v>
      </c>
      <c r="F294" s="380"/>
      <c r="G294" s="381"/>
      <c r="H294" s="421" t="s">
        <v>35</v>
      </c>
      <c r="I294" s="422">
        <f ca="1">IFERROR(__xludf.DUMMYFUNCTION("IMPORTRANGE(""https://docs.google.com/spreadsheets/d/1QqKyyYR6Q21VydFLVH3TRQUabQu_ym0Zz7PgGX0-kHA/edit?usp=sharing"",""แผน!EB55"")"),5)</f>
        <v>5</v>
      </c>
      <c r="J294" s="423">
        <v>0</v>
      </c>
      <c r="K294" s="384">
        <f t="shared" ca="1" si="133"/>
        <v>0</v>
      </c>
      <c r="L294" s="384"/>
      <c r="M294" s="384"/>
      <c r="N294" s="384"/>
      <c r="O294" s="384"/>
      <c r="P294" s="384"/>
    </row>
    <row r="295" spans="1:26" ht="19.5">
      <c r="A295" s="424" t="s">
        <v>137</v>
      </c>
      <c r="B295" s="425"/>
      <c r="C295" s="425"/>
      <c r="D295" s="425"/>
      <c r="E295" s="426"/>
      <c r="F295" s="426"/>
      <c r="G295" s="427"/>
      <c r="H295" s="428"/>
      <c r="I295" s="429"/>
      <c r="J295" s="429"/>
      <c r="K295" s="430"/>
      <c r="L295" s="430"/>
      <c r="M295" s="430"/>
      <c r="N295" s="430"/>
      <c r="O295" s="430"/>
      <c r="P295" s="430"/>
    </row>
    <row r="296" spans="1:26" ht="19.5">
      <c r="A296" s="431" t="s">
        <v>138</v>
      </c>
      <c r="B296" s="432"/>
      <c r="C296" s="432"/>
      <c r="D296" s="433"/>
      <c r="E296" s="433"/>
      <c r="F296" s="433"/>
      <c r="G296" s="434"/>
      <c r="H296" s="435"/>
      <c r="I296" s="436"/>
      <c r="J296" s="436"/>
      <c r="K296" s="437"/>
      <c r="L296" s="437"/>
      <c r="M296" s="437"/>
      <c r="N296" s="437"/>
      <c r="O296" s="437"/>
      <c r="P296" s="437"/>
    </row>
    <row r="297" spans="1:26" ht="19.5">
      <c r="A297" s="438"/>
      <c r="B297" s="439" t="s">
        <v>139</v>
      </c>
      <c r="C297" s="440"/>
      <c r="D297" s="440"/>
      <c r="E297" s="440"/>
      <c r="F297" s="440"/>
      <c r="G297" s="441"/>
      <c r="H297" s="442" t="s">
        <v>35</v>
      </c>
      <c r="I297" s="443">
        <f t="shared" ref="I297:J297" ca="1" si="134">I309</f>
        <v>20</v>
      </c>
      <c r="J297" s="443">
        <f t="shared" si="134"/>
        <v>20</v>
      </c>
      <c r="K297" s="444">
        <f ca="1">IF(I297&gt;0,J297*100/I297,0)</f>
        <v>100</v>
      </c>
      <c r="L297" s="445"/>
      <c r="M297" s="445"/>
      <c r="N297" s="445"/>
      <c r="O297" s="445"/>
      <c r="P297" s="445"/>
    </row>
    <row r="298" spans="1:26" ht="19.5">
      <c r="A298" s="147"/>
      <c r="B298" s="148"/>
      <c r="C298" s="149" t="s">
        <v>16</v>
      </c>
      <c r="D298" s="822" t="s">
        <v>17</v>
      </c>
      <c r="E298" s="148"/>
      <c r="F298" s="148"/>
      <c r="G298" s="151"/>
      <c r="H298" s="152" t="s">
        <v>12</v>
      </c>
      <c r="I298" s="419"/>
      <c r="J298" s="419"/>
      <c r="K298" s="154"/>
      <c r="L298" s="155">
        <f t="shared" ref="L298:N298" ca="1" si="135">L299+L300</f>
        <v>225400</v>
      </c>
      <c r="M298" s="155">
        <f t="shared" ca="1" si="135"/>
        <v>114120</v>
      </c>
      <c r="N298" s="155">
        <f t="shared" ca="1" si="135"/>
        <v>90993.38</v>
      </c>
      <c r="O298" s="155">
        <f t="shared" ref="O298:O306" ca="1" si="136">IF(L298&gt;0,N298*100/L298,0)</f>
        <v>40.369733806566103</v>
      </c>
      <c r="P298" s="155">
        <f t="shared" ref="P298:P306" ca="1" si="137">IF(M298&gt;0,N298*100/M298,0)</f>
        <v>79.734822993340345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2" t="s">
        <v>18</v>
      </c>
      <c r="F299" s="40"/>
      <c r="G299" s="157"/>
      <c r="H299" s="158" t="s">
        <v>12</v>
      </c>
      <c r="I299" s="610"/>
      <c r="J299" s="610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2" t="s">
        <v>19</v>
      </c>
      <c r="F300" s="40"/>
      <c r="G300" s="157"/>
      <c r="H300" s="158" t="s">
        <v>12</v>
      </c>
      <c r="I300" s="610"/>
      <c r="J300" s="610"/>
      <c r="K300" s="93"/>
      <c r="L300" s="93">
        <f t="shared" ca="1" si="138"/>
        <v>225400</v>
      </c>
      <c r="M300" s="93">
        <f t="shared" ca="1" si="138"/>
        <v>114120</v>
      </c>
      <c r="N300" s="93">
        <f t="shared" ca="1" si="138"/>
        <v>90993.38</v>
      </c>
      <c r="O300" s="93">
        <f t="shared" ca="1" si="136"/>
        <v>40.369733806566103</v>
      </c>
      <c r="P300" s="93">
        <f t="shared" ca="1" si="137"/>
        <v>79.734822993340345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>
      <c r="A301" s="159"/>
      <c r="B301" s="33"/>
      <c r="C301" s="281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6">
        <f t="shared" ref="L301:N301" ca="1" si="139">L302+L303</f>
        <v>225400</v>
      </c>
      <c r="M301" s="496">
        <f t="shared" ca="1" si="139"/>
        <v>114120</v>
      </c>
      <c r="N301" s="496">
        <f t="shared" ca="1" si="139"/>
        <v>90993.38</v>
      </c>
      <c r="O301" s="496">
        <f t="shared" ca="1" si="136"/>
        <v>40.369733806566103</v>
      </c>
      <c r="P301" s="496">
        <f t="shared" ca="1" si="137"/>
        <v>79.734822993340345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2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2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IFERROR(__xludf.DUMMYFUNCTION("IMPORTRANGE(""https://docs.google.com/spreadsheets/d/1MeEWN-I1oV_STSDYn1IFDPWt_1FKiwhDph83XaGc0o0/edit?usp=sharing"",""งบพรบ!DS55"")"),225400)</f>
        <v>225400</v>
      </c>
      <c r="M303" s="93">
        <f ca="1">IFERROR(__xludf.DUMMYFUNCTION("IMPORTRANGE(""https://docs.google.com/spreadsheets/d/1MeEWN-I1oV_STSDYn1IFDPWt_1FKiwhDph83XaGc0o0/edit?usp=sharing"",""งบพรบ!DX55"")"),114120)</f>
        <v>114120</v>
      </c>
      <c r="N303" s="93">
        <f ca="1">IFERROR(__xludf.DUMMYFUNCTION("IMPORTRANGE(""https://docs.google.com/spreadsheets/d/1MeEWN-I1oV_STSDYn1IFDPWt_1FKiwhDph83XaGc0o0/edit?usp=sharing"",""งบพรบ!DZ55"")"),90993.38)</f>
        <v>90993.38</v>
      </c>
      <c r="O303" s="93">
        <f t="shared" ca="1" si="136"/>
        <v>40.369733806566103</v>
      </c>
      <c r="P303" s="93">
        <f t="shared" ca="1" si="137"/>
        <v>79.734822993340345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>
      <c r="A304" s="159"/>
      <c r="B304" s="33"/>
      <c r="C304" s="281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6">
        <f t="shared" ref="L304:N304" ca="1" si="140">L305+L306</f>
        <v>0</v>
      </c>
      <c r="M304" s="496">
        <f t="shared" ca="1" si="140"/>
        <v>0</v>
      </c>
      <c r="N304" s="496">
        <f t="shared" ca="1" si="140"/>
        <v>0</v>
      </c>
      <c r="O304" s="496">
        <f t="shared" ca="1" si="136"/>
        <v>0</v>
      </c>
      <c r="P304" s="496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2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2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IFERROR(__xludf.DUMMYFUNCTION("IMPORTRANGE(""https://docs.google.com/spreadsheets/d/1MeEWN-I1oV_STSDYn1IFDPWt_1FKiwhDph83XaGc0o0/edit?usp=sharing"",""งบพรบ!DV55"")"),0)</f>
        <v>0</v>
      </c>
      <c r="M306" s="93">
        <f ca="1">IFERROR(__xludf.DUMMYFUNCTION("IMPORTRANGE(""https://docs.google.com/spreadsheets/d/1MeEWN-I1oV_STSDYn1IFDPWt_1FKiwhDph83XaGc0o0/edit?usp=sharing"",""งบพรบ!DY55"")"),0)</f>
        <v>0</v>
      </c>
      <c r="N306" s="93">
        <f ca="1">IFERROR(__xludf.DUMMYFUNCTION("IMPORTRANGE(""https://docs.google.com/spreadsheets/d/1MeEWN-I1oV_STSDYn1IFDPWt_1FKiwhDph83XaGc0o0/edit?usp=sharing"",""งบพรบ!EA55"")"),0)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>
      <c r="A307" s="170"/>
      <c r="B307" s="171"/>
      <c r="C307" s="164" t="s">
        <v>16</v>
      </c>
      <c r="D307" s="823" t="s">
        <v>38</v>
      </c>
      <c r="E307" s="173"/>
      <c r="F307" s="173"/>
      <c r="G307" s="174"/>
      <c r="H307" s="753"/>
      <c r="I307" s="269"/>
      <c r="J307" s="269"/>
      <c r="K307" s="496"/>
      <c r="L307" s="496"/>
      <c r="M307" s="496"/>
      <c r="N307" s="496"/>
      <c r="O307" s="496"/>
      <c r="P307" s="496"/>
    </row>
    <row r="308" spans="1:26" ht="18.75">
      <c r="A308" s="170"/>
      <c r="B308" s="171"/>
      <c r="C308" s="171"/>
      <c r="D308" s="446" t="s">
        <v>140</v>
      </c>
      <c r="E308" s="446"/>
      <c r="F308" s="446"/>
      <c r="G308" s="179"/>
      <c r="H308" s="755"/>
      <c r="I308" s="269"/>
      <c r="J308" s="214">
        <v>1</v>
      </c>
      <c r="K308" s="496"/>
      <c r="L308" s="496"/>
      <c r="M308" s="496"/>
      <c r="N308" s="496"/>
      <c r="O308" s="496"/>
      <c r="P308" s="496"/>
    </row>
    <row r="309" spans="1:26" ht="18.75">
      <c r="A309" s="170"/>
      <c r="B309" s="171"/>
      <c r="C309" s="171"/>
      <c r="D309" s="446" t="s">
        <v>141</v>
      </c>
      <c r="E309" s="446"/>
      <c r="F309" s="446"/>
      <c r="G309" s="179"/>
      <c r="H309" s="755" t="s">
        <v>35</v>
      </c>
      <c r="I309" s="269">
        <f ca="1">IFERROR(__xludf.DUMMYFUNCTION("IMPORTRANGE(""https://docs.google.com/spreadsheets/d/1QqKyyYR6Q21VydFLVH3TRQUabQu_ym0Zz7PgGX0-kHA/edit?usp=sharing"",""แผน!ED55"")"),20)</f>
        <v>20</v>
      </c>
      <c r="J309" s="214">
        <v>20</v>
      </c>
      <c r="K309" s="496">
        <f t="shared" ref="K309:K312" ca="1" si="141">IF(I309&gt;0,J309*100/I309,0)</f>
        <v>100</v>
      </c>
      <c r="L309" s="496"/>
      <c r="M309" s="496"/>
      <c r="N309" s="496"/>
      <c r="O309" s="496"/>
      <c r="P309" s="496"/>
    </row>
    <row r="310" spans="1:26" ht="18.75">
      <c r="A310" s="170"/>
      <c r="B310" s="171"/>
      <c r="C310" s="171"/>
      <c r="D310" s="446" t="s">
        <v>142</v>
      </c>
      <c r="E310" s="446"/>
      <c r="F310" s="446"/>
      <c r="G310" s="179"/>
      <c r="H310" s="755" t="s">
        <v>35</v>
      </c>
      <c r="I310" s="269">
        <f ca="1">IFERROR(__xludf.DUMMYFUNCTION("IMPORTRANGE(""https://docs.google.com/spreadsheets/d/1QqKyyYR6Q21VydFLVH3TRQUabQu_ym0Zz7PgGX0-kHA/edit?usp=sharing"",""แผน!ED55"")"),20)</f>
        <v>20</v>
      </c>
      <c r="J310" s="214">
        <v>0</v>
      </c>
      <c r="K310" s="496">
        <f t="shared" ca="1" si="141"/>
        <v>0</v>
      </c>
      <c r="L310" s="496"/>
      <c r="M310" s="496"/>
      <c r="N310" s="496"/>
      <c r="O310" s="496"/>
      <c r="P310" s="496"/>
    </row>
    <row r="311" spans="1:26" ht="18.75">
      <c r="A311" s="170"/>
      <c r="B311" s="171"/>
      <c r="C311" s="171"/>
      <c r="D311" s="446" t="s">
        <v>59</v>
      </c>
      <c r="E311" s="446"/>
      <c r="F311" s="446"/>
      <c r="G311" s="179"/>
      <c r="H311" s="755" t="s">
        <v>35</v>
      </c>
      <c r="I311" s="269">
        <f ca="1">IFERROR(__xludf.DUMMYFUNCTION("IMPORTRANGE(""https://docs.google.com/spreadsheets/d/1QqKyyYR6Q21VydFLVH3TRQUabQu_ym0Zz7PgGX0-kHA/edit?usp=sharing"",""แผน!ED55"")"),20)</f>
        <v>20</v>
      </c>
      <c r="J311" s="214">
        <v>0</v>
      </c>
      <c r="K311" s="496">
        <f t="shared" ca="1" si="141"/>
        <v>0</v>
      </c>
      <c r="L311" s="496"/>
      <c r="M311" s="496"/>
      <c r="N311" s="496"/>
      <c r="O311" s="496"/>
      <c r="P311" s="496"/>
    </row>
    <row r="312" spans="1:26" ht="18.75">
      <c r="A312" s="170"/>
      <c r="B312" s="171"/>
      <c r="C312" s="171"/>
      <c r="D312" s="446" t="s">
        <v>143</v>
      </c>
      <c r="E312" s="446"/>
      <c r="F312" s="446"/>
      <c r="G312" s="179"/>
      <c r="H312" s="755" t="s">
        <v>35</v>
      </c>
      <c r="I312" s="269">
        <f ca="1">IFERROR(__xludf.DUMMYFUNCTION("IMPORTRANGE(""https://docs.google.com/spreadsheets/d/1QqKyyYR6Q21VydFLVH3TRQUabQu_ym0Zz7PgGX0-kHA/edit?usp=sharing"",""แผน!EE55"")"),4)</f>
        <v>4</v>
      </c>
      <c r="J312" s="214">
        <v>0</v>
      </c>
      <c r="K312" s="496">
        <f t="shared" ca="1" si="141"/>
        <v>0</v>
      </c>
      <c r="L312" s="496"/>
      <c r="M312" s="496"/>
      <c r="N312" s="496"/>
      <c r="O312" s="496"/>
      <c r="P312" s="496"/>
    </row>
    <row r="313" spans="1:26" ht="19.5" hidden="1">
      <c r="A313" s="431" t="s">
        <v>144</v>
      </c>
      <c r="B313" s="432"/>
      <c r="C313" s="432"/>
      <c r="D313" s="433"/>
      <c r="E313" s="432"/>
      <c r="F313" s="432"/>
      <c r="G313" s="432"/>
      <c r="H313" s="448"/>
      <c r="I313" s="436"/>
      <c r="J313" s="436"/>
      <c r="K313" s="437"/>
      <c r="L313" s="437"/>
      <c r="M313" s="437"/>
      <c r="N313" s="437"/>
      <c r="O313" s="437"/>
      <c r="P313" s="437"/>
    </row>
    <row r="314" spans="1:26" ht="19.5" hidden="1">
      <c r="A314" s="449"/>
      <c r="B314" s="439" t="s">
        <v>145</v>
      </c>
      <c r="C314" s="450"/>
      <c r="D314" s="451"/>
      <c r="E314" s="440"/>
      <c r="F314" s="440"/>
      <c r="G314" s="441"/>
      <c r="H314" s="442" t="s">
        <v>146</v>
      </c>
      <c r="I314" s="443">
        <f t="shared" ref="I314:J314" ca="1" si="142">I325</f>
        <v>0</v>
      </c>
      <c r="J314" s="443">
        <f t="shared" si="142"/>
        <v>0</v>
      </c>
      <c r="K314" s="444">
        <f ca="1">IF(I314&gt;0,J314*100/I314,0)</f>
        <v>0</v>
      </c>
      <c r="L314" s="445"/>
      <c r="M314" s="445"/>
      <c r="N314" s="445"/>
      <c r="O314" s="445"/>
      <c r="P314" s="445"/>
    </row>
    <row r="315" spans="1:26" ht="19.5" hidden="1">
      <c r="A315" s="147"/>
      <c r="B315" s="148"/>
      <c r="C315" s="149" t="s">
        <v>16</v>
      </c>
      <c r="D315" s="822" t="s">
        <v>17</v>
      </c>
      <c r="E315" s="148"/>
      <c r="F315" s="148"/>
      <c r="G315" s="151"/>
      <c r="H315" s="152" t="s">
        <v>12</v>
      </c>
      <c r="I315" s="419"/>
      <c r="J315" s="419"/>
      <c r="K315" s="154"/>
      <c r="L315" s="155">
        <f t="shared" ref="L315:N315" ca="1" si="143">L316+L317</f>
        <v>0</v>
      </c>
      <c r="M315" s="155">
        <f t="shared" ca="1" si="143"/>
        <v>0</v>
      </c>
      <c r="N315" s="155">
        <f t="shared" ca="1" si="143"/>
        <v>0</v>
      </c>
      <c r="O315" s="155">
        <f t="shared" ref="O315:O323" ca="1" si="144">IF(L315&gt;0,N315*100/L315,0)</f>
        <v>0</v>
      </c>
      <c r="P315" s="155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2" t="s">
        <v>18</v>
      </c>
      <c r="F316" s="40"/>
      <c r="G316" s="157"/>
      <c r="H316" s="158" t="s">
        <v>12</v>
      </c>
      <c r="I316" s="610"/>
      <c r="J316" s="610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2" t="s">
        <v>19</v>
      </c>
      <c r="F317" s="40"/>
      <c r="G317" s="157"/>
      <c r="H317" s="158" t="s">
        <v>12</v>
      </c>
      <c r="I317" s="610"/>
      <c r="J317" s="610"/>
      <c r="K317" s="93"/>
      <c r="L317" s="93">
        <f t="shared" ca="1" si="146"/>
        <v>0</v>
      </c>
      <c r="M317" s="93">
        <f t="shared" ca="1" si="146"/>
        <v>0</v>
      </c>
      <c r="N317" s="93">
        <f t="shared" ca="1" si="146"/>
        <v>0</v>
      </c>
      <c r="O317" s="93">
        <f t="shared" ca="1" si="144"/>
        <v>0</v>
      </c>
      <c r="P317" s="93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1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6">
        <f t="shared" ref="L318:N318" ca="1" si="147">L319+L320</f>
        <v>0</v>
      </c>
      <c r="M318" s="496">
        <f t="shared" ca="1" si="147"/>
        <v>0</v>
      </c>
      <c r="N318" s="496">
        <f t="shared" ca="1" si="147"/>
        <v>0</v>
      </c>
      <c r="O318" s="496">
        <f t="shared" ca="1" si="144"/>
        <v>0</v>
      </c>
      <c r="P318" s="496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2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2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IFERROR(__xludf.DUMMYFUNCTION("IMPORTRANGE(""https://docs.google.com/spreadsheets/d/1MeEWN-I1oV_STSDYn1IFDPWt_1FKiwhDph83XaGc0o0/edit?usp=sharing"",""งบพรบ!EC55"")"),0)</f>
        <v>0</v>
      </c>
      <c r="M320" s="93">
        <f ca="1">IFERROR(__xludf.DUMMYFUNCTION("IMPORTRANGE(""https://docs.google.com/spreadsheets/d/1MeEWN-I1oV_STSDYn1IFDPWt_1FKiwhDph83XaGc0o0/edit?usp=sharing"",""งบพรบ!EH55"")"),0)</f>
        <v>0</v>
      </c>
      <c r="N320" s="93">
        <f ca="1">IFERROR(__xludf.DUMMYFUNCTION("IMPORTRANGE(""https://docs.google.com/spreadsheets/d/1MeEWN-I1oV_STSDYn1IFDPWt_1FKiwhDph83XaGc0o0/edit?usp=sharing"",""งบพรบ!EJ55"")"),0)</f>
        <v>0</v>
      </c>
      <c r="O320" s="93">
        <f t="shared" ca="1" si="144"/>
        <v>0</v>
      </c>
      <c r="P320" s="93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1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6">
        <f t="shared" ref="L321:N321" ca="1" si="148">L322+L323</f>
        <v>0</v>
      </c>
      <c r="M321" s="496">
        <f t="shared" ca="1" si="148"/>
        <v>0</v>
      </c>
      <c r="N321" s="496">
        <f t="shared" ca="1" si="148"/>
        <v>0</v>
      </c>
      <c r="O321" s="496">
        <f t="shared" ca="1" si="144"/>
        <v>0</v>
      </c>
      <c r="P321" s="496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2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2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IFERROR(__xludf.DUMMYFUNCTION("IMPORTRANGE(""https://docs.google.com/spreadsheets/d/1MeEWN-I1oV_STSDYn1IFDPWt_1FKiwhDph83XaGc0o0/edit?usp=sharing"",""งบพรบ!EF55"")"),0)</f>
        <v>0</v>
      </c>
      <c r="M323" s="93">
        <f ca="1">IFERROR(__xludf.DUMMYFUNCTION("IMPORTRANGE(""https://docs.google.com/spreadsheets/d/1MeEWN-I1oV_STSDYn1IFDPWt_1FKiwhDph83XaGc0o0/edit?usp=sharing"",""งบพรบ!EI55"")"),0)</f>
        <v>0</v>
      </c>
      <c r="N323" s="93">
        <f ca="1">IFERROR(__xludf.DUMMYFUNCTION("IMPORTRANGE(""https://docs.google.com/spreadsheets/d/1MeEWN-I1oV_STSDYn1IFDPWt_1FKiwhDph83XaGc0o0/edit?usp=sharing"",""งบพรบ!EK55"")"),0)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23" t="s">
        <v>38</v>
      </c>
      <c r="E324" s="173"/>
      <c r="F324" s="173"/>
      <c r="G324" s="174"/>
      <c r="H324" s="753"/>
      <c r="I324" s="184"/>
      <c r="J324" s="269"/>
      <c r="K324" s="496"/>
      <c r="L324" s="496"/>
      <c r="M324" s="496"/>
      <c r="N324" s="496"/>
      <c r="O324" s="163"/>
      <c r="P324" s="163"/>
    </row>
    <row r="325" spans="1:26" ht="18.75" hidden="1">
      <c r="A325" s="170"/>
      <c r="B325" s="171"/>
      <c r="C325" s="171"/>
      <c r="D325" s="176" t="s">
        <v>147</v>
      </c>
      <c r="E325" s="178"/>
      <c r="F325" s="446"/>
      <c r="G325" s="179"/>
      <c r="H325" s="616" t="s">
        <v>146</v>
      </c>
      <c r="I325" s="269">
        <f ca="1">IFERROR(__xludf.DUMMYFUNCTION("IMPORTRANGE(""https://docs.google.com/spreadsheets/d/1QqKyyYR6Q21VydFLVH3TRQUabQu_ym0Zz7PgGX0-kHA/edit?usp=sharing"",""แผน!EF55"")"),0)</f>
        <v>0</v>
      </c>
      <c r="J325" s="214">
        <v>0</v>
      </c>
      <c r="K325" s="496">
        <f ca="1">IF(I325&gt;0,J325*100/I325,0)</f>
        <v>0</v>
      </c>
      <c r="L325" s="496"/>
      <c r="M325" s="496"/>
      <c r="N325" s="496"/>
      <c r="O325" s="163"/>
      <c r="P325" s="163"/>
    </row>
    <row r="326" spans="1:26" ht="19.5">
      <c r="A326" s="431" t="s">
        <v>148</v>
      </c>
      <c r="B326" s="432"/>
      <c r="C326" s="432"/>
      <c r="D326" s="433"/>
      <c r="E326" s="432"/>
      <c r="F326" s="432"/>
      <c r="G326" s="432"/>
      <c r="H326" s="448"/>
      <c r="I326" s="436"/>
      <c r="J326" s="436"/>
      <c r="K326" s="437"/>
      <c r="L326" s="437"/>
      <c r="M326" s="437"/>
      <c r="N326" s="437"/>
      <c r="O326" s="437"/>
      <c r="P326" s="437"/>
    </row>
    <row r="327" spans="1:26" ht="19.5">
      <c r="A327" s="438"/>
      <c r="B327" s="439" t="s">
        <v>149</v>
      </c>
      <c r="C327" s="451"/>
      <c r="D327" s="440"/>
      <c r="E327" s="440"/>
      <c r="F327" s="440"/>
      <c r="G327" s="441"/>
      <c r="H327" s="442" t="s">
        <v>35</v>
      </c>
      <c r="I327" s="443">
        <f ca="1">IFERROR(__xludf.DUMMYFUNCTION("IMPORTRANGE(""https://docs.google.com/spreadsheets/d/1QqKyyYR6Q21VydFLVH3TRQUabQu_ym0Zz7PgGX0-kHA/edit?usp=sharing"",""แผน!EG55"")"),4300)</f>
        <v>4300</v>
      </c>
      <c r="J327" s="443">
        <f ca="1">J338+J341+J342+J343</f>
        <v>2277</v>
      </c>
      <c r="K327" s="444">
        <f ca="1">IF(I327&gt;0,J327*100/I327,0)</f>
        <v>52.953488372093027</v>
      </c>
      <c r="L327" s="445"/>
      <c r="M327" s="445"/>
      <c r="N327" s="445"/>
      <c r="O327" s="445"/>
      <c r="P327" s="445"/>
    </row>
    <row r="328" spans="1:26" ht="19.5">
      <c r="A328" s="147"/>
      <c r="B328" s="148"/>
      <c r="C328" s="149" t="s">
        <v>16</v>
      </c>
      <c r="D328" s="822" t="s">
        <v>17</v>
      </c>
      <c r="E328" s="148"/>
      <c r="F328" s="148"/>
      <c r="G328" s="151"/>
      <c r="H328" s="152" t="s">
        <v>12</v>
      </c>
      <c r="I328" s="419"/>
      <c r="J328" s="419"/>
      <c r="K328" s="154"/>
      <c r="L328" s="155">
        <f t="shared" ref="L328:N328" ca="1" si="149">L329+L330</f>
        <v>1139000</v>
      </c>
      <c r="M328" s="155">
        <f t="shared" ca="1" si="149"/>
        <v>1050500</v>
      </c>
      <c r="N328" s="155">
        <f t="shared" ca="1" si="149"/>
        <v>52959.97</v>
      </c>
      <c r="O328" s="155">
        <f t="shared" ref="O328:O336" ca="1" si="150">IF(L328&gt;0,N328*100/L328,0)</f>
        <v>4.6496900790166817</v>
      </c>
      <c r="P328" s="155">
        <f t="shared" ref="P328:P336" ca="1" si="151">IF(M328&gt;0,N328*100/M328,0)</f>
        <v>5.0414059971442171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2" t="s">
        <v>18</v>
      </c>
      <c r="F329" s="40"/>
      <c r="G329" s="157"/>
      <c r="H329" s="158" t="s">
        <v>12</v>
      </c>
      <c r="I329" s="610"/>
      <c r="J329" s="610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2" t="s">
        <v>19</v>
      </c>
      <c r="F330" s="40"/>
      <c r="G330" s="157"/>
      <c r="H330" s="158" t="s">
        <v>12</v>
      </c>
      <c r="I330" s="610"/>
      <c r="J330" s="610"/>
      <c r="K330" s="93"/>
      <c r="L330" s="93">
        <f t="shared" ca="1" si="152"/>
        <v>1139000</v>
      </c>
      <c r="M330" s="93">
        <f t="shared" ca="1" si="152"/>
        <v>1050500</v>
      </c>
      <c r="N330" s="93">
        <f t="shared" ca="1" si="152"/>
        <v>52959.97</v>
      </c>
      <c r="O330" s="93">
        <f t="shared" ca="1" si="150"/>
        <v>4.6496900790166817</v>
      </c>
      <c r="P330" s="93">
        <f t="shared" ca="1" si="151"/>
        <v>5.0414059971442171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1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6">
        <f t="shared" ref="L331:N331" ca="1" si="153">L332+L333</f>
        <v>177000</v>
      </c>
      <c r="M331" s="496">
        <f t="shared" ca="1" si="153"/>
        <v>88500</v>
      </c>
      <c r="N331" s="496">
        <f t="shared" ca="1" si="153"/>
        <v>52959.97</v>
      </c>
      <c r="O331" s="496">
        <f t="shared" ca="1" si="150"/>
        <v>29.920887005649718</v>
      </c>
      <c r="P331" s="496">
        <f t="shared" ca="1" si="151"/>
        <v>59.841774011299435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2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2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IFERROR(__xludf.DUMMYFUNCTION("IMPORTRANGE(""https://docs.google.com/spreadsheets/d/1MeEWN-I1oV_STSDYn1IFDPWt_1FKiwhDph83XaGc0o0/edit?usp=sharing"",""งบพรบ!EM55"")"),177000)</f>
        <v>177000</v>
      </c>
      <c r="M333" s="93">
        <f ca="1">IFERROR(__xludf.DUMMYFUNCTION("IMPORTRANGE(""https://docs.google.com/spreadsheets/d/1MeEWN-I1oV_STSDYn1IFDPWt_1FKiwhDph83XaGc0o0/edit?usp=sharing"",""งบพรบ!ER55"")"),88500)</f>
        <v>88500</v>
      </c>
      <c r="N333" s="93">
        <f ca="1">IFERROR(__xludf.DUMMYFUNCTION("IMPORTRANGE(""https://docs.google.com/spreadsheets/d/1MeEWN-I1oV_STSDYn1IFDPWt_1FKiwhDph83XaGc0o0/edit?usp=sharing"",""งบพรบ!ET55"")"),52959.97)</f>
        <v>52959.97</v>
      </c>
      <c r="O333" s="93">
        <f t="shared" ca="1" si="150"/>
        <v>29.920887005649718</v>
      </c>
      <c r="P333" s="93">
        <f t="shared" ca="1" si="151"/>
        <v>59.841774011299435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1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6">
        <f t="shared" ref="L334:N334" ca="1" si="154">L335+L336</f>
        <v>962000</v>
      </c>
      <c r="M334" s="496">
        <f t="shared" ca="1" si="154"/>
        <v>962000</v>
      </c>
      <c r="N334" s="496">
        <f t="shared" ca="1" si="154"/>
        <v>0</v>
      </c>
      <c r="O334" s="496">
        <f t="shared" ca="1" si="150"/>
        <v>0</v>
      </c>
      <c r="P334" s="496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2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2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IFERROR(__xludf.DUMMYFUNCTION("IMPORTRANGE(""https://docs.google.com/spreadsheets/d/1MeEWN-I1oV_STSDYn1IFDPWt_1FKiwhDph83XaGc0o0/edit?usp=sharing"",""งบพรบ!EP55"")"),962000)</f>
        <v>962000</v>
      </c>
      <c r="M336" s="93">
        <f ca="1">IFERROR(__xludf.DUMMYFUNCTION("IMPORTRANGE(""https://docs.google.com/spreadsheets/d/1MeEWN-I1oV_STSDYn1IFDPWt_1FKiwhDph83XaGc0o0/edit?usp=sharing"",""งบพรบ!ES55"")"),962000)</f>
        <v>962000</v>
      </c>
      <c r="N336" s="93">
        <f ca="1">IFERROR(__xludf.DUMMYFUNCTION("IMPORTRANGE(""https://docs.google.com/spreadsheets/d/1MeEWN-I1oV_STSDYn1IFDPWt_1FKiwhDph83XaGc0o0/edit?usp=sharing"",""งบพรบ!EU55"")"),0)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23" t="s">
        <v>38</v>
      </c>
      <c r="E337" s="173"/>
      <c r="F337" s="173"/>
      <c r="G337" s="174"/>
      <c r="H337" s="753"/>
      <c r="I337" s="184"/>
      <c r="J337" s="269"/>
      <c r="K337" s="496"/>
      <c r="L337" s="496"/>
      <c r="M337" s="496"/>
      <c r="N337" s="496"/>
      <c r="O337" s="163"/>
      <c r="P337" s="163"/>
    </row>
    <row r="338" spans="1:26" ht="18.75">
      <c r="A338" s="284"/>
      <c r="B338" s="33"/>
      <c r="C338" s="280"/>
      <c r="D338" s="446" t="s">
        <v>150</v>
      </c>
      <c r="E338" s="171"/>
      <c r="F338" s="33"/>
      <c r="G338" s="35"/>
      <c r="H338" s="276" t="s">
        <v>35</v>
      </c>
      <c r="I338" s="269">
        <f ca="1">IFERROR(__xludf.DUMMYFUNCTION("IMPORTRANGE(""https://docs.google.com/spreadsheets/d/1QqKyyYR6Q21VydFLVH3TRQUabQu_ym0Zz7PgGX0-kHA/edit?usp=sharing"",""แผน!EG55"")"),4300)</f>
        <v>4300</v>
      </c>
      <c r="J338" s="269">
        <f ca="1">IFERROR(__xludf.DUMMYFUNCTION("IMPORTRANGE(""https://docs.google.com/spreadsheets/d/1kVcqe37tkHyjCSG3S0O1AXqVkqjo8mSIZil3BcpIysc/edit?usp=sharing"",""ศูนย์!D55"")"),1823)</f>
        <v>1823</v>
      </c>
      <c r="K338" s="496">
        <f ca="1">IF(I338&gt;0,J338*100/I338,0)</f>
        <v>42.395348837209305</v>
      </c>
      <c r="L338" s="496"/>
      <c r="M338" s="496"/>
      <c r="N338" s="496"/>
      <c r="O338" s="496"/>
      <c r="P338" s="496"/>
    </row>
    <row r="339" spans="1:26" ht="18.75">
      <c r="A339" s="284"/>
      <c r="B339" s="33"/>
      <c r="C339" s="280"/>
      <c r="D339" s="446" t="s">
        <v>151</v>
      </c>
      <c r="E339" s="171"/>
      <c r="F339" s="33"/>
      <c r="G339" s="35"/>
      <c r="H339" s="276"/>
      <c r="I339" s="269"/>
      <c r="J339" s="269"/>
      <c r="K339" s="496"/>
      <c r="L339" s="496"/>
      <c r="M339" s="496"/>
      <c r="N339" s="496"/>
      <c r="O339" s="496"/>
      <c r="P339" s="496"/>
    </row>
    <row r="340" spans="1:26" ht="18.75">
      <c r="A340" s="284"/>
      <c r="B340" s="33"/>
      <c r="C340" s="280"/>
      <c r="D340" s="178"/>
      <c r="E340" s="446" t="s">
        <v>152</v>
      </c>
      <c r="F340" s="33"/>
      <c r="G340" s="35"/>
      <c r="H340" s="276" t="s">
        <v>153</v>
      </c>
      <c r="I340" s="269">
        <f ca="1">IFERROR(__xludf.DUMMYFUNCTION("IMPORTRANGE(""https://docs.google.com/spreadsheets/d/1QqKyyYR6Q21VydFLVH3TRQUabQu_ym0Zz7PgGX0-kHA/edit?usp=sharing"",""แผน!EH55"")"),7)</f>
        <v>7</v>
      </c>
      <c r="J340" s="269">
        <f ca="1">IFERROR(__xludf.DUMMYFUNCTION("IMPORTRANGE(""https://docs.google.com/spreadsheets/d/1kVcqe37tkHyjCSG3S0O1AXqVkqjo8mSIZil3BcpIysc/edit?usp=sharing"",""ศูนย์!E55"")"),3)</f>
        <v>3</v>
      </c>
      <c r="K340" s="496">
        <f ca="1">IF(I340&gt;0,J340*100/I340,0)</f>
        <v>42.857142857142854</v>
      </c>
      <c r="L340" s="496"/>
      <c r="M340" s="496"/>
      <c r="N340" s="496"/>
      <c r="O340" s="496"/>
      <c r="P340" s="496"/>
    </row>
    <row r="341" spans="1:26" ht="18.75">
      <c r="A341" s="284"/>
      <c r="B341" s="33"/>
      <c r="C341" s="280"/>
      <c r="D341" s="178"/>
      <c r="E341" s="446" t="s">
        <v>154</v>
      </c>
      <c r="F341" s="33"/>
      <c r="G341" s="35"/>
      <c r="H341" s="276" t="s">
        <v>35</v>
      </c>
      <c r="I341" s="269"/>
      <c r="J341" s="269">
        <f ca="1">IFERROR(__xludf.DUMMYFUNCTION("IMPORTRANGE(""https://docs.google.com/spreadsheets/d/1kVcqe37tkHyjCSG3S0O1AXqVkqjo8mSIZil3BcpIysc/edit?usp=sharing"",""ศูนย์!F55"")"),454)</f>
        <v>454</v>
      </c>
      <c r="K341" s="496"/>
      <c r="L341" s="496"/>
      <c r="M341" s="496"/>
      <c r="N341" s="496"/>
      <c r="O341" s="496"/>
      <c r="P341" s="496"/>
    </row>
    <row r="342" spans="1:26" ht="18.75">
      <c r="A342" s="284"/>
      <c r="B342" s="33"/>
      <c r="C342" s="280"/>
      <c r="D342" s="446" t="s">
        <v>155</v>
      </c>
      <c r="E342" s="178"/>
      <c r="F342" s="178"/>
      <c r="G342" s="35"/>
      <c r="H342" s="276" t="s">
        <v>35</v>
      </c>
      <c r="I342" s="269"/>
      <c r="J342" s="269">
        <f ca="1">IFERROR(__xludf.DUMMYFUNCTION("IMPORTRANGE(""https://docs.google.com/spreadsheets/d/1kVcqe37tkHyjCSG3S0O1AXqVkqjo8mSIZil3BcpIysc/edit?usp=sharing"",""ศูนย์!G55"")"),0)</f>
        <v>0</v>
      </c>
      <c r="K342" s="496"/>
      <c r="L342" s="496"/>
      <c r="M342" s="496"/>
      <c r="N342" s="496"/>
      <c r="O342" s="496"/>
      <c r="P342" s="496"/>
    </row>
    <row r="343" spans="1:26" ht="18.75">
      <c r="A343" s="284"/>
      <c r="B343" s="33"/>
      <c r="C343" s="280"/>
      <c r="D343" s="446" t="s">
        <v>156</v>
      </c>
      <c r="E343" s="178"/>
      <c r="F343" s="178"/>
      <c r="G343" s="35"/>
      <c r="H343" s="276" t="s">
        <v>35</v>
      </c>
      <c r="I343" s="269"/>
      <c r="J343" s="269">
        <f ca="1">IFERROR(__xludf.DUMMYFUNCTION("IMPORTRANGE(""https://docs.google.com/spreadsheets/d/1kVcqe37tkHyjCSG3S0O1AXqVkqjo8mSIZil3BcpIysc/edit?usp=sharing"",""ศูนย์!H55"")"),0)</f>
        <v>0</v>
      </c>
      <c r="K343" s="496"/>
      <c r="L343" s="496"/>
      <c r="M343" s="496"/>
      <c r="N343" s="496"/>
      <c r="O343" s="496"/>
      <c r="P343" s="496"/>
    </row>
    <row r="344" spans="1:26" ht="19.5">
      <c r="A344" s="438"/>
      <c r="B344" s="439" t="s">
        <v>157</v>
      </c>
      <c r="C344" s="451"/>
      <c r="D344" s="440"/>
      <c r="E344" s="440"/>
      <c r="F344" s="440"/>
      <c r="G344" s="441"/>
      <c r="H344" s="442"/>
      <c r="I344" s="452"/>
      <c r="J344" s="452"/>
      <c r="K344" s="445"/>
      <c r="L344" s="445"/>
      <c r="M344" s="445"/>
      <c r="N344" s="445"/>
      <c r="O344" s="445"/>
      <c r="P344" s="445"/>
    </row>
    <row r="345" spans="1:26" ht="19.5">
      <c r="A345" s="147"/>
      <c r="B345" s="148"/>
      <c r="C345" s="149" t="s">
        <v>16</v>
      </c>
      <c r="D345" s="822" t="s">
        <v>17</v>
      </c>
      <c r="E345" s="148"/>
      <c r="F345" s="148"/>
      <c r="G345" s="151"/>
      <c r="H345" s="152" t="s">
        <v>12</v>
      </c>
      <c r="I345" s="419"/>
      <c r="J345" s="419"/>
      <c r="K345" s="154"/>
      <c r="L345" s="155">
        <f t="shared" ref="L345:N345" ca="1" si="155">L346+L347</f>
        <v>1441070</v>
      </c>
      <c r="M345" s="155">
        <f t="shared" ca="1" si="155"/>
        <v>840440</v>
      </c>
      <c r="N345" s="155">
        <f t="shared" ca="1" si="155"/>
        <v>559781.47</v>
      </c>
      <c r="O345" s="155">
        <f t="shared" ref="O345:O353" ca="1" si="156">IF(L345&gt;0,N345*100/L345,0)</f>
        <v>38.844849313357436</v>
      </c>
      <c r="P345" s="155">
        <f t="shared" ref="P345:P353" ca="1" si="157">IF(M345&gt;0,N345*100/M345,0)</f>
        <v>66.605762457760221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2" t="s">
        <v>18</v>
      </c>
      <c r="F346" s="40"/>
      <c r="G346" s="157"/>
      <c r="H346" s="158" t="s">
        <v>12</v>
      </c>
      <c r="I346" s="610"/>
      <c r="J346" s="610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2" t="s">
        <v>19</v>
      </c>
      <c r="F347" s="40"/>
      <c r="G347" s="157"/>
      <c r="H347" s="158" t="s">
        <v>12</v>
      </c>
      <c r="I347" s="610"/>
      <c r="J347" s="610"/>
      <c r="K347" s="93"/>
      <c r="L347" s="93">
        <f t="shared" ca="1" si="158"/>
        <v>1441070</v>
      </c>
      <c r="M347" s="93">
        <f t="shared" ca="1" si="158"/>
        <v>840440</v>
      </c>
      <c r="N347" s="93">
        <f t="shared" ca="1" si="158"/>
        <v>559781.47</v>
      </c>
      <c r="O347" s="93">
        <f t="shared" ca="1" si="156"/>
        <v>38.844849313357436</v>
      </c>
      <c r="P347" s="93">
        <f t="shared" ca="1" si="157"/>
        <v>66.605762457760221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1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6">
        <f t="shared" ref="L348:N348" ca="1" si="159">L349+L350</f>
        <v>1201270</v>
      </c>
      <c r="M348" s="496">
        <f t="shared" ca="1" si="159"/>
        <v>600640</v>
      </c>
      <c r="N348" s="496">
        <f t="shared" ca="1" si="159"/>
        <v>319981.46999999997</v>
      </c>
      <c r="O348" s="496">
        <f t="shared" ca="1" si="156"/>
        <v>26.636931747234176</v>
      </c>
      <c r="P348" s="496">
        <f t="shared" ca="1" si="157"/>
        <v>53.273420018646767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2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2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IFERROR(__xludf.DUMMYFUNCTION("IMPORTRANGE(""https://docs.google.com/spreadsheets/d/1MeEWN-I1oV_STSDYn1IFDPWt_1FKiwhDph83XaGc0o0/edit?usp=sharing"",""งบพรบ!EW55"")"),1201270)</f>
        <v>1201270</v>
      </c>
      <c r="M350" s="93">
        <f ca="1">IFERROR(__xludf.DUMMYFUNCTION("IMPORTRANGE(""https://docs.google.com/spreadsheets/d/1MeEWN-I1oV_STSDYn1IFDPWt_1FKiwhDph83XaGc0o0/edit?usp=sharing"",""งบพรบ!FB55"")"),600640)</f>
        <v>600640</v>
      </c>
      <c r="N350" s="93">
        <f ca="1">IFERROR(__xludf.DUMMYFUNCTION("IMPORTRANGE(""https://docs.google.com/spreadsheets/d/1MeEWN-I1oV_STSDYn1IFDPWt_1FKiwhDph83XaGc0o0/edit?usp=sharing"",""งบพรบ!FD55"")"),319981.47)</f>
        <v>319981.46999999997</v>
      </c>
      <c r="O350" s="93">
        <f t="shared" ca="1" si="156"/>
        <v>26.636931747234176</v>
      </c>
      <c r="P350" s="93">
        <f t="shared" ca="1" si="157"/>
        <v>53.273420018646767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1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6">
        <f t="shared" ref="L351:N351" ca="1" si="160">L352+L353</f>
        <v>239800</v>
      </c>
      <c r="M351" s="496">
        <f t="shared" ca="1" si="160"/>
        <v>239800</v>
      </c>
      <c r="N351" s="496">
        <f t="shared" ca="1" si="160"/>
        <v>239800</v>
      </c>
      <c r="O351" s="496">
        <f t="shared" ca="1" si="156"/>
        <v>100</v>
      </c>
      <c r="P351" s="496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2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2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IFERROR(__xludf.DUMMYFUNCTION("IMPORTRANGE(""https://docs.google.com/spreadsheets/d/1MeEWN-I1oV_STSDYn1IFDPWt_1FKiwhDph83XaGc0o0/edit?usp=sharing"",""งบพรบ!EZ55"")"),239800)</f>
        <v>239800</v>
      </c>
      <c r="M353" s="93">
        <f ca="1">IFERROR(__xludf.DUMMYFUNCTION("IMPORTRANGE(""https://docs.google.com/spreadsheets/d/1MeEWN-I1oV_STSDYn1IFDPWt_1FKiwhDph83XaGc0o0/edit?usp=sharing"",""งบพรบ!FC55"")"),239800)</f>
        <v>239800</v>
      </c>
      <c r="N353" s="93">
        <f ca="1">IFERROR(__xludf.DUMMYFUNCTION("IMPORTRANGE(""https://docs.google.com/spreadsheets/d/1MeEWN-I1oV_STSDYn1IFDPWt_1FKiwhDph83XaGc0o0/edit?usp=sharing"",""งบพรบ!FE55"")"),239800)</f>
        <v>239800</v>
      </c>
      <c r="O353" s="93">
        <f t="shared" ca="1" si="156"/>
        <v>100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5"/>
      <c r="B354" s="263"/>
      <c r="C354" s="256"/>
      <c r="D354" s="832" t="s">
        <v>158</v>
      </c>
      <c r="E354" s="256"/>
      <c r="F354" s="256"/>
      <c r="G354" s="258"/>
      <c r="H354" s="454"/>
      <c r="I354" s="260"/>
      <c r="J354" s="260"/>
      <c r="K354" s="261"/>
      <c r="L354" s="261"/>
      <c r="M354" s="261"/>
      <c r="N354" s="261"/>
      <c r="O354" s="261"/>
      <c r="P354" s="261"/>
    </row>
    <row r="355" spans="1:26" ht="19.5">
      <c r="A355" s="455"/>
      <c r="B355" s="456"/>
      <c r="C355" s="457"/>
      <c r="D355" s="833" t="s">
        <v>159</v>
      </c>
      <c r="E355" s="459"/>
      <c r="F355" s="459"/>
      <c r="G355" s="460"/>
      <c r="H355" s="461" t="s">
        <v>35</v>
      </c>
      <c r="I355" s="463">
        <f ca="1">IFERROR(__xludf.DUMMYFUNCTION("IMPORTRANGE(""https://docs.google.com/spreadsheets/d/1QqKyyYR6Q21VydFLVH3TRQUabQu_ym0Zz7PgGX0-kHA/edit?usp=sharing"",""แผน!EP55"")"),450)</f>
        <v>450</v>
      </c>
      <c r="J355" s="463">
        <f ca="1">J362</f>
        <v>62</v>
      </c>
      <c r="K355" s="464">
        <f ca="1">IF(I355&gt;0,J355*100/I355,0)</f>
        <v>13.777777777777779</v>
      </c>
      <c r="L355" s="465"/>
      <c r="M355" s="465"/>
      <c r="N355" s="465"/>
      <c r="O355" s="465"/>
      <c r="P355" s="465"/>
    </row>
    <row r="356" spans="1:26" ht="19.5">
      <c r="A356" s="455"/>
      <c r="B356" s="456"/>
      <c r="C356" s="457"/>
      <c r="D356" s="466" t="s">
        <v>160</v>
      </c>
      <c r="E356" s="459"/>
      <c r="F356" s="459"/>
      <c r="G356" s="460"/>
      <c r="H356" s="467"/>
      <c r="I356" s="468"/>
      <c r="J356" s="468"/>
      <c r="K356" s="465"/>
      <c r="L356" s="465"/>
      <c r="M356" s="465"/>
      <c r="N356" s="465"/>
      <c r="O356" s="465"/>
      <c r="P356" s="465"/>
    </row>
    <row r="357" spans="1:26" ht="19.5">
      <c r="A357" s="170"/>
      <c r="B357" s="171"/>
      <c r="C357" s="164" t="s">
        <v>16</v>
      </c>
      <c r="D357" s="823" t="s">
        <v>38</v>
      </c>
      <c r="E357" s="173"/>
      <c r="F357" s="173"/>
      <c r="G357" s="174"/>
      <c r="H357" s="753"/>
      <c r="I357" s="269"/>
      <c r="J357" s="269"/>
      <c r="K357" s="496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69">
        <v>0</v>
      </c>
      <c r="J358" s="269">
        <f ca="1">IFERROR(__xludf.DUMMYFUNCTION("IMPORTRANGE(""https://docs.google.com/spreadsheets/d/1XWAQStnk-4SwqDmLtmXYiTMKHgktTP8We1SCoS47DrQ/edit?usp=sharing"",""จัดที่ดิน!W55"")"),125)</f>
        <v>125</v>
      </c>
      <c r="K358" s="496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69">
        <f ca="1">IFERROR(__xludf.DUMMYFUNCTION("IMPORTRANGE(""https://docs.google.com/spreadsheets/d/1QqKyyYR6Q21VydFLVH3TRQUabQu_ym0Zz7PgGX0-kHA/edit?usp=sharing"",""แผน!EO55"")"),4500)</f>
        <v>4500</v>
      </c>
      <c r="J359" s="269">
        <f ca="1">IFERROR(__xludf.DUMMYFUNCTION("IMPORTRANGE(""https://docs.google.com/spreadsheets/d/1XWAQStnk-4SwqDmLtmXYiTMKHgktTP8We1SCoS47DrQ/edit?usp=sharing"",""จัดที่ดิน!X55"")"),1338.8)</f>
        <v>1338.8</v>
      </c>
      <c r="K359" s="496">
        <f t="shared" ca="1" si="161"/>
        <v>29.751111111111111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755" t="s">
        <v>35</v>
      </c>
      <c r="I360" s="269">
        <f ca="1">IFERROR(__xludf.DUMMYFUNCTION("IMPORTRANGE(""https://docs.google.com/spreadsheets/d/1QqKyyYR6Q21VydFLVH3TRQUabQu_ym0Zz7PgGX0-kHA/edit?usp=sharing"",""แผน!EP55"")"),450)</f>
        <v>450</v>
      </c>
      <c r="J360" s="269">
        <f ca="1">IFERROR(__xludf.DUMMYFUNCTION("IMPORTRANGE(""https://docs.google.com/spreadsheets/d/1XWAQStnk-4SwqDmLtmXYiTMKHgktTP8We1SCoS47DrQ/edit?usp=sharing"",""จัดที่ดิน!Y55"")"),82)</f>
        <v>82</v>
      </c>
      <c r="K360" s="496">
        <f t="shared" ca="1" si="161"/>
        <v>18.222222222222221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755" t="s">
        <v>46</v>
      </c>
      <c r="I361" s="269">
        <v>0</v>
      </c>
      <c r="J361" s="269">
        <f ca="1">IFERROR(__xludf.DUMMYFUNCTION("IMPORTRANGE(""https://docs.google.com/spreadsheets/d/1XWAQStnk-4SwqDmLtmXYiTMKHgktTP8We1SCoS47DrQ/edit?usp=sharing"",""จัดที่ดิน!Z55"")"),1286.3)</f>
        <v>1286.3</v>
      </c>
      <c r="K361" s="496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755" t="s">
        <v>35</v>
      </c>
      <c r="I362" s="269">
        <f ca="1">IFERROR(__xludf.DUMMYFUNCTION("IMPORTRANGE(""https://docs.google.com/spreadsheets/d/1QqKyyYR6Q21VydFLVH3TRQUabQu_ym0Zz7PgGX0-kHA/edit?usp=sharing"",""แผน!EP55"")"),450)</f>
        <v>450</v>
      </c>
      <c r="J362" s="269">
        <f ca="1">IFERROR(__xludf.DUMMYFUNCTION("IMPORTRANGE(""https://docs.google.com/spreadsheets/d/1XWAQStnk-4SwqDmLtmXYiTMKHgktTP8We1SCoS47DrQ/edit?usp=sharing"",""จัดที่ดิน!AA55"")"),62)</f>
        <v>62</v>
      </c>
      <c r="K362" s="496">
        <f t="shared" ca="1" si="161"/>
        <v>13.777777777777779</v>
      </c>
      <c r="L362" s="163"/>
      <c r="M362" s="163"/>
      <c r="N362" s="163"/>
      <c r="O362" s="163"/>
      <c r="P362" s="163"/>
    </row>
    <row r="363" spans="1:26" ht="18.75">
      <c r="A363" s="469" t="s">
        <v>164</v>
      </c>
      <c r="B363" s="178"/>
      <c r="C363" s="171"/>
      <c r="D363" s="178"/>
      <c r="E363" s="446"/>
      <c r="F363" s="178"/>
      <c r="G363" s="179"/>
      <c r="H363" s="755" t="s">
        <v>46</v>
      </c>
      <c r="I363" s="269">
        <v>0</v>
      </c>
      <c r="J363" s="269">
        <f ca="1">IFERROR(__xludf.DUMMYFUNCTION("IMPORTRANGE(""https://docs.google.com/spreadsheets/d/1XWAQStnk-4SwqDmLtmXYiTMKHgktTP8We1SCoS47DrQ/edit?usp=sharing"",""จัดที่ดิน!AB55"")"),866.62)</f>
        <v>866.62</v>
      </c>
      <c r="K363" s="496">
        <f t="shared" si="161"/>
        <v>0</v>
      </c>
      <c r="L363" s="163"/>
      <c r="M363" s="163"/>
      <c r="N363" s="163"/>
      <c r="O363" s="163"/>
      <c r="P363" s="163"/>
    </row>
    <row r="364" spans="1:26" ht="19.5">
      <c r="A364" s="470"/>
      <c r="B364" s="471"/>
      <c r="C364" s="472"/>
      <c r="D364" s="473" t="s">
        <v>165</v>
      </c>
      <c r="E364" s="474"/>
      <c r="F364" s="474"/>
      <c r="G364" s="475"/>
      <c r="H364" s="476" t="s">
        <v>35</v>
      </c>
      <c r="I364" s="477">
        <f t="shared" ref="I364:J364" ca="1" si="162">I365+I374</f>
        <v>850</v>
      </c>
      <c r="J364" s="477">
        <f t="shared" ca="1" si="162"/>
        <v>130</v>
      </c>
      <c r="K364" s="478">
        <f t="shared" ca="1" si="161"/>
        <v>15.294117647058824</v>
      </c>
      <c r="L364" s="479"/>
      <c r="M364" s="479"/>
      <c r="N364" s="479"/>
      <c r="O364" s="479"/>
      <c r="P364" s="479"/>
      <c r="Q364" s="480"/>
      <c r="R364" s="480"/>
      <c r="S364" s="480"/>
      <c r="T364" s="480"/>
      <c r="U364" s="480"/>
      <c r="V364" s="480"/>
      <c r="W364" s="480"/>
      <c r="X364" s="480"/>
      <c r="Y364" s="480"/>
      <c r="Z364" s="480"/>
    </row>
    <row r="365" spans="1:26" ht="19.5">
      <c r="A365" s="481"/>
      <c r="B365" s="482"/>
      <c r="C365" s="484"/>
      <c r="D365" s="484" t="s">
        <v>166</v>
      </c>
      <c r="E365" s="485"/>
      <c r="F365" s="485"/>
      <c r="G365" s="486"/>
      <c r="H365" s="487" t="s">
        <v>35</v>
      </c>
      <c r="I365" s="489">
        <f ca="1">IFERROR(__xludf.DUMMYFUNCTION("IMPORTRANGE(""https://docs.google.com/spreadsheets/d/1QqKyyYR6Q21VydFLVH3TRQUabQu_ym0Zz7PgGX0-kHA/edit?usp=sharing"",""แผน!EJ55"")"),150)</f>
        <v>150</v>
      </c>
      <c r="J365" s="489">
        <f ca="1">J372</f>
        <v>49</v>
      </c>
      <c r="K365" s="490">
        <f t="shared" ca="1" si="161"/>
        <v>32.666666666666664</v>
      </c>
      <c r="L365" s="491"/>
      <c r="M365" s="491"/>
      <c r="N365" s="491"/>
      <c r="O365" s="491"/>
      <c r="P365" s="491"/>
      <c r="Q365" s="480"/>
      <c r="R365" s="480"/>
      <c r="S365" s="480"/>
      <c r="T365" s="480"/>
      <c r="U365" s="480"/>
      <c r="V365" s="480"/>
      <c r="W365" s="480"/>
      <c r="X365" s="480"/>
      <c r="Y365" s="480"/>
      <c r="Z365" s="480"/>
    </row>
    <row r="366" spans="1:26" ht="19.5">
      <c r="A366" s="481"/>
      <c r="B366" s="482"/>
      <c r="C366" s="484"/>
      <c r="D366" s="492" t="s">
        <v>167</v>
      </c>
      <c r="E366" s="485"/>
      <c r="F366" s="485"/>
      <c r="G366" s="486"/>
      <c r="H366" s="493"/>
      <c r="I366" s="494"/>
      <c r="J366" s="494"/>
      <c r="K366" s="491"/>
      <c r="L366" s="491"/>
      <c r="M366" s="491"/>
      <c r="N366" s="491"/>
      <c r="O366" s="491"/>
      <c r="P366" s="491"/>
      <c r="Q366" s="480"/>
      <c r="R366" s="480"/>
      <c r="S366" s="480"/>
      <c r="T366" s="480"/>
      <c r="U366" s="480"/>
      <c r="V366" s="480"/>
      <c r="W366" s="480"/>
      <c r="X366" s="480"/>
      <c r="Y366" s="480"/>
      <c r="Z366" s="480"/>
    </row>
    <row r="367" spans="1:26" ht="19.5">
      <c r="A367" s="170"/>
      <c r="B367" s="171"/>
      <c r="C367" s="164" t="s">
        <v>16</v>
      </c>
      <c r="D367" s="823" t="s">
        <v>38</v>
      </c>
      <c r="E367" s="173"/>
      <c r="F367" s="173"/>
      <c r="G367" s="174"/>
      <c r="H367" s="753"/>
      <c r="I367" s="269"/>
      <c r="J367" s="269"/>
      <c r="K367" s="496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69">
        <v>0</v>
      </c>
      <c r="J368" s="269">
        <f ca="1">IFERROR(__xludf.DUMMYFUNCTION("IMPORTRANGE(""https://docs.google.com/spreadsheets/d/1XWAQStnk-4SwqDmLtmXYiTMKHgktTP8We1SCoS47DrQ/edit?usp=sharing"",""จัดที่ดิน!E55"")"),93)</f>
        <v>93</v>
      </c>
      <c r="K368" s="496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69">
        <f ca="1">IFERROR(__xludf.DUMMYFUNCTION("IMPORTRANGE(""https://docs.google.com/spreadsheets/d/1QqKyyYR6Q21VydFLVH3TRQUabQu_ym0Zz7PgGX0-kHA/edit?usp=sharing"",""แผน!EI55"")"),1500)</f>
        <v>1500</v>
      </c>
      <c r="J369" s="269">
        <f ca="1">IFERROR(__xludf.DUMMYFUNCTION("IMPORTRANGE(""https://docs.google.com/spreadsheets/d/1XWAQStnk-4SwqDmLtmXYiTMKHgktTP8We1SCoS47DrQ/edit?usp=sharing"",""จัดที่ดิน!F55"")"),1047.97)</f>
        <v>1047.97</v>
      </c>
      <c r="K369" s="496">
        <f t="shared" ca="1" si="163"/>
        <v>69.864666666666665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55" t="s">
        <v>35</v>
      </c>
      <c r="I370" s="269">
        <f ca="1">IFERROR(__xludf.DUMMYFUNCTION("IMPORTRANGE(""https://docs.google.com/spreadsheets/d/1QqKyyYR6Q21VydFLVH3TRQUabQu_ym0Zz7PgGX0-kHA/edit?usp=sharing"",""แผน!EJ55"")"),150)</f>
        <v>150</v>
      </c>
      <c r="J370" s="269">
        <f ca="1">IFERROR(__xludf.DUMMYFUNCTION("IMPORTRANGE(""https://docs.google.com/spreadsheets/d/1XWAQStnk-4SwqDmLtmXYiTMKHgktTP8We1SCoS47DrQ/edit?usp=sharing"",""จัดที่ดิน!G55"")"),59)</f>
        <v>59</v>
      </c>
      <c r="K370" s="496">
        <f t="shared" ca="1" si="163"/>
        <v>39.333333333333336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55" t="s">
        <v>46</v>
      </c>
      <c r="I371" s="269">
        <v>0</v>
      </c>
      <c r="J371" s="269">
        <f ca="1">IFERROR(__xludf.DUMMYFUNCTION("IMPORTRANGE(""https://docs.google.com/spreadsheets/d/1XWAQStnk-4SwqDmLtmXYiTMKHgktTP8We1SCoS47DrQ/edit?usp=sharing"",""จัดที่ดิน!H55"")"),1020.61)</f>
        <v>1020.61</v>
      </c>
      <c r="K371" s="496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55" t="s">
        <v>35</v>
      </c>
      <c r="I372" s="269">
        <f ca="1">IFERROR(__xludf.DUMMYFUNCTION("IMPORTRANGE(""https://docs.google.com/spreadsheets/d/1QqKyyYR6Q21VydFLVH3TRQUabQu_ym0Zz7PgGX0-kHA/edit?usp=sharing"",""แผน!EJ55"")"),150)</f>
        <v>150</v>
      </c>
      <c r="J372" s="269">
        <f ca="1">IFERROR(__xludf.DUMMYFUNCTION("IMPORTRANGE(""https://docs.google.com/spreadsheets/d/1XWAQStnk-4SwqDmLtmXYiTMKHgktTP8We1SCoS47DrQ/edit?usp=sharing"",""จัดที่ดิน!I55"")"),49)</f>
        <v>49</v>
      </c>
      <c r="K372" s="496">
        <f t="shared" ca="1" si="163"/>
        <v>32.666666666666664</v>
      </c>
      <c r="L372" s="163"/>
      <c r="M372" s="163"/>
      <c r="N372" s="163"/>
      <c r="O372" s="163"/>
      <c r="P372" s="163"/>
    </row>
    <row r="373" spans="1:26" ht="18.75">
      <c r="A373" s="469" t="s">
        <v>164</v>
      </c>
      <c r="B373" s="178"/>
      <c r="C373" s="171"/>
      <c r="D373" s="178"/>
      <c r="E373" s="446"/>
      <c r="F373" s="178"/>
      <c r="G373" s="179"/>
      <c r="H373" s="755" t="s">
        <v>46</v>
      </c>
      <c r="I373" s="269">
        <v>0</v>
      </c>
      <c r="J373" s="269">
        <f ca="1">IFERROR(__xludf.DUMMYFUNCTION("IMPORTRANGE(""https://docs.google.com/spreadsheets/d/1XWAQStnk-4SwqDmLtmXYiTMKHgktTP8We1SCoS47DrQ/edit?usp=sharing"",""จัดที่ดิน!J55"")"),727.66)</f>
        <v>727.66</v>
      </c>
      <c r="K373" s="496">
        <f t="shared" si="163"/>
        <v>0</v>
      </c>
      <c r="L373" s="163"/>
      <c r="M373" s="163"/>
      <c r="N373" s="163"/>
      <c r="O373" s="163"/>
      <c r="P373" s="163"/>
    </row>
    <row r="374" spans="1:26" ht="19.5">
      <c r="A374" s="481"/>
      <c r="B374" s="482"/>
      <c r="C374" s="484"/>
      <c r="D374" s="484" t="s">
        <v>168</v>
      </c>
      <c r="E374" s="485"/>
      <c r="F374" s="485"/>
      <c r="G374" s="486"/>
      <c r="H374" s="487" t="s">
        <v>35</v>
      </c>
      <c r="I374" s="495">
        <f ca="1">IFERROR(__xludf.DUMMYFUNCTION("IMPORTRANGE(""https://docs.google.com/spreadsheets/d/1QqKyyYR6Q21VydFLVH3TRQUabQu_ym0Zz7PgGX0-kHA/edit?usp=sharing"",""แผน!EU55"")"),700)</f>
        <v>700</v>
      </c>
      <c r="J374" s="489">
        <f ca="1">J381</f>
        <v>81</v>
      </c>
      <c r="K374" s="490">
        <f t="shared" ca="1" si="163"/>
        <v>11.571428571428571</v>
      </c>
      <c r="L374" s="491"/>
      <c r="M374" s="491"/>
      <c r="N374" s="491"/>
      <c r="O374" s="491"/>
      <c r="P374" s="491"/>
      <c r="Q374" s="480"/>
      <c r="R374" s="480"/>
      <c r="S374" s="480"/>
      <c r="T374" s="480"/>
      <c r="U374" s="480"/>
      <c r="V374" s="480"/>
      <c r="W374" s="480"/>
      <c r="X374" s="480"/>
      <c r="Y374" s="480"/>
      <c r="Z374" s="480"/>
    </row>
    <row r="375" spans="1:26" ht="19.5">
      <c r="A375" s="481"/>
      <c r="B375" s="482"/>
      <c r="C375" s="484"/>
      <c r="D375" s="492" t="s">
        <v>169</v>
      </c>
      <c r="E375" s="485"/>
      <c r="F375" s="485"/>
      <c r="G375" s="486"/>
      <c r="H375" s="493"/>
      <c r="I375" s="494"/>
      <c r="J375" s="494"/>
      <c r="K375" s="491"/>
      <c r="L375" s="491"/>
      <c r="M375" s="491"/>
      <c r="N375" s="491"/>
      <c r="O375" s="491"/>
      <c r="P375" s="491"/>
      <c r="Q375" s="480"/>
      <c r="R375" s="480"/>
      <c r="S375" s="480"/>
      <c r="T375" s="480"/>
      <c r="U375" s="480"/>
      <c r="V375" s="480"/>
      <c r="W375" s="480"/>
      <c r="X375" s="480"/>
      <c r="Y375" s="480"/>
      <c r="Z375" s="480"/>
    </row>
    <row r="376" spans="1:26" ht="19.5">
      <c r="A376" s="170"/>
      <c r="B376" s="171"/>
      <c r="C376" s="164" t="s">
        <v>16</v>
      </c>
      <c r="D376" s="823" t="s">
        <v>38</v>
      </c>
      <c r="E376" s="173"/>
      <c r="F376" s="173"/>
      <c r="G376" s="174"/>
      <c r="H376" s="753"/>
      <c r="I376" s="269"/>
      <c r="J376" s="269"/>
      <c r="K376" s="496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69">
        <v>0</v>
      </c>
      <c r="J377" s="269">
        <f ca="1">IFERROR(__xludf.DUMMYFUNCTION("IMPORTRANGE(""https://docs.google.com/spreadsheets/d/1XWAQStnk-4SwqDmLtmXYiTMKHgktTP8We1SCoS47DrQ/edit?usp=sharing"",""จัดที่ดิน!AH55"")"),32)</f>
        <v>32</v>
      </c>
      <c r="K377" s="496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69">
        <f ca="1">IFERROR(__xludf.DUMMYFUNCTION("IMPORTRANGE(""https://docs.google.com/spreadsheets/d/1QqKyyYR6Q21VydFLVH3TRQUabQu_ym0Zz7PgGX0-kHA/edit?usp=sharing"",""แผน!ET55"")"),3000)</f>
        <v>3000</v>
      </c>
      <c r="J378" s="269">
        <f ca="1">IFERROR(__xludf.DUMMYFUNCTION("IMPORTRANGE(""https://docs.google.com/spreadsheets/d/1XWAQStnk-4SwqDmLtmXYiTMKHgktTP8We1SCoS47DrQ/edit?usp=sharing"",""จัดที่ดิน!AI55"")"),290.83)</f>
        <v>290.83</v>
      </c>
      <c r="K378" s="496">
        <f t="shared" ca="1" si="164"/>
        <v>9.6943333333333328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55" t="s">
        <v>35</v>
      </c>
      <c r="I379" s="269">
        <f ca="1">IFERROR(__xludf.DUMMYFUNCTION("IMPORTRANGE(""https://docs.google.com/spreadsheets/d/1QqKyyYR6Q21VydFLVH3TRQUabQu_ym0Zz7PgGX0-kHA/edit?usp=sharing"",""แผน!EU55"")"),700)</f>
        <v>700</v>
      </c>
      <c r="J379" s="269">
        <f ca="1">IFERROR(__xludf.DUMMYFUNCTION("IMPORTRANGE(""https://docs.google.com/spreadsheets/d/1XWAQStnk-4SwqDmLtmXYiTMKHgktTP8We1SCoS47DrQ/edit?usp=sharing"",""จัดที่ดิน!AJ55"")"),90)</f>
        <v>90</v>
      </c>
      <c r="K379" s="496">
        <f t="shared" ca="1" si="164"/>
        <v>12.857142857142858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55" t="s">
        <v>46</v>
      </c>
      <c r="I380" s="269">
        <v>0</v>
      </c>
      <c r="J380" s="269">
        <f ca="1">IFERROR(__xludf.DUMMYFUNCTION("IMPORTRANGE(""https://docs.google.com/spreadsheets/d/1XWAQStnk-4SwqDmLtmXYiTMKHgktTP8We1SCoS47DrQ/edit?usp=sharing"",""จัดที่ดิน!AK55"")"),1353.25)</f>
        <v>1353.25</v>
      </c>
      <c r="K380" s="496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55" t="s">
        <v>35</v>
      </c>
      <c r="I381" s="269">
        <f ca="1">IFERROR(__xludf.DUMMYFUNCTION("IMPORTRANGE(""https://docs.google.com/spreadsheets/d/1QqKyyYR6Q21VydFLVH3TRQUabQu_ym0Zz7PgGX0-kHA/edit?usp=sharing"",""แผน!EU55"")"),700)</f>
        <v>700</v>
      </c>
      <c r="J381" s="269">
        <f ca="1">IFERROR(__xludf.DUMMYFUNCTION("IMPORTRANGE(""https://docs.google.com/spreadsheets/d/1XWAQStnk-4SwqDmLtmXYiTMKHgktTP8We1SCoS47DrQ/edit?usp=sharing"",""จัดที่ดิน!AL55"")"),81)</f>
        <v>81</v>
      </c>
      <c r="K381" s="496">
        <f t="shared" ca="1" si="164"/>
        <v>11.571428571428571</v>
      </c>
      <c r="L381" s="163"/>
      <c r="M381" s="163"/>
      <c r="N381" s="163"/>
      <c r="O381" s="163"/>
      <c r="P381" s="163"/>
    </row>
    <row r="382" spans="1:26" ht="18.75">
      <c r="A382" s="469" t="s">
        <v>164</v>
      </c>
      <c r="B382" s="178"/>
      <c r="C382" s="171"/>
      <c r="D382" s="178"/>
      <c r="E382" s="446"/>
      <c r="F382" s="178"/>
      <c r="G382" s="179"/>
      <c r="H382" s="755" t="s">
        <v>46</v>
      </c>
      <c r="I382" s="269">
        <v>0</v>
      </c>
      <c r="J382" s="269">
        <f ca="1">IFERROR(__xludf.DUMMYFUNCTION("IMPORTRANGE(""https://docs.google.com/spreadsheets/d/1XWAQStnk-4SwqDmLtmXYiTMKHgktTP8We1SCoS47DrQ/edit?usp=sharing"",""จัดที่ดิน!AM55"")"),1226.52)</f>
        <v>1226.52</v>
      </c>
      <c r="K382" s="496">
        <f t="shared" si="164"/>
        <v>0</v>
      </c>
      <c r="L382" s="163"/>
      <c r="M382" s="163"/>
      <c r="N382" s="163"/>
      <c r="O382" s="163"/>
      <c r="P382" s="163"/>
    </row>
    <row r="383" spans="1:26" ht="19.5">
      <c r="A383" s="255"/>
      <c r="B383" s="263"/>
      <c r="C383" s="256"/>
      <c r="D383" s="832" t="s">
        <v>170</v>
      </c>
      <c r="E383" s="256"/>
      <c r="F383" s="256"/>
      <c r="G383" s="258"/>
      <c r="H383" s="454"/>
      <c r="I383" s="260"/>
      <c r="J383" s="260"/>
      <c r="K383" s="261"/>
      <c r="L383" s="261"/>
      <c r="M383" s="261"/>
      <c r="N383" s="261"/>
      <c r="O383" s="261"/>
      <c r="P383" s="261"/>
    </row>
    <row r="384" spans="1:26" ht="19.5">
      <c r="A384" s="170"/>
      <c r="B384" s="171"/>
      <c r="C384" s="33" t="s">
        <v>16</v>
      </c>
      <c r="D384" s="823" t="s">
        <v>38</v>
      </c>
      <c r="E384" s="173"/>
      <c r="F384" s="173"/>
      <c r="G384" s="174"/>
      <c r="H384" s="753"/>
      <c r="I384" s="269"/>
      <c r="J384" s="269"/>
      <c r="K384" s="496"/>
      <c r="L384" s="163"/>
      <c r="M384" s="163"/>
      <c r="N384" s="163"/>
      <c r="O384" s="163"/>
      <c r="P384" s="163"/>
    </row>
    <row r="385" spans="1:26" ht="18.75">
      <c r="A385" s="377"/>
      <c r="B385" s="380"/>
      <c r="C385" s="378"/>
      <c r="D385" s="380"/>
      <c r="E385" s="497" t="s">
        <v>163</v>
      </c>
      <c r="F385" s="380"/>
      <c r="G385" s="381"/>
      <c r="H385" s="498" t="s">
        <v>35</v>
      </c>
      <c r="I385" s="499">
        <f ca="1">IFERROR(__xludf.DUMMYFUNCTION("IMPORTRANGE(""https://docs.google.com/spreadsheets/d/1QqKyyYR6Q21VydFLVH3TRQUabQu_ym0Zz7PgGX0-kHA/edit?usp=sharing"",""แผน!EW55"")"),50)</f>
        <v>50</v>
      </c>
      <c r="J385" s="499">
        <f ca="1">IFERROR(__xludf.DUMMYFUNCTION("IMPORTRANGE(""https://docs.google.com/spreadsheets/d/1XWAQStnk-4SwqDmLtmXYiTMKHgktTP8We1SCoS47DrQ/edit?usp=sharing"",""จัดที่ดิน!AP55"")"),0)</f>
        <v>0</v>
      </c>
      <c r="K385" s="500">
        <f ca="1">IF(I385&gt;0,J385*100/I385,0)</f>
        <v>0</v>
      </c>
      <c r="L385" s="384"/>
      <c r="M385" s="384"/>
      <c r="N385" s="384"/>
      <c r="O385" s="384"/>
      <c r="P385" s="384"/>
    </row>
    <row r="386" spans="1:26" ht="19.5" hidden="1">
      <c r="A386" s="501" t="s">
        <v>171</v>
      </c>
      <c r="B386" s="502"/>
      <c r="C386" s="502"/>
      <c r="D386" s="502"/>
      <c r="E386" s="503"/>
      <c r="F386" s="503"/>
      <c r="G386" s="504"/>
      <c r="H386" s="505"/>
      <c r="I386" s="506"/>
      <c r="J386" s="506"/>
      <c r="K386" s="507"/>
      <c r="L386" s="507"/>
      <c r="M386" s="507"/>
      <c r="N386" s="507"/>
      <c r="O386" s="507"/>
      <c r="P386" s="507"/>
    </row>
    <row r="387" spans="1:26" ht="19.5" hidden="1">
      <c r="A387" s="508" t="s">
        <v>172</v>
      </c>
      <c r="B387" s="509"/>
      <c r="C387" s="509"/>
      <c r="D387" s="510"/>
      <c r="E387" s="509"/>
      <c r="F387" s="509"/>
      <c r="G387" s="509"/>
      <c r="H387" s="511"/>
      <c r="I387" s="512"/>
      <c r="J387" s="512"/>
      <c r="K387" s="513"/>
      <c r="L387" s="513"/>
      <c r="M387" s="513"/>
      <c r="N387" s="513"/>
      <c r="O387" s="513"/>
      <c r="P387" s="513"/>
    </row>
    <row r="388" spans="1:26" ht="19.5" hidden="1">
      <c r="A388" s="514"/>
      <c r="B388" s="515" t="s">
        <v>173</v>
      </c>
      <c r="C388" s="516"/>
      <c r="D388" s="517"/>
      <c r="E388" s="517"/>
      <c r="F388" s="517"/>
      <c r="G388" s="518"/>
      <c r="H388" s="519" t="s">
        <v>69</v>
      </c>
      <c r="I388" s="520">
        <f t="shared" ref="I388:J388" si="165">I400</f>
        <v>0</v>
      </c>
      <c r="J388" s="520">
        <f t="shared" si="165"/>
        <v>0</v>
      </c>
      <c r="K388" s="521">
        <f>IF(I388&gt;0,J388*100/I388,0)</f>
        <v>0</v>
      </c>
      <c r="L388" s="522"/>
      <c r="M388" s="522"/>
      <c r="N388" s="522"/>
      <c r="O388" s="522"/>
      <c r="P388" s="522"/>
    </row>
    <row r="389" spans="1:26" ht="19.5" hidden="1">
      <c r="A389" s="147"/>
      <c r="B389" s="148"/>
      <c r="C389" s="149" t="s">
        <v>16</v>
      </c>
      <c r="D389" s="822" t="s">
        <v>17</v>
      </c>
      <c r="E389" s="148"/>
      <c r="F389" s="148"/>
      <c r="G389" s="151"/>
      <c r="H389" s="152" t="s">
        <v>12</v>
      </c>
      <c r="I389" s="419"/>
      <c r="J389" s="419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2" t="s">
        <v>18</v>
      </c>
      <c r="F390" s="40"/>
      <c r="G390" s="157"/>
      <c r="H390" s="158" t="s">
        <v>12</v>
      </c>
      <c r="I390" s="610"/>
      <c r="J390" s="610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2" t="s">
        <v>19</v>
      </c>
      <c r="F391" s="40"/>
      <c r="G391" s="157"/>
      <c r="H391" s="158" t="s">
        <v>12</v>
      </c>
      <c r="I391" s="610"/>
      <c r="J391" s="610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1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6">
        <f t="shared" ref="L392:N392" ca="1" si="170">L393+L394</f>
        <v>0</v>
      </c>
      <c r="M392" s="496">
        <f t="shared" ca="1" si="170"/>
        <v>0</v>
      </c>
      <c r="N392" s="496">
        <f t="shared" ca="1" si="170"/>
        <v>0</v>
      </c>
      <c r="O392" s="496">
        <f t="shared" ca="1" si="167"/>
        <v>0</v>
      </c>
      <c r="P392" s="496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2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2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IFERROR(__xludf.DUMMYFUNCTION("IMPORTRANGE(""https://docs.google.com/spreadsheets/d/1MeEWN-I1oV_STSDYn1IFDPWt_1FKiwhDph83XaGc0o0/edit?usp=sharing"",""งบพรบ!FG55"")"),0)</f>
        <v>0</v>
      </c>
      <c r="M394" s="93">
        <f ca="1">IFERROR(__xludf.DUMMYFUNCTION("IMPORTRANGE(""https://docs.google.com/spreadsheets/d/1MeEWN-I1oV_STSDYn1IFDPWt_1FKiwhDph83XaGc0o0/edit?usp=sharing"",""งบพรบ!FL55"")"),0)</f>
        <v>0</v>
      </c>
      <c r="N394" s="93">
        <f ca="1">IFERROR(__xludf.DUMMYFUNCTION("IMPORTRANGE(""https://docs.google.com/spreadsheets/d/1MeEWN-I1oV_STSDYn1IFDPWt_1FKiwhDph83XaGc0o0/edit?usp=sharing"",""งบพรบ!FN55"")"),0)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1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6">
        <f t="shared" ref="L395:N395" ca="1" si="171">L396+L397</f>
        <v>0</v>
      </c>
      <c r="M395" s="496">
        <f t="shared" ca="1" si="171"/>
        <v>0</v>
      </c>
      <c r="N395" s="496">
        <f t="shared" ca="1" si="171"/>
        <v>0</v>
      </c>
      <c r="O395" s="496">
        <f t="shared" ca="1" si="167"/>
        <v>0</v>
      </c>
      <c r="P395" s="496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2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2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IFERROR(__xludf.DUMMYFUNCTION("IMPORTRANGE(""https://docs.google.com/spreadsheets/d/1MeEWN-I1oV_STSDYn1IFDPWt_1FKiwhDph83XaGc0o0/edit?usp=sharing"",""งบพรบ!FJ55"")"),0)</f>
        <v>0</v>
      </c>
      <c r="M397" s="93">
        <f ca="1">IFERROR(__xludf.DUMMYFUNCTION("IMPORTRANGE(""https://docs.google.com/spreadsheets/d/1MeEWN-I1oV_STSDYn1IFDPWt_1FKiwhDph83XaGc0o0/edit?usp=sharing"",""งบพรบ!FM55"")"),0)</f>
        <v>0</v>
      </c>
      <c r="N397" s="93">
        <f ca="1">IFERROR(__xludf.DUMMYFUNCTION("IMPORTRANGE(""https://docs.google.com/spreadsheets/d/1MeEWN-I1oV_STSDYn1IFDPWt_1FKiwhDph83XaGc0o0/edit?usp=sharing"",""งบพรบ!FO55"")"),0)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23" t="s">
        <v>38</v>
      </c>
      <c r="E398" s="173"/>
      <c r="F398" s="173"/>
      <c r="G398" s="174"/>
      <c r="H398" s="753"/>
      <c r="I398" s="184"/>
      <c r="J398" s="269"/>
      <c r="K398" s="496"/>
      <c r="L398" s="496"/>
      <c r="M398" s="496"/>
      <c r="N398" s="496"/>
      <c r="O398" s="163"/>
      <c r="P398" s="163"/>
    </row>
    <row r="399" spans="1:26" ht="18.75" hidden="1">
      <c r="A399" s="523"/>
      <c r="B399" s="148"/>
      <c r="C399" s="524"/>
      <c r="D399" s="525" t="s">
        <v>174</v>
      </c>
      <c r="E399" s="414"/>
      <c r="F399" s="148"/>
      <c r="G399" s="151"/>
      <c r="H399" s="526" t="s">
        <v>9</v>
      </c>
      <c r="I399" s="269">
        <v>0</v>
      </c>
      <c r="J399" s="214">
        <v>0</v>
      </c>
      <c r="K399" s="496">
        <f t="shared" ref="K399:K401" si="172">IF(I399&gt;0,J399*100/I399,0)</f>
        <v>0</v>
      </c>
      <c r="L399" s="527"/>
      <c r="M399" s="527"/>
      <c r="N399" s="527"/>
      <c r="O399" s="527"/>
      <c r="P399" s="527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4"/>
      <c r="B400" s="33"/>
      <c r="C400" s="280"/>
      <c r="D400" s="446" t="s">
        <v>175</v>
      </c>
      <c r="E400" s="171"/>
      <c r="F400" s="33"/>
      <c r="G400" s="35"/>
      <c r="H400" s="276" t="s">
        <v>69</v>
      </c>
      <c r="I400" s="269">
        <v>0</v>
      </c>
      <c r="J400" s="214">
        <v>0</v>
      </c>
      <c r="K400" s="496">
        <f t="shared" si="172"/>
        <v>0</v>
      </c>
      <c r="L400" s="496"/>
      <c r="M400" s="496"/>
      <c r="N400" s="496"/>
      <c r="O400" s="496"/>
      <c r="P400" s="496"/>
    </row>
    <row r="401" spans="1:26" ht="19.5" hidden="1">
      <c r="A401" s="514"/>
      <c r="B401" s="515" t="s">
        <v>176</v>
      </c>
      <c r="C401" s="516"/>
      <c r="D401" s="517"/>
      <c r="E401" s="517"/>
      <c r="F401" s="517"/>
      <c r="G401" s="518"/>
      <c r="H401" s="519" t="s">
        <v>69</v>
      </c>
      <c r="I401" s="520">
        <f t="shared" ref="I401:J401" si="173">I412</f>
        <v>0</v>
      </c>
      <c r="J401" s="520">
        <f t="shared" si="173"/>
        <v>0</v>
      </c>
      <c r="K401" s="521">
        <f t="shared" si="172"/>
        <v>0</v>
      </c>
      <c r="L401" s="522"/>
      <c r="M401" s="522"/>
      <c r="N401" s="522"/>
      <c r="O401" s="522"/>
      <c r="P401" s="522"/>
    </row>
    <row r="402" spans="1:26" ht="19.5" hidden="1">
      <c r="A402" s="147"/>
      <c r="B402" s="148"/>
      <c r="C402" s="149" t="s">
        <v>16</v>
      </c>
      <c r="D402" s="822" t="s">
        <v>17</v>
      </c>
      <c r="E402" s="148"/>
      <c r="F402" s="148"/>
      <c r="G402" s="151"/>
      <c r="H402" s="152" t="s">
        <v>12</v>
      </c>
      <c r="I402" s="419"/>
      <c r="J402" s="419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2" t="s">
        <v>18</v>
      </c>
      <c r="F403" s="40"/>
      <c r="G403" s="157"/>
      <c r="H403" s="158" t="s">
        <v>12</v>
      </c>
      <c r="I403" s="610"/>
      <c r="J403" s="610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2" t="s">
        <v>19</v>
      </c>
      <c r="F404" s="40"/>
      <c r="G404" s="157"/>
      <c r="H404" s="158" t="s">
        <v>12</v>
      </c>
      <c r="I404" s="610"/>
      <c r="J404" s="610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1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6">
        <f t="shared" ref="L405:N405" ca="1" si="178">L406+L407</f>
        <v>0</v>
      </c>
      <c r="M405" s="496">
        <f t="shared" ca="1" si="178"/>
        <v>0</v>
      </c>
      <c r="N405" s="496">
        <f t="shared" ca="1" si="178"/>
        <v>0</v>
      </c>
      <c r="O405" s="496">
        <f t="shared" ca="1" si="175"/>
        <v>0</v>
      </c>
      <c r="P405" s="496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2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2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IFERROR(__xludf.DUMMYFUNCTION("IMPORTRANGE(""https://docs.google.com/spreadsheets/d/1MeEWN-I1oV_STSDYn1IFDPWt_1FKiwhDph83XaGc0o0/edit?usp=sharing"",""งบพรบ!FQ55"")"),0)</f>
        <v>0</v>
      </c>
      <c r="M407" s="93">
        <f ca="1">IFERROR(__xludf.DUMMYFUNCTION("IMPORTRANGE(""https://docs.google.com/spreadsheets/d/1MeEWN-I1oV_STSDYn1IFDPWt_1FKiwhDph83XaGc0o0/edit?usp=sharing"",""งบพรบ!FV55"")"),0)</f>
        <v>0</v>
      </c>
      <c r="N407" s="93">
        <f ca="1">IFERROR(__xludf.DUMMYFUNCTION("IMPORTRANGE(""https://docs.google.com/spreadsheets/d/1MeEWN-I1oV_STSDYn1IFDPWt_1FKiwhDph83XaGc0o0/edit?usp=sharing"",""งบพรบ!FX55"")"),0)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1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6">
        <f t="shared" ref="L408:N408" ca="1" si="179">L409+L410</f>
        <v>0</v>
      </c>
      <c r="M408" s="496">
        <f t="shared" ca="1" si="179"/>
        <v>0</v>
      </c>
      <c r="N408" s="496">
        <f t="shared" ca="1" si="179"/>
        <v>0</v>
      </c>
      <c r="O408" s="496">
        <f t="shared" ca="1" si="175"/>
        <v>0</v>
      </c>
      <c r="P408" s="496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2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2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IFERROR(__xludf.DUMMYFUNCTION("IMPORTRANGE(""https://docs.google.com/spreadsheets/d/1MeEWN-I1oV_STSDYn1IFDPWt_1FKiwhDph83XaGc0o0/edit?usp=sharing"",""งบพรบ!FT55"")"),0)</f>
        <v>0</v>
      </c>
      <c r="M410" s="93">
        <f ca="1">IFERROR(__xludf.DUMMYFUNCTION("IMPORTRANGE(""https://docs.google.com/spreadsheets/d/1MeEWN-I1oV_STSDYn1IFDPWt_1FKiwhDph83XaGc0o0/edit?usp=sharing"",""งบพรบ!FW55"")"),0)</f>
        <v>0</v>
      </c>
      <c r="N410" s="93">
        <f ca="1">IFERROR(__xludf.DUMMYFUNCTION("IMPORTRANGE(""https://docs.google.com/spreadsheets/d/1MeEWN-I1oV_STSDYn1IFDPWt_1FKiwhDph83XaGc0o0/edit?usp=sharing"",""งบพรบ!FY55"")"),0)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34" t="s">
        <v>38</v>
      </c>
      <c r="E411" s="529"/>
      <c r="F411" s="529"/>
      <c r="G411" s="530"/>
      <c r="H411" s="753"/>
      <c r="I411" s="269"/>
      <c r="J411" s="269"/>
      <c r="K411" s="496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6" t="s">
        <v>177</v>
      </c>
      <c r="E412" s="178"/>
      <c r="F412" s="178"/>
      <c r="G412" s="179"/>
      <c r="H412" s="531" t="s">
        <v>69</v>
      </c>
      <c r="I412" s="269">
        <v>0</v>
      </c>
      <c r="J412" s="214">
        <v>0</v>
      </c>
      <c r="K412" s="496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2"/>
      <c r="B413" s="533"/>
      <c r="C413" s="533"/>
      <c r="D413" s="534" t="s">
        <v>178</v>
      </c>
      <c r="E413" s="533"/>
      <c r="F413" s="533"/>
      <c r="G413" s="535"/>
      <c r="H413" s="536" t="s">
        <v>179</v>
      </c>
      <c r="I413" s="537">
        <v>0</v>
      </c>
      <c r="J413" s="538">
        <v>0</v>
      </c>
      <c r="K413" s="539">
        <f t="shared" si="180"/>
        <v>0</v>
      </c>
      <c r="L413" s="540"/>
      <c r="M413" s="540"/>
      <c r="N413" s="540"/>
      <c r="O413" s="540"/>
      <c r="P413" s="540"/>
    </row>
    <row r="414" spans="1:26" ht="19.5">
      <c r="A414" s="541" t="s">
        <v>180</v>
      </c>
      <c r="B414" s="542"/>
      <c r="C414" s="542"/>
      <c r="D414" s="542"/>
      <c r="E414" s="542"/>
      <c r="F414" s="542"/>
      <c r="G414" s="543"/>
      <c r="H414" s="544"/>
      <c r="I414" s="545"/>
      <c r="J414" s="545"/>
      <c r="K414" s="546"/>
      <c r="L414" s="547">
        <f t="shared" ref="L414:N414" ca="1" si="181">L419+L444+L467+L502+L523+L544+L629+L655+L685+L737+L754+L770+L786+L805</f>
        <v>1891528</v>
      </c>
      <c r="M414" s="547">
        <f t="shared" si="181"/>
        <v>0</v>
      </c>
      <c r="N414" s="547">
        <f t="shared" si="181"/>
        <v>84602.97</v>
      </c>
      <c r="O414" s="547">
        <f ca="1">IF(L414&gt;0,N414*100/L414,0)</f>
        <v>4.4727315693978626</v>
      </c>
      <c r="P414" s="547">
        <f>IF(M414&gt;0,N414*100/M414,0)</f>
        <v>0</v>
      </c>
    </row>
    <row r="415" spans="1:26" ht="19.5">
      <c r="A415" s="548" t="s">
        <v>181</v>
      </c>
      <c r="B415" s="549"/>
      <c r="C415" s="549"/>
      <c r="D415" s="549"/>
      <c r="E415" s="549"/>
      <c r="F415" s="549"/>
      <c r="G415" s="549"/>
      <c r="H415" s="550"/>
      <c r="I415" s="551"/>
      <c r="J415" s="551"/>
      <c r="K415" s="552"/>
      <c r="L415" s="553"/>
      <c r="M415" s="553"/>
      <c r="N415" s="553"/>
      <c r="O415" s="553"/>
      <c r="P415" s="553"/>
    </row>
    <row r="416" spans="1:26" ht="19.5">
      <c r="A416" s="548" t="s">
        <v>182</v>
      </c>
      <c r="B416" s="549"/>
      <c r="C416" s="549"/>
      <c r="D416" s="549"/>
      <c r="E416" s="549"/>
      <c r="F416" s="549"/>
      <c r="G416" s="554"/>
      <c r="H416" s="555"/>
      <c r="I416" s="556"/>
      <c r="J416" s="556"/>
      <c r="K416" s="553"/>
      <c r="L416" s="553"/>
      <c r="M416" s="553"/>
      <c r="N416" s="553"/>
      <c r="O416" s="553"/>
      <c r="P416" s="553"/>
    </row>
    <row r="417" spans="1:26" ht="39">
      <c r="A417" s="557">
        <v>1</v>
      </c>
      <c r="B417" s="559" t="s">
        <v>183</v>
      </c>
      <c r="C417" s="559"/>
      <c r="D417" s="560"/>
      <c r="E417" s="560"/>
      <c r="F417" s="560"/>
      <c r="G417" s="561"/>
      <c r="H417" s="562" t="s">
        <v>35</v>
      </c>
      <c r="I417" s="563">
        <f t="shared" ref="I417:J418" ca="1" si="182">I433</f>
        <v>40</v>
      </c>
      <c r="J417" s="563">
        <f t="shared" ca="1" si="182"/>
        <v>0</v>
      </c>
      <c r="K417" s="564">
        <f t="shared" ref="K417:K418" ca="1" si="183">IF(I417&gt;0,J417*100/I417,0)</f>
        <v>0</v>
      </c>
      <c r="L417" s="565"/>
      <c r="M417" s="565"/>
      <c r="N417" s="565"/>
      <c r="O417" s="565"/>
      <c r="P417" s="565"/>
    </row>
    <row r="418" spans="1:26" ht="19.5">
      <c r="A418" s="566"/>
      <c r="B418" s="557"/>
      <c r="C418" s="559"/>
      <c r="D418" s="560"/>
      <c r="E418" s="560"/>
      <c r="F418" s="560"/>
      <c r="G418" s="561"/>
      <c r="H418" s="562" t="s">
        <v>49</v>
      </c>
      <c r="I418" s="563">
        <f t="shared" ca="1" si="182"/>
        <v>2</v>
      </c>
      <c r="J418" s="563">
        <f t="shared" si="182"/>
        <v>0</v>
      </c>
      <c r="K418" s="564">
        <f t="shared" ca="1" si="183"/>
        <v>0</v>
      </c>
      <c r="L418" s="565"/>
      <c r="M418" s="565"/>
      <c r="N418" s="565"/>
      <c r="O418" s="565"/>
      <c r="P418" s="565"/>
    </row>
    <row r="419" spans="1:26" ht="19.5">
      <c r="A419" s="147"/>
      <c r="B419" s="148"/>
      <c r="C419" s="148" t="s">
        <v>16</v>
      </c>
      <c r="D419" s="868" t="s">
        <v>17</v>
      </c>
      <c r="E419" s="862"/>
      <c r="F419" s="862"/>
      <c r="G419" s="151"/>
      <c r="H419" s="274" t="s">
        <v>12</v>
      </c>
      <c r="I419" s="419"/>
      <c r="J419" s="419"/>
      <c r="K419" s="154"/>
      <c r="L419" s="155">
        <f t="shared" ref="L419:N419" ca="1" si="184">L420+L421</f>
        <v>133680</v>
      </c>
      <c r="M419" s="155">
        <f t="shared" si="184"/>
        <v>0</v>
      </c>
      <c r="N419" s="155">
        <f t="shared" si="184"/>
        <v>2840</v>
      </c>
      <c r="O419" s="155">
        <f t="shared" ref="O419:O424" ca="1" si="185">IF(L419&gt;0,N419*100/L419,0)</f>
        <v>2.1244763614602036</v>
      </c>
      <c r="P419" s="155">
        <f t="shared" ref="P419:P424" si="186">IF(M419&gt;0,N419*100/M419,0)</f>
        <v>0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2"/>
      <c r="E420" s="222" t="s">
        <v>184</v>
      </c>
      <c r="F420" s="40"/>
      <c r="G420" s="157"/>
      <c r="H420" s="165" t="s">
        <v>12</v>
      </c>
      <c r="I420" s="610"/>
      <c r="J420" s="610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2"/>
      <c r="E421" s="222" t="s">
        <v>185</v>
      </c>
      <c r="F421" s="40"/>
      <c r="G421" s="157"/>
      <c r="H421" s="165" t="s">
        <v>12</v>
      </c>
      <c r="I421" s="610"/>
      <c r="J421" s="610"/>
      <c r="K421" s="93"/>
      <c r="L421" s="93">
        <f t="shared" ca="1" si="187"/>
        <v>133680</v>
      </c>
      <c r="M421" s="93">
        <f t="shared" si="187"/>
        <v>0</v>
      </c>
      <c r="N421" s="93">
        <f t="shared" si="187"/>
        <v>2840</v>
      </c>
      <c r="O421" s="93">
        <f t="shared" ca="1" si="185"/>
        <v>2.1244763614602036</v>
      </c>
      <c r="P421" s="93">
        <f t="shared" si="186"/>
        <v>0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0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6">
        <f t="shared" ref="L422:N422" ca="1" si="188">L423+L424</f>
        <v>133680</v>
      </c>
      <c r="M422" s="496">
        <f t="shared" si="188"/>
        <v>0</v>
      </c>
      <c r="N422" s="496">
        <f t="shared" si="188"/>
        <v>2840</v>
      </c>
      <c r="O422" s="496">
        <f t="shared" ca="1" si="185"/>
        <v>2.1244763614602036</v>
      </c>
      <c r="P422" s="496">
        <f t="shared" si="186"/>
        <v>0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2"/>
      <c r="E423" s="222" t="s">
        <v>184</v>
      </c>
      <c r="F423" s="40"/>
      <c r="G423" s="157"/>
      <c r="H423" s="165" t="s">
        <v>12</v>
      </c>
      <c r="I423" s="610"/>
      <c r="J423" s="610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2"/>
      <c r="E424" s="222" t="s">
        <v>185</v>
      </c>
      <c r="F424" s="40"/>
      <c r="G424" s="157"/>
      <c r="H424" s="165" t="s">
        <v>12</v>
      </c>
      <c r="I424" s="610"/>
      <c r="J424" s="610"/>
      <c r="K424" s="93"/>
      <c r="L424" s="93">
        <f ca="1">IFERROR(__xludf.DUMMYFUNCTION("IMPORTRANGE(""https://docs.google.com/spreadsheets/d/1QqKyyYR6Q21VydFLVH3TRQUabQu_ym0Zz7PgGX0-kHA/edit?usp=sharing"",""แผน!EY55"")"),133680)</f>
        <v>133680</v>
      </c>
      <c r="M424" s="93">
        <v>0</v>
      </c>
      <c r="N424" s="93">
        <f>N425+N426+N427+N428</f>
        <v>2840</v>
      </c>
      <c r="O424" s="93">
        <f t="shared" ca="1" si="185"/>
        <v>2.1244763614602036</v>
      </c>
      <c r="P424" s="93">
        <f t="shared" si="186"/>
        <v>0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67"/>
      <c r="B425" s="568"/>
      <c r="C425" s="754"/>
      <c r="D425" s="754"/>
      <c r="E425" s="754"/>
      <c r="F425" s="754" t="s">
        <v>186</v>
      </c>
      <c r="G425" s="189"/>
      <c r="H425" s="161" t="s">
        <v>12</v>
      </c>
      <c r="I425" s="269"/>
      <c r="J425" s="269"/>
      <c r="K425" s="496"/>
      <c r="L425" s="496"/>
      <c r="M425" s="496"/>
      <c r="N425" s="817">
        <v>0</v>
      </c>
      <c r="O425" s="496"/>
      <c r="P425" s="496"/>
      <c r="Q425" s="571"/>
      <c r="R425" s="571"/>
      <c r="S425" s="571"/>
      <c r="T425" s="571"/>
      <c r="U425" s="571"/>
      <c r="V425" s="571"/>
      <c r="W425" s="571"/>
      <c r="X425" s="571"/>
      <c r="Y425" s="571"/>
      <c r="Z425" s="571"/>
    </row>
    <row r="426" spans="1:26" ht="18.75">
      <c r="A426" s="567"/>
      <c r="B426" s="568"/>
      <c r="C426" s="754"/>
      <c r="D426" s="754"/>
      <c r="E426" s="754"/>
      <c r="F426" s="754" t="s">
        <v>187</v>
      </c>
      <c r="G426" s="189"/>
      <c r="H426" s="161" t="s">
        <v>12</v>
      </c>
      <c r="I426" s="269"/>
      <c r="J426" s="269"/>
      <c r="K426" s="496"/>
      <c r="L426" s="496"/>
      <c r="M426" s="496"/>
      <c r="N426" s="817">
        <v>0</v>
      </c>
      <c r="O426" s="496"/>
      <c r="P426" s="496"/>
      <c r="Q426" s="571"/>
      <c r="R426" s="571"/>
      <c r="S426" s="571"/>
      <c r="T426" s="571"/>
      <c r="U426" s="571"/>
      <c r="V426" s="571"/>
      <c r="W426" s="571"/>
      <c r="X426" s="571"/>
      <c r="Y426" s="571"/>
      <c r="Z426" s="571"/>
    </row>
    <row r="427" spans="1:26" ht="18.75">
      <c r="A427" s="567"/>
      <c r="B427" s="568"/>
      <c r="C427" s="754"/>
      <c r="D427" s="754"/>
      <c r="E427" s="754"/>
      <c r="F427" s="754" t="s">
        <v>188</v>
      </c>
      <c r="G427" s="189"/>
      <c r="H427" s="161" t="s">
        <v>12</v>
      </c>
      <c r="I427" s="269"/>
      <c r="J427" s="269"/>
      <c r="K427" s="496"/>
      <c r="L427" s="496"/>
      <c r="M427" s="496"/>
      <c r="N427" s="817">
        <v>0</v>
      </c>
      <c r="O427" s="496"/>
      <c r="P427" s="496"/>
      <c r="Q427" s="571"/>
      <c r="R427" s="571"/>
      <c r="S427" s="571"/>
      <c r="T427" s="571"/>
      <c r="U427" s="571"/>
      <c r="V427" s="571"/>
      <c r="W427" s="571"/>
      <c r="X427" s="571"/>
      <c r="Y427" s="571"/>
      <c r="Z427" s="571"/>
    </row>
    <row r="428" spans="1:26" ht="18.75">
      <c r="A428" s="284"/>
      <c r="B428" s="280"/>
      <c r="C428" s="33"/>
      <c r="D428" s="33"/>
      <c r="E428" s="33"/>
      <c r="F428" s="281" t="s">
        <v>189</v>
      </c>
      <c r="G428" s="213"/>
      <c r="H428" s="161" t="s">
        <v>12</v>
      </c>
      <c r="I428" s="269"/>
      <c r="J428" s="269"/>
      <c r="K428" s="496"/>
      <c r="L428" s="496"/>
      <c r="M428" s="496"/>
      <c r="N428" s="817">
        <v>2840</v>
      </c>
      <c r="O428" s="496"/>
      <c r="P428" s="496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0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6">
        <f t="shared" ref="L429:N429" ca="1" si="189">L430+L431</f>
        <v>0</v>
      </c>
      <c r="M429" s="496">
        <f t="shared" si="189"/>
        <v>0</v>
      </c>
      <c r="N429" s="496">
        <f t="shared" si="189"/>
        <v>0</v>
      </c>
      <c r="O429" s="496">
        <f t="shared" ref="O429:O431" ca="1" si="190">IF(L429&gt;0,N429*100/L429,0)</f>
        <v>0</v>
      </c>
      <c r="P429" s="496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6"/>
      <c r="C430" s="40"/>
      <c r="D430" s="40"/>
      <c r="E430" s="222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6"/>
      <c r="C431" s="40"/>
      <c r="D431" s="40"/>
      <c r="E431" s="222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IFERROR(__xludf.DUMMYFUNCTION("IMPORTRANGE(""https://docs.google.com/spreadsheets/d/1QqKyyYR6Q21VydFLVH3TRQUabQu_ym0Zz7PgGX0-kHA/edit?usp=sharing"",""แผน!FB55"")"),0)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3"/>
      <c r="B432" s="414"/>
      <c r="C432" s="148" t="s">
        <v>16</v>
      </c>
      <c r="D432" s="835" t="s">
        <v>38</v>
      </c>
      <c r="E432" s="573"/>
      <c r="F432" s="573"/>
      <c r="G432" s="574"/>
      <c r="H432" s="575"/>
      <c r="I432" s="419"/>
      <c r="J432" s="419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190</v>
      </c>
      <c r="E433" s="178"/>
      <c r="F433" s="178"/>
      <c r="G433" s="179"/>
      <c r="H433" s="196" t="s">
        <v>35</v>
      </c>
      <c r="I433" s="674">
        <f ca="1">I435</f>
        <v>40</v>
      </c>
      <c r="J433" s="674">
        <f ca="1">IF(AND(J435=I435,J437=I437,J439=I439),I437+I439,IF(AND(J435=I437,J437=I437),I437,IF(AND(J435=I439,J439=I439),I439,0)))</f>
        <v>0</v>
      </c>
      <c r="K433" s="195">
        <f t="shared" ref="K433:K435" ca="1" si="192">IF(I433&gt;0,J433*100/I433,0)</f>
        <v>0</v>
      </c>
      <c r="L433" s="496"/>
      <c r="M433" s="496"/>
      <c r="N433" s="496"/>
      <c r="O433" s="496"/>
      <c r="P433" s="496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191</v>
      </c>
      <c r="E434" s="178"/>
      <c r="F434" s="178"/>
      <c r="G434" s="179"/>
      <c r="H434" s="196" t="s">
        <v>49</v>
      </c>
      <c r="I434" s="674">
        <f t="shared" ref="I434:J434" ca="1" si="193">I438+I440</f>
        <v>2</v>
      </c>
      <c r="J434" s="674">
        <f t="shared" si="193"/>
        <v>0</v>
      </c>
      <c r="K434" s="195">
        <f t="shared" ca="1" si="192"/>
        <v>0</v>
      </c>
      <c r="L434" s="496"/>
      <c r="M434" s="496"/>
      <c r="N434" s="496"/>
      <c r="O434" s="496"/>
      <c r="P434" s="496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6" t="s">
        <v>192</v>
      </c>
      <c r="E435" s="178"/>
      <c r="F435" s="178"/>
      <c r="G435" s="179"/>
      <c r="H435" s="616" t="s">
        <v>35</v>
      </c>
      <c r="I435" s="576">
        <f ca="1">IFERROR(__xludf.DUMMYFUNCTION("IMPORTRANGE(""https://docs.google.com/spreadsheets/d/1QqKyyYR6Q21VydFLVH3TRQUabQu_ym0Zz7PgGX0-kHA/edit?usp=sharing"",""แผน!FC55"")"),40)</f>
        <v>40</v>
      </c>
      <c r="J435" s="577">
        <v>0</v>
      </c>
      <c r="K435" s="496">
        <f t="shared" ca="1" si="192"/>
        <v>0</v>
      </c>
      <c r="L435" s="496"/>
      <c r="M435" s="496"/>
      <c r="N435" s="496"/>
      <c r="O435" s="496"/>
      <c r="P435" s="496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6" t="s">
        <v>193</v>
      </c>
      <c r="E436" s="178"/>
      <c r="F436" s="178"/>
      <c r="G436" s="179"/>
      <c r="H436" s="616"/>
      <c r="I436" s="269"/>
      <c r="J436" s="269"/>
      <c r="K436" s="496"/>
      <c r="L436" s="496"/>
      <c r="M436" s="496"/>
      <c r="N436" s="496"/>
      <c r="O436" s="496"/>
      <c r="P436" s="496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6" t="s">
        <v>194</v>
      </c>
      <c r="E437" s="178"/>
      <c r="F437" s="178"/>
      <c r="G437" s="179"/>
      <c r="H437" s="616" t="s">
        <v>35</v>
      </c>
      <c r="I437" s="576">
        <f ca="1">IFERROR(__xludf.DUMMYFUNCTION("IMPORTRANGE(""https://docs.google.com/spreadsheets/d/1QqKyyYR6Q21VydFLVH3TRQUabQu_ym0Zz7PgGX0-kHA/edit?usp=sharing"",""แผน!FD55"")"),20)</f>
        <v>20</v>
      </c>
      <c r="J437" s="577">
        <v>0</v>
      </c>
      <c r="K437" s="496">
        <f t="shared" ref="K437:K443" ca="1" si="194">IF(I437&gt;0,J437*100/I437,0)</f>
        <v>0</v>
      </c>
      <c r="L437" s="496"/>
      <c r="M437" s="496"/>
      <c r="N437" s="496"/>
      <c r="O437" s="496"/>
      <c r="P437" s="496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6" t="s">
        <v>195</v>
      </c>
      <c r="E438" s="178"/>
      <c r="F438" s="178"/>
      <c r="G438" s="179"/>
      <c r="H438" s="616" t="s">
        <v>49</v>
      </c>
      <c r="I438" s="269">
        <f ca="1">IFERROR(__xludf.DUMMYFUNCTION("IMPORTRANGE(""https://docs.google.com/spreadsheets/d/1QqKyyYR6Q21VydFLVH3TRQUabQu_ym0Zz7PgGX0-kHA/edit?usp=sharing"",""แผน!FE55"")"),1)</f>
        <v>1</v>
      </c>
      <c r="J438" s="214">
        <v>0</v>
      </c>
      <c r="K438" s="496">
        <f t="shared" ca="1" si="194"/>
        <v>0</v>
      </c>
      <c r="L438" s="496"/>
      <c r="M438" s="496"/>
      <c r="N438" s="496"/>
      <c r="O438" s="496"/>
      <c r="P438" s="496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6" t="s">
        <v>196</v>
      </c>
      <c r="E439" s="178"/>
      <c r="F439" s="178"/>
      <c r="G439" s="179"/>
      <c r="H439" s="616" t="s">
        <v>35</v>
      </c>
      <c r="I439" s="576">
        <f ca="1">IFERROR(__xludf.DUMMYFUNCTION("IMPORTRANGE(""https://docs.google.com/spreadsheets/d/1QqKyyYR6Q21VydFLVH3TRQUabQu_ym0Zz7PgGX0-kHA/edit?usp=sharing"",""แผน!FF55"")"),20)</f>
        <v>20</v>
      </c>
      <c r="J439" s="577">
        <v>0</v>
      </c>
      <c r="K439" s="496">
        <f t="shared" ca="1" si="194"/>
        <v>0</v>
      </c>
      <c r="L439" s="496"/>
      <c r="M439" s="496"/>
      <c r="N439" s="496"/>
      <c r="O439" s="496"/>
      <c r="P439" s="496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6" t="s">
        <v>197</v>
      </c>
      <c r="E440" s="178"/>
      <c r="F440" s="178"/>
      <c r="G440" s="179"/>
      <c r="H440" s="616" t="s">
        <v>49</v>
      </c>
      <c r="I440" s="269">
        <f ca="1">IFERROR(__xludf.DUMMYFUNCTION("IMPORTRANGE(""https://docs.google.com/spreadsheets/d/1QqKyyYR6Q21VydFLVH3TRQUabQu_ym0Zz7PgGX0-kHA/edit?usp=sharing"",""แผน!FG55"")"),1)</f>
        <v>1</v>
      </c>
      <c r="J440" s="214">
        <v>0</v>
      </c>
      <c r="K440" s="496">
        <f t="shared" ca="1" si="194"/>
        <v>0</v>
      </c>
      <c r="L440" s="496"/>
      <c r="M440" s="496"/>
      <c r="N440" s="496"/>
      <c r="O440" s="496"/>
      <c r="P440" s="496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 hidden="1">
      <c r="A441" s="170"/>
      <c r="B441" s="171"/>
      <c r="C441" s="171"/>
      <c r="D441" s="446" t="s">
        <v>198</v>
      </c>
      <c r="E441" s="178"/>
      <c r="F441" s="178"/>
      <c r="G441" s="179"/>
      <c r="H441" s="616" t="s">
        <v>35</v>
      </c>
      <c r="I441" s="269">
        <f ca="1">IFERROR(__xludf.DUMMYFUNCTION("IMPORTRANGE(""https://docs.google.com/spreadsheets/d/1QqKyyYR6Q21VydFLVH3TRQUabQu_ym0Zz7PgGX0-kHA/edit?usp=sharing"",""แผน!FH55"")"),0)</f>
        <v>0</v>
      </c>
      <c r="J441" s="269">
        <v>0</v>
      </c>
      <c r="K441" s="496">
        <f t="shared" ca="1" si="194"/>
        <v>0</v>
      </c>
      <c r="L441" s="496"/>
      <c r="M441" s="496"/>
      <c r="N441" s="496"/>
      <c r="O441" s="496"/>
      <c r="P441" s="496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78">
        <v>2</v>
      </c>
      <c r="B442" s="579" t="s">
        <v>199</v>
      </c>
      <c r="C442" s="580"/>
      <c r="D442" s="580"/>
      <c r="E442" s="580"/>
      <c r="F442" s="580"/>
      <c r="G442" s="581"/>
      <c r="H442" s="582" t="s">
        <v>35</v>
      </c>
      <c r="I442" s="583">
        <f t="shared" ref="I442:J442" ca="1" si="195">I460</f>
        <v>55</v>
      </c>
      <c r="J442" s="583">
        <f t="shared" si="195"/>
        <v>0</v>
      </c>
      <c r="K442" s="584">
        <f t="shared" ca="1" si="194"/>
        <v>0</v>
      </c>
      <c r="L442" s="585"/>
      <c r="M442" s="585"/>
      <c r="N442" s="585"/>
      <c r="O442" s="585"/>
      <c r="P442" s="585"/>
      <c r="Q442" s="571"/>
      <c r="R442" s="571"/>
      <c r="S442" s="571"/>
      <c r="T442" s="571"/>
      <c r="U442" s="571"/>
      <c r="V442" s="571"/>
      <c r="W442" s="571"/>
      <c r="X442" s="571"/>
      <c r="Y442" s="571"/>
      <c r="Z442" s="571"/>
    </row>
    <row r="443" spans="1:26" ht="19.5">
      <c r="A443" s="586"/>
      <c r="B443" s="587"/>
      <c r="C443" s="588"/>
      <c r="D443" s="588"/>
      <c r="E443" s="588"/>
      <c r="F443" s="588"/>
      <c r="G443" s="589"/>
      <c r="H443" s="562" t="s">
        <v>46</v>
      </c>
      <c r="I443" s="563">
        <f t="shared" ref="I443:J443" ca="1" si="196">I462</f>
        <v>55</v>
      </c>
      <c r="J443" s="563">
        <f t="shared" si="196"/>
        <v>0</v>
      </c>
      <c r="K443" s="564">
        <f t="shared" ca="1" si="194"/>
        <v>0</v>
      </c>
      <c r="L443" s="565"/>
      <c r="M443" s="565"/>
      <c r="N443" s="565"/>
      <c r="O443" s="565"/>
      <c r="P443" s="565"/>
      <c r="Q443" s="571"/>
      <c r="R443" s="571"/>
      <c r="S443" s="571"/>
      <c r="T443" s="571"/>
      <c r="U443" s="571"/>
      <c r="V443" s="571"/>
      <c r="W443" s="571"/>
      <c r="X443" s="571"/>
      <c r="Y443" s="571"/>
      <c r="Z443" s="571"/>
    </row>
    <row r="444" spans="1:26" ht="19.5">
      <c r="A444" s="590"/>
      <c r="B444" s="754"/>
      <c r="C444" s="754" t="s">
        <v>16</v>
      </c>
      <c r="D444" s="863" t="s">
        <v>17</v>
      </c>
      <c r="E444" s="857"/>
      <c r="F444" s="857"/>
      <c r="G444" s="189"/>
      <c r="H444" s="591" t="s">
        <v>12</v>
      </c>
      <c r="I444" s="269"/>
      <c r="J444" s="269"/>
      <c r="K444" s="496"/>
      <c r="L444" s="195">
        <f t="shared" ref="L444:N444" ca="1" si="197">L445+L446</f>
        <v>331500</v>
      </c>
      <c r="M444" s="195">
        <f t="shared" si="197"/>
        <v>0</v>
      </c>
      <c r="N444" s="195">
        <f t="shared" si="197"/>
        <v>28008.67</v>
      </c>
      <c r="O444" s="195">
        <f t="shared" ref="O444:O449" ca="1" si="198">IF(L444&gt;0,N444*100/L444,0)</f>
        <v>8.4490708898944185</v>
      </c>
      <c r="P444" s="195">
        <f t="shared" ref="P444:P449" si="199">IF(M444&gt;0,N444*100/M444,0)</f>
        <v>0</v>
      </c>
      <c r="Q444" s="571"/>
      <c r="R444" s="571"/>
      <c r="S444" s="571"/>
      <c r="T444" s="571"/>
      <c r="U444" s="571"/>
      <c r="V444" s="571"/>
      <c r="W444" s="571"/>
      <c r="X444" s="571"/>
      <c r="Y444" s="571"/>
      <c r="Z444" s="571"/>
    </row>
    <row r="445" spans="1:26" ht="18.75" hidden="1">
      <c r="A445" s="592"/>
      <c r="B445" s="750"/>
      <c r="C445" s="750"/>
      <c r="D445" s="711"/>
      <c r="E445" s="750" t="s">
        <v>184</v>
      </c>
      <c r="F445" s="750"/>
      <c r="G445" s="596"/>
      <c r="H445" s="165" t="s">
        <v>12</v>
      </c>
      <c r="I445" s="610"/>
      <c r="J445" s="610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597"/>
      <c r="R445" s="597"/>
      <c r="S445" s="597"/>
      <c r="T445" s="597"/>
      <c r="U445" s="597"/>
      <c r="V445" s="597"/>
      <c r="W445" s="597"/>
      <c r="X445" s="597"/>
      <c r="Y445" s="597"/>
      <c r="Z445" s="597"/>
    </row>
    <row r="446" spans="1:26" ht="18.75" hidden="1">
      <c r="A446" s="592"/>
      <c r="B446" s="600"/>
      <c r="C446" s="750"/>
      <c r="D446" s="711"/>
      <c r="E446" s="750" t="s">
        <v>185</v>
      </c>
      <c r="F446" s="750"/>
      <c r="G446" s="596"/>
      <c r="H446" s="165" t="s">
        <v>12</v>
      </c>
      <c r="I446" s="610"/>
      <c r="J446" s="610"/>
      <c r="K446" s="93"/>
      <c r="L446" s="93">
        <f t="shared" ca="1" si="200"/>
        <v>331500</v>
      </c>
      <c r="M446" s="93">
        <f t="shared" si="200"/>
        <v>0</v>
      </c>
      <c r="N446" s="93">
        <f t="shared" si="200"/>
        <v>28008.67</v>
      </c>
      <c r="O446" s="93">
        <f t="shared" ca="1" si="198"/>
        <v>8.4490708898944185</v>
      </c>
      <c r="P446" s="93">
        <f t="shared" si="199"/>
        <v>0</v>
      </c>
      <c r="Q446" s="597"/>
      <c r="R446" s="597"/>
      <c r="S446" s="597"/>
      <c r="T446" s="597"/>
      <c r="U446" s="597"/>
      <c r="V446" s="597"/>
      <c r="W446" s="597"/>
      <c r="X446" s="597"/>
      <c r="Y446" s="597"/>
      <c r="Z446" s="597"/>
    </row>
    <row r="447" spans="1:26" ht="18.75">
      <c r="A447" s="590"/>
      <c r="B447" s="568"/>
      <c r="C447" s="754"/>
      <c r="D447" s="599" t="s">
        <v>20</v>
      </c>
      <c r="E447" s="754"/>
      <c r="F447" s="754"/>
      <c r="G447" s="189"/>
      <c r="H447" s="161" t="s">
        <v>12</v>
      </c>
      <c r="I447" s="184"/>
      <c r="J447" s="184"/>
      <c r="K447" s="163"/>
      <c r="L447" s="496">
        <f t="shared" ref="L447:N447" ca="1" si="201">L448+L449</f>
        <v>331500</v>
      </c>
      <c r="M447" s="496">
        <f t="shared" si="201"/>
        <v>0</v>
      </c>
      <c r="N447" s="496">
        <f t="shared" si="201"/>
        <v>28008.67</v>
      </c>
      <c r="O447" s="496">
        <f t="shared" ca="1" si="198"/>
        <v>8.4490708898944185</v>
      </c>
      <c r="P447" s="496">
        <f t="shared" si="199"/>
        <v>0</v>
      </c>
      <c r="Q447" s="571"/>
      <c r="R447" s="571"/>
      <c r="S447" s="571"/>
      <c r="T447" s="571"/>
      <c r="U447" s="571"/>
      <c r="V447" s="571"/>
      <c r="W447" s="571"/>
      <c r="X447" s="571"/>
      <c r="Y447" s="571"/>
      <c r="Z447" s="571"/>
    </row>
    <row r="448" spans="1:26" ht="18.75" hidden="1">
      <c r="A448" s="592"/>
      <c r="B448" s="600"/>
      <c r="C448" s="750"/>
      <c r="D448" s="711"/>
      <c r="E448" s="750" t="s">
        <v>184</v>
      </c>
      <c r="F448" s="750"/>
      <c r="G448" s="596"/>
      <c r="H448" s="165" t="s">
        <v>12</v>
      </c>
      <c r="I448" s="610"/>
      <c r="J448" s="610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597"/>
      <c r="R448" s="597"/>
      <c r="S448" s="597"/>
      <c r="T448" s="597"/>
      <c r="U448" s="597"/>
      <c r="V448" s="597"/>
      <c r="W448" s="597"/>
      <c r="X448" s="597"/>
      <c r="Y448" s="597"/>
      <c r="Z448" s="597"/>
    </row>
    <row r="449" spans="1:26" ht="18.75" hidden="1">
      <c r="A449" s="592"/>
      <c r="B449" s="600"/>
      <c r="C449" s="750"/>
      <c r="D449" s="711"/>
      <c r="E449" s="750" t="s">
        <v>185</v>
      </c>
      <c r="F449" s="750"/>
      <c r="G449" s="596"/>
      <c r="H449" s="165" t="s">
        <v>12</v>
      </c>
      <c r="I449" s="610"/>
      <c r="J449" s="610"/>
      <c r="K449" s="93"/>
      <c r="L449" s="93">
        <f ca="1">IFERROR(__xludf.DUMMYFUNCTION("IMPORTRANGE(""https://docs.google.com/spreadsheets/d/1QqKyyYR6Q21VydFLVH3TRQUabQu_ym0Zz7PgGX0-kHA/edit?usp=sharing"",""แผน!FJ55"")"),331500)</f>
        <v>331500</v>
      </c>
      <c r="M449" s="93">
        <v>0</v>
      </c>
      <c r="N449" s="93">
        <f>N450+N451+N452+N453</f>
        <v>28008.67</v>
      </c>
      <c r="O449" s="93">
        <f t="shared" ca="1" si="198"/>
        <v>8.4490708898944185</v>
      </c>
      <c r="P449" s="93">
        <f t="shared" si="199"/>
        <v>0</v>
      </c>
      <c r="Q449" s="597"/>
      <c r="R449" s="597"/>
      <c r="S449" s="597"/>
      <c r="T449" s="597"/>
      <c r="U449" s="597"/>
      <c r="V449" s="597"/>
      <c r="W449" s="597"/>
      <c r="X449" s="597"/>
      <c r="Y449" s="597"/>
      <c r="Z449" s="597"/>
    </row>
    <row r="450" spans="1:26" ht="18.75">
      <c r="A450" s="567"/>
      <c r="B450" s="568"/>
      <c r="C450" s="754"/>
      <c r="D450" s="754"/>
      <c r="E450" s="754"/>
      <c r="F450" s="754" t="s">
        <v>186</v>
      </c>
      <c r="G450" s="189"/>
      <c r="H450" s="161" t="s">
        <v>12</v>
      </c>
      <c r="I450" s="269"/>
      <c r="J450" s="269"/>
      <c r="K450" s="496"/>
      <c r="L450" s="496"/>
      <c r="M450" s="496"/>
      <c r="N450" s="817">
        <v>0</v>
      </c>
      <c r="O450" s="496"/>
      <c r="P450" s="496"/>
      <c r="Q450" s="571"/>
      <c r="R450" s="571"/>
      <c r="S450" s="571"/>
      <c r="T450" s="571"/>
      <c r="U450" s="571"/>
      <c r="V450" s="571"/>
      <c r="W450" s="571"/>
      <c r="X450" s="571"/>
      <c r="Y450" s="571"/>
      <c r="Z450" s="571"/>
    </row>
    <row r="451" spans="1:26" ht="18.75">
      <c r="A451" s="567"/>
      <c r="B451" s="568"/>
      <c r="C451" s="754"/>
      <c r="D451" s="754"/>
      <c r="E451" s="754"/>
      <c r="F451" s="754" t="s">
        <v>187</v>
      </c>
      <c r="G451" s="189"/>
      <c r="H451" s="161" t="s">
        <v>12</v>
      </c>
      <c r="I451" s="269"/>
      <c r="J451" s="269"/>
      <c r="K451" s="496"/>
      <c r="L451" s="496"/>
      <c r="M451" s="496"/>
      <c r="N451" s="817">
        <v>0</v>
      </c>
      <c r="O451" s="496"/>
      <c r="P451" s="496"/>
      <c r="Q451" s="571"/>
      <c r="R451" s="571"/>
      <c r="S451" s="571"/>
      <c r="T451" s="571"/>
      <c r="U451" s="571"/>
      <c r="V451" s="571"/>
      <c r="W451" s="571"/>
      <c r="X451" s="571"/>
      <c r="Y451" s="571"/>
      <c r="Z451" s="571"/>
    </row>
    <row r="452" spans="1:26" ht="18.75">
      <c r="A452" s="567"/>
      <c r="B452" s="568"/>
      <c r="C452" s="568"/>
      <c r="D452" s="568"/>
      <c r="E452" s="568"/>
      <c r="F452" s="754" t="s">
        <v>188</v>
      </c>
      <c r="G452" s="189"/>
      <c r="H452" s="161" t="s">
        <v>12</v>
      </c>
      <c r="I452" s="269"/>
      <c r="J452" s="269"/>
      <c r="K452" s="496"/>
      <c r="L452" s="496"/>
      <c r="M452" s="496"/>
      <c r="N452" s="817">
        <v>25566.67</v>
      </c>
      <c r="O452" s="496"/>
      <c r="P452" s="496"/>
      <c r="Q452" s="571"/>
      <c r="R452" s="571"/>
      <c r="S452" s="571"/>
      <c r="T452" s="571"/>
      <c r="U452" s="571"/>
      <c r="V452" s="571"/>
      <c r="W452" s="571"/>
      <c r="X452" s="571"/>
      <c r="Y452" s="571"/>
      <c r="Z452" s="571"/>
    </row>
    <row r="453" spans="1:26" ht="18.75">
      <c r="A453" s="567"/>
      <c r="B453" s="568"/>
      <c r="C453" s="568"/>
      <c r="D453" s="568"/>
      <c r="E453" s="568"/>
      <c r="F453" s="754" t="s">
        <v>189</v>
      </c>
      <c r="G453" s="189"/>
      <c r="H453" s="161" t="s">
        <v>12</v>
      </c>
      <c r="I453" s="269"/>
      <c r="J453" s="269"/>
      <c r="K453" s="496"/>
      <c r="L453" s="496"/>
      <c r="M453" s="496"/>
      <c r="N453" s="817">
        <v>2442</v>
      </c>
      <c r="O453" s="496"/>
      <c r="P453" s="496"/>
      <c r="Q453" s="571"/>
      <c r="R453" s="571"/>
      <c r="S453" s="571"/>
      <c r="T453" s="571"/>
      <c r="U453" s="571"/>
      <c r="V453" s="571"/>
      <c r="W453" s="571"/>
      <c r="X453" s="571"/>
      <c r="Y453" s="571"/>
      <c r="Z453" s="571"/>
    </row>
    <row r="454" spans="1:26" ht="18.75">
      <c r="A454" s="590"/>
      <c r="B454" s="568"/>
      <c r="C454" s="568"/>
      <c r="D454" s="599" t="s">
        <v>21</v>
      </c>
      <c r="E454" s="568"/>
      <c r="F454" s="754"/>
      <c r="G454" s="189"/>
      <c r="H454" s="168" t="s">
        <v>12</v>
      </c>
      <c r="I454" s="184"/>
      <c r="J454" s="184"/>
      <c r="K454" s="163"/>
      <c r="L454" s="496">
        <f t="shared" ref="L454:N454" ca="1" si="202">L455+L456</f>
        <v>0</v>
      </c>
      <c r="M454" s="496">
        <f t="shared" si="202"/>
        <v>0</v>
      </c>
      <c r="N454" s="496">
        <f t="shared" si="202"/>
        <v>0</v>
      </c>
      <c r="O454" s="496">
        <f t="shared" ref="O454:O456" ca="1" si="203">IF(L454&gt;0,N454*100/L454,0)</f>
        <v>0</v>
      </c>
      <c r="P454" s="496">
        <f t="shared" ref="P454:P456" si="204">IF(M454&gt;0,N454*100/M454,0)</f>
        <v>0</v>
      </c>
      <c r="Q454" s="571"/>
      <c r="R454" s="571"/>
      <c r="S454" s="571"/>
      <c r="T454" s="571"/>
      <c r="U454" s="571"/>
      <c r="V454" s="571"/>
      <c r="W454" s="571"/>
      <c r="X454" s="571"/>
      <c r="Y454" s="571"/>
      <c r="Z454" s="571"/>
    </row>
    <row r="455" spans="1:26" ht="18.75" hidden="1">
      <c r="A455" s="592"/>
      <c r="B455" s="600"/>
      <c r="C455" s="600"/>
      <c r="D455" s="600"/>
      <c r="E455" s="600" t="s">
        <v>18</v>
      </c>
      <c r="F455" s="750"/>
      <c r="G455" s="596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597"/>
      <c r="R455" s="597"/>
      <c r="S455" s="597"/>
      <c r="T455" s="597"/>
      <c r="U455" s="597"/>
      <c r="V455" s="597"/>
      <c r="W455" s="597"/>
      <c r="X455" s="597"/>
      <c r="Y455" s="597"/>
      <c r="Z455" s="597"/>
    </row>
    <row r="456" spans="1:26" ht="18.75" hidden="1">
      <c r="A456" s="592"/>
      <c r="B456" s="600"/>
      <c r="C456" s="600"/>
      <c r="D456" s="600"/>
      <c r="E456" s="600" t="s">
        <v>19</v>
      </c>
      <c r="F456" s="750"/>
      <c r="G456" s="596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IFERROR(__xludf.DUMMYFUNCTION("IMPORTRANGE(""https://docs.google.com/spreadsheets/d/1QqKyyYR6Q21VydFLVH3TRQUabQu_ym0Zz7PgGX0-kHA/edit?usp=sharing"",""แผน!FM55"")"),0)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597"/>
      <c r="R456" s="597"/>
      <c r="S456" s="597"/>
      <c r="T456" s="597"/>
      <c r="U456" s="597"/>
      <c r="V456" s="597"/>
      <c r="W456" s="597"/>
      <c r="X456" s="597"/>
      <c r="Y456" s="597"/>
      <c r="Z456" s="597"/>
    </row>
    <row r="457" spans="1:26" ht="19.5">
      <c r="A457" s="601"/>
      <c r="B457" s="611"/>
      <c r="C457" s="568" t="s">
        <v>16</v>
      </c>
      <c r="D457" s="836" t="s">
        <v>38</v>
      </c>
      <c r="E457" s="604"/>
      <c r="F457" s="752"/>
      <c r="G457" s="606"/>
      <c r="H457" s="753"/>
      <c r="I457" s="269"/>
      <c r="J457" s="269"/>
      <c r="K457" s="496"/>
      <c r="L457" s="496"/>
      <c r="M457" s="496"/>
      <c r="N457" s="496"/>
      <c r="O457" s="496"/>
      <c r="P457" s="496"/>
      <c r="Q457" s="571"/>
      <c r="R457" s="571"/>
      <c r="S457" s="571"/>
      <c r="T457" s="571"/>
      <c r="U457" s="571"/>
      <c r="V457" s="571"/>
      <c r="W457" s="571"/>
      <c r="X457" s="571"/>
      <c r="Y457" s="571"/>
      <c r="Z457" s="571"/>
    </row>
    <row r="458" spans="1:26" ht="18.75" hidden="1">
      <c r="A458" s="607"/>
      <c r="B458" s="609"/>
      <c r="C458" s="609"/>
      <c r="D458" s="609" t="s">
        <v>200</v>
      </c>
      <c r="E458" s="609"/>
      <c r="F458" s="711"/>
      <c r="G458" s="365"/>
      <c r="H458" s="369" t="s">
        <v>35</v>
      </c>
      <c r="I458" s="610">
        <v>0</v>
      </c>
      <c r="J458" s="610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597"/>
      <c r="R458" s="597"/>
      <c r="S458" s="597"/>
      <c r="T458" s="597"/>
      <c r="U458" s="597"/>
      <c r="V458" s="597"/>
      <c r="W458" s="597"/>
      <c r="X458" s="597"/>
      <c r="Y458" s="597"/>
      <c r="Z458" s="597"/>
    </row>
    <row r="459" spans="1:26" ht="18.75" hidden="1">
      <c r="A459" s="607"/>
      <c r="B459" s="609"/>
      <c r="C459" s="609"/>
      <c r="D459" s="609" t="s">
        <v>201</v>
      </c>
      <c r="E459" s="609"/>
      <c r="F459" s="711"/>
      <c r="G459" s="365"/>
      <c r="H459" s="369"/>
      <c r="I459" s="610"/>
      <c r="J459" s="610"/>
      <c r="K459" s="93"/>
      <c r="L459" s="93"/>
      <c r="M459" s="93"/>
      <c r="N459" s="93"/>
      <c r="O459" s="93"/>
      <c r="P459" s="93"/>
      <c r="Q459" s="597"/>
      <c r="R459" s="597"/>
      <c r="S459" s="597"/>
      <c r="T459" s="597"/>
      <c r="U459" s="597"/>
      <c r="V459" s="597"/>
      <c r="W459" s="597"/>
      <c r="X459" s="597"/>
      <c r="Y459" s="597"/>
      <c r="Z459" s="597"/>
    </row>
    <row r="460" spans="1:26" ht="18.75">
      <c r="A460" s="601"/>
      <c r="B460" s="611"/>
      <c r="C460" s="611"/>
      <c r="D460" s="611" t="s">
        <v>202</v>
      </c>
      <c r="E460" s="611"/>
      <c r="F460" s="619"/>
      <c r="G460" s="753"/>
      <c r="H460" s="755" t="s">
        <v>35</v>
      </c>
      <c r="I460" s="269">
        <f ca="1">IFERROR(__xludf.DUMMYFUNCTION("IMPORTRANGE(""https://docs.google.com/spreadsheets/d/1QqKyyYR6Q21VydFLVH3TRQUabQu_ym0Zz7PgGX0-kHA/edit?usp=sharing"",""แผน!FN55"")"),55)</f>
        <v>55</v>
      </c>
      <c r="J460" s="214">
        <v>0</v>
      </c>
      <c r="K460" s="496">
        <f ca="1">IF(I460&gt;0,J460*100/I460,0)</f>
        <v>0</v>
      </c>
      <c r="L460" s="496"/>
      <c r="M460" s="496"/>
      <c r="N460" s="496"/>
      <c r="O460" s="496"/>
      <c r="P460" s="496"/>
      <c r="Q460" s="571"/>
      <c r="R460" s="571"/>
      <c r="S460" s="571"/>
      <c r="T460" s="571"/>
      <c r="U460" s="571"/>
      <c r="V460" s="571"/>
      <c r="W460" s="571"/>
      <c r="X460" s="571"/>
      <c r="Y460" s="571"/>
      <c r="Z460" s="571"/>
    </row>
    <row r="461" spans="1:26" ht="18.75">
      <c r="A461" s="601"/>
      <c r="B461" s="611"/>
      <c r="C461" s="611"/>
      <c r="D461" s="611" t="s">
        <v>203</v>
      </c>
      <c r="E461" s="619"/>
      <c r="F461" s="619"/>
      <c r="G461" s="753"/>
      <c r="H461" s="755"/>
      <c r="I461" s="269"/>
      <c r="J461" s="269"/>
      <c r="K461" s="496"/>
      <c r="L461" s="496"/>
      <c r="M461" s="496"/>
      <c r="N461" s="496"/>
      <c r="O461" s="496"/>
      <c r="P461" s="496"/>
      <c r="Q461" s="571"/>
      <c r="R461" s="571"/>
      <c r="S461" s="571"/>
      <c r="T461" s="571"/>
      <c r="U461" s="571"/>
      <c r="V461" s="571"/>
      <c r="W461" s="571"/>
      <c r="X461" s="571"/>
      <c r="Y461" s="571"/>
      <c r="Z461" s="571"/>
    </row>
    <row r="462" spans="1:26" ht="18.75">
      <c r="A462" s="601"/>
      <c r="B462" s="611"/>
      <c r="C462" s="611"/>
      <c r="D462" s="611" t="s">
        <v>204</v>
      </c>
      <c r="E462" s="619"/>
      <c r="F462" s="619"/>
      <c r="G462" s="753"/>
      <c r="H462" s="755" t="s">
        <v>46</v>
      </c>
      <c r="I462" s="269">
        <f ca="1">IFERROR(__xludf.DUMMYFUNCTION("IMPORTRANGE(""https://docs.google.com/spreadsheets/d/1QqKyyYR6Q21VydFLVH3TRQUabQu_ym0Zz7PgGX0-kHA/edit?usp=sharing"",""แผน!FO55"")"),55)</f>
        <v>55</v>
      </c>
      <c r="J462" s="214">
        <v>0</v>
      </c>
      <c r="K462" s="496">
        <f ca="1">IF(I462&gt;0,J462*100/I462,0)</f>
        <v>0</v>
      </c>
      <c r="L462" s="496"/>
      <c r="M462" s="496"/>
      <c r="N462" s="496"/>
      <c r="O462" s="496"/>
      <c r="P462" s="496"/>
      <c r="Q462" s="571"/>
      <c r="R462" s="571"/>
      <c r="S462" s="571"/>
      <c r="T462" s="571"/>
      <c r="U462" s="571"/>
      <c r="V462" s="571"/>
      <c r="W462" s="571"/>
      <c r="X462" s="571"/>
      <c r="Y462" s="571"/>
      <c r="Z462" s="571"/>
    </row>
    <row r="463" spans="1:26" ht="18.75">
      <c r="A463" s="601"/>
      <c r="B463" s="611"/>
      <c r="C463" s="611"/>
      <c r="D463" s="611" t="s">
        <v>59</v>
      </c>
      <c r="E463" s="619"/>
      <c r="F463" s="754"/>
      <c r="G463" s="189"/>
      <c r="H463" s="755" t="s">
        <v>46</v>
      </c>
      <c r="I463" s="269">
        <f ca="1">IFERROR(__xludf.DUMMYFUNCTION("IMPORTRANGE(""https://docs.google.com/spreadsheets/d/1QqKyyYR6Q21VydFLVH3TRQUabQu_ym0Zz7PgGX0-kHA/edit?usp=sharing"",""แผน!FO55"")"),55)</f>
        <v>55</v>
      </c>
      <c r="J463" s="214">
        <v>0</v>
      </c>
      <c r="K463" s="496"/>
      <c r="L463" s="496"/>
      <c r="M463" s="496"/>
      <c r="N463" s="496"/>
      <c r="O463" s="496"/>
      <c r="P463" s="496"/>
      <c r="Q463" s="571"/>
      <c r="R463" s="571"/>
      <c r="S463" s="571"/>
      <c r="T463" s="571"/>
      <c r="U463" s="571"/>
      <c r="V463" s="571"/>
      <c r="W463" s="571"/>
      <c r="X463" s="571"/>
      <c r="Y463" s="571"/>
      <c r="Z463" s="571"/>
    </row>
    <row r="464" spans="1:26" ht="19.5">
      <c r="A464" s="601"/>
      <c r="B464" s="611"/>
      <c r="C464" s="611"/>
      <c r="D464" s="611"/>
      <c r="E464" s="619"/>
      <c r="F464" s="619"/>
      <c r="G464" s="613"/>
      <c r="H464" s="755" t="s">
        <v>35</v>
      </c>
      <c r="I464" s="269">
        <f ca="1">IFERROR(__xludf.DUMMYFUNCTION("IMPORTRANGE(""https://docs.google.com/spreadsheets/d/1QqKyyYR6Q21VydFLVH3TRQUabQu_ym0Zz7PgGX0-kHA/edit?usp=sharing"",""แผน!FN55"")"),55)</f>
        <v>55</v>
      </c>
      <c r="J464" s="214">
        <v>0</v>
      </c>
      <c r="K464" s="496"/>
      <c r="L464" s="496"/>
      <c r="M464" s="496"/>
      <c r="N464" s="496"/>
      <c r="O464" s="496"/>
      <c r="P464" s="496"/>
      <c r="Q464" s="571"/>
      <c r="R464" s="571"/>
      <c r="S464" s="571"/>
      <c r="T464" s="571"/>
      <c r="U464" s="571"/>
      <c r="V464" s="571"/>
      <c r="W464" s="571"/>
      <c r="X464" s="571"/>
      <c r="Y464" s="571"/>
      <c r="Z464" s="571"/>
    </row>
    <row r="465" spans="1:26" ht="19.5">
      <c r="A465" s="578">
        <v>3</v>
      </c>
      <c r="B465" s="579" t="s">
        <v>205</v>
      </c>
      <c r="C465" s="580"/>
      <c r="D465" s="580"/>
      <c r="E465" s="580"/>
      <c r="F465" s="580"/>
      <c r="G465" s="581"/>
      <c r="H465" s="582" t="s">
        <v>35</v>
      </c>
      <c r="I465" s="583">
        <f ca="1">IFERROR(__xludf.DUMMYFUNCTION("IMPORTRANGE(""https://docs.google.com/spreadsheets/d/1QqKyyYR6Q21VydFLVH3TRQUabQu_ym0Zz7PgGX0-kHA/edit?usp=sharing"",""แผน!FX55"")"),131)</f>
        <v>131</v>
      </c>
      <c r="J465" s="583">
        <f>J485+J489+J492</f>
        <v>0</v>
      </c>
      <c r="K465" s="584">
        <f t="shared" ref="K465:K466" ca="1" si="205">IF(I465&gt;0,J465*100/I465,0)</f>
        <v>0</v>
      </c>
      <c r="L465" s="585"/>
      <c r="M465" s="585"/>
      <c r="N465" s="585"/>
      <c r="O465" s="585"/>
      <c r="P465" s="585"/>
      <c r="Q465" s="571"/>
      <c r="R465" s="571"/>
      <c r="S465" s="571"/>
      <c r="T465" s="571"/>
      <c r="U465" s="571"/>
      <c r="V465" s="571"/>
      <c r="W465" s="571"/>
      <c r="X465" s="571"/>
      <c r="Y465" s="571"/>
      <c r="Z465" s="571"/>
    </row>
    <row r="466" spans="1:26" ht="19.5">
      <c r="A466" s="586"/>
      <c r="B466" s="587"/>
      <c r="C466" s="588"/>
      <c r="D466" s="588"/>
      <c r="E466" s="588"/>
      <c r="F466" s="588"/>
      <c r="G466" s="589"/>
      <c r="H466" s="562" t="s">
        <v>46</v>
      </c>
      <c r="I466" s="563">
        <f ca="1">IFERROR(__xludf.DUMMYFUNCTION("IMPORTRANGE(""https://docs.google.com/spreadsheets/d/1QqKyyYR6Q21VydFLVH3TRQUabQu_ym0Zz7PgGX0-kHA/edit?usp=sharing"",""แผน!FW55"")"),1300)</f>
        <v>1300</v>
      </c>
      <c r="J466" s="563">
        <f>J483+J487</f>
        <v>0</v>
      </c>
      <c r="K466" s="564">
        <f t="shared" ca="1" si="205"/>
        <v>0</v>
      </c>
      <c r="L466" s="565"/>
      <c r="M466" s="565"/>
      <c r="N466" s="565"/>
      <c r="O466" s="565"/>
      <c r="P466" s="565"/>
      <c r="Q466" s="571"/>
      <c r="R466" s="571"/>
      <c r="S466" s="571"/>
      <c r="T466" s="571"/>
      <c r="U466" s="571"/>
      <c r="V466" s="571"/>
      <c r="W466" s="571"/>
      <c r="X466" s="571"/>
      <c r="Y466" s="571"/>
      <c r="Z466" s="571"/>
    </row>
    <row r="467" spans="1:26" ht="19.5">
      <c r="A467" s="590"/>
      <c r="B467" s="754"/>
      <c r="C467" s="754" t="s">
        <v>16</v>
      </c>
      <c r="D467" s="863" t="s">
        <v>17</v>
      </c>
      <c r="E467" s="857"/>
      <c r="F467" s="857"/>
      <c r="G467" s="189"/>
      <c r="H467" s="591" t="s">
        <v>12</v>
      </c>
      <c r="I467" s="269"/>
      <c r="J467" s="269"/>
      <c r="K467" s="496"/>
      <c r="L467" s="195">
        <f t="shared" ref="L467:N467" ca="1" si="206">L468+L469</f>
        <v>1161548</v>
      </c>
      <c r="M467" s="195">
        <f t="shared" si="206"/>
        <v>0</v>
      </c>
      <c r="N467" s="195">
        <f t="shared" si="206"/>
        <v>15442</v>
      </c>
      <c r="O467" s="195">
        <f t="shared" ref="O467:O472" ca="1" si="207">IF(L467&gt;0,N467*100/L467,0)</f>
        <v>1.3294327914128388</v>
      </c>
      <c r="P467" s="195">
        <f t="shared" ref="P467:P472" si="208">IF(M467&gt;0,N467*100/M467,0)</f>
        <v>0</v>
      </c>
      <c r="Q467" s="571"/>
      <c r="R467" s="571"/>
      <c r="S467" s="571"/>
      <c r="T467" s="571"/>
      <c r="U467" s="571"/>
      <c r="V467" s="571"/>
      <c r="W467" s="571"/>
      <c r="X467" s="571"/>
      <c r="Y467" s="571"/>
      <c r="Z467" s="571"/>
    </row>
    <row r="468" spans="1:26" ht="18.75" hidden="1">
      <c r="A468" s="592"/>
      <c r="B468" s="750"/>
      <c r="C468" s="750"/>
      <c r="D468" s="711"/>
      <c r="E468" s="750" t="s">
        <v>184</v>
      </c>
      <c r="F468" s="750"/>
      <c r="G468" s="596"/>
      <c r="H468" s="165" t="s">
        <v>12</v>
      </c>
      <c r="I468" s="610"/>
      <c r="J468" s="610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597"/>
      <c r="R468" s="597"/>
      <c r="S468" s="597"/>
      <c r="T468" s="597"/>
      <c r="U468" s="597"/>
      <c r="V468" s="597"/>
      <c r="W468" s="597"/>
      <c r="X468" s="597"/>
      <c r="Y468" s="597"/>
      <c r="Z468" s="597"/>
    </row>
    <row r="469" spans="1:26" ht="18.75" hidden="1">
      <c r="A469" s="592"/>
      <c r="B469" s="600"/>
      <c r="C469" s="750"/>
      <c r="D469" s="711"/>
      <c r="E469" s="750" t="s">
        <v>185</v>
      </c>
      <c r="F469" s="750"/>
      <c r="G469" s="596"/>
      <c r="H469" s="165" t="s">
        <v>12</v>
      </c>
      <c r="I469" s="610"/>
      <c r="J469" s="610"/>
      <c r="K469" s="93"/>
      <c r="L469" s="93">
        <f t="shared" ca="1" si="209"/>
        <v>1161548</v>
      </c>
      <c r="M469" s="93">
        <f t="shared" si="209"/>
        <v>0</v>
      </c>
      <c r="N469" s="93">
        <f t="shared" si="209"/>
        <v>15442</v>
      </c>
      <c r="O469" s="93">
        <f t="shared" ca="1" si="207"/>
        <v>1.3294327914128388</v>
      </c>
      <c r="P469" s="93">
        <f t="shared" si="208"/>
        <v>0</v>
      </c>
      <c r="Q469" s="597"/>
      <c r="R469" s="597"/>
      <c r="S469" s="597"/>
      <c r="T469" s="597"/>
      <c r="U469" s="597"/>
      <c r="V469" s="597"/>
      <c r="W469" s="597"/>
      <c r="X469" s="597"/>
      <c r="Y469" s="597"/>
      <c r="Z469" s="597"/>
    </row>
    <row r="470" spans="1:26" ht="18.75">
      <c r="A470" s="590"/>
      <c r="B470" s="568"/>
      <c r="C470" s="754"/>
      <c r="D470" s="599" t="s">
        <v>20</v>
      </c>
      <c r="E470" s="754"/>
      <c r="F470" s="754"/>
      <c r="G470" s="189"/>
      <c r="H470" s="161" t="s">
        <v>12</v>
      </c>
      <c r="I470" s="184"/>
      <c r="J470" s="184"/>
      <c r="K470" s="163"/>
      <c r="L470" s="496">
        <f t="shared" ref="L470:N470" ca="1" si="210">L471+L472</f>
        <v>1161548</v>
      </c>
      <c r="M470" s="496">
        <f t="shared" si="210"/>
        <v>0</v>
      </c>
      <c r="N470" s="496">
        <f t="shared" si="210"/>
        <v>15442</v>
      </c>
      <c r="O470" s="496">
        <f t="shared" ca="1" si="207"/>
        <v>1.3294327914128388</v>
      </c>
      <c r="P470" s="496">
        <f t="shared" si="208"/>
        <v>0</v>
      </c>
      <c r="Q470" s="571"/>
      <c r="R470" s="571"/>
      <c r="S470" s="571"/>
      <c r="T470" s="571"/>
      <c r="U470" s="571"/>
      <c r="V470" s="571"/>
      <c r="W470" s="571"/>
      <c r="X470" s="571"/>
      <c r="Y470" s="571"/>
      <c r="Z470" s="571"/>
    </row>
    <row r="471" spans="1:26" ht="18.75" hidden="1">
      <c r="A471" s="592"/>
      <c r="B471" s="600"/>
      <c r="C471" s="750"/>
      <c r="D471" s="711"/>
      <c r="E471" s="750" t="s">
        <v>184</v>
      </c>
      <c r="F471" s="750"/>
      <c r="G471" s="596"/>
      <c r="H471" s="165" t="s">
        <v>12</v>
      </c>
      <c r="I471" s="610"/>
      <c r="J471" s="610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597"/>
      <c r="R471" s="597"/>
      <c r="S471" s="597"/>
      <c r="T471" s="597"/>
      <c r="U471" s="597"/>
      <c r="V471" s="597"/>
      <c r="W471" s="597"/>
      <c r="X471" s="597"/>
      <c r="Y471" s="597"/>
      <c r="Z471" s="597"/>
    </row>
    <row r="472" spans="1:26" ht="18.75" hidden="1">
      <c r="A472" s="592"/>
      <c r="B472" s="600"/>
      <c r="C472" s="750"/>
      <c r="D472" s="711"/>
      <c r="E472" s="750" t="s">
        <v>185</v>
      </c>
      <c r="F472" s="750"/>
      <c r="G472" s="596"/>
      <c r="H472" s="165" t="s">
        <v>12</v>
      </c>
      <c r="I472" s="610"/>
      <c r="J472" s="610"/>
      <c r="K472" s="93"/>
      <c r="L472" s="93">
        <f ca="1">IFERROR(__xludf.DUMMYFUNCTION("IMPORTRANGE(""https://docs.google.com/spreadsheets/d/1QqKyyYR6Q21VydFLVH3TRQUabQu_ym0Zz7PgGX0-kHA/edit?usp=sharing"",""แผน!FS55"")"),1161548)</f>
        <v>1161548</v>
      </c>
      <c r="M472" s="93">
        <v>0</v>
      </c>
      <c r="N472" s="93">
        <f>N473+N474+N475+N476</f>
        <v>15442</v>
      </c>
      <c r="O472" s="93">
        <f t="shared" ca="1" si="207"/>
        <v>1.3294327914128388</v>
      </c>
      <c r="P472" s="93">
        <f t="shared" si="208"/>
        <v>0</v>
      </c>
      <c r="Q472" s="597"/>
      <c r="R472" s="597"/>
      <c r="S472" s="597"/>
      <c r="T472" s="597"/>
      <c r="U472" s="597"/>
      <c r="V472" s="597"/>
      <c r="W472" s="597"/>
      <c r="X472" s="597"/>
      <c r="Y472" s="597"/>
      <c r="Z472" s="597"/>
    </row>
    <row r="473" spans="1:26" ht="18.75">
      <c r="A473" s="567"/>
      <c r="B473" s="568"/>
      <c r="C473" s="754"/>
      <c r="D473" s="754"/>
      <c r="E473" s="754"/>
      <c r="F473" s="754" t="s">
        <v>186</v>
      </c>
      <c r="G473" s="189"/>
      <c r="H473" s="161" t="s">
        <v>12</v>
      </c>
      <c r="I473" s="269"/>
      <c r="J473" s="269"/>
      <c r="K473" s="496"/>
      <c r="L473" s="496"/>
      <c r="M473" s="496"/>
      <c r="N473" s="817">
        <v>0</v>
      </c>
      <c r="O473" s="496"/>
      <c r="P473" s="496"/>
      <c r="Q473" s="571"/>
      <c r="R473" s="571"/>
      <c r="S473" s="571"/>
      <c r="T473" s="571"/>
      <c r="U473" s="571"/>
      <c r="V473" s="571"/>
      <c r="W473" s="571"/>
      <c r="X473" s="571"/>
      <c r="Y473" s="571"/>
      <c r="Z473" s="571"/>
    </row>
    <row r="474" spans="1:26" ht="18.75">
      <c r="A474" s="567"/>
      <c r="B474" s="568"/>
      <c r="C474" s="754"/>
      <c r="D474" s="754"/>
      <c r="E474" s="754"/>
      <c r="F474" s="754" t="s">
        <v>187</v>
      </c>
      <c r="G474" s="189"/>
      <c r="H474" s="161" t="s">
        <v>12</v>
      </c>
      <c r="I474" s="269"/>
      <c r="J474" s="269"/>
      <c r="K474" s="496"/>
      <c r="L474" s="496"/>
      <c r="M474" s="496"/>
      <c r="N474" s="817">
        <v>0</v>
      </c>
      <c r="O474" s="496"/>
      <c r="P474" s="496"/>
      <c r="Q474" s="571"/>
      <c r="R474" s="571"/>
      <c r="S474" s="571"/>
      <c r="T474" s="571"/>
      <c r="U474" s="571"/>
      <c r="V474" s="571"/>
      <c r="W474" s="571"/>
      <c r="X474" s="571"/>
      <c r="Y474" s="571"/>
      <c r="Z474" s="571"/>
    </row>
    <row r="475" spans="1:26" ht="18.75">
      <c r="A475" s="567"/>
      <c r="B475" s="568"/>
      <c r="C475" s="568"/>
      <c r="D475" s="568"/>
      <c r="E475" s="568"/>
      <c r="F475" s="754" t="s">
        <v>188</v>
      </c>
      <c r="G475" s="189"/>
      <c r="H475" s="161" t="s">
        <v>12</v>
      </c>
      <c r="I475" s="269"/>
      <c r="J475" s="269"/>
      <c r="K475" s="496"/>
      <c r="L475" s="496"/>
      <c r="M475" s="496"/>
      <c r="N475" s="817">
        <v>13000</v>
      </c>
      <c r="O475" s="496"/>
      <c r="P475" s="496"/>
      <c r="Q475" s="571"/>
      <c r="R475" s="571"/>
      <c r="S475" s="571"/>
      <c r="T475" s="571"/>
      <c r="U475" s="571"/>
      <c r="V475" s="571"/>
      <c r="W475" s="571"/>
      <c r="X475" s="571"/>
      <c r="Y475" s="571"/>
      <c r="Z475" s="571"/>
    </row>
    <row r="476" spans="1:26" ht="18.75">
      <c r="A476" s="567"/>
      <c r="B476" s="568"/>
      <c r="C476" s="568"/>
      <c r="D476" s="568"/>
      <c r="E476" s="568"/>
      <c r="F476" s="754" t="s">
        <v>189</v>
      </c>
      <c r="G476" s="189"/>
      <c r="H476" s="161" t="s">
        <v>12</v>
      </c>
      <c r="I476" s="269"/>
      <c r="J476" s="269"/>
      <c r="K476" s="496"/>
      <c r="L476" s="496"/>
      <c r="M476" s="496"/>
      <c r="N476" s="817">
        <f>1792+650</f>
        <v>2442</v>
      </c>
      <c r="O476" s="496"/>
      <c r="P476" s="496"/>
      <c r="Q476" s="571"/>
      <c r="R476" s="571"/>
      <c r="S476" s="571"/>
      <c r="T476" s="571"/>
      <c r="U476" s="571"/>
      <c r="V476" s="571"/>
      <c r="W476" s="571"/>
      <c r="X476" s="571"/>
      <c r="Y476" s="571"/>
      <c r="Z476" s="571"/>
    </row>
    <row r="477" spans="1:26" ht="18.75">
      <c r="A477" s="590"/>
      <c r="B477" s="568"/>
      <c r="C477" s="568"/>
      <c r="D477" s="599" t="s">
        <v>21</v>
      </c>
      <c r="E477" s="568"/>
      <c r="F477" s="568"/>
      <c r="G477" s="189"/>
      <c r="H477" s="168" t="s">
        <v>12</v>
      </c>
      <c r="I477" s="184"/>
      <c r="J477" s="184"/>
      <c r="K477" s="163"/>
      <c r="L477" s="496">
        <f t="shared" ref="L477:N477" ca="1" si="211">L478+L479</f>
        <v>0</v>
      </c>
      <c r="M477" s="496">
        <f t="shared" si="211"/>
        <v>0</v>
      </c>
      <c r="N477" s="496">
        <f t="shared" si="211"/>
        <v>0</v>
      </c>
      <c r="O477" s="496">
        <f t="shared" ref="O477:O479" ca="1" si="212">IF(L477&gt;0,N477*100/L477,0)</f>
        <v>0</v>
      </c>
      <c r="P477" s="496">
        <f t="shared" ref="P477:P479" si="213">IF(M477&gt;0,N477*100/M477,0)</f>
        <v>0</v>
      </c>
      <c r="Q477" s="571"/>
      <c r="R477" s="571"/>
      <c r="S477" s="571"/>
      <c r="T477" s="571"/>
      <c r="U477" s="571"/>
      <c r="V477" s="571"/>
      <c r="W477" s="571"/>
      <c r="X477" s="571"/>
      <c r="Y477" s="571"/>
      <c r="Z477" s="571"/>
    </row>
    <row r="478" spans="1:26" ht="18.75" hidden="1">
      <c r="A478" s="592"/>
      <c r="B478" s="600"/>
      <c r="C478" s="600"/>
      <c r="D478" s="600"/>
      <c r="E478" s="600" t="s">
        <v>18</v>
      </c>
      <c r="F478" s="600"/>
      <c r="G478" s="596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597"/>
      <c r="R478" s="597"/>
      <c r="S478" s="597"/>
      <c r="T478" s="597"/>
      <c r="U478" s="597"/>
      <c r="V478" s="597"/>
      <c r="W478" s="597"/>
      <c r="X478" s="597"/>
      <c r="Y478" s="597"/>
      <c r="Z478" s="597"/>
    </row>
    <row r="479" spans="1:26" ht="18.75" hidden="1">
      <c r="A479" s="592"/>
      <c r="B479" s="600"/>
      <c r="C479" s="600"/>
      <c r="D479" s="600"/>
      <c r="E479" s="600" t="s">
        <v>19</v>
      </c>
      <c r="F479" s="600"/>
      <c r="G479" s="596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IFERROR(__xludf.DUMMYFUNCTION("IMPORTRANGE(""https://docs.google.com/spreadsheets/d/1QqKyyYR6Q21VydFLVH3TRQUabQu_ym0Zz7PgGX0-kHA/edit?usp=sharing"",""แผน!FV55"")"),0)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597"/>
      <c r="R479" s="597"/>
      <c r="S479" s="597"/>
      <c r="T479" s="597"/>
      <c r="U479" s="597"/>
      <c r="V479" s="597"/>
      <c r="W479" s="597"/>
      <c r="X479" s="597"/>
      <c r="Y479" s="597"/>
      <c r="Z479" s="597"/>
    </row>
    <row r="480" spans="1:26" ht="19.5">
      <c r="A480" s="601"/>
      <c r="B480" s="611"/>
      <c r="C480" s="568" t="s">
        <v>16</v>
      </c>
      <c r="D480" s="837" t="s">
        <v>38</v>
      </c>
      <c r="E480" s="604"/>
      <c r="F480" s="752"/>
      <c r="G480" s="606"/>
      <c r="H480" s="753"/>
      <c r="I480" s="269"/>
      <c r="J480" s="269"/>
      <c r="K480" s="496"/>
      <c r="L480" s="496"/>
      <c r="M480" s="496"/>
      <c r="N480" s="496"/>
      <c r="O480" s="496"/>
      <c r="P480" s="496"/>
      <c r="Q480" s="571"/>
      <c r="R480" s="571"/>
      <c r="S480" s="571"/>
      <c r="T480" s="571"/>
      <c r="U480" s="571"/>
      <c r="V480" s="571"/>
      <c r="W480" s="571"/>
      <c r="X480" s="571"/>
      <c r="Y480" s="571"/>
      <c r="Z480" s="571"/>
    </row>
    <row r="481" spans="1:26" ht="19.5">
      <c r="A481" s="601"/>
      <c r="B481" s="611"/>
      <c r="C481" s="611"/>
      <c r="D481" s="618" t="s">
        <v>206</v>
      </c>
      <c r="E481" s="611"/>
      <c r="F481" s="611"/>
      <c r="G481" s="753"/>
      <c r="H481" s="189"/>
      <c r="I481" s="269"/>
      <c r="J481" s="269"/>
      <c r="K481" s="496"/>
      <c r="L481" s="496"/>
      <c r="M481" s="496"/>
      <c r="N481" s="496"/>
      <c r="O481" s="496"/>
      <c r="P481" s="496"/>
      <c r="Q481" s="571"/>
      <c r="R481" s="571"/>
      <c r="S481" s="571"/>
      <c r="T481" s="571"/>
      <c r="U481" s="571"/>
      <c r="V481" s="571"/>
      <c r="W481" s="571"/>
      <c r="X481" s="571"/>
      <c r="Y481" s="571"/>
      <c r="Z481" s="571"/>
    </row>
    <row r="482" spans="1:26" ht="18.75">
      <c r="A482" s="601"/>
      <c r="B482" s="611"/>
      <c r="C482" s="611"/>
      <c r="D482" s="611"/>
      <c r="E482" s="611" t="s">
        <v>207</v>
      </c>
      <c r="F482" s="611"/>
      <c r="G482" s="753"/>
      <c r="H482" s="189"/>
      <c r="I482" s="269"/>
      <c r="J482" s="269"/>
      <c r="K482" s="496"/>
      <c r="L482" s="496"/>
      <c r="M482" s="496"/>
      <c r="N482" s="496"/>
      <c r="O482" s="496"/>
      <c r="P482" s="496"/>
      <c r="Q482" s="571"/>
      <c r="R482" s="571"/>
      <c r="S482" s="571"/>
      <c r="T482" s="571"/>
      <c r="U482" s="571"/>
      <c r="V482" s="571"/>
      <c r="W482" s="571"/>
      <c r="X482" s="571"/>
      <c r="Y482" s="571"/>
      <c r="Z482" s="571"/>
    </row>
    <row r="483" spans="1:26" ht="18.75">
      <c r="A483" s="601"/>
      <c r="B483" s="611"/>
      <c r="C483" s="611"/>
      <c r="D483" s="611"/>
      <c r="E483" s="611"/>
      <c r="F483" s="611" t="s">
        <v>208</v>
      </c>
      <c r="G483" s="753"/>
      <c r="H483" s="616" t="s">
        <v>46</v>
      </c>
      <c r="I483" s="269">
        <f ca="1">IFERROR(__xludf.DUMMYFUNCTION("IMPORTRANGE(""https://docs.google.com/spreadsheets/d/1QqKyyYR6Q21VydFLVH3TRQUabQu_ym0Zz7PgGX0-kHA/edit?usp=sharing"",""แผน!FY55"")"),1170)</f>
        <v>1170</v>
      </c>
      <c r="J483" s="214">
        <v>0</v>
      </c>
      <c r="K483" s="496">
        <f ca="1">IF(I483&gt;0,J483*100/I483,0)</f>
        <v>0</v>
      </c>
      <c r="L483" s="496"/>
      <c r="M483" s="496"/>
      <c r="N483" s="496"/>
      <c r="O483" s="496"/>
      <c r="P483" s="496"/>
      <c r="Q483" s="571"/>
      <c r="R483" s="571"/>
      <c r="S483" s="571"/>
      <c r="T483" s="571"/>
      <c r="U483" s="571"/>
      <c r="V483" s="571"/>
      <c r="W483" s="571"/>
      <c r="X483" s="571"/>
      <c r="Y483" s="571"/>
      <c r="Z483" s="571"/>
    </row>
    <row r="484" spans="1:26" ht="18.75">
      <c r="A484" s="601"/>
      <c r="B484" s="611"/>
      <c r="C484" s="611"/>
      <c r="D484" s="611"/>
      <c r="E484" s="611"/>
      <c r="F484" s="611" t="s">
        <v>209</v>
      </c>
      <c r="G484" s="753"/>
      <c r="H484" s="616" t="s">
        <v>35</v>
      </c>
      <c r="I484" s="269"/>
      <c r="J484" s="214">
        <v>0</v>
      </c>
      <c r="K484" s="496"/>
      <c r="L484" s="496"/>
      <c r="M484" s="496"/>
      <c r="N484" s="496"/>
      <c r="O484" s="496"/>
      <c r="P484" s="496"/>
      <c r="Q484" s="571"/>
      <c r="R484" s="571"/>
      <c r="S484" s="571"/>
      <c r="T484" s="571"/>
      <c r="U484" s="571"/>
      <c r="V484" s="571"/>
      <c r="W484" s="571"/>
      <c r="X484" s="571"/>
      <c r="Y484" s="571"/>
      <c r="Z484" s="571"/>
    </row>
    <row r="485" spans="1:26" ht="18.75">
      <c r="A485" s="601"/>
      <c r="B485" s="611"/>
      <c r="C485" s="611"/>
      <c r="D485" s="611"/>
      <c r="E485" s="611"/>
      <c r="F485" s="611" t="s">
        <v>210</v>
      </c>
      <c r="G485" s="753"/>
      <c r="H485" s="616" t="s">
        <v>35</v>
      </c>
      <c r="I485" s="269">
        <f ca="1">IFERROR(__xludf.DUMMYFUNCTION("IMPORTRANGE(""https://docs.google.com/spreadsheets/d/1QqKyyYR6Q21VydFLVH3TRQUabQu_ym0Zz7PgGX0-kHA/edit?usp=sharing"",""แผน!FZ55"")"),117)</f>
        <v>117</v>
      </c>
      <c r="J485" s="214">
        <v>0</v>
      </c>
      <c r="K485" s="496">
        <f ca="1">IF(I485&gt;0,J485*100/I485,0)</f>
        <v>0</v>
      </c>
      <c r="L485" s="496"/>
      <c r="M485" s="496"/>
      <c r="N485" s="496"/>
      <c r="O485" s="496"/>
      <c r="P485" s="496"/>
      <c r="Q485" s="571"/>
      <c r="R485" s="571"/>
      <c r="S485" s="571"/>
      <c r="T485" s="571"/>
      <c r="U485" s="571"/>
      <c r="V485" s="571"/>
      <c r="W485" s="571"/>
      <c r="X485" s="571"/>
      <c r="Y485" s="571"/>
      <c r="Z485" s="571"/>
    </row>
    <row r="486" spans="1:26" ht="18.75">
      <c r="A486" s="601"/>
      <c r="B486" s="611"/>
      <c r="C486" s="611"/>
      <c r="D486" s="611"/>
      <c r="E486" s="611" t="s">
        <v>62</v>
      </c>
      <c r="F486" s="611"/>
      <c r="G486" s="753"/>
      <c r="H486" s="616"/>
      <c r="I486" s="269"/>
      <c r="J486" s="269"/>
      <c r="K486" s="496"/>
      <c r="L486" s="496"/>
      <c r="M486" s="496"/>
      <c r="N486" s="496"/>
      <c r="O486" s="496"/>
      <c r="P486" s="496"/>
      <c r="Q486" s="571"/>
      <c r="R486" s="571"/>
      <c r="S486" s="571"/>
      <c r="T486" s="571"/>
      <c r="U486" s="571"/>
      <c r="V486" s="571"/>
      <c r="W486" s="571"/>
      <c r="X486" s="571"/>
      <c r="Y486" s="571"/>
      <c r="Z486" s="571"/>
    </row>
    <row r="487" spans="1:26" ht="18.75">
      <c r="A487" s="601"/>
      <c r="B487" s="611"/>
      <c r="C487" s="611"/>
      <c r="D487" s="611"/>
      <c r="E487" s="611"/>
      <c r="F487" s="611" t="s">
        <v>208</v>
      </c>
      <c r="G487" s="753"/>
      <c r="H487" s="616" t="s">
        <v>46</v>
      </c>
      <c r="I487" s="269">
        <f ca="1">IFERROR(__xludf.DUMMYFUNCTION("IMPORTRANGE(""https://docs.google.com/spreadsheets/d/1QqKyyYR6Q21VydFLVH3TRQUabQu_ym0Zz7PgGX0-kHA/edit?usp=sharing"",""แผน!GA55"")"),130)</f>
        <v>130</v>
      </c>
      <c r="J487" s="214">
        <v>0</v>
      </c>
      <c r="K487" s="496">
        <f ca="1">IF(I487&gt;0,J487*100/I487,0)</f>
        <v>0</v>
      </c>
      <c r="L487" s="496"/>
      <c r="M487" s="496"/>
      <c r="N487" s="496"/>
      <c r="O487" s="496"/>
      <c r="P487" s="496"/>
      <c r="Q487" s="571"/>
      <c r="R487" s="571"/>
      <c r="S487" s="571"/>
      <c r="T487" s="571"/>
      <c r="U487" s="571"/>
      <c r="V487" s="571"/>
      <c r="W487" s="571"/>
      <c r="X487" s="571"/>
      <c r="Y487" s="571"/>
      <c r="Z487" s="571"/>
    </row>
    <row r="488" spans="1:26" ht="18.75">
      <c r="A488" s="601"/>
      <c r="B488" s="611"/>
      <c r="C488" s="611"/>
      <c r="D488" s="611"/>
      <c r="E488" s="611"/>
      <c r="F488" s="611" t="s">
        <v>211</v>
      </c>
      <c r="G488" s="753"/>
      <c r="H488" s="616" t="s">
        <v>35</v>
      </c>
      <c r="I488" s="269"/>
      <c r="J488" s="214">
        <v>0</v>
      </c>
      <c r="K488" s="496"/>
      <c r="L488" s="496"/>
      <c r="M488" s="496"/>
      <c r="N488" s="496"/>
      <c r="O488" s="496"/>
      <c r="P488" s="496"/>
      <c r="Q488" s="571"/>
      <c r="R488" s="571"/>
      <c r="S488" s="571"/>
      <c r="T488" s="571"/>
      <c r="U488" s="571"/>
      <c r="V488" s="571"/>
      <c r="W488" s="571"/>
      <c r="X488" s="571"/>
      <c r="Y488" s="571"/>
      <c r="Z488" s="571"/>
    </row>
    <row r="489" spans="1:26" ht="18.75">
      <c r="A489" s="601"/>
      <c r="B489" s="611"/>
      <c r="C489" s="611"/>
      <c r="D489" s="611"/>
      <c r="E489" s="611"/>
      <c r="F489" s="611" t="s">
        <v>212</v>
      </c>
      <c r="G489" s="753"/>
      <c r="H489" s="616" t="s">
        <v>35</v>
      </c>
      <c r="I489" s="269">
        <f ca="1">IFERROR(__xludf.DUMMYFUNCTION("IMPORTRANGE(""https://docs.google.com/spreadsheets/d/1QqKyyYR6Q21VydFLVH3TRQUabQu_ym0Zz7PgGX0-kHA/edit?usp=sharing"",""แผน!GB55"")"),13)</f>
        <v>13</v>
      </c>
      <c r="J489" s="214">
        <v>0</v>
      </c>
      <c r="K489" s="496">
        <f ca="1">IF(I489&gt;0,J489*100/I489,0)</f>
        <v>0</v>
      </c>
      <c r="L489" s="496"/>
      <c r="M489" s="496"/>
      <c r="N489" s="496"/>
      <c r="O489" s="496"/>
      <c r="P489" s="496"/>
      <c r="Q489" s="571"/>
      <c r="R489" s="571"/>
      <c r="S489" s="571"/>
      <c r="T489" s="571"/>
      <c r="U489" s="571"/>
      <c r="V489" s="571"/>
      <c r="W489" s="571"/>
      <c r="X489" s="571"/>
      <c r="Y489" s="571"/>
      <c r="Z489" s="571"/>
    </row>
    <row r="490" spans="1:26" ht="18.75">
      <c r="A490" s="601"/>
      <c r="B490" s="611"/>
      <c r="C490" s="611"/>
      <c r="D490" s="611"/>
      <c r="E490" s="611" t="s">
        <v>63</v>
      </c>
      <c r="F490" s="619"/>
      <c r="G490" s="753"/>
      <c r="H490" s="616"/>
      <c r="I490" s="269"/>
      <c r="J490" s="269"/>
      <c r="K490" s="496"/>
      <c r="L490" s="496"/>
      <c r="M490" s="496"/>
      <c r="N490" s="496"/>
      <c r="O490" s="496"/>
      <c r="P490" s="496"/>
      <c r="Q490" s="571"/>
      <c r="R490" s="571"/>
      <c r="S490" s="571"/>
      <c r="T490" s="571"/>
      <c r="U490" s="571"/>
      <c r="V490" s="571"/>
      <c r="W490" s="571"/>
      <c r="X490" s="571"/>
      <c r="Y490" s="571"/>
      <c r="Z490" s="571"/>
    </row>
    <row r="491" spans="1:26" ht="18.75">
      <c r="A491" s="601"/>
      <c r="B491" s="611"/>
      <c r="C491" s="611"/>
      <c r="D491" s="611"/>
      <c r="E491" s="611"/>
      <c r="F491" s="611" t="s">
        <v>213</v>
      </c>
      <c r="G491" s="753"/>
      <c r="H491" s="616" t="s">
        <v>35</v>
      </c>
      <c r="I491" s="269"/>
      <c r="J491" s="214">
        <v>0</v>
      </c>
      <c r="K491" s="496"/>
      <c r="L491" s="496"/>
      <c r="M491" s="496"/>
      <c r="N491" s="496"/>
      <c r="O491" s="496"/>
      <c r="P491" s="496"/>
      <c r="Q491" s="571"/>
      <c r="R491" s="571"/>
      <c r="S491" s="571"/>
      <c r="T491" s="571"/>
      <c r="U491" s="571"/>
      <c r="V491" s="571"/>
      <c r="W491" s="571"/>
      <c r="X491" s="571"/>
      <c r="Y491" s="571"/>
      <c r="Z491" s="571"/>
    </row>
    <row r="492" spans="1:26" ht="18.75">
      <c r="A492" s="601"/>
      <c r="B492" s="611"/>
      <c r="C492" s="611"/>
      <c r="D492" s="611"/>
      <c r="E492" s="611"/>
      <c r="F492" s="611" t="s">
        <v>214</v>
      </c>
      <c r="G492" s="753"/>
      <c r="H492" s="616" t="s">
        <v>35</v>
      </c>
      <c r="I492" s="269">
        <f ca="1">IFERROR(__xludf.DUMMYFUNCTION("IMPORTRANGE(""https://docs.google.com/spreadsheets/d/1QqKyyYR6Q21VydFLVH3TRQUabQu_ym0Zz7PgGX0-kHA/edit?usp=sharing"",""แผน!GC55"")"),1)</f>
        <v>1</v>
      </c>
      <c r="J492" s="214">
        <v>0</v>
      </c>
      <c r="K492" s="496">
        <f ca="1">IF(I492&gt;0,J492*100/I492,0)</f>
        <v>0</v>
      </c>
      <c r="L492" s="496"/>
      <c r="M492" s="496"/>
      <c r="N492" s="496"/>
      <c r="O492" s="496"/>
      <c r="P492" s="496"/>
      <c r="Q492" s="571"/>
      <c r="R492" s="571"/>
      <c r="S492" s="571"/>
      <c r="T492" s="571"/>
      <c r="U492" s="571"/>
      <c r="V492" s="571"/>
      <c r="W492" s="571"/>
      <c r="X492" s="571"/>
      <c r="Y492" s="571"/>
      <c r="Z492" s="571"/>
    </row>
    <row r="493" spans="1:26" ht="19.5">
      <c r="A493" s="601"/>
      <c r="B493" s="611"/>
      <c r="C493" s="611"/>
      <c r="D493" s="618" t="s">
        <v>59</v>
      </c>
      <c r="E493" s="611"/>
      <c r="F493" s="619"/>
      <c r="G493" s="753"/>
      <c r="H493" s="189"/>
      <c r="I493" s="269"/>
      <c r="J493" s="269"/>
      <c r="K493" s="496"/>
      <c r="L493" s="496"/>
      <c r="M493" s="496"/>
      <c r="N493" s="496"/>
      <c r="O493" s="496"/>
      <c r="P493" s="496"/>
      <c r="Q493" s="571"/>
      <c r="R493" s="571"/>
      <c r="S493" s="571"/>
      <c r="T493" s="571"/>
      <c r="U493" s="571"/>
      <c r="V493" s="571"/>
      <c r="W493" s="571"/>
      <c r="X493" s="571"/>
      <c r="Y493" s="571"/>
      <c r="Z493" s="571"/>
    </row>
    <row r="494" spans="1:26" ht="18.75">
      <c r="A494" s="601"/>
      <c r="B494" s="611"/>
      <c r="C494" s="611"/>
      <c r="D494" s="611"/>
      <c r="E494" s="611" t="s">
        <v>207</v>
      </c>
      <c r="F494" s="619"/>
      <c r="G494" s="753"/>
      <c r="H494" s="189"/>
      <c r="I494" s="269"/>
      <c r="J494" s="269"/>
      <c r="K494" s="496"/>
      <c r="L494" s="496"/>
      <c r="M494" s="496"/>
      <c r="N494" s="496"/>
      <c r="O494" s="496"/>
      <c r="P494" s="496"/>
      <c r="Q494" s="571"/>
      <c r="R494" s="571"/>
      <c r="S494" s="571"/>
      <c r="T494" s="571"/>
      <c r="U494" s="571"/>
      <c r="V494" s="571"/>
      <c r="W494" s="571"/>
      <c r="X494" s="571"/>
      <c r="Y494" s="571"/>
      <c r="Z494" s="571"/>
    </row>
    <row r="495" spans="1:26" ht="18.75">
      <c r="A495" s="601"/>
      <c r="B495" s="611"/>
      <c r="C495" s="611"/>
      <c r="D495" s="611"/>
      <c r="E495" s="611"/>
      <c r="F495" s="619" t="s">
        <v>215</v>
      </c>
      <c r="G495" s="753"/>
      <c r="H495" s="616" t="s">
        <v>46</v>
      </c>
      <c r="I495" s="269">
        <f ca="1">IFERROR(__xludf.DUMMYFUNCTION("IMPORTRANGE(""https://docs.google.com/spreadsheets/d/1QqKyyYR6Q21VydFLVH3TRQUabQu_ym0Zz7PgGX0-kHA/edit?usp=sharing"",""แผน!FY55"")"),1170)</f>
        <v>1170</v>
      </c>
      <c r="J495" s="214">
        <v>0</v>
      </c>
      <c r="K495" s="496">
        <f ca="1">IF(I495&gt;0,J495*100/I495,0)</f>
        <v>0</v>
      </c>
      <c r="L495" s="496"/>
      <c r="M495" s="496"/>
      <c r="N495" s="496"/>
      <c r="O495" s="496"/>
      <c r="P495" s="496"/>
      <c r="Q495" s="571"/>
      <c r="R495" s="571"/>
      <c r="S495" s="571"/>
      <c r="T495" s="571"/>
      <c r="U495" s="571"/>
      <c r="V495" s="571"/>
      <c r="W495" s="571"/>
      <c r="X495" s="571"/>
      <c r="Y495" s="571"/>
      <c r="Z495" s="571"/>
    </row>
    <row r="496" spans="1:26" ht="18.75">
      <c r="A496" s="601"/>
      <c r="B496" s="611"/>
      <c r="C496" s="611"/>
      <c r="D496" s="611"/>
      <c r="E496" s="611"/>
      <c r="F496" s="619" t="s">
        <v>216</v>
      </c>
      <c r="G496" s="753"/>
      <c r="H496" s="616" t="s">
        <v>46</v>
      </c>
      <c r="I496" s="269"/>
      <c r="J496" s="214">
        <v>0</v>
      </c>
      <c r="K496" s="496"/>
      <c r="L496" s="496"/>
      <c r="M496" s="496"/>
      <c r="N496" s="496"/>
      <c r="O496" s="496"/>
      <c r="P496" s="496"/>
      <c r="Q496" s="571"/>
      <c r="R496" s="571"/>
      <c r="S496" s="571"/>
      <c r="T496" s="571"/>
      <c r="U496" s="571"/>
      <c r="V496" s="571"/>
      <c r="W496" s="571"/>
      <c r="X496" s="571"/>
      <c r="Y496" s="571"/>
      <c r="Z496" s="571"/>
    </row>
    <row r="497" spans="1:26" ht="18.75">
      <c r="A497" s="601"/>
      <c r="B497" s="611"/>
      <c r="C497" s="611"/>
      <c r="D497" s="611"/>
      <c r="E497" s="611" t="s">
        <v>62</v>
      </c>
      <c r="F497" s="619"/>
      <c r="G497" s="753"/>
      <c r="H497" s="189"/>
      <c r="I497" s="269"/>
      <c r="J497" s="269"/>
      <c r="K497" s="496"/>
      <c r="L497" s="496"/>
      <c r="M497" s="496"/>
      <c r="N497" s="496"/>
      <c r="O497" s="496"/>
      <c r="P497" s="496"/>
      <c r="Q497" s="571"/>
      <c r="R497" s="571"/>
      <c r="S497" s="571"/>
      <c r="T497" s="571"/>
      <c r="U497" s="571"/>
      <c r="V497" s="571"/>
      <c r="W497" s="571"/>
      <c r="X497" s="571"/>
      <c r="Y497" s="571"/>
      <c r="Z497" s="571"/>
    </row>
    <row r="498" spans="1:26" ht="18.75">
      <c r="A498" s="601"/>
      <c r="B498" s="611"/>
      <c r="C498" s="611"/>
      <c r="D498" s="611"/>
      <c r="E498" s="619"/>
      <c r="F498" s="619" t="s">
        <v>217</v>
      </c>
      <c r="G498" s="753"/>
      <c r="H498" s="616" t="s">
        <v>46</v>
      </c>
      <c r="I498" s="269">
        <f ca="1">IFERROR(__xludf.DUMMYFUNCTION("IMPORTRANGE(""https://docs.google.com/spreadsheets/d/1QqKyyYR6Q21VydFLVH3TRQUabQu_ym0Zz7PgGX0-kHA/edit?usp=sharing"",""แผน!GA55"")"),130)</f>
        <v>130</v>
      </c>
      <c r="J498" s="214">
        <v>0</v>
      </c>
      <c r="K498" s="496">
        <f ca="1">IF(I498&gt;0,J498*100/I498,0)</f>
        <v>0</v>
      </c>
      <c r="L498" s="496"/>
      <c r="M498" s="496"/>
      <c r="N498" s="496"/>
      <c r="O498" s="496"/>
      <c r="P498" s="496"/>
      <c r="Q498" s="571"/>
      <c r="R498" s="571"/>
      <c r="S498" s="571"/>
      <c r="T498" s="571"/>
      <c r="U498" s="571"/>
      <c r="V498" s="571"/>
      <c r="W498" s="571"/>
      <c r="X498" s="571"/>
      <c r="Y498" s="571"/>
      <c r="Z498" s="571"/>
    </row>
    <row r="499" spans="1:26" ht="18.75">
      <c r="A499" s="601"/>
      <c r="B499" s="611"/>
      <c r="C499" s="611"/>
      <c r="D499" s="611"/>
      <c r="E499" s="619"/>
      <c r="F499" s="619" t="s">
        <v>218</v>
      </c>
      <c r="G499" s="753"/>
      <c r="H499" s="616" t="s">
        <v>46</v>
      </c>
      <c r="I499" s="269"/>
      <c r="J499" s="214">
        <v>0</v>
      </c>
      <c r="K499" s="496"/>
      <c r="L499" s="496"/>
      <c r="M499" s="496"/>
      <c r="N499" s="496"/>
      <c r="O499" s="496"/>
      <c r="P499" s="496"/>
      <c r="Q499" s="571"/>
      <c r="R499" s="571"/>
      <c r="S499" s="571"/>
      <c r="T499" s="571"/>
      <c r="U499" s="571"/>
      <c r="V499" s="571"/>
      <c r="W499" s="571"/>
      <c r="X499" s="571"/>
      <c r="Y499" s="571"/>
      <c r="Z499" s="571"/>
    </row>
    <row r="500" spans="1:26" ht="19.5" hidden="1">
      <c r="A500" s="620">
        <v>4</v>
      </c>
      <c r="B500" s="621" t="s">
        <v>219</v>
      </c>
      <c r="C500" s="622"/>
      <c r="D500" s="623"/>
      <c r="E500" s="623"/>
      <c r="F500" s="623"/>
      <c r="G500" s="624"/>
      <c r="H500" s="625" t="s">
        <v>109</v>
      </c>
      <c r="I500" s="626"/>
      <c r="J500" s="626">
        <f t="shared" ref="J500:J501" si="214">J516</f>
        <v>0</v>
      </c>
      <c r="K500" s="627">
        <f t="shared" ref="K500:K501" si="215">IF(I500&gt;0,J500*100/I500,0)</f>
        <v>0</v>
      </c>
      <c r="L500" s="628"/>
      <c r="M500" s="628"/>
      <c r="N500" s="628"/>
      <c r="O500" s="628"/>
      <c r="P500" s="628"/>
      <c r="Q500" s="597"/>
      <c r="R500" s="597"/>
      <c r="S500" s="597"/>
      <c r="T500" s="597"/>
      <c r="U500" s="597"/>
      <c r="V500" s="597"/>
      <c r="W500" s="597"/>
      <c r="X500" s="597"/>
      <c r="Y500" s="597"/>
      <c r="Z500" s="597"/>
    </row>
    <row r="501" spans="1:26" ht="19.5" hidden="1">
      <c r="A501" s="629"/>
      <c r="B501" s="631" t="s">
        <v>220</v>
      </c>
      <c r="C501" s="631"/>
      <c r="D501" s="632"/>
      <c r="E501" s="632"/>
      <c r="F501" s="632"/>
      <c r="G501" s="633"/>
      <c r="H501" s="634" t="s">
        <v>35</v>
      </c>
      <c r="I501" s="635"/>
      <c r="J501" s="635">
        <f t="shared" si="214"/>
        <v>0</v>
      </c>
      <c r="K501" s="636">
        <f t="shared" si="215"/>
        <v>0</v>
      </c>
      <c r="L501" s="637"/>
      <c r="M501" s="637"/>
      <c r="N501" s="637"/>
      <c r="O501" s="637"/>
      <c r="P501" s="637"/>
      <c r="Q501" s="597"/>
      <c r="R501" s="597"/>
      <c r="S501" s="597"/>
      <c r="T501" s="597"/>
      <c r="U501" s="597"/>
      <c r="V501" s="597"/>
      <c r="W501" s="597"/>
      <c r="X501" s="597"/>
      <c r="Y501" s="597"/>
      <c r="Z501" s="597"/>
    </row>
    <row r="502" spans="1:26" ht="19.5" hidden="1">
      <c r="A502" s="592"/>
      <c r="B502" s="750"/>
      <c r="C502" s="750" t="s">
        <v>16</v>
      </c>
      <c r="D502" s="864" t="s">
        <v>17</v>
      </c>
      <c r="E502" s="857"/>
      <c r="F502" s="857"/>
      <c r="G502" s="596"/>
      <c r="H502" s="639" t="s">
        <v>12</v>
      </c>
      <c r="I502" s="610"/>
      <c r="J502" s="610"/>
      <c r="K502" s="93"/>
      <c r="L502" s="640">
        <f t="shared" ref="L502:N502" si="216">L503+L504</f>
        <v>0</v>
      </c>
      <c r="M502" s="640">
        <f t="shared" si="216"/>
        <v>0</v>
      </c>
      <c r="N502" s="640">
        <f t="shared" si="216"/>
        <v>0</v>
      </c>
      <c r="O502" s="640">
        <f t="shared" ref="O502:O507" si="217">IF(L502&gt;0,N502*100/L502,0)</f>
        <v>0</v>
      </c>
      <c r="P502" s="640">
        <f t="shared" ref="P502:P507" si="218">IF(M502&gt;0,N502*100/M502,0)</f>
        <v>0</v>
      </c>
      <c r="Q502" s="597"/>
      <c r="R502" s="597"/>
      <c r="S502" s="597"/>
      <c r="T502" s="597"/>
      <c r="U502" s="597"/>
      <c r="V502" s="597"/>
      <c r="W502" s="597"/>
      <c r="X502" s="597"/>
      <c r="Y502" s="597"/>
      <c r="Z502" s="597"/>
    </row>
    <row r="503" spans="1:26" ht="18.75" hidden="1">
      <c r="A503" s="592"/>
      <c r="B503" s="750"/>
      <c r="C503" s="750"/>
      <c r="D503" s="711"/>
      <c r="E503" s="750" t="s">
        <v>184</v>
      </c>
      <c r="F503" s="750"/>
      <c r="G503" s="596"/>
      <c r="H503" s="165" t="s">
        <v>12</v>
      </c>
      <c r="I503" s="610"/>
      <c r="J503" s="610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597"/>
      <c r="R503" s="597"/>
      <c r="S503" s="597"/>
      <c r="T503" s="597"/>
      <c r="U503" s="597"/>
      <c r="V503" s="597"/>
      <c r="W503" s="597"/>
      <c r="X503" s="597"/>
      <c r="Y503" s="597"/>
      <c r="Z503" s="597"/>
    </row>
    <row r="504" spans="1:26" ht="18.75" hidden="1">
      <c r="A504" s="592"/>
      <c r="B504" s="600"/>
      <c r="C504" s="750"/>
      <c r="D504" s="711"/>
      <c r="E504" s="750" t="s">
        <v>185</v>
      </c>
      <c r="F504" s="750"/>
      <c r="G504" s="596"/>
      <c r="H504" s="165" t="s">
        <v>12</v>
      </c>
      <c r="I504" s="610"/>
      <c r="J504" s="610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597"/>
      <c r="R504" s="597"/>
      <c r="S504" s="597"/>
      <c r="T504" s="597"/>
      <c r="U504" s="597"/>
      <c r="V504" s="597"/>
      <c r="W504" s="597"/>
      <c r="X504" s="597"/>
      <c r="Y504" s="597"/>
      <c r="Z504" s="597"/>
    </row>
    <row r="505" spans="1:26" ht="18.75" hidden="1">
      <c r="A505" s="592"/>
      <c r="B505" s="600"/>
      <c r="C505" s="750"/>
      <c r="D505" s="641" t="s">
        <v>20</v>
      </c>
      <c r="E505" s="750"/>
      <c r="F505" s="750"/>
      <c r="G505" s="596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597"/>
      <c r="R505" s="597"/>
      <c r="S505" s="597"/>
      <c r="T505" s="597"/>
      <c r="U505" s="597"/>
      <c r="V505" s="597"/>
      <c r="W505" s="597"/>
      <c r="X505" s="597"/>
      <c r="Y505" s="597"/>
      <c r="Z505" s="597"/>
    </row>
    <row r="506" spans="1:26" ht="18.75" hidden="1">
      <c r="A506" s="592"/>
      <c r="B506" s="600"/>
      <c r="C506" s="750"/>
      <c r="D506" s="711"/>
      <c r="E506" s="750" t="s">
        <v>184</v>
      </c>
      <c r="F506" s="750"/>
      <c r="G506" s="596"/>
      <c r="H506" s="165" t="s">
        <v>12</v>
      </c>
      <c r="I506" s="610"/>
      <c r="J506" s="610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597"/>
      <c r="R506" s="597"/>
      <c r="S506" s="597"/>
      <c r="T506" s="597"/>
      <c r="U506" s="597"/>
      <c r="V506" s="597"/>
      <c r="W506" s="597"/>
      <c r="X506" s="597"/>
      <c r="Y506" s="597"/>
      <c r="Z506" s="597"/>
    </row>
    <row r="507" spans="1:26" ht="18.75" hidden="1">
      <c r="A507" s="592"/>
      <c r="B507" s="600"/>
      <c r="C507" s="750"/>
      <c r="D507" s="711"/>
      <c r="E507" s="750" t="s">
        <v>185</v>
      </c>
      <c r="F507" s="750"/>
      <c r="G507" s="596"/>
      <c r="H507" s="165" t="s">
        <v>12</v>
      </c>
      <c r="I507" s="610"/>
      <c r="J507" s="610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597"/>
      <c r="R507" s="597"/>
      <c r="S507" s="597"/>
      <c r="T507" s="597"/>
      <c r="U507" s="597"/>
      <c r="V507" s="597"/>
      <c r="W507" s="597"/>
      <c r="X507" s="597"/>
      <c r="Y507" s="597"/>
      <c r="Z507" s="597"/>
    </row>
    <row r="508" spans="1:26" ht="18.75" hidden="1">
      <c r="A508" s="642"/>
      <c r="B508" s="600"/>
      <c r="C508" s="750"/>
      <c r="D508" s="750"/>
      <c r="E508" s="750"/>
      <c r="F508" s="750" t="s">
        <v>186</v>
      </c>
      <c r="G508" s="596"/>
      <c r="H508" s="165" t="s">
        <v>12</v>
      </c>
      <c r="I508" s="610"/>
      <c r="J508" s="610"/>
      <c r="K508" s="93"/>
      <c r="L508" s="93"/>
      <c r="M508" s="93"/>
      <c r="N508" s="93">
        <v>0</v>
      </c>
      <c r="O508" s="93"/>
      <c r="P508" s="93"/>
      <c r="Q508" s="597"/>
      <c r="R508" s="597"/>
      <c r="S508" s="597"/>
      <c r="T508" s="597"/>
      <c r="U508" s="597"/>
      <c r="V508" s="597"/>
      <c r="W508" s="597"/>
      <c r="X508" s="597"/>
      <c r="Y508" s="597"/>
      <c r="Z508" s="597"/>
    </row>
    <row r="509" spans="1:26" ht="18.75" hidden="1">
      <c r="A509" s="642"/>
      <c r="B509" s="600"/>
      <c r="C509" s="750"/>
      <c r="D509" s="750"/>
      <c r="E509" s="750"/>
      <c r="F509" s="750" t="s">
        <v>187</v>
      </c>
      <c r="G509" s="596"/>
      <c r="H509" s="165" t="s">
        <v>12</v>
      </c>
      <c r="I509" s="610"/>
      <c r="J509" s="610"/>
      <c r="K509" s="93"/>
      <c r="L509" s="93"/>
      <c r="M509" s="93"/>
      <c r="N509" s="93">
        <v>0</v>
      </c>
      <c r="O509" s="93"/>
      <c r="P509" s="93"/>
      <c r="Q509" s="597"/>
      <c r="R509" s="597"/>
      <c r="S509" s="597"/>
      <c r="T509" s="597"/>
      <c r="U509" s="597"/>
      <c r="V509" s="597"/>
      <c r="W509" s="597"/>
      <c r="X509" s="597"/>
      <c r="Y509" s="597"/>
      <c r="Z509" s="597"/>
    </row>
    <row r="510" spans="1:26" ht="18.75" hidden="1">
      <c r="A510" s="642"/>
      <c r="B510" s="600"/>
      <c r="C510" s="600"/>
      <c r="D510" s="600"/>
      <c r="E510" s="750"/>
      <c r="F510" s="750" t="s">
        <v>188</v>
      </c>
      <c r="G510" s="596"/>
      <c r="H510" s="165" t="s">
        <v>12</v>
      </c>
      <c r="I510" s="610"/>
      <c r="J510" s="610"/>
      <c r="K510" s="93"/>
      <c r="L510" s="93"/>
      <c r="M510" s="93"/>
      <c r="N510" s="93">
        <v>0</v>
      </c>
      <c r="O510" s="93"/>
      <c r="P510" s="93"/>
      <c r="Q510" s="597"/>
      <c r="R510" s="597"/>
      <c r="S510" s="597"/>
      <c r="T510" s="597"/>
      <c r="U510" s="597"/>
      <c r="V510" s="597"/>
      <c r="W510" s="597"/>
      <c r="X510" s="597"/>
      <c r="Y510" s="597"/>
      <c r="Z510" s="597"/>
    </row>
    <row r="511" spans="1:26" ht="18.75" hidden="1">
      <c r="A511" s="642"/>
      <c r="B511" s="600"/>
      <c r="C511" s="600"/>
      <c r="D511" s="600"/>
      <c r="E511" s="750"/>
      <c r="F511" s="750" t="s">
        <v>189</v>
      </c>
      <c r="G511" s="596"/>
      <c r="H511" s="165" t="s">
        <v>12</v>
      </c>
      <c r="I511" s="610"/>
      <c r="J511" s="610"/>
      <c r="K511" s="93"/>
      <c r="L511" s="93"/>
      <c r="M511" s="93"/>
      <c r="N511" s="93">
        <v>0</v>
      </c>
      <c r="O511" s="93"/>
      <c r="P511" s="93"/>
      <c r="Q511" s="597"/>
      <c r="R511" s="597"/>
      <c r="S511" s="597"/>
      <c r="T511" s="597"/>
      <c r="U511" s="597"/>
      <c r="V511" s="597"/>
      <c r="W511" s="597"/>
      <c r="X511" s="597"/>
      <c r="Y511" s="597"/>
      <c r="Z511" s="597"/>
    </row>
    <row r="512" spans="1:26" ht="18.75" hidden="1">
      <c r="A512" s="592"/>
      <c r="B512" s="600"/>
      <c r="C512" s="600"/>
      <c r="D512" s="641" t="s">
        <v>21</v>
      </c>
      <c r="E512" s="600"/>
      <c r="F512" s="750"/>
      <c r="G512" s="596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597"/>
      <c r="R512" s="597"/>
      <c r="S512" s="597"/>
      <c r="T512" s="597"/>
      <c r="U512" s="597"/>
      <c r="V512" s="597"/>
      <c r="W512" s="597"/>
      <c r="X512" s="597"/>
      <c r="Y512" s="597"/>
      <c r="Z512" s="597"/>
    </row>
    <row r="513" spans="1:26" ht="18.75" hidden="1">
      <c r="A513" s="592"/>
      <c r="B513" s="600"/>
      <c r="C513" s="600"/>
      <c r="D513" s="600"/>
      <c r="E513" s="600" t="s">
        <v>18</v>
      </c>
      <c r="F513" s="750"/>
      <c r="G513" s="596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597"/>
      <c r="R513" s="597"/>
      <c r="S513" s="597"/>
      <c r="T513" s="597"/>
      <c r="U513" s="597"/>
      <c r="V513" s="597"/>
      <c r="W513" s="597"/>
      <c r="X513" s="597"/>
      <c r="Y513" s="597"/>
      <c r="Z513" s="597"/>
    </row>
    <row r="514" spans="1:26" ht="18.75" hidden="1">
      <c r="A514" s="592"/>
      <c r="B514" s="600"/>
      <c r="C514" s="600"/>
      <c r="D514" s="750"/>
      <c r="E514" s="600" t="s">
        <v>19</v>
      </c>
      <c r="F514" s="750"/>
      <c r="G514" s="596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597"/>
      <c r="R514" s="597"/>
      <c r="S514" s="597"/>
      <c r="T514" s="597"/>
      <c r="U514" s="597"/>
      <c r="V514" s="597"/>
      <c r="W514" s="597"/>
      <c r="X514" s="597"/>
      <c r="Y514" s="597"/>
      <c r="Z514" s="597"/>
    </row>
    <row r="515" spans="1:26" ht="19.5" hidden="1">
      <c r="A515" s="607"/>
      <c r="B515" s="609"/>
      <c r="C515" s="600" t="s">
        <v>16</v>
      </c>
      <c r="D515" s="838" t="s">
        <v>38</v>
      </c>
      <c r="E515" s="644"/>
      <c r="F515" s="644"/>
      <c r="G515" s="645"/>
      <c r="H515" s="365"/>
      <c r="I515" s="166"/>
      <c r="J515" s="166"/>
      <c r="K515" s="167"/>
      <c r="L515" s="167"/>
      <c r="M515" s="167"/>
      <c r="N515" s="167"/>
      <c r="O515" s="167"/>
      <c r="P515" s="167"/>
      <c r="Q515" s="597"/>
      <c r="R515" s="597"/>
      <c r="S515" s="597"/>
      <c r="T515" s="597"/>
      <c r="U515" s="597"/>
      <c r="V515" s="597"/>
      <c r="W515" s="597"/>
      <c r="X515" s="597"/>
      <c r="Y515" s="597"/>
      <c r="Z515" s="597"/>
    </row>
    <row r="516" spans="1:26" ht="18.75" hidden="1">
      <c r="A516" s="607"/>
      <c r="B516" s="609"/>
      <c r="C516" s="609"/>
      <c r="D516" s="609" t="s">
        <v>221</v>
      </c>
      <c r="E516" s="711"/>
      <c r="F516" s="711"/>
      <c r="G516" s="365"/>
      <c r="H516" s="646" t="s">
        <v>109</v>
      </c>
      <c r="I516" s="610"/>
      <c r="J516" s="610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597"/>
      <c r="R516" s="597"/>
      <c r="S516" s="597"/>
      <c r="T516" s="597"/>
      <c r="U516" s="597"/>
      <c r="V516" s="597"/>
      <c r="W516" s="597"/>
      <c r="X516" s="597"/>
      <c r="Y516" s="597"/>
      <c r="Z516" s="597"/>
    </row>
    <row r="517" spans="1:26" ht="19.5" hidden="1">
      <c r="A517" s="607"/>
      <c r="B517" s="609"/>
      <c r="C517" s="609"/>
      <c r="D517" s="609" t="s">
        <v>222</v>
      </c>
      <c r="E517" s="711"/>
      <c r="F517" s="711"/>
      <c r="G517" s="365"/>
      <c r="H517" s="647" t="s">
        <v>35</v>
      </c>
      <c r="I517" s="648"/>
      <c r="J517" s="648">
        <f>J518+J519</f>
        <v>0</v>
      </c>
      <c r="K517" s="649">
        <f t="shared" si="224"/>
        <v>0</v>
      </c>
      <c r="L517" s="167"/>
      <c r="M517" s="167"/>
      <c r="N517" s="167"/>
      <c r="O517" s="167"/>
      <c r="P517" s="167"/>
      <c r="Q517" s="597"/>
      <c r="R517" s="597"/>
      <c r="S517" s="597"/>
      <c r="T517" s="597"/>
      <c r="U517" s="597"/>
      <c r="V517" s="597"/>
      <c r="W517" s="597"/>
      <c r="X517" s="597"/>
      <c r="Y517" s="597"/>
      <c r="Z517" s="597"/>
    </row>
    <row r="518" spans="1:26" ht="18.75" hidden="1">
      <c r="A518" s="607"/>
      <c r="B518" s="609"/>
      <c r="C518" s="609"/>
      <c r="D518" s="609"/>
      <c r="E518" s="609" t="s">
        <v>223</v>
      </c>
      <c r="F518" s="711"/>
      <c r="G518" s="365"/>
      <c r="H518" s="369" t="s">
        <v>35</v>
      </c>
      <c r="I518" s="610"/>
      <c r="J518" s="610"/>
      <c r="K518" s="167"/>
      <c r="L518" s="167"/>
      <c r="M518" s="167"/>
      <c r="N518" s="167"/>
      <c r="O518" s="167"/>
      <c r="P518" s="167"/>
      <c r="Q518" s="597"/>
      <c r="R518" s="597"/>
      <c r="S518" s="597"/>
      <c r="T518" s="597"/>
      <c r="U518" s="597"/>
      <c r="V518" s="597"/>
      <c r="W518" s="597"/>
      <c r="X518" s="597"/>
      <c r="Y518" s="597"/>
      <c r="Z518" s="597"/>
    </row>
    <row r="519" spans="1:26" ht="18.75" hidden="1">
      <c r="A519" s="607"/>
      <c r="B519" s="609"/>
      <c r="C519" s="609"/>
      <c r="D519" s="609"/>
      <c r="E519" s="609" t="s">
        <v>224</v>
      </c>
      <c r="F519" s="711"/>
      <c r="G519" s="365"/>
      <c r="H519" s="646" t="s">
        <v>35</v>
      </c>
      <c r="I519" s="610"/>
      <c r="J519" s="610"/>
      <c r="K519" s="167"/>
      <c r="L519" s="167"/>
      <c r="M519" s="167"/>
      <c r="N519" s="167"/>
      <c r="O519" s="167"/>
      <c r="P519" s="167"/>
      <c r="Q519" s="597"/>
      <c r="R519" s="597"/>
      <c r="S519" s="597"/>
      <c r="T519" s="597"/>
      <c r="U519" s="597"/>
      <c r="V519" s="597"/>
      <c r="W519" s="597"/>
      <c r="X519" s="597"/>
      <c r="Y519" s="597"/>
      <c r="Z519" s="597"/>
    </row>
    <row r="520" spans="1:26" ht="19.5">
      <c r="A520" s="650" t="s">
        <v>137</v>
      </c>
      <c r="B520" s="651"/>
      <c r="C520" s="651"/>
      <c r="D520" s="652"/>
      <c r="E520" s="652"/>
      <c r="F520" s="652"/>
      <c r="G520" s="653"/>
      <c r="H520" s="654"/>
      <c r="I520" s="655"/>
      <c r="J520" s="655"/>
      <c r="K520" s="656"/>
      <c r="L520" s="656"/>
      <c r="M520" s="656"/>
      <c r="N520" s="656"/>
      <c r="O520" s="656"/>
      <c r="P520" s="656"/>
    </row>
    <row r="521" spans="1:26" ht="19.5" hidden="1">
      <c r="A521" s="657">
        <v>5</v>
      </c>
      <c r="B521" s="658" t="s">
        <v>225</v>
      </c>
      <c r="C521" s="659"/>
      <c r="D521" s="660"/>
      <c r="E521" s="660"/>
      <c r="F521" s="660"/>
      <c r="G521" s="660"/>
      <c r="H521" s="661"/>
      <c r="I521" s="662"/>
      <c r="J521" s="662"/>
      <c r="K521" s="663"/>
      <c r="L521" s="663"/>
      <c r="M521" s="663"/>
      <c r="N521" s="663"/>
      <c r="O521" s="663"/>
      <c r="P521" s="663"/>
      <c r="Q521" s="571"/>
      <c r="R521" s="571"/>
      <c r="S521" s="571"/>
      <c r="T521" s="571"/>
      <c r="U521" s="571"/>
      <c r="V521" s="571"/>
      <c r="W521" s="571"/>
      <c r="X521" s="571"/>
      <c r="Y521" s="571"/>
      <c r="Z521" s="571"/>
    </row>
    <row r="522" spans="1:26" ht="19.5" hidden="1">
      <c r="A522" s="664"/>
      <c r="B522" s="665" t="s">
        <v>226</v>
      </c>
      <c r="C522" s="666"/>
      <c r="D522" s="666"/>
      <c r="E522" s="666"/>
      <c r="F522" s="666"/>
      <c r="G522" s="667"/>
      <c r="H522" s="668" t="s">
        <v>35</v>
      </c>
      <c r="I522" s="699">
        <f t="shared" ref="I522:J522" ca="1" si="225">I537</f>
        <v>0</v>
      </c>
      <c r="J522" s="699">
        <f t="shared" ca="1" si="225"/>
        <v>0</v>
      </c>
      <c r="K522" s="670">
        <f ca="1">IF(I522&gt;0,J522*100/I522,0)</f>
        <v>0</v>
      </c>
      <c r="L522" s="671"/>
      <c r="M522" s="671"/>
      <c r="N522" s="671"/>
      <c r="O522" s="671"/>
      <c r="P522" s="671"/>
      <c r="Q522" s="571"/>
      <c r="R522" s="571"/>
      <c r="S522" s="571"/>
      <c r="T522" s="571"/>
      <c r="U522" s="571"/>
      <c r="V522" s="571"/>
      <c r="W522" s="571"/>
      <c r="X522" s="571"/>
      <c r="Y522" s="571"/>
      <c r="Z522" s="571"/>
    </row>
    <row r="523" spans="1:26" ht="19.5" hidden="1">
      <c r="A523" s="590"/>
      <c r="B523" s="754"/>
      <c r="C523" s="754" t="s">
        <v>16</v>
      </c>
      <c r="D523" s="863" t="s">
        <v>17</v>
      </c>
      <c r="E523" s="857"/>
      <c r="F523" s="857"/>
      <c r="G523" s="189"/>
      <c r="H523" s="591" t="s">
        <v>12</v>
      </c>
      <c r="I523" s="269"/>
      <c r="J523" s="269"/>
      <c r="K523" s="496"/>
      <c r="L523" s="195">
        <f t="shared" ref="L523:N523" ca="1" si="226">L524+L525</f>
        <v>0</v>
      </c>
      <c r="M523" s="195">
        <f t="shared" si="226"/>
        <v>0</v>
      </c>
      <c r="N523" s="195">
        <f t="shared" si="226"/>
        <v>0</v>
      </c>
      <c r="O523" s="195">
        <f t="shared" ref="O523:O528" ca="1" si="227">IF(L523&gt;0,N523*100/L523,0)</f>
        <v>0</v>
      </c>
      <c r="P523" s="195">
        <f t="shared" ref="P523:P528" si="228">IF(M523&gt;0,N523*100/M523,0)</f>
        <v>0</v>
      </c>
      <c r="Q523" s="571"/>
      <c r="R523" s="571"/>
      <c r="S523" s="571"/>
      <c r="T523" s="571"/>
      <c r="U523" s="571"/>
      <c r="V523" s="571"/>
      <c r="W523" s="571"/>
      <c r="X523" s="571"/>
      <c r="Y523" s="571"/>
      <c r="Z523" s="571"/>
    </row>
    <row r="524" spans="1:26" ht="18.75" hidden="1">
      <c r="A524" s="592"/>
      <c r="B524" s="750"/>
      <c r="C524" s="750"/>
      <c r="D524" s="711"/>
      <c r="E524" s="750" t="s">
        <v>184</v>
      </c>
      <c r="F524" s="750"/>
      <c r="G524" s="596"/>
      <c r="H524" s="165" t="s">
        <v>12</v>
      </c>
      <c r="I524" s="610"/>
      <c r="J524" s="610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597"/>
      <c r="R524" s="597"/>
      <c r="S524" s="597"/>
      <c r="T524" s="597"/>
      <c r="U524" s="597"/>
      <c r="V524" s="597"/>
      <c r="W524" s="597"/>
      <c r="X524" s="597"/>
      <c r="Y524" s="597"/>
      <c r="Z524" s="597"/>
    </row>
    <row r="525" spans="1:26" ht="18.75" hidden="1">
      <c r="A525" s="592"/>
      <c r="B525" s="600"/>
      <c r="C525" s="750"/>
      <c r="D525" s="711"/>
      <c r="E525" s="750" t="s">
        <v>185</v>
      </c>
      <c r="F525" s="750"/>
      <c r="G525" s="596"/>
      <c r="H525" s="165" t="s">
        <v>12</v>
      </c>
      <c r="I525" s="610"/>
      <c r="J525" s="610"/>
      <c r="K525" s="93"/>
      <c r="L525" s="93">
        <f t="shared" ca="1" si="229"/>
        <v>0</v>
      </c>
      <c r="M525" s="93">
        <f t="shared" si="229"/>
        <v>0</v>
      </c>
      <c r="N525" s="93">
        <f t="shared" si="229"/>
        <v>0</v>
      </c>
      <c r="O525" s="93">
        <f t="shared" ca="1" si="227"/>
        <v>0</v>
      </c>
      <c r="P525" s="93">
        <f t="shared" si="228"/>
        <v>0</v>
      </c>
      <c r="Q525" s="597"/>
      <c r="R525" s="597"/>
      <c r="S525" s="597"/>
      <c r="T525" s="597"/>
      <c r="U525" s="597"/>
      <c r="V525" s="597"/>
      <c r="W525" s="597"/>
      <c r="X525" s="597"/>
      <c r="Y525" s="597"/>
      <c r="Z525" s="597"/>
    </row>
    <row r="526" spans="1:26" ht="18.75" hidden="1">
      <c r="A526" s="590"/>
      <c r="B526" s="568"/>
      <c r="C526" s="754"/>
      <c r="D526" s="599" t="s">
        <v>20</v>
      </c>
      <c r="E526" s="754"/>
      <c r="F526" s="754"/>
      <c r="G526" s="189"/>
      <c r="H526" s="161" t="s">
        <v>12</v>
      </c>
      <c r="I526" s="184"/>
      <c r="J526" s="184"/>
      <c r="K526" s="163"/>
      <c r="L526" s="496">
        <f t="shared" ref="L526:N526" ca="1" si="230">L527+L528</f>
        <v>0</v>
      </c>
      <c r="M526" s="496">
        <f t="shared" si="230"/>
        <v>0</v>
      </c>
      <c r="N526" s="496">
        <f t="shared" si="230"/>
        <v>0</v>
      </c>
      <c r="O526" s="496">
        <f t="shared" ca="1" si="227"/>
        <v>0</v>
      </c>
      <c r="P526" s="496">
        <f t="shared" si="228"/>
        <v>0</v>
      </c>
      <c r="Q526" s="571"/>
      <c r="R526" s="571"/>
      <c r="S526" s="571"/>
      <c r="T526" s="571"/>
      <c r="U526" s="571"/>
      <c r="V526" s="571"/>
      <c r="W526" s="571"/>
      <c r="X526" s="571"/>
      <c r="Y526" s="571"/>
      <c r="Z526" s="571"/>
    </row>
    <row r="527" spans="1:26" ht="18.75" hidden="1">
      <c r="A527" s="592"/>
      <c r="B527" s="600"/>
      <c r="C527" s="750"/>
      <c r="D527" s="711"/>
      <c r="E527" s="750" t="s">
        <v>184</v>
      </c>
      <c r="F527" s="750"/>
      <c r="G527" s="596"/>
      <c r="H527" s="165" t="s">
        <v>12</v>
      </c>
      <c r="I527" s="610"/>
      <c r="J527" s="610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597"/>
      <c r="R527" s="597"/>
      <c r="S527" s="597"/>
      <c r="T527" s="597"/>
      <c r="U527" s="597"/>
      <c r="V527" s="597"/>
      <c r="W527" s="597"/>
      <c r="X527" s="597"/>
      <c r="Y527" s="597"/>
      <c r="Z527" s="597"/>
    </row>
    <row r="528" spans="1:26" ht="18.75" hidden="1">
      <c r="A528" s="592"/>
      <c r="B528" s="600"/>
      <c r="C528" s="750"/>
      <c r="D528" s="711"/>
      <c r="E528" s="750" t="s">
        <v>185</v>
      </c>
      <c r="F528" s="750"/>
      <c r="G528" s="596"/>
      <c r="H528" s="165" t="s">
        <v>12</v>
      </c>
      <c r="I528" s="610"/>
      <c r="J528" s="610"/>
      <c r="K528" s="93"/>
      <c r="L528" s="93">
        <f ca="1">IFERROR(__xludf.DUMMYFUNCTION("IMPORTRANGE(""https://docs.google.com/spreadsheets/d/1QqKyyYR6Q21VydFLVH3TRQUabQu_ym0Zz7PgGX0-kHA/edit?usp=sharing"",""แผน!GQ55"")"),0)</f>
        <v>0</v>
      </c>
      <c r="M528" s="93">
        <v>0</v>
      </c>
      <c r="N528" s="93">
        <f>N529+N530+N531+N532</f>
        <v>0</v>
      </c>
      <c r="O528" s="93">
        <f t="shared" ca="1" si="227"/>
        <v>0</v>
      </c>
      <c r="P528" s="93">
        <f t="shared" si="228"/>
        <v>0</v>
      </c>
      <c r="Q528" s="597"/>
      <c r="R528" s="597"/>
      <c r="S528" s="597"/>
      <c r="T528" s="597"/>
      <c r="U528" s="597"/>
      <c r="V528" s="597"/>
      <c r="W528" s="597"/>
      <c r="X528" s="597"/>
      <c r="Y528" s="597"/>
      <c r="Z528" s="597"/>
    </row>
    <row r="529" spans="1:26" ht="18.75" hidden="1">
      <c r="A529" s="567"/>
      <c r="B529" s="568"/>
      <c r="C529" s="754"/>
      <c r="D529" s="754"/>
      <c r="E529" s="754"/>
      <c r="F529" s="754" t="s">
        <v>186</v>
      </c>
      <c r="G529" s="189"/>
      <c r="H529" s="161" t="s">
        <v>12</v>
      </c>
      <c r="I529" s="269"/>
      <c r="J529" s="269"/>
      <c r="K529" s="496"/>
      <c r="L529" s="496"/>
      <c r="M529" s="496"/>
      <c r="N529" s="817">
        <v>0</v>
      </c>
      <c r="O529" s="496"/>
      <c r="P529" s="496"/>
      <c r="Q529" s="571"/>
      <c r="R529" s="571"/>
      <c r="S529" s="571"/>
      <c r="T529" s="571"/>
      <c r="U529" s="571"/>
      <c r="V529" s="571"/>
      <c r="W529" s="571"/>
      <c r="X529" s="571"/>
      <c r="Y529" s="571"/>
      <c r="Z529" s="571"/>
    </row>
    <row r="530" spans="1:26" ht="18.75" hidden="1">
      <c r="A530" s="567"/>
      <c r="B530" s="568"/>
      <c r="C530" s="754"/>
      <c r="D530" s="754"/>
      <c r="E530" s="754"/>
      <c r="F530" s="754" t="s">
        <v>187</v>
      </c>
      <c r="G530" s="189"/>
      <c r="H530" s="161" t="s">
        <v>12</v>
      </c>
      <c r="I530" s="269"/>
      <c r="J530" s="269"/>
      <c r="K530" s="496"/>
      <c r="L530" s="496"/>
      <c r="M530" s="496"/>
      <c r="N530" s="817">
        <v>0</v>
      </c>
      <c r="O530" s="496"/>
      <c r="P530" s="496"/>
      <c r="Q530" s="571"/>
      <c r="R530" s="571"/>
      <c r="S530" s="571"/>
      <c r="T530" s="571"/>
      <c r="U530" s="571"/>
      <c r="V530" s="571"/>
      <c r="W530" s="571"/>
      <c r="X530" s="571"/>
      <c r="Y530" s="571"/>
      <c r="Z530" s="571"/>
    </row>
    <row r="531" spans="1:26" ht="18.75" hidden="1">
      <c r="A531" s="567"/>
      <c r="B531" s="568"/>
      <c r="C531" s="754"/>
      <c r="D531" s="754"/>
      <c r="E531" s="754"/>
      <c r="F531" s="754" t="s">
        <v>188</v>
      </c>
      <c r="G531" s="189"/>
      <c r="H531" s="161" t="s">
        <v>12</v>
      </c>
      <c r="I531" s="269"/>
      <c r="J531" s="269"/>
      <c r="K531" s="496"/>
      <c r="L531" s="496"/>
      <c r="M531" s="496"/>
      <c r="N531" s="817">
        <v>0</v>
      </c>
      <c r="O531" s="496"/>
      <c r="P531" s="496"/>
      <c r="Q531" s="571"/>
      <c r="R531" s="571"/>
      <c r="S531" s="571"/>
      <c r="T531" s="571"/>
      <c r="U531" s="571"/>
      <c r="V531" s="571"/>
      <c r="W531" s="571"/>
      <c r="X531" s="571"/>
      <c r="Y531" s="571"/>
      <c r="Z531" s="571"/>
    </row>
    <row r="532" spans="1:26" ht="18.75" hidden="1">
      <c r="A532" s="567"/>
      <c r="B532" s="568"/>
      <c r="C532" s="754"/>
      <c r="D532" s="754"/>
      <c r="E532" s="754"/>
      <c r="F532" s="754" t="s">
        <v>189</v>
      </c>
      <c r="G532" s="189"/>
      <c r="H532" s="161" t="s">
        <v>12</v>
      </c>
      <c r="I532" s="269"/>
      <c r="J532" s="269"/>
      <c r="K532" s="496"/>
      <c r="L532" s="496"/>
      <c r="M532" s="496"/>
      <c r="N532" s="817">
        <v>0</v>
      </c>
      <c r="O532" s="496"/>
      <c r="P532" s="496"/>
      <c r="Q532" s="571"/>
      <c r="R532" s="571"/>
      <c r="S532" s="571"/>
      <c r="T532" s="571"/>
      <c r="U532" s="571"/>
      <c r="V532" s="571"/>
      <c r="W532" s="571"/>
      <c r="X532" s="571"/>
      <c r="Y532" s="571"/>
      <c r="Z532" s="571"/>
    </row>
    <row r="533" spans="1:26" ht="18.75" hidden="1">
      <c r="A533" s="590"/>
      <c r="B533" s="568"/>
      <c r="C533" s="754"/>
      <c r="D533" s="599" t="s">
        <v>21</v>
      </c>
      <c r="E533" s="754"/>
      <c r="F533" s="754"/>
      <c r="G533" s="189"/>
      <c r="H533" s="168" t="s">
        <v>12</v>
      </c>
      <c r="I533" s="184"/>
      <c r="J533" s="184"/>
      <c r="K533" s="163"/>
      <c r="L533" s="496">
        <f t="shared" ref="L533:N533" ca="1" si="231">L534+L535</f>
        <v>0</v>
      </c>
      <c r="M533" s="496">
        <f t="shared" si="231"/>
        <v>0</v>
      </c>
      <c r="N533" s="496">
        <f t="shared" si="231"/>
        <v>0</v>
      </c>
      <c r="O533" s="496">
        <f t="shared" ref="O533:O535" ca="1" si="232">IF(L533&gt;0,N533*100/L533,0)</f>
        <v>0</v>
      </c>
      <c r="P533" s="496">
        <f t="shared" ref="P533:P535" si="233">IF(M533&gt;0,N533*100/M533,0)</f>
        <v>0</v>
      </c>
      <c r="Q533" s="571"/>
      <c r="R533" s="571"/>
      <c r="S533" s="571"/>
      <c r="T533" s="571"/>
      <c r="U533" s="571"/>
      <c r="V533" s="571"/>
      <c r="W533" s="571"/>
      <c r="X533" s="571"/>
      <c r="Y533" s="571"/>
      <c r="Z533" s="571"/>
    </row>
    <row r="534" spans="1:26" ht="18.75" hidden="1">
      <c r="A534" s="592"/>
      <c r="B534" s="600"/>
      <c r="C534" s="750"/>
      <c r="D534" s="750"/>
      <c r="E534" s="750" t="s">
        <v>18</v>
      </c>
      <c r="F534" s="750"/>
      <c r="G534" s="596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597"/>
      <c r="R534" s="597"/>
      <c r="S534" s="597"/>
      <c r="T534" s="597"/>
      <c r="U534" s="597"/>
      <c r="V534" s="597"/>
      <c r="W534" s="597"/>
      <c r="X534" s="597"/>
      <c r="Y534" s="597"/>
      <c r="Z534" s="597"/>
    </row>
    <row r="535" spans="1:26" ht="18.75" hidden="1">
      <c r="A535" s="592"/>
      <c r="B535" s="600"/>
      <c r="C535" s="750"/>
      <c r="D535" s="750"/>
      <c r="E535" s="750" t="s">
        <v>19</v>
      </c>
      <c r="F535" s="750"/>
      <c r="G535" s="596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IFERROR(__xludf.DUMMYFUNCTION("IMPORTRANGE(""https://docs.google.com/spreadsheets/d/1QqKyyYR6Q21VydFLVH3TRQUabQu_ym0Zz7PgGX0-kHA/edit?usp=sharing"",""แผน!GT55"")"),0)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597"/>
      <c r="R535" s="597"/>
      <c r="S535" s="597"/>
      <c r="T535" s="597"/>
      <c r="U535" s="597"/>
      <c r="V535" s="597"/>
      <c r="W535" s="597"/>
      <c r="X535" s="597"/>
      <c r="Y535" s="597"/>
      <c r="Z535" s="597"/>
    </row>
    <row r="536" spans="1:26" ht="19.5" hidden="1">
      <c r="A536" s="601"/>
      <c r="B536" s="611"/>
      <c r="C536" s="754" t="s">
        <v>16</v>
      </c>
      <c r="D536" s="839" t="s">
        <v>38</v>
      </c>
      <c r="E536" s="752"/>
      <c r="F536" s="752"/>
      <c r="G536" s="606"/>
      <c r="H536" s="753"/>
      <c r="I536" s="184"/>
      <c r="J536" s="184"/>
      <c r="K536" s="163"/>
      <c r="L536" s="163"/>
      <c r="M536" s="163"/>
      <c r="N536" s="163"/>
      <c r="O536" s="163"/>
      <c r="P536" s="163"/>
      <c r="Q536" s="571"/>
      <c r="R536" s="571"/>
      <c r="S536" s="571"/>
      <c r="T536" s="571"/>
      <c r="U536" s="571"/>
      <c r="V536" s="571"/>
      <c r="W536" s="571"/>
      <c r="X536" s="571"/>
      <c r="Y536" s="571"/>
      <c r="Z536" s="571"/>
    </row>
    <row r="537" spans="1:26" ht="19.5" hidden="1">
      <c r="A537" s="567"/>
      <c r="B537" s="568"/>
      <c r="C537" s="754"/>
      <c r="D537" s="754" t="s">
        <v>227</v>
      </c>
      <c r="E537" s="754"/>
      <c r="F537" s="754"/>
      <c r="G537" s="189"/>
      <c r="H537" s="616" t="s">
        <v>35</v>
      </c>
      <c r="I537" s="674">
        <f ca="1">IFERROR(__xludf.DUMMYFUNCTION("IMPORTRANGE(""https://docs.google.com/spreadsheets/d/1QqKyyYR6Q21VydFLVH3TRQUabQu_ym0Zz7PgGX0-kHA/edit?usp=sharing"",""แผน!GU55"")"),0)</f>
        <v>0</v>
      </c>
      <c r="J537" s="674">
        <f ca="1">IF(AND(J538=I538,J539=I539,J540=I540,J541=I541),I537,0)</f>
        <v>0</v>
      </c>
      <c r="K537" s="496">
        <f t="shared" ref="K537:K543" ca="1" si="234">IF(I537&gt;0,J537*100/I537,0)</f>
        <v>0</v>
      </c>
      <c r="L537" s="496"/>
      <c r="M537" s="496"/>
      <c r="N537" s="496"/>
      <c r="O537" s="496"/>
      <c r="P537" s="496"/>
      <c r="Q537" s="675"/>
      <c r="R537" s="675"/>
      <c r="S537" s="675"/>
      <c r="T537" s="675"/>
      <c r="U537" s="675"/>
      <c r="V537" s="675"/>
      <c r="W537" s="675"/>
      <c r="X537" s="675"/>
      <c r="Y537" s="675"/>
      <c r="Z537" s="675"/>
    </row>
    <row r="538" spans="1:26" ht="18.75" hidden="1">
      <c r="A538" s="567"/>
      <c r="B538" s="568"/>
      <c r="C538" s="754"/>
      <c r="D538" s="754"/>
      <c r="E538" s="754" t="s">
        <v>228</v>
      </c>
      <c r="F538" s="754"/>
      <c r="G538" s="189"/>
      <c r="H538" s="616" t="s">
        <v>35</v>
      </c>
      <c r="I538" s="269">
        <f ca="1">IFERROR(__xludf.DUMMYFUNCTION("IMPORTRANGE(""https://docs.google.com/spreadsheets/d/1QqKyyYR6Q21VydFLVH3TRQUabQu_ym0Zz7PgGX0-kHA/edit?usp=sharing"",""แผน!GV55"")"),0)</f>
        <v>0</v>
      </c>
      <c r="J538" s="214">
        <v>0</v>
      </c>
      <c r="K538" s="496">
        <f t="shared" ca="1" si="234"/>
        <v>0</v>
      </c>
      <c r="L538" s="496"/>
      <c r="M538" s="496"/>
      <c r="N538" s="496"/>
      <c r="O538" s="496"/>
      <c r="P538" s="496"/>
      <c r="Q538" s="675"/>
      <c r="R538" s="675"/>
      <c r="S538" s="675"/>
      <c r="T538" s="675"/>
      <c r="U538" s="675"/>
      <c r="V538" s="675"/>
      <c r="W538" s="675"/>
      <c r="X538" s="675"/>
      <c r="Y538" s="675"/>
      <c r="Z538" s="675"/>
    </row>
    <row r="539" spans="1:26" ht="18.75" hidden="1">
      <c r="A539" s="567"/>
      <c r="B539" s="568"/>
      <c r="C539" s="754"/>
      <c r="D539" s="754"/>
      <c r="E539" s="754" t="s">
        <v>229</v>
      </c>
      <c r="F539" s="754"/>
      <c r="G539" s="189"/>
      <c r="H539" s="616" t="s">
        <v>35</v>
      </c>
      <c r="I539" s="269">
        <f ca="1">IFERROR(__xludf.DUMMYFUNCTION("IMPORTRANGE(""https://docs.google.com/spreadsheets/d/1QqKyyYR6Q21VydFLVH3TRQUabQu_ym0Zz7PgGX0-kHA/edit?usp=sharing"",""แผน!GW55"")"),0)</f>
        <v>0</v>
      </c>
      <c r="J539" s="214">
        <v>0</v>
      </c>
      <c r="K539" s="496">
        <f t="shared" ca="1" si="234"/>
        <v>0</v>
      </c>
      <c r="L539" s="496"/>
      <c r="M539" s="496"/>
      <c r="N539" s="496"/>
      <c r="O539" s="496"/>
      <c r="P539" s="496"/>
      <c r="Q539" s="675"/>
      <c r="R539" s="675"/>
      <c r="S539" s="675"/>
      <c r="T539" s="675"/>
      <c r="U539" s="675"/>
      <c r="V539" s="675"/>
      <c r="W539" s="675"/>
      <c r="X539" s="675"/>
      <c r="Y539" s="675"/>
      <c r="Z539" s="675"/>
    </row>
    <row r="540" spans="1:26" ht="18.75" hidden="1">
      <c r="A540" s="567"/>
      <c r="B540" s="568"/>
      <c r="C540" s="754"/>
      <c r="D540" s="754"/>
      <c r="E540" s="754" t="s">
        <v>230</v>
      </c>
      <c r="F540" s="754"/>
      <c r="G540" s="189"/>
      <c r="H540" s="616" t="s">
        <v>35</v>
      </c>
      <c r="I540" s="269">
        <f ca="1">IFERROR(__xludf.DUMMYFUNCTION("IMPORTRANGE(""https://docs.google.com/spreadsheets/d/1QqKyyYR6Q21VydFLVH3TRQUabQu_ym0Zz7PgGX0-kHA/edit?usp=sharing"",""แผน!GX55"")"),0)</f>
        <v>0</v>
      </c>
      <c r="J540" s="214">
        <v>0</v>
      </c>
      <c r="K540" s="496">
        <f t="shared" ca="1" si="234"/>
        <v>0</v>
      </c>
      <c r="L540" s="496"/>
      <c r="M540" s="496"/>
      <c r="N540" s="496"/>
      <c r="O540" s="496"/>
      <c r="P540" s="496"/>
      <c r="Q540" s="675"/>
      <c r="R540" s="675"/>
      <c r="S540" s="675"/>
      <c r="T540" s="675"/>
      <c r="U540" s="675"/>
      <c r="V540" s="675"/>
      <c r="W540" s="675"/>
      <c r="X540" s="675"/>
      <c r="Y540" s="675"/>
      <c r="Z540" s="675"/>
    </row>
    <row r="541" spans="1:26" ht="18.75" hidden="1">
      <c r="A541" s="567"/>
      <c r="B541" s="568"/>
      <c r="C541" s="754"/>
      <c r="D541" s="754"/>
      <c r="E541" s="760" t="s">
        <v>231</v>
      </c>
      <c r="F541" s="754"/>
      <c r="G541" s="189"/>
      <c r="H541" s="616" t="s">
        <v>35</v>
      </c>
      <c r="I541" s="269">
        <f ca="1">IFERROR(__xludf.DUMMYFUNCTION("IMPORTRANGE(""https://docs.google.com/spreadsheets/d/1QqKyyYR6Q21VydFLVH3TRQUabQu_ym0Zz7PgGX0-kHA/edit?usp=sharing"",""แผน!GY55"")"),0)</f>
        <v>0</v>
      </c>
      <c r="J541" s="214">
        <v>0</v>
      </c>
      <c r="K541" s="496">
        <f t="shared" ca="1" si="234"/>
        <v>0</v>
      </c>
      <c r="L541" s="496"/>
      <c r="M541" s="496"/>
      <c r="N541" s="496"/>
      <c r="O541" s="496"/>
      <c r="P541" s="496"/>
      <c r="Q541" s="675"/>
      <c r="R541" s="675"/>
      <c r="S541" s="675"/>
      <c r="T541" s="675"/>
      <c r="U541" s="675"/>
      <c r="V541" s="675"/>
      <c r="W541" s="675"/>
      <c r="X541" s="675"/>
      <c r="Y541" s="675"/>
      <c r="Z541" s="675"/>
    </row>
    <row r="542" spans="1:26" ht="18.75" hidden="1">
      <c r="A542" s="567"/>
      <c r="B542" s="568"/>
      <c r="C542" s="754"/>
      <c r="D542" s="754" t="s">
        <v>59</v>
      </c>
      <c r="E542" s="754"/>
      <c r="F542" s="754"/>
      <c r="G542" s="189"/>
      <c r="H542" s="616" t="s">
        <v>35</v>
      </c>
      <c r="I542" s="269">
        <f ca="1">IFERROR(__xludf.DUMMYFUNCTION("IMPORTRANGE(""https://docs.google.com/spreadsheets/d/1QqKyyYR6Q21VydFLVH3TRQUabQu_ym0Zz7PgGX0-kHA/edit?usp=sharing"",""แผน!GZ55"")"),0)</f>
        <v>0</v>
      </c>
      <c r="J542" s="214">
        <v>0</v>
      </c>
      <c r="K542" s="496">
        <f t="shared" ca="1" si="234"/>
        <v>0</v>
      </c>
      <c r="L542" s="496"/>
      <c r="M542" s="496"/>
      <c r="N542" s="496"/>
      <c r="O542" s="496"/>
      <c r="P542" s="496"/>
      <c r="Q542" s="675"/>
      <c r="R542" s="675"/>
      <c r="S542" s="675"/>
      <c r="T542" s="675"/>
      <c r="U542" s="675"/>
      <c r="V542" s="675"/>
      <c r="W542" s="675"/>
      <c r="X542" s="675"/>
      <c r="Y542" s="675"/>
      <c r="Z542" s="675"/>
    </row>
    <row r="543" spans="1:26" ht="19.5">
      <c r="A543" s="657">
        <v>6</v>
      </c>
      <c r="B543" s="678" t="s">
        <v>232</v>
      </c>
      <c r="C543" s="660"/>
      <c r="D543" s="660"/>
      <c r="E543" s="660"/>
      <c r="F543" s="660"/>
      <c r="G543" s="661"/>
      <c r="H543" s="679" t="s">
        <v>46</v>
      </c>
      <c r="I543" s="680">
        <f t="shared" ref="I543:J543" ca="1" si="235">I559</f>
        <v>0</v>
      </c>
      <c r="J543" s="680">
        <f t="shared" si="235"/>
        <v>0</v>
      </c>
      <c r="K543" s="681">
        <f t="shared" ca="1" si="234"/>
        <v>0</v>
      </c>
      <c r="L543" s="663"/>
      <c r="M543" s="663"/>
      <c r="N543" s="663"/>
      <c r="O543" s="663"/>
      <c r="P543" s="663"/>
      <c r="Q543" s="571"/>
      <c r="R543" s="571"/>
      <c r="S543" s="571"/>
      <c r="T543" s="571"/>
      <c r="U543" s="571"/>
      <c r="V543" s="571"/>
      <c r="W543" s="571"/>
      <c r="X543" s="571"/>
      <c r="Y543" s="571"/>
      <c r="Z543" s="571"/>
    </row>
    <row r="544" spans="1:26" ht="19.5">
      <c r="A544" s="682"/>
      <c r="B544" s="683"/>
      <c r="C544" s="683" t="s">
        <v>16</v>
      </c>
      <c r="D544" s="867" t="s">
        <v>17</v>
      </c>
      <c r="E544" s="862"/>
      <c r="F544" s="862"/>
      <c r="G544" s="684"/>
      <c r="H544" s="274" t="s">
        <v>12</v>
      </c>
      <c r="I544" s="419"/>
      <c r="J544" s="419"/>
      <c r="K544" s="154"/>
      <c r="L544" s="155">
        <f t="shared" ref="L544:N544" ca="1" si="236">L545+L546</f>
        <v>219200</v>
      </c>
      <c r="M544" s="155">
        <f t="shared" si="236"/>
        <v>0</v>
      </c>
      <c r="N544" s="155">
        <f t="shared" si="236"/>
        <v>33812.300000000003</v>
      </c>
      <c r="O544" s="155">
        <f t="shared" ref="O544:O549" ca="1" si="237">IF(L544&gt;0,N544*100/L544,0)</f>
        <v>15.425319343065695</v>
      </c>
      <c r="P544" s="155">
        <f t="shared" ref="P544:P549" si="238">IF(M544&gt;0,N544*100/M544,0)</f>
        <v>0</v>
      </c>
      <c r="Q544" s="571"/>
      <c r="R544" s="571"/>
      <c r="S544" s="571"/>
      <c r="T544" s="571"/>
      <c r="U544" s="571"/>
      <c r="V544" s="571"/>
      <c r="W544" s="571"/>
      <c r="X544" s="571"/>
      <c r="Y544" s="571"/>
      <c r="Z544" s="571"/>
    </row>
    <row r="545" spans="1:26" ht="18.75" hidden="1">
      <c r="A545" s="592"/>
      <c r="B545" s="750"/>
      <c r="C545" s="750"/>
      <c r="D545" s="750"/>
      <c r="E545" s="750" t="s">
        <v>184</v>
      </c>
      <c r="F545" s="750"/>
      <c r="G545" s="596"/>
      <c r="H545" s="165" t="s">
        <v>12</v>
      </c>
      <c r="I545" s="610"/>
      <c r="J545" s="610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597"/>
      <c r="R545" s="597"/>
      <c r="S545" s="597"/>
      <c r="T545" s="597"/>
      <c r="U545" s="597"/>
      <c r="V545" s="597"/>
      <c r="W545" s="597"/>
      <c r="X545" s="597"/>
      <c r="Y545" s="597"/>
      <c r="Z545" s="597"/>
    </row>
    <row r="546" spans="1:26" ht="18.75" hidden="1">
      <c r="A546" s="592"/>
      <c r="B546" s="600"/>
      <c r="C546" s="750"/>
      <c r="D546" s="750"/>
      <c r="E546" s="750" t="s">
        <v>185</v>
      </c>
      <c r="F546" s="750"/>
      <c r="G546" s="596"/>
      <c r="H546" s="165" t="s">
        <v>12</v>
      </c>
      <c r="I546" s="610"/>
      <c r="J546" s="610"/>
      <c r="K546" s="93"/>
      <c r="L546" s="93">
        <f t="shared" ca="1" si="239"/>
        <v>219200</v>
      </c>
      <c r="M546" s="93">
        <f t="shared" si="240"/>
        <v>0</v>
      </c>
      <c r="N546" s="93">
        <f t="shared" si="240"/>
        <v>33812.300000000003</v>
      </c>
      <c r="O546" s="93">
        <f t="shared" ca="1" si="237"/>
        <v>15.425319343065695</v>
      </c>
      <c r="P546" s="93">
        <f t="shared" si="238"/>
        <v>0</v>
      </c>
      <c r="Q546" s="597"/>
      <c r="R546" s="597"/>
      <c r="S546" s="597"/>
      <c r="T546" s="597"/>
      <c r="U546" s="597"/>
      <c r="V546" s="597"/>
      <c r="W546" s="597"/>
      <c r="X546" s="597"/>
      <c r="Y546" s="597"/>
      <c r="Z546" s="597"/>
    </row>
    <row r="547" spans="1:26" ht="18.75">
      <c r="A547" s="590"/>
      <c r="B547" s="568"/>
      <c r="C547" s="754"/>
      <c r="D547" s="599" t="s">
        <v>20</v>
      </c>
      <c r="E547" s="754"/>
      <c r="F547" s="754"/>
      <c r="G547" s="189"/>
      <c r="H547" s="161" t="s">
        <v>12</v>
      </c>
      <c r="I547" s="184"/>
      <c r="J547" s="184"/>
      <c r="K547" s="163"/>
      <c r="L547" s="496">
        <f t="shared" ref="L547:N547" ca="1" si="241">L548+L549</f>
        <v>219200</v>
      </c>
      <c r="M547" s="496">
        <f t="shared" si="241"/>
        <v>0</v>
      </c>
      <c r="N547" s="496">
        <f t="shared" si="241"/>
        <v>33812.300000000003</v>
      </c>
      <c r="O547" s="496">
        <f t="shared" ca="1" si="237"/>
        <v>15.425319343065695</v>
      </c>
      <c r="P547" s="496">
        <f t="shared" si="238"/>
        <v>0</v>
      </c>
      <c r="Q547" s="571"/>
      <c r="R547" s="571"/>
      <c r="S547" s="571"/>
      <c r="T547" s="571"/>
      <c r="U547" s="571"/>
      <c r="V547" s="571"/>
      <c r="W547" s="571"/>
      <c r="X547" s="571"/>
      <c r="Y547" s="571"/>
      <c r="Z547" s="571"/>
    </row>
    <row r="548" spans="1:26" ht="18.75" hidden="1">
      <c r="A548" s="592"/>
      <c r="B548" s="600"/>
      <c r="C548" s="750"/>
      <c r="D548" s="711"/>
      <c r="E548" s="750" t="s">
        <v>184</v>
      </c>
      <c r="F548" s="750"/>
      <c r="G548" s="596"/>
      <c r="H548" s="165" t="s">
        <v>12</v>
      </c>
      <c r="I548" s="610"/>
      <c r="J548" s="610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597"/>
      <c r="R548" s="597"/>
      <c r="S548" s="597"/>
      <c r="T548" s="597"/>
      <c r="U548" s="597"/>
      <c r="V548" s="597"/>
      <c r="W548" s="597"/>
      <c r="X548" s="597"/>
      <c r="Y548" s="597"/>
      <c r="Z548" s="597"/>
    </row>
    <row r="549" spans="1:26" ht="18.75" hidden="1">
      <c r="A549" s="592"/>
      <c r="B549" s="600"/>
      <c r="C549" s="750"/>
      <c r="D549" s="711"/>
      <c r="E549" s="750" t="s">
        <v>185</v>
      </c>
      <c r="F549" s="750"/>
      <c r="G549" s="596"/>
      <c r="H549" s="165" t="s">
        <v>12</v>
      </c>
      <c r="I549" s="610"/>
      <c r="J549" s="610"/>
      <c r="K549" s="93"/>
      <c r="L549" s="93">
        <f ca="1">IFERROR(__xludf.DUMMYFUNCTION("IMPORTRANGE(""https://docs.google.com/spreadsheets/d/1QqKyyYR6Q21VydFLVH3TRQUabQu_ym0Zz7PgGX0-kHA/edit?usp=sharing"",""แผน!HB55"")"),219200)</f>
        <v>219200</v>
      </c>
      <c r="M549" s="93">
        <v>0</v>
      </c>
      <c r="N549" s="93">
        <f>N550+N551+N552+N553+N554</f>
        <v>33812.300000000003</v>
      </c>
      <c r="O549" s="93">
        <f t="shared" ca="1" si="237"/>
        <v>15.425319343065695</v>
      </c>
      <c r="P549" s="93">
        <f t="shared" si="238"/>
        <v>0</v>
      </c>
      <c r="Q549" s="597"/>
      <c r="R549" s="597"/>
      <c r="S549" s="597"/>
      <c r="T549" s="597"/>
      <c r="U549" s="597"/>
      <c r="V549" s="597"/>
      <c r="W549" s="597"/>
      <c r="X549" s="597"/>
      <c r="Y549" s="597"/>
      <c r="Z549" s="597"/>
    </row>
    <row r="550" spans="1:26" ht="18.75">
      <c r="A550" s="567"/>
      <c r="B550" s="568"/>
      <c r="C550" s="754"/>
      <c r="D550" s="754"/>
      <c r="E550" s="754"/>
      <c r="F550" s="754" t="s">
        <v>186</v>
      </c>
      <c r="G550" s="189"/>
      <c r="H550" s="161" t="s">
        <v>12</v>
      </c>
      <c r="I550" s="269"/>
      <c r="J550" s="269"/>
      <c r="K550" s="496"/>
      <c r="L550" s="496"/>
      <c r="M550" s="496"/>
      <c r="N550" s="817">
        <v>0</v>
      </c>
      <c r="O550" s="496"/>
      <c r="P550" s="496"/>
      <c r="Q550" s="571"/>
      <c r="R550" s="571"/>
      <c r="S550" s="571"/>
      <c r="T550" s="571"/>
      <c r="U550" s="571"/>
      <c r="V550" s="571"/>
      <c r="W550" s="571"/>
      <c r="X550" s="571"/>
      <c r="Y550" s="571"/>
      <c r="Z550" s="571"/>
    </row>
    <row r="551" spans="1:26" ht="18.75">
      <c r="A551" s="567"/>
      <c r="B551" s="568"/>
      <c r="C551" s="568"/>
      <c r="D551" s="568"/>
      <c r="E551" s="754"/>
      <c r="F551" s="754" t="s">
        <v>187</v>
      </c>
      <c r="G551" s="189"/>
      <c r="H551" s="161" t="s">
        <v>12</v>
      </c>
      <c r="I551" s="269"/>
      <c r="J551" s="269"/>
      <c r="K551" s="496"/>
      <c r="L551" s="496"/>
      <c r="M551" s="496"/>
      <c r="N551" s="817">
        <v>0</v>
      </c>
      <c r="O551" s="496"/>
      <c r="P551" s="496"/>
      <c r="Q551" s="571"/>
      <c r="R551" s="571"/>
      <c r="S551" s="571"/>
      <c r="T551" s="571"/>
      <c r="U551" s="571"/>
      <c r="V551" s="571"/>
      <c r="W551" s="571"/>
      <c r="X551" s="571"/>
      <c r="Y551" s="571"/>
      <c r="Z551" s="571"/>
    </row>
    <row r="552" spans="1:26" ht="18.75">
      <c r="A552" s="567"/>
      <c r="B552" s="568"/>
      <c r="C552" s="754"/>
      <c r="D552" s="754"/>
      <c r="E552" s="754"/>
      <c r="F552" s="754" t="s">
        <v>188</v>
      </c>
      <c r="G552" s="189"/>
      <c r="H552" s="161" t="s">
        <v>12</v>
      </c>
      <c r="I552" s="269"/>
      <c r="J552" s="269"/>
      <c r="K552" s="496"/>
      <c r="L552" s="496"/>
      <c r="M552" s="496"/>
      <c r="N552" s="817">
        <v>26000</v>
      </c>
      <c r="O552" s="496"/>
      <c r="P552" s="496"/>
      <c r="Q552" s="571"/>
      <c r="R552" s="571"/>
      <c r="S552" s="571"/>
      <c r="T552" s="571"/>
      <c r="U552" s="571"/>
      <c r="V552" s="571"/>
      <c r="W552" s="571"/>
      <c r="X552" s="571"/>
      <c r="Y552" s="571"/>
      <c r="Z552" s="571"/>
    </row>
    <row r="553" spans="1:26" ht="18.75">
      <c r="A553" s="567"/>
      <c r="B553" s="568"/>
      <c r="C553" s="568"/>
      <c r="D553" s="568"/>
      <c r="E553" s="754"/>
      <c r="F553" s="754" t="s">
        <v>189</v>
      </c>
      <c r="G553" s="189"/>
      <c r="H553" s="161" t="s">
        <v>12</v>
      </c>
      <c r="I553" s="269"/>
      <c r="J553" s="269"/>
      <c r="K553" s="496"/>
      <c r="L553" s="496"/>
      <c r="M553" s="496"/>
      <c r="N553" s="817">
        <v>7812.3</v>
      </c>
      <c r="O553" s="496"/>
      <c r="P553" s="496"/>
      <c r="Q553" s="571"/>
      <c r="R553" s="571"/>
      <c r="S553" s="571"/>
      <c r="T553" s="571"/>
      <c r="U553" s="571"/>
      <c r="V553" s="571"/>
      <c r="W553" s="571"/>
      <c r="X553" s="571"/>
      <c r="Y553" s="571"/>
      <c r="Z553" s="571"/>
    </row>
    <row r="554" spans="1:26" ht="18.75">
      <c r="A554" s="567"/>
      <c r="B554" s="568"/>
      <c r="C554" s="568"/>
      <c r="D554" s="568"/>
      <c r="E554" s="754"/>
      <c r="F554" s="754" t="s">
        <v>233</v>
      </c>
      <c r="G554" s="189"/>
      <c r="H554" s="161" t="s">
        <v>12</v>
      </c>
      <c r="I554" s="269"/>
      <c r="J554" s="269"/>
      <c r="K554" s="496"/>
      <c r="L554" s="496"/>
      <c r="M554" s="496"/>
      <c r="N554" s="817">
        <v>0</v>
      </c>
      <c r="O554" s="496"/>
      <c r="P554" s="496"/>
      <c r="Q554" s="571"/>
      <c r="R554" s="571"/>
      <c r="S554" s="571"/>
      <c r="T554" s="571"/>
      <c r="U554" s="571"/>
      <c r="V554" s="571"/>
      <c r="W554" s="571"/>
      <c r="X554" s="571"/>
      <c r="Y554" s="571"/>
      <c r="Z554" s="571"/>
    </row>
    <row r="555" spans="1:26" ht="18.75">
      <c r="A555" s="590"/>
      <c r="B555" s="568"/>
      <c r="C555" s="568"/>
      <c r="D555" s="599" t="s">
        <v>21</v>
      </c>
      <c r="E555" s="754"/>
      <c r="F555" s="754"/>
      <c r="G555" s="189"/>
      <c r="H555" s="168" t="s">
        <v>12</v>
      </c>
      <c r="I555" s="184"/>
      <c r="J555" s="184"/>
      <c r="K555" s="163"/>
      <c r="L555" s="496">
        <f t="shared" ref="L555:N555" ca="1" si="242">L556+L557</f>
        <v>0</v>
      </c>
      <c r="M555" s="496">
        <f t="shared" si="242"/>
        <v>0</v>
      </c>
      <c r="N555" s="496">
        <f t="shared" si="242"/>
        <v>0</v>
      </c>
      <c r="O555" s="496">
        <f t="shared" ref="O555:O557" ca="1" si="243">IF(L555&gt;0,N555*100/L555,0)</f>
        <v>0</v>
      </c>
      <c r="P555" s="496">
        <f t="shared" ref="P555:P557" si="244">IF(M555&gt;0,N555*100/M555,0)</f>
        <v>0</v>
      </c>
      <c r="Q555" s="571"/>
      <c r="R555" s="571"/>
      <c r="S555" s="571"/>
      <c r="T555" s="571"/>
      <c r="U555" s="571"/>
      <c r="V555" s="571"/>
      <c r="W555" s="571"/>
      <c r="X555" s="571"/>
      <c r="Y555" s="571"/>
      <c r="Z555" s="571"/>
    </row>
    <row r="556" spans="1:26" ht="18.75" hidden="1">
      <c r="A556" s="592"/>
      <c r="B556" s="600"/>
      <c r="C556" s="600"/>
      <c r="D556" s="750"/>
      <c r="E556" s="750" t="s">
        <v>18</v>
      </c>
      <c r="F556" s="750"/>
      <c r="G556" s="596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597"/>
      <c r="R556" s="597"/>
      <c r="S556" s="597"/>
      <c r="T556" s="597"/>
      <c r="U556" s="597"/>
      <c r="V556" s="597"/>
      <c r="W556" s="597"/>
      <c r="X556" s="597"/>
      <c r="Y556" s="597"/>
      <c r="Z556" s="597"/>
    </row>
    <row r="557" spans="1:26" ht="18.75" hidden="1">
      <c r="A557" s="592"/>
      <c r="B557" s="600"/>
      <c r="C557" s="600"/>
      <c r="D557" s="750"/>
      <c r="E557" s="750" t="s">
        <v>19</v>
      </c>
      <c r="F557" s="750"/>
      <c r="G557" s="596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IFERROR(__xludf.DUMMYFUNCTION("IMPORTRANGE(""https://docs.google.com/spreadsheets/d/1QqKyyYR6Q21VydFLVH3TRQUabQu_ym0Zz7PgGX0-kHA/edit?usp=sharing"",""แผน!HF55"")"),0)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597"/>
      <c r="R557" s="597"/>
      <c r="S557" s="597"/>
      <c r="T557" s="597"/>
      <c r="U557" s="597"/>
      <c r="V557" s="597"/>
      <c r="W557" s="597"/>
      <c r="X557" s="597"/>
      <c r="Y557" s="597"/>
      <c r="Z557" s="597"/>
    </row>
    <row r="558" spans="1:26" ht="19.5">
      <c r="A558" s="601"/>
      <c r="B558" s="611"/>
      <c r="C558" s="568" t="s">
        <v>16</v>
      </c>
      <c r="D558" s="839" t="s">
        <v>38</v>
      </c>
      <c r="E558" s="752"/>
      <c r="F558" s="752"/>
      <c r="G558" s="606"/>
      <c r="H558" s="753"/>
      <c r="I558" s="184"/>
      <c r="J558" s="184"/>
      <c r="K558" s="163"/>
      <c r="L558" s="163"/>
      <c r="M558" s="163"/>
      <c r="N558" s="163"/>
      <c r="O558" s="163"/>
      <c r="P558" s="163"/>
      <c r="Q558" s="571"/>
      <c r="R558" s="571"/>
      <c r="S558" s="571"/>
      <c r="T558" s="571"/>
      <c r="U558" s="571"/>
      <c r="V558" s="571"/>
      <c r="W558" s="571"/>
      <c r="X558" s="571"/>
      <c r="Y558" s="571"/>
      <c r="Z558" s="571"/>
    </row>
    <row r="559" spans="1:26" ht="19.5" hidden="1">
      <c r="A559" s="685"/>
      <c r="B559" s="686" t="s">
        <v>234</v>
      </c>
      <c r="C559" s="687"/>
      <c r="D559" s="687"/>
      <c r="E559" s="666"/>
      <c r="F559" s="666"/>
      <c r="G559" s="667"/>
      <c r="H559" s="688" t="s">
        <v>46</v>
      </c>
      <c r="I559" s="699">
        <f t="shared" ref="I559:J559" ca="1" si="245">I576</f>
        <v>0</v>
      </c>
      <c r="J559" s="699">
        <f t="shared" si="245"/>
        <v>0</v>
      </c>
      <c r="K559" s="670">
        <f t="shared" ref="K559:K561" ca="1" si="246">IF(I559&gt;0,J559*100/I559,0)</f>
        <v>0</v>
      </c>
      <c r="L559" s="671"/>
      <c r="M559" s="671"/>
      <c r="N559" s="671"/>
      <c r="O559" s="671"/>
      <c r="P559" s="671"/>
      <c r="Q559" s="571"/>
      <c r="R559" s="571"/>
      <c r="S559" s="571"/>
      <c r="T559" s="571"/>
      <c r="U559" s="571"/>
      <c r="V559" s="571"/>
      <c r="W559" s="571"/>
      <c r="X559" s="571"/>
      <c r="Y559" s="571"/>
      <c r="Z559" s="571"/>
    </row>
    <row r="560" spans="1:26" ht="19.5" hidden="1">
      <c r="A560" s="601"/>
      <c r="B560" s="611"/>
      <c r="C560" s="618" t="s">
        <v>235</v>
      </c>
      <c r="D560" s="611"/>
      <c r="E560" s="619"/>
      <c r="F560" s="619"/>
      <c r="G560" s="753"/>
      <c r="H560" s="758" t="s">
        <v>46</v>
      </c>
      <c r="I560" s="193">
        <f ca="1">IFERROR(__xludf.DUMMYFUNCTION("IMPORTRANGE(""https://docs.google.com/spreadsheets/d/1QqKyyYR6Q21VydFLVH3TRQUabQu_ym0Zz7PgGX0-kHA/edit?usp=sharing"",""แผน!HH55"")"),0)</f>
        <v>0</v>
      </c>
      <c r="J560" s="193">
        <f t="shared" ref="J560:J561" si="247">J562+J564+J566</f>
        <v>0</v>
      </c>
      <c r="K560" s="410">
        <f t="shared" ca="1" si="246"/>
        <v>0</v>
      </c>
      <c r="L560" s="163"/>
      <c r="M560" s="163"/>
      <c r="N560" s="163"/>
      <c r="O560" s="163"/>
      <c r="P560" s="163"/>
      <c r="Q560" s="571"/>
      <c r="R560" s="571"/>
      <c r="S560" s="571"/>
      <c r="T560" s="571"/>
      <c r="U560" s="571"/>
      <c r="V560" s="571"/>
      <c r="W560" s="571"/>
      <c r="X560" s="571"/>
      <c r="Y560" s="571"/>
      <c r="Z560" s="571"/>
    </row>
    <row r="561" spans="1:26" ht="19.5" hidden="1">
      <c r="A561" s="601"/>
      <c r="B561" s="611"/>
      <c r="C561" s="611"/>
      <c r="D561" s="619"/>
      <c r="E561" s="619"/>
      <c r="F561" s="619"/>
      <c r="G561" s="753"/>
      <c r="H561" s="758" t="s">
        <v>34</v>
      </c>
      <c r="I561" s="193">
        <f ca="1">IFERROR(__xludf.DUMMYFUNCTION("IMPORTRANGE(""https://docs.google.com/spreadsheets/d/1QqKyyYR6Q21VydFLVH3TRQUabQu_ym0Zz7PgGX0-kHA/edit?usp=sharing"",""แผน!HG55"")"),0)</f>
        <v>0</v>
      </c>
      <c r="J561" s="193">
        <f t="shared" si="247"/>
        <v>0</v>
      </c>
      <c r="K561" s="410">
        <f t="shared" ca="1" si="246"/>
        <v>0</v>
      </c>
      <c r="L561" s="163"/>
      <c r="M561" s="163"/>
      <c r="N561" s="163"/>
      <c r="O561" s="163"/>
      <c r="P561" s="163"/>
      <c r="Q561" s="571"/>
      <c r="R561" s="571"/>
      <c r="S561" s="571"/>
      <c r="T561" s="571"/>
      <c r="U561" s="571"/>
      <c r="V561" s="571"/>
      <c r="W561" s="571"/>
      <c r="X561" s="571"/>
      <c r="Y561" s="571"/>
      <c r="Z561" s="571"/>
    </row>
    <row r="562" spans="1:26" ht="18.75" hidden="1">
      <c r="A562" s="601"/>
      <c r="B562" s="611"/>
      <c r="C562" s="611"/>
      <c r="D562" s="619" t="s">
        <v>236</v>
      </c>
      <c r="E562" s="619"/>
      <c r="F562" s="619"/>
      <c r="G562" s="753"/>
      <c r="H562" s="755" t="s">
        <v>46</v>
      </c>
      <c r="I562" s="184"/>
      <c r="J562" s="214">
        <v>0</v>
      </c>
      <c r="K562" s="163"/>
      <c r="L562" s="163"/>
      <c r="M562" s="163"/>
      <c r="N562" s="163"/>
      <c r="O562" s="163"/>
      <c r="P562" s="163"/>
      <c r="Q562" s="571"/>
      <c r="R562" s="571"/>
      <c r="S562" s="571"/>
      <c r="T562" s="571"/>
      <c r="U562" s="571"/>
      <c r="V562" s="571"/>
      <c r="W562" s="571"/>
      <c r="X562" s="571"/>
      <c r="Y562" s="571"/>
      <c r="Z562" s="571"/>
    </row>
    <row r="563" spans="1:26" ht="18.75" hidden="1">
      <c r="A563" s="601"/>
      <c r="B563" s="611"/>
      <c r="C563" s="611"/>
      <c r="D563" s="611"/>
      <c r="E563" s="619"/>
      <c r="F563" s="619"/>
      <c r="G563" s="753"/>
      <c r="H563" s="755" t="s">
        <v>34</v>
      </c>
      <c r="I563" s="184"/>
      <c r="J563" s="214">
        <v>0</v>
      </c>
      <c r="K563" s="163"/>
      <c r="L563" s="163"/>
      <c r="M563" s="163"/>
      <c r="N563" s="163"/>
      <c r="O563" s="163"/>
      <c r="P563" s="163"/>
      <c r="Q563" s="571"/>
      <c r="R563" s="571"/>
      <c r="S563" s="571"/>
      <c r="T563" s="571"/>
      <c r="U563" s="571"/>
      <c r="V563" s="571"/>
      <c r="W563" s="571"/>
      <c r="X563" s="571"/>
      <c r="Y563" s="571"/>
      <c r="Z563" s="571"/>
    </row>
    <row r="564" spans="1:26" ht="18.75" hidden="1">
      <c r="A564" s="601"/>
      <c r="B564" s="611"/>
      <c r="C564" s="611"/>
      <c r="D564" s="619" t="s">
        <v>237</v>
      </c>
      <c r="E564" s="619"/>
      <c r="F564" s="619"/>
      <c r="G564" s="753"/>
      <c r="H564" s="755" t="s">
        <v>46</v>
      </c>
      <c r="I564" s="184"/>
      <c r="J564" s="214">
        <v>0</v>
      </c>
      <c r="K564" s="163"/>
      <c r="L564" s="163"/>
      <c r="M564" s="163"/>
      <c r="N564" s="163"/>
      <c r="O564" s="163"/>
      <c r="P564" s="163"/>
      <c r="Q564" s="571"/>
      <c r="R564" s="571"/>
      <c r="S564" s="571"/>
      <c r="T564" s="571"/>
      <c r="U564" s="571"/>
      <c r="V564" s="571"/>
      <c r="W564" s="571"/>
      <c r="X564" s="571"/>
      <c r="Y564" s="571"/>
      <c r="Z564" s="571"/>
    </row>
    <row r="565" spans="1:26" ht="18.75" hidden="1">
      <c r="A565" s="601"/>
      <c r="B565" s="611"/>
      <c r="C565" s="611"/>
      <c r="D565" s="619"/>
      <c r="E565" s="619"/>
      <c r="F565" s="619"/>
      <c r="G565" s="753"/>
      <c r="H565" s="755" t="s">
        <v>34</v>
      </c>
      <c r="I565" s="184"/>
      <c r="J565" s="214">
        <v>0</v>
      </c>
      <c r="K565" s="163"/>
      <c r="L565" s="163"/>
      <c r="M565" s="163"/>
      <c r="N565" s="163"/>
      <c r="O565" s="163"/>
      <c r="P565" s="163"/>
      <c r="Q565" s="571"/>
      <c r="R565" s="571"/>
      <c r="S565" s="571"/>
      <c r="T565" s="571"/>
      <c r="U565" s="571"/>
      <c r="V565" s="571"/>
      <c r="W565" s="571"/>
      <c r="X565" s="571"/>
      <c r="Y565" s="571"/>
      <c r="Z565" s="571"/>
    </row>
    <row r="566" spans="1:26" ht="18.75" hidden="1">
      <c r="A566" s="601"/>
      <c r="B566" s="611"/>
      <c r="C566" s="611"/>
      <c r="D566" s="619" t="s">
        <v>238</v>
      </c>
      <c r="E566" s="619"/>
      <c r="F566" s="619"/>
      <c r="G566" s="753"/>
      <c r="H566" s="755" t="s">
        <v>46</v>
      </c>
      <c r="I566" s="184"/>
      <c r="J566" s="214">
        <v>0</v>
      </c>
      <c r="K566" s="163"/>
      <c r="L566" s="163"/>
      <c r="M566" s="163"/>
      <c r="N566" s="163"/>
      <c r="O566" s="163"/>
      <c r="P566" s="163"/>
      <c r="Q566" s="571"/>
      <c r="R566" s="571"/>
      <c r="S566" s="571"/>
      <c r="T566" s="571"/>
      <c r="U566" s="571"/>
      <c r="V566" s="571"/>
      <c r="W566" s="571"/>
      <c r="X566" s="571"/>
      <c r="Y566" s="571"/>
      <c r="Z566" s="571"/>
    </row>
    <row r="567" spans="1:26" ht="18.75" hidden="1">
      <c r="A567" s="601"/>
      <c r="B567" s="611"/>
      <c r="C567" s="611"/>
      <c r="D567" s="619"/>
      <c r="E567" s="619"/>
      <c r="F567" s="619"/>
      <c r="G567" s="753"/>
      <c r="H567" s="755" t="s">
        <v>34</v>
      </c>
      <c r="I567" s="184"/>
      <c r="J567" s="214">
        <v>0</v>
      </c>
      <c r="K567" s="163"/>
      <c r="L567" s="163"/>
      <c r="M567" s="163"/>
      <c r="N567" s="163"/>
      <c r="O567" s="163"/>
      <c r="P567" s="163"/>
      <c r="Q567" s="571"/>
      <c r="R567" s="571"/>
      <c r="S567" s="571"/>
      <c r="T567" s="571"/>
      <c r="U567" s="571"/>
      <c r="V567" s="571"/>
      <c r="W567" s="571"/>
      <c r="X567" s="571"/>
      <c r="Y567" s="571"/>
      <c r="Z567" s="571"/>
    </row>
    <row r="568" spans="1:26" ht="19.5" hidden="1">
      <c r="A568" s="601"/>
      <c r="B568" s="611"/>
      <c r="C568" s="618" t="s">
        <v>239</v>
      </c>
      <c r="D568" s="619"/>
      <c r="E568" s="619"/>
      <c r="F568" s="619"/>
      <c r="G568" s="753"/>
      <c r="H568" s="758" t="s">
        <v>46</v>
      </c>
      <c r="I568" s="193">
        <f ca="1">IFERROR(__xludf.DUMMYFUNCTION("IMPORTRANGE(""https://docs.google.com/spreadsheets/d/1QqKyyYR6Q21VydFLVH3TRQUabQu_ym0Zz7PgGX0-kHA/edit?usp=sharing"",""แผน!HH55"")"),0)</f>
        <v>0</v>
      </c>
      <c r="J568" s="674">
        <f t="shared" ref="J568:J569" si="248">J570+J572+J574</f>
        <v>0</v>
      </c>
      <c r="K568" s="410">
        <f t="shared" ref="K568:K569" ca="1" si="249">IF(I568&gt;0,J568*100/I568,0)</f>
        <v>0</v>
      </c>
      <c r="L568" s="163"/>
      <c r="M568" s="163"/>
      <c r="N568" s="163"/>
      <c r="O568" s="163"/>
      <c r="P568" s="163"/>
      <c r="Q568" s="571"/>
      <c r="R568" s="571"/>
      <c r="S568" s="571"/>
      <c r="T568" s="571"/>
      <c r="U568" s="571"/>
      <c r="V568" s="571"/>
      <c r="W568" s="571"/>
      <c r="X568" s="571"/>
      <c r="Y568" s="571"/>
      <c r="Z568" s="571"/>
    </row>
    <row r="569" spans="1:26" ht="19.5" hidden="1">
      <c r="A569" s="601"/>
      <c r="B569" s="611"/>
      <c r="C569" s="611"/>
      <c r="D569" s="611"/>
      <c r="E569" s="619"/>
      <c r="F569" s="619"/>
      <c r="G569" s="753"/>
      <c r="H569" s="758" t="s">
        <v>34</v>
      </c>
      <c r="I569" s="193">
        <f ca="1">IFERROR(__xludf.DUMMYFUNCTION("IMPORTRANGE(""https://docs.google.com/spreadsheets/d/1QqKyyYR6Q21VydFLVH3TRQUabQu_ym0Zz7PgGX0-kHA/edit?usp=sharing"",""แผน!HG55"")"),0)</f>
        <v>0</v>
      </c>
      <c r="J569" s="674">
        <f t="shared" si="248"/>
        <v>0</v>
      </c>
      <c r="K569" s="410">
        <f t="shared" ca="1" si="249"/>
        <v>0</v>
      </c>
      <c r="L569" s="163"/>
      <c r="M569" s="163"/>
      <c r="N569" s="163"/>
      <c r="O569" s="163"/>
      <c r="P569" s="163"/>
      <c r="Q569" s="571"/>
      <c r="R569" s="571"/>
      <c r="S569" s="571"/>
      <c r="T569" s="571"/>
      <c r="U569" s="571"/>
      <c r="V569" s="571"/>
      <c r="W569" s="571"/>
      <c r="X569" s="571"/>
      <c r="Y569" s="571"/>
      <c r="Z569" s="571"/>
    </row>
    <row r="570" spans="1:26" ht="18.75" hidden="1">
      <c r="A570" s="601"/>
      <c r="B570" s="611"/>
      <c r="C570" s="611"/>
      <c r="D570" s="619" t="s">
        <v>240</v>
      </c>
      <c r="E570" s="611"/>
      <c r="F570" s="619"/>
      <c r="G570" s="753"/>
      <c r="H570" s="755" t="s">
        <v>46</v>
      </c>
      <c r="I570" s="184"/>
      <c r="J570" s="214">
        <v>0</v>
      </c>
      <c r="K570" s="163"/>
      <c r="L570" s="163"/>
      <c r="M570" s="163"/>
      <c r="N570" s="163"/>
      <c r="O570" s="163"/>
      <c r="P570" s="163"/>
      <c r="Q570" s="571"/>
      <c r="R570" s="571"/>
      <c r="S570" s="571"/>
      <c r="T570" s="571"/>
      <c r="U570" s="571"/>
      <c r="V570" s="571"/>
      <c r="W570" s="571"/>
      <c r="X570" s="571"/>
      <c r="Y570" s="571"/>
      <c r="Z570" s="571"/>
    </row>
    <row r="571" spans="1:26" ht="18.75" hidden="1">
      <c r="A571" s="601"/>
      <c r="B571" s="611"/>
      <c r="C571" s="611"/>
      <c r="D571" s="611"/>
      <c r="E571" s="619"/>
      <c r="F571" s="619"/>
      <c r="G571" s="753"/>
      <c r="H571" s="755" t="s">
        <v>34</v>
      </c>
      <c r="I571" s="184"/>
      <c r="J571" s="214">
        <v>0</v>
      </c>
      <c r="K571" s="163"/>
      <c r="L571" s="163"/>
      <c r="M571" s="163"/>
      <c r="N571" s="163"/>
      <c r="O571" s="163"/>
      <c r="P571" s="163"/>
      <c r="Q571" s="571"/>
      <c r="R571" s="571"/>
      <c r="S571" s="571"/>
      <c r="T571" s="571"/>
      <c r="U571" s="571"/>
      <c r="V571" s="571"/>
      <c r="W571" s="571"/>
      <c r="X571" s="571"/>
      <c r="Y571" s="571"/>
      <c r="Z571" s="571"/>
    </row>
    <row r="572" spans="1:26" ht="18.75" hidden="1">
      <c r="A572" s="601"/>
      <c r="B572" s="611"/>
      <c r="C572" s="611"/>
      <c r="D572" s="619" t="s">
        <v>241</v>
      </c>
      <c r="E572" s="619"/>
      <c r="F572" s="619"/>
      <c r="G572" s="753"/>
      <c r="H572" s="755" t="s">
        <v>46</v>
      </c>
      <c r="I572" s="184"/>
      <c r="J572" s="214">
        <v>0</v>
      </c>
      <c r="K572" s="163"/>
      <c r="L572" s="163"/>
      <c r="M572" s="163"/>
      <c r="N572" s="163"/>
      <c r="O572" s="163"/>
      <c r="P572" s="163"/>
      <c r="Q572" s="571"/>
      <c r="R572" s="571"/>
      <c r="S572" s="571"/>
      <c r="T572" s="571"/>
      <c r="U572" s="571"/>
      <c r="V572" s="571"/>
      <c r="W572" s="571"/>
      <c r="X572" s="571"/>
      <c r="Y572" s="571"/>
      <c r="Z572" s="571"/>
    </row>
    <row r="573" spans="1:26" ht="18.75" hidden="1">
      <c r="A573" s="601"/>
      <c r="B573" s="611"/>
      <c r="C573" s="611"/>
      <c r="D573" s="619"/>
      <c r="E573" s="619"/>
      <c r="F573" s="619"/>
      <c r="G573" s="753"/>
      <c r="H573" s="755" t="s">
        <v>34</v>
      </c>
      <c r="I573" s="184"/>
      <c r="J573" s="214">
        <v>0</v>
      </c>
      <c r="K573" s="163"/>
      <c r="L573" s="163"/>
      <c r="M573" s="163"/>
      <c r="N573" s="163"/>
      <c r="O573" s="163"/>
      <c r="P573" s="163"/>
      <c r="Q573" s="571"/>
      <c r="R573" s="571"/>
      <c r="S573" s="571"/>
      <c r="T573" s="571"/>
      <c r="U573" s="571"/>
      <c r="V573" s="571"/>
      <c r="W573" s="571"/>
      <c r="X573" s="571"/>
      <c r="Y573" s="571"/>
      <c r="Z573" s="571"/>
    </row>
    <row r="574" spans="1:26" ht="18.75" hidden="1">
      <c r="A574" s="601"/>
      <c r="B574" s="611"/>
      <c r="C574" s="611"/>
      <c r="D574" s="619" t="s">
        <v>242</v>
      </c>
      <c r="E574" s="619"/>
      <c r="F574" s="619"/>
      <c r="G574" s="753"/>
      <c r="H574" s="755" t="s">
        <v>46</v>
      </c>
      <c r="I574" s="184"/>
      <c r="J574" s="214">
        <v>0</v>
      </c>
      <c r="K574" s="163"/>
      <c r="L574" s="163"/>
      <c r="M574" s="163"/>
      <c r="N574" s="163"/>
      <c r="O574" s="163"/>
      <c r="P574" s="163"/>
      <c r="Q574" s="571"/>
      <c r="R574" s="571"/>
      <c r="S574" s="571"/>
      <c r="T574" s="571"/>
      <c r="U574" s="571"/>
      <c r="V574" s="571"/>
      <c r="W574" s="571"/>
      <c r="X574" s="571"/>
      <c r="Y574" s="571"/>
      <c r="Z574" s="571"/>
    </row>
    <row r="575" spans="1:26" ht="18.75" hidden="1">
      <c r="A575" s="601"/>
      <c r="B575" s="611"/>
      <c r="C575" s="611"/>
      <c r="D575" s="611"/>
      <c r="E575" s="619"/>
      <c r="F575" s="619"/>
      <c r="G575" s="753"/>
      <c r="H575" s="755" t="s">
        <v>34</v>
      </c>
      <c r="I575" s="184"/>
      <c r="J575" s="214">
        <v>0</v>
      </c>
      <c r="K575" s="163"/>
      <c r="L575" s="163"/>
      <c r="M575" s="163"/>
      <c r="N575" s="163"/>
      <c r="O575" s="163"/>
      <c r="P575" s="163"/>
      <c r="Q575" s="571"/>
      <c r="R575" s="571"/>
      <c r="S575" s="571"/>
      <c r="T575" s="571"/>
      <c r="U575" s="571"/>
      <c r="V575" s="571"/>
      <c r="W575" s="571"/>
      <c r="X575" s="571"/>
      <c r="Y575" s="571"/>
      <c r="Z575" s="571"/>
    </row>
    <row r="576" spans="1:26" ht="19.5" hidden="1">
      <c r="A576" s="601"/>
      <c r="B576" s="611"/>
      <c r="C576" s="618" t="s">
        <v>243</v>
      </c>
      <c r="D576" s="611"/>
      <c r="E576" s="611"/>
      <c r="F576" s="619"/>
      <c r="G576" s="753"/>
      <c r="H576" s="758" t="s">
        <v>46</v>
      </c>
      <c r="I576" s="193">
        <f ca="1">IFERROR(__xludf.DUMMYFUNCTION("IMPORTRANGE(""https://docs.google.com/spreadsheets/d/1QqKyyYR6Q21VydFLVH3TRQUabQu_ym0Zz7PgGX0-kHA/edit?usp=sharing"",""แผน!HH55"")"),0)</f>
        <v>0</v>
      </c>
      <c r="J576" s="674">
        <f t="shared" ref="J576:J577" si="250">J578+J580+J582+J588+J590</f>
        <v>0</v>
      </c>
      <c r="K576" s="410">
        <f t="shared" ref="K576:K577" ca="1" si="251">IF(I576&gt;0,J576*100/I576,0)</f>
        <v>0</v>
      </c>
      <c r="L576" s="163"/>
      <c r="M576" s="163"/>
      <c r="N576" s="163"/>
      <c r="O576" s="163"/>
      <c r="P576" s="163"/>
      <c r="Q576" s="571"/>
      <c r="R576" s="571"/>
      <c r="S576" s="571"/>
      <c r="T576" s="571"/>
      <c r="U576" s="571"/>
      <c r="V576" s="571"/>
      <c r="W576" s="571"/>
      <c r="X576" s="571"/>
      <c r="Y576" s="571"/>
      <c r="Z576" s="571"/>
    </row>
    <row r="577" spans="1:26" ht="19.5" hidden="1">
      <c r="A577" s="601"/>
      <c r="B577" s="611"/>
      <c r="C577" s="611"/>
      <c r="D577" s="611"/>
      <c r="E577" s="619"/>
      <c r="F577" s="619"/>
      <c r="G577" s="753"/>
      <c r="H577" s="758" t="s">
        <v>34</v>
      </c>
      <c r="I577" s="193">
        <f ca="1">IFERROR(__xludf.DUMMYFUNCTION("IMPORTRANGE(""https://docs.google.com/spreadsheets/d/1QqKyyYR6Q21VydFLVH3TRQUabQu_ym0Zz7PgGX0-kHA/edit?usp=sharing"",""แผน!HG55"")"),0)</f>
        <v>0</v>
      </c>
      <c r="J577" s="674">
        <f t="shared" si="250"/>
        <v>0</v>
      </c>
      <c r="K577" s="410">
        <f t="shared" ca="1" si="251"/>
        <v>0</v>
      </c>
      <c r="L577" s="163"/>
      <c r="M577" s="163"/>
      <c r="N577" s="163"/>
      <c r="O577" s="163"/>
      <c r="P577" s="163"/>
      <c r="Q577" s="571"/>
      <c r="R577" s="571"/>
      <c r="S577" s="571"/>
      <c r="T577" s="571"/>
      <c r="U577" s="571"/>
      <c r="V577" s="571"/>
      <c r="W577" s="571"/>
      <c r="X577" s="571"/>
      <c r="Y577" s="571"/>
      <c r="Z577" s="571"/>
    </row>
    <row r="578" spans="1:26" ht="18.75" hidden="1">
      <c r="A578" s="601"/>
      <c r="B578" s="611"/>
      <c r="C578" s="611"/>
      <c r="D578" s="619" t="s">
        <v>244</v>
      </c>
      <c r="E578" s="619"/>
      <c r="F578" s="619"/>
      <c r="G578" s="753"/>
      <c r="H578" s="755" t="s">
        <v>46</v>
      </c>
      <c r="I578" s="184"/>
      <c r="J578" s="214">
        <v>0</v>
      </c>
      <c r="K578" s="163"/>
      <c r="L578" s="163"/>
      <c r="M578" s="163"/>
      <c r="N578" s="163"/>
      <c r="O578" s="163"/>
      <c r="P578" s="163"/>
      <c r="Q578" s="571"/>
      <c r="R578" s="571"/>
      <c r="S578" s="571"/>
      <c r="T578" s="571"/>
      <c r="U578" s="571"/>
      <c r="V578" s="571"/>
      <c r="W578" s="571"/>
      <c r="X578" s="571"/>
      <c r="Y578" s="571"/>
      <c r="Z578" s="571"/>
    </row>
    <row r="579" spans="1:26" ht="18.75" hidden="1">
      <c r="A579" s="601"/>
      <c r="B579" s="611"/>
      <c r="C579" s="611"/>
      <c r="D579" s="611"/>
      <c r="E579" s="619"/>
      <c r="F579" s="619"/>
      <c r="G579" s="753"/>
      <c r="H579" s="755" t="s">
        <v>34</v>
      </c>
      <c r="I579" s="184"/>
      <c r="J579" s="214">
        <v>0</v>
      </c>
      <c r="K579" s="163"/>
      <c r="L579" s="163"/>
      <c r="M579" s="163"/>
      <c r="N579" s="163"/>
      <c r="O579" s="163"/>
      <c r="P579" s="163"/>
      <c r="Q579" s="571"/>
      <c r="R579" s="571"/>
      <c r="S579" s="571"/>
      <c r="T579" s="571"/>
      <c r="U579" s="571"/>
      <c r="V579" s="571"/>
      <c r="W579" s="571"/>
      <c r="X579" s="571"/>
      <c r="Y579" s="571"/>
      <c r="Z579" s="571"/>
    </row>
    <row r="580" spans="1:26" ht="18.75" hidden="1">
      <c r="A580" s="601"/>
      <c r="B580" s="611"/>
      <c r="C580" s="611"/>
      <c r="D580" s="619" t="s">
        <v>245</v>
      </c>
      <c r="E580" s="619"/>
      <c r="F580" s="619"/>
      <c r="G580" s="753"/>
      <c r="H580" s="755" t="s">
        <v>46</v>
      </c>
      <c r="I580" s="184"/>
      <c r="J580" s="214">
        <v>0</v>
      </c>
      <c r="K580" s="163"/>
      <c r="L580" s="163"/>
      <c r="M580" s="163"/>
      <c r="N580" s="163"/>
      <c r="O580" s="163"/>
      <c r="P580" s="163"/>
      <c r="Q580" s="571"/>
      <c r="R580" s="571"/>
      <c r="S580" s="571"/>
      <c r="T580" s="571"/>
      <c r="U580" s="571"/>
      <c r="V580" s="571"/>
      <c r="W580" s="571"/>
      <c r="X580" s="571"/>
      <c r="Y580" s="571"/>
      <c r="Z580" s="571"/>
    </row>
    <row r="581" spans="1:26" ht="18.75" hidden="1">
      <c r="A581" s="601"/>
      <c r="B581" s="611"/>
      <c r="C581" s="611"/>
      <c r="D581" s="611"/>
      <c r="E581" s="619"/>
      <c r="F581" s="619"/>
      <c r="G581" s="753"/>
      <c r="H581" s="755" t="s">
        <v>34</v>
      </c>
      <c r="I581" s="184"/>
      <c r="J581" s="214">
        <v>0</v>
      </c>
      <c r="K581" s="163"/>
      <c r="L581" s="163"/>
      <c r="M581" s="163"/>
      <c r="N581" s="163"/>
      <c r="O581" s="163"/>
      <c r="P581" s="163"/>
      <c r="Q581" s="571"/>
      <c r="R581" s="571"/>
      <c r="S581" s="571"/>
      <c r="T581" s="571"/>
      <c r="U581" s="571"/>
      <c r="V581" s="571"/>
      <c r="W581" s="571"/>
      <c r="X581" s="571"/>
      <c r="Y581" s="571"/>
      <c r="Z581" s="571"/>
    </row>
    <row r="582" spans="1:26" ht="19.5" hidden="1">
      <c r="A582" s="601"/>
      <c r="B582" s="611"/>
      <c r="C582" s="611"/>
      <c r="D582" s="619" t="s">
        <v>246</v>
      </c>
      <c r="E582" s="619"/>
      <c r="F582" s="619"/>
      <c r="G582" s="753"/>
      <c r="H582" s="755" t="s">
        <v>46</v>
      </c>
      <c r="I582" s="184"/>
      <c r="J582" s="674">
        <f t="shared" ref="J582:J583" si="252">J584+J586</f>
        <v>0</v>
      </c>
      <c r="K582" s="410"/>
      <c r="L582" s="163"/>
      <c r="M582" s="163"/>
      <c r="N582" s="163"/>
      <c r="O582" s="163"/>
      <c r="P582" s="163"/>
      <c r="Q582" s="571"/>
      <c r="R582" s="571"/>
      <c r="S582" s="571"/>
      <c r="T582" s="571"/>
      <c r="U582" s="571"/>
      <c r="V582" s="571"/>
      <c r="W582" s="571"/>
      <c r="X582" s="571"/>
      <c r="Y582" s="571"/>
      <c r="Z582" s="571"/>
    </row>
    <row r="583" spans="1:26" ht="19.5" hidden="1">
      <c r="A583" s="601"/>
      <c r="B583" s="611"/>
      <c r="C583" s="611"/>
      <c r="D583" s="611"/>
      <c r="E583" s="619"/>
      <c r="F583" s="619"/>
      <c r="G583" s="753"/>
      <c r="H583" s="755" t="s">
        <v>34</v>
      </c>
      <c r="I583" s="184"/>
      <c r="J583" s="674">
        <f t="shared" si="252"/>
        <v>0</v>
      </c>
      <c r="K583" s="410"/>
      <c r="L583" s="163"/>
      <c r="M583" s="163"/>
      <c r="N583" s="163"/>
      <c r="O583" s="163"/>
      <c r="P583" s="163"/>
      <c r="Q583" s="571"/>
      <c r="R583" s="571"/>
      <c r="S583" s="571"/>
      <c r="T583" s="571"/>
      <c r="U583" s="571"/>
      <c r="V583" s="571"/>
      <c r="W583" s="571"/>
      <c r="X583" s="571"/>
      <c r="Y583" s="571"/>
      <c r="Z583" s="571"/>
    </row>
    <row r="584" spans="1:26" ht="18.75" hidden="1">
      <c r="A584" s="601"/>
      <c r="B584" s="611"/>
      <c r="C584" s="611"/>
      <c r="D584" s="611"/>
      <c r="E584" s="619" t="s">
        <v>247</v>
      </c>
      <c r="F584" s="619"/>
      <c r="G584" s="753"/>
      <c r="H584" s="755" t="s">
        <v>46</v>
      </c>
      <c r="I584" s="184"/>
      <c r="J584" s="214">
        <v>0</v>
      </c>
      <c r="K584" s="163"/>
      <c r="L584" s="163"/>
      <c r="M584" s="163"/>
      <c r="N584" s="163"/>
      <c r="O584" s="163"/>
      <c r="P584" s="163"/>
      <c r="Q584" s="571"/>
      <c r="R584" s="571"/>
      <c r="S584" s="571"/>
      <c r="T584" s="571"/>
      <c r="U584" s="571"/>
      <c r="V584" s="571"/>
      <c r="W584" s="571"/>
      <c r="X584" s="571"/>
      <c r="Y584" s="571"/>
      <c r="Z584" s="571"/>
    </row>
    <row r="585" spans="1:26" ht="18.75" hidden="1">
      <c r="A585" s="601"/>
      <c r="B585" s="611"/>
      <c r="C585" s="611"/>
      <c r="D585" s="611"/>
      <c r="E585" s="619"/>
      <c r="F585" s="619"/>
      <c r="G585" s="753"/>
      <c r="H585" s="755" t="s">
        <v>34</v>
      </c>
      <c r="I585" s="184"/>
      <c r="J585" s="214">
        <v>0</v>
      </c>
      <c r="K585" s="163"/>
      <c r="L585" s="163"/>
      <c r="M585" s="163"/>
      <c r="N585" s="163"/>
      <c r="O585" s="163"/>
      <c r="P585" s="163"/>
      <c r="Q585" s="571"/>
      <c r="R585" s="571"/>
      <c r="S585" s="571"/>
      <c r="T585" s="571"/>
      <c r="U585" s="571"/>
      <c r="V585" s="571"/>
      <c r="W585" s="571"/>
      <c r="X585" s="571"/>
      <c r="Y585" s="571"/>
      <c r="Z585" s="571"/>
    </row>
    <row r="586" spans="1:26" ht="18.75" hidden="1">
      <c r="A586" s="601"/>
      <c r="B586" s="611"/>
      <c r="C586" s="611"/>
      <c r="D586" s="611"/>
      <c r="E586" s="619" t="s">
        <v>248</v>
      </c>
      <c r="F586" s="619"/>
      <c r="G586" s="753"/>
      <c r="H586" s="755" t="s">
        <v>46</v>
      </c>
      <c r="I586" s="184"/>
      <c r="J586" s="214">
        <v>0</v>
      </c>
      <c r="K586" s="163"/>
      <c r="L586" s="163"/>
      <c r="M586" s="163"/>
      <c r="N586" s="163"/>
      <c r="O586" s="163"/>
      <c r="P586" s="163"/>
      <c r="Q586" s="571"/>
      <c r="R586" s="571"/>
      <c r="S586" s="571"/>
      <c r="T586" s="571"/>
      <c r="U586" s="571"/>
      <c r="V586" s="571"/>
      <c r="W586" s="571"/>
      <c r="X586" s="571"/>
      <c r="Y586" s="571"/>
      <c r="Z586" s="571"/>
    </row>
    <row r="587" spans="1:26" ht="18.75" hidden="1">
      <c r="A587" s="601"/>
      <c r="B587" s="611"/>
      <c r="C587" s="611"/>
      <c r="D587" s="611"/>
      <c r="E587" s="611"/>
      <c r="F587" s="619"/>
      <c r="G587" s="753"/>
      <c r="H587" s="755" t="s">
        <v>34</v>
      </c>
      <c r="I587" s="184"/>
      <c r="J587" s="214">
        <v>0</v>
      </c>
      <c r="K587" s="163"/>
      <c r="L587" s="163"/>
      <c r="M587" s="163"/>
      <c r="N587" s="163"/>
      <c r="O587" s="163"/>
      <c r="P587" s="163"/>
      <c r="Q587" s="571"/>
      <c r="R587" s="571"/>
      <c r="S587" s="571"/>
      <c r="T587" s="571"/>
      <c r="U587" s="571"/>
      <c r="V587" s="571"/>
      <c r="W587" s="571"/>
      <c r="X587" s="571"/>
      <c r="Y587" s="571"/>
      <c r="Z587" s="571"/>
    </row>
    <row r="588" spans="1:26" ht="18.75" hidden="1">
      <c r="A588" s="601"/>
      <c r="B588" s="611"/>
      <c r="C588" s="611"/>
      <c r="D588" s="619" t="s">
        <v>249</v>
      </c>
      <c r="E588" s="619"/>
      <c r="F588" s="619"/>
      <c r="G588" s="753"/>
      <c r="H588" s="755" t="s">
        <v>46</v>
      </c>
      <c r="I588" s="184"/>
      <c r="J588" s="214">
        <v>0</v>
      </c>
      <c r="K588" s="163"/>
      <c r="L588" s="163"/>
      <c r="M588" s="163"/>
      <c r="N588" s="163"/>
      <c r="O588" s="163"/>
      <c r="P588" s="163"/>
      <c r="Q588" s="571"/>
      <c r="R588" s="571"/>
      <c r="S588" s="571"/>
      <c r="T588" s="571"/>
      <c r="U588" s="571"/>
      <c r="V588" s="571"/>
      <c r="W588" s="571"/>
      <c r="X588" s="571"/>
      <c r="Y588" s="571"/>
      <c r="Z588" s="571"/>
    </row>
    <row r="589" spans="1:26" ht="18.75" hidden="1">
      <c r="A589" s="601"/>
      <c r="B589" s="611"/>
      <c r="C589" s="611"/>
      <c r="D589" s="611"/>
      <c r="E589" s="611"/>
      <c r="F589" s="619"/>
      <c r="G589" s="753"/>
      <c r="H589" s="755" t="s">
        <v>34</v>
      </c>
      <c r="I589" s="184"/>
      <c r="J589" s="214">
        <v>0</v>
      </c>
      <c r="K589" s="163"/>
      <c r="L589" s="163"/>
      <c r="M589" s="163"/>
      <c r="N589" s="163"/>
      <c r="O589" s="163"/>
      <c r="P589" s="163"/>
      <c r="Q589" s="571"/>
      <c r="R589" s="571"/>
      <c r="S589" s="571"/>
      <c r="T589" s="571"/>
      <c r="U589" s="571"/>
      <c r="V589" s="571"/>
      <c r="W589" s="571"/>
      <c r="X589" s="571"/>
      <c r="Y589" s="571"/>
      <c r="Z589" s="571"/>
    </row>
    <row r="590" spans="1:26" ht="18.75" hidden="1">
      <c r="A590" s="601"/>
      <c r="B590" s="611"/>
      <c r="C590" s="611"/>
      <c r="D590" s="619" t="s">
        <v>250</v>
      </c>
      <c r="E590" s="619"/>
      <c r="F590" s="619"/>
      <c r="G590" s="753"/>
      <c r="H590" s="755" t="s">
        <v>46</v>
      </c>
      <c r="I590" s="184"/>
      <c r="J590" s="214">
        <v>0</v>
      </c>
      <c r="K590" s="163"/>
      <c r="L590" s="163"/>
      <c r="M590" s="163"/>
      <c r="N590" s="163"/>
      <c r="O590" s="163"/>
      <c r="P590" s="163"/>
      <c r="Q590" s="571"/>
      <c r="R590" s="571"/>
      <c r="S590" s="571"/>
      <c r="T590" s="571"/>
      <c r="U590" s="571"/>
      <c r="V590" s="571"/>
      <c r="W590" s="571"/>
      <c r="X590" s="571"/>
      <c r="Y590" s="571"/>
      <c r="Z590" s="571"/>
    </row>
    <row r="591" spans="1:26" ht="18.75" hidden="1">
      <c r="A591" s="689"/>
      <c r="B591" s="690"/>
      <c r="C591" s="690"/>
      <c r="D591" s="690"/>
      <c r="E591" s="571"/>
      <c r="F591" s="571"/>
      <c r="G591" s="691"/>
      <c r="H591" s="692" t="s">
        <v>34</v>
      </c>
      <c r="I591" s="693"/>
      <c r="J591" s="694">
        <v>0</v>
      </c>
      <c r="K591" s="695"/>
      <c r="L591" s="695"/>
      <c r="M591" s="695"/>
      <c r="N591" s="695"/>
      <c r="O591" s="695"/>
      <c r="P591" s="695"/>
      <c r="Q591" s="571"/>
      <c r="R591" s="571"/>
      <c r="S591" s="571"/>
      <c r="T591" s="571"/>
      <c r="U591" s="571"/>
      <c r="V591" s="571"/>
      <c r="W591" s="571"/>
      <c r="X591" s="571"/>
      <c r="Y591" s="571"/>
      <c r="Z591" s="571"/>
    </row>
    <row r="592" spans="1:26" ht="19.5">
      <c r="A592" s="685"/>
      <c r="B592" s="686" t="s">
        <v>251</v>
      </c>
      <c r="C592" s="687"/>
      <c r="D592" s="687"/>
      <c r="E592" s="666"/>
      <c r="F592" s="666"/>
      <c r="G592" s="667"/>
      <c r="H592" s="688" t="s">
        <v>46</v>
      </c>
      <c r="I592" s="699">
        <f t="shared" ref="I592:J592" ca="1" si="253">I593</f>
        <v>1050</v>
      </c>
      <c r="J592" s="699">
        <f t="shared" si="253"/>
        <v>0</v>
      </c>
      <c r="K592" s="670">
        <f t="shared" ref="K592:K594" ca="1" si="254">IF(I592&gt;0,J592*100/I592,0)</f>
        <v>0</v>
      </c>
      <c r="L592" s="671"/>
      <c r="M592" s="671"/>
      <c r="N592" s="671"/>
      <c r="O592" s="671"/>
      <c r="P592" s="671"/>
      <c r="Q592" s="571"/>
      <c r="R592" s="571"/>
      <c r="S592" s="571"/>
      <c r="T592" s="571"/>
      <c r="U592" s="571"/>
      <c r="V592" s="571"/>
      <c r="W592" s="571"/>
      <c r="X592" s="571"/>
      <c r="Y592" s="571"/>
      <c r="Z592" s="571"/>
    </row>
    <row r="593" spans="1:26" ht="19.5">
      <c r="A593" s="601"/>
      <c r="B593" s="611"/>
      <c r="C593" s="618" t="s">
        <v>252</v>
      </c>
      <c r="D593" s="611"/>
      <c r="E593" s="611"/>
      <c r="F593" s="619"/>
      <c r="G593" s="753"/>
      <c r="H593" s="758" t="s">
        <v>46</v>
      </c>
      <c r="I593" s="193">
        <f ca="1">IFERROR(__xludf.DUMMYFUNCTION("IMPORTRANGE(""https://docs.google.com/spreadsheets/d/1QqKyyYR6Q21VydFLVH3TRQUabQu_ym0Zz7PgGX0-kHA/edit?usp=sharing"",""แผน!HJ55"")"),1050)</f>
        <v>1050</v>
      </c>
      <c r="J593" s="193">
        <f t="shared" ref="J593:J594" si="255">J595+J603+J609</f>
        <v>0</v>
      </c>
      <c r="K593" s="410">
        <f t="shared" ca="1" si="254"/>
        <v>0</v>
      </c>
      <c r="L593" s="163"/>
      <c r="M593" s="163"/>
      <c r="N593" s="163"/>
      <c r="O593" s="163"/>
      <c r="P593" s="163"/>
      <c r="Q593" s="571"/>
      <c r="R593" s="571"/>
      <c r="S593" s="571"/>
      <c r="T593" s="571"/>
      <c r="U593" s="571"/>
      <c r="V593" s="571"/>
      <c r="W593" s="571"/>
      <c r="X593" s="571"/>
      <c r="Y593" s="571"/>
      <c r="Z593" s="571"/>
    </row>
    <row r="594" spans="1:26" ht="19.5">
      <c r="A594" s="601"/>
      <c r="B594" s="611"/>
      <c r="C594" s="611"/>
      <c r="D594" s="611"/>
      <c r="E594" s="619"/>
      <c r="F594" s="619"/>
      <c r="G594" s="753"/>
      <c r="H594" s="758" t="s">
        <v>34</v>
      </c>
      <c r="I594" s="193">
        <f ca="1">IFERROR(__xludf.DUMMYFUNCTION("IMPORTRANGE(""https://docs.google.com/spreadsheets/d/1QqKyyYR6Q21VydFLVH3TRQUabQu_ym0Zz7PgGX0-kHA/edit?usp=sharing"",""แผน!HI55"")"),24)</f>
        <v>24</v>
      </c>
      <c r="J594" s="193">
        <f t="shared" si="255"/>
        <v>0</v>
      </c>
      <c r="K594" s="410">
        <f t="shared" ca="1" si="254"/>
        <v>0</v>
      </c>
      <c r="L594" s="163"/>
      <c r="M594" s="163"/>
      <c r="N594" s="163"/>
      <c r="O594" s="163"/>
      <c r="P594" s="163"/>
      <c r="Q594" s="571"/>
      <c r="R594" s="571"/>
      <c r="S594" s="571"/>
      <c r="T594" s="571"/>
      <c r="U594" s="571"/>
      <c r="V594" s="571"/>
      <c r="W594" s="571"/>
      <c r="X594" s="571"/>
      <c r="Y594" s="571"/>
      <c r="Z594" s="571"/>
    </row>
    <row r="595" spans="1:26" ht="18.75">
      <c r="A595" s="601"/>
      <c r="B595" s="611"/>
      <c r="C595" s="611" t="s">
        <v>253</v>
      </c>
      <c r="D595" s="611"/>
      <c r="E595" s="611"/>
      <c r="F595" s="619"/>
      <c r="G595" s="753"/>
      <c r="H595" s="755" t="s">
        <v>46</v>
      </c>
      <c r="I595" s="184"/>
      <c r="J595" s="184">
        <f t="shared" ref="J595:J596" si="256">J597+J599</f>
        <v>0</v>
      </c>
      <c r="K595" s="163"/>
      <c r="L595" s="163"/>
      <c r="M595" s="163"/>
      <c r="N595" s="163"/>
      <c r="O595" s="163"/>
      <c r="P595" s="163"/>
      <c r="Q595" s="571"/>
      <c r="R595" s="571"/>
      <c r="S595" s="571"/>
      <c r="T595" s="571"/>
      <c r="U595" s="571"/>
      <c r="V595" s="571"/>
      <c r="W595" s="571"/>
      <c r="X595" s="571"/>
      <c r="Y595" s="571"/>
      <c r="Z595" s="571"/>
    </row>
    <row r="596" spans="1:26" ht="18.75">
      <c r="A596" s="601"/>
      <c r="B596" s="611"/>
      <c r="C596" s="611"/>
      <c r="D596" s="611"/>
      <c r="E596" s="619"/>
      <c r="F596" s="619"/>
      <c r="G596" s="753"/>
      <c r="H596" s="755" t="s">
        <v>34</v>
      </c>
      <c r="I596" s="184"/>
      <c r="J596" s="184">
        <f t="shared" si="256"/>
        <v>0</v>
      </c>
      <c r="K596" s="163"/>
      <c r="L596" s="163"/>
      <c r="M596" s="163"/>
      <c r="N596" s="163"/>
      <c r="O596" s="163"/>
      <c r="P596" s="163"/>
      <c r="Q596" s="571"/>
      <c r="R596" s="571"/>
      <c r="S596" s="571"/>
      <c r="T596" s="571"/>
      <c r="U596" s="571"/>
      <c r="V596" s="571"/>
      <c r="W596" s="571"/>
      <c r="X596" s="571"/>
      <c r="Y596" s="571"/>
      <c r="Z596" s="571"/>
    </row>
    <row r="597" spans="1:26" ht="18.75">
      <c r="A597" s="601"/>
      <c r="B597" s="611"/>
      <c r="C597" s="611"/>
      <c r="D597" s="737" t="s">
        <v>254</v>
      </c>
      <c r="E597" s="619"/>
      <c r="F597" s="619"/>
      <c r="G597" s="753"/>
      <c r="H597" s="755" t="s">
        <v>46</v>
      </c>
      <c r="I597" s="184"/>
      <c r="J597" s="214">
        <v>0</v>
      </c>
      <c r="K597" s="163"/>
      <c r="L597" s="163"/>
      <c r="M597" s="163"/>
      <c r="N597" s="163"/>
      <c r="O597" s="163"/>
      <c r="P597" s="163"/>
      <c r="Q597" s="571"/>
      <c r="R597" s="571"/>
      <c r="S597" s="571"/>
      <c r="T597" s="571"/>
      <c r="U597" s="571"/>
      <c r="V597" s="571"/>
      <c r="W597" s="571"/>
      <c r="X597" s="571"/>
      <c r="Y597" s="571"/>
      <c r="Z597" s="571"/>
    </row>
    <row r="598" spans="1:26" ht="18.75">
      <c r="A598" s="601"/>
      <c r="B598" s="611"/>
      <c r="C598" s="611"/>
      <c r="D598" s="611"/>
      <c r="E598" s="619"/>
      <c r="F598" s="619"/>
      <c r="G598" s="753"/>
      <c r="H598" s="755" t="s">
        <v>34</v>
      </c>
      <c r="I598" s="269"/>
      <c r="J598" s="214">
        <v>0</v>
      </c>
      <c r="K598" s="163"/>
      <c r="L598" s="163"/>
      <c r="M598" s="163"/>
      <c r="N598" s="163"/>
      <c r="O598" s="163"/>
      <c r="P598" s="163"/>
      <c r="Q598" s="571"/>
      <c r="R598" s="571"/>
      <c r="S598" s="571"/>
      <c r="T598" s="571"/>
      <c r="U598" s="571"/>
      <c r="V598" s="571"/>
      <c r="W598" s="571"/>
      <c r="X598" s="571"/>
      <c r="Y598" s="571"/>
      <c r="Z598" s="571"/>
    </row>
    <row r="599" spans="1:26" ht="18.75">
      <c r="A599" s="601"/>
      <c r="B599" s="611"/>
      <c r="C599" s="611"/>
      <c r="D599" s="737" t="s">
        <v>255</v>
      </c>
      <c r="E599" s="619"/>
      <c r="F599" s="619"/>
      <c r="G599" s="753"/>
      <c r="H599" s="755" t="s">
        <v>46</v>
      </c>
      <c r="I599" s="269"/>
      <c r="J599" s="214">
        <v>0</v>
      </c>
      <c r="K599" s="163"/>
      <c r="L599" s="163"/>
      <c r="M599" s="163"/>
      <c r="N599" s="163"/>
      <c r="O599" s="163"/>
      <c r="P599" s="163"/>
      <c r="Q599" s="571"/>
      <c r="R599" s="571"/>
      <c r="S599" s="571"/>
      <c r="T599" s="571"/>
      <c r="U599" s="571"/>
      <c r="V599" s="571"/>
      <c r="W599" s="571"/>
      <c r="X599" s="571"/>
      <c r="Y599" s="571"/>
      <c r="Z599" s="571"/>
    </row>
    <row r="600" spans="1:26" ht="18.75">
      <c r="A600" s="601"/>
      <c r="B600" s="611"/>
      <c r="C600" s="611"/>
      <c r="D600" s="611"/>
      <c r="E600" s="619"/>
      <c r="F600" s="619"/>
      <c r="G600" s="753"/>
      <c r="H600" s="755" t="s">
        <v>34</v>
      </c>
      <c r="I600" s="269"/>
      <c r="J600" s="214">
        <v>0</v>
      </c>
      <c r="K600" s="163"/>
      <c r="L600" s="163"/>
      <c r="M600" s="163"/>
      <c r="N600" s="163"/>
      <c r="O600" s="163"/>
      <c r="P600" s="163"/>
      <c r="Q600" s="571"/>
      <c r="R600" s="571"/>
      <c r="S600" s="571"/>
      <c r="T600" s="571"/>
      <c r="U600" s="571"/>
      <c r="V600" s="571"/>
      <c r="W600" s="571"/>
      <c r="X600" s="571"/>
      <c r="Y600" s="571"/>
      <c r="Z600" s="571"/>
    </row>
    <row r="601" spans="1:26" ht="18.75">
      <c r="A601" s="601"/>
      <c r="B601" s="611"/>
      <c r="C601" s="611"/>
      <c r="D601" s="737" t="s">
        <v>256</v>
      </c>
      <c r="E601" s="619"/>
      <c r="F601" s="619"/>
      <c r="G601" s="753"/>
      <c r="H601" s="755" t="s">
        <v>46</v>
      </c>
      <c r="I601" s="269"/>
      <c r="J601" s="214">
        <v>0</v>
      </c>
      <c r="K601" s="163"/>
      <c r="L601" s="163"/>
      <c r="M601" s="163"/>
      <c r="N601" s="163"/>
      <c r="O601" s="163"/>
      <c r="P601" s="163"/>
      <c r="Q601" s="571"/>
      <c r="R601" s="571"/>
      <c r="S601" s="571"/>
      <c r="T601" s="571"/>
      <c r="U601" s="571"/>
      <c r="V601" s="571"/>
      <c r="W601" s="571"/>
      <c r="X601" s="571"/>
      <c r="Y601" s="571"/>
      <c r="Z601" s="571"/>
    </row>
    <row r="602" spans="1:26" ht="18.75">
      <c r="A602" s="601"/>
      <c r="B602" s="611"/>
      <c r="C602" s="611"/>
      <c r="D602" s="611"/>
      <c r="E602" s="619"/>
      <c r="F602" s="619"/>
      <c r="G602" s="753"/>
      <c r="H602" s="755" t="s">
        <v>34</v>
      </c>
      <c r="I602" s="269"/>
      <c r="J602" s="214">
        <v>0</v>
      </c>
      <c r="K602" s="163"/>
      <c r="L602" s="163"/>
      <c r="M602" s="163"/>
      <c r="N602" s="163"/>
      <c r="O602" s="163"/>
      <c r="P602" s="163"/>
      <c r="Q602" s="571"/>
      <c r="R602" s="571"/>
      <c r="S602" s="571"/>
      <c r="T602" s="571"/>
      <c r="U602" s="571"/>
      <c r="V602" s="571"/>
      <c r="W602" s="571"/>
      <c r="X602" s="571"/>
      <c r="Y602" s="571"/>
      <c r="Z602" s="571"/>
    </row>
    <row r="603" spans="1:26" ht="18.75">
      <c r="A603" s="601"/>
      <c r="B603" s="611"/>
      <c r="C603" s="696" t="s">
        <v>257</v>
      </c>
      <c r="D603" s="611"/>
      <c r="E603" s="611"/>
      <c r="F603" s="619"/>
      <c r="G603" s="753"/>
      <c r="H603" s="755" t="s">
        <v>46</v>
      </c>
      <c r="I603" s="269"/>
      <c r="J603" s="269">
        <f t="shared" ref="J603:J604" si="257">J605+J607</f>
        <v>0</v>
      </c>
      <c r="K603" s="163"/>
      <c r="L603" s="163"/>
      <c r="M603" s="163"/>
      <c r="N603" s="163"/>
      <c r="O603" s="163"/>
      <c r="P603" s="163"/>
      <c r="Q603" s="571"/>
      <c r="R603" s="571"/>
      <c r="S603" s="571"/>
      <c r="T603" s="571"/>
      <c r="U603" s="571"/>
      <c r="V603" s="571"/>
      <c r="W603" s="571"/>
      <c r="X603" s="571"/>
      <c r="Y603" s="571"/>
      <c r="Z603" s="571"/>
    </row>
    <row r="604" spans="1:26" ht="18.75">
      <c r="A604" s="601"/>
      <c r="B604" s="611"/>
      <c r="C604" s="611"/>
      <c r="D604" s="611"/>
      <c r="E604" s="619"/>
      <c r="F604" s="619"/>
      <c r="G604" s="753"/>
      <c r="H604" s="755" t="s">
        <v>34</v>
      </c>
      <c r="I604" s="269"/>
      <c r="J604" s="269">
        <f t="shared" si="257"/>
        <v>0</v>
      </c>
      <c r="K604" s="163"/>
      <c r="L604" s="163"/>
      <c r="M604" s="163"/>
      <c r="N604" s="163"/>
      <c r="O604" s="163"/>
      <c r="P604" s="163"/>
      <c r="Q604" s="571"/>
      <c r="R604" s="571"/>
      <c r="S604" s="571"/>
      <c r="T604" s="571"/>
      <c r="U604" s="571"/>
      <c r="V604" s="571"/>
      <c r="W604" s="571"/>
      <c r="X604" s="571"/>
      <c r="Y604" s="571"/>
      <c r="Z604" s="571"/>
    </row>
    <row r="605" spans="1:26" ht="18.75">
      <c r="A605" s="601"/>
      <c r="B605" s="611"/>
      <c r="C605" s="611"/>
      <c r="D605" s="696" t="s">
        <v>258</v>
      </c>
      <c r="E605" s="619"/>
      <c r="F605" s="619"/>
      <c r="G605" s="753"/>
      <c r="H605" s="755" t="s">
        <v>46</v>
      </c>
      <c r="I605" s="269"/>
      <c r="J605" s="214">
        <v>0</v>
      </c>
      <c r="K605" s="163"/>
      <c r="L605" s="163"/>
      <c r="M605" s="163"/>
      <c r="N605" s="163"/>
      <c r="O605" s="163"/>
      <c r="P605" s="163"/>
      <c r="Q605" s="571"/>
      <c r="R605" s="571"/>
      <c r="S605" s="571"/>
      <c r="T605" s="571"/>
      <c r="U605" s="571"/>
      <c r="V605" s="571"/>
      <c r="W605" s="571"/>
      <c r="X605" s="571"/>
      <c r="Y605" s="571"/>
      <c r="Z605" s="571"/>
    </row>
    <row r="606" spans="1:26" ht="18.75">
      <c r="A606" s="601"/>
      <c r="B606" s="611"/>
      <c r="C606" s="611"/>
      <c r="D606" s="611"/>
      <c r="E606" s="611"/>
      <c r="F606" s="619"/>
      <c r="G606" s="753"/>
      <c r="H606" s="755" t="s">
        <v>34</v>
      </c>
      <c r="I606" s="269"/>
      <c r="J606" s="214">
        <v>0</v>
      </c>
      <c r="K606" s="163"/>
      <c r="L606" s="163"/>
      <c r="M606" s="163"/>
      <c r="N606" s="163"/>
      <c r="O606" s="163"/>
      <c r="P606" s="163"/>
      <c r="Q606" s="571"/>
      <c r="R606" s="571"/>
      <c r="S606" s="571"/>
      <c r="T606" s="571"/>
      <c r="U606" s="571"/>
      <c r="V606" s="571"/>
      <c r="W606" s="571"/>
      <c r="X606" s="571"/>
      <c r="Y606" s="571"/>
      <c r="Z606" s="571"/>
    </row>
    <row r="607" spans="1:26" ht="18.75">
      <c r="A607" s="601"/>
      <c r="B607" s="611"/>
      <c r="C607" s="611"/>
      <c r="D607" s="696" t="s">
        <v>259</v>
      </c>
      <c r="E607" s="611"/>
      <c r="F607" s="619"/>
      <c r="G607" s="753"/>
      <c r="H607" s="755" t="s">
        <v>46</v>
      </c>
      <c r="I607" s="269"/>
      <c r="J607" s="214">
        <v>0</v>
      </c>
      <c r="K607" s="163"/>
      <c r="L607" s="163"/>
      <c r="M607" s="163"/>
      <c r="N607" s="163"/>
      <c r="O607" s="163"/>
      <c r="P607" s="163"/>
      <c r="Q607" s="571"/>
      <c r="R607" s="571"/>
      <c r="S607" s="571"/>
      <c r="T607" s="571"/>
      <c r="U607" s="571"/>
      <c r="V607" s="571"/>
      <c r="W607" s="571"/>
      <c r="X607" s="571"/>
      <c r="Y607" s="571"/>
      <c r="Z607" s="571"/>
    </row>
    <row r="608" spans="1:26" ht="18.75">
      <c r="A608" s="601"/>
      <c r="B608" s="611"/>
      <c r="C608" s="611"/>
      <c r="D608" s="611"/>
      <c r="E608" s="619"/>
      <c r="F608" s="619"/>
      <c r="G608" s="753"/>
      <c r="H608" s="755" t="s">
        <v>34</v>
      </c>
      <c r="I608" s="269"/>
      <c r="J608" s="214">
        <v>0</v>
      </c>
      <c r="K608" s="163"/>
      <c r="L608" s="163"/>
      <c r="M608" s="163"/>
      <c r="N608" s="163"/>
      <c r="O608" s="163"/>
      <c r="P608" s="163"/>
      <c r="Q608" s="571"/>
      <c r="R608" s="571"/>
      <c r="S608" s="571"/>
      <c r="T608" s="571"/>
      <c r="U608" s="571"/>
      <c r="V608" s="571"/>
      <c r="W608" s="571"/>
      <c r="X608" s="571"/>
      <c r="Y608" s="571"/>
      <c r="Z608" s="571"/>
    </row>
    <row r="609" spans="1:26" ht="18.75">
      <c r="A609" s="601"/>
      <c r="B609" s="611"/>
      <c r="C609" s="611" t="s">
        <v>260</v>
      </c>
      <c r="D609" s="611"/>
      <c r="E609" s="611"/>
      <c r="F609" s="619"/>
      <c r="G609" s="753"/>
      <c r="H609" s="755" t="s">
        <v>46</v>
      </c>
      <c r="I609" s="269"/>
      <c r="J609" s="214">
        <v>0</v>
      </c>
      <c r="K609" s="163"/>
      <c r="L609" s="163"/>
      <c r="M609" s="163"/>
      <c r="N609" s="163"/>
      <c r="O609" s="163"/>
      <c r="P609" s="163"/>
      <c r="Q609" s="571"/>
      <c r="R609" s="571"/>
      <c r="S609" s="571"/>
      <c r="T609" s="571"/>
      <c r="U609" s="571"/>
      <c r="V609" s="571"/>
      <c r="W609" s="571"/>
      <c r="X609" s="571"/>
      <c r="Y609" s="571"/>
      <c r="Z609" s="571"/>
    </row>
    <row r="610" spans="1:26" ht="18.75">
      <c r="A610" s="601"/>
      <c r="B610" s="611"/>
      <c r="C610" s="611"/>
      <c r="D610" s="611"/>
      <c r="E610" s="619"/>
      <c r="F610" s="619"/>
      <c r="G610" s="753"/>
      <c r="H610" s="755" t="s">
        <v>34</v>
      </c>
      <c r="I610" s="269"/>
      <c r="J610" s="214">
        <v>0</v>
      </c>
      <c r="K610" s="163"/>
      <c r="L610" s="163"/>
      <c r="M610" s="163"/>
      <c r="N610" s="163"/>
      <c r="O610" s="163"/>
      <c r="P610" s="163"/>
      <c r="Q610" s="571"/>
      <c r="R610" s="571"/>
      <c r="S610" s="571"/>
      <c r="T610" s="571"/>
      <c r="U610" s="571"/>
      <c r="V610" s="571"/>
      <c r="W610" s="571"/>
      <c r="X610" s="571"/>
      <c r="Y610" s="571"/>
      <c r="Z610" s="571"/>
    </row>
    <row r="611" spans="1:26" ht="19.5" hidden="1">
      <c r="A611" s="685"/>
      <c r="B611" s="697" t="s">
        <v>261</v>
      </c>
      <c r="C611" s="687"/>
      <c r="D611" s="687"/>
      <c r="E611" s="666"/>
      <c r="F611" s="666"/>
      <c r="G611" s="667"/>
      <c r="H611" s="698" t="s">
        <v>46</v>
      </c>
      <c r="I611" s="699">
        <v>0</v>
      </c>
      <c r="J611" s="699">
        <f>J614+J616</f>
        <v>0</v>
      </c>
      <c r="K611" s="670">
        <f t="shared" ref="K611:K613" si="258">IF(I611&gt;0,J611*100/I611,0)</f>
        <v>0</v>
      </c>
      <c r="L611" s="671"/>
      <c r="M611" s="671"/>
      <c r="N611" s="671"/>
      <c r="O611" s="671"/>
      <c r="P611" s="671"/>
      <c r="Q611" s="571"/>
      <c r="R611" s="571"/>
      <c r="S611" s="571"/>
      <c r="T611" s="571"/>
      <c r="U611" s="571"/>
      <c r="V611" s="571"/>
      <c r="W611" s="571"/>
      <c r="X611" s="571"/>
      <c r="Y611" s="571"/>
      <c r="Z611" s="571"/>
    </row>
    <row r="612" spans="1:26" ht="19.5" hidden="1">
      <c r="A612" s="700"/>
      <c r="B612" s="710"/>
      <c r="C612" s="702" t="s">
        <v>262</v>
      </c>
      <c r="D612" s="710"/>
      <c r="E612" s="710"/>
      <c r="F612" s="703"/>
      <c r="G612" s="704"/>
      <c r="H612" s="705" t="s">
        <v>46</v>
      </c>
      <c r="I612" s="707">
        <v>0</v>
      </c>
      <c r="J612" s="707">
        <f t="shared" ref="J612:J613" si="259">J614+J616</f>
        <v>0</v>
      </c>
      <c r="K612" s="708">
        <f t="shared" si="258"/>
        <v>0</v>
      </c>
      <c r="L612" s="709"/>
      <c r="M612" s="709"/>
      <c r="N612" s="709"/>
      <c r="O612" s="709"/>
      <c r="P612" s="709"/>
      <c r="Q612" s="597"/>
      <c r="R612" s="597"/>
      <c r="S612" s="597"/>
      <c r="T612" s="597"/>
      <c r="U612" s="597"/>
      <c r="V612" s="597"/>
      <c r="W612" s="597"/>
      <c r="X612" s="597"/>
      <c r="Y612" s="597"/>
      <c r="Z612" s="597"/>
    </row>
    <row r="613" spans="1:26" ht="19.5" hidden="1">
      <c r="A613" s="700"/>
      <c r="B613" s="710"/>
      <c r="C613" s="710" t="s">
        <v>263</v>
      </c>
      <c r="D613" s="710"/>
      <c r="E613" s="710"/>
      <c r="F613" s="703"/>
      <c r="G613" s="704"/>
      <c r="H613" s="705" t="s">
        <v>34</v>
      </c>
      <c r="I613" s="707">
        <v>0</v>
      </c>
      <c r="J613" s="707">
        <f t="shared" si="259"/>
        <v>0</v>
      </c>
      <c r="K613" s="708">
        <f t="shared" si="258"/>
        <v>0</v>
      </c>
      <c r="L613" s="709"/>
      <c r="M613" s="709"/>
      <c r="N613" s="709"/>
      <c r="O613" s="709"/>
      <c r="P613" s="709"/>
      <c r="Q613" s="597"/>
      <c r="R613" s="597"/>
      <c r="S613" s="597"/>
      <c r="T613" s="597"/>
      <c r="U613" s="597"/>
      <c r="V613" s="597"/>
      <c r="W613" s="597"/>
      <c r="X613" s="597"/>
      <c r="Y613" s="597"/>
      <c r="Z613" s="597"/>
    </row>
    <row r="614" spans="1:26" ht="18.75" hidden="1">
      <c r="A614" s="607"/>
      <c r="B614" s="609"/>
      <c r="C614" s="609"/>
      <c r="D614" s="711" t="s">
        <v>264</v>
      </c>
      <c r="E614" s="609"/>
      <c r="F614" s="711"/>
      <c r="G614" s="365"/>
      <c r="H614" s="369" t="s">
        <v>46</v>
      </c>
      <c r="I614" s="610"/>
      <c r="J614" s="610">
        <v>0</v>
      </c>
      <c r="K614" s="167"/>
      <c r="L614" s="167"/>
      <c r="M614" s="167"/>
      <c r="N614" s="167"/>
      <c r="O614" s="167"/>
      <c r="P614" s="167"/>
      <c r="Q614" s="597"/>
      <c r="R614" s="597"/>
      <c r="S614" s="597"/>
      <c r="T614" s="597"/>
      <c r="U614" s="597"/>
      <c r="V614" s="597"/>
      <c r="W614" s="597"/>
      <c r="X614" s="597"/>
      <c r="Y614" s="597"/>
      <c r="Z614" s="597"/>
    </row>
    <row r="615" spans="1:26" ht="18.75" hidden="1">
      <c r="A615" s="607"/>
      <c r="B615" s="609"/>
      <c r="C615" s="609"/>
      <c r="D615" s="609"/>
      <c r="E615" s="609"/>
      <c r="F615" s="711"/>
      <c r="G615" s="365"/>
      <c r="H615" s="369" t="s">
        <v>34</v>
      </c>
      <c r="I615" s="610"/>
      <c r="J615" s="610">
        <v>0</v>
      </c>
      <c r="K615" s="167"/>
      <c r="L615" s="167"/>
      <c r="M615" s="167"/>
      <c r="N615" s="167"/>
      <c r="O615" s="167"/>
      <c r="P615" s="167"/>
      <c r="Q615" s="597"/>
      <c r="R615" s="597"/>
      <c r="S615" s="597"/>
      <c r="T615" s="597"/>
      <c r="U615" s="597"/>
      <c r="V615" s="597"/>
      <c r="W615" s="597"/>
      <c r="X615" s="597"/>
      <c r="Y615" s="597"/>
      <c r="Z615" s="597"/>
    </row>
    <row r="616" spans="1:26" ht="18.75" hidden="1">
      <c r="A616" s="607"/>
      <c r="B616" s="609"/>
      <c r="C616" s="609"/>
      <c r="D616" s="712" t="s">
        <v>264</v>
      </c>
      <c r="E616" s="711"/>
      <c r="F616" s="711"/>
      <c r="G616" s="365"/>
      <c r="H616" s="369" t="s">
        <v>46</v>
      </c>
      <c r="I616" s="610"/>
      <c r="J616" s="610">
        <v>0</v>
      </c>
      <c r="K616" s="167"/>
      <c r="L616" s="167"/>
      <c r="M616" s="167"/>
      <c r="N616" s="167"/>
      <c r="O616" s="167"/>
      <c r="P616" s="167"/>
      <c r="Q616" s="597"/>
      <c r="R616" s="597"/>
      <c r="S616" s="597"/>
      <c r="T616" s="597"/>
      <c r="U616" s="597"/>
      <c r="V616" s="597"/>
      <c r="W616" s="597"/>
      <c r="X616" s="597"/>
      <c r="Y616" s="597"/>
      <c r="Z616" s="597"/>
    </row>
    <row r="617" spans="1:26" ht="18.75" hidden="1">
      <c r="A617" s="607"/>
      <c r="B617" s="609"/>
      <c r="C617" s="609"/>
      <c r="D617" s="609"/>
      <c r="E617" s="711"/>
      <c r="F617" s="711"/>
      <c r="G617" s="365"/>
      <c r="H617" s="369" t="s">
        <v>34</v>
      </c>
      <c r="I617" s="610"/>
      <c r="J617" s="610">
        <v>0</v>
      </c>
      <c r="K617" s="167"/>
      <c r="L617" s="167"/>
      <c r="M617" s="167"/>
      <c r="N617" s="167"/>
      <c r="O617" s="167"/>
      <c r="P617" s="167"/>
      <c r="Q617" s="597"/>
      <c r="R617" s="597"/>
      <c r="S617" s="597"/>
      <c r="T617" s="597"/>
      <c r="U617" s="597"/>
      <c r="V617" s="597"/>
      <c r="W617" s="597"/>
      <c r="X617" s="597"/>
      <c r="Y617" s="597"/>
      <c r="Z617" s="597"/>
    </row>
    <row r="618" spans="1:26" ht="18.75" hidden="1">
      <c r="A618" s="607"/>
      <c r="B618" s="609"/>
      <c r="C618" s="609"/>
      <c r="D618" s="712" t="s">
        <v>265</v>
      </c>
      <c r="E618" s="711"/>
      <c r="F618" s="711"/>
      <c r="G618" s="365"/>
      <c r="H618" s="369" t="s">
        <v>46</v>
      </c>
      <c r="I618" s="610"/>
      <c r="J618" s="610">
        <v>0</v>
      </c>
      <c r="K618" s="167"/>
      <c r="L618" s="167"/>
      <c r="M618" s="167"/>
      <c r="N618" s="167"/>
      <c r="O618" s="167"/>
      <c r="P618" s="167"/>
      <c r="Q618" s="597"/>
      <c r="R618" s="597"/>
      <c r="S618" s="597"/>
      <c r="T618" s="597"/>
      <c r="U618" s="597"/>
      <c r="V618" s="597"/>
      <c r="W618" s="597"/>
      <c r="X618" s="597"/>
      <c r="Y618" s="597"/>
      <c r="Z618" s="597"/>
    </row>
    <row r="619" spans="1:26" ht="18.75" hidden="1">
      <c r="A619" s="607"/>
      <c r="B619" s="609"/>
      <c r="C619" s="609"/>
      <c r="D619" s="609"/>
      <c r="E619" s="711"/>
      <c r="F619" s="711"/>
      <c r="G619" s="365"/>
      <c r="H619" s="369" t="s">
        <v>34</v>
      </c>
      <c r="I619" s="610"/>
      <c r="J619" s="610">
        <v>0</v>
      </c>
      <c r="K619" s="167"/>
      <c r="L619" s="167"/>
      <c r="M619" s="167"/>
      <c r="N619" s="167"/>
      <c r="O619" s="167"/>
      <c r="P619" s="167"/>
      <c r="Q619" s="597"/>
      <c r="R619" s="597"/>
      <c r="S619" s="597"/>
      <c r="T619" s="597"/>
      <c r="U619" s="597"/>
      <c r="V619" s="597"/>
      <c r="W619" s="597"/>
      <c r="X619" s="597"/>
      <c r="Y619" s="597"/>
      <c r="Z619" s="597"/>
    </row>
    <row r="620" spans="1:26" ht="19.5" hidden="1">
      <c r="A620" s="713"/>
      <c r="B620" s="722"/>
      <c r="C620" s="715" t="s">
        <v>266</v>
      </c>
      <c r="D620" s="722"/>
      <c r="E620" s="722"/>
      <c r="F620" s="716"/>
      <c r="G620" s="717"/>
      <c r="H620" s="718" t="s">
        <v>46</v>
      </c>
      <c r="I620" s="719">
        <f ca="1">IFERROR(__xludf.DUMMYFUNCTION("IMPORTRANGE(""https://docs.google.com/spreadsheets/d/1QqKyyYR6Q21VydFLVH3TRQUabQu_ym0Zz7PgGX0-kHA/edit?usp=sharing"",""แผน!HL55"")"),0)</f>
        <v>0</v>
      </c>
      <c r="J620" s="719">
        <f t="shared" ref="J620:J621" si="260">J622+J624+J626</f>
        <v>0</v>
      </c>
      <c r="K620" s="720">
        <f t="shared" ref="K620:K621" ca="1" si="261">IF(I620&gt;0,J620*100/I620,0)</f>
        <v>0</v>
      </c>
      <c r="L620" s="721"/>
      <c r="M620" s="721"/>
      <c r="N620" s="721"/>
      <c r="O620" s="721"/>
      <c r="P620" s="721"/>
      <c r="Q620" s="571"/>
      <c r="R620" s="571"/>
      <c r="S620" s="571"/>
      <c r="T620" s="571"/>
      <c r="U620" s="571"/>
      <c r="V620" s="571"/>
      <c r="W620" s="571"/>
      <c r="X620" s="571"/>
      <c r="Y620" s="571"/>
      <c r="Z620" s="571"/>
    </row>
    <row r="621" spans="1:26" ht="19.5" hidden="1">
      <c r="A621" s="713"/>
      <c r="B621" s="722"/>
      <c r="C621" s="722" t="s">
        <v>267</v>
      </c>
      <c r="D621" s="722"/>
      <c r="E621" s="722"/>
      <c r="F621" s="716"/>
      <c r="G621" s="717"/>
      <c r="H621" s="718" t="s">
        <v>34</v>
      </c>
      <c r="I621" s="719">
        <f ca="1">IFERROR(__xludf.DUMMYFUNCTION("IMPORTRANGE(""https://docs.google.com/spreadsheets/d/1QqKyyYR6Q21VydFLVH3TRQUabQu_ym0Zz7PgGX0-kHA/edit?usp=sharing"",""แผน!HK55"")"),0)</f>
        <v>0</v>
      </c>
      <c r="J621" s="719">
        <f t="shared" si="260"/>
        <v>0</v>
      </c>
      <c r="K621" s="720">
        <f t="shared" ca="1" si="261"/>
        <v>0</v>
      </c>
      <c r="L621" s="721"/>
      <c r="M621" s="721"/>
      <c r="N621" s="721"/>
      <c r="O621" s="721"/>
      <c r="P621" s="721"/>
      <c r="Q621" s="571"/>
      <c r="R621" s="571"/>
      <c r="S621" s="571"/>
      <c r="T621" s="571"/>
      <c r="U621" s="571"/>
      <c r="V621" s="571"/>
      <c r="W621" s="571"/>
      <c r="X621" s="571"/>
      <c r="Y621" s="571"/>
      <c r="Z621" s="571"/>
    </row>
    <row r="622" spans="1:26" ht="18.75" hidden="1">
      <c r="A622" s="601"/>
      <c r="B622" s="611"/>
      <c r="C622" s="611"/>
      <c r="D622" s="737" t="s">
        <v>268</v>
      </c>
      <c r="E622" s="619"/>
      <c r="F622" s="619"/>
      <c r="G622" s="753"/>
      <c r="H622" s="755" t="s">
        <v>46</v>
      </c>
      <c r="I622" s="269"/>
      <c r="J622" s="214">
        <v>0</v>
      </c>
      <c r="K622" s="163"/>
      <c r="L622" s="163"/>
      <c r="M622" s="163"/>
      <c r="N622" s="163"/>
      <c r="O622" s="163"/>
      <c r="P622" s="163"/>
      <c r="Q622" s="571"/>
      <c r="R622" s="571"/>
      <c r="S622" s="571"/>
      <c r="T622" s="571"/>
      <c r="U622" s="571"/>
      <c r="V622" s="571"/>
      <c r="W622" s="571"/>
      <c r="X622" s="571"/>
      <c r="Y622" s="571"/>
      <c r="Z622" s="571"/>
    </row>
    <row r="623" spans="1:26" ht="18.75" hidden="1">
      <c r="A623" s="601"/>
      <c r="B623" s="611"/>
      <c r="C623" s="611"/>
      <c r="D623" s="611"/>
      <c r="E623" s="619"/>
      <c r="F623" s="619"/>
      <c r="G623" s="753"/>
      <c r="H623" s="755" t="s">
        <v>34</v>
      </c>
      <c r="I623" s="269"/>
      <c r="J623" s="214">
        <v>0</v>
      </c>
      <c r="K623" s="163"/>
      <c r="L623" s="163"/>
      <c r="M623" s="163"/>
      <c r="N623" s="163"/>
      <c r="O623" s="163"/>
      <c r="P623" s="163"/>
      <c r="Q623" s="571"/>
      <c r="R623" s="571"/>
      <c r="S623" s="571"/>
      <c r="T623" s="571"/>
      <c r="U623" s="571"/>
      <c r="V623" s="571"/>
      <c r="W623" s="571"/>
      <c r="X623" s="571"/>
      <c r="Y623" s="571"/>
      <c r="Z623" s="571"/>
    </row>
    <row r="624" spans="1:26" ht="18.75" hidden="1">
      <c r="A624" s="601"/>
      <c r="B624" s="611"/>
      <c r="C624" s="611"/>
      <c r="D624" s="737" t="s">
        <v>264</v>
      </c>
      <c r="E624" s="619"/>
      <c r="F624" s="619"/>
      <c r="G624" s="753"/>
      <c r="H624" s="755" t="s">
        <v>46</v>
      </c>
      <c r="I624" s="269"/>
      <c r="J624" s="214">
        <v>0</v>
      </c>
      <c r="K624" s="163"/>
      <c r="L624" s="163"/>
      <c r="M624" s="163"/>
      <c r="N624" s="163"/>
      <c r="O624" s="163"/>
      <c r="P624" s="163"/>
      <c r="Q624" s="571"/>
      <c r="R624" s="571"/>
      <c r="S624" s="571"/>
      <c r="T624" s="571"/>
      <c r="U624" s="571"/>
      <c r="V624" s="571"/>
      <c r="W624" s="571"/>
      <c r="X624" s="571"/>
      <c r="Y624" s="571"/>
      <c r="Z624" s="571"/>
    </row>
    <row r="625" spans="1:26" ht="18.75" hidden="1">
      <c r="A625" s="601"/>
      <c r="B625" s="611"/>
      <c r="C625" s="611"/>
      <c r="D625" s="611"/>
      <c r="E625" s="619"/>
      <c r="F625" s="619"/>
      <c r="G625" s="753"/>
      <c r="H625" s="755" t="s">
        <v>34</v>
      </c>
      <c r="I625" s="269"/>
      <c r="J625" s="214">
        <v>0</v>
      </c>
      <c r="K625" s="163"/>
      <c r="L625" s="163"/>
      <c r="M625" s="163"/>
      <c r="N625" s="163"/>
      <c r="O625" s="163"/>
      <c r="P625" s="163"/>
      <c r="Q625" s="571"/>
      <c r="R625" s="571"/>
      <c r="S625" s="571"/>
      <c r="T625" s="571"/>
      <c r="U625" s="571"/>
      <c r="V625" s="571"/>
      <c r="W625" s="571"/>
      <c r="X625" s="571"/>
      <c r="Y625" s="571"/>
      <c r="Z625" s="571"/>
    </row>
    <row r="626" spans="1:26" ht="18.75" hidden="1">
      <c r="A626" s="601"/>
      <c r="B626" s="611"/>
      <c r="C626" s="611"/>
      <c r="D626" s="737" t="s">
        <v>269</v>
      </c>
      <c r="E626" s="619"/>
      <c r="F626" s="619"/>
      <c r="G626" s="753"/>
      <c r="H626" s="755" t="s">
        <v>46</v>
      </c>
      <c r="I626" s="269"/>
      <c r="J626" s="214">
        <v>0</v>
      </c>
      <c r="K626" s="163"/>
      <c r="L626" s="163"/>
      <c r="M626" s="163"/>
      <c r="N626" s="163"/>
      <c r="O626" s="163"/>
      <c r="P626" s="163"/>
      <c r="Q626" s="571"/>
      <c r="R626" s="571"/>
      <c r="S626" s="571"/>
      <c r="T626" s="571"/>
      <c r="U626" s="571"/>
      <c r="V626" s="571"/>
      <c r="W626" s="571"/>
      <c r="X626" s="571"/>
      <c r="Y626" s="571"/>
      <c r="Z626" s="571"/>
    </row>
    <row r="627" spans="1:26" ht="18.75" hidden="1">
      <c r="A627" s="723"/>
      <c r="B627" s="724"/>
      <c r="C627" s="724"/>
      <c r="D627" s="724"/>
      <c r="E627" s="725"/>
      <c r="F627" s="725"/>
      <c r="G627" s="726"/>
      <c r="H627" s="421" t="s">
        <v>34</v>
      </c>
      <c r="I627" s="499"/>
      <c r="J627" s="423">
        <v>0</v>
      </c>
      <c r="K627" s="384"/>
      <c r="L627" s="384"/>
      <c r="M627" s="384"/>
      <c r="N627" s="384"/>
      <c r="O627" s="384"/>
      <c r="P627" s="384"/>
      <c r="Q627" s="571"/>
      <c r="R627" s="571"/>
      <c r="S627" s="571"/>
      <c r="T627" s="571"/>
      <c r="U627" s="571"/>
      <c r="V627" s="571"/>
      <c r="W627" s="571"/>
      <c r="X627" s="571"/>
      <c r="Y627" s="571"/>
      <c r="Z627" s="571"/>
    </row>
    <row r="628" spans="1:26" ht="19.5" hidden="1">
      <c r="A628" s="727">
        <v>7</v>
      </c>
      <c r="B628" s="728" t="s">
        <v>270</v>
      </c>
      <c r="C628" s="729"/>
      <c r="D628" s="729"/>
      <c r="E628" s="729"/>
      <c r="F628" s="729"/>
      <c r="G628" s="730"/>
      <c r="H628" s="731" t="s">
        <v>35</v>
      </c>
      <c r="I628" s="732">
        <f t="shared" ref="I628:J628" ca="1" si="262">I651</f>
        <v>0</v>
      </c>
      <c r="J628" s="732">
        <f t="shared" ca="1" si="262"/>
        <v>0</v>
      </c>
      <c r="K628" s="733">
        <f ca="1">IF(I628&gt;0,J628*100/I628,0)</f>
        <v>0</v>
      </c>
      <c r="L628" s="734"/>
      <c r="M628" s="734"/>
      <c r="N628" s="734"/>
      <c r="O628" s="734"/>
      <c r="P628" s="734"/>
      <c r="Q628" s="571"/>
      <c r="R628" s="571"/>
      <c r="S628" s="571"/>
      <c r="T628" s="571"/>
      <c r="U628" s="571"/>
      <c r="V628" s="571"/>
      <c r="W628" s="571"/>
      <c r="X628" s="571"/>
      <c r="Y628" s="571"/>
      <c r="Z628" s="571"/>
    </row>
    <row r="629" spans="1:26" ht="19.5" hidden="1">
      <c r="A629" s="590"/>
      <c r="B629" s="754"/>
      <c r="C629" s="754" t="s">
        <v>16</v>
      </c>
      <c r="D629" s="863" t="s">
        <v>17</v>
      </c>
      <c r="E629" s="857"/>
      <c r="F629" s="857"/>
      <c r="G629" s="189"/>
      <c r="H629" s="591" t="s">
        <v>12</v>
      </c>
      <c r="I629" s="269"/>
      <c r="J629" s="269"/>
      <c r="K629" s="496"/>
      <c r="L629" s="195">
        <f t="shared" ref="L629:N629" ca="1" si="263">L630+L631</f>
        <v>0</v>
      </c>
      <c r="M629" s="195">
        <f t="shared" si="263"/>
        <v>0</v>
      </c>
      <c r="N629" s="195">
        <f t="shared" si="263"/>
        <v>0</v>
      </c>
      <c r="O629" s="195">
        <f t="shared" ref="O629:O634" ca="1" si="264">IF(L629&gt;0,N629*100/L629,0)</f>
        <v>0</v>
      </c>
      <c r="P629" s="195">
        <f t="shared" ref="P629:P634" si="265">IF(M629&gt;0,N629*100/M629,0)</f>
        <v>0</v>
      </c>
      <c r="Q629" s="571"/>
      <c r="R629" s="571"/>
      <c r="S629" s="571"/>
      <c r="T629" s="571"/>
      <c r="U629" s="571"/>
      <c r="V629" s="571"/>
      <c r="W629" s="571"/>
      <c r="X629" s="571"/>
      <c r="Y629" s="571"/>
      <c r="Z629" s="571"/>
    </row>
    <row r="630" spans="1:26" ht="18.75" hidden="1">
      <c r="A630" s="592"/>
      <c r="B630" s="750"/>
      <c r="C630" s="750"/>
      <c r="D630" s="711"/>
      <c r="E630" s="750" t="s">
        <v>184</v>
      </c>
      <c r="F630" s="750"/>
      <c r="G630" s="596"/>
      <c r="H630" s="165" t="s">
        <v>12</v>
      </c>
      <c r="I630" s="610"/>
      <c r="J630" s="610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597"/>
      <c r="R630" s="597"/>
      <c r="S630" s="597"/>
      <c r="T630" s="597"/>
      <c r="U630" s="597"/>
      <c r="V630" s="597"/>
      <c r="W630" s="597"/>
      <c r="X630" s="597"/>
      <c r="Y630" s="597"/>
      <c r="Z630" s="597"/>
    </row>
    <row r="631" spans="1:26" ht="18.75" hidden="1">
      <c r="A631" s="592"/>
      <c r="B631" s="600"/>
      <c r="C631" s="750"/>
      <c r="D631" s="711"/>
      <c r="E631" s="750" t="s">
        <v>185</v>
      </c>
      <c r="F631" s="750"/>
      <c r="G631" s="596"/>
      <c r="H631" s="165" t="s">
        <v>12</v>
      </c>
      <c r="I631" s="610"/>
      <c r="J631" s="610"/>
      <c r="K631" s="93"/>
      <c r="L631" s="93">
        <f t="shared" ca="1" si="266"/>
        <v>0</v>
      </c>
      <c r="M631" s="93">
        <f t="shared" si="266"/>
        <v>0</v>
      </c>
      <c r="N631" s="93">
        <f t="shared" si="266"/>
        <v>0</v>
      </c>
      <c r="O631" s="93">
        <f t="shared" ca="1" si="264"/>
        <v>0</v>
      </c>
      <c r="P631" s="93">
        <f t="shared" si="265"/>
        <v>0</v>
      </c>
      <c r="Q631" s="597"/>
      <c r="R631" s="597"/>
      <c r="S631" s="597"/>
      <c r="T631" s="597"/>
      <c r="U631" s="597"/>
      <c r="V631" s="597"/>
      <c r="W631" s="597"/>
      <c r="X631" s="597"/>
      <c r="Y631" s="597"/>
      <c r="Z631" s="597"/>
    </row>
    <row r="632" spans="1:26" ht="18.75" hidden="1">
      <c r="A632" s="590"/>
      <c r="B632" s="568"/>
      <c r="C632" s="754"/>
      <c r="D632" s="599" t="s">
        <v>20</v>
      </c>
      <c r="E632" s="754"/>
      <c r="F632" s="754"/>
      <c r="G632" s="189"/>
      <c r="H632" s="161" t="s">
        <v>12</v>
      </c>
      <c r="I632" s="184"/>
      <c r="J632" s="184"/>
      <c r="K632" s="163"/>
      <c r="L632" s="496">
        <f t="shared" ref="L632:N632" ca="1" si="267">L633+L634</f>
        <v>0</v>
      </c>
      <c r="M632" s="496">
        <f t="shared" si="267"/>
        <v>0</v>
      </c>
      <c r="N632" s="496">
        <f t="shared" si="267"/>
        <v>0</v>
      </c>
      <c r="O632" s="496">
        <f t="shared" ca="1" si="264"/>
        <v>0</v>
      </c>
      <c r="P632" s="496">
        <f t="shared" si="265"/>
        <v>0</v>
      </c>
      <c r="Q632" s="571"/>
      <c r="R632" s="571"/>
      <c r="S632" s="571"/>
      <c r="T632" s="571"/>
      <c r="U632" s="571"/>
      <c r="V632" s="571"/>
      <c r="W632" s="571"/>
      <c r="X632" s="571"/>
      <c r="Y632" s="571"/>
      <c r="Z632" s="571"/>
    </row>
    <row r="633" spans="1:26" ht="18.75" hidden="1">
      <c r="A633" s="592"/>
      <c r="B633" s="600"/>
      <c r="C633" s="750"/>
      <c r="D633" s="711"/>
      <c r="E633" s="750" t="s">
        <v>184</v>
      </c>
      <c r="F633" s="750"/>
      <c r="G633" s="596"/>
      <c r="H633" s="165" t="s">
        <v>12</v>
      </c>
      <c r="I633" s="610"/>
      <c r="J633" s="610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597"/>
      <c r="R633" s="597"/>
      <c r="S633" s="597"/>
      <c r="T633" s="597"/>
      <c r="U633" s="597"/>
      <c r="V633" s="597"/>
      <c r="W633" s="597"/>
      <c r="X633" s="597"/>
      <c r="Y633" s="597"/>
      <c r="Z633" s="597"/>
    </row>
    <row r="634" spans="1:26" ht="18.75" hidden="1">
      <c r="A634" s="592"/>
      <c r="B634" s="600"/>
      <c r="C634" s="750"/>
      <c r="D634" s="711"/>
      <c r="E634" s="750" t="s">
        <v>185</v>
      </c>
      <c r="F634" s="750"/>
      <c r="G634" s="596"/>
      <c r="H634" s="165" t="s">
        <v>12</v>
      </c>
      <c r="I634" s="610"/>
      <c r="J634" s="610"/>
      <c r="K634" s="93"/>
      <c r="L634" s="93">
        <f ca="1">IFERROR(__xludf.DUMMYFUNCTION("IMPORTRANGE(""https://docs.google.com/spreadsheets/d/1QqKyyYR6Q21VydFLVH3TRQUabQu_ym0Zz7PgGX0-kHA/edit?usp=sharing"",""แผน!HN55"")"),0)</f>
        <v>0</v>
      </c>
      <c r="M634" s="93">
        <v>0</v>
      </c>
      <c r="N634" s="93">
        <f>N635+N636+N637+N638</f>
        <v>0</v>
      </c>
      <c r="O634" s="93">
        <f t="shared" ca="1" si="264"/>
        <v>0</v>
      </c>
      <c r="P634" s="93">
        <f t="shared" si="265"/>
        <v>0</v>
      </c>
      <c r="Q634" s="597"/>
      <c r="R634" s="597"/>
      <c r="S634" s="597"/>
      <c r="T634" s="597"/>
      <c r="U634" s="597"/>
      <c r="V634" s="597"/>
      <c r="W634" s="597"/>
      <c r="X634" s="597"/>
      <c r="Y634" s="597"/>
      <c r="Z634" s="597"/>
    </row>
    <row r="635" spans="1:26" ht="18.75" hidden="1">
      <c r="A635" s="567"/>
      <c r="B635" s="568"/>
      <c r="C635" s="754"/>
      <c r="D635" s="754"/>
      <c r="E635" s="754"/>
      <c r="F635" s="754" t="s">
        <v>186</v>
      </c>
      <c r="G635" s="189"/>
      <c r="H635" s="161" t="s">
        <v>12</v>
      </c>
      <c r="I635" s="269"/>
      <c r="J635" s="269"/>
      <c r="K635" s="496"/>
      <c r="L635" s="496"/>
      <c r="M635" s="496"/>
      <c r="N635" s="817">
        <v>0</v>
      </c>
      <c r="O635" s="496"/>
      <c r="P635" s="496"/>
      <c r="Q635" s="571"/>
      <c r="R635" s="571"/>
      <c r="S635" s="571"/>
      <c r="T635" s="571"/>
      <c r="U635" s="571"/>
      <c r="V635" s="571"/>
      <c r="W635" s="571"/>
      <c r="X635" s="571"/>
      <c r="Y635" s="571"/>
      <c r="Z635" s="571"/>
    </row>
    <row r="636" spans="1:26" ht="18.75" hidden="1">
      <c r="A636" s="567"/>
      <c r="B636" s="568"/>
      <c r="C636" s="754"/>
      <c r="D636" s="754"/>
      <c r="E636" s="754"/>
      <c r="F636" s="754" t="s">
        <v>187</v>
      </c>
      <c r="G636" s="189"/>
      <c r="H636" s="161" t="s">
        <v>12</v>
      </c>
      <c r="I636" s="269"/>
      <c r="J636" s="269"/>
      <c r="K636" s="496"/>
      <c r="L636" s="496"/>
      <c r="M636" s="496"/>
      <c r="N636" s="817">
        <v>0</v>
      </c>
      <c r="O636" s="496"/>
      <c r="P636" s="496"/>
      <c r="Q636" s="571"/>
      <c r="R636" s="571"/>
      <c r="S636" s="571"/>
      <c r="T636" s="571"/>
      <c r="U636" s="571"/>
      <c r="V636" s="571"/>
      <c r="W636" s="571"/>
      <c r="X636" s="571"/>
      <c r="Y636" s="571"/>
      <c r="Z636" s="571"/>
    </row>
    <row r="637" spans="1:26" ht="18.75" hidden="1">
      <c r="A637" s="567"/>
      <c r="B637" s="568"/>
      <c r="C637" s="754"/>
      <c r="D637" s="754"/>
      <c r="E637" s="754"/>
      <c r="F637" s="754" t="s">
        <v>188</v>
      </c>
      <c r="G637" s="189"/>
      <c r="H637" s="161" t="s">
        <v>12</v>
      </c>
      <c r="I637" s="269"/>
      <c r="J637" s="269"/>
      <c r="K637" s="496"/>
      <c r="L637" s="496"/>
      <c r="M637" s="496"/>
      <c r="N637" s="817">
        <v>0</v>
      </c>
      <c r="O637" s="496"/>
      <c r="P637" s="496"/>
      <c r="Q637" s="571"/>
      <c r="R637" s="571"/>
      <c r="S637" s="571"/>
      <c r="T637" s="571"/>
      <c r="U637" s="571"/>
      <c r="V637" s="571"/>
      <c r="W637" s="571"/>
      <c r="X637" s="571"/>
      <c r="Y637" s="571"/>
      <c r="Z637" s="571"/>
    </row>
    <row r="638" spans="1:26" ht="18.75" hidden="1">
      <c r="A638" s="567"/>
      <c r="B638" s="568"/>
      <c r="C638" s="754"/>
      <c r="D638" s="754"/>
      <c r="E638" s="754"/>
      <c r="F638" s="754" t="s">
        <v>189</v>
      </c>
      <c r="G638" s="189"/>
      <c r="H638" s="161" t="s">
        <v>12</v>
      </c>
      <c r="I638" s="269"/>
      <c r="J638" s="269"/>
      <c r="K638" s="496"/>
      <c r="L638" s="496"/>
      <c r="M638" s="496"/>
      <c r="N638" s="817">
        <v>0</v>
      </c>
      <c r="O638" s="496"/>
      <c r="P638" s="496"/>
      <c r="Q638" s="571"/>
      <c r="R638" s="571"/>
      <c r="S638" s="571"/>
      <c r="T638" s="571"/>
      <c r="U638" s="571"/>
      <c r="V638" s="571"/>
      <c r="W638" s="571"/>
      <c r="X638" s="571"/>
      <c r="Y638" s="571"/>
      <c r="Z638" s="571"/>
    </row>
    <row r="639" spans="1:26" ht="18.75" hidden="1">
      <c r="A639" s="590"/>
      <c r="B639" s="568"/>
      <c r="C639" s="754"/>
      <c r="D639" s="599" t="s">
        <v>21</v>
      </c>
      <c r="E639" s="754"/>
      <c r="F639" s="754"/>
      <c r="G639" s="189"/>
      <c r="H639" s="168" t="s">
        <v>12</v>
      </c>
      <c r="I639" s="184"/>
      <c r="J639" s="184"/>
      <c r="K639" s="163"/>
      <c r="L639" s="496">
        <f t="shared" ref="L639:N639" ca="1" si="268">L640+L641</f>
        <v>0</v>
      </c>
      <c r="M639" s="496">
        <f t="shared" si="268"/>
        <v>0</v>
      </c>
      <c r="N639" s="496">
        <f t="shared" si="268"/>
        <v>0</v>
      </c>
      <c r="O639" s="496">
        <f t="shared" ref="O639:O641" ca="1" si="269">IF(L639&gt;0,N639*100/L639,0)</f>
        <v>0</v>
      </c>
      <c r="P639" s="496">
        <f t="shared" ref="P639:P641" si="270">IF(M639&gt;0,N639*100/M639,0)</f>
        <v>0</v>
      </c>
      <c r="Q639" s="571"/>
      <c r="R639" s="571"/>
      <c r="S639" s="571"/>
      <c r="T639" s="571"/>
      <c r="U639" s="571"/>
      <c r="V639" s="571"/>
      <c r="W639" s="571"/>
      <c r="X639" s="571"/>
      <c r="Y639" s="571"/>
      <c r="Z639" s="571"/>
    </row>
    <row r="640" spans="1:26" ht="18.75" hidden="1">
      <c r="A640" s="592"/>
      <c r="B640" s="600"/>
      <c r="C640" s="750"/>
      <c r="D640" s="750"/>
      <c r="E640" s="750" t="s">
        <v>18</v>
      </c>
      <c r="F640" s="750"/>
      <c r="G640" s="596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597"/>
      <c r="R640" s="597"/>
      <c r="S640" s="597"/>
      <c r="T640" s="597"/>
      <c r="U640" s="597"/>
      <c r="V640" s="597"/>
      <c r="W640" s="597"/>
      <c r="X640" s="597"/>
      <c r="Y640" s="597"/>
      <c r="Z640" s="597"/>
    </row>
    <row r="641" spans="1:26" ht="18.75" hidden="1">
      <c r="A641" s="592"/>
      <c r="B641" s="600"/>
      <c r="C641" s="750"/>
      <c r="D641" s="750"/>
      <c r="E641" s="750" t="s">
        <v>19</v>
      </c>
      <c r="F641" s="750"/>
      <c r="G641" s="596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IFERROR(__xludf.DUMMYFUNCTION("IMPORTRANGE(""https://docs.google.com/spreadsheets/d/1QqKyyYR6Q21VydFLVH3TRQUabQu_ym0Zz7PgGX0-kHA/edit?usp=sharing"",""แผน!HQ55"")"),0)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597"/>
      <c r="R641" s="597"/>
      <c r="S641" s="597"/>
      <c r="T641" s="597"/>
      <c r="U641" s="597"/>
      <c r="V641" s="597"/>
      <c r="W641" s="597"/>
      <c r="X641" s="597"/>
      <c r="Y641" s="597"/>
      <c r="Z641" s="597"/>
    </row>
    <row r="642" spans="1:26" ht="19.5" hidden="1">
      <c r="A642" s="601"/>
      <c r="B642" s="611"/>
      <c r="C642" s="754" t="s">
        <v>16</v>
      </c>
      <c r="D642" s="839" t="s">
        <v>38</v>
      </c>
      <c r="E642" s="752"/>
      <c r="F642" s="752"/>
      <c r="G642" s="606"/>
      <c r="H642" s="753"/>
      <c r="I642" s="184"/>
      <c r="J642" s="184"/>
      <c r="K642" s="163"/>
      <c r="L642" s="163"/>
      <c r="M642" s="163"/>
      <c r="N642" s="163"/>
      <c r="O642" s="163"/>
      <c r="P642" s="163"/>
      <c r="Q642" s="571"/>
      <c r="R642" s="571"/>
      <c r="S642" s="571"/>
      <c r="T642" s="571"/>
      <c r="U642" s="571"/>
      <c r="V642" s="571"/>
      <c r="W642" s="571"/>
      <c r="X642" s="571"/>
      <c r="Y642" s="571"/>
      <c r="Z642" s="571"/>
    </row>
    <row r="643" spans="1:26" ht="18.75" hidden="1">
      <c r="A643" s="735"/>
      <c r="B643" s="568"/>
      <c r="C643" s="754"/>
      <c r="D643" s="619"/>
      <c r="E643" s="737" t="s">
        <v>271</v>
      </c>
      <c r="F643" s="619"/>
      <c r="G643" s="753"/>
      <c r="H643" s="755" t="s">
        <v>272</v>
      </c>
      <c r="I643" s="269">
        <f ca="1">IFERROR(__xludf.DUMMYFUNCTION("IMPORTRANGE(""https://docs.google.com/spreadsheets/d/1QqKyyYR6Q21VydFLVH3TRQUabQu_ym0Zz7PgGX0-kHA/edit?usp=sharing"",""แผน!HR55"")"),0)</f>
        <v>0</v>
      </c>
      <c r="J643" s="214">
        <v>0</v>
      </c>
      <c r="K643" s="163">
        <f t="shared" ref="K643:K652" ca="1" si="271">IF(I643&gt;0,J643*100/I643,0)</f>
        <v>0</v>
      </c>
      <c r="L643" s="163"/>
      <c r="M643" s="163"/>
      <c r="N643" s="496"/>
      <c r="O643" s="163"/>
      <c r="P643" s="163"/>
      <c r="Q643" s="571"/>
      <c r="R643" s="571"/>
      <c r="S643" s="571"/>
      <c r="T643" s="571"/>
      <c r="U643" s="571"/>
      <c r="V643" s="571"/>
      <c r="W643" s="571"/>
      <c r="X643" s="571"/>
      <c r="Y643" s="571"/>
      <c r="Z643" s="571"/>
    </row>
    <row r="644" spans="1:26" ht="18.75" hidden="1">
      <c r="A644" s="735"/>
      <c r="B644" s="568"/>
      <c r="C644" s="754"/>
      <c r="D644" s="619"/>
      <c r="E644" s="737" t="s">
        <v>273</v>
      </c>
      <c r="F644" s="619"/>
      <c r="G644" s="753"/>
      <c r="H644" s="755" t="s">
        <v>274</v>
      </c>
      <c r="I644" s="269">
        <f ca="1">IFERROR(__xludf.DUMMYFUNCTION("IMPORTRANGE(""https://docs.google.com/spreadsheets/d/1QqKyyYR6Q21VydFLVH3TRQUabQu_ym0Zz7PgGX0-kHA/edit?usp=sharing"",""แผน!HR55"")"),0)</f>
        <v>0</v>
      </c>
      <c r="J644" s="214">
        <v>0</v>
      </c>
      <c r="K644" s="163">
        <f t="shared" ca="1" si="271"/>
        <v>0</v>
      </c>
      <c r="L644" s="163"/>
      <c r="M644" s="163"/>
      <c r="N644" s="496"/>
      <c r="O644" s="163"/>
      <c r="P644" s="163"/>
      <c r="Q644" s="571"/>
      <c r="R644" s="571"/>
      <c r="S644" s="571"/>
      <c r="T644" s="571"/>
      <c r="U644" s="571"/>
      <c r="V644" s="571"/>
      <c r="W644" s="571"/>
      <c r="X644" s="571"/>
      <c r="Y644" s="571"/>
      <c r="Z644" s="571"/>
    </row>
    <row r="645" spans="1:26" ht="18.75" hidden="1">
      <c r="A645" s="735"/>
      <c r="B645" s="568"/>
      <c r="C645" s="754"/>
      <c r="D645" s="619"/>
      <c r="E645" s="737" t="s">
        <v>275</v>
      </c>
      <c r="F645" s="619"/>
      <c r="G645" s="753"/>
      <c r="H645" s="755" t="s">
        <v>34</v>
      </c>
      <c r="I645" s="269">
        <v>0</v>
      </c>
      <c r="J645" s="269">
        <f ca="1">IFERROR(__xludf.DUMMYFUNCTION("IMPORTRANGE(""https://docs.google.com/spreadsheets/d/1XWAQStnk-4SwqDmLtmXYiTMKHgktTP8We1SCoS47DrQ/edit?usp=sharing"",""จัดที่ดิน!AS55"")"),51)</f>
        <v>51</v>
      </c>
      <c r="K645" s="163">
        <f t="shared" si="271"/>
        <v>0</v>
      </c>
      <c r="L645" s="163"/>
      <c r="M645" s="163"/>
      <c r="N645" s="496"/>
      <c r="O645" s="163"/>
      <c r="P645" s="163"/>
      <c r="Q645" s="571"/>
      <c r="R645" s="571"/>
      <c r="S645" s="571"/>
      <c r="T645" s="571"/>
      <c r="U645" s="571"/>
      <c r="V645" s="571"/>
      <c r="W645" s="571"/>
      <c r="X645" s="571"/>
      <c r="Y645" s="571"/>
      <c r="Z645" s="571"/>
    </row>
    <row r="646" spans="1:26" ht="18.75" hidden="1">
      <c r="A646" s="735"/>
      <c r="B646" s="568"/>
      <c r="C646" s="754"/>
      <c r="D646" s="619"/>
      <c r="E646" s="619"/>
      <c r="F646" s="619"/>
      <c r="G646" s="753"/>
      <c r="H646" s="755" t="s">
        <v>46</v>
      </c>
      <c r="I646" s="269">
        <v>0</v>
      </c>
      <c r="J646" s="269">
        <f ca="1">IFERROR(__xludf.DUMMYFUNCTION("IMPORTRANGE(""https://docs.google.com/spreadsheets/d/1XWAQStnk-4SwqDmLtmXYiTMKHgktTP8We1SCoS47DrQ/edit?usp=sharing"",""จัดที่ดิน!AT55"")"),95.88)</f>
        <v>95.88</v>
      </c>
      <c r="K646" s="496">
        <f t="shared" si="271"/>
        <v>0</v>
      </c>
      <c r="L646" s="163"/>
      <c r="M646" s="163"/>
      <c r="N646" s="496"/>
      <c r="O646" s="163"/>
      <c r="P646" s="163"/>
      <c r="Q646" s="571"/>
      <c r="R646" s="571"/>
      <c r="S646" s="571"/>
      <c r="T646" s="571"/>
      <c r="U646" s="571"/>
      <c r="V646" s="571"/>
      <c r="W646" s="571"/>
      <c r="X646" s="571"/>
      <c r="Y646" s="571"/>
      <c r="Z646" s="571"/>
    </row>
    <row r="647" spans="1:26" ht="18.75" hidden="1">
      <c r="A647" s="735"/>
      <c r="B647" s="568"/>
      <c r="C647" s="754"/>
      <c r="D647" s="619"/>
      <c r="E647" s="737" t="s">
        <v>162</v>
      </c>
      <c r="F647" s="619"/>
      <c r="G647" s="753"/>
      <c r="H647" s="755" t="s">
        <v>35</v>
      </c>
      <c r="I647" s="269">
        <f ca="1">IFERROR(__xludf.DUMMYFUNCTION("IMPORTRANGE(""https://docs.google.com/spreadsheets/d/1QqKyyYR6Q21VydFLVH3TRQUabQu_ym0Zz7PgGX0-kHA/edit?usp=sharing"",""แผน!HS55"")"),0)</f>
        <v>0</v>
      </c>
      <c r="J647" s="269">
        <f ca="1">IFERROR(__xludf.DUMMYFUNCTION("IMPORTRANGE(""https://docs.google.com/spreadsheets/d/1XWAQStnk-4SwqDmLtmXYiTMKHgktTP8We1SCoS47DrQ/edit?usp=sharing"",""จัดที่ดิน!AU55"")"),0)</f>
        <v>0</v>
      </c>
      <c r="K647" s="163">
        <f t="shared" ca="1" si="271"/>
        <v>0</v>
      </c>
      <c r="L647" s="163"/>
      <c r="M647" s="163"/>
      <c r="N647" s="163"/>
      <c r="O647" s="163"/>
      <c r="P647" s="163"/>
      <c r="Q647" s="571"/>
      <c r="R647" s="571"/>
      <c r="S647" s="571"/>
      <c r="T647" s="571"/>
      <c r="U647" s="571"/>
      <c r="V647" s="571"/>
      <c r="W647" s="571"/>
      <c r="X647" s="571"/>
      <c r="Y647" s="571"/>
      <c r="Z647" s="571"/>
    </row>
    <row r="648" spans="1:26" ht="18.75" hidden="1">
      <c r="A648" s="735"/>
      <c r="B648" s="568"/>
      <c r="C648" s="754"/>
      <c r="D648" s="619"/>
      <c r="E648" s="619"/>
      <c r="F648" s="619"/>
      <c r="G648" s="753"/>
      <c r="H648" s="755" t="s">
        <v>46</v>
      </c>
      <c r="I648" s="269">
        <v>0</v>
      </c>
      <c r="J648" s="269">
        <f ca="1">IFERROR(__xludf.DUMMYFUNCTION("IMPORTRANGE(""https://docs.google.com/spreadsheets/d/1XWAQStnk-4SwqDmLtmXYiTMKHgktTP8We1SCoS47DrQ/edit?usp=sharing"",""จัดที่ดิน!AV55"")"),0)</f>
        <v>0</v>
      </c>
      <c r="K648" s="496">
        <f t="shared" si="271"/>
        <v>0</v>
      </c>
      <c r="L648" s="163"/>
      <c r="M648" s="163"/>
      <c r="N648" s="163"/>
      <c r="O648" s="163"/>
      <c r="P648" s="163"/>
      <c r="Q648" s="571"/>
      <c r="R648" s="571"/>
      <c r="S648" s="571"/>
      <c r="T648" s="571"/>
      <c r="U648" s="571"/>
      <c r="V648" s="571"/>
      <c r="W648" s="571"/>
      <c r="X648" s="571"/>
      <c r="Y648" s="571"/>
      <c r="Z648" s="571"/>
    </row>
    <row r="649" spans="1:26" ht="18.75" hidden="1">
      <c r="A649" s="735"/>
      <c r="B649" s="568"/>
      <c r="C649" s="754"/>
      <c r="D649" s="619"/>
      <c r="E649" s="737" t="s">
        <v>276</v>
      </c>
      <c r="F649" s="619"/>
      <c r="G649" s="753"/>
      <c r="H649" s="755" t="s">
        <v>35</v>
      </c>
      <c r="I649" s="269">
        <f ca="1">IFERROR(__xludf.DUMMYFUNCTION("IMPORTRANGE(""https://docs.google.com/spreadsheets/d/1QqKyyYR6Q21VydFLVH3TRQUabQu_ym0Zz7PgGX0-kHA/edit?usp=sharing"",""แผน!HS55"")"),0)</f>
        <v>0</v>
      </c>
      <c r="J649" s="269">
        <f ca="1">IFERROR(__xludf.DUMMYFUNCTION("IMPORTRANGE(""https://docs.google.com/spreadsheets/d/1XWAQStnk-4SwqDmLtmXYiTMKHgktTP8We1SCoS47DrQ/edit?usp=sharing"",""จัดที่ดิน!AW55"")"),0)</f>
        <v>0</v>
      </c>
      <c r="K649" s="163">
        <f t="shared" ca="1" si="271"/>
        <v>0</v>
      </c>
      <c r="L649" s="163"/>
      <c r="M649" s="163"/>
      <c r="N649" s="163"/>
      <c r="O649" s="163"/>
      <c r="P649" s="163"/>
      <c r="Q649" s="571"/>
      <c r="R649" s="571"/>
      <c r="S649" s="571"/>
      <c r="T649" s="571"/>
      <c r="U649" s="571"/>
      <c r="V649" s="571"/>
      <c r="W649" s="571"/>
      <c r="X649" s="571"/>
      <c r="Y649" s="571"/>
      <c r="Z649" s="571"/>
    </row>
    <row r="650" spans="1:26" ht="18.75" hidden="1">
      <c r="A650" s="735"/>
      <c r="B650" s="568"/>
      <c r="C650" s="754"/>
      <c r="D650" s="619"/>
      <c r="E650" s="619"/>
      <c r="F650" s="619"/>
      <c r="G650" s="753"/>
      <c r="H650" s="755" t="s">
        <v>46</v>
      </c>
      <c r="I650" s="269">
        <v>0</v>
      </c>
      <c r="J650" s="269">
        <f ca="1">IFERROR(__xludf.DUMMYFUNCTION("IMPORTRANGE(""https://docs.google.com/spreadsheets/d/1XWAQStnk-4SwqDmLtmXYiTMKHgktTP8We1SCoS47DrQ/edit?usp=sharing"",""จัดที่ดิน!AX55"")"),0)</f>
        <v>0</v>
      </c>
      <c r="K650" s="496">
        <f t="shared" si="271"/>
        <v>0</v>
      </c>
      <c r="L650" s="163"/>
      <c r="M650" s="163"/>
      <c r="N650" s="163"/>
      <c r="O650" s="163"/>
      <c r="P650" s="163"/>
      <c r="Q650" s="571"/>
      <c r="R650" s="571"/>
      <c r="S650" s="571"/>
      <c r="T650" s="571"/>
      <c r="U650" s="571"/>
      <c r="V650" s="571"/>
      <c r="W650" s="571"/>
      <c r="X650" s="571"/>
      <c r="Y650" s="571"/>
      <c r="Z650" s="571"/>
    </row>
    <row r="651" spans="1:26" ht="18.75" hidden="1">
      <c r="A651" s="735"/>
      <c r="B651" s="568"/>
      <c r="C651" s="754"/>
      <c r="D651" s="619"/>
      <c r="E651" s="737" t="s">
        <v>277</v>
      </c>
      <c r="F651" s="619"/>
      <c r="G651" s="753"/>
      <c r="H651" s="755" t="s">
        <v>35</v>
      </c>
      <c r="I651" s="269">
        <f ca="1">IFERROR(__xludf.DUMMYFUNCTION("IMPORTRANGE(""https://docs.google.com/spreadsheets/d/1QqKyyYR6Q21VydFLVH3TRQUabQu_ym0Zz7PgGX0-kHA/edit?usp=sharing"",""แผน!HS55"")"),0)</f>
        <v>0</v>
      </c>
      <c r="J651" s="269">
        <f ca="1">IFERROR(__xludf.DUMMYFUNCTION("IMPORTRANGE(""https://docs.google.com/spreadsheets/d/1XWAQStnk-4SwqDmLtmXYiTMKHgktTP8We1SCoS47DrQ/edit?usp=sharing"",""จัดที่ดิน!AY55"")"),0)</f>
        <v>0</v>
      </c>
      <c r="K651" s="163">
        <f t="shared" ca="1" si="271"/>
        <v>0</v>
      </c>
      <c r="L651" s="163"/>
      <c r="M651" s="163"/>
      <c r="N651" s="163"/>
      <c r="O651" s="163"/>
      <c r="P651" s="163"/>
      <c r="Q651" s="571"/>
      <c r="R651" s="571"/>
      <c r="S651" s="571"/>
      <c r="T651" s="571"/>
      <c r="U651" s="571"/>
      <c r="V651" s="571"/>
      <c r="W651" s="571"/>
      <c r="X651" s="571"/>
      <c r="Y651" s="571"/>
      <c r="Z651" s="571"/>
    </row>
    <row r="652" spans="1:26" ht="18.75" hidden="1">
      <c r="A652" s="738"/>
      <c r="B652" s="739"/>
      <c r="C652" s="740"/>
      <c r="D652" s="725"/>
      <c r="E652" s="725"/>
      <c r="F652" s="725"/>
      <c r="G652" s="726"/>
      <c r="H652" s="498" t="s">
        <v>46</v>
      </c>
      <c r="I652" s="499">
        <v>0</v>
      </c>
      <c r="J652" s="499">
        <f ca="1">IFERROR(__xludf.DUMMYFUNCTION("IMPORTRANGE(""https://docs.google.com/spreadsheets/d/1XWAQStnk-4SwqDmLtmXYiTMKHgktTP8We1SCoS47DrQ/edit?usp=sharing"",""จัดที่ดิน!AZ55"")"),0)</f>
        <v>0</v>
      </c>
      <c r="K652" s="500">
        <f t="shared" si="271"/>
        <v>0</v>
      </c>
      <c r="L652" s="384"/>
      <c r="M652" s="384"/>
      <c r="N652" s="384"/>
      <c r="O652" s="384"/>
      <c r="P652" s="384"/>
      <c r="Q652" s="571"/>
      <c r="R652" s="571"/>
      <c r="S652" s="571"/>
      <c r="T652" s="571"/>
      <c r="U652" s="571"/>
      <c r="V652" s="571"/>
      <c r="W652" s="571"/>
      <c r="X652" s="571"/>
      <c r="Y652" s="571"/>
      <c r="Z652" s="571"/>
    </row>
    <row r="653" spans="1:26" ht="19.5">
      <c r="A653" s="741">
        <v>8</v>
      </c>
      <c r="B653" s="728" t="s">
        <v>278</v>
      </c>
      <c r="C653" s="729"/>
      <c r="D653" s="729"/>
      <c r="E653" s="729"/>
      <c r="F653" s="729"/>
      <c r="G653" s="730"/>
      <c r="H653" s="730"/>
      <c r="I653" s="742"/>
      <c r="J653" s="742"/>
      <c r="K653" s="734"/>
      <c r="L653" s="734"/>
      <c r="M653" s="734"/>
      <c r="N653" s="734"/>
      <c r="O653" s="734"/>
      <c r="P653" s="734"/>
      <c r="Q653" s="571"/>
      <c r="R653" s="571"/>
      <c r="S653" s="571"/>
      <c r="T653" s="571"/>
      <c r="U653" s="571"/>
      <c r="V653" s="571"/>
      <c r="W653" s="571"/>
      <c r="X653" s="571"/>
      <c r="Y653" s="571"/>
      <c r="Z653" s="571"/>
    </row>
    <row r="654" spans="1:26" ht="19.5">
      <c r="A654" s="666"/>
      <c r="B654" s="665" t="s">
        <v>279</v>
      </c>
      <c r="C654" s="666"/>
      <c r="D654" s="666"/>
      <c r="E654" s="666"/>
      <c r="F654" s="666"/>
      <c r="G654" s="667"/>
      <c r="H654" s="698" t="s">
        <v>46</v>
      </c>
      <c r="I654" s="699">
        <f t="shared" ref="I654:J654" ca="1" si="272">I669</f>
        <v>100</v>
      </c>
      <c r="J654" s="699">
        <f t="shared" si="272"/>
        <v>0</v>
      </c>
      <c r="K654" s="670">
        <f ca="1">IF(I654&gt;0,J654*100/I654,0)</f>
        <v>0</v>
      </c>
      <c r="L654" s="671"/>
      <c r="M654" s="671"/>
      <c r="N654" s="671"/>
      <c r="O654" s="671"/>
      <c r="P654" s="671"/>
      <c r="Q654" s="571"/>
      <c r="R654" s="571"/>
      <c r="S654" s="571"/>
      <c r="T654" s="571"/>
      <c r="U654" s="571"/>
      <c r="V654" s="571"/>
      <c r="W654" s="571"/>
      <c r="X654" s="571"/>
      <c r="Y654" s="571"/>
      <c r="Z654" s="571"/>
    </row>
    <row r="655" spans="1:26" ht="19.5">
      <c r="A655" s="590"/>
      <c r="B655" s="754"/>
      <c r="C655" s="754" t="s">
        <v>16</v>
      </c>
      <c r="D655" s="863" t="s">
        <v>17</v>
      </c>
      <c r="E655" s="857"/>
      <c r="F655" s="857"/>
      <c r="G655" s="189"/>
      <c r="H655" s="591" t="s">
        <v>12</v>
      </c>
      <c r="I655" s="269"/>
      <c r="J655" s="269"/>
      <c r="K655" s="496"/>
      <c r="L655" s="195">
        <f t="shared" ref="L655:N655" ca="1" si="273">L656+L657</f>
        <v>14000</v>
      </c>
      <c r="M655" s="195">
        <f t="shared" si="273"/>
        <v>0</v>
      </c>
      <c r="N655" s="195">
        <f t="shared" si="273"/>
        <v>4500</v>
      </c>
      <c r="O655" s="195">
        <f t="shared" ref="O655:O660" ca="1" si="274">IF(L655&gt;0,N655*100/L655,0)</f>
        <v>32.142857142857146</v>
      </c>
      <c r="P655" s="195">
        <f t="shared" ref="P655:P660" si="275">IF(M655&gt;0,N655*100/M655,0)</f>
        <v>0</v>
      </c>
      <c r="Q655" s="571"/>
      <c r="R655" s="571"/>
      <c r="S655" s="571"/>
      <c r="T655" s="571"/>
      <c r="U655" s="571"/>
      <c r="V655" s="571"/>
      <c r="W655" s="571"/>
      <c r="X655" s="571"/>
      <c r="Y655" s="571"/>
      <c r="Z655" s="571"/>
    </row>
    <row r="656" spans="1:26" ht="18.75" hidden="1">
      <c r="A656" s="592"/>
      <c r="B656" s="750"/>
      <c r="C656" s="750"/>
      <c r="D656" s="711"/>
      <c r="E656" s="750" t="s">
        <v>184</v>
      </c>
      <c r="F656" s="750"/>
      <c r="G656" s="596"/>
      <c r="H656" s="165" t="s">
        <v>12</v>
      </c>
      <c r="I656" s="610"/>
      <c r="J656" s="610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597"/>
      <c r="R656" s="597"/>
      <c r="S656" s="597"/>
      <c r="T656" s="597"/>
      <c r="U656" s="597"/>
      <c r="V656" s="597"/>
      <c r="W656" s="597"/>
      <c r="X656" s="597"/>
      <c r="Y656" s="597"/>
      <c r="Z656" s="597"/>
    </row>
    <row r="657" spans="1:26" ht="18.75" hidden="1">
      <c r="A657" s="592"/>
      <c r="B657" s="600"/>
      <c r="C657" s="750"/>
      <c r="D657" s="711"/>
      <c r="E657" s="750" t="s">
        <v>185</v>
      </c>
      <c r="F657" s="750"/>
      <c r="G657" s="596"/>
      <c r="H657" s="165" t="s">
        <v>12</v>
      </c>
      <c r="I657" s="610"/>
      <c r="J657" s="610"/>
      <c r="K657" s="93"/>
      <c r="L657" s="93">
        <f t="shared" ca="1" si="276"/>
        <v>14000</v>
      </c>
      <c r="M657" s="93">
        <f t="shared" si="276"/>
        <v>0</v>
      </c>
      <c r="N657" s="93">
        <f t="shared" si="276"/>
        <v>4500</v>
      </c>
      <c r="O657" s="93">
        <f t="shared" ca="1" si="274"/>
        <v>32.142857142857146</v>
      </c>
      <c r="P657" s="93">
        <f t="shared" si="275"/>
        <v>0</v>
      </c>
      <c r="Q657" s="597"/>
      <c r="R657" s="597"/>
      <c r="S657" s="597"/>
      <c r="T657" s="597"/>
      <c r="U657" s="597"/>
      <c r="V657" s="597"/>
      <c r="W657" s="597"/>
      <c r="X657" s="597"/>
      <c r="Y657" s="597"/>
      <c r="Z657" s="597"/>
    </row>
    <row r="658" spans="1:26" ht="18.75">
      <c r="A658" s="590"/>
      <c r="B658" s="568"/>
      <c r="C658" s="754"/>
      <c r="D658" s="599" t="s">
        <v>20</v>
      </c>
      <c r="E658" s="754"/>
      <c r="F658" s="754"/>
      <c r="G658" s="189"/>
      <c r="H658" s="161" t="s">
        <v>12</v>
      </c>
      <c r="I658" s="184"/>
      <c r="J658" s="184"/>
      <c r="K658" s="163"/>
      <c r="L658" s="496">
        <f t="shared" ref="L658:N658" ca="1" si="277">L659+L660</f>
        <v>14000</v>
      </c>
      <c r="M658" s="496">
        <f t="shared" si="277"/>
        <v>0</v>
      </c>
      <c r="N658" s="496">
        <f t="shared" si="277"/>
        <v>4500</v>
      </c>
      <c r="O658" s="496">
        <f t="shared" ca="1" si="274"/>
        <v>32.142857142857146</v>
      </c>
      <c r="P658" s="496">
        <f t="shared" si="275"/>
        <v>0</v>
      </c>
      <c r="Q658" s="571"/>
      <c r="R658" s="571"/>
      <c r="S658" s="571"/>
      <c r="T658" s="571"/>
      <c r="U658" s="571"/>
      <c r="V658" s="571"/>
      <c r="W658" s="571"/>
      <c r="X658" s="571"/>
      <c r="Y658" s="571"/>
      <c r="Z658" s="571"/>
    </row>
    <row r="659" spans="1:26" ht="18.75" hidden="1">
      <c r="A659" s="592"/>
      <c r="B659" s="600"/>
      <c r="C659" s="750"/>
      <c r="D659" s="711"/>
      <c r="E659" s="750" t="s">
        <v>184</v>
      </c>
      <c r="F659" s="750"/>
      <c r="G659" s="596"/>
      <c r="H659" s="165" t="s">
        <v>12</v>
      </c>
      <c r="I659" s="610"/>
      <c r="J659" s="610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597"/>
      <c r="R659" s="597"/>
      <c r="S659" s="597"/>
      <c r="T659" s="597"/>
      <c r="U659" s="597"/>
      <c r="V659" s="597"/>
      <c r="W659" s="597"/>
      <c r="X659" s="597"/>
      <c r="Y659" s="597"/>
      <c r="Z659" s="597"/>
    </row>
    <row r="660" spans="1:26" ht="18.75" hidden="1">
      <c r="A660" s="592"/>
      <c r="B660" s="600"/>
      <c r="C660" s="750"/>
      <c r="D660" s="711"/>
      <c r="E660" s="750" t="s">
        <v>185</v>
      </c>
      <c r="F660" s="750"/>
      <c r="G660" s="596"/>
      <c r="H660" s="165" t="s">
        <v>12</v>
      </c>
      <c r="I660" s="610"/>
      <c r="J660" s="610"/>
      <c r="K660" s="93"/>
      <c r="L660" s="93">
        <f ca="1">IFERROR(__xludf.DUMMYFUNCTION("IMPORTRANGE(""https://docs.google.com/spreadsheets/d/1QqKyyYR6Q21VydFLVH3TRQUabQu_ym0Zz7PgGX0-kHA/edit?usp=sharing"",""แผน!HV55"")"),14000)</f>
        <v>14000</v>
      </c>
      <c r="M660" s="93">
        <v>0</v>
      </c>
      <c r="N660" s="93">
        <f>N661+N662+N663+N664</f>
        <v>4500</v>
      </c>
      <c r="O660" s="93">
        <f t="shared" ca="1" si="274"/>
        <v>32.142857142857146</v>
      </c>
      <c r="P660" s="93">
        <f t="shared" si="275"/>
        <v>0</v>
      </c>
      <c r="Q660" s="597"/>
      <c r="R660" s="597"/>
      <c r="S660" s="597"/>
      <c r="T660" s="597"/>
      <c r="U660" s="597"/>
      <c r="V660" s="597"/>
      <c r="W660" s="597"/>
      <c r="X660" s="597"/>
      <c r="Y660" s="597"/>
      <c r="Z660" s="597"/>
    </row>
    <row r="661" spans="1:26" ht="18.75">
      <c r="A661" s="567"/>
      <c r="B661" s="568"/>
      <c r="C661" s="754"/>
      <c r="D661" s="754"/>
      <c r="E661" s="754"/>
      <c r="F661" s="754" t="s">
        <v>186</v>
      </c>
      <c r="G661" s="189"/>
      <c r="H661" s="161" t="s">
        <v>12</v>
      </c>
      <c r="I661" s="269"/>
      <c r="J661" s="269"/>
      <c r="K661" s="496"/>
      <c r="L661" s="496"/>
      <c r="M661" s="496"/>
      <c r="N661" s="817">
        <v>0</v>
      </c>
      <c r="O661" s="496"/>
      <c r="P661" s="496"/>
      <c r="Q661" s="571"/>
      <c r="R661" s="571"/>
      <c r="S661" s="571"/>
      <c r="T661" s="571"/>
      <c r="U661" s="571"/>
      <c r="V661" s="571"/>
      <c r="W661" s="571"/>
      <c r="X661" s="571"/>
      <c r="Y661" s="571"/>
      <c r="Z661" s="571"/>
    </row>
    <row r="662" spans="1:26" ht="18.75">
      <c r="A662" s="567"/>
      <c r="B662" s="568"/>
      <c r="C662" s="754"/>
      <c r="D662" s="754"/>
      <c r="E662" s="754"/>
      <c r="F662" s="754" t="s">
        <v>187</v>
      </c>
      <c r="G662" s="189"/>
      <c r="H662" s="161" t="s">
        <v>12</v>
      </c>
      <c r="I662" s="269"/>
      <c r="J662" s="269"/>
      <c r="K662" s="496"/>
      <c r="L662" s="496"/>
      <c r="M662" s="496"/>
      <c r="N662" s="817">
        <v>0</v>
      </c>
      <c r="O662" s="496"/>
      <c r="P662" s="496"/>
      <c r="Q662" s="571"/>
      <c r="R662" s="571"/>
      <c r="S662" s="571"/>
      <c r="T662" s="571"/>
      <c r="U662" s="571"/>
      <c r="V662" s="571"/>
      <c r="W662" s="571"/>
      <c r="X662" s="571"/>
      <c r="Y662" s="571"/>
      <c r="Z662" s="571"/>
    </row>
    <row r="663" spans="1:26" ht="18.75">
      <c r="A663" s="567"/>
      <c r="B663" s="568"/>
      <c r="C663" s="568"/>
      <c r="D663" s="754"/>
      <c r="E663" s="754"/>
      <c r="F663" s="754" t="s">
        <v>188</v>
      </c>
      <c r="G663" s="189"/>
      <c r="H663" s="161" t="s">
        <v>12</v>
      </c>
      <c r="I663" s="269"/>
      <c r="J663" s="269"/>
      <c r="K663" s="496"/>
      <c r="L663" s="496"/>
      <c r="M663" s="496"/>
      <c r="N663" s="817">
        <v>0</v>
      </c>
      <c r="O663" s="496"/>
      <c r="P663" s="496"/>
      <c r="Q663" s="571"/>
      <c r="R663" s="571"/>
      <c r="S663" s="571"/>
      <c r="T663" s="571"/>
      <c r="U663" s="571"/>
      <c r="V663" s="571"/>
      <c r="W663" s="571"/>
      <c r="X663" s="571"/>
      <c r="Y663" s="571"/>
      <c r="Z663" s="571"/>
    </row>
    <row r="664" spans="1:26" ht="18.75">
      <c r="A664" s="567"/>
      <c r="B664" s="568"/>
      <c r="C664" s="568"/>
      <c r="D664" s="568"/>
      <c r="E664" s="754"/>
      <c r="F664" s="754" t="s">
        <v>189</v>
      </c>
      <c r="G664" s="189"/>
      <c r="H664" s="161" t="s">
        <v>12</v>
      </c>
      <c r="I664" s="269"/>
      <c r="J664" s="269"/>
      <c r="K664" s="496"/>
      <c r="L664" s="496"/>
      <c r="M664" s="496"/>
      <c r="N664" s="817">
        <v>4500</v>
      </c>
      <c r="O664" s="496"/>
      <c r="P664" s="496"/>
      <c r="Q664" s="571"/>
      <c r="R664" s="571"/>
      <c r="S664" s="571"/>
      <c r="T664" s="571"/>
      <c r="U664" s="571"/>
      <c r="V664" s="571"/>
      <c r="W664" s="571"/>
      <c r="X664" s="571"/>
      <c r="Y664" s="571"/>
      <c r="Z664" s="571"/>
    </row>
    <row r="665" spans="1:26" ht="18.75">
      <c r="A665" s="590"/>
      <c r="B665" s="568"/>
      <c r="C665" s="568"/>
      <c r="D665" s="599" t="s">
        <v>21</v>
      </c>
      <c r="E665" s="754"/>
      <c r="F665" s="754"/>
      <c r="G665" s="189"/>
      <c r="H665" s="168" t="s">
        <v>12</v>
      </c>
      <c r="I665" s="184"/>
      <c r="J665" s="184"/>
      <c r="K665" s="163"/>
      <c r="L665" s="496">
        <f t="shared" ref="L665:N665" si="278">L666+L667</f>
        <v>0</v>
      </c>
      <c r="M665" s="496">
        <f t="shared" si="278"/>
        <v>0</v>
      </c>
      <c r="N665" s="496">
        <f t="shared" si="278"/>
        <v>0</v>
      </c>
      <c r="O665" s="496">
        <f t="shared" ref="O665:O667" si="279">IF(L665&gt;0,N665*100/L665,0)</f>
        <v>0</v>
      </c>
      <c r="P665" s="496">
        <f t="shared" ref="P665:P667" si="280">IF(M665&gt;0,N665*100/M665,0)</f>
        <v>0</v>
      </c>
      <c r="Q665" s="571"/>
      <c r="R665" s="571"/>
      <c r="S665" s="571"/>
      <c r="T665" s="571"/>
      <c r="U665" s="571"/>
      <c r="V665" s="571"/>
      <c r="W665" s="571"/>
      <c r="X665" s="571"/>
      <c r="Y665" s="571"/>
      <c r="Z665" s="571"/>
    </row>
    <row r="666" spans="1:26" ht="18.75" hidden="1">
      <c r="A666" s="592"/>
      <c r="B666" s="600"/>
      <c r="C666" s="600"/>
      <c r="D666" s="600"/>
      <c r="E666" s="750" t="s">
        <v>18</v>
      </c>
      <c r="F666" s="750"/>
      <c r="G666" s="596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597"/>
      <c r="R666" s="597"/>
      <c r="S666" s="597"/>
      <c r="T666" s="597"/>
      <c r="U666" s="597"/>
      <c r="V666" s="597"/>
      <c r="W666" s="597"/>
      <c r="X666" s="597"/>
      <c r="Y666" s="597"/>
      <c r="Z666" s="597"/>
    </row>
    <row r="667" spans="1:26" ht="18.75" hidden="1">
      <c r="A667" s="592"/>
      <c r="B667" s="600"/>
      <c r="C667" s="600"/>
      <c r="D667" s="600"/>
      <c r="E667" s="750" t="s">
        <v>19</v>
      </c>
      <c r="F667" s="750"/>
      <c r="G667" s="596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597"/>
      <c r="R667" s="597"/>
      <c r="S667" s="597"/>
      <c r="T667" s="597"/>
      <c r="U667" s="597"/>
      <c r="V667" s="597"/>
      <c r="W667" s="597"/>
      <c r="X667" s="597"/>
      <c r="Y667" s="597"/>
      <c r="Z667" s="597"/>
    </row>
    <row r="668" spans="1:26" ht="19.5">
      <c r="A668" s="601"/>
      <c r="B668" s="611"/>
      <c r="C668" s="568" t="s">
        <v>16</v>
      </c>
      <c r="D668" s="836" t="s">
        <v>38</v>
      </c>
      <c r="E668" s="752"/>
      <c r="F668" s="752"/>
      <c r="G668" s="606"/>
      <c r="H668" s="753"/>
      <c r="I668" s="184"/>
      <c r="J668" s="184"/>
      <c r="K668" s="163"/>
      <c r="L668" s="163"/>
      <c r="M668" s="163"/>
      <c r="N668" s="163"/>
      <c r="O668" s="163"/>
      <c r="P668" s="163"/>
      <c r="Q668" s="571"/>
      <c r="R668" s="571"/>
      <c r="S668" s="571"/>
      <c r="T668" s="571"/>
      <c r="U668" s="571"/>
      <c r="V668" s="571"/>
      <c r="W668" s="571"/>
      <c r="X668" s="571"/>
      <c r="Y668" s="571"/>
      <c r="Z668" s="571"/>
    </row>
    <row r="669" spans="1:26" ht="19.5">
      <c r="A669" s="601"/>
      <c r="B669" s="611"/>
      <c r="C669" s="611"/>
      <c r="D669" s="611" t="s">
        <v>280</v>
      </c>
      <c r="E669" s="619"/>
      <c r="F669" s="619"/>
      <c r="G669" s="753"/>
      <c r="H669" s="758" t="s">
        <v>46</v>
      </c>
      <c r="I669" s="674">
        <f ca="1">IFERROR(__xludf.DUMMYFUNCTION("IMPORTRANGE(""https://docs.google.com/spreadsheets/d/1QqKyyYR6Q21VydFLVH3TRQUabQu_ym0Zz7PgGX0-kHA/edit?usp=sharing"",""แผน!IA55"")"),100)</f>
        <v>100</v>
      </c>
      <c r="J669" s="674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1"/>
      <c r="R669" s="571"/>
      <c r="S669" s="571"/>
      <c r="T669" s="571"/>
      <c r="U669" s="571"/>
      <c r="V669" s="571"/>
      <c r="W669" s="571"/>
      <c r="X669" s="571"/>
      <c r="Y669" s="571"/>
      <c r="Z669" s="571"/>
    </row>
    <row r="670" spans="1:26" ht="18.75">
      <c r="A670" s="601"/>
      <c r="B670" s="611"/>
      <c r="C670" s="611"/>
      <c r="D670" s="611"/>
      <c r="E670" s="619" t="s">
        <v>281</v>
      </c>
      <c r="F670" s="619"/>
      <c r="G670" s="753"/>
      <c r="H670" s="755" t="s">
        <v>69</v>
      </c>
      <c r="I670" s="269">
        <f ca="1">IFERROR(__xludf.DUMMYFUNCTION("IMPORTRANGE(""https://docs.google.com/spreadsheets/d/1QqKyyYR6Q21VydFLVH3TRQUabQu_ym0Zz7PgGX0-kHA/edit?usp=sharing"",""แผน!HZ55"")"),5)</f>
        <v>5</v>
      </c>
      <c r="J670" s="214">
        <v>5</v>
      </c>
      <c r="K670" s="496">
        <f ca="1">IF(I670&gt;0,(J670*100)/I670,0)</f>
        <v>100</v>
      </c>
      <c r="L670" s="163"/>
      <c r="M670" s="163"/>
      <c r="N670" s="163"/>
      <c r="O670" s="163"/>
      <c r="P670" s="163"/>
      <c r="Q670" s="571"/>
      <c r="R670" s="571"/>
      <c r="S670" s="571"/>
      <c r="T670" s="571"/>
      <c r="U670" s="571"/>
      <c r="V670" s="571"/>
      <c r="W670" s="571"/>
      <c r="X670" s="571"/>
      <c r="Y670" s="571"/>
      <c r="Z670" s="571"/>
    </row>
    <row r="671" spans="1:26" ht="18.75">
      <c r="A671" s="601"/>
      <c r="B671" s="611"/>
      <c r="C671" s="611"/>
      <c r="D671" s="611"/>
      <c r="E671" s="619" t="s">
        <v>282</v>
      </c>
      <c r="F671" s="619"/>
      <c r="G671" s="753"/>
      <c r="H671" s="755" t="s">
        <v>69</v>
      </c>
      <c r="I671" s="269">
        <f ca="1">IFERROR(__xludf.DUMMYFUNCTION("IMPORTRANGE(""https://docs.google.com/spreadsheets/d/1QqKyyYR6Q21VydFLVH3TRQUabQu_ym0Zz7PgGX0-kHA/edit?usp=sharing"",""แผน!HZ55"")"),5)</f>
        <v>5</v>
      </c>
      <c r="J671" s="214">
        <v>0</v>
      </c>
      <c r="K671" s="496">
        <f ca="1">IF(I$671&gt;0,J671*100/I$671,0)</f>
        <v>0</v>
      </c>
      <c r="L671" s="163"/>
      <c r="M671" s="163"/>
      <c r="N671" s="163"/>
      <c r="O671" s="163"/>
      <c r="P671" s="163"/>
      <c r="Q671" s="571"/>
      <c r="R671" s="571"/>
      <c r="S671" s="571"/>
      <c r="T671" s="571"/>
      <c r="U671" s="571"/>
      <c r="V671" s="571"/>
      <c r="W671" s="571"/>
      <c r="X671" s="571"/>
      <c r="Y671" s="571"/>
      <c r="Z671" s="571"/>
    </row>
    <row r="672" spans="1:26" ht="18.75">
      <c r="A672" s="601"/>
      <c r="B672" s="611"/>
      <c r="C672" s="611"/>
      <c r="D672" s="611"/>
      <c r="E672" s="619" t="s">
        <v>283</v>
      </c>
      <c r="F672" s="619"/>
      <c r="G672" s="753"/>
      <c r="H672" s="755" t="s">
        <v>46</v>
      </c>
      <c r="I672" s="269"/>
      <c r="J672" s="214">
        <v>98</v>
      </c>
      <c r="K672" s="496">
        <f t="shared" ref="K672:K675" ca="1" si="281">IF(I$669&gt;0,J672*100/I$669,0)</f>
        <v>98</v>
      </c>
      <c r="L672" s="163"/>
      <c r="M672" s="163"/>
      <c r="N672" s="163"/>
      <c r="O672" s="163"/>
      <c r="P672" s="163"/>
      <c r="Q672" s="571"/>
      <c r="R672" s="571"/>
      <c r="S672" s="571"/>
      <c r="T672" s="571"/>
      <c r="U672" s="571"/>
      <c r="V672" s="571"/>
      <c r="W672" s="571"/>
      <c r="X672" s="571"/>
      <c r="Y672" s="571"/>
      <c r="Z672" s="571"/>
    </row>
    <row r="673" spans="1:26" ht="18.75">
      <c r="A673" s="601"/>
      <c r="B673" s="611"/>
      <c r="C673" s="611"/>
      <c r="D673" s="611"/>
      <c r="E673" s="619" t="s">
        <v>284</v>
      </c>
      <c r="F673" s="619"/>
      <c r="G673" s="753"/>
      <c r="H673" s="755" t="s">
        <v>46</v>
      </c>
      <c r="I673" s="269"/>
      <c r="J673" s="214">
        <v>0</v>
      </c>
      <c r="K673" s="496">
        <f t="shared" ca="1" si="281"/>
        <v>0</v>
      </c>
      <c r="L673" s="163"/>
      <c r="M673" s="163"/>
      <c r="N673" s="163"/>
      <c r="O673" s="163"/>
      <c r="P673" s="163"/>
      <c r="Q673" s="571"/>
      <c r="R673" s="571"/>
      <c r="S673" s="571"/>
      <c r="T673" s="571"/>
      <c r="U673" s="571"/>
      <c r="V673" s="571"/>
      <c r="W673" s="571"/>
      <c r="X673" s="571"/>
      <c r="Y673" s="571"/>
      <c r="Z673" s="571"/>
    </row>
    <row r="674" spans="1:26" ht="18.75">
      <c r="A674" s="601"/>
      <c r="B674" s="611"/>
      <c r="C674" s="611"/>
      <c r="D674" s="611"/>
      <c r="E674" s="619" t="s">
        <v>285</v>
      </c>
      <c r="F674" s="619"/>
      <c r="G674" s="753"/>
      <c r="H674" s="755" t="s">
        <v>46</v>
      </c>
      <c r="I674" s="269"/>
      <c r="J674" s="214">
        <v>0</v>
      </c>
      <c r="K674" s="496">
        <f t="shared" ca="1" si="281"/>
        <v>0</v>
      </c>
      <c r="L674" s="163"/>
      <c r="M674" s="163"/>
      <c r="N674" s="163"/>
      <c r="O674" s="163"/>
      <c r="P674" s="163"/>
      <c r="Q674" s="571"/>
      <c r="R674" s="571"/>
      <c r="S674" s="571"/>
      <c r="T674" s="571"/>
      <c r="U674" s="571"/>
      <c r="V674" s="571"/>
      <c r="W674" s="571"/>
      <c r="X674" s="571"/>
      <c r="Y674" s="571"/>
      <c r="Z674" s="571"/>
    </row>
    <row r="675" spans="1:26" ht="19.5">
      <c r="A675" s="601"/>
      <c r="B675" s="611"/>
      <c r="C675" s="611"/>
      <c r="D675" s="611"/>
      <c r="E675" s="619" t="s">
        <v>286</v>
      </c>
      <c r="F675" s="619"/>
      <c r="G675" s="753"/>
      <c r="H675" s="755" t="s">
        <v>46</v>
      </c>
      <c r="I675" s="269"/>
      <c r="J675" s="674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71"/>
      <c r="R675" s="571"/>
      <c r="S675" s="571"/>
      <c r="T675" s="571"/>
      <c r="U675" s="571"/>
      <c r="V675" s="571"/>
      <c r="W675" s="571"/>
      <c r="X675" s="571"/>
      <c r="Y675" s="571"/>
      <c r="Z675" s="571"/>
    </row>
    <row r="676" spans="1:26" ht="18.75">
      <c r="A676" s="601"/>
      <c r="B676" s="611"/>
      <c r="C676" s="611"/>
      <c r="D676" s="611"/>
      <c r="E676" s="619"/>
      <c r="F676" s="619" t="s">
        <v>287</v>
      </c>
      <c r="G676" s="753"/>
      <c r="H676" s="755" t="s">
        <v>46</v>
      </c>
      <c r="I676" s="269"/>
      <c r="J676" s="214">
        <v>0</v>
      </c>
      <c r="K676" s="496"/>
      <c r="L676" s="163"/>
      <c r="M676" s="163"/>
      <c r="N676" s="163"/>
      <c r="O676" s="163"/>
      <c r="P676" s="163"/>
      <c r="Q676" s="571"/>
      <c r="R676" s="571"/>
      <c r="S676" s="571"/>
      <c r="T676" s="571"/>
      <c r="U676" s="571"/>
      <c r="V676" s="571"/>
      <c r="W676" s="571"/>
      <c r="X676" s="571"/>
      <c r="Y676" s="571"/>
      <c r="Z676" s="571"/>
    </row>
    <row r="677" spans="1:26" ht="18.75">
      <c r="A677" s="601"/>
      <c r="B677" s="611"/>
      <c r="C677" s="611"/>
      <c r="D677" s="611"/>
      <c r="E677" s="619"/>
      <c r="F677" s="619" t="s">
        <v>288</v>
      </c>
      <c r="G677" s="753"/>
      <c r="H677" s="755" t="s">
        <v>46</v>
      </c>
      <c r="I677" s="269"/>
      <c r="J677" s="214">
        <v>0</v>
      </c>
      <c r="K677" s="496"/>
      <c r="L677" s="163"/>
      <c r="M677" s="163"/>
      <c r="N677" s="163"/>
      <c r="O677" s="163"/>
      <c r="P677" s="163"/>
      <c r="Q677" s="571"/>
      <c r="R677" s="571"/>
      <c r="S677" s="571"/>
      <c r="T677" s="571"/>
      <c r="U677" s="571"/>
      <c r="V677" s="571"/>
      <c r="W677" s="571"/>
      <c r="X677" s="571"/>
      <c r="Y677" s="571"/>
      <c r="Z677" s="571"/>
    </row>
    <row r="678" spans="1:26" ht="19.5">
      <c r="A678" s="601"/>
      <c r="B678" s="611"/>
      <c r="C678" s="611"/>
      <c r="D678" s="611" t="s">
        <v>289</v>
      </c>
      <c r="E678" s="619"/>
      <c r="F678" s="619"/>
      <c r="G678" s="753"/>
      <c r="H678" s="755" t="s">
        <v>46</v>
      </c>
      <c r="I678" s="674">
        <f ca="1">IFERROR(__xludf.DUMMYFUNCTION("IMPORTRANGE(""https://docs.google.com/spreadsheets/d/1QqKyyYR6Q21VydFLVH3TRQUabQu_ym0Zz7PgGX0-kHA/edit?usp=sharing"",""แผน!IB55"")"),0)</f>
        <v>0</v>
      </c>
      <c r="J678" s="674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1"/>
      <c r="R678" s="571"/>
      <c r="S678" s="571"/>
      <c r="T678" s="571"/>
      <c r="U678" s="571"/>
      <c r="V678" s="571"/>
      <c r="W678" s="571"/>
      <c r="X678" s="571"/>
      <c r="Y678" s="571"/>
      <c r="Z678" s="571"/>
    </row>
    <row r="679" spans="1:26" ht="18.75">
      <c r="A679" s="601"/>
      <c r="B679" s="611"/>
      <c r="C679" s="611"/>
      <c r="D679" s="611"/>
      <c r="E679" s="619" t="s">
        <v>290</v>
      </c>
      <c r="F679" s="619"/>
      <c r="G679" s="753"/>
      <c r="H679" s="755" t="s">
        <v>46</v>
      </c>
      <c r="I679" s="269"/>
      <c r="J679" s="269">
        <f>J680+J681</f>
        <v>0</v>
      </c>
      <c r="K679" s="496"/>
      <c r="L679" s="163"/>
      <c r="M679" s="163"/>
      <c r="N679" s="163"/>
      <c r="O679" s="163"/>
      <c r="P679" s="163"/>
      <c r="Q679" s="571"/>
      <c r="R679" s="571"/>
      <c r="S679" s="571"/>
      <c r="T679" s="571"/>
      <c r="U679" s="571"/>
      <c r="V679" s="571"/>
      <c r="W679" s="571"/>
      <c r="X679" s="571"/>
      <c r="Y679" s="571"/>
      <c r="Z679" s="571"/>
    </row>
    <row r="680" spans="1:26" ht="18.75">
      <c r="A680" s="601"/>
      <c r="B680" s="611"/>
      <c r="C680" s="611"/>
      <c r="D680" s="611"/>
      <c r="E680" s="619"/>
      <c r="F680" s="619" t="s">
        <v>287</v>
      </c>
      <c r="G680" s="753"/>
      <c r="H680" s="755" t="s">
        <v>46</v>
      </c>
      <c r="I680" s="269"/>
      <c r="J680" s="214">
        <v>0</v>
      </c>
      <c r="K680" s="496"/>
      <c r="L680" s="163"/>
      <c r="M680" s="163"/>
      <c r="N680" s="163"/>
      <c r="O680" s="163"/>
      <c r="P680" s="163"/>
      <c r="Q680" s="571"/>
      <c r="R680" s="571"/>
      <c r="S680" s="571"/>
      <c r="T680" s="571"/>
      <c r="U680" s="571"/>
      <c r="V680" s="571"/>
      <c r="W680" s="571"/>
      <c r="X680" s="571"/>
      <c r="Y680" s="571"/>
      <c r="Z680" s="571"/>
    </row>
    <row r="681" spans="1:26" ht="18.75">
      <c r="A681" s="601"/>
      <c r="B681" s="611"/>
      <c r="C681" s="611"/>
      <c r="D681" s="611"/>
      <c r="E681" s="619"/>
      <c r="F681" s="619" t="s">
        <v>288</v>
      </c>
      <c r="G681" s="753"/>
      <c r="H681" s="755" t="s">
        <v>46</v>
      </c>
      <c r="I681" s="269"/>
      <c r="J681" s="214">
        <v>0</v>
      </c>
      <c r="K681" s="496"/>
      <c r="L681" s="163"/>
      <c r="M681" s="163"/>
      <c r="N681" s="163"/>
      <c r="O681" s="163"/>
      <c r="P681" s="163"/>
      <c r="Q681" s="571"/>
      <c r="R681" s="571"/>
      <c r="S681" s="571"/>
      <c r="T681" s="571"/>
      <c r="U681" s="571"/>
      <c r="V681" s="571"/>
      <c r="W681" s="571"/>
      <c r="X681" s="571"/>
      <c r="Y681" s="571"/>
      <c r="Z681" s="571"/>
    </row>
    <row r="682" spans="1:26" ht="18.75">
      <c r="A682" s="601"/>
      <c r="B682" s="611"/>
      <c r="C682" s="611"/>
      <c r="D682" s="611"/>
      <c r="E682" s="619" t="s">
        <v>291</v>
      </c>
      <c r="F682" s="619"/>
      <c r="G682" s="753"/>
      <c r="H682" s="755" t="s">
        <v>46</v>
      </c>
      <c r="I682" s="269"/>
      <c r="J682" s="214">
        <v>0</v>
      </c>
      <c r="K682" s="496"/>
      <c r="L682" s="163"/>
      <c r="M682" s="163"/>
      <c r="N682" s="163"/>
      <c r="O682" s="163"/>
      <c r="P682" s="163"/>
      <c r="Q682" s="571"/>
      <c r="R682" s="571"/>
      <c r="S682" s="571"/>
      <c r="T682" s="571"/>
      <c r="U682" s="571"/>
      <c r="V682" s="571"/>
      <c r="W682" s="571"/>
      <c r="X682" s="571"/>
      <c r="Y682" s="571"/>
      <c r="Z682" s="571"/>
    </row>
    <row r="683" spans="1:26" ht="18.75">
      <c r="A683" s="601"/>
      <c r="B683" s="611"/>
      <c r="C683" s="611"/>
      <c r="D683" s="611"/>
      <c r="E683" s="619"/>
      <c r="F683" s="619" t="s">
        <v>292</v>
      </c>
      <c r="G683" s="753"/>
      <c r="H683" s="755" t="s">
        <v>46</v>
      </c>
      <c r="I683" s="269"/>
      <c r="J683" s="214">
        <v>0</v>
      </c>
      <c r="K683" s="496"/>
      <c r="L683" s="163"/>
      <c r="M683" s="163"/>
      <c r="N683" s="163"/>
      <c r="O683" s="163"/>
      <c r="P683" s="163"/>
      <c r="Q683" s="571"/>
      <c r="R683" s="571"/>
      <c r="S683" s="571"/>
      <c r="T683" s="571"/>
      <c r="U683" s="571"/>
      <c r="V683" s="571"/>
      <c r="W683" s="571"/>
      <c r="X683" s="571"/>
      <c r="Y683" s="571"/>
      <c r="Z683" s="571"/>
    </row>
    <row r="684" spans="1:26" ht="19.5">
      <c r="A684" s="744"/>
      <c r="B684" s="745" t="s">
        <v>293</v>
      </c>
      <c r="C684" s="744"/>
      <c r="D684" s="744"/>
      <c r="E684" s="744"/>
      <c r="F684" s="744"/>
      <c r="G684" s="746"/>
      <c r="H684" s="746"/>
      <c r="I684" s="747"/>
      <c r="J684" s="747"/>
      <c r="K684" s="748"/>
      <c r="L684" s="748"/>
      <c r="M684" s="748"/>
      <c r="N684" s="748"/>
      <c r="O684" s="748"/>
      <c r="P684" s="748"/>
      <c r="Q684" s="571"/>
      <c r="R684" s="571"/>
      <c r="S684" s="571"/>
      <c r="T684" s="571"/>
      <c r="U684" s="571"/>
      <c r="V684" s="571"/>
      <c r="W684" s="571"/>
      <c r="X684" s="571"/>
      <c r="Y684" s="571"/>
      <c r="Z684" s="571"/>
    </row>
    <row r="685" spans="1:26" ht="19.5">
      <c r="A685" s="590"/>
      <c r="B685" s="754"/>
      <c r="C685" s="754" t="s">
        <v>16</v>
      </c>
      <c r="D685" s="863" t="s">
        <v>17</v>
      </c>
      <c r="E685" s="857"/>
      <c r="F685" s="857"/>
      <c r="G685" s="189"/>
      <c r="H685" s="591" t="s">
        <v>12</v>
      </c>
      <c r="I685" s="269"/>
      <c r="J685" s="269"/>
      <c r="K685" s="496"/>
      <c r="L685" s="195">
        <f t="shared" ref="L685:N685" ca="1" si="282">L686+L687</f>
        <v>31600</v>
      </c>
      <c r="M685" s="195">
        <f t="shared" si="282"/>
        <v>0</v>
      </c>
      <c r="N685" s="195">
        <f t="shared" si="282"/>
        <v>0</v>
      </c>
      <c r="O685" s="195">
        <f t="shared" ref="O685:O688" ca="1" si="283">IF(L685&gt;0,N685*100/L685,0)</f>
        <v>0</v>
      </c>
      <c r="P685" s="195">
        <f t="shared" ref="P685:P688" si="284">IF(M685&gt;0,N685*100/M685,0)</f>
        <v>0</v>
      </c>
      <c r="Q685" s="571"/>
      <c r="R685" s="571"/>
      <c r="S685" s="571"/>
      <c r="T685" s="571"/>
      <c r="U685" s="571"/>
      <c r="V685" s="571"/>
      <c r="W685" s="571"/>
      <c r="X685" s="571"/>
      <c r="Y685" s="571"/>
      <c r="Z685" s="571"/>
    </row>
    <row r="686" spans="1:26" ht="18.75" hidden="1">
      <c r="A686" s="592"/>
      <c r="B686" s="750"/>
      <c r="C686" s="750"/>
      <c r="D686" s="711"/>
      <c r="E686" s="750" t="s">
        <v>184</v>
      </c>
      <c r="F686" s="750"/>
      <c r="G686" s="596"/>
      <c r="H686" s="165" t="s">
        <v>12</v>
      </c>
      <c r="I686" s="610"/>
      <c r="J686" s="610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597"/>
      <c r="R686" s="597"/>
      <c r="S686" s="597"/>
      <c r="T686" s="597"/>
      <c r="U686" s="597"/>
      <c r="V686" s="597"/>
      <c r="W686" s="597"/>
      <c r="X686" s="597"/>
      <c r="Y686" s="597"/>
      <c r="Z686" s="597"/>
    </row>
    <row r="687" spans="1:26" ht="18.75" hidden="1">
      <c r="A687" s="592"/>
      <c r="B687" s="600"/>
      <c r="C687" s="750"/>
      <c r="D687" s="711"/>
      <c r="E687" s="750" t="s">
        <v>185</v>
      </c>
      <c r="F687" s="750"/>
      <c r="G687" s="596"/>
      <c r="H687" s="165" t="s">
        <v>12</v>
      </c>
      <c r="I687" s="610"/>
      <c r="J687" s="610"/>
      <c r="K687" s="93"/>
      <c r="L687" s="93">
        <f t="shared" ca="1" si="285"/>
        <v>31600</v>
      </c>
      <c r="M687" s="93">
        <f t="shared" si="285"/>
        <v>0</v>
      </c>
      <c r="N687" s="93">
        <f t="shared" si="285"/>
        <v>0</v>
      </c>
      <c r="O687" s="93">
        <f t="shared" ca="1" si="283"/>
        <v>0</v>
      </c>
      <c r="P687" s="93">
        <f t="shared" si="284"/>
        <v>0</v>
      </c>
      <c r="Q687" s="597"/>
      <c r="R687" s="597"/>
      <c r="S687" s="597"/>
      <c r="T687" s="597"/>
      <c r="U687" s="597"/>
      <c r="V687" s="597"/>
      <c r="W687" s="597"/>
      <c r="X687" s="597"/>
      <c r="Y687" s="597"/>
      <c r="Z687" s="597"/>
    </row>
    <row r="688" spans="1:26" ht="18.75">
      <c r="A688" s="590"/>
      <c r="B688" s="568"/>
      <c r="C688" s="754"/>
      <c r="D688" s="599" t="s">
        <v>20</v>
      </c>
      <c r="E688" s="754"/>
      <c r="F688" s="754"/>
      <c r="G688" s="189"/>
      <c r="H688" s="161" t="s">
        <v>12</v>
      </c>
      <c r="I688" s="184"/>
      <c r="J688" s="184"/>
      <c r="K688" s="163"/>
      <c r="L688" s="496">
        <f t="shared" ref="L688:N688" ca="1" si="286">L689+L690</f>
        <v>31600</v>
      </c>
      <c r="M688" s="496">
        <f t="shared" si="286"/>
        <v>0</v>
      </c>
      <c r="N688" s="496">
        <f t="shared" si="286"/>
        <v>0</v>
      </c>
      <c r="O688" s="496">
        <f t="shared" ca="1" si="283"/>
        <v>0</v>
      </c>
      <c r="P688" s="496">
        <f t="shared" si="284"/>
        <v>0</v>
      </c>
      <c r="Q688" s="571"/>
      <c r="R688" s="571"/>
      <c r="S688" s="571"/>
      <c r="T688" s="571"/>
      <c r="U688" s="571"/>
      <c r="V688" s="571"/>
      <c r="W688" s="571"/>
      <c r="X688" s="571"/>
      <c r="Y688" s="571"/>
      <c r="Z688" s="571"/>
    </row>
    <row r="689" spans="1:26" ht="18.75" hidden="1">
      <c r="A689" s="592"/>
      <c r="B689" s="600"/>
      <c r="C689" s="750"/>
      <c r="D689" s="711"/>
      <c r="E689" s="750" t="s">
        <v>184</v>
      </c>
      <c r="F689" s="750"/>
      <c r="G689" s="596"/>
      <c r="H689" s="165" t="s">
        <v>12</v>
      </c>
      <c r="I689" s="610"/>
      <c r="J689" s="610"/>
      <c r="K689" s="93"/>
      <c r="L689" s="93">
        <v>0</v>
      </c>
      <c r="M689" s="93">
        <v>0</v>
      </c>
      <c r="N689" s="93">
        <v>0</v>
      </c>
      <c r="O689" s="93"/>
      <c r="P689" s="93"/>
      <c r="Q689" s="597"/>
      <c r="R689" s="597"/>
      <c r="S689" s="597"/>
      <c r="T689" s="597"/>
      <c r="U689" s="597"/>
      <c r="V689" s="597"/>
      <c r="W689" s="597"/>
      <c r="X689" s="597"/>
      <c r="Y689" s="597"/>
      <c r="Z689" s="597"/>
    </row>
    <row r="690" spans="1:26" ht="18.75" hidden="1">
      <c r="A690" s="592"/>
      <c r="B690" s="600"/>
      <c r="C690" s="750"/>
      <c r="D690" s="711"/>
      <c r="E690" s="750" t="s">
        <v>185</v>
      </c>
      <c r="F690" s="750"/>
      <c r="G690" s="596"/>
      <c r="H690" s="165" t="s">
        <v>12</v>
      </c>
      <c r="I690" s="610"/>
      <c r="J690" s="610"/>
      <c r="K690" s="93"/>
      <c r="L690" s="93">
        <f ca="1">IFERROR(__xludf.DUMMYFUNCTION("IMPORTRANGE(""https://docs.google.com/spreadsheets/d/1QqKyyYR6Q21VydFLVH3TRQUabQu_ym0Zz7PgGX0-kHA/edit?usp=sharing"",""แผน!HW55"")"),31600)</f>
        <v>31600</v>
      </c>
      <c r="M690" s="93">
        <v>0</v>
      </c>
      <c r="N690" s="93">
        <f>N691+N692+N693+N694</f>
        <v>0</v>
      </c>
      <c r="O690" s="93">
        <f ca="1">IF(L690&gt;0,N690*100/L690,0)</f>
        <v>0</v>
      </c>
      <c r="P690" s="93">
        <f>IF(M690&gt;0,N690*100/M690,0)</f>
        <v>0</v>
      </c>
      <c r="Q690" s="597"/>
      <c r="R690" s="597"/>
      <c r="S690" s="597"/>
      <c r="T690" s="597"/>
      <c r="U690" s="597"/>
      <c r="V690" s="597"/>
      <c r="W690" s="597"/>
      <c r="X690" s="597"/>
      <c r="Y690" s="597"/>
      <c r="Z690" s="597"/>
    </row>
    <row r="691" spans="1:26" ht="18.75">
      <c r="A691" s="567"/>
      <c r="B691" s="568"/>
      <c r="C691" s="754"/>
      <c r="D691" s="754"/>
      <c r="E691" s="754"/>
      <c r="F691" s="754" t="s">
        <v>186</v>
      </c>
      <c r="G691" s="189"/>
      <c r="H691" s="161" t="s">
        <v>12</v>
      </c>
      <c r="I691" s="269"/>
      <c r="J691" s="269"/>
      <c r="K691" s="496"/>
      <c r="L691" s="496"/>
      <c r="M691" s="496"/>
      <c r="N691" s="817">
        <v>0</v>
      </c>
      <c r="O691" s="496"/>
      <c r="P691" s="496"/>
      <c r="Q691" s="571"/>
      <c r="R691" s="571"/>
      <c r="S691" s="571"/>
      <c r="T691" s="571"/>
      <c r="U691" s="571"/>
      <c r="V691" s="571"/>
      <c r="W691" s="571"/>
      <c r="X691" s="571"/>
      <c r="Y691" s="571"/>
      <c r="Z691" s="571"/>
    </row>
    <row r="692" spans="1:26" ht="18.75">
      <c r="A692" s="567"/>
      <c r="B692" s="568"/>
      <c r="C692" s="754"/>
      <c r="D692" s="754"/>
      <c r="E692" s="754"/>
      <c r="F692" s="754" t="s">
        <v>187</v>
      </c>
      <c r="G692" s="189"/>
      <c r="H692" s="161" t="s">
        <v>12</v>
      </c>
      <c r="I692" s="269"/>
      <c r="J692" s="269"/>
      <c r="K692" s="496"/>
      <c r="L692" s="496"/>
      <c r="M692" s="496"/>
      <c r="N692" s="817">
        <v>0</v>
      </c>
      <c r="O692" s="496"/>
      <c r="P692" s="496"/>
      <c r="Q692" s="571"/>
      <c r="R692" s="571"/>
      <c r="S692" s="571"/>
      <c r="T692" s="571"/>
      <c r="U692" s="571"/>
      <c r="V692" s="571"/>
      <c r="W692" s="571"/>
      <c r="X692" s="571"/>
      <c r="Y692" s="571"/>
      <c r="Z692" s="571"/>
    </row>
    <row r="693" spans="1:26" ht="18.75">
      <c r="A693" s="567"/>
      <c r="B693" s="568"/>
      <c r="C693" s="754"/>
      <c r="D693" s="754"/>
      <c r="E693" s="754"/>
      <c r="F693" s="754" t="s">
        <v>188</v>
      </c>
      <c r="G693" s="189"/>
      <c r="H693" s="161" t="s">
        <v>12</v>
      </c>
      <c r="I693" s="269"/>
      <c r="J693" s="269"/>
      <c r="K693" s="496"/>
      <c r="L693" s="496"/>
      <c r="M693" s="496"/>
      <c r="N693" s="817">
        <v>0</v>
      </c>
      <c r="O693" s="496"/>
      <c r="P693" s="496"/>
      <c r="Q693" s="571"/>
      <c r="R693" s="571"/>
      <c r="S693" s="571"/>
      <c r="T693" s="571"/>
      <c r="U693" s="571"/>
      <c r="V693" s="571"/>
      <c r="W693" s="571"/>
      <c r="X693" s="571"/>
      <c r="Y693" s="571"/>
      <c r="Z693" s="571"/>
    </row>
    <row r="694" spans="1:26" ht="18.75">
      <c r="A694" s="567"/>
      <c r="B694" s="568"/>
      <c r="C694" s="754"/>
      <c r="D694" s="754"/>
      <c r="E694" s="754"/>
      <c r="F694" s="754" t="s">
        <v>189</v>
      </c>
      <c r="G694" s="189"/>
      <c r="H694" s="161" t="s">
        <v>12</v>
      </c>
      <c r="I694" s="269"/>
      <c r="J694" s="269"/>
      <c r="K694" s="496"/>
      <c r="L694" s="496"/>
      <c r="M694" s="496"/>
      <c r="N694" s="817">
        <v>0</v>
      </c>
      <c r="O694" s="496"/>
      <c r="P694" s="496"/>
      <c r="Q694" s="571"/>
      <c r="R694" s="571"/>
      <c r="S694" s="571"/>
      <c r="T694" s="571"/>
      <c r="U694" s="571"/>
      <c r="V694" s="571"/>
      <c r="W694" s="571"/>
      <c r="X694" s="571"/>
      <c r="Y694" s="571"/>
      <c r="Z694" s="571"/>
    </row>
    <row r="695" spans="1:26" ht="18.75">
      <c r="A695" s="590"/>
      <c r="B695" s="568"/>
      <c r="C695" s="754"/>
      <c r="D695" s="599" t="s">
        <v>21</v>
      </c>
      <c r="E695" s="754"/>
      <c r="F695" s="754"/>
      <c r="G695" s="189"/>
      <c r="H695" s="168" t="s">
        <v>12</v>
      </c>
      <c r="I695" s="184"/>
      <c r="J695" s="184"/>
      <c r="K695" s="163"/>
      <c r="L695" s="496">
        <f t="shared" ref="L695:N695" si="287">L696+L697</f>
        <v>0</v>
      </c>
      <c r="M695" s="496">
        <f t="shared" si="287"/>
        <v>0</v>
      </c>
      <c r="N695" s="496">
        <f t="shared" si="287"/>
        <v>0</v>
      </c>
      <c r="O695" s="496">
        <f t="shared" ref="O695:O697" si="288">IF(L695&gt;0,N695*100/L695,0)</f>
        <v>0</v>
      </c>
      <c r="P695" s="496">
        <f t="shared" ref="P695:P697" si="289">IF(M695&gt;0,N695*100/M695,0)</f>
        <v>0</v>
      </c>
      <c r="Q695" s="571"/>
      <c r="R695" s="571"/>
      <c r="S695" s="571"/>
      <c r="T695" s="571"/>
      <c r="U695" s="571"/>
      <c r="V695" s="571"/>
      <c r="W695" s="571"/>
      <c r="X695" s="571"/>
      <c r="Y695" s="571"/>
      <c r="Z695" s="571"/>
    </row>
    <row r="696" spans="1:26" ht="18.75" hidden="1">
      <c r="A696" s="592"/>
      <c r="B696" s="600"/>
      <c r="C696" s="750"/>
      <c r="D696" s="750"/>
      <c r="E696" s="750" t="s">
        <v>18</v>
      </c>
      <c r="F696" s="750"/>
      <c r="G696" s="596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597"/>
      <c r="R696" s="597"/>
      <c r="S696" s="597"/>
      <c r="T696" s="597"/>
      <c r="U696" s="597"/>
      <c r="V696" s="597"/>
      <c r="W696" s="597"/>
      <c r="X696" s="597"/>
      <c r="Y696" s="597"/>
      <c r="Z696" s="597"/>
    </row>
    <row r="697" spans="1:26" ht="18.75" hidden="1">
      <c r="A697" s="592"/>
      <c r="B697" s="600"/>
      <c r="C697" s="750"/>
      <c r="D697" s="750"/>
      <c r="E697" s="750" t="s">
        <v>19</v>
      </c>
      <c r="F697" s="750"/>
      <c r="G697" s="596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597"/>
      <c r="R697" s="597"/>
      <c r="S697" s="597"/>
      <c r="T697" s="597"/>
      <c r="U697" s="597"/>
      <c r="V697" s="597"/>
      <c r="W697" s="597"/>
      <c r="X697" s="597"/>
      <c r="Y697" s="597"/>
      <c r="Z697" s="597"/>
    </row>
    <row r="698" spans="1:26" ht="19.5">
      <c r="A698" s="601"/>
      <c r="B698" s="611"/>
      <c r="C698" s="754" t="s">
        <v>16</v>
      </c>
      <c r="D698" s="840" t="s">
        <v>38</v>
      </c>
      <c r="E698" s="752"/>
      <c r="F698" s="752"/>
      <c r="G698" s="606"/>
      <c r="H698" s="753"/>
      <c r="I698" s="184"/>
      <c r="J698" s="184"/>
      <c r="K698" s="163"/>
      <c r="L698" s="163"/>
      <c r="M698" s="163"/>
      <c r="N698" s="163"/>
      <c r="O698" s="163"/>
      <c r="P698" s="163"/>
      <c r="Q698" s="571"/>
      <c r="R698" s="571"/>
      <c r="S698" s="571"/>
      <c r="T698" s="571"/>
      <c r="U698" s="571"/>
      <c r="V698" s="571"/>
      <c r="W698" s="571"/>
      <c r="X698" s="571"/>
      <c r="Y698" s="571"/>
      <c r="Z698" s="571"/>
    </row>
    <row r="699" spans="1:26" ht="18.75">
      <c r="A699" s="735"/>
      <c r="B699" s="754"/>
      <c r="C699" s="754"/>
      <c r="D699" s="754" t="s">
        <v>294</v>
      </c>
      <c r="E699" s="754"/>
      <c r="F699" s="754"/>
      <c r="G699" s="189"/>
      <c r="H699" s="755" t="s">
        <v>46</v>
      </c>
      <c r="I699" s="756">
        <f ca="1">IFERROR(__xludf.DUMMYFUNCTION("IMPORTRANGE(""https://docs.google.com/spreadsheets/d/1QqKyyYR6Q21VydFLVH3TRQUabQu_ym0Zz7PgGX0-kHA/edit?usp=sharing"",""แผน!IC55"")"),0)</f>
        <v>0</v>
      </c>
      <c r="J699" s="269">
        <f ca="1">IFERROR(__xludf.DUMMYFUNCTION("IMPORTRANGE(""https://docs.google.com/spreadsheets/d/1XWAQStnk-4SwqDmLtmXYiTMKHgktTP8We1SCoS47DrQ/edit?usp=sharing"",""จัดที่ดิน!BB55"")"),0)</f>
        <v>0</v>
      </c>
      <c r="K699" s="496">
        <f t="shared" ref="K699:K701" ca="1" si="290">IF(I699&gt;0,J699*100/I699,0)</f>
        <v>0</v>
      </c>
      <c r="L699" s="496"/>
      <c r="M699" s="189"/>
      <c r="N699" s="757"/>
      <c r="O699" s="496"/>
      <c r="P699" s="496"/>
      <c r="Q699" s="571"/>
      <c r="R699" s="571"/>
      <c r="S699" s="571"/>
      <c r="T699" s="571"/>
      <c r="U699" s="571"/>
      <c r="V699" s="571"/>
      <c r="W699" s="571"/>
      <c r="X699" s="571"/>
      <c r="Y699" s="571"/>
      <c r="Z699" s="571"/>
    </row>
    <row r="700" spans="1:26" ht="18.75">
      <c r="A700" s="735"/>
      <c r="B700" s="754"/>
      <c r="C700" s="754"/>
      <c r="D700" s="754" t="s">
        <v>295</v>
      </c>
      <c r="E700" s="754"/>
      <c r="F700" s="754"/>
      <c r="G700" s="189"/>
      <c r="H700" s="755" t="s">
        <v>35</v>
      </c>
      <c r="I700" s="756">
        <f ca="1">IFERROR(__xludf.DUMMYFUNCTION("IMPORTRANGE(""https://docs.google.com/spreadsheets/d/1QqKyyYR6Q21VydFLVH3TRQUabQu_ym0Zz7PgGX0-kHA/edit?usp=sharing"",""แผน!ID55"")"),0)</f>
        <v>0</v>
      </c>
      <c r="J700" s="269">
        <f ca="1">IFERROR(__xludf.DUMMYFUNCTION("IMPORTRANGE(""https://docs.google.com/spreadsheets/d/1XWAQStnk-4SwqDmLtmXYiTMKHgktTP8We1SCoS47DrQ/edit?usp=sharing"",""จัดที่ดิน!BD55"")"),0)</f>
        <v>0</v>
      </c>
      <c r="K700" s="496">
        <f t="shared" ca="1" si="290"/>
        <v>0</v>
      </c>
      <c r="L700" s="496"/>
      <c r="M700" s="189"/>
      <c r="N700" s="757"/>
      <c r="O700" s="496"/>
      <c r="P700" s="496"/>
      <c r="Q700" s="571"/>
      <c r="R700" s="571"/>
      <c r="S700" s="571"/>
      <c r="T700" s="571"/>
      <c r="U700" s="571"/>
      <c r="V700" s="571"/>
      <c r="W700" s="571"/>
      <c r="X700" s="571"/>
      <c r="Y700" s="571"/>
      <c r="Z700" s="571"/>
    </row>
    <row r="701" spans="1:26" ht="19.5">
      <c r="A701" s="735"/>
      <c r="B701" s="754"/>
      <c r="C701" s="754"/>
      <c r="D701" s="754" t="s">
        <v>296</v>
      </c>
      <c r="E701" s="754"/>
      <c r="F701" s="754"/>
      <c r="G701" s="189"/>
      <c r="H701" s="758" t="s">
        <v>46</v>
      </c>
      <c r="I701" s="759">
        <f ca="1">IFERROR(__xludf.DUMMYFUNCTION("IMPORTRANGE(""https://docs.google.com/spreadsheets/d/1QqKyyYR6Q21VydFLVH3TRQUabQu_ym0Zz7PgGX0-kHA/edit?usp=sharing"",""แผน!IE55"")"),300)</f>
        <v>300</v>
      </c>
      <c r="J701" s="674">
        <f>J704+J707</f>
        <v>0</v>
      </c>
      <c r="K701" s="195">
        <f t="shared" ca="1" si="290"/>
        <v>0</v>
      </c>
      <c r="L701" s="496"/>
      <c r="M701" s="189"/>
      <c r="N701" s="757"/>
      <c r="O701" s="496"/>
      <c r="P701" s="496"/>
      <c r="Q701" s="571"/>
      <c r="R701" s="571"/>
      <c r="S701" s="571"/>
      <c r="T701" s="571"/>
      <c r="U701" s="571"/>
      <c r="V701" s="571"/>
      <c r="W701" s="571"/>
      <c r="X701" s="571"/>
      <c r="Y701" s="571"/>
      <c r="Z701" s="571"/>
    </row>
    <row r="702" spans="1:26" ht="18.75">
      <c r="A702" s="735"/>
      <c r="B702" s="754"/>
      <c r="C702" s="754"/>
      <c r="D702" s="754"/>
      <c r="E702" s="754" t="s">
        <v>297</v>
      </c>
      <c r="F702" s="754"/>
      <c r="G702" s="189"/>
      <c r="H702" s="755" t="s">
        <v>35</v>
      </c>
      <c r="I702" s="756"/>
      <c r="J702" s="214">
        <v>0</v>
      </c>
      <c r="K702" s="496"/>
      <c r="L702" s="496"/>
      <c r="M702" s="189"/>
      <c r="N702" s="757"/>
      <c r="O702" s="496"/>
      <c r="P702" s="496"/>
      <c r="Q702" s="571"/>
      <c r="R702" s="571"/>
      <c r="S702" s="571"/>
      <c r="T702" s="571"/>
      <c r="U702" s="571"/>
      <c r="V702" s="571"/>
      <c r="W702" s="571"/>
      <c r="X702" s="571"/>
      <c r="Y702" s="571"/>
      <c r="Z702" s="571"/>
    </row>
    <row r="703" spans="1:26" ht="18.75">
      <c r="A703" s="735"/>
      <c r="B703" s="754"/>
      <c r="C703" s="754"/>
      <c r="D703" s="754"/>
      <c r="E703" s="754"/>
      <c r="F703" s="754"/>
      <c r="G703" s="189"/>
      <c r="H703" s="755" t="s">
        <v>34</v>
      </c>
      <c r="I703" s="756"/>
      <c r="J703" s="214">
        <v>0</v>
      </c>
      <c r="K703" s="496"/>
      <c r="L703" s="496"/>
      <c r="M703" s="189"/>
      <c r="N703" s="757"/>
      <c r="O703" s="496"/>
      <c r="P703" s="496"/>
      <c r="Q703" s="571"/>
      <c r="R703" s="571"/>
      <c r="S703" s="571"/>
      <c r="T703" s="571"/>
      <c r="U703" s="571"/>
      <c r="V703" s="571"/>
      <c r="W703" s="571"/>
      <c r="X703" s="571"/>
      <c r="Y703" s="571"/>
      <c r="Z703" s="571"/>
    </row>
    <row r="704" spans="1:26" ht="18.75">
      <c r="A704" s="735"/>
      <c r="B704" s="754"/>
      <c r="C704" s="754"/>
      <c r="D704" s="754"/>
      <c r="E704" s="754"/>
      <c r="F704" s="754"/>
      <c r="G704" s="189"/>
      <c r="H704" s="755" t="s">
        <v>46</v>
      </c>
      <c r="I704" s="756">
        <f ca="1">IFERROR(__xludf.DUMMYFUNCTION("IMPORTRANGE(""https://docs.google.com/spreadsheets/d/1QqKyyYR6Q21VydFLVH3TRQUabQu_ym0Zz7PgGX0-kHA/edit?usp=sharing"",""แผน!IF55"")"),300)</f>
        <v>300</v>
      </c>
      <c r="J704" s="214">
        <v>0</v>
      </c>
      <c r="K704" s="496"/>
      <c r="L704" s="496"/>
      <c r="M704" s="189"/>
      <c r="N704" s="757"/>
      <c r="O704" s="496"/>
      <c r="P704" s="496"/>
      <c r="Q704" s="571"/>
      <c r="R704" s="571"/>
      <c r="S704" s="571"/>
      <c r="T704" s="571"/>
      <c r="U704" s="571"/>
      <c r="V704" s="571"/>
      <c r="W704" s="571"/>
      <c r="X704" s="571"/>
      <c r="Y704" s="571"/>
      <c r="Z704" s="571"/>
    </row>
    <row r="705" spans="1:26" ht="18.75">
      <c r="A705" s="735"/>
      <c r="B705" s="754"/>
      <c r="C705" s="754"/>
      <c r="D705" s="754"/>
      <c r="E705" s="754" t="s">
        <v>298</v>
      </c>
      <c r="F705" s="754"/>
      <c r="G705" s="189"/>
      <c r="H705" s="755" t="s">
        <v>35</v>
      </c>
      <c r="I705" s="756"/>
      <c r="J705" s="214">
        <v>0</v>
      </c>
      <c r="K705" s="496"/>
      <c r="L705" s="496"/>
      <c r="M705" s="189"/>
      <c r="N705" s="757"/>
      <c r="O705" s="496"/>
      <c r="P705" s="496"/>
      <c r="Q705" s="571"/>
      <c r="R705" s="571"/>
      <c r="S705" s="571"/>
      <c r="T705" s="571"/>
      <c r="U705" s="571"/>
      <c r="V705" s="571"/>
      <c r="W705" s="571"/>
      <c r="X705" s="571"/>
      <c r="Y705" s="571"/>
      <c r="Z705" s="571"/>
    </row>
    <row r="706" spans="1:26" ht="18.75">
      <c r="A706" s="735"/>
      <c r="B706" s="754"/>
      <c r="C706" s="754"/>
      <c r="D706" s="754"/>
      <c r="E706" s="754"/>
      <c r="F706" s="754"/>
      <c r="G706" s="189"/>
      <c r="H706" s="755" t="s">
        <v>34</v>
      </c>
      <c r="I706" s="756"/>
      <c r="J706" s="214">
        <v>0</v>
      </c>
      <c r="K706" s="496"/>
      <c r="L706" s="496"/>
      <c r="M706" s="189"/>
      <c r="N706" s="757"/>
      <c r="O706" s="496"/>
      <c r="P706" s="496"/>
      <c r="Q706" s="571"/>
      <c r="R706" s="571"/>
      <c r="S706" s="571"/>
      <c r="T706" s="571"/>
      <c r="U706" s="571"/>
      <c r="V706" s="571"/>
      <c r="W706" s="571"/>
      <c r="X706" s="571"/>
      <c r="Y706" s="571"/>
      <c r="Z706" s="571"/>
    </row>
    <row r="707" spans="1:26" ht="18.75">
      <c r="A707" s="735"/>
      <c r="B707" s="754"/>
      <c r="C707" s="754"/>
      <c r="D707" s="754"/>
      <c r="E707" s="754"/>
      <c r="F707" s="754"/>
      <c r="G707" s="189"/>
      <c r="H707" s="755" t="s">
        <v>46</v>
      </c>
      <c r="I707" s="756">
        <f ca="1">IFERROR(__xludf.DUMMYFUNCTION("IMPORTRANGE(""https://docs.google.com/spreadsheets/d/1QqKyyYR6Q21VydFLVH3TRQUabQu_ym0Zz7PgGX0-kHA/edit?usp=sharing"",""แผน!IG55"")"),0)</f>
        <v>0</v>
      </c>
      <c r="J707" s="214">
        <v>0</v>
      </c>
      <c r="K707" s="496"/>
      <c r="L707" s="496"/>
      <c r="M707" s="189"/>
      <c r="N707" s="757"/>
      <c r="O707" s="496"/>
      <c r="P707" s="496"/>
      <c r="Q707" s="571"/>
      <c r="R707" s="571"/>
      <c r="S707" s="571"/>
      <c r="T707" s="571"/>
      <c r="U707" s="571"/>
      <c r="V707" s="571"/>
      <c r="W707" s="571"/>
      <c r="X707" s="571"/>
      <c r="Y707" s="571"/>
      <c r="Z707" s="571"/>
    </row>
    <row r="708" spans="1:26" ht="19.5">
      <c r="A708" s="735"/>
      <c r="B708" s="754"/>
      <c r="C708" s="754"/>
      <c r="D708" s="760" t="s">
        <v>299</v>
      </c>
      <c r="E708" s="754"/>
      <c r="F708" s="754"/>
      <c r="G708" s="189"/>
      <c r="H708" s="758" t="s">
        <v>46</v>
      </c>
      <c r="I708" s="759">
        <f ca="1">IFERROR(__xludf.DUMMYFUNCTION("IMPORTRANGE(""https://docs.google.com/spreadsheets/d/1QqKyyYR6Q21VydFLVH3TRQUabQu_ym0Zz7PgGX0-kHA/edit?usp=sharing"",""แผน!IH55"")"),150)</f>
        <v>150</v>
      </c>
      <c r="J708" s="674">
        <f>J714+J717</f>
        <v>0</v>
      </c>
      <c r="K708" s="195">
        <f ca="1">IF(I708&gt;0,J708*100/I708,0)</f>
        <v>0</v>
      </c>
      <c r="L708" s="496"/>
      <c r="M708" s="189"/>
      <c r="N708" s="757"/>
      <c r="O708" s="496"/>
      <c r="P708" s="496"/>
      <c r="Q708" s="571"/>
      <c r="R708" s="571"/>
      <c r="S708" s="571"/>
      <c r="T708" s="571"/>
      <c r="U708" s="571"/>
      <c r="V708" s="571"/>
      <c r="W708" s="571"/>
      <c r="X708" s="571"/>
      <c r="Y708" s="571"/>
      <c r="Z708" s="571"/>
    </row>
    <row r="709" spans="1:26" ht="18.75">
      <c r="A709" s="735"/>
      <c r="B709" s="754"/>
      <c r="C709" s="754"/>
      <c r="D709" s="754"/>
      <c r="E709" s="754" t="s">
        <v>300</v>
      </c>
      <c r="F709" s="754"/>
      <c r="G709" s="189"/>
      <c r="H709" s="755" t="s">
        <v>34</v>
      </c>
      <c r="I709" s="756"/>
      <c r="J709" s="214">
        <v>0</v>
      </c>
      <c r="K709" s="496"/>
      <c r="L709" s="757"/>
      <c r="M709" s="189"/>
      <c r="N709" s="757"/>
      <c r="O709" s="496"/>
      <c r="P709" s="496"/>
      <c r="Q709" s="571"/>
      <c r="R709" s="571"/>
      <c r="S709" s="571"/>
      <c r="T709" s="571"/>
      <c r="U709" s="571"/>
      <c r="V709" s="571"/>
      <c r="W709" s="571"/>
      <c r="X709" s="571"/>
      <c r="Y709" s="571"/>
      <c r="Z709" s="571"/>
    </row>
    <row r="710" spans="1:26" ht="18.75">
      <c r="A710" s="735"/>
      <c r="B710" s="754"/>
      <c r="C710" s="754"/>
      <c r="D710" s="754"/>
      <c r="E710" s="754"/>
      <c r="F710" s="754"/>
      <c r="G710" s="189"/>
      <c r="H710" s="755" t="s">
        <v>46</v>
      </c>
      <c r="I710" s="756"/>
      <c r="J710" s="214">
        <v>0</v>
      </c>
      <c r="K710" s="496"/>
      <c r="L710" s="757"/>
      <c r="M710" s="189"/>
      <c r="N710" s="757"/>
      <c r="O710" s="496"/>
      <c r="P710" s="496"/>
      <c r="Q710" s="571"/>
      <c r="R710" s="571"/>
      <c r="S710" s="571"/>
      <c r="T710" s="571"/>
      <c r="U710" s="571"/>
      <c r="V710" s="571"/>
      <c r="W710" s="571"/>
      <c r="X710" s="571"/>
      <c r="Y710" s="571"/>
      <c r="Z710" s="571"/>
    </row>
    <row r="711" spans="1:26" ht="18.75">
      <c r="A711" s="735"/>
      <c r="B711" s="754"/>
      <c r="C711" s="754"/>
      <c r="D711" s="754"/>
      <c r="E711" s="754" t="s">
        <v>301</v>
      </c>
      <c r="F711" s="754"/>
      <c r="G711" s="189"/>
      <c r="H711" s="753"/>
      <c r="I711" s="756"/>
      <c r="J711" s="269"/>
      <c r="K711" s="496"/>
      <c r="L711" s="757"/>
      <c r="M711" s="189"/>
      <c r="N711" s="757"/>
      <c r="O711" s="496"/>
      <c r="P711" s="496"/>
      <c r="Q711" s="571"/>
      <c r="R711" s="571"/>
      <c r="S711" s="571"/>
      <c r="T711" s="571"/>
      <c r="U711" s="571"/>
      <c r="V711" s="571"/>
      <c r="W711" s="571"/>
      <c r="X711" s="571"/>
      <c r="Y711" s="571"/>
      <c r="Z711" s="571"/>
    </row>
    <row r="712" spans="1:26" ht="18.75">
      <c r="A712" s="735"/>
      <c r="B712" s="754"/>
      <c r="C712" s="754"/>
      <c r="D712" s="754"/>
      <c r="E712" s="754"/>
      <c r="F712" s="754" t="s">
        <v>302</v>
      </c>
      <c r="G712" s="189"/>
      <c r="H712" s="755" t="s">
        <v>35</v>
      </c>
      <c r="I712" s="756"/>
      <c r="J712" s="214">
        <v>0</v>
      </c>
      <c r="K712" s="496"/>
      <c r="L712" s="757"/>
      <c r="M712" s="189"/>
      <c r="N712" s="757"/>
      <c r="O712" s="496"/>
      <c r="P712" s="496"/>
      <c r="Q712" s="571"/>
      <c r="R712" s="571"/>
      <c r="S712" s="571"/>
      <c r="T712" s="571"/>
      <c r="U712" s="571"/>
      <c r="V712" s="571"/>
      <c r="W712" s="571"/>
      <c r="X712" s="571"/>
      <c r="Y712" s="571"/>
      <c r="Z712" s="571"/>
    </row>
    <row r="713" spans="1:26" ht="18.75">
      <c r="A713" s="735"/>
      <c r="B713" s="754"/>
      <c r="C713" s="754"/>
      <c r="D713" s="754"/>
      <c r="E713" s="754"/>
      <c r="F713" s="754"/>
      <c r="G713" s="189"/>
      <c r="H713" s="755" t="s">
        <v>34</v>
      </c>
      <c r="I713" s="756"/>
      <c r="J713" s="214">
        <v>0</v>
      </c>
      <c r="K713" s="496"/>
      <c r="L713" s="757"/>
      <c r="M713" s="189"/>
      <c r="N713" s="757"/>
      <c r="O713" s="496"/>
      <c r="P713" s="496"/>
      <c r="Q713" s="571"/>
      <c r="R713" s="571"/>
      <c r="S713" s="571"/>
      <c r="T713" s="571"/>
      <c r="U713" s="571"/>
      <c r="V713" s="571"/>
      <c r="W713" s="571"/>
      <c r="X713" s="571"/>
      <c r="Y713" s="571"/>
      <c r="Z713" s="571"/>
    </row>
    <row r="714" spans="1:26" ht="18.75">
      <c r="A714" s="735"/>
      <c r="B714" s="754"/>
      <c r="C714" s="754"/>
      <c r="D714" s="754"/>
      <c r="E714" s="754"/>
      <c r="F714" s="754"/>
      <c r="G714" s="189"/>
      <c r="H714" s="755" t="s">
        <v>46</v>
      </c>
      <c r="I714" s="756"/>
      <c r="J714" s="214">
        <v>0</v>
      </c>
      <c r="K714" s="496"/>
      <c r="L714" s="757"/>
      <c r="M714" s="189"/>
      <c r="N714" s="757"/>
      <c r="O714" s="496"/>
      <c r="P714" s="496"/>
      <c r="Q714" s="571"/>
      <c r="R714" s="571"/>
      <c r="S714" s="571"/>
      <c r="T714" s="571"/>
      <c r="U714" s="571"/>
      <c r="V714" s="571"/>
      <c r="W714" s="571"/>
      <c r="X714" s="571"/>
      <c r="Y714" s="571"/>
      <c r="Z714" s="571"/>
    </row>
    <row r="715" spans="1:26" ht="18.75">
      <c r="A715" s="735"/>
      <c r="B715" s="754"/>
      <c r="C715" s="754"/>
      <c r="D715" s="754"/>
      <c r="E715" s="754"/>
      <c r="F715" s="754" t="s">
        <v>303</v>
      </c>
      <c r="G715" s="189"/>
      <c r="H715" s="755" t="s">
        <v>35</v>
      </c>
      <c r="I715" s="756"/>
      <c r="J715" s="214">
        <v>0</v>
      </c>
      <c r="K715" s="496"/>
      <c r="L715" s="757"/>
      <c r="M715" s="189"/>
      <c r="N715" s="757"/>
      <c r="O715" s="496"/>
      <c r="P715" s="496"/>
      <c r="Q715" s="571"/>
      <c r="R715" s="571"/>
      <c r="S715" s="571"/>
      <c r="T715" s="571"/>
      <c r="U715" s="571"/>
      <c r="V715" s="571"/>
      <c r="W715" s="571"/>
      <c r="X715" s="571"/>
      <c r="Y715" s="571"/>
      <c r="Z715" s="571"/>
    </row>
    <row r="716" spans="1:26" ht="18.75">
      <c r="A716" s="735"/>
      <c r="B716" s="754"/>
      <c r="C716" s="754"/>
      <c r="D716" s="754"/>
      <c r="E716" s="754"/>
      <c r="F716" s="754"/>
      <c r="G716" s="189"/>
      <c r="H716" s="755" t="s">
        <v>34</v>
      </c>
      <c r="I716" s="756"/>
      <c r="J716" s="214">
        <v>0</v>
      </c>
      <c r="K716" s="496"/>
      <c r="L716" s="757"/>
      <c r="M716" s="189"/>
      <c r="N716" s="757"/>
      <c r="O716" s="496"/>
      <c r="P716" s="496"/>
      <c r="Q716" s="571"/>
      <c r="R716" s="571"/>
      <c r="S716" s="571"/>
      <c r="T716" s="571"/>
      <c r="U716" s="571"/>
      <c r="V716" s="571"/>
      <c r="W716" s="571"/>
      <c r="X716" s="571"/>
      <c r="Y716" s="571"/>
      <c r="Z716" s="571"/>
    </row>
    <row r="717" spans="1:26" ht="18.75">
      <c r="A717" s="735"/>
      <c r="B717" s="754"/>
      <c r="C717" s="754"/>
      <c r="D717" s="754"/>
      <c r="E717" s="754"/>
      <c r="F717" s="754"/>
      <c r="G717" s="189"/>
      <c r="H717" s="755" t="s">
        <v>46</v>
      </c>
      <c r="I717" s="756"/>
      <c r="J717" s="214">
        <v>0</v>
      </c>
      <c r="K717" s="496"/>
      <c r="L717" s="757"/>
      <c r="M717" s="189"/>
      <c r="N717" s="757"/>
      <c r="O717" s="496"/>
      <c r="P717" s="496"/>
      <c r="Q717" s="571"/>
      <c r="R717" s="571"/>
      <c r="S717" s="571"/>
      <c r="T717" s="571"/>
      <c r="U717" s="571"/>
      <c r="V717" s="571"/>
      <c r="W717" s="571"/>
      <c r="X717" s="571"/>
      <c r="Y717" s="571"/>
      <c r="Z717" s="571"/>
    </row>
    <row r="718" spans="1:26" ht="18.75">
      <c r="A718" s="735"/>
      <c r="B718" s="754"/>
      <c r="C718" s="754"/>
      <c r="D718" s="754" t="s">
        <v>304</v>
      </c>
      <c r="E718" s="754"/>
      <c r="F718" s="754"/>
      <c r="G718" s="189"/>
      <c r="H718" s="755" t="s">
        <v>35</v>
      </c>
      <c r="I718" s="756"/>
      <c r="J718" s="269">
        <f ca="1">IFERROR(__xludf.DUMMYFUNCTION("IMPORTRANGE(""https://docs.google.com/spreadsheets/d/1XWAQStnk-4SwqDmLtmXYiTMKHgktTP8We1SCoS47DrQ/edit?usp=sharing"",""จัดที่ดิน!BF55"")"),0)</f>
        <v>0</v>
      </c>
      <c r="K718" s="496"/>
      <c r="L718" s="496"/>
      <c r="M718" s="189"/>
      <c r="N718" s="757"/>
      <c r="O718" s="496"/>
      <c r="P718" s="496"/>
      <c r="Q718" s="571"/>
      <c r="R718" s="571"/>
      <c r="S718" s="571"/>
      <c r="T718" s="571"/>
      <c r="U718" s="571"/>
      <c r="V718" s="571"/>
      <c r="W718" s="571"/>
      <c r="X718" s="571"/>
      <c r="Y718" s="571"/>
      <c r="Z718" s="571"/>
    </row>
    <row r="719" spans="1:26" ht="18.75">
      <c r="A719" s="735"/>
      <c r="B719" s="754"/>
      <c r="C719" s="754"/>
      <c r="D719" s="754"/>
      <c r="E719" s="754"/>
      <c r="F719" s="754"/>
      <c r="G719" s="189"/>
      <c r="H719" s="755" t="s">
        <v>34</v>
      </c>
      <c r="I719" s="756"/>
      <c r="J719" s="269">
        <f ca="1">IFERROR(__xludf.DUMMYFUNCTION("IMPORTRANGE(""https://docs.google.com/spreadsheets/d/1XWAQStnk-4SwqDmLtmXYiTMKHgktTP8We1SCoS47DrQ/edit?usp=sharing"",""จัดที่ดิน!BG55"")"),0)</f>
        <v>0</v>
      </c>
      <c r="K719" s="496"/>
      <c r="L719" s="757"/>
      <c r="M719" s="189"/>
      <c r="N719" s="757"/>
      <c r="O719" s="496"/>
      <c r="P719" s="496"/>
      <c r="Q719" s="571"/>
      <c r="R719" s="571"/>
      <c r="S719" s="571"/>
      <c r="T719" s="571"/>
      <c r="U719" s="571"/>
      <c r="V719" s="571"/>
      <c r="W719" s="571"/>
      <c r="X719" s="571"/>
      <c r="Y719" s="571"/>
      <c r="Z719" s="571"/>
    </row>
    <row r="720" spans="1:26" ht="18.75">
      <c r="A720" s="735"/>
      <c r="B720" s="754"/>
      <c r="C720" s="754"/>
      <c r="D720" s="754"/>
      <c r="E720" s="754"/>
      <c r="F720" s="754"/>
      <c r="G720" s="189"/>
      <c r="H720" s="755" t="s">
        <v>46</v>
      </c>
      <c r="I720" s="756">
        <f ca="1">IFERROR(__xludf.DUMMYFUNCTION("IMPORTRANGE(""https://docs.google.com/spreadsheets/d/1QqKyyYR6Q21VydFLVH3TRQUabQu_ym0Zz7PgGX0-kHA/edit?usp=sharing"",""แผน!II55"")"),80)</f>
        <v>80</v>
      </c>
      <c r="J720" s="269">
        <f ca="1">IFERROR(__xludf.DUMMYFUNCTION("IMPORTRANGE(""https://docs.google.com/spreadsheets/d/1XWAQStnk-4SwqDmLtmXYiTMKHgktTP8We1SCoS47DrQ/edit?usp=sharing"",""จัดที่ดิน!BH55"")"),0)</f>
        <v>0</v>
      </c>
      <c r="K720" s="496">
        <f t="shared" ref="K720:K723" ca="1" si="291">IF(I720&gt;0,J720*100/I720,0)</f>
        <v>0</v>
      </c>
      <c r="L720" s="757"/>
      <c r="M720" s="189"/>
      <c r="N720" s="757"/>
      <c r="O720" s="496"/>
      <c r="P720" s="496"/>
      <c r="Q720" s="571"/>
      <c r="R720" s="571"/>
      <c r="S720" s="571"/>
      <c r="T720" s="571"/>
      <c r="U720" s="571"/>
      <c r="V720" s="571"/>
      <c r="W720" s="571"/>
      <c r="X720" s="571"/>
      <c r="Y720" s="571"/>
      <c r="Z720" s="571"/>
    </row>
    <row r="721" spans="1:26" ht="19.5">
      <c r="A721" s="735"/>
      <c r="B721" s="754"/>
      <c r="C721" s="754"/>
      <c r="D721" s="754" t="s">
        <v>305</v>
      </c>
      <c r="E721" s="754"/>
      <c r="F721" s="754"/>
      <c r="G721" s="189"/>
      <c r="H721" s="758" t="s">
        <v>35</v>
      </c>
      <c r="I721" s="759">
        <f ca="1">IFERROR(__xludf.DUMMYFUNCTION("IMPORTRANGE(""https://docs.google.com/spreadsheets/d/1QqKyyYR6Q21VydFLVH3TRQUabQu_ym0Zz7PgGX0-kHA/edit?usp=sharing"",""แผน!IJ55"")"),35)</f>
        <v>35</v>
      </c>
      <c r="J721" s="674">
        <f ca="1">J723+J726</f>
        <v>0</v>
      </c>
      <c r="K721" s="195">
        <f t="shared" ca="1" si="291"/>
        <v>0</v>
      </c>
      <c r="L721" s="757"/>
      <c r="M721" s="189"/>
      <c r="N721" s="757"/>
      <c r="O721" s="496"/>
      <c r="P721" s="496"/>
      <c r="Q721" s="571"/>
      <c r="R721" s="571"/>
      <c r="S721" s="571"/>
      <c r="T721" s="571"/>
      <c r="U721" s="571"/>
      <c r="V721" s="571"/>
      <c r="W721" s="571"/>
      <c r="X721" s="571"/>
      <c r="Y721" s="571"/>
      <c r="Z721" s="571"/>
    </row>
    <row r="722" spans="1:26" ht="19.5">
      <c r="A722" s="735"/>
      <c r="B722" s="754"/>
      <c r="C722" s="754"/>
      <c r="D722" s="754"/>
      <c r="E722" s="754"/>
      <c r="F722" s="754"/>
      <c r="G722" s="189"/>
      <c r="H722" s="758" t="s">
        <v>46</v>
      </c>
      <c r="I722" s="759">
        <f ca="1">IFERROR(__xludf.DUMMYFUNCTION("IMPORTRANGE(""https://docs.google.com/spreadsheets/d/1QqKyyYR6Q21VydFLVH3TRQUabQu_ym0Zz7PgGX0-kHA/edit?usp=sharing"",""แผน!IK55"")"),350)</f>
        <v>350</v>
      </c>
      <c r="J722" s="674">
        <f ca="1">J725+J728</f>
        <v>0</v>
      </c>
      <c r="K722" s="195">
        <f t="shared" ca="1" si="291"/>
        <v>0</v>
      </c>
      <c r="L722" s="496"/>
      <c r="M722" s="189"/>
      <c r="N722" s="757"/>
      <c r="O722" s="496"/>
      <c r="P722" s="496"/>
      <c r="Q722" s="571"/>
      <c r="R722" s="571"/>
      <c r="S722" s="571"/>
      <c r="T722" s="571"/>
      <c r="U722" s="571"/>
      <c r="V722" s="571"/>
      <c r="W722" s="571"/>
      <c r="X722" s="571"/>
      <c r="Y722" s="571"/>
      <c r="Z722" s="571"/>
    </row>
    <row r="723" spans="1:26" ht="18.75">
      <c r="A723" s="735"/>
      <c r="B723" s="754"/>
      <c r="C723" s="754"/>
      <c r="D723" s="754"/>
      <c r="E723" s="754" t="s">
        <v>306</v>
      </c>
      <c r="F723" s="754"/>
      <c r="G723" s="189"/>
      <c r="H723" s="755" t="s">
        <v>35</v>
      </c>
      <c r="I723" s="756">
        <f ca="1">IFERROR(__xludf.DUMMYFUNCTION("IMPORTRANGE(""https://docs.google.com/spreadsheets/d/1QqKyyYR6Q21VydFLVH3TRQUabQu_ym0Zz7PgGX0-kHA/edit?usp=sharing"",""แผน!IL55"")"),30)</f>
        <v>30</v>
      </c>
      <c r="J723" s="269">
        <f ca="1">IFERROR(__xludf.DUMMYFUNCTION("IMPORTRANGE(""https://docs.google.com/spreadsheets/d/1XWAQStnk-4SwqDmLtmXYiTMKHgktTP8We1SCoS47DrQ/edit?usp=sharing"",""จัดที่ดิน!BM55"")"),0)</f>
        <v>0</v>
      </c>
      <c r="K723" s="496">
        <f t="shared" ca="1" si="291"/>
        <v>0</v>
      </c>
      <c r="L723" s="496"/>
      <c r="M723" s="189"/>
      <c r="N723" s="757"/>
      <c r="O723" s="496"/>
      <c r="P723" s="496"/>
      <c r="Q723" s="571"/>
      <c r="R723" s="571"/>
      <c r="S723" s="571"/>
      <c r="T723" s="571"/>
      <c r="U723" s="571"/>
      <c r="V723" s="571"/>
      <c r="W723" s="571"/>
      <c r="X723" s="571"/>
      <c r="Y723" s="571"/>
      <c r="Z723" s="571"/>
    </row>
    <row r="724" spans="1:26" ht="18.75">
      <c r="A724" s="735"/>
      <c r="B724" s="754"/>
      <c r="C724" s="754"/>
      <c r="D724" s="754"/>
      <c r="E724" s="754"/>
      <c r="F724" s="754"/>
      <c r="G724" s="189"/>
      <c r="H724" s="755" t="s">
        <v>34</v>
      </c>
      <c r="I724" s="756"/>
      <c r="J724" s="269">
        <f ca="1">IFERROR(__xludf.DUMMYFUNCTION("IMPORTRANGE(""https://docs.google.com/spreadsheets/d/1XWAQStnk-4SwqDmLtmXYiTMKHgktTP8We1SCoS47DrQ/edit?usp=sharing"",""จัดที่ดิน!BN55"")"),0)</f>
        <v>0</v>
      </c>
      <c r="K724" s="496"/>
      <c r="L724" s="757"/>
      <c r="M724" s="189"/>
      <c r="N724" s="757"/>
      <c r="O724" s="496"/>
      <c r="P724" s="496"/>
      <c r="Q724" s="571"/>
      <c r="R724" s="571"/>
      <c r="S724" s="571"/>
      <c r="T724" s="571"/>
      <c r="U724" s="571"/>
      <c r="V724" s="571"/>
      <c r="W724" s="571"/>
      <c r="X724" s="571"/>
      <c r="Y724" s="571"/>
      <c r="Z724" s="571"/>
    </row>
    <row r="725" spans="1:26" ht="18.75">
      <c r="A725" s="735"/>
      <c r="B725" s="754"/>
      <c r="C725" s="754"/>
      <c r="D725" s="754"/>
      <c r="E725" s="754"/>
      <c r="F725" s="754"/>
      <c r="G725" s="189"/>
      <c r="H725" s="755" t="s">
        <v>46</v>
      </c>
      <c r="I725" s="756">
        <f ca="1">IFERROR(__xludf.DUMMYFUNCTION("IMPORTRANGE(""https://docs.google.com/spreadsheets/d/1QqKyyYR6Q21VydFLVH3TRQUabQu_ym0Zz7PgGX0-kHA/edit?usp=sharing"",""แผน!IM55"")"),300)</f>
        <v>300</v>
      </c>
      <c r="J725" s="269">
        <f ca="1">IFERROR(__xludf.DUMMYFUNCTION("IMPORTRANGE(""https://docs.google.com/spreadsheets/d/1XWAQStnk-4SwqDmLtmXYiTMKHgktTP8We1SCoS47DrQ/edit?usp=sharing"",""จัดที่ดิน!BO55"")"),0)</f>
        <v>0</v>
      </c>
      <c r="K725" s="496">
        <f t="shared" ref="K725:K726" ca="1" si="292">IF(I725&gt;0,J725*100/I725,0)</f>
        <v>0</v>
      </c>
      <c r="L725" s="757"/>
      <c r="M725" s="189"/>
      <c r="N725" s="757"/>
      <c r="O725" s="496"/>
      <c r="P725" s="496"/>
      <c r="Q725" s="571"/>
      <c r="R725" s="571"/>
      <c r="S725" s="571"/>
      <c r="T725" s="571"/>
      <c r="U725" s="571"/>
      <c r="V725" s="571"/>
      <c r="W725" s="571"/>
      <c r="X725" s="571"/>
      <c r="Y725" s="571"/>
      <c r="Z725" s="571"/>
    </row>
    <row r="726" spans="1:26" ht="18.75">
      <c r="A726" s="735"/>
      <c r="B726" s="754"/>
      <c r="C726" s="754"/>
      <c r="D726" s="754"/>
      <c r="E726" s="754" t="s">
        <v>307</v>
      </c>
      <c r="F726" s="754"/>
      <c r="G726" s="189"/>
      <c r="H726" s="755" t="s">
        <v>35</v>
      </c>
      <c r="I726" s="756">
        <f ca="1">IFERROR(__xludf.DUMMYFUNCTION("IMPORTRANGE(""https://docs.google.com/spreadsheets/d/1QqKyyYR6Q21VydFLVH3TRQUabQu_ym0Zz7PgGX0-kHA/edit?usp=sharing"",""แผน!IN55"")"),5)</f>
        <v>5</v>
      </c>
      <c r="J726" s="269">
        <f ca="1">IFERROR(__xludf.DUMMYFUNCTION("IMPORTRANGE(""https://docs.google.com/spreadsheets/d/1XWAQStnk-4SwqDmLtmXYiTMKHgktTP8We1SCoS47DrQ/edit?usp=sharing"",""จัดที่ดิน!BR55"")"),0)</f>
        <v>0</v>
      </c>
      <c r="K726" s="496">
        <f t="shared" ca="1" si="292"/>
        <v>0</v>
      </c>
      <c r="L726" s="496"/>
      <c r="M726" s="189"/>
      <c r="N726" s="757"/>
      <c r="O726" s="496"/>
      <c r="P726" s="496"/>
      <c r="Q726" s="571"/>
      <c r="R726" s="571"/>
      <c r="S726" s="571"/>
      <c r="T726" s="571"/>
      <c r="U726" s="571"/>
      <c r="V726" s="571"/>
      <c r="W726" s="571"/>
      <c r="X726" s="571"/>
      <c r="Y726" s="571"/>
      <c r="Z726" s="571"/>
    </row>
    <row r="727" spans="1:26" ht="18.75">
      <c r="A727" s="735"/>
      <c r="B727" s="754"/>
      <c r="C727" s="754"/>
      <c r="D727" s="754"/>
      <c r="E727" s="754"/>
      <c r="F727" s="754"/>
      <c r="G727" s="189"/>
      <c r="H727" s="755" t="s">
        <v>34</v>
      </c>
      <c r="I727" s="756"/>
      <c r="J727" s="269">
        <f ca="1">IFERROR(__xludf.DUMMYFUNCTION("IMPORTRANGE(""https://docs.google.com/spreadsheets/d/1XWAQStnk-4SwqDmLtmXYiTMKHgktTP8We1SCoS47DrQ/edit?usp=sharing"",""จัดที่ดิน!BS55"")"),0)</f>
        <v>0</v>
      </c>
      <c r="K727" s="496"/>
      <c r="L727" s="757"/>
      <c r="M727" s="189"/>
      <c r="N727" s="757"/>
      <c r="O727" s="496"/>
      <c r="P727" s="496"/>
      <c r="Q727" s="571"/>
      <c r="R727" s="571"/>
      <c r="S727" s="571"/>
      <c r="T727" s="571"/>
      <c r="U727" s="571"/>
      <c r="V727" s="571"/>
      <c r="W727" s="571"/>
      <c r="X727" s="571"/>
      <c r="Y727" s="571"/>
      <c r="Z727" s="571"/>
    </row>
    <row r="728" spans="1:26" ht="18.75">
      <c r="A728" s="735"/>
      <c r="B728" s="754"/>
      <c r="C728" s="754"/>
      <c r="D728" s="754"/>
      <c r="E728" s="754"/>
      <c r="F728" s="754"/>
      <c r="G728" s="189"/>
      <c r="H728" s="755" t="s">
        <v>46</v>
      </c>
      <c r="I728" s="756">
        <f ca="1">IFERROR(__xludf.DUMMYFUNCTION("IMPORTRANGE(""https://docs.google.com/spreadsheets/d/1QqKyyYR6Q21VydFLVH3TRQUabQu_ym0Zz7PgGX0-kHA/edit?usp=sharing"",""แผน!IO55"")"),50)</f>
        <v>50</v>
      </c>
      <c r="J728" s="269">
        <f ca="1">IFERROR(__xludf.DUMMYFUNCTION("IMPORTRANGE(""https://docs.google.com/spreadsheets/d/1XWAQStnk-4SwqDmLtmXYiTMKHgktTP8We1SCoS47DrQ/edit?usp=sharing"",""จัดที่ดิน!BT55"")"),0)</f>
        <v>0</v>
      </c>
      <c r="K728" s="496">
        <f t="shared" ref="K728:K729" ca="1" si="293">IF(I728&gt;0,J728*100/I728,0)</f>
        <v>0</v>
      </c>
      <c r="L728" s="757"/>
      <c r="M728" s="189"/>
      <c r="N728" s="757"/>
      <c r="O728" s="496"/>
      <c r="P728" s="496"/>
      <c r="Q728" s="571"/>
      <c r="R728" s="571"/>
      <c r="S728" s="571"/>
      <c r="T728" s="571"/>
      <c r="U728" s="571"/>
      <c r="V728" s="571"/>
      <c r="W728" s="571"/>
      <c r="X728" s="571"/>
      <c r="Y728" s="571"/>
      <c r="Z728" s="571"/>
    </row>
    <row r="729" spans="1:26" ht="19.5">
      <c r="A729" s="735"/>
      <c r="B729" s="754"/>
      <c r="C729" s="754"/>
      <c r="D729" s="754" t="s">
        <v>308</v>
      </c>
      <c r="E729" s="754"/>
      <c r="F729" s="754"/>
      <c r="G729" s="189"/>
      <c r="H729" s="758" t="s">
        <v>46</v>
      </c>
      <c r="I729" s="759">
        <f ca="1">IFERROR(__xludf.DUMMYFUNCTION("IMPORTRANGE(""https://docs.google.com/spreadsheets/d/1QqKyyYR6Q21VydFLVH3TRQUabQu_ym0Zz7PgGX0-kHA/edit?usp=sharing"",""แผน!IP55"")"),100)</f>
        <v>100</v>
      </c>
      <c r="J729" s="674">
        <f>J732+J735</f>
        <v>0</v>
      </c>
      <c r="K729" s="195">
        <f t="shared" ca="1" si="293"/>
        <v>0</v>
      </c>
      <c r="L729" s="496"/>
      <c r="M729" s="189"/>
      <c r="N729" s="757"/>
      <c r="O729" s="496"/>
      <c r="P729" s="496"/>
      <c r="Q729" s="571"/>
      <c r="R729" s="571"/>
      <c r="S729" s="571"/>
      <c r="T729" s="571"/>
      <c r="U729" s="571"/>
      <c r="V729" s="571"/>
      <c r="W729" s="571"/>
      <c r="X729" s="571"/>
      <c r="Y729" s="571"/>
      <c r="Z729" s="571"/>
    </row>
    <row r="730" spans="1:26" ht="18.75">
      <c r="A730" s="735"/>
      <c r="B730" s="754"/>
      <c r="C730" s="754"/>
      <c r="D730" s="754"/>
      <c r="E730" s="754" t="s">
        <v>309</v>
      </c>
      <c r="F730" s="754"/>
      <c r="G730" s="189"/>
      <c r="H730" s="755" t="s">
        <v>35</v>
      </c>
      <c r="I730" s="756"/>
      <c r="J730" s="214">
        <v>0</v>
      </c>
      <c r="K730" s="496"/>
      <c r="L730" s="757"/>
      <c r="M730" s="496"/>
      <c r="N730" s="757"/>
      <c r="O730" s="496"/>
      <c r="P730" s="496"/>
      <c r="Q730" s="571"/>
      <c r="R730" s="571"/>
      <c r="S730" s="571"/>
      <c r="T730" s="571"/>
      <c r="U730" s="571"/>
      <c r="V730" s="571"/>
      <c r="W730" s="571"/>
      <c r="X730" s="571"/>
      <c r="Y730" s="571"/>
      <c r="Z730" s="571"/>
    </row>
    <row r="731" spans="1:26" ht="18.75">
      <c r="A731" s="735"/>
      <c r="B731" s="754"/>
      <c r="C731" s="754"/>
      <c r="D731" s="754"/>
      <c r="E731" s="754"/>
      <c r="F731" s="754"/>
      <c r="G731" s="189"/>
      <c r="H731" s="755" t="s">
        <v>34</v>
      </c>
      <c r="I731" s="756"/>
      <c r="J731" s="214">
        <v>0</v>
      </c>
      <c r="K731" s="496"/>
      <c r="L731" s="757"/>
      <c r="M731" s="496"/>
      <c r="N731" s="757"/>
      <c r="O731" s="496"/>
      <c r="P731" s="496"/>
      <c r="Q731" s="571"/>
      <c r="R731" s="571"/>
      <c r="S731" s="571"/>
      <c r="T731" s="571"/>
      <c r="U731" s="571"/>
      <c r="V731" s="571"/>
      <c r="W731" s="571"/>
      <c r="X731" s="571"/>
      <c r="Y731" s="571"/>
      <c r="Z731" s="571"/>
    </row>
    <row r="732" spans="1:26" ht="18.75">
      <c r="A732" s="735"/>
      <c r="B732" s="754"/>
      <c r="C732" s="754"/>
      <c r="D732" s="754"/>
      <c r="E732" s="754"/>
      <c r="F732" s="754"/>
      <c r="G732" s="189"/>
      <c r="H732" s="755" t="s">
        <v>46</v>
      </c>
      <c r="I732" s="756"/>
      <c r="J732" s="214">
        <v>0</v>
      </c>
      <c r="K732" s="496"/>
      <c r="L732" s="757"/>
      <c r="M732" s="496"/>
      <c r="N732" s="757"/>
      <c r="O732" s="496"/>
      <c r="P732" s="496"/>
      <c r="Q732" s="571"/>
      <c r="R732" s="571"/>
      <c r="S732" s="571"/>
      <c r="T732" s="571"/>
      <c r="U732" s="571"/>
      <c r="V732" s="571"/>
      <c r="W732" s="571"/>
      <c r="X732" s="571"/>
      <c r="Y732" s="571"/>
      <c r="Z732" s="571"/>
    </row>
    <row r="733" spans="1:26" ht="18.75">
      <c r="A733" s="735"/>
      <c r="B733" s="754"/>
      <c r="C733" s="754"/>
      <c r="D733" s="754"/>
      <c r="E733" s="754" t="s">
        <v>310</v>
      </c>
      <c r="F733" s="754"/>
      <c r="G733" s="189"/>
      <c r="H733" s="755" t="s">
        <v>35</v>
      </c>
      <c r="I733" s="756"/>
      <c r="J733" s="214">
        <v>0</v>
      </c>
      <c r="K733" s="496"/>
      <c r="L733" s="757"/>
      <c r="M733" s="496"/>
      <c r="N733" s="757"/>
      <c r="O733" s="496"/>
      <c r="P733" s="496"/>
      <c r="Q733" s="571"/>
      <c r="R733" s="571"/>
      <c r="S733" s="571"/>
      <c r="T733" s="571"/>
      <c r="U733" s="571"/>
      <c r="V733" s="571"/>
      <c r="W733" s="571"/>
      <c r="X733" s="571"/>
      <c r="Y733" s="571"/>
      <c r="Z733" s="571"/>
    </row>
    <row r="734" spans="1:26" ht="18.75">
      <c r="A734" s="735"/>
      <c r="B734" s="754"/>
      <c r="C734" s="754"/>
      <c r="D734" s="754"/>
      <c r="E734" s="754"/>
      <c r="F734" s="754"/>
      <c r="G734" s="189"/>
      <c r="H734" s="755" t="s">
        <v>34</v>
      </c>
      <c r="I734" s="756"/>
      <c r="J734" s="214">
        <v>0</v>
      </c>
      <c r="K734" s="496"/>
      <c r="L734" s="757"/>
      <c r="M734" s="496"/>
      <c r="N734" s="757"/>
      <c r="O734" s="496"/>
      <c r="P734" s="496"/>
      <c r="Q734" s="571"/>
      <c r="R734" s="571"/>
      <c r="S734" s="571"/>
      <c r="T734" s="571"/>
      <c r="U734" s="571"/>
      <c r="V734" s="571"/>
      <c r="W734" s="571"/>
      <c r="X734" s="571"/>
      <c r="Y734" s="571"/>
      <c r="Z734" s="571"/>
    </row>
    <row r="735" spans="1:26" ht="19.5">
      <c r="A735" s="761"/>
      <c r="B735" s="762" t="s">
        <v>311</v>
      </c>
      <c r="C735" s="725"/>
      <c r="D735" s="725"/>
      <c r="E735" s="725"/>
      <c r="F735" s="725"/>
      <c r="G735" s="726"/>
      <c r="H735" s="421" t="s">
        <v>46</v>
      </c>
      <c r="I735" s="763"/>
      <c r="J735" s="423">
        <v>0</v>
      </c>
      <c r="K735" s="500"/>
      <c r="L735" s="764"/>
      <c r="M735" s="500"/>
      <c r="N735" s="764"/>
      <c r="O735" s="500"/>
      <c r="P735" s="500"/>
      <c r="Q735" s="571"/>
      <c r="R735" s="571"/>
      <c r="S735" s="571"/>
      <c r="T735" s="571"/>
      <c r="U735" s="571"/>
      <c r="V735" s="571"/>
      <c r="W735" s="571"/>
      <c r="X735" s="571"/>
      <c r="Y735" s="571"/>
      <c r="Z735" s="571"/>
    </row>
    <row r="736" spans="1:26" ht="19.5" hidden="1">
      <c r="A736" s="765">
        <v>9</v>
      </c>
      <c r="B736" s="766" t="s">
        <v>312</v>
      </c>
      <c r="C736" s="767"/>
      <c r="D736" s="767"/>
      <c r="E736" s="767"/>
      <c r="F736" s="767"/>
      <c r="G736" s="768"/>
      <c r="H736" s="769" t="s">
        <v>46</v>
      </c>
      <c r="I736" s="770"/>
      <c r="J736" s="770">
        <f>J751</f>
        <v>0</v>
      </c>
      <c r="K736" s="771">
        <f>IF(I736&gt;0,J736*100/I736,0)</f>
        <v>0</v>
      </c>
      <c r="L736" s="772"/>
      <c r="M736" s="772"/>
      <c r="N736" s="772"/>
      <c r="O736" s="772"/>
      <c r="P736" s="772"/>
      <c r="Q736" s="597"/>
      <c r="R736" s="597"/>
      <c r="S736" s="597"/>
      <c r="T736" s="597"/>
      <c r="U736" s="597"/>
      <c r="V736" s="597"/>
      <c r="W736" s="597"/>
      <c r="X736" s="597"/>
      <c r="Y736" s="597"/>
      <c r="Z736" s="597"/>
    </row>
    <row r="737" spans="1:26" ht="19.5" hidden="1">
      <c r="A737" s="592"/>
      <c r="B737" s="750"/>
      <c r="C737" s="750" t="s">
        <v>16</v>
      </c>
      <c r="D737" s="864" t="s">
        <v>17</v>
      </c>
      <c r="E737" s="857"/>
      <c r="F737" s="857"/>
      <c r="G737" s="596"/>
      <c r="H737" s="639" t="s">
        <v>12</v>
      </c>
      <c r="I737" s="610"/>
      <c r="J737" s="610"/>
      <c r="K737" s="93"/>
      <c r="L737" s="640">
        <f t="shared" ref="L737:N737" si="294">L738+L739</f>
        <v>0</v>
      </c>
      <c r="M737" s="640">
        <f t="shared" si="294"/>
        <v>0</v>
      </c>
      <c r="N737" s="640">
        <f t="shared" si="294"/>
        <v>0</v>
      </c>
      <c r="O737" s="640">
        <f t="shared" ref="O737:O742" si="295">IF(L737&gt;0,N737*100/L737,0)</f>
        <v>0</v>
      </c>
      <c r="P737" s="640">
        <f t="shared" ref="P737:P742" si="296">IF(M737&gt;0,N737*100/M737,0)</f>
        <v>0</v>
      </c>
      <c r="Q737" s="597"/>
      <c r="R737" s="597"/>
      <c r="S737" s="597"/>
      <c r="T737" s="597"/>
      <c r="U737" s="597"/>
      <c r="V737" s="597"/>
      <c r="W737" s="597"/>
      <c r="X737" s="597"/>
      <c r="Y737" s="597"/>
      <c r="Z737" s="597"/>
    </row>
    <row r="738" spans="1:26" ht="18.75" hidden="1">
      <c r="A738" s="592"/>
      <c r="B738" s="750"/>
      <c r="C738" s="750"/>
      <c r="D738" s="711"/>
      <c r="E738" s="750" t="s">
        <v>184</v>
      </c>
      <c r="F738" s="750"/>
      <c r="G738" s="596"/>
      <c r="H738" s="165" t="s">
        <v>12</v>
      </c>
      <c r="I738" s="610"/>
      <c r="J738" s="610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597"/>
      <c r="R738" s="597"/>
      <c r="S738" s="597"/>
      <c r="T738" s="597"/>
      <c r="U738" s="597"/>
      <c r="V738" s="597"/>
      <c r="W738" s="597"/>
      <c r="X738" s="597"/>
      <c r="Y738" s="597"/>
      <c r="Z738" s="597"/>
    </row>
    <row r="739" spans="1:26" ht="18.75" hidden="1">
      <c r="A739" s="592"/>
      <c r="B739" s="600"/>
      <c r="C739" s="750"/>
      <c r="D739" s="711"/>
      <c r="E739" s="750" t="s">
        <v>185</v>
      </c>
      <c r="F739" s="750"/>
      <c r="G739" s="596"/>
      <c r="H739" s="165" t="s">
        <v>12</v>
      </c>
      <c r="I739" s="610"/>
      <c r="J739" s="610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597"/>
      <c r="R739" s="597"/>
      <c r="S739" s="597"/>
      <c r="T739" s="597"/>
      <c r="U739" s="597"/>
      <c r="V739" s="597"/>
      <c r="W739" s="597"/>
      <c r="X739" s="597"/>
      <c r="Y739" s="597"/>
      <c r="Z739" s="597"/>
    </row>
    <row r="740" spans="1:26" ht="19.5" hidden="1">
      <c r="A740" s="592"/>
      <c r="B740" s="600"/>
      <c r="C740" s="750"/>
      <c r="D740" s="638" t="s">
        <v>20</v>
      </c>
      <c r="E740" s="750"/>
      <c r="F740" s="750"/>
      <c r="G740" s="596"/>
      <c r="H740" s="639" t="s">
        <v>12</v>
      </c>
      <c r="I740" s="166"/>
      <c r="J740" s="166"/>
      <c r="K740" s="167"/>
      <c r="L740" s="640">
        <f t="shared" ref="L740:N740" si="298">L741+L742</f>
        <v>0</v>
      </c>
      <c r="M740" s="640">
        <f t="shared" si="298"/>
        <v>0</v>
      </c>
      <c r="N740" s="640">
        <f t="shared" si="298"/>
        <v>0</v>
      </c>
      <c r="O740" s="640">
        <f t="shared" si="295"/>
        <v>0</v>
      </c>
      <c r="P740" s="640">
        <f t="shared" si="296"/>
        <v>0</v>
      </c>
      <c r="Q740" s="597"/>
      <c r="R740" s="597"/>
      <c r="S740" s="597"/>
      <c r="T740" s="597"/>
      <c r="U740" s="597"/>
      <c r="V740" s="597"/>
      <c r="W740" s="597"/>
      <c r="X740" s="597"/>
      <c r="Y740" s="597"/>
      <c r="Z740" s="597"/>
    </row>
    <row r="741" spans="1:26" ht="18.75" hidden="1">
      <c r="A741" s="592"/>
      <c r="B741" s="600"/>
      <c r="C741" s="750"/>
      <c r="D741" s="711"/>
      <c r="E741" s="750" t="s">
        <v>184</v>
      </c>
      <c r="F741" s="750"/>
      <c r="G741" s="596"/>
      <c r="H741" s="165" t="s">
        <v>12</v>
      </c>
      <c r="I741" s="610"/>
      <c r="J741" s="610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597"/>
      <c r="R741" s="597"/>
      <c r="S741" s="597"/>
      <c r="T741" s="597"/>
      <c r="U741" s="597"/>
      <c r="V741" s="597"/>
      <c r="W741" s="597"/>
      <c r="X741" s="597"/>
      <c r="Y741" s="597"/>
      <c r="Z741" s="597"/>
    </row>
    <row r="742" spans="1:26" ht="18.75" hidden="1">
      <c r="A742" s="592"/>
      <c r="B742" s="600"/>
      <c r="C742" s="750"/>
      <c r="D742" s="711"/>
      <c r="E742" s="750" t="s">
        <v>185</v>
      </c>
      <c r="F742" s="750"/>
      <c r="G742" s="596"/>
      <c r="H742" s="165" t="s">
        <v>12</v>
      </c>
      <c r="I742" s="610"/>
      <c r="J742" s="610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597"/>
      <c r="R742" s="597"/>
      <c r="S742" s="597"/>
      <c r="T742" s="597"/>
      <c r="U742" s="597"/>
      <c r="V742" s="597"/>
      <c r="W742" s="597"/>
      <c r="X742" s="597"/>
      <c r="Y742" s="597"/>
      <c r="Z742" s="597"/>
    </row>
    <row r="743" spans="1:26" ht="18.75" hidden="1">
      <c r="A743" s="642"/>
      <c r="B743" s="600"/>
      <c r="C743" s="750"/>
      <c r="D743" s="750"/>
      <c r="E743" s="750"/>
      <c r="F743" s="750" t="s">
        <v>186</v>
      </c>
      <c r="G743" s="596"/>
      <c r="H743" s="165" t="s">
        <v>12</v>
      </c>
      <c r="I743" s="610"/>
      <c r="J743" s="610"/>
      <c r="K743" s="93"/>
      <c r="L743" s="93"/>
      <c r="M743" s="93"/>
      <c r="N743" s="93"/>
      <c r="O743" s="93"/>
      <c r="P743" s="93"/>
      <c r="Q743" s="597"/>
      <c r="R743" s="597"/>
      <c r="S743" s="597"/>
      <c r="T743" s="597"/>
      <c r="U743" s="597"/>
      <c r="V743" s="597"/>
      <c r="W743" s="597"/>
      <c r="X743" s="597"/>
      <c r="Y743" s="597"/>
      <c r="Z743" s="597"/>
    </row>
    <row r="744" spans="1:26" ht="18.75" hidden="1">
      <c r="A744" s="642"/>
      <c r="B744" s="600"/>
      <c r="C744" s="750"/>
      <c r="D744" s="750"/>
      <c r="E744" s="750"/>
      <c r="F744" s="750" t="s">
        <v>187</v>
      </c>
      <c r="G744" s="596"/>
      <c r="H744" s="165" t="s">
        <v>12</v>
      </c>
      <c r="I744" s="610"/>
      <c r="J744" s="610"/>
      <c r="K744" s="93"/>
      <c r="L744" s="93"/>
      <c r="M744" s="93"/>
      <c r="N744" s="93"/>
      <c r="O744" s="93"/>
      <c r="P744" s="93"/>
      <c r="Q744" s="597"/>
      <c r="R744" s="597"/>
      <c r="S744" s="597"/>
      <c r="T744" s="597"/>
      <c r="U744" s="597"/>
      <c r="V744" s="597"/>
      <c r="W744" s="597"/>
      <c r="X744" s="597"/>
      <c r="Y744" s="597"/>
      <c r="Z744" s="597"/>
    </row>
    <row r="745" spans="1:26" ht="18.75" hidden="1">
      <c r="A745" s="642"/>
      <c r="B745" s="600"/>
      <c r="C745" s="750"/>
      <c r="D745" s="750"/>
      <c r="E745" s="750"/>
      <c r="F745" s="750" t="s">
        <v>188</v>
      </c>
      <c r="G745" s="596"/>
      <c r="H745" s="165" t="s">
        <v>12</v>
      </c>
      <c r="I745" s="610"/>
      <c r="J745" s="610"/>
      <c r="K745" s="93"/>
      <c r="L745" s="93"/>
      <c r="M745" s="93"/>
      <c r="N745" s="93"/>
      <c r="O745" s="93"/>
      <c r="P745" s="93"/>
      <c r="Q745" s="597"/>
      <c r="R745" s="597"/>
      <c r="S745" s="597"/>
      <c r="T745" s="597"/>
      <c r="U745" s="597"/>
      <c r="V745" s="597"/>
      <c r="W745" s="597"/>
      <c r="X745" s="597"/>
      <c r="Y745" s="597"/>
      <c r="Z745" s="597"/>
    </row>
    <row r="746" spans="1:26" ht="18.75" hidden="1">
      <c r="A746" s="642"/>
      <c r="B746" s="600"/>
      <c r="C746" s="750"/>
      <c r="D746" s="750"/>
      <c r="E746" s="750"/>
      <c r="F746" s="750" t="s">
        <v>189</v>
      </c>
      <c r="G746" s="596"/>
      <c r="H746" s="165" t="s">
        <v>12</v>
      </c>
      <c r="I746" s="610"/>
      <c r="J746" s="610"/>
      <c r="K746" s="93"/>
      <c r="L746" s="93"/>
      <c r="M746" s="93"/>
      <c r="N746" s="93"/>
      <c r="O746" s="93"/>
      <c r="P746" s="93"/>
      <c r="Q746" s="597"/>
      <c r="R746" s="597"/>
      <c r="S746" s="597"/>
      <c r="T746" s="597"/>
      <c r="U746" s="597"/>
      <c r="V746" s="597"/>
      <c r="W746" s="597"/>
      <c r="X746" s="597"/>
      <c r="Y746" s="597"/>
      <c r="Z746" s="597"/>
    </row>
    <row r="747" spans="1:26" ht="19.5" hidden="1">
      <c r="A747" s="592"/>
      <c r="B747" s="600"/>
      <c r="C747" s="750"/>
      <c r="D747" s="638" t="s">
        <v>21</v>
      </c>
      <c r="E747" s="750"/>
      <c r="F747" s="750"/>
      <c r="G747" s="596"/>
      <c r="H747" s="774" t="s">
        <v>12</v>
      </c>
      <c r="I747" s="166"/>
      <c r="J747" s="166"/>
      <c r="K747" s="167"/>
      <c r="L747" s="640">
        <f t="shared" ref="L747:N747" si="299">L748+L749</f>
        <v>0</v>
      </c>
      <c r="M747" s="640">
        <f t="shared" si="299"/>
        <v>0</v>
      </c>
      <c r="N747" s="640">
        <f t="shared" si="299"/>
        <v>0</v>
      </c>
      <c r="O747" s="640">
        <f t="shared" ref="O747:O749" si="300">IF(L747&gt;0,N747*100/L747,0)</f>
        <v>0</v>
      </c>
      <c r="P747" s="640">
        <f t="shared" ref="P747:P749" si="301">IF(M747&gt;0,N747*100/M747,0)</f>
        <v>0</v>
      </c>
      <c r="Q747" s="597"/>
      <c r="R747" s="597"/>
      <c r="S747" s="597"/>
      <c r="T747" s="597"/>
      <c r="U747" s="597"/>
      <c r="V747" s="597"/>
      <c r="W747" s="597"/>
      <c r="X747" s="597"/>
      <c r="Y747" s="597"/>
      <c r="Z747" s="597"/>
    </row>
    <row r="748" spans="1:26" ht="18.75" hidden="1">
      <c r="A748" s="592"/>
      <c r="B748" s="600"/>
      <c r="C748" s="750"/>
      <c r="D748" s="750"/>
      <c r="E748" s="750" t="s">
        <v>18</v>
      </c>
      <c r="F748" s="750"/>
      <c r="G748" s="596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597"/>
      <c r="R748" s="597"/>
      <c r="S748" s="597"/>
      <c r="T748" s="597"/>
      <c r="U748" s="597"/>
      <c r="V748" s="597"/>
      <c r="W748" s="597"/>
      <c r="X748" s="597"/>
      <c r="Y748" s="597"/>
      <c r="Z748" s="597"/>
    </row>
    <row r="749" spans="1:26" ht="18.75" hidden="1">
      <c r="A749" s="592"/>
      <c r="B749" s="600"/>
      <c r="C749" s="750"/>
      <c r="D749" s="750"/>
      <c r="E749" s="750" t="s">
        <v>19</v>
      </c>
      <c r="F749" s="750"/>
      <c r="G749" s="596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597"/>
      <c r="R749" s="597"/>
      <c r="S749" s="597"/>
      <c r="T749" s="597"/>
      <c r="U749" s="597"/>
      <c r="V749" s="597"/>
      <c r="W749" s="597"/>
      <c r="X749" s="597"/>
      <c r="Y749" s="597"/>
      <c r="Z749" s="597"/>
    </row>
    <row r="750" spans="1:26" ht="19.5" hidden="1">
      <c r="A750" s="607"/>
      <c r="B750" s="609"/>
      <c r="C750" s="750" t="s">
        <v>16</v>
      </c>
      <c r="D750" s="841" t="s">
        <v>38</v>
      </c>
      <c r="E750" s="644"/>
      <c r="F750" s="644"/>
      <c r="G750" s="645"/>
      <c r="H750" s="365"/>
      <c r="I750" s="166"/>
      <c r="J750" s="166"/>
      <c r="K750" s="167"/>
      <c r="L750" s="167"/>
      <c r="M750" s="167"/>
      <c r="N750" s="167"/>
      <c r="O750" s="167"/>
      <c r="P750" s="167"/>
      <c r="Q750" s="597"/>
      <c r="R750" s="597"/>
      <c r="S750" s="597"/>
      <c r="T750" s="597"/>
      <c r="U750" s="597"/>
      <c r="V750" s="597"/>
      <c r="W750" s="597"/>
      <c r="X750" s="597"/>
      <c r="Y750" s="597"/>
      <c r="Z750" s="597"/>
    </row>
    <row r="751" spans="1:26" ht="18.75" hidden="1">
      <c r="A751" s="642"/>
      <c r="B751" s="600"/>
      <c r="C751" s="750"/>
      <c r="D751" s="750"/>
      <c r="E751" s="750" t="s">
        <v>313</v>
      </c>
      <c r="F751" s="750"/>
      <c r="G751" s="596"/>
      <c r="H751" s="165" t="s">
        <v>46</v>
      </c>
      <c r="I751" s="610"/>
      <c r="J751" s="610"/>
      <c r="K751" s="93"/>
      <c r="L751" s="93"/>
      <c r="M751" s="93"/>
      <c r="N751" s="93"/>
      <c r="O751" s="93"/>
      <c r="P751" s="93"/>
      <c r="Q751" s="597"/>
      <c r="R751" s="597"/>
      <c r="S751" s="597"/>
      <c r="T751" s="597"/>
      <c r="U751" s="597"/>
      <c r="V751" s="597"/>
      <c r="W751" s="597"/>
      <c r="X751" s="597"/>
      <c r="Y751" s="597"/>
      <c r="Z751" s="597"/>
    </row>
    <row r="752" spans="1:26" ht="18.75" hidden="1">
      <c r="A752" s="642"/>
      <c r="B752" s="600"/>
      <c r="C752" s="750"/>
      <c r="D752" s="750"/>
      <c r="E752" s="750"/>
      <c r="F752" s="750"/>
      <c r="G752" s="596"/>
      <c r="H752" s="165" t="s">
        <v>314</v>
      </c>
      <c r="I752" s="610"/>
      <c r="J752" s="610"/>
      <c r="K752" s="93"/>
      <c r="L752" s="93"/>
      <c r="M752" s="93"/>
      <c r="N752" s="93"/>
      <c r="O752" s="93"/>
      <c r="P752" s="93"/>
      <c r="Q752" s="597"/>
      <c r="R752" s="597"/>
      <c r="S752" s="597"/>
      <c r="T752" s="597"/>
      <c r="U752" s="597"/>
      <c r="V752" s="597"/>
      <c r="W752" s="597"/>
      <c r="X752" s="597"/>
      <c r="Y752" s="597"/>
      <c r="Z752" s="597"/>
    </row>
    <row r="753" spans="1:26" ht="19.5" hidden="1">
      <c r="A753" s="776">
        <v>10</v>
      </c>
      <c r="B753" s="777" t="s">
        <v>315</v>
      </c>
      <c r="C753" s="778"/>
      <c r="D753" s="778"/>
      <c r="E753" s="778"/>
      <c r="F753" s="778"/>
      <c r="G753" s="779"/>
      <c r="H753" s="780" t="s">
        <v>46</v>
      </c>
      <c r="I753" s="781"/>
      <c r="J753" s="781">
        <f>J768</f>
        <v>0</v>
      </c>
      <c r="K753" s="782">
        <f>IF(I753&gt;0,J753*100/I753,0)</f>
        <v>0</v>
      </c>
      <c r="L753" s="783"/>
      <c r="M753" s="783"/>
      <c r="N753" s="783"/>
      <c r="O753" s="783"/>
      <c r="P753" s="783"/>
      <c r="Q753" s="597"/>
      <c r="R753" s="597"/>
      <c r="S753" s="597"/>
      <c r="T753" s="597"/>
      <c r="U753" s="597"/>
      <c r="V753" s="597"/>
      <c r="W753" s="597"/>
      <c r="X753" s="597"/>
      <c r="Y753" s="597"/>
      <c r="Z753" s="597"/>
    </row>
    <row r="754" spans="1:26" ht="19.5" hidden="1">
      <c r="A754" s="592"/>
      <c r="B754" s="750"/>
      <c r="C754" s="750" t="s">
        <v>16</v>
      </c>
      <c r="D754" s="864" t="s">
        <v>17</v>
      </c>
      <c r="E754" s="857"/>
      <c r="F754" s="857"/>
      <c r="G754" s="596"/>
      <c r="H754" s="639" t="s">
        <v>12</v>
      </c>
      <c r="I754" s="610"/>
      <c r="J754" s="610"/>
      <c r="K754" s="93"/>
      <c r="L754" s="640">
        <f t="shared" ref="L754:N754" si="302">L755+L756</f>
        <v>0</v>
      </c>
      <c r="M754" s="640">
        <f t="shared" si="302"/>
        <v>0</v>
      </c>
      <c r="N754" s="640">
        <f t="shared" si="302"/>
        <v>0</v>
      </c>
      <c r="O754" s="640">
        <f t="shared" ref="O754:O759" si="303">IF(L754&gt;0,N754*100/L754,0)</f>
        <v>0</v>
      </c>
      <c r="P754" s="640">
        <f t="shared" ref="P754:P759" si="304">IF(M754&gt;0,N754*100/M754,0)</f>
        <v>0</v>
      </c>
      <c r="Q754" s="597"/>
      <c r="R754" s="597"/>
      <c r="S754" s="597"/>
      <c r="T754" s="597"/>
      <c r="U754" s="597"/>
      <c r="V754" s="597"/>
      <c r="W754" s="597"/>
      <c r="X754" s="597"/>
      <c r="Y754" s="597"/>
      <c r="Z754" s="597"/>
    </row>
    <row r="755" spans="1:26" ht="18.75" hidden="1">
      <c r="A755" s="592"/>
      <c r="B755" s="750"/>
      <c r="C755" s="750"/>
      <c r="D755" s="711"/>
      <c r="E755" s="750" t="s">
        <v>184</v>
      </c>
      <c r="F755" s="750"/>
      <c r="G755" s="596"/>
      <c r="H755" s="165" t="s">
        <v>12</v>
      </c>
      <c r="I755" s="610"/>
      <c r="J755" s="610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597"/>
      <c r="R755" s="597"/>
      <c r="S755" s="597"/>
      <c r="T755" s="597"/>
      <c r="U755" s="597"/>
      <c r="V755" s="597"/>
      <c r="W755" s="597"/>
      <c r="X755" s="597"/>
      <c r="Y755" s="597"/>
      <c r="Z755" s="597"/>
    </row>
    <row r="756" spans="1:26" ht="18.75" hidden="1">
      <c r="A756" s="592"/>
      <c r="B756" s="600"/>
      <c r="C756" s="750"/>
      <c r="D756" s="711"/>
      <c r="E756" s="750" t="s">
        <v>185</v>
      </c>
      <c r="F756" s="750"/>
      <c r="G756" s="596"/>
      <c r="H756" s="165" t="s">
        <v>12</v>
      </c>
      <c r="I756" s="610"/>
      <c r="J756" s="610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597"/>
      <c r="R756" s="597"/>
      <c r="S756" s="597"/>
      <c r="T756" s="597"/>
      <c r="U756" s="597"/>
      <c r="V756" s="597"/>
      <c r="W756" s="597"/>
      <c r="X756" s="597"/>
      <c r="Y756" s="597"/>
      <c r="Z756" s="597"/>
    </row>
    <row r="757" spans="1:26" ht="19.5" hidden="1">
      <c r="A757" s="592"/>
      <c r="B757" s="600"/>
      <c r="C757" s="750"/>
      <c r="D757" s="638" t="s">
        <v>20</v>
      </c>
      <c r="E757" s="750"/>
      <c r="F757" s="750"/>
      <c r="G757" s="596"/>
      <c r="H757" s="639" t="s">
        <v>12</v>
      </c>
      <c r="I757" s="166"/>
      <c r="J757" s="166"/>
      <c r="K757" s="167"/>
      <c r="L757" s="640">
        <f t="shared" ref="L757:N757" si="306">L758+L759</f>
        <v>0</v>
      </c>
      <c r="M757" s="640">
        <f t="shared" si="306"/>
        <v>0</v>
      </c>
      <c r="N757" s="640">
        <f t="shared" si="306"/>
        <v>0</v>
      </c>
      <c r="O757" s="640">
        <f t="shared" si="303"/>
        <v>0</v>
      </c>
      <c r="P757" s="640">
        <f t="shared" si="304"/>
        <v>0</v>
      </c>
      <c r="Q757" s="597"/>
      <c r="R757" s="597"/>
      <c r="S757" s="597"/>
      <c r="T757" s="597"/>
      <c r="U757" s="597"/>
      <c r="V757" s="597"/>
      <c r="W757" s="597"/>
      <c r="X757" s="597"/>
      <c r="Y757" s="597"/>
      <c r="Z757" s="597"/>
    </row>
    <row r="758" spans="1:26" ht="18.75" hidden="1">
      <c r="A758" s="592"/>
      <c r="B758" s="600"/>
      <c r="C758" s="750"/>
      <c r="D758" s="711"/>
      <c r="E758" s="750" t="s">
        <v>184</v>
      </c>
      <c r="F758" s="750"/>
      <c r="G758" s="596"/>
      <c r="H758" s="165" t="s">
        <v>12</v>
      </c>
      <c r="I758" s="610"/>
      <c r="J758" s="610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597"/>
      <c r="R758" s="597"/>
      <c r="S758" s="597"/>
      <c r="T758" s="597"/>
      <c r="U758" s="597"/>
      <c r="V758" s="597"/>
      <c r="W758" s="597"/>
      <c r="X758" s="597"/>
      <c r="Y758" s="597"/>
      <c r="Z758" s="597"/>
    </row>
    <row r="759" spans="1:26" ht="18.75" hidden="1">
      <c r="A759" s="592"/>
      <c r="B759" s="600"/>
      <c r="C759" s="750"/>
      <c r="D759" s="711"/>
      <c r="E759" s="750" t="s">
        <v>185</v>
      </c>
      <c r="F759" s="750"/>
      <c r="G759" s="596"/>
      <c r="H759" s="165" t="s">
        <v>12</v>
      </c>
      <c r="I759" s="610"/>
      <c r="J759" s="610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597"/>
      <c r="R759" s="597"/>
      <c r="S759" s="597"/>
      <c r="T759" s="597"/>
      <c r="U759" s="597"/>
      <c r="V759" s="597"/>
      <c r="W759" s="597"/>
      <c r="X759" s="597"/>
      <c r="Y759" s="597"/>
      <c r="Z759" s="597"/>
    </row>
    <row r="760" spans="1:26" ht="18.75" hidden="1">
      <c r="A760" s="642"/>
      <c r="B760" s="600"/>
      <c r="C760" s="750"/>
      <c r="D760" s="750"/>
      <c r="E760" s="750"/>
      <c r="F760" s="750" t="s">
        <v>186</v>
      </c>
      <c r="G760" s="596"/>
      <c r="H760" s="165" t="s">
        <v>12</v>
      </c>
      <c r="I760" s="610"/>
      <c r="J760" s="610"/>
      <c r="K760" s="93"/>
      <c r="L760" s="93"/>
      <c r="M760" s="93"/>
      <c r="N760" s="93"/>
      <c r="O760" s="93"/>
      <c r="P760" s="93"/>
      <c r="Q760" s="597"/>
      <c r="R760" s="597"/>
      <c r="S760" s="597"/>
      <c r="T760" s="597"/>
      <c r="U760" s="597"/>
      <c r="V760" s="597"/>
      <c r="W760" s="597"/>
      <c r="X760" s="597"/>
      <c r="Y760" s="597"/>
      <c r="Z760" s="597"/>
    </row>
    <row r="761" spans="1:26" ht="18.75" hidden="1">
      <c r="A761" s="642"/>
      <c r="B761" s="600"/>
      <c r="C761" s="750"/>
      <c r="D761" s="750"/>
      <c r="E761" s="750"/>
      <c r="F761" s="750" t="s">
        <v>187</v>
      </c>
      <c r="G761" s="596"/>
      <c r="H761" s="165" t="s">
        <v>12</v>
      </c>
      <c r="I761" s="610"/>
      <c r="J761" s="610"/>
      <c r="K761" s="93"/>
      <c r="L761" s="93"/>
      <c r="M761" s="93"/>
      <c r="N761" s="93"/>
      <c r="O761" s="93"/>
      <c r="P761" s="93"/>
      <c r="Q761" s="597"/>
      <c r="R761" s="597"/>
      <c r="S761" s="597"/>
      <c r="T761" s="597"/>
      <c r="U761" s="597"/>
      <c r="V761" s="597"/>
      <c r="W761" s="597"/>
      <c r="X761" s="597"/>
      <c r="Y761" s="597"/>
      <c r="Z761" s="597"/>
    </row>
    <row r="762" spans="1:26" ht="18.75" hidden="1">
      <c r="A762" s="642"/>
      <c r="B762" s="600"/>
      <c r="C762" s="750"/>
      <c r="D762" s="750"/>
      <c r="E762" s="750"/>
      <c r="F762" s="750" t="s">
        <v>188</v>
      </c>
      <c r="G762" s="596"/>
      <c r="H762" s="165" t="s">
        <v>12</v>
      </c>
      <c r="I762" s="610"/>
      <c r="J762" s="610"/>
      <c r="K762" s="93"/>
      <c r="L762" s="93"/>
      <c r="M762" s="93"/>
      <c r="N762" s="93"/>
      <c r="O762" s="93"/>
      <c r="P762" s="93"/>
      <c r="Q762" s="597"/>
      <c r="R762" s="597"/>
      <c r="S762" s="597"/>
      <c r="T762" s="597"/>
      <c r="U762" s="597"/>
      <c r="V762" s="597"/>
      <c r="W762" s="597"/>
      <c r="X762" s="597"/>
      <c r="Y762" s="597"/>
      <c r="Z762" s="597"/>
    </row>
    <row r="763" spans="1:26" ht="18.75" hidden="1">
      <c r="A763" s="642"/>
      <c r="B763" s="600"/>
      <c r="C763" s="750"/>
      <c r="D763" s="750"/>
      <c r="E763" s="750"/>
      <c r="F763" s="750" t="s">
        <v>189</v>
      </c>
      <c r="G763" s="596"/>
      <c r="H763" s="165" t="s">
        <v>12</v>
      </c>
      <c r="I763" s="610"/>
      <c r="J763" s="610"/>
      <c r="K763" s="93"/>
      <c r="L763" s="93"/>
      <c r="M763" s="93"/>
      <c r="N763" s="93"/>
      <c r="O763" s="93"/>
      <c r="P763" s="93"/>
      <c r="Q763" s="597"/>
      <c r="R763" s="597"/>
      <c r="S763" s="597"/>
      <c r="T763" s="597"/>
      <c r="U763" s="597"/>
      <c r="V763" s="597"/>
      <c r="W763" s="597"/>
      <c r="X763" s="597"/>
      <c r="Y763" s="597"/>
      <c r="Z763" s="597"/>
    </row>
    <row r="764" spans="1:26" ht="19.5" hidden="1">
      <c r="A764" s="592"/>
      <c r="B764" s="600"/>
      <c r="C764" s="750"/>
      <c r="D764" s="638" t="s">
        <v>21</v>
      </c>
      <c r="E764" s="750"/>
      <c r="F764" s="750"/>
      <c r="G764" s="596"/>
      <c r="H764" s="774" t="s">
        <v>12</v>
      </c>
      <c r="I764" s="166"/>
      <c r="J764" s="166"/>
      <c r="K764" s="167"/>
      <c r="L764" s="640">
        <f t="shared" ref="L764:N764" si="307">L765+L766</f>
        <v>0</v>
      </c>
      <c r="M764" s="640">
        <f t="shared" si="307"/>
        <v>0</v>
      </c>
      <c r="N764" s="640">
        <f t="shared" si="307"/>
        <v>0</v>
      </c>
      <c r="O764" s="640">
        <f t="shared" ref="O764:O766" si="308">IF(L764&gt;0,N764*100/L764,0)</f>
        <v>0</v>
      </c>
      <c r="P764" s="640">
        <f t="shared" ref="P764:P766" si="309">IF(M764&gt;0,N764*100/M764,0)</f>
        <v>0</v>
      </c>
      <c r="Q764" s="597"/>
      <c r="R764" s="597"/>
      <c r="S764" s="597"/>
      <c r="T764" s="597"/>
      <c r="U764" s="597"/>
      <c r="V764" s="597"/>
      <c r="W764" s="597"/>
      <c r="X764" s="597"/>
      <c r="Y764" s="597"/>
      <c r="Z764" s="597"/>
    </row>
    <row r="765" spans="1:26" ht="18.75" hidden="1">
      <c r="A765" s="592"/>
      <c r="B765" s="600"/>
      <c r="C765" s="750"/>
      <c r="D765" s="750"/>
      <c r="E765" s="750" t="s">
        <v>18</v>
      </c>
      <c r="F765" s="750"/>
      <c r="G765" s="596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597"/>
      <c r="R765" s="597"/>
      <c r="S765" s="597"/>
      <c r="T765" s="597"/>
      <c r="U765" s="597"/>
      <c r="V765" s="597"/>
      <c r="W765" s="597"/>
      <c r="X765" s="597"/>
      <c r="Y765" s="597"/>
      <c r="Z765" s="597"/>
    </row>
    <row r="766" spans="1:26" ht="18.75" hidden="1">
      <c r="A766" s="592"/>
      <c r="B766" s="600"/>
      <c r="C766" s="750"/>
      <c r="D766" s="750"/>
      <c r="E766" s="750" t="s">
        <v>19</v>
      </c>
      <c r="F766" s="750"/>
      <c r="G766" s="596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597"/>
      <c r="R766" s="597"/>
      <c r="S766" s="597"/>
      <c r="T766" s="597"/>
      <c r="U766" s="597"/>
      <c r="V766" s="597"/>
      <c r="W766" s="597"/>
      <c r="X766" s="597"/>
      <c r="Y766" s="597"/>
      <c r="Z766" s="597"/>
    </row>
    <row r="767" spans="1:26" ht="19.5" hidden="1">
      <c r="A767" s="607"/>
      <c r="B767" s="609"/>
      <c r="C767" s="750" t="s">
        <v>16</v>
      </c>
      <c r="D767" s="841" t="s">
        <v>38</v>
      </c>
      <c r="E767" s="644"/>
      <c r="F767" s="644"/>
      <c r="G767" s="645"/>
      <c r="H767" s="365"/>
      <c r="I767" s="166"/>
      <c r="J767" s="166"/>
      <c r="K767" s="167"/>
      <c r="L767" s="167"/>
      <c r="M767" s="167"/>
      <c r="N767" s="167"/>
      <c r="O767" s="167"/>
      <c r="P767" s="167"/>
      <c r="Q767" s="597"/>
      <c r="R767" s="597"/>
      <c r="S767" s="597"/>
      <c r="T767" s="597"/>
      <c r="U767" s="597"/>
      <c r="V767" s="597"/>
      <c r="W767" s="597"/>
      <c r="X767" s="597"/>
      <c r="Y767" s="597"/>
      <c r="Z767" s="597"/>
    </row>
    <row r="768" spans="1:26" ht="18.75" hidden="1">
      <c r="A768" s="642"/>
      <c r="B768" s="600"/>
      <c r="C768" s="750"/>
      <c r="D768" s="750"/>
      <c r="E768" s="750" t="s">
        <v>316</v>
      </c>
      <c r="F768" s="750"/>
      <c r="G768" s="596"/>
      <c r="H768" s="165" t="s">
        <v>46</v>
      </c>
      <c r="I768" s="610"/>
      <c r="J768" s="610"/>
      <c r="K768" s="93"/>
      <c r="L768" s="93"/>
      <c r="M768" s="93"/>
      <c r="N768" s="93"/>
      <c r="O768" s="93"/>
      <c r="P768" s="93"/>
      <c r="Q768" s="597"/>
      <c r="R768" s="597"/>
      <c r="S768" s="597"/>
      <c r="T768" s="597"/>
      <c r="U768" s="597"/>
      <c r="V768" s="597"/>
      <c r="W768" s="597"/>
      <c r="X768" s="597"/>
      <c r="Y768" s="597"/>
      <c r="Z768" s="597"/>
    </row>
    <row r="769" spans="1:26" ht="19.5" hidden="1">
      <c r="A769" s="784">
        <v>11</v>
      </c>
      <c r="B769" s="785" t="s">
        <v>317</v>
      </c>
      <c r="C769" s="786"/>
      <c r="D769" s="786"/>
      <c r="E769" s="786"/>
      <c r="F769" s="786"/>
      <c r="G769" s="787"/>
      <c r="H769" s="788" t="s">
        <v>46</v>
      </c>
      <c r="I769" s="789"/>
      <c r="J769" s="789">
        <f>J784</f>
        <v>0</v>
      </c>
      <c r="K769" s="790">
        <f>IF(I769&gt;0,J769*100/I769,0)</f>
        <v>0</v>
      </c>
      <c r="L769" s="791"/>
      <c r="M769" s="791"/>
      <c r="N769" s="791"/>
      <c r="O769" s="791"/>
      <c r="P769" s="791"/>
      <c r="Q769" s="597"/>
      <c r="R769" s="597"/>
      <c r="S769" s="597"/>
      <c r="T769" s="597"/>
      <c r="U769" s="597"/>
      <c r="V769" s="597"/>
      <c r="W769" s="597"/>
      <c r="X769" s="597"/>
      <c r="Y769" s="597"/>
      <c r="Z769" s="597"/>
    </row>
    <row r="770" spans="1:26" ht="19.5" hidden="1">
      <c r="A770" s="592"/>
      <c r="B770" s="750"/>
      <c r="C770" s="750" t="s">
        <v>16</v>
      </c>
      <c r="D770" s="864" t="s">
        <v>17</v>
      </c>
      <c r="E770" s="857"/>
      <c r="F770" s="857"/>
      <c r="G770" s="596"/>
      <c r="H770" s="639" t="s">
        <v>12</v>
      </c>
      <c r="I770" s="610"/>
      <c r="J770" s="610"/>
      <c r="K770" s="93"/>
      <c r="L770" s="640">
        <f t="shared" ref="L770:N770" si="310">L771+L772</f>
        <v>0</v>
      </c>
      <c r="M770" s="640">
        <f t="shared" si="310"/>
        <v>0</v>
      </c>
      <c r="N770" s="640">
        <f t="shared" si="310"/>
        <v>0</v>
      </c>
      <c r="O770" s="640">
        <f t="shared" ref="O770:O775" si="311">IF(L770&gt;0,N770*100/L770,0)</f>
        <v>0</v>
      </c>
      <c r="P770" s="640">
        <f t="shared" ref="P770:P775" si="312">IF(M770&gt;0,N770*100/M770,0)</f>
        <v>0</v>
      </c>
      <c r="Q770" s="597"/>
      <c r="R770" s="597"/>
      <c r="S770" s="597"/>
      <c r="T770" s="597"/>
      <c r="U770" s="597"/>
      <c r="V770" s="597"/>
      <c r="W770" s="597"/>
      <c r="X770" s="597"/>
      <c r="Y770" s="597"/>
      <c r="Z770" s="597"/>
    </row>
    <row r="771" spans="1:26" ht="18.75" hidden="1">
      <c r="A771" s="592"/>
      <c r="B771" s="750"/>
      <c r="C771" s="750"/>
      <c r="D771" s="711"/>
      <c r="E771" s="750" t="s">
        <v>184</v>
      </c>
      <c r="F771" s="750"/>
      <c r="G771" s="596"/>
      <c r="H771" s="165" t="s">
        <v>12</v>
      </c>
      <c r="I771" s="610"/>
      <c r="J771" s="610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597"/>
      <c r="R771" s="597"/>
      <c r="S771" s="597"/>
      <c r="T771" s="597"/>
      <c r="U771" s="597"/>
      <c r="V771" s="597"/>
      <c r="W771" s="597"/>
      <c r="X771" s="597"/>
      <c r="Y771" s="597"/>
      <c r="Z771" s="597"/>
    </row>
    <row r="772" spans="1:26" ht="18.75" hidden="1">
      <c r="A772" s="592"/>
      <c r="B772" s="600"/>
      <c r="C772" s="750"/>
      <c r="D772" s="711"/>
      <c r="E772" s="750" t="s">
        <v>185</v>
      </c>
      <c r="F772" s="750"/>
      <c r="G772" s="596"/>
      <c r="H772" s="165" t="s">
        <v>12</v>
      </c>
      <c r="I772" s="610"/>
      <c r="J772" s="610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597"/>
      <c r="R772" s="597"/>
      <c r="S772" s="597"/>
      <c r="T772" s="597"/>
      <c r="U772" s="597"/>
      <c r="V772" s="597"/>
      <c r="W772" s="597"/>
      <c r="X772" s="597"/>
      <c r="Y772" s="597"/>
      <c r="Z772" s="597"/>
    </row>
    <row r="773" spans="1:26" ht="19.5" hidden="1">
      <c r="A773" s="592"/>
      <c r="B773" s="600"/>
      <c r="C773" s="750"/>
      <c r="D773" s="638" t="s">
        <v>20</v>
      </c>
      <c r="E773" s="750"/>
      <c r="F773" s="750"/>
      <c r="G773" s="596"/>
      <c r="H773" s="639" t="s">
        <v>12</v>
      </c>
      <c r="I773" s="166"/>
      <c r="J773" s="166"/>
      <c r="K773" s="167"/>
      <c r="L773" s="640">
        <f t="shared" ref="L773:N773" si="314">L774+L775</f>
        <v>0</v>
      </c>
      <c r="M773" s="640">
        <f t="shared" si="314"/>
        <v>0</v>
      </c>
      <c r="N773" s="640">
        <f t="shared" si="314"/>
        <v>0</v>
      </c>
      <c r="O773" s="640">
        <f t="shared" si="311"/>
        <v>0</v>
      </c>
      <c r="P773" s="640">
        <f t="shared" si="312"/>
        <v>0</v>
      </c>
      <c r="Q773" s="597"/>
      <c r="R773" s="597"/>
      <c r="S773" s="597"/>
      <c r="T773" s="597"/>
      <c r="U773" s="597"/>
      <c r="V773" s="597"/>
      <c r="W773" s="597"/>
      <c r="X773" s="597"/>
      <c r="Y773" s="597"/>
      <c r="Z773" s="597"/>
    </row>
    <row r="774" spans="1:26" ht="18.75" hidden="1">
      <c r="A774" s="592"/>
      <c r="B774" s="600"/>
      <c r="C774" s="750"/>
      <c r="D774" s="711"/>
      <c r="E774" s="750" t="s">
        <v>184</v>
      </c>
      <c r="F774" s="750"/>
      <c r="G774" s="596"/>
      <c r="H774" s="165" t="s">
        <v>12</v>
      </c>
      <c r="I774" s="610"/>
      <c r="J774" s="610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597"/>
      <c r="R774" s="597"/>
      <c r="S774" s="597"/>
      <c r="T774" s="597"/>
      <c r="U774" s="597"/>
      <c r="V774" s="597"/>
      <c r="W774" s="597"/>
      <c r="X774" s="597"/>
      <c r="Y774" s="597"/>
      <c r="Z774" s="597"/>
    </row>
    <row r="775" spans="1:26" ht="18.75" hidden="1">
      <c r="A775" s="592"/>
      <c r="B775" s="600"/>
      <c r="C775" s="750"/>
      <c r="D775" s="711"/>
      <c r="E775" s="750" t="s">
        <v>185</v>
      </c>
      <c r="F775" s="750"/>
      <c r="G775" s="596"/>
      <c r="H775" s="165" t="s">
        <v>12</v>
      </c>
      <c r="I775" s="610"/>
      <c r="J775" s="610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597"/>
      <c r="R775" s="597"/>
      <c r="S775" s="597"/>
      <c r="T775" s="597"/>
      <c r="U775" s="597"/>
      <c r="V775" s="597"/>
      <c r="W775" s="597"/>
      <c r="X775" s="597"/>
      <c r="Y775" s="597"/>
      <c r="Z775" s="597"/>
    </row>
    <row r="776" spans="1:26" ht="18.75" hidden="1">
      <c r="A776" s="642"/>
      <c r="B776" s="600"/>
      <c r="C776" s="750"/>
      <c r="D776" s="750"/>
      <c r="E776" s="750"/>
      <c r="F776" s="750" t="s">
        <v>186</v>
      </c>
      <c r="G776" s="596"/>
      <c r="H776" s="165" t="s">
        <v>12</v>
      </c>
      <c r="I776" s="610"/>
      <c r="J776" s="610"/>
      <c r="K776" s="93"/>
      <c r="L776" s="93"/>
      <c r="M776" s="93"/>
      <c r="N776" s="93"/>
      <c r="O776" s="93"/>
      <c r="P776" s="93"/>
      <c r="Q776" s="597"/>
      <c r="R776" s="597"/>
      <c r="S776" s="597"/>
      <c r="T776" s="597"/>
      <c r="U776" s="597"/>
      <c r="V776" s="597"/>
      <c r="W776" s="597"/>
      <c r="X776" s="597"/>
      <c r="Y776" s="597"/>
      <c r="Z776" s="597"/>
    </row>
    <row r="777" spans="1:26" ht="18.75" hidden="1">
      <c r="A777" s="642"/>
      <c r="B777" s="600"/>
      <c r="C777" s="750"/>
      <c r="D777" s="750"/>
      <c r="E777" s="750"/>
      <c r="F777" s="750" t="s">
        <v>187</v>
      </c>
      <c r="G777" s="596"/>
      <c r="H777" s="165" t="s">
        <v>12</v>
      </c>
      <c r="I777" s="610"/>
      <c r="J777" s="610"/>
      <c r="K777" s="93"/>
      <c r="L777" s="93"/>
      <c r="M777" s="93"/>
      <c r="N777" s="93"/>
      <c r="O777" s="93"/>
      <c r="P777" s="93"/>
      <c r="Q777" s="597"/>
      <c r="R777" s="597"/>
      <c r="S777" s="597"/>
      <c r="T777" s="597"/>
      <c r="U777" s="597"/>
      <c r="V777" s="597"/>
      <c r="W777" s="597"/>
      <c r="X777" s="597"/>
      <c r="Y777" s="597"/>
      <c r="Z777" s="597"/>
    </row>
    <row r="778" spans="1:26" ht="18.75" hidden="1">
      <c r="A778" s="642"/>
      <c r="B778" s="600"/>
      <c r="C778" s="750"/>
      <c r="D778" s="750"/>
      <c r="E778" s="750"/>
      <c r="F778" s="750" t="s">
        <v>188</v>
      </c>
      <c r="G778" s="596"/>
      <c r="H778" s="165" t="s">
        <v>12</v>
      </c>
      <c r="I778" s="610"/>
      <c r="J778" s="610"/>
      <c r="K778" s="93"/>
      <c r="L778" s="93"/>
      <c r="M778" s="93"/>
      <c r="N778" s="93"/>
      <c r="O778" s="93"/>
      <c r="P778" s="93"/>
      <c r="Q778" s="597"/>
      <c r="R778" s="597"/>
      <c r="S778" s="597"/>
      <c r="T778" s="597"/>
      <c r="U778" s="597"/>
      <c r="V778" s="597"/>
      <c r="W778" s="597"/>
      <c r="X778" s="597"/>
      <c r="Y778" s="597"/>
      <c r="Z778" s="597"/>
    </row>
    <row r="779" spans="1:26" ht="18.75" hidden="1">
      <c r="A779" s="642"/>
      <c r="B779" s="600"/>
      <c r="C779" s="750"/>
      <c r="D779" s="750"/>
      <c r="E779" s="750"/>
      <c r="F779" s="750" t="s">
        <v>189</v>
      </c>
      <c r="G779" s="596"/>
      <c r="H779" s="165" t="s">
        <v>12</v>
      </c>
      <c r="I779" s="610"/>
      <c r="J779" s="610"/>
      <c r="K779" s="93"/>
      <c r="L779" s="93"/>
      <c r="M779" s="93"/>
      <c r="N779" s="93"/>
      <c r="O779" s="93"/>
      <c r="P779" s="93"/>
      <c r="Q779" s="597"/>
      <c r="R779" s="597"/>
      <c r="S779" s="597"/>
      <c r="T779" s="597"/>
      <c r="U779" s="597"/>
      <c r="V779" s="597"/>
      <c r="W779" s="597"/>
      <c r="X779" s="597"/>
      <c r="Y779" s="597"/>
      <c r="Z779" s="597"/>
    </row>
    <row r="780" spans="1:26" ht="19.5" hidden="1">
      <c r="A780" s="592"/>
      <c r="B780" s="600"/>
      <c r="C780" s="750"/>
      <c r="D780" s="638" t="s">
        <v>21</v>
      </c>
      <c r="E780" s="750"/>
      <c r="F780" s="750"/>
      <c r="G780" s="596"/>
      <c r="H780" s="774" t="s">
        <v>12</v>
      </c>
      <c r="I780" s="166"/>
      <c r="J780" s="166"/>
      <c r="K780" s="167"/>
      <c r="L780" s="640">
        <f t="shared" ref="L780:N780" si="315">L781+L782</f>
        <v>0</v>
      </c>
      <c r="M780" s="640">
        <f t="shared" si="315"/>
        <v>0</v>
      </c>
      <c r="N780" s="640">
        <f t="shared" si="315"/>
        <v>0</v>
      </c>
      <c r="O780" s="640">
        <f t="shared" ref="O780:O782" si="316">IF(L780&gt;0,N780*100/L780,0)</f>
        <v>0</v>
      </c>
      <c r="P780" s="640">
        <f t="shared" ref="P780:P782" si="317">IF(M780&gt;0,N780*100/M780,0)</f>
        <v>0</v>
      </c>
      <c r="Q780" s="597"/>
      <c r="R780" s="597"/>
      <c r="S780" s="597"/>
      <c r="T780" s="597"/>
      <c r="U780" s="597"/>
      <c r="V780" s="597"/>
      <c r="W780" s="597"/>
      <c r="X780" s="597"/>
      <c r="Y780" s="597"/>
      <c r="Z780" s="597"/>
    </row>
    <row r="781" spans="1:26" ht="18.75" hidden="1">
      <c r="A781" s="592"/>
      <c r="B781" s="600"/>
      <c r="C781" s="750"/>
      <c r="D781" s="750"/>
      <c r="E781" s="750" t="s">
        <v>18</v>
      </c>
      <c r="F781" s="750"/>
      <c r="G781" s="596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597"/>
      <c r="R781" s="597"/>
      <c r="S781" s="597"/>
      <c r="T781" s="597"/>
      <c r="U781" s="597"/>
      <c r="V781" s="597"/>
      <c r="W781" s="597"/>
      <c r="X781" s="597"/>
      <c r="Y781" s="597"/>
      <c r="Z781" s="597"/>
    </row>
    <row r="782" spans="1:26" ht="18.75" hidden="1">
      <c r="A782" s="592"/>
      <c r="B782" s="600"/>
      <c r="C782" s="750"/>
      <c r="D782" s="750"/>
      <c r="E782" s="750" t="s">
        <v>19</v>
      </c>
      <c r="F782" s="750"/>
      <c r="G782" s="596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597"/>
      <c r="R782" s="597"/>
      <c r="S782" s="597"/>
      <c r="T782" s="597"/>
      <c r="U782" s="597"/>
      <c r="V782" s="597"/>
      <c r="W782" s="597"/>
      <c r="X782" s="597"/>
      <c r="Y782" s="597"/>
      <c r="Z782" s="597"/>
    </row>
    <row r="783" spans="1:26" ht="19.5" hidden="1">
      <c r="A783" s="607"/>
      <c r="B783" s="609"/>
      <c r="C783" s="750" t="s">
        <v>16</v>
      </c>
      <c r="D783" s="841" t="s">
        <v>38</v>
      </c>
      <c r="E783" s="644"/>
      <c r="F783" s="644"/>
      <c r="G783" s="645"/>
      <c r="H783" s="792"/>
      <c r="I783" s="166"/>
      <c r="J783" s="166"/>
      <c r="K783" s="167"/>
      <c r="L783" s="167"/>
      <c r="M783" s="167"/>
      <c r="N783" s="167"/>
      <c r="O783" s="167"/>
      <c r="P783" s="167"/>
      <c r="Q783" s="597"/>
      <c r="R783" s="597"/>
      <c r="S783" s="597"/>
      <c r="T783" s="597"/>
      <c r="U783" s="597"/>
      <c r="V783" s="597"/>
      <c r="W783" s="597"/>
      <c r="X783" s="597"/>
      <c r="Y783" s="597"/>
      <c r="Z783" s="597"/>
    </row>
    <row r="784" spans="1:26" ht="18.75" hidden="1">
      <c r="A784" s="642"/>
      <c r="B784" s="600"/>
      <c r="C784" s="750"/>
      <c r="D784" s="750"/>
      <c r="E784" s="750" t="s">
        <v>318</v>
      </c>
      <c r="F784" s="750"/>
      <c r="G784" s="596"/>
      <c r="H784" s="165" t="s">
        <v>46</v>
      </c>
      <c r="I784" s="610"/>
      <c r="J784" s="610"/>
      <c r="K784" s="93"/>
      <c r="L784" s="93"/>
      <c r="M784" s="93"/>
      <c r="N784" s="93"/>
      <c r="O784" s="93"/>
      <c r="P784" s="93"/>
      <c r="Q784" s="597"/>
      <c r="R784" s="597"/>
      <c r="S784" s="597"/>
      <c r="T784" s="597"/>
      <c r="U784" s="597"/>
      <c r="V784" s="597"/>
      <c r="W784" s="597"/>
      <c r="X784" s="597"/>
      <c r="Y784" s="597"/>
      <c r="Z784" s="597"/>
    </row>
    <row r="785" spans="1:26" ht="19.5" hidden="1">
      <c r="A785" s="793">
        <v>12</v>
      </c>
      <c r="B785" s="794" t="s">
        <v>319</v>
      </c>
      <c r="C785" s="795"/>
      <c r="D785" s="795"/>
      <c r="E785" s="795"/>
      <c r="F785" s="795"/>
      <c r="G785" s="796"/>
      <c r="H785" s="797" t="s">
        <v>46</v>
      </c>
      <c r="I785" s="798">
        <f t="shared" ref="I785:J785" ca="1" si="318">I800</f>
        <v>0</v>
      </c>
      <c r="J785" s="799">
        <f t="shared" ca="1" si="318"/>
        <v>0</v>
      </c>
      <c r="K785" s="800">
        <f ca="1">IF(I785&gt;0,J785*100/I785,0)</f>
        <v>0</v>
      </c>
      <c r="L785" s="801"/>
      <c r="M785" s="801"/>
      <c r="N785" s="801"/>
      <c r="O785" s="801"/>
      <c r="P785" s="801"/>
      <c r="Q785" s="571"/>
      <c r="R785" s="571"/>
      <c r="S785" s="571"/>
      <c r="T785" s="571"/>
      <c r="U785" s="571"/>
      <c r="V785" s="571"/>
      <c r="W785" s="571"/>
      <c r="X785" s="571"/>
      <c r="Y785" s="571"/>
      <c r="Z785" s="571"/>
    </row>
    <row r="786" spans="1:26" ht="19.5" hidden="1">
      <c r="A786" s="590"/>
      <c r="B786" s="568"/>
      <c r="C786" s="754" t="s">
        <v>16</v>
      </c>
      <c r="D786" s="863" t="s">
        <v>17</v>
      </c>
      <c r="E786" s="857"/>
      <c r="F786" s="857"/>
      <c r="G786" s="189"/>
      <c r="H786" s="591" t="s">
        <v>12</v>
      </c>
      <c r="I786" s="269"/>
      <c r="J786" s="269"/>
      <c r="K786" s="496"/>
      <c r="L786" s="195">
        <f t="shared" ref="L786:N786" ca="1" si="319">L787+L788</f>
        <v>0</v>
      </c>
      <c r="M786" s="195">
        <f t="shared" si="319"/>
        <v>0</v>
      </c>
      <c r="N786" s="195">
        <f t="shared" si="319"/>
        <v>0</v>
      </c>
      <c r="O786" s="195">
        <f t="shared" ref="O786:O791" ca="1" si="320">IF(L786&gt;0,N786*100/L786,0)</f>
        <v>0</v>
      </c>
      <c r="P786" s="195">
        <f t="shared" ref="P786:P791" si="321">IF(M786&gt;0,N786*100/M786,0)</f>
        <v>0</v>
      </c>
      <c r="Q786" s="571"/>
      <c r="R786" s="571"/>
      <c r="S786" s="571"/>
      <c r="T786" s="571"/>
      <c r="U786" s="571"/>
      <c r="V786" s="571"/>
      <c r="W786" s="571"/>
      <c r="X786" s="571"/>
      <c r="Y786" s="571"/>
      <c r="Z786" s="571"/>
    </row>
    <row r="787" spans="1:26" ht="18.75" hidden="1">
      <c r="A787" s="592"/>
      <c r="B787" s="600"/>
      <c r="C787" s="750"/>
      <c r="D787" s="711"/>
      <c r="E787" s="750" t="s">
        <v>184</v>
      </c>
      <c r="F787" s="750"/>
      <c r="G787" s="596"/>
      <c r="H787" s="165" t="s">
        <v>12</v>
      </c>
      <c r="I787" s="610"/>
      <c r="J787" s="610"/>
      <c r="K787" s="93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597"/>
      <c r="R787" s="597"/>
      <c r="S787" s="597"/>
      <c r="T787" s="597"/>
      <c r="U787" s="597"/>
      <c r="V787" s="597"/>
      <c r="W787" s="597"/>
      <c r="X787" s="597"/>
      <c r="Y787" s="597"/>
      <c r="Z787" s="597"/>
    </row>
    <row r="788" spans="1:26" ht="18.75" hidden="1">
      <c r="A788" s="592"/>
      <c r="B788" s="600"/>
      <c r="C788" s="600"/>
      <c r="D788" s="609"/>
      <c r="E788" s="750" t="s">
        <v>185</v>
      </c>
      <c r="F788" s="750"/>
      <c r="G788" s="596"/>
      <c r="H788" s="165" t="s">
        <v>12</v>
      </c>
      <c r="I788" s="610"/>
      <c r="J788" s="610"/>
      <c r="K788" s="93"/>
      <c r="L788" s="93">
        <f t="shared" ca="1" si="322"/>
        <v>0</v>
      </c>
      <c r="M788" s="93">
        <f t="shared" si="322"/>
        <v>0</v>
      </c>
      <c r="N788" s="93">
        <f t="shared" si="322"/>
        <v>0</v>
      </c>
      <c r="O788" s="93">
        <f t="shared" ca="1" si="320"/>
        <v>0</v>
      </c>
      <c r="P788" s="93">
        <f t="shared" si="321"/>
        <v>0</v>
      </c>
      <c r="Q788" s="597"/>
      <c r="R788" s="597"/>
      <c r="S788" s="597"/>
      <c r="T788" s="597"/>
      <c r="U788" s="597"/>
      <c r="V788" s="597"/>
      <c r="W788" s="597"/>
      <c r="X788" s="597"/>
      <c r="Y788" s="597"/>
      <c r="Z788" s="597"/>
    </row>
    <row r="789" spans="1:26" ht="18.75" hidden="1">
      <c r="A789" s="590"/>
      <c r="B789" s="568"/>
      <c r="C789" s="568"/>
      <c r="D789" s="599" t="s">
        <v>20</v>
      </c>
      <c r="E789" s="754"/>
      <c r="F789" s="754"/>
      <c r="G789" s="189"/>
      <c r="H789" s="161" t="s">
        <v>12</v>
      </c>
      <c r="I789" s="184"/>
      <c r="J789" s="184"/>
      <c r="K789" s="163"/>
      <c r="L789" s="496">
        <f t="shared" ref="L789:N789" ca="1" si="323">L790+L791</f>
        <v>0</v>
      </c>
      <c r="M789" s="496">
        <f t="shared" si="323"/>
        <v>0</v>
      </c>
      <c r="N789" s="496">
        <f t="shared" si="323"/>
        <v>0</v>
      </c>
      <c r="O789" s="496">
        <f t="shared" ca="1" si="320"/>
        <v>0</v>
      </c>
      <c r="P789" s="496">
        <f t="shared" si="321"/>
        <v>0</v>
      </c>
      <c r="Q789" s="571"/>
      <c r="R789" s="571"/>
      <c r="S789" s="571"/>
      <c r="T789" s="571"/>
      <c r="U789" s="571"/>
      <c r="V789" s="571"/>
      <c r="W789" s="571"/>
      <c r="X789" s="571"/>
      <c r="Y789" s="571"/>
      <c r="Z789" s="571"/>
    </row>
    <row r="790" spans="1:26" ht="18.75" hidden="1">
      <c r="A790" s="592"/>
      <c r="B790" s="600"/>
      <c r="C790" s="600"/>
      <c r="D790" s="609"/>
      <c r="E790" s="750" t="s">
        <v>184</v>
      </c>
      <c r="F790" s="750"/>
      <c r="G790" s="596"/>
      <c r="H790" s="165" t="s">
        <v>12</v>
      </c>
      <c r="I790" s="610"/>
      <c r="J790" s="610"/>
      <c r="K790" s="93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597"/>
      <c r="R790" s="597"/>
      <c r="S790" s="597"/>
      <c r="T790" s="597"/>
      <c r="U790" s="597"/>
      <c r="V790" s="597"/>
      <c r="W790" s="597"/>
      <c r="X790" s="597"/>
      <c r="Y790" s="597"/>
      <c r="Z790" s="597"/>
    </row>
    <row r="791" spans="1:26" ht="18.75" hidden="1">
      <c r="A791" s="592"/>
      <c r="B791" s="600"/>
      <c r="C791" s="600"/>
      <c r="D791" s="609"/>
      <c r="E791" s="750" t="s">
        <v>185</v>
      </c>
      <c r="F791" s="750"/>
      <c r="G791" s="596"/>
      <c r="H791" s="165" t="s">
        <v>12</v>
      </c>
      <c r="I791" s="610"/>
      <c r="J791" s="610"/>
      <c r="K791" s="93"/>
      <c r="L791" s="93">
        <f ca="1">IFERROR(__xludf.DUMMYFUNCTION("IMPORTRANGE(""https://docs.google.com/spreadsheets/d/1QqKyyYR6Q21VydFLVH3TRQUabQu_ym0Zz7PgGX0-kHA/edit?usp=sharing"",""แผน!JJ55"")"),0)</f>
        <v>0</v>
      </c>
      <c r="M791" s="93">
        <v>0</v>
      </c>
      <c r="N791" s="93">
        <f>N792+N793+N794+N795</f>
        <v>0</v>
      </c>
      <c r="O791" s="93">
        <f t="shared" ca="1" si="320"/>
        <v>0</v>
      </c>
      <c r="P791" s="93">
        <f t="shared" si="321"/>
        <v>0</v>
      </c>
      <c r="Q791" s="597"/>
      <c r="R791" s="597"/>
      <c r="S791" s="597"/>
      <c r="T791" s="597"/>
      <c r="U791" s="597"/>
      <c r="V791" s="597"/>
      <c r="W791" s="597"/>
      <c r="X791" s="597"/>
      <c r="Y791" s="597"/>
      <c r="Z791" s="597"/>
    </row>
    <row r="792" spans="1:26" ht="18.75" hidden="1">
      <c r="A792" s="567"/>
      <c r="B792" s="568"/>
      <c r="C792" s="754"/>
      <c r="D792" s="754"/>
      <c r="E792" s="754"/>
      <c r="F792" s="754" t="s">
        <v>186</v>
      </c>
      <c r="G792" s="189"/>
      <c r="H792" s="161" t="s">
        <v>12</v>
      </c>
      <c r="I792" s="269"/>
      <c r="J792" s="269"/>
      <c r="K792" s="496"/>
      <c r="L792" s="496"/>
      <c r="M792" s="496"/>
      <c r="N792" s="817">
        <v>0</v>
      </c>
      <c r="O792" s="496"/>
      <c r="P792" s="496"/>
      <c r="Q792" s="571"/>
      <c r="R792" s="571"/>
      <c r="S792" s="571"/>
      <c r="T792" s="571"/>
      <c r="U792" s="571"/>
      <c r="V792" s="571"/>
      <c r="W792" s="571"/>
      <c r="X792" s="571"/>
      <c r="Y792" s="571"/>
      <c r="Z792" s="571"/>
    </row>
    <row r="793" spans="1:26" ht="18.75" hidden="1">
      <c r="A793" s="567"/>
      <c r="B793" s="568"/>
      <c r="C793" s="754"/>
      <c r="D793" s="754"/>
      <c r="E793" s="754"/>
      <c r="F793" s="754" t="s">
        <v>187</v>
      </c>
      <c r="G793" s="189"/>
      <c r="H793" s="161" t="s">
        <v>12</v>
      </c>
      <c r="I793" s="269"/>
      <c r="J793" s="269"/>
      <c r="K793" s="496"/>
      <c r="L793" s="496"/>
      <c r="M793" s="496"/>
      <c r="N793" s="817">
        <v>0</v>
      </c>
      <c r="O793" s="496"/>
      <c r="P793" s="496"/>
      <c r="Q793" s="571"/>
      <c r="R793" s="571"/>
      <c r="S793" s="571"/>
      <c r="T793" s="571"/>
      <c r="U793" s="571"/>
      <c r="V793" s="571"/>
      <c r="W793" s="571"/>
      <c r="X793" s="571"/>
      <c r="Y793" s="571"/>
      <c r="Z793" s="571"/>
    </row>
    <row r="794" spans="1:26" ht="18.75" hidden="1">
      <c r="A794" s="567"/>
      <c r="B794" s="568"/>
      <c r="C794" s="754"/>
      <c r="D794" s="754"/>
      <c r="E794" s="754"/>
      <c r="F794" s="754" t="s">
        <v>188</v>
      </c>
      <c r="G794" s="189"/>
      <c r="H794" s="161" t="s">
        <v>12</v>
      </c>
      <c r="I794" s="269"/>
      <c r="J794" s="269"/>
      <c r="K794" s="496"/>
      <c r="L794" s="496"/>
      <c r="M794" s="496"/>
      <c r="N794" s="817">
        <v>0</v>
      </c>
      <c r="O794" s="496"/>
      <c r="P794" s="496"/>
      <c r="Q794" s="571"/>
      <c r="R794" s="571"/>
      <c r="S794" s="571"/>
      <c r="T794" s="571"/>
      <c r="U794" s="571"/>
      <c r="V794" s="571"/>
      <c r="W794" s="571"/>
      <c r="X794" s="571"/>
      <c r="Y794" s="571"/>
      <c r="Z794" s="571"/>
    </row>
    <row r="795" spans="1:26" ht="18.75" hidden="1">
      <c r="A795" s="567"/>
      <c r="B795" s="568"/>
      <c r="C795" s="754"/>
      <c r="D795" s="754"/>
      <c r="E795" s="754"/>
      <c r="F795" s="754" t="s">
        <v>189</v>
      </c>
      <c r="G795" s="189"/>
      <c r="H795" s="161" t="s">
        <v>12</v>
      </c>
      <c r="I795" s="269"/>
      <c r="J795" s="269"/>
      <c r="K795" s="496"/>
      <c r="L795" s="496"/>
      <c r="M795" s="496"/>
      <c r="N795" s="817">
        <v>0</v>
      </c>
      <c r="O795" s="496"/>
      <c r="P795" s="496"/>
      <c r="Q795" s="571"/>
      <c r="R795" s="571"/>
      <c r="S795" s="571"/>
      <c r="T795" s="571"/>
      <c r="U795" s="571"/>
      <c r="V795" s="571"/>
      <c r="W795" s="571"/>
      <c r="X795" s="571"/>
      <c r="Y795" s="571"/>
      <c r="Z795" s="571"/>
    </row>
    <row r="796" spans="1:26" ht="18.75" hidden="1">
      <c r="A796" s="590"/>
      <c r="B796" s="568"/>
      <c r="C796" s="754"/>
      <c r="D796" s="599" t="s">
        <v>21</v>
      </c>
      <c r="E796" s="754"/>
      <c r="F796" s="754"/>
      <c r="G796" s="189"/>
      <c r="H796" s="168" t="s">
        <v>12</v>
      </c>
      <c r="I796" s="184"/>
      <c r="J796" s="184"/>
      <c r="K796" s="163"/>
      <c r="L796" s="496">
        <f t="shared" ref="L796:N796" si="324">L797+L798</f>
        <v>0</v>
      </c>
      <c r="M796" s="496">
        <f t="shared" si="324"/>
        <v>0</v>
      </c>
      <c r="N796" s="496">
        <f t="shared" si="324"/>
        <v>0</v>
      </c>
      <c r="O796" s="496">
        <f t="shared" ref="O796:O798" si="325">IF(L796&gt;0,N796*100/L796,0)</f>
        <v>0</v>
      </c>
      <c r="P796" s="496">
        <f t="shared" ref="P796:P798" si="326">IF(M796&gt;0,N796*100/M796,0)</f>
        <v>0</v>
      </c>
      <c r="Q796" s="571"/>
      <c r="R796" s="571"/>
      <c r="S796" s="571"/>
      <c r="T796" s="571"/>
      <c r="U796" s="571"/>
      <c r="V796" s="571"/>
      <c r="W796" s="571"/>
      <c r="X796" s="571"/>
      <c r="Y796" s="571"/>
      <c r="Z796" s="571"/>
    </row>
    <row r="797" spans="1:26" ht="18.75" hidden="1">
      <c r="A797" s="592"/>
      <c r="B797" s="600"/>
      <c r="C797" s="750"/>
      <c r="D797" s="750"/>
      <c r="E797" s="750" t="s">
        <v>18</v>
      </c>
      <c r="F797" s="750"/>
      <c r="G797" s="596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597"/>
      <c r="R797" s="597"/>
      <c r="S797" s="597"/>
      <c r="T797" s="597"/>
      <c r="U797" s="597"/>
      <c r="V797" s="597"/>
      <c r="W797" s="597"/>
      <c r="X797" s="597"/>
      <c r="Y797" s="597"/>
      <c r="Z797" s="597"/>
    </row>
    <row r="798" spans="1:26" ht="18.75" hidden="1">
      <c r="A798" s="592"/>
      <c r="B798" s="600"/>
      <c r="C798" s="750"/>
      <c r="D798" s="750"/>
      <c r="E798" s="750" t="s">
        <v>19</v>
      </c>
      <c r="F798" s="750"/>
      <c r="G798" s="596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597"/>
      <c r="R798" s="597"/>
      <c r="S798" s="597"/>
      <c r="T798" s="597"/>
      <c r="U798" s="597"/>
      <c r="V798" s="597"/>
      <c r="W798" s="597"/>
      <c r="X798" s="597"/>
      <c r="Y798" s="597"/>
      <c r="Z798" s="597"/>
    </row>
    <row r="799" spans="1:26" ht="19.5" hidden="1">
      <c r="A799" s="601"/>
      <c r="B799" s="611"/>
      <c r="C799" s="754" t="s">
        <v>16</v>
      </c>
      <c r="D799" s="840" t="s">
        <v>38</v>
      </c>
      <c r="E799" s="752"/>
      <c r="F799" s="752"/>
      <c r="G799" s="606"/>
      <c r="H799" s="802"/>
      <c r="I799" s="184"/>
      <c r="J799" s="184"/>
      <c r="K799" s="163"/>
      <c r="L799" s="163"/>
      <c r="M799" s="163"/>
      <c r="N799" s="163"/>
      <c r="O799" s="163"/>
      <c r="P799" s="163"/>
      <c r="Q799" s="571"/>
      <c r="R799" s="571"/>
      <c r="S799" s="571"/>
      <c r="T799" s="571"/>
      <c r="U799" s="571"/>
      <c r="V799" s="571"/>
      <c r="W799" s="571"/>
      <c r="X799" s="571"/>
      <c r="Y799" s="571"/>
      <c r="Z799" s="571"/>
    </row>
    <row r="800" spans="1:26" ht="18.75" hidden="1">
      <c r="A800" s="601"/>
      <c r="B800" s="611"/>
      <c r="C800" s="611"/>
      <c r="D800" s="611"/>
      <c r="E800" s="619"/>
      <c r="F800" s="619" t="s">
        <v>320</v>
      </c>
      <c r="G800" s="753"/>
      <c r="H800" s="185" t="s">
        <v>46</v>
      </c>
      <c r="I800" s="184">
        <f ca="1">IFERROR(__xludf.DUMMYFUNCTION("IMPORTRANGE(""https://docs.google.com/spreadsheets/d/1QqKyyYR6Q21VydFLVH3TRQUabQu_ym0Zz7PgGX0-kHA/edit?usp=sharing"",""แผน!JN55"")"),0)</f>
        <v>0</v>
      </c>
      <c r="J800" s="184">
        <f ca="1">IFERROR(__xludf.DUMMYFUNCTION("IMPORTRANGE(""https://docs.google.com/spreadsheets/d/1MaWodYyGHDf7siQLGxnXhG4mBNTNIuy296niS2xXulU/edit?usp=sharing"",""RTK!H55"")"),0)</f>
        <v>0</v>
      </c>
      <c r="K800" s="496">
        <f ca="1">IF(I800&gt;0,J800*100/I800,0)</f>
        <v>0</v>
      </c>
      <c r="L800" s="496"/>
      <c r="M800" s="496"/>
      <c r="N800" s="496"/>
      <c r="O800" s="163"/>
      <c r="P800" s="163"/>
      <c r="Q800" s="571"/>
      <c r="R800" s="571"/>
      <c r="S800" s="571"/>
      <c r="T800" s="571"/>
      <c r="U800" s="571"/>
      <c r="V800" s="571"/>
      <c r="W800" s="571"/>
      <c r="X800" s="571"/>
      <c r="Y800" s="571"/>
      <c r="Z800" s="571"/>
    </row>
    <row r="801" spans="1:26" ht="18.75" hidden="1">
      <c r="A801" s="601"/>
      <c r="B801" s="611"/>
      <c r="C801" s="611"/>
      <c r="D801" s="611"/>
      <c r="E801" s="619"/>
      <c r="F801" s="619"/>
      <c r="G801" s="753"/>
      <c r="H801" s="161" t="s">
        <v>34</v>
      </c>
      <c r="I801" s="184"/>
      <c r="J801" s="269">
        <f ca="1">IFERROR(__xludf.DUMMYFUNCTION("IMPORTRANGE(""https://docs.google.com/spreadsheets/d/1MaWodYyGHDf7siQLGxnXhG4mBNTNIuy296niS2xXulU/edit?usp=sharing"",""RTK!I55"")"),0)</f>
        <v>0</v>
      </c>
      <c r="K801" s="496"/>
      <c r="L801" s="496"/>
      <c r="M801" s="496"/>
      <c r="N801" s="496"/>
      <c r="O801" s="163"/>
      <c r="P801" s="163"/>
      <c r="Q801" s="571"/>
      <c r="R801" s="571"/>
      <c r="S801" s="571"/>
      <c r="T801" s="571"/>
      <c r="U801" s="571"/>
      <c r="V801" s="571"/>
      <c r="W801" s="571"/>
      <c r="X801" s="571"/>
      <c r="Y801" s="571"/>
      <c r="Z801" s="571"/>
    </row>
    <row r="802" spans="1:26" ht="18.75" hidden="1">
      <c r="A802" s="607"/>
      <c r="B802" s="609"/>
      <c r="C802" s="609"/>
      <c r="D802" s="609"/>
      <c r="E802" s="711"/>
      <c r="F802" s="711" t="s">
        <v>321</v>
      </c>
      <c r="G802" s="365"/>
      <c r="H802" s="646" t="s">
        <v>46</v>
      </c>
      <c r="I802" s="166"/>
      <c r="J802" s="610"/>
      <c r="K802" s="167">
        <f>IF(I802&gt;0,J802*100/I802,0)</f>
        <v>0</v>
      </c>
      <c r="L802" s="167"/>
      <c r="M802" s="167"/>
      <c r="N802" s="167"/>
      <c r="O802" s="167"/>
      <c r="P802" s="167"/>
      <c r="Q802" s="597"/>
      <c r="R802" s="597"/>
      <c r="S802" s="597"/>
      <c r="T802" s="597"/>
      <c r="U802" s="597"/>
      <c r="V802" s="597"/>
      <c r="W802" s="597"/>
      <c r="X802" s="597"/>
      <c r="Y802" s="597"/>
      <c r="Z802" s="597"/>
    </row>
    <row r="803" spans="1:26" ht="18.75" hidden="1">
      <c r="A803" s="607"/>
      <c r="B803" s="609"/>
      <c r="C803" s="609"/>
      <c r="D803" s="609"/>
      <c r="E803" s="711"/>
      <c r="F803" s="711"/>
      <c r="G803" s="365"/>
      <c r="H803" s="646" t="s">
        <v>34</v>
      </c>
      <c r="I803" s="166"/>
      <c r="J803" s="610"/>
      <c r="K803" s="167"/>
      <c r="L803" s="167"/>
      <c r="M803" s="167"/>
      <c r="N803" s="167"/>
      <c r="O803" s="167"/>
      <c r="P803" s="167"/>
      <c r="Q803" s="597"/>
      <c r="R803" s="597"/>
      <c r="S803" s="597"/>
      <c r="T803" s="597"/>
      <c r="U803" s="597"/>
      <c r="V803" s="597"/>
      <c r="W803" s="597"/>
      <c r="X803" s="597"/>
      <c r="Y803" s="597"/>
      <c r="Z803" s="597"/>
    </row>
    <row r="804" spans="1:26" ht="19.5" hidden="1">
      <c r="A804" s="784">
        <v>13</v>
      </c>
      <c r="B804" s="785" t="s">
        <v>322</v>
      </c>
      <c r="C804" s="786"/>
      <c r="D804" s="803"/>
      <c r="E804" s="786"/>
      <c r="F804" s="786"/>
      <c r="G804" s="787"/>
      <c r="H804" s="788" t="s">
        <v>46</v>
      </c>
      <c r="I804" s="789"/>
      <c r="J804" s="789">
        <f>J819</f>
        <v>0</v>
      </c>
      <c r="K804" s="790">
        <f>IF(I804&gt;0,J804*100/I804,0)</f>
        <v>0</v>
      </c>
      <c r="L804" s="791"/>
      <c r="M804" s="791"/>
      <c r="N804" s="791"/>
      <c r="O804" s="791"/>
      <c r="P804" s="791"/>
      <c r="Q804" s="597"/>
      <c r="R804" s="597"/>
      <c r="S804" s="597"/>
      <c r="T804" s="597"/>
      <c r="U804" s="597"/>
      <c r="V804" s="597"/>
      <c r="W804" s="597"/>
      <c r="X804" s="597"/>
      <c r="Y804" s="597"/>
      <c r="Z804" s="597"/>
    </row>
    <row r="805" spans="1:26" ht="19.5" hidden="1">
      <c r="A805" s="592"/>
      <c r="B805" s="750"/>
      <c r="C805" s="750" t="s">
        <v>16</v>
      </c>
      <c r="D805" s="864" t="s">
        <v>17</v>
      </c>
      <c r="E805" s="857"/>
      <c r="F805" s="857"/>
      <c r="G805" s="596"/>
      <c r="H805" s="639" t="s">
        <v>12</v>
      </c>
      <c r="I805" s="610"/>
      <c r="J805" s="610"/>
      <c r="K805" s="93"/>
      <c r="L805" s="640">
        <f t="shared" ref="L805:N805" si="327">L806+L807</f>
        <v>0</v>
      </c>
      <c r="M805" s="640">
        <f t="shared" si="327"/>
        <v>0</v>
      </c>
      <c r="N805" s="640">
        <f t="shared" si="327"/>
        <v>0</v>
      </c>
      <c r="O805" s="640">
        <f t="shared" ref="O805:O810" si="328">IF(L805&gt;0,N805*100/L805,0)</f>
        <v>0</v>
      </c>
      <c r="P805" s="640">
        <f t="shared" ref="P805:P810" si="329">IF(M805&gt;0,N805*100/M805,0)</f>
        <v>0</v>
      </c>
      <c r="Q805" s="597"/>
      <c r="R805" s="597"/>
      <c r="S805" s="597"/>
      <c r="T805" s="597"/>
      <c r="U805" s="597"/>
      <c r="V805" s="597"/>
      <c r="W805" s="597"/>
      <c r="X805" s="597"/>
      <c r="Y805" s="597"/>
      <c r="Z805" s="597"/>
    </row>
    <row r="806" spans="1:26" ht="18.75" hidden="1">
      <c r="A806" s="592"/>
      <c r="B806" s="750"/>
      <c r="C806" s="750"/>
      <c r="D806" s="609"/>
      <c r="E806" s="750" t="s">
        <v>184</v>
      </c>
      <c r="F806" s="750"/>
      <c r="G806" s="596"/>
      <c r="H806" s="165" t="s">
        <v>12</v>
      </c>
      <c r="I806" s="610"/>
      <c r="J806" s="610"/>
      <c r="K806" s="93"/>
      <c r="L806" s="93">
        <f t="shared" ref="L806:N807" si="330">L809+L816</f>
        <v>0</v>
      </c>
      <c r="M806" s="93">
        <f t="shared" si="330"/>
        <v>0</v>
      </c>
      <c r="N806" s="93">
        <f t="shared" si="330"/>
        <v>0</v>
      </c>
      <c r="O806" s="93">
        <f t="shared" si="328"/>
        <v>0</v>
      </c>
      <c r="P806" s="93">
        <f t="shared" si="329"/>
        <v>0</v>
      </c>
      <c r="Q806" s="597"/>
      <c r="R806" s="597"/>
      <c r="S806" s="597"/>
      <c r="T806" s="597"/>
      <c r="U806" s="597"/>
      <c r="V806" s="597"/>
      <c r="W806" s="597"/>
      <c r="X806" s="597"/>
      <c r="Y806" s="597"/>
      <c r="Z806" s="597"/>
    </row>
    <row r="807" spans="1:26" ht="18.75" hidden="1">
      <c r="A807" s="592"/>
      <c r="B807" s="750"/>
      <c r="C807" s="750"/>
      <c r="D807" s="609"/>
      <c r="E807" s="750" t="s">
        <v>185</v>
      </c>
      <c r="F807" s="750"/>
      <c r="G807" s="596"/>
      <c r="H807" s="165" t="s">
        <v>12</v>
      </c>
      <c r="I807" s="610"/>
      <c r="J807" s="610"/>
      <c r="K807" s="93"/>
      <c r="L807" s="93">
        <f t="shared" si="330"/>
        <v>0</v>
      </c>
      <c r="M807" s="93">
        <f t="shared" si="330"/>
        <v>0</v>
      </c>
      <c r="N807" s="93">
        <f t="shared" si="330"/>
        <v>0</v>
      </c>
      <c r="O807" s="93">
        <f t="shared" si="328"/>
        <v>0</v>
      </c>
      <c r="P807" s="93">
        <f t="shared" si="329"/>
        <v>0</v>
      </c>
      <c r="Q807" s="597"/>
      <c r="R807" s="597"/>
      <c r="S807" s="597"/>
      <c r="T807" s="597"/>
      <c r="U807" s="597"/>
      <c r="V807" s="597"/>
      <c r="W807" s="597"/>
      <c r="X807" s="597"/>
      <c r="Y807" s="597"/>
      <c r="Z807" s="597"/>
    </row>
    <row r="808" spans="1:26" ht="19.5" hidden="1">
      <c r="A808" s="592"/>
      <c r="B808" s="600"/>
      <c r="C808" s="750"/>
      <c r="D808" s="869" t="s">
        <v>20</v>
      </c>
      <c r="E808" s="857"/>
      <c r="F808" s="857"/>
      <c r="G808" s="596"/>
      <c r="H808" s="639" t="s">
        <v>12</v>
      </c>
      <c r="I808" s="166"/>
      <c r="J808" s="166"/>
      <c r="K808" s="167"/>
      <c r="L808" s="640">
        <f t="shared" ref="L808:N808" si="331">L809+L810</f>
        <v>0</v>
      </c>
      <c r="M808" s="640">
        <f t="shared" si="331"/>
        <v>0</v>
      </c>
      <c r="N808" s="640">
        <f t="shared" si="331"/>
        <v>0</v>
      </c>
      <c r="O808" s="640">
        <f t="shared" si="328"/>
        <v>0</v>
      </c>
      <c r="P808" s="640">
        <f t="shared" si="329"/>
        <v>0</v>
      </c>
      <c r="Q808" s="597"/>
      <c r="R808" s="597"/>
      <c r="S808" s="597"/>
      <c r="T808" s="597"/>
      <c r="U808" s="597"/>
      <c r="V808" s="597"/>
      <c r="W808" s="597"/>
      <c r="X808" s="597"/>
      <c r="Y808" s="597"/>
      <c r="Z808" s="597"/>
    </row>
    <row r="809" spans="1:26" ht="18.75" hidden="1">
      <c r="A809" s="592"/>
      <c r="B809" s="750"/>
      <c r="C809" s="750"/>
      <c r="D809" s="609"/>
      <c r="E809" s="750" t="s">
        <v>184</v>
      </c>
      <c r="F809" s="750"/>
      <c r="G809" s="596"/>
      <c r="H809" s="165" t="s">
        <v>12</v>
      </c>
      <c r="I809" s="610"/>
      <c r="J809" s="610"/>
      <c r="K809" s="93"/>
      <c r="L809" s="93">
        <v>0</v>
      </c>
      <c r="M809" s="93">
        <v>0</v>
      </c>
      <c r="N809" s="93">
        <v>0</v>
      </c>
      <c r="O809" s="93">
        <f t="shared" si="328"/>
        <v>0</v>
      </c>
      <c r="P809" s="93">
        <f t="shared" si="329"/>
        <v>0</v>
      </c>
      <c r="Q809" s="597"/>
      <c r="R809" s="597"/>
      <c r="S809" s="597"/>
      <c r="T809" s="597"/>
      <c r="U809" s="597"/>
      <c r="V809" s="597"/>
      <c r="W809" s="597"/>
      <c r="X809" s="597"/>
      <c r="Y809" s="597"/>
      <c r="Z809" s="597"/>
    </row>
    <row r="810" spans="1:26" ht="18.75" hidden="1">
      <c r="A810" s="592"/>
      <c r="B810" s="750"/>
      <c r="C810" s="750"/>
      <c r="D810" s="609"/>
      <c r="E810" s="750" t="s">
        <v>185</v>
      </c>
      <c r="F810" s="750"/>
      <c r="G810" s="596"/>
      <c r="H810" s="165" t="s">
        <v>12</v>
      </c>
      <c r="I810" s="610"/>
      <c r="J810" s="610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8"/>
        <v>0</v>
      </c>
      <c r="P810" s="93">
        <f t="shared" si="329"/>
        <v>0</v>
      </c>
      <c r="Q810" s="597"/>
      <c r="R810" s="597"/>
      <c r="S810" s="597"/>
      <c r="T810" s="597"/>
      <c r="U810" s="597"/>
      <c r="V810" s="597"/>
      <c r="W810" s="597"/>
      <c r="X810" s="597"/>
      <c r="Y810" s="597"/>
      <c r="Z810" s="597"/>
    </row>
    <row r="811" spans="1:26" ht="18.75" hidden="1">
      <c r="A811" s="642"/>
      <c r="B811" s="600"/>
      <c r="C811" s="750"/>
      <c r="D811" s="600"/>
      <c r="E811" s="750"/>
      <c r="F811" s="750" t="s">
        <v>186</v>
      </c>
      <c r="G811" s="596"/>
      <c r="H811" s="165" t="s">
        <v>12</v>
      </c>
      <c r="I811" s="610"/>
      <c r="J811" s="610"/>
      <c r="K811" s="93"/>
      <c r="L811" s="93"/>
      <c r="M811" s="93"/>
      <c r="N811" s="93"/>
      <c r="O811" s="93"/>
      <c r="P811" s="93"/>
      <c r="Q811" s="597"/>
      <c r="R811" s="597"/>
      <c r="S811" s="597"/>
      <c r="T811" s="597"/>
      <c r="U811" s="597"/>
      <c r="V811" s="597"/>
      <c r="W811" s="597"/>
      <c r="X811" s="597"/>
      <c r="Y811" s="597"/>
      <c r="Z811" s="597"/>
    </row>
    <row r="812" spans="1:26" ht="18.75" hidden="1">
      <c r="A812" s="642"/>
      <c r="B812" s="600"/>
      <c r="C812" s="750"/>
      <c r="D812" s="600"/>
      <c r="E812" s="750"/>
      <c r="F812" s="750" t="s">
        <v>187</v>
      </c>
      <c r="G812" s="596"/>
      <c r="H812" s="165" t="s">
        <v>12</v>
      </c>
      <c r="I812" s="610"/>
      <c r="J812" s="610"/>
      <c r="K812" s="93"/>
      <c r="L812" s="93"/>
      <c r="M812" s="93"/>
      <c r="N812" s="93"/>
      <c r="O812" s="93"/>
      <c r="P812" s="93"/>
      <c r="Q812" s="597"/>
      <c r="R812" s="597"/>
      <c r="S812" s="597"/>
      <c r="T812" s="597"/>
      <c r="U812" s="597"/>
      <c r="V812" s="597"/>
      <c r="W812" s="597"/>
      <c r="X812" s="597"/>
      <c r="Y812" s="597"/>
      <c r="Z812" s="597"/>
    </row>
    <row r="813" spans="1:26" ht="18.75" hidden="1">
      <c r="A813" s="642"/>
      <c r="B813" s="600"/>
      <c r="C813" s="750"/>
      <c r="D813" s="600"/>
      <c r="E813" s="750"/>
      <c r="F813" s="750" t="s">
        <v>188</v>
      </c>
      <c r="G813" s="596"/>
      <c r="H813" s="165" t="s">
        <v>12</v>
      </c>
      <c r="I813" s="610"/>
      <c r="J813" s="610"/>
      <c r="K813" s="93"/>
      <c r="L813" s="93"/>
      <c r="M813" s="93"/>
      <c r="N813" s="93"/>
      <c r="O813" s="93"/>
      <c r="P813" s="93"/>
      <c r="Q813" s="597"/>
      <c r="R813" s="597"/>
      <c r="S813" s="597"/>
      <c r="T813" s="597"/>
      <c r="U813" s="597"/>
      <c r="V813" s="597"/>
      <c r="W813" s="597"/>
      <c r="X813" s="597"/>
      <c r="Y813" s="597"/>
      <c r="Z813" s="597"/>
    </row>
    <row r="814" spans="1:26" ht="18.75" hidden="1">
      <c r="A814" s="642"/>
      <c r="B814" s="600"/>
      <c r="C814" s="750"/>
      <c r="D814" s="600"/>
      <c r="E814" s="750"/>
      <c r="F814" s="750" t="s">
        <v>189</v>
      </c>
      <c r="G814" s="596"/>
      <c r="H814" s="165" t="s">
        <v>12</v>
      </c>
      <c r="I814" s="610"/>
      <c r="J814" s="610"/>
      <c r="K814" s="93"/>
      <c r="L814" s="93"/>
      <c r="M814" s="93"/>
      <c r="N814" s="93"/>
      <c r="O814" s="93"/>
      <c r="P814" s="93"/>
      <c r="Q814" s="597"/>
      <c r="R814" s="597"/>
      <c r="S814" s="597"/>
      <c r="T814" s="597"/>
      <c r="U814" s="597"/>
      <c r="V814" s="597"/>
      <c r="W814" s="597"/>
      <c r="X814" s="597"/>
      <c r="Y814" s="597"/>
      <c r="Z814" s="597"/>
    </row>
    <row r="815" spans="1:26" ht="19.5" hidden="1">
      <c r="A815" s="592"/>
      <c r="B815" s="600"/>
      <c r="C815" s="750"/>
      <c r="D815" s="869" t="s">
        <v>21</v>
      </c>
      <c r="E815" s="857"/>
      <c r="F815" s="857"/>
      <c r="G815" s="596"/>
      <c r="H815" s="774" t="s">
        <v>12</v>
      </c>
      <c r="I815" s="166"/>
      <c r="J815" s="166"/>
      <c r="K815" s="167"/>
      <c r="L815" s="640">
        <f t="shared" ref="L815:N815" si="332">L816+L817</f>
        <v>0</v>
      </c>
      <c r="M815" s="640">
        <f t="shared" si="332"/>
        <v>0</v>
      </c>
      <c r="N815" s="640">
        <f t="shared" si="332"/>
        <v>0</v>
      </c>
      <c r="O815" s="640">
        <f t="shared" ref="O815:O817" si="333">IF(L815&gt;0,N815*100/L815,0)</f>
        <v>0</v>
      </c>
      <c r="P815" s="640">
        <f t="shared" ref="P815:P817" si="334">IF(M815&gt;0,N815*100/M815,0)</f>
        <v>0</v>
      </c>
      <c r="Q815" s="597"/>
      <c r="R815" s="597"/>
      <c r="S815" s="597"/>
      <c r="T815" s="597"/>
      <c r="U815" s="597"/>
      <c r="V815" s="597"/>
      <c r="W815" s="597"/>
      <c r="X815" s="597"/>
      <c r="Y815" s="597"/>
      <c r="Z815" s="597"/>
    </row>
    <row r="816" spans="1:26" ht="18.75" hidden="1">
      <c r="A816" s="592"/>
      <c r="B816" s="600"/>
      <c r="C816" s="750"/>
      <c r="D816" s="600"/>
      <c r="E816" s="750" t="s">
        <v>18</v>
      </c>
      <c r="F816" s="750"/>
      <c r="G816" s="596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3"/>
        <v>0</v>
      </c>
      <c r="P816" s="93">
        <f t="shared" si="334"/>
        <v>0</v>
      </c>
      <c r="Q816" s="597"/>
      <c r="R816" s="597"/>
      <c r="S816" s="597"/>
      <c r="T816" s="597"/>
      <c r="U816" s="597"/>
      <c r="V816" s="597"/>
      <c r="W816" s="597"/>
      <c r="X816" s="597"/>
      <c r="Y816" s="597"/>
      <c r="Z816" s="597"/>
    </row>
    <row r="817" spans="1:26" ht="18.75" hidden="1">
      <c r="A817" s="592"/>
      <c r="B817" s="600"/>
      <c r="C817" s="750"/>
      <c r="D817" s="600"/>
      <c r="E817" s="750" t="s">
        <v>19</v>
      </c>
      <c r="F817" s="750"/>
      <c r="G817" s="596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3"/>
        <v>0</v>
      </c>
      <c r="P817" s="93">
        <f t="shared" si="334"/>
        <v>0</v>
      </c>
      <c r="Q817" s="597"/>
      <c r="R817" s="597"/>
      <c r="S817" s="597"/>
      <c r="T817" s="597"/>
      <c r="U817" s="597"/>
      <c r="V817" s="597"/>
      <c r="W817" s="597"/>
      <c r="X817" s="597"/>
      <c r="Y817" s="597"/>
      <c r="Z817" s="597"/>
    </row>
    <row r="818" spans="1:26" ht="19.5" hidden="1">
      <c r="A818" s="607"/>
      <c r="B818" s="609"/>
      <c r="C818" s="750" t="s">
        <v>16</v>
      </c>
      <c r="D818" s="842" t="s">
        <v>38</v>
      </c>
      <c r="E818" s="644"/>
      <c r="F818" s="644"/>
      <c r="G818" s="645"/>
      <c r="H818" s="365"/>
      <c r="I818" s="166"/>
      <c r="J818" s="166"/>
      <c r="K818" s="167"/>
      <c r="L818" s="167"/>
      <c r="M818" s="167"/>
      <c r="N818" s="167"/>
      <c r="O818" s="167"/>
      <c r="P818" s="167"/>
      <c r="Q818" s="597"/>
      <c r="R818" s="597"/>
      <c r="S818" s="597"/>
      <c r="T818" s="597"/>
      <c r="U818" s="597"/>
      <c r="V818" s="597"/>
      <c r="W818" s="597"/>
      <c r="X818" s="597"/>
      <c r="Y818" s="597"/>
      <c r="Z818" s="597"/>
    </row>
    <row r="819" spans="1:26" ht="19.5" hidden="1" thickBot="1">
      <c r="A819" s="805"/>
      <c r="B819" s="806"/>
      <c r="C819" s="808"/>
      <c r="D819" s="806"/>
      <c r="E819" s="808" t="s">
        <v>323</v>
      </c>
      <c r="F819" s="808"/>
      <c r="G819" s="809"/>
      <c r="H819" s="810" t="s">
        <v>46</v>
      </c>
      <c r="I819" s="811"/>
      <c r="J819" s="811"/>
      <c r="K819" s="812"/>
      <c r="L819" s="812"/>
      <c r="M819" s="812"/>
      <c r="N819" s="812"/>
      <c r="O819" s="812"/>
      <c r="P819" s="812"/>
      <c r="Q819" s="597"/>
      <c r="R819" s="597"/>
      <c r="S819" s="597"/>
      <c r="T819" s="597"/>
      <c r="U819" s="597"/>
      <c r="V819" s="597"/>
      <c r="W819" s="597"/>
      <c r="X819" s="597"/>
      <c r="Y819" s="597"/>
      <c r="Z819" s="597"/>
    </row>
    <row r="820" spans="1:26" ht="19.5">
      <c r="A820" s="813" t="s">
        <v>331</v>
      </c>
      <c r="B820" s="814"/>
      <c r="C820" s="814"/>
      <c r="D820" s="815"/>
      <c r="E820" s="814"/>
      <c r="F820" s="814"/>
      <c r="G820" s="816"/>
      <c r="H820" s="816"/>
      <c r="I820" s="214"/>
      <c r="J820" s="214"/>
      <c r="K820" s="817"/>
      <c r="L820" s="817"/>
      <c r="M820" s="817"/>
      <c r="N820" s="817"/>
      <c r="O820" s="817"/>
      <c r="P820" s="817"/>
      <c r="Q820" s="571"/>
      <c r="R820" s="571"/>
      <c r="S820" s="571"/>
      <c r="T820" s="571"/>
      <c r="U820" s="571"/>
      <c r="V820" s="571"/>
      <c r="W820" s="571"/>
      <c r="X820" s="571"/>
      <c r="Y820" s="571"/>
      <c r="Z820" s="571"/>
    </row>
    <row r="821" spans="1:26" ht="18.75">
      <c r="A821" s="735"/>
      <c r="B821" s="754" t="s">
        <v>325</v>
      </c>
      <c r="C821" s="754"/>
      <c r="D821" s="568"/>
      <c r="E821" s="754"/>
      <c r="F821" s="754"/>
      <c r="G821" s="189"/>
      <c r="H821" s="616" t="s">
        <v>12</v>
      </c>
      <c r="I821" s="269">
        <f ca="1">IFERROR(__xludf.DUMMYFUNCTION("IMPORTRANGE(""https://docs.google.com/spreadsheets/d/19vJNZY_5yjcGF2XGBMNZRCAIB0Kwfpjp8YEOfu-bneM/edit?usp=sharing"",""งานกองทุน!D55"")"),4963658.94)</f>
        <v>4963658.9400000004</v>
      </c>
      <c r="J821" s="269">
        <f ca="1">IFERROR(__xludf.DUMMYFUNCTION("IMPORTRANGE(""https://docs.google.com/spreadsheets/d/19vJNZY_5yjcGF2XGBMNZRCAIB0Kwfpjp8YEOfu-bneM/edit?usp=sharing"",""งานกองทุน!F55"")"),0)</f>
        <v>0</v>
      </c>
      <c r="K821" s="496">
        <f t="shared" ref="K821:K828" ca="1" si="335">IF(I821&gt;0,J821*100/I821,0)</f>
        <v>0</v>
      </c>
      <c r="L821" s="496"/>
      <c r="M821" s="496"/>
      <c r="N821" s="496"/>
      <c r="O821" s="496"/>
      <c r="P821" s="496"/>
      <c r="Q821" s="571"/>
      <c r="R821" s="571"/>
      <c r="S821" s="571"/>
      <c r="T821" s="571"/>
      <c r="U821" s="571"/>
      <c r="V821" s="571"/>
      <c r="W821" s="571"/>
      <c r="X821" s="571"/>
      <c r="Y821" s="571"/>
      <c r="Z821" s="571"/>
    </row>
    <row r="822" spans="1:26" ht="18.75">
      <c r="A822" s="735"/>
      <c r="B822" s="754"/>
      <c r="C822" s="754"/>
      <c r="D822" s="568"/>
      <c r="E822" s="754"/>
      <c r="F822" s="754"/>
      <c r="G822" s="189"/>
      <c r="H822" s="616" t="s">
        <v>35</v>
      </c>
      <c r="I822" s="269">
        <f ca="1">IFERROR(__xludf.DUMMYFUNCTION("IMPORTRANGE(""https://docs.google.com/spreadsheets/d/19vJNZY_5yjcGF2XGBMNZRCAIB0Kwfpjp8YEOfu-bneM/edit?usp=sharing"",""งานกองทุน!C55"")"),213)</f>
        <v>213</v>
      </c>
      <c r="J822" s="269">
        <f ca="1">IFERROR(__xludf.DUMMYFUNCTION("IMPORTRANGE(""https://docs.google.com/spreadsheets/d/19vJNZY_5yjcGF2XGBMNZRCAIB0Kwfpjp8YEOfu-bneM/edit?usp=sharing"",""งานกองทุน!E55"")"),0)</f>
        <v>0</v>
      </c>
      <c r="K822" s="496">
        <f t="shared" ca="1" si="335"/>
        <v>0</v>
      </c>
      <c r="L822" s="496"/>
      <c r="M822" s="496"/>
      <c r="N822" s="496"/>
      <c r="O822" s="496"/>
      <c r="P822" s="496"/>
      <c r="Q822" s="571"/>
      <c r="R822" s="571"/>
      <c r="S822" s="571"/>
      <c r="T822" s="571"/>
      <c r="U822" s="571"/>
      <c r="V822" s="571"/>
      <c r="W822" s="571"/>
      <c r="X822" s="571"/>
      <c r="Y822" s="571"/>
      <c r="Z822" s="571"/>
    </row>
    <row r="823" spans="1:26" ht="18.75">
      <c r="A823" s="735"/>
      <c r="B823" s="754" t="s">
        <v>326</v>
      </c>
      <c r="C823" s="754"/>
      <c r="D823" s="568"/>
      <c r="E823" s="754"/>
      <c r="F823" s="754"/>
      <c r="G823" s="189"/>
      <c r="H823" s="616" t="s">
        <v>12</v>
      </c>
      <c r="I823" s="269">
        <f ca="1">IFERROR(__xludf.DUMMYFUNCTION("IMPORTRANGE(""https://docs.google.com/spreadsheets/d/19vJNZY_5yjcGF2XGBMNZRCAIB0Kwfpjp8YEOfu-bneM/edit?usp=sharing"",""งานกองทุน!I55"")"),9910368.99)</f>
        <v>9910368.9900000002</v>
      </c>
      <c r="J823" s="269">
        <f ca="1">IFERROR(__xludf.DUMMYFUNCTION("IMPORTRANGE(""https://docs.google.com/spreadsheets/d/19vJNZY_5yjcGF2XGBMNZRCAIB0Kwfpjp8YEOfu-bneM/edit?usp=sharing"",""งานกองทุน!K55"")"),109674.22)</f>
        <v>109674.22</v>
      </c>
      <c r="K823" s="496">
        <f t="shared" ca="1" si="335"/>
        <v>1.1066613171584845</v>
      </c>
      <c r="L823" s="496"/>
      <c r="M823" s="496"/>
      <c r="N823" s="496"/>
      <c r="O823" s="496"/>
      <c r="P823" s="496"/>
      <c r="Q823" s="571"/>
      <c r="R823" s="571"/>
      <c r="S823" s="571"/>
      <c r="T823" s="571"/>
      <c r="U823" s="571"/>
      <c r="V823" s="571"/>
      <c r="W823" s="571"/>
      <c r="X823" s="571"/>
      <c r="Y823" s="571"/>
      <c r="Z823" s="571"/>
    </row>
    <row r="824" spans="1:26" ht="18.75">
      <c r="A824" s="735"/>
      <c r="B824" s="754"/>
      <c r="C824" s="754"/>
      <c r="D824" s="568"/>
      <c r="E824" s="754"/>
      <c r="F824" s="754"/>
      <c r="G824" s="189"/>
      <c r="H824" s="616" t="s">
        <v>35</v>
      </c>
      <c r="I824" s="269">
        <f ca="1">IFERROR(__xludf.DUMMYFUNCTION("IMPORTRANGE(""https://docs.google.com/spreadsheets/d/19vJNZY_5yjcGF2XGBMNZRCAIB0Kwfpjp8YEOfu-bneM/edit?usp=sharing"",""งานกองทุน!H55"")"),243)</f>
        <v>243</v>
      </c>
      <c r="J824" s="269">
        <f ca="1">IFERROR(__xludf.DUMMYFUNCTION("IMPORTRANGE(""https://docs.google.com/spreadsheets/d/19vJNZY_5yjcGF2XGBMNZRCAIB0Kwfpjp8YEOfu-bneM/edit?usp=sharing"",""งานกองทุน!J55"")"),21)</f>
        <v>21</v>
      </c>
      <c r="K824" s="496">
        <f t="shared" ca="1" si="335"/>
        <v>8.6419753086419746</v>
      </c>
      <c r="L824" s="496"/>
      <c r="M824" s="496"/>
      <c r="N824" s="496"/>
      <c r="O824" s="496"/>
      <c r="P824" s="496"/>
      <c r="Q824" s="571"/>
      <c r="R824" s="571"/>
      <c r="S824" s="571"/>
      <c r="T824" s="571"/>
      <c r="U824" s="571"/>
      <c r="V824" s="571"/>
      <c r="W824" s="571"/>
      <c r="X824" s="571"/>
      <c r="Y824" s="571"/>
      <c r="Z824" s="571"/>
    </row>
    <row r="825" spans="1:26" ht="18.75">
      <c r="A825" s="735"/>
      <c r="B825" s="754" t="s">
        <v>327</v>
      </c>
      <c r="C825" s="754"/>
      <c r="D825" s="568"/>
      <c r="E825" s="754"/>
      <c r="F825" s="754"/>
      <c r="G825" s="189"/>
      <c r="H825" s="616" t="s">
        <v>12</v>
      </c>
      <c r="I825" s="269">
        <f ca="1">IFERROR(__xludf.DUMMYFUNCTION("IMPORTRANGE(""https://docs.google.com/spreadsheets/d/19vJNZY_5yjcGF2XGBMNZRCAIB0Kwfpjp8YEOfu-bneM/edit?usp=sharing"",""งานกองทุน!N55"")"),5713540.26)</f>
        <v>5713540.2599999998</v>
      </c>
      <c r="J825" s="269">
        <f ca="1">IFERROR(__xludf.DUMMYFUNCTION("IMPORTRANGE(""https://docs.google.com/spreadsheets/d/19vJNZY_5yjcGF2XGBMNZRCAIB0Kwfpjp8YEOfu-bneM/edit?usp=sharing"",""งานกองทุน!P55"")"),157801.03)</f>
        <v>157801.03</v>
      </c>
      <c r="K825" s="496">
        <f t="shared" ca="1" si="335"/>
        <v>2.761878324455878</v>
      </c>
      <c r="L825" s="496"/>
      <c r="M825" s="496"/>
      <c r="N825" s="496"/>
      <c r="O825" s="496"/>
      <c r="P825" s="496"/>
      <c r="Q825" s="571"/>
      <c r="R825" s="571"/>
      <c r="S825" s="571"/>
      <c r="T825" s="571"/>
      <c r="U825" s="571"/>
      <c r="V825" s="571"/>
      <c r="W825" s="571"/>
      <c r="X825" s="571"/>
      <c r="Y825" s="571"/>
      <c r="Z825" s="571"/>
    </row>
    <row r="826" spans="1:26" ht="18.75">
      <c r="A826" s="735"/>
      <c r="B826" s="754"/>
      <c r="C826" s="754"/>
      <c r="D826" s="568"/>
      <c r="E826" s="754"/>
      <c r="F826" s="754"/>
      <c r="G826" s="189"/>
      <c r="H826" s="616" t="s">
        <v>35</v>
      </c>
      <c r="I826" s="269">
        <f ca="1">IFERROR(__xludf.DUMMYFUNCTION("IMPORTRANGE(""https://docs.google.com/spreadsheets/d/19vJNZY_5yjcGF2XGBMNZRCAIB0Kwfpjp8YEOfu-bneM/edit?usp=sharing"",""งานกองทุน!M55"")"),992)</f>
        <v>992</v>
      </c>
      <c r="J826" s="269">
        <f ca="1">IFERROR(__xludf.DUMMYFUNCTION("IMPORTRANGE(""https://docs.google.com/spreadsheets/d/19vJNZY_5yjcGF2XGBMNZRCAIB0Kwfpjp8YEOfu-bneM/edit?usp=sharing"",""งานกองทุน!O55"")"),61)</f>
        <v>61</v>
      </c>
      <c r="K826" s="496">
        <f t="shared" ca="1" si="335"/>
        <v>6.149193548387097</v>
      </c>
      <c r="L826" s="496"/>
      <c r="M826" s="496"/>
      <c r="N826" s="496"/>
      <c r="O826" s="496"/>
      <c r="P826" s="496"/>
      <c r="Q826" s="571"/>
      <c r="R826" s="571"/>
      <c r="S826" s="571"/>
      <c r="T826" s="571"/>
      <c r="U826" s="571"/>
      <c r="V826" s="571"/>
      <c r="W826" s="571"/>
      <c r="X826" s="571"/>
      <c r="Y826" s="571"/>
      <c r="Z826" s="571"/>
    </row>
    <row r="827" spans="1:26" ht="18.75">
      <c r="A827" s="735"/>
      <c r="B827" s="754" t="s">
        <v>328</v>
      </c>
      <c r="C827" s="754"/>
      <c r="D827" s="568"/>
      <c r="E827" s="754"/>
      <c r="F827" s="754"/>
      <c r="G827" s="189"/>
      <c r="H827" s="616" t="s">
        <v>12</v>
      </c>
      <c r="I827" s="269">
        <f ca="1">IFERROR(__xludf.DUMMYFUNCTION("IMPORTRANGE(""https://docs.google.com/spreadsheets/d/19vJNZY_5yjcGF2XGBMNZRCAIB0Kwfpjp8YEOfu-bneM/edit?usp=sharing"",""งานกองทุน!S55"")"),3000000)</f>
        <v>3000000</v>
      </c>
      <c r="J827" s="269">
        <f ca="1">IFERROR(__xludf.DUMMYFUNCTION("IMPORTRANGE(""https://docs.google.com/spreadsheets/d/19vJNZY_5yjcGF2XGBMNZRCAIB0Kwfpjp8YEOfu-bneM/edit?usp=sharing"",""งานกองทุน!U55"")"),0)</f>
        <v>0</v>
      </c>
      <c r="K827" s="496">
        <f t="shared" ca="1" si="335"/>
        <v>0</v>
      </c>
      <c r="L827" s="496"/>
      <c r="M827" s="496"/>
      <c r="N827" s="496"/>
      <c r="O827" s="496"/>
      <c r="P827" s="496"/>
      <c r="Q827" s="571"/>
      <c r="R827" s="571"/>
      <c r="S827" s="571"/>
      <c r="T827" s="571"/>
      <c r="U827" s="571"/>
      <c r="V827" s="571"/>
      <c r="W827" s="571"/>
      <c r="X827" s="571"/>
      <c r="Y827" s="571"/>
      <c r="Z827" s="571"/>
    </row>
    <row r="828" spans="1:26" ht="18.75">
      <c r="A828" s="738"/>
      <c r="B828" s="740"/>
      <c r="C828" s="740"/>
      <c r="D828" s="739"/>
      <c r="E828" s="740"/>
      <c r="F828" s="740"/>
      <c r="G828" s="818"/>
      <c r="H828" s="819" t="s">
        <v>35</v>
      </c>
      <c r="I828" s="499">
        <f ca="1">IFERROR(__xludf.DUMMYFUNCTION("IMPORTRANGE(""https://docs.google.com/spreadsheets/d/19vJNZY_5yjcGF2XGBMNZRCAIB0Kwfpjp8YEOfu-bneM/edit?usp=sharing"",""งานกองทุน!R55"")"),119)</f>
        <v>119</v>
      </c>
      <c r="J828" s="499">
        <f ca="1">IFERROR(__xludf.DUMMYFUNCTION("IMPORTRANGE(""https://docs.google.com/spreadsheets/d/19vJNZY_5yjcGF2XGBMNZRCAIB0Kwfpjp8YEOfu-bneM/edit?usp=sharing"",""งานกองทุน!T55"")"),0)</f>
        <v>0</v>
      </c>
      <c r="K828" s="500">
        <f t="shared" ca="1" si="335"/>
        <v>0</v>
      </c>
      <c r="L828" s="500"/>
      <c r="M828" s="500"/>
      <c r="N828" s="500"/>
      <c r="O828" s="500"/>
      <c r="P828" s="500"/>
      <c r="Q828" s="571"/>
      <c r="R828" s="571"/>
      <c r="S828" s="571"/>
      <c r="T828" s="571"/>
      <c r="U828" s="571"/>
      <c r="V828" s="571"/>
      <c r="W828" s="571"/>
      <c r="X828" s="571"/>
      <c r="Y828" s="571"/>
      <c r="Z828" s="571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544:F544"/>
    <mergeCell ref="A7:G7"/>
    <mergeCell ref="A17:G17"/>
    <mergeCell ref="A27:G27"/>
    <mergeCell ref="B40:G40"/>
    <mergeCell ref="A50:G50"/>
    <mergeCell ref="B51:G51"/>
    <mergeCell ref="D419:F419"/>
    <mergeCell ref="D444:F444"/>
    <mergeCell ref="D467:F467"/>
    <mergeCell ref="D502:F502"/>
    <mergeCell ref="D523:F523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 gridLines="1"/>
  <pageMargins left="0.23622047244094491" right="0.23622047244094491" top="0.74803149606299213" bottom="0.74803149606299213" header="0" footer="0"/>
  <pageSetup paperSize="9" scale="42" fitToHeight="0" pageOrder="overThenDown" orientation="portrait" cellComments="atEnd" r:id="rId1"/>
  <headerFooter>
    <oddFooter>&amp;Cหน้า &amp;P/&amp;N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68C436-92EC-4B3B-A9B0-E24A2610DE95}">
  <sheetPr>
    <outlinePr summaryBelow="0" summaryRight="0"/>
    <pageSetUpPr fitToPage="1"/>
  </sheetPr>
  <dimension ref="A1:Z828"/>
  <sheetViews>
    <sheetView view="pageBreakPreview" zoomScale="60" zoomScaleNormal="100" workbookViewId="0">
      <selection activeCell="A2" sqref="A2:P2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9" width="18.7109375" bestFit="1" customWidth="1"/>
    <col min="10" max="10" width="14.42578125" bestFit="1" customWidth="1"/>
    <col min="11" max="11" width="12.5703125" customWidth="1"/>
    <col min="12" max="13" width="21.28515625" bestFit="1" customWidth="1"/>
    <col min="14" max="14" width="18.7109375" bestFit="1" customWidth="1"/>
    <col min="15" max="16" width="17.5703125" customWidth="1"/>
  </cols>
  <sheetData>
    <row r="1" spans="1:26" ht="19.5">
      <c r="A1" s="844" t="s">
        <v>0</v>
      </c>
      <c r="B1" s="845"/>
      <c r="C1" s="845"/>
      <c r="D1" s="845"/>
      <c r="E1" s="845"/>
      <c r="F1" s="845"/>
      <c r="G1" s="845"/>
      <c r="H1" s="845"/>
      <c r="I1" s="845"/>
      <c r="J1" s="845"/>
      <c r="K1" s="845"/>
      <c r="L1" s="845"/>
      <c r="M1" s="845"/>
      <c r="N1" s="845"/>
      <c r="O1" s="845"/>
      <c r="P1" s="845"/>
    </row>
    <row r="2" spans="1:26" ht="19.5">
      <c r="A2" s="844" t="s">
        <v>337</v>
      </c>
      <c r="B2" s="845"/>
      <c r="C2" s="845"/>
      <c r="D2" s="845"/>
      <c r="E2" s="845"/>
      <c r="F2" s="845"/>
      <c r="G2" s="845"/>
      <c r="H2" s="845"/>
      <c r="I2" s="845"/>
      <c r="J2" s="845"/>
      <c r="K2" s="845"/>
      <c r="L2" s="845"/>
      <c r="M2" s="845"/>
      <c r="N2" s="845"/>
      <c r="O2" s="845"/>
      <c r="P2" s="845"/>
    </row>
    <row r="3" spans="1:26" ht="19.5">
      <c r="A3" s="844" t="s">
        <v>347</v>
      </c>
      <c r="B3" s="845"/>
      <c r="C3" s="845"/>
      <c r="D3" s="845"/>
      <c r="E3" s="845"/>
      <c r="F3" s="845"/>
      <c r="G3" s="845"/>
      <c r="H3" s="845"/>
      <c r="I3" s="845"/>
      <c r="J3" s="845"/>
      <c r="K3" s="845"/>
      <c r="L3" s="845"/>
      <c r="M3" s="845"/>
      <c r="N3" s="845"/>
      <c r="O3" s="845"/>
      <c r="P3" s="845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52" t="s">
        <v>2</v>
      </c>
      <c r="B5" s="845"/>
      <c r="C5" s="845"/>
      <c r="D5" s="845"/>
      <c r="E5" s="845"/>
      <c r="F5" s="845"/>
      <c r="G5" s="853"/>
      <c r="H5" s="846" t="s">
        <v>3</v>
      </c>
      <c r="I5" s="848" t="s">
        <v>4</v>
      </c>
      <c r="J5" s="849"/>
      <c r="K5" s="847"/>
      <c r="L5" s="850" t="s">
        <v>5</v>
      </c>
      <c r="M5" s="847"/>
      <c r="N5" s="851" t="s">
        <v>6</v>
      </c>
      <c r="O5" s="849"/>
      <c r="P5" s="847"/>
    </row>
    <row r="6" spans="1:26" ht="19.5">
      <c r="A6" s="854"/>
      <c r="B6" s="849"/>
      <c r="C6" s="849"/>
      <c r="D6" s="849"/>
      <c r="E6" s="849"/>
      <c r="F6" s="849"/>
      <c r="G6" s="847"/>
      <c r="H6" s="847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55" t="s">
        <v>15</v>
      </c>
      <c r="B7" s="849"/>
      <c r="C7" s="849"/>
      <c r="D7" s="849"/>
      <c r="E7" s="849"/>
      <c r="F7" s="849"/>
      <c r="G7" s="847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5294337</v>
      </c>
      <c r="M8" s="22">
        <f t="shared" ca="1" si="0"/>
        <v>2444967</v>
      </c>
      <c r="N8" s="22">
        <f t="shared" ca="1" si="0"/>
        <v>818184.15</v>
      </c>
      <c r="O8" s="22">
        <f t="shared" ref="O8:O16" ca="1" si="1">IF(L8&gt;0,N8*100/L8,0)</f>
        <v>15.453949191371837</v>
      </c>
      <c r="P8" s="22">
        <f t="shared" ref="P8:P16" ca="1" si="2">IF(M8&gt;0,N8*100/M8,0)</f>
        <v>33.464016078744621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5294337</v>
      </c>
      <c r="M10" s="30">
        <f t="shared" ca="1" si="3"/>
        <v>2444967</v>
      </c>
      <c r="N10" s="30">
        <f t="shared" ca="1" si="3"/>
        <v>818184.15</v>
      </c>
      <c r="O10" s="30">
        <f t="shared" ca="1" si="1"/>
        <v>15.453949191371837</v>
      </c>
      <c r="P10" s="30">
        <f t="shared" ca="1" si="2"/>
        <v>33.464016078744621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16" t="s">
        <v>12</v>
      </c>
      <c r="I11" s="269"/>
      <c r="J11" s="269"/>
      <c r="K11" s="496"/>
      <c r="L11" s="496">
        <f t="shared" ref="L11:N11" ca="1" si="4">L12+L13</f>
        <v>4353437</v>
      </c>
      <c r="M11" s="496">
        <f t="shared" ca="1" si="4"/>
        <v>1504067</v>
      </c>
      <c r="N11" s="496">
        <f t="shared" ca="1" si="4"/>
        <v>727284.15</v>
      </c>
      <c r="O11" s="496">
        <f t="shared" ca="1" si="1"/>
        <v>16.70597622062752</v>
      </c>
      <c r="P11" s="496">
        <f t="shared" ca="1" si="2"/>
        <v>48.354504819266694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2" t="s">
        <v>18</v>
      </c>
      <c r="F12" s="40"/>
      <c r="G12" s="42"/>
      <c r="H12" s="43" t="s">
        <v>12</v>
      </c>
      <c r="I12" s="610"/>
      <c r="J12" s="610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2" t="s">
        <v>19</v>
      </c>
      <c r="F13" s="40"/>
      <c r="G13" s="42"/>
      <c r="H13" s="43" t="s">
        <v>12</v>
      </c>
      <c r="I13" s="610"/>
      <c r="J13" s="610"/>
      <c r="K13" s="93"/>
      <c r="L13" s="93">
        <f t="shared" ca="1" si="5"/>
        <v>4353437</v>
      </c>
      <c r="M13" s="93">
        <f t="shared" ca="1" si="5"/>
        <v>1504067</v>
      </c>
      <c r="N13" s="93">
        <f t="shared" ca="1" si="5"/>
        <v>727284.15</v>
      </c>
      <c r="O13" s="93">
        <f t="shared" ca="1" si="1"/>
        <v>16.70597622062752</v>
      </c>
      <c r="P13" s="93">
        <f t="shared" ca="1" si="2"/>
        <v>48.354504819266694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16" t="s">
        <v>12</v>
      </c>
      <c r="I14" s="269"/>
      <c r="J14" s="269"/>
      <c r="K14" s="496"/>
      <c r="L14" s="496">
        <f t="shared" ref="L14:N14" ca="1" si="6">L15+L16</f>
        <v>940900</v>
      </c>
      <c r="M14" s="496">
        <f t="shared" ca="1" si="6"/>
        <v>940900</v>
      </c>
      <c r="N14" s="496">
        <f t="shared" ca="1" si="6"/>
        <v>90900</v>
      </c>
      <c r="O14" s="496">
        <f t="shared" ca="1" si="1"/>
        <v>9.6609629078541825</v>
      </c>
      <c r="P14" s="496">
        <f t="shared" ca="1" si="2"/>
        <v>9.6609629078541825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2" t="s">
        <v>18</v>
      </c>
      <c r="F15" s="40"/>
      <c r="G15" s="42"/>
      <c r="H15" s="43" t="s">
        <v>12</v>
      </c>
      <c r="I15" s="610"/>
      <c r="J15" s="610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940900</v>
      </c>
      <c r="M16" s="52">
        <f t="shared" ca="1" si="7"/>
        <v>940900</v>
      </c>
      <c r="N16" s="52">
        <f t="shared" ca="1" si="7"/>
        <v>90900</v>
      </c>
      <c r="O16" s="52">
        <f t="shared" ca="1" si="1"/>
        <v>9.6609629078541825</v>
      </c>
      <c r="P16" s="52">
        <f t="shared" ca="1" si="2"/>
        <v>9.6609629078541825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55" t="s">
        <v>22</v>
      </c>
      <c r="B17" s="849"/>
      <c r="C17" s="849"/>
      <c r="D17" s="849"/>
      <c r="E17" s="849"/>
      <c r="F17" s="849"/>
      <c r="G17" s="847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3931919</v>
      </c>
      <c r="M18" s="22">
        <f t="shared" ca="1" si="8"/>
        <v>2444967</v>
      </c>
      <c r="N18" s="22">
        <f t="shared" ca="1" si="8"/>
        <v>785484.15</v>
      </c>
      <c r="O18" s="22">
        <f t="shared" ref="O18:O26" ca="1" si="9">IF(L18&gt;0,N18*100/L18,0)</f>
        <v>19.977119315021493</v>
      </c>
      <c r="P18" s="22">
        <f t="shared" ref="P18:P26" ca="1" si="10">IF(M18&gt;0,N18*100/M18,0)</f>
        <v>32.126574714505352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3931919</v>
      </c>
      <c r="M20" s="30">
        <f t="shared" ca="1" si="11"/>
        <v>2444967</v>
      </c>
      <c r="N20" s="30">
        <f t="shared" ca="1" si="11"/>
        <v>785484.15</v>
      </c>
      <c r="O20" s="30">
        <f t="shared" ca="1" si="9"/>
        <v>19.977119315021493</v>
      </c>
      <c r="P20" s="30">
        <f t="shared" ca="1" si="10"/>
        <v>32.126574714505352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16" t="s">
        <v>12</v>
      </c>
      <c r="I21" s="269"/>
      <c r="J21" s="269"/>
      <c r="K21" s="496"/>
      <c r="L21" s="496">
        <f t="shared" ref="L21:N21" ca="1" si="12">L22+L23</f>
        <v>2991019</v>
      </c>
      <c r="M21" s="496">
        <f t="shared" ca="1" si="12"/>
        <v>1504067</v>
      </c>
      <c r="N21" s="496">
        <f t="shared" ca="1" si="12"/>
        <v>694584.15</v>
      </c>
      <c r="O21" s="496">
        <f t="shared" ca="1" si="9"/>
        <v>23.222324899975561</v>
      </c>
      <c r="P21" s="496">
        <f t="shared" ca="1" si="10"/>
        <v>46.180399543371408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2" t="s">
        <v>18</v>
      </c>
      <c r="F22" s="40"/>
      <c r="G22" s="42"/>
      <c r="H22" s="43" t="s">
        <v>12</v>
      </c>
      <c r="I22" s="610"/>
      <c r="J22" s="610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2" t="s">
        <v>19</v>
      </c>
      <c r="F23" s="40"/>
      <c r="G23" s="42"/>
      <c r="H23" s="43" t="s">
        <v>12</v>
      </c>
      <c r="I23" s="610"/>
      <c r="J23" s="610"/>
      <c r="K23" s="93"/>
      <c r="L23" s="93">
        <f t="shared" ca="1" si="13"/>
        <v>2991019</v>
      </c>
      <c r="M23" s="93">
        <f t="shared" ca="1" si="13"/>
        <v>1504067</v>
      </c>
      <c r="N23" s="93">
        <f t="shared" ca="1" si="13"/>
        <v>694584.15</v>
      </c>
      <c r="O23" s="93">
        <f t="shared" ca="1" si="9"/>
        <v>23.222324899975561</v>
      </c>
      <c r="P23" s="93">
        <f t="shared" ca="1" si="10"/>
        <v>46.180399543371408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16" t="s">
        <v>12</v>
      </c>
      <c r="I24" s="269"/>
      <c r="J24" s="269"/>
      <c r="K24" s="496"/>
      <c r="L24" s="496">
        <f t="shared" ref="L24:N24" ca="1" si="14">L25+L26</f>
        <v>940900</v>
      </c>
      <c r="M24" s="496">
        <f t="shared" ca="1" si="14"/>
        <v>940900</v>
      </c>
      <c r="N24" s="496">
        <f t="shared" ca="1" si="14"/>
        <v>90900</v>
      </c>
      <c r="O24" s="496">
        <f t="shared" ca="1" si="9"/>
        <v>9.6609629078541825</v>
      </c>
      <c r="P24" s="496">
        <f t="shared" ca="1" si="10"/>
        <v>9.6609629078541825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2" t="s">
        <v>18</v>
      </c>
      <c r="F25" s="40"/>
      <c r="G25" s="42"/>
      <c r="H25" s="43" t="s">
        <v>12</v>
      </c>
      <c r="I25" s="610"/>
      <c r="J25" s="610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940900</v>
      </c>
      <c r="M26" s="52">
        <f t="shared" ca="1" si="15"/>
        <v>940900</v>
      </c>
      <c r="N26" s="52">
        <f t="shared" ca="1" si="15"/>
        <v>90900</v>
      </c>
      <c r="O26" s="52">
        <f t="shared" ca="1" si="9"/>
        <v>9.6609629078541825</v>
      </c>
      <c r="P26" s="52">
        <f t="shared" ca="1" si="10"/>
        <v>9.6609629078541825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55" t="s">
        <v>23</v>
      </c>
      <c r="B27" s="849"/>
      <c r="C27" s="849"/>
      <c r="D27" s="849"/>
      <c r="E27" s="849"/>
      <c r="F27" s="849"/>
      <c r="G27" s="847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1362418</v>
      </c>
      <c r="M28" s="22">
        <f t="shared" si="16"/>
        <v>0</v>
      </c>
      <c r="N28" s="22">
        <f t="shared" si="16"/>
        <v>32700</v>
      </c>
      <c r="O28" s="22">
        <f t="shared" ref="O28:O37" ca="1" si="17">IF(L28&gt;0,N28*100/L28,0)</f>
        <v>2.4001444490604205</v>
      </c>
      <c r="P28" s="22">
        <f t="shared" ref="P28:P37" si="18">IF(M28&gt;0,N28*100/M28,0)</f>
        <v>0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1362418</v>
      </c>
      <c r="M30" s="30">
        <f t="shared" si="19"/>
        <v>0</v>
      </c>
      <c r="N30" s="30">
        <f t="shared" si="19"/>
        <v>32700</v>
      </c>
      <c r="O30" s="30">
        <f t="shared" ca="1" si="17"/>
        <v>2.4001444490604205</v>
      </c>
      <c r="P30" s="30">
        <f t="shared" si="18"/>
        <v>0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16" t="s">
        <v>12</v>
      </c>
      <c r="I31" s="269"/>
      <c r="J31" s="269"/>
      <c r="K31" s="496"/>
      <c r="L31" s="496">
        <f t="shared" ref="L31:N31" ca="1" si="20">L32+L33</f>
        <v>1362418</v>
      </c>
      <c r="M31" s="496">
        <f t="shared" si="20"/>
        <v>0</v>
      </c>
      <c r="N31" s="496">
        <f t="shared" si="20"/>
        <v>32700</v>
      </c>
      <c r="O31" s="496">
        <f t="shared" ca="1" si="17"/>
        <v>2.4001444490604205</v>
      </c>
      <c r="P31" s="496">
        <f t="shared" si="18"/>
        <v>0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2" t="s">
        <v>18</v>
      </c>
      <c r="F32" s="40"/>
      <c r="G32" s="42"/>
      <c r="H32" s="43" t="s">
        <v>12</v>
      </c>
      <c r="I32" s="610"/>
      <c r="J32" s="610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2" t="s">
        <v>19</v>
      </c>
      <c r="F33" s="40"/>
      <c r="G33" s="42"/>
      <c r="H33" s="43" t="s">
        <v>12</v>
      </c>
      <c r="I33" s="610"/>
      <c r="J33" s="610"/>
      <c r="K33" s="93"/>
      <c r="L33" s="93">
        <f t="shared" ca="1" si="21"/>
        <v>1362418</v>
      </c>
      <c r="M33" s="93">
        <f t="shared" si="21"/>
        <v>0</v>
      </c>
      <c r="N33" s="93">
        <f t="shared" si="21"/>
        <v>32700</v>
      </c>
      <c r="O33" s="93">
        <f t="shared" ca="1" si="17"/>
        <v>2.4001444490604205</v>
      </c>
      <c r="P33" s="93">
        <f t="shared" si="18"/>
        <v>0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16" t="s">
        <v>12</v>
      </c>
      <c r="I34" s="269"/>
      <c r="J34" s="269"/>
      <c r="K34" s="496"/>
      <c r="L34" s="496">
        <f t="shared" ref="L34:N34" ca="1" si="22">L35+L36</f>
        <v>0</v>
      </c>
      <c r="M34" s="496">
        <f t="shared" si="22"/>
        <v>0</v>
      </c>
      <c r="N34" s="496">
        <f t="shared" si="22"/>
        <v>0</v>
      </c>
      <c r="O34" s="496">
        <f t="shared" ca="1" si="17"/>
        <v>0</v>
      </c>
      <c r="P34" s="496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2" t="s">
        <v>18</v>
      </c>
      <c r="F35" s="40"/>
      <c r="G35" s="42"/>
      <c r="H35" s="43" t="s">
        <v>12</v>
      </c>
      <c r="I35" s="610"/>
      <c r="J35" s="610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53" t="s">
        <v>24</v>
      </c>
      <c r="B37" s="54"/>
      <c r="C37" s="54"/>
      <c r="D37" s="54"/>
      <c r="E37" s="54"/>
      <c r="F37" s="54"/>
      <c r="G37" s="55"/>
      <c r="H37" s="56"/>
      <c r="I37" s="423"/>
      <c r="J37" s="423"/>
      <c r="K37" s="58"/>
      <c r="L37" s="59">
        <f t="shared" ref="L37:N37" ca="1" si="24">L41+L53+L66+L88+L119+L132+L149+L165+L181+L261+L277+L298+L315+L328+L345+L389+L402</f>
        <v>3931919</v>
      </c>
      <c r="M37" s="59">
        <f t="shared" ca="1" si="24"/>
        <v>2444967</v>
      </c>
      <c r="N37" s="59">
        <f t="shared" ca="1" si="24"/>
        <v>785484.15</v>
      </c>
      <c r="O37" s="59">
        <f t="shared" ca="1" si="17"/>
        <v>19.977119315021493</v>
      </c>
      <c r="P37" s="59">
        <f t="shared" ca="1" si="18"/>
        <v>32.126574714505352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56" t="s">
        <v>27</v>
      </c>
      <c r="C40" s="857"/>
      <c r="D40" s="857"/>
      <c r="E40" s="857"/>
      <c r="F40" s="857"/>
      <c r="G40" s="858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20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562639</v>
      </c>
      <c r="M41" s="85">
        <f t="shared" ca="1" si="25"/>
        <v>287037</v>
      </c>
      <c r="N41" s="85">
        <f t="shared" ca="1" si="25"/>
        <v>109440</v>
      </c>
      <c r="O41" s="85">
        <f t="shared" ref="O41:O49" ca="1" si="26">IF(L41&gt;0,N41*100/L41,0)</f>
        <v>19.451193393987975</v>
      </c>
      <c r="P41" s="85">
        <f t="shared" ref="P41:P49" ca="1" si="27">IF(M41&gt;0,N41*100/M41,0)</f>
        <v>38.127488790643717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562639</v>
      </c>
      <c r="M43" s="92">
        <f t="shared" ca="1" si="28"/>
        <v>287037</v>
      </c>
      <c r="N43" s="92">
        <f t="shared" ca="1" si="28"/>
        <v>109440</v>
      </c>
      <c r="O43" s="92">
        <f t="shared" ca="1" si="26"/>
        <v>19.451193393987975</v>
      </c>
      <c r="P43" s="92">
        <f t="shared" ca="1" si="27"/>
        <v>38.127488790643717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16" t="s">
        <v>12</v>
      </c>
      <c r="I44" s="269"/>
      <c r="J44" s="269"/>
      <c r="K44" s="496"/>
      <c r="L44" s="496">
        <f t="shared" ref="L44:N44" ca="1" si="29">L45+L46</f>
        <v>562639</v>
      </c>
      <c r="M44" s="496">
        <f t="shared" ca="1" si="29"/>
        <v>287037</v>
      </c>
      <c r="N44" s="496">
        <f t="shared" ca="1" si="29"/>
        <v>109440</v>
      </c>
      <c r="O44" s="496">
        <f t="shared" ca="1" si="26"/>
        <v>19.451193393987975</v>
      </c>
      <c r="P44" s="496">
        <f t="shared" ca="1" si="27"/>
        <v>38.127488790643717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2" t="s">
        <v>18</v>
      </c>
      <c r="F45" s="40"/>
      <c r="G45" s="42"/>
      <c r="H45" s="43" t="s">
        <v>12</v>
      </c>
      <c r="I45" s="610"/>
      <c r="J45" s="610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2" t="s">
        <v>19</v>
      </c>
      <c r="F46" s="40"/>
      <c r="G46" s="42"/>
      <c r="H46" s="43" t="s">
        <v>12</v>
      </c>
      <c r="I46" s="610"/>
      <c r="J46" s="610"/>
      <c r="K46" s="93"/>
      <c r="L46" s="93">
        <f ca="1">IFERROR(__xludf.DUMMYFUNCTION("IMPORTRANGE(""https://docs.google.com/spreadsheets/d/1MeEWN-I1oV_STSDYn1IFDPWt_1FKiwhDph83XaGc0o0/edit?usp=sharing"",""งบพรบ!M56"")"),562639)</f>
        <v>562639</v>
      </c>
      <c r="M46" s="93">
        <f ca="1">IFERROR(__xludf.DUMMYFUNCTION("IMPORTRANGE(""https://docs.google.com/spreadsheets/d/1MeEWN-I1oV_STSDYn1IFDPWt_1FKiwhDph83XaGc0o0/edit?usp=sharing"",""งบพรบ!R56"")"),287037)</f>
        <v>287037</v>
      </c>
      <c r="N46" s="93">
        <f ca="1">IFERROR(__xludf.DUMMYFUNCTION("IMPORTRANGE(""https://docs.google.com/spreadsheets/d/1MeEWN-I1oV_STSDYn1IFDPWt_1FKiwhDph83XaGc0o0/edit?usp=sharing"",""งบพรบ!T56"")"),109440)</f>
        <v>109440</v>
      </c>
      <c r="O46" s="93">
        <f t="shared" ca="1" si="26"/>
        <v>19.451193393987975</v>
      </c>
      <c r="P46" s="93">
        <f t="shared" ca="1" si="27"/>
        <v>38.127488790643717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16" t="s">
        <v>12</v>
      </c>
      <c r="I47" s="269"/>
      <c r="J47" s="269"/>
      <c r="K47" s="496"/>
      <c r="L47" s="496">
        <f t="shared" ref="L47:N47" ca="1" si="30">L48+L49</f>
        <v>0</v>
      </c>
      <c r="M47" s="496">
        <f t="shared" ca="1" si="30"/>
        <v>0</v>
      </c>
      <c r="N47" s="496">
        <f t="shared" ca="1" si="30"/>
        <v>0</v>
      </c>
      <c r="O47" s="496">
        <f t="shared" ca="1" si="26"/>
        <v>0</v>
      </c>
      <c r="P47" s="496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2" t="s">
        <v>18</v>
      </c>
      <c r="F48" s="40"/>
      <c r="G48" s="42"/>
      <c r="H48" s="43" t="s">
        <v>12</v>
      </c>
      <c r="I48" s="610"/>
      <c r="J48" s="610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IFERROR(__xludf.DUMMYFUNCTION("IMPORTRANGE(""https://docs.google.com/spreadsheets/d/1MeEWN-I1oV_STSDYn1IFDPWt_1FKiwhDph83XaGc0o0/edit?usp=sharing"",""งบพรบ!P56"")"),0)</f>
        <v>0</v>
      </c>
      <c r="M49" s="52">
        <f ca="1">IFERROR(__xludf.DUMMYFUNCTION("IMPORTRANGE(""https://docs.google.com/spreadsheets/d/1MeEWN-I1oV_STSDYn1IFDPWt_1FKiwhDph83XaGc0o0/edit?usp=sharing"",""งบพรบ!S56"")"),0)</f>
        <v>0</v>
      </c>
      <c r="N49" s="52">
        <f ca="1">IFERROR(__xludf.DUMMYFUNCTION("IMPORTRANGE(""https://docs.google.com/spreadsheets/d/1MeEWN-I1oV_STSDYn1IFDPWt_1FKiwhDph83XaGc0o0/edit?usp=sharing"",""งบพรบ!U56"")"),0)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59" t="s">
        <v>28</v>
      </c>
      <c r="B50" s="849"/>
      <c r="C50" s="849"/>
      <c r="D50" s="849"/>
      <c r="E50" s="849"/>
      <c r="F50" s="849"/>
      <c r="G50" s="847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60" t="s">
        <v>29</v>
      </c>
      <c r="C51" s="857"/>
      <c r="D51" s="857"/>
      <c r="E51" s="857"/>
      <c r="F51" s="857"/>
      <c r="G51" s="858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21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752500</v>
      </c>
      <c r="M53" s="116">
        <f t="shared" ca="1" si="31"/>
        <v>399200</v>
      </c>
      <c r="N53" s="116">
        <f t="shared" ca="1" si="31"/>
        <v>288099.75</v>
      </c>
      <c r="O53" s="116">
        <f t="shared" ref="O53:O61" ca="1" si="32">IF(L53&gt;0,N53*100/L53,0)</f>
        <v>38.285681063122922</v>
      </c>
      <c r="P53" s="116">
        <f t="shared" ref="P53:P61" ca="1" si="33">IF(M53&gt;0,N53*100/M53,0)</f>
        <v>72.169276052104209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752500</v>
      </c>
      <c r="M55" s="123">
        <f t="shared" ca="1" si="34"/>
        <v>399200</v>
      </c>
      <c r="N55" s="123">
        <f t="shared" ca="1" si="34"/>
        <v>288099.75</v>
      </c>
      <c r="O55" s="123">
        <f t="shared" ca="1" si="32"/>
        <v>38.285681063122922</v>
      </c>
      <c r="P55" s="123">
        <f t="shared" ca="1" si="33"/>
        <v>72.169276052104209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16" t="s">
        <v>12</v>
      </c>
      <c r="I56" s="269"/>
      <c r="J56" s="269"/>
      <c r="K56" s="496"/>
      <c r="L56" s="496">
        <f t="shared" ref="L56:N56" ca="1" si="35">L57+L58</f>
        <v>706600</v>
      </c>
      <c r="M56" s="496">
        <f t="shared" ca="1" si="35"/>
        <v>353300</v>
      </c>
      <c r="N56" s="496">
        <f t="shared" ca="1" si="35"/>
        <v>242199.75</v>
      </c>
      <c r="O56" s="496">
        <f t="shared" ca="1" si="32"/>
        <v>34.276783187093123</v>
      </c>
      <c r="P56" s="496">
        <f t="shared" ca="1" si="33"/>
        <v>68.553566374186246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2" t="s">
        <v>18</v>
      </c>
      <c r="F57" s="40"/>
      <c r="G57" s="42"/>
      <c r="H57" s="43" t="s">
        <v>12</v>
      </c>
      <c r="I57" s="610"/>
      <c r="J57" s="610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2" t="s">
        <v>19</v>
      </c>
      <c r="F58" s="40"/>
      <c r="G58" s="42"/>
      <c r="H58" s="43" t="s">
        <v>12</v>
      </c>
      <c r="I58" s="610"/>
      <c r="J58" s="610"/>
      <c r="K58" s="93"/>
      <c r="L58" s="93">
        <f ca="1">IFERROR(__xludf.DUMMYFUNCTION("IMPORTRANGE(""https://docs.google.com/spreadsheets/d/1MeEWN-I1oV_STSDYn1IFDPWt_1FKiwhDph83XaGc0o0/edit?usp=sharing"",""งบพรบ!W56"")"),706600)</f>
        <v>706600</v>
      </c>
      <c r="M58" s="93">
        <f ca="1">IFERROR(__xludf.DUMMYFUNCTION("IMPORTRANGE(""https://docs.google.com/spreadsheets/d/1MeEWN-I1oV_STSDYn1IFDPWt_1FKiwhDph83XaGc0o0/edit?usp=sharing"",""งบพรบ!AB56"")"),353300)</f>
        <v>353300</v>
      </c>
      <c r="N58" s="93">
        <f ca="1">IFERROR(__xludf.DUMMYFUNCTION("IMPORTRANGE(""https://docs.google.com/spreadsheets/d/1MeEWN-I1oV_STSDYn1IFDPWt_1FKiwhDph83XaGc0o0/edit?usp=sharing"",""งบพรบ!AD56"")"),242199.75)</f>
        <v>242199.75</v>
      </c>
      <c r="O58" s="93">
        <f t="shared" ca="1" si="32"/>
        <v>34.276783187093123</v>
      </c>
      <c r="P58" s="93">
        <f t="shared" ca="1" si="33"/>
        <v>68.553566374186246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16" t="s">
        <v>12</v>
      </c>
      <c r="I59" s="269"/>
      <c r="J59" s="269"/>
      <c r="K59" s="496"/>
      <c r="L59" s="496">
        <f t="shared" ref="L59:N59" ca="1" si="36">L60+L61</f>
        <v>45900</v>
      </c>
      <c r="M59" s="496">
        <f t="shared" ca="1" si="36"/>
        <v>45900</v>
      </c>
      <c r="N59" s="496">
        <f t="shared" ca="1" si="36"/>
        <v>45900</v>
      </c>
      <c r="O59" s="496">
        <f t="shared" ca="1" si="32"/>
        <v>100</v>
      </c>
      <c r="P59" s="496">
        <f t="shared" ca="1" si="33"/>
        <v>100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2" t="s">
        <v>18</v>
      </c>
      <c r="F60" s="40"/>
      <c r="G60" s="42"/>
      <c r="H60" s="43" t="s">
        <v>12</v>
      </c>
      <c r="I60" s="610"/>
      <c r="J60" s="610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IFERROR(__xludf.DUMMYFUNCTION("IMPORTRANGE(""https://docs.google.com/spreadsheets/d/1MeEWN-I1oV_STSDYn1IFDPWt_1FKiwhDph83XaGc0o0/edit?usp=sharing"",""งบพรบ!Z56"")"),45900)</f>
        <v>45900</v>
      </c>
      <c r="M61" s="52">
        <f ca="1">IFERROR(__xludf.DUMMYFUNCTION("IMPORTRANGE(""https://docs.google.com/spreadsheets/d/1MeEWN-I1oV_STSDYn1IFDPWt_1FKiwhDph83XaGc0o0/edit?usp=sharing"",""งบพรบ!AC56"")"),45900)</f>
        <v>45900</v>
      </c>
      <c r="N61" s="52">
        <f ca="1">IFERROR(__xludf.DUMMYFUNCTION("IMPORTRANGE(""https://docs.google.com/spreadsheets/d/1MeEWN-I1oV_STSDYn1IFDPWt_1FKiwhDph83XaGc0o0/edit?usp=sharing"",""งบพรบ!AE56"")"),45900)</f>
        <v>45900</v>
      </c>
      <c r="O61" s="52">
        <f t="shared" ca="1" si="32"/>
        <v>100</v>
      </c>
      <c r="P61" s="52">
        <f t="shared" ca="1" si="33"/>
        <v>100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 hidden="1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 hidden="1">
      <c r="A64" s="138"/>
      <c r="B64" s="208" t="s">
        <v>33</v>
      </c>
      <c r="C64" s="140"/>
      <c r="D64" s="141"/>
      <c r="E64" s="140"/>
      <c r="F64" s="140"/>
      <c r="G64" s="142"/>
      <c r="H64" s="143" t="s">
        <v>34</v>
      </c>
      <c r="I64" s="144">
        <f t="shared" ref="I64:J65" ca="1" si="37">I76</f>
        <v>0</v>
      </c>
      <c r="J64" s="144">
        <f t="shared" si="37"/>
        <v>0</v>
      </c>
      <c r="K64" s="145">
        <f t="shared" ref="K64:K65" ca="1" si="38">IF(I64&gt;0,J64*100/I64,0)</f>
        <v>0</v>
      </c>
      <c r="L64" s="146"/>
      <c r="M64" s="146"/>
      <c r="N64" s="146"/>
      <c r="O64" s="146"/>
      <c r="P64" s="146"/>
    </row>
    <row r="65" spans="1:26" ht="19.5" hidden="1">
      <c r="A65" s="138"/>
      <c r="B65" s="140"/>
      <c r="C65" s="140"/>
      <c r="D65" s="141"/>
      <c r="E65" s="140"/>
      <c r="F65" s="140"/>
      <c r="G65" s="142"/>
      <c r="H65" s="143" t="s">
        <v>35</v>
      </c>
      <c r="I65" s="144">
        <f t="shared" ca="1" si="37"/>
        <v>0</v>
      </c>
      <c r="J65" s="144">
        <f t="shared" si="37"/>
        <v>0</v>
      </c>
      <c r="K65" s="145">
        <f t="shared" ca="1" si="38"/>
        <v>0</v>
      </c>
      <c r="L65" s="146"/>
      <c r="M65" s="146"/>
      <c r="N65" s="146"/>
      <c r="O65" s="146"/>
      <c r="P65" s="146"/>
    </row>
    <row r="66" spans="1:26" ht="19.5" hidden="1">
      <c r="A66" s="147"/>
      <c r="B66" s="148"/>
      <c r="C66" s="149" t="s">
        <v>16</v>
      </c>
      <c r="D66" s="822" t="s">
        <v>17</v>
      </c>
      <c r="E66" s="148"/>
      <c r="F66" s="148"/>
      <c r="G66" s="151"/>
      <c r="H66" s="152" t="s">
        <v>12</v>
      </c>
      <c r="I66" s="419"/>
      <c r="J66" s="419"/>
      <c r="K66" s="154"/>
      <c r="L66" s="155">
        <f t="shared" ref="L66:N66" ca="1" si="39">L67+L68</f>
        <v>0</v>
      </c>
      <c r="M66" s="155">
        <f t="shared" ca="1" si="39"/>
        <v>0</v>
      </c>
      <c r="N66" s="155">
        <f t="shared" ca="1" si="39"/>
        <v>0</v>
      </c>
      <c r="O66" s="155">
        <f t="shared" ref="O66:O74" ca="1" si="40">IF(L66&gt;0,N66*100/L66,0)</f>
        <v>0</v>
      </c>
      <c r="P66" s="155">
        <f t="shared" ref="P66:P74" ca="1" si="41">IF(M66&gt;0,N66*100/M66,0)</f>
        <v>0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2" t="s">
        <v>18</v>
      </c>
      <c r="F67" s="40"/>
      <c r="G67" s="157"/>
      <c r="H67" s="158" t="s">
        <v>12</v>
      </c>
      <c r="I67" s="610"/>
      <c r="J67" s="610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2" t="s">
        <v>19</v>
      </c>
      <c r="F68" s="40"/>
      <c r="G68" s="157"/>
      <c r="H68" s="158" t="s">
        <v>12</v>
      </c>
      <c r="I68" s="610"/>
      <c r="J68" s="610"/>
      <c r="K68" s="93"/>
      <c r="L68" s="93">
        <f t="shared" ca="1" si="42"/>
        <v>0</v>
      </c>
      <c r="M68" s="93">
        <f t="shared" ca="1" si="42"/>
        <v>0</v>
      </c>
      <c r="N68" s="93">
        <f t="shared" ca="1" si="42"/>
        <v>0</v>
      </c>
      <c r="O68" s="93">
        <f t="shared" ca="1" si="40"/>
        <v>0</v>
      </c>
      <c r="P68" s="93">
        <f t="shared" ca="1" si="41"/>
        <v>0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 hidden="1">
      <c r="A69" s="159"/>
      <c r="B69" s="33"/>
      <c r="C69" s="281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6">
        <f t="shared" ref="L69:N69" ca="1" si="43">L70+L71</f>
        <v>0</v>
      </c>
      <c r="M69" s="496">
        <f t="shared" ca="1" si="43"/>
        <v>0</v>
      </c>
      <c r="N69" s="496">
        <f t="shared" ca="1" si="43"/>
        <v>0</v>
      </c>
      <c r="O69" s="496">
        <f t="shared" ca="1" si="40"/>
        <v>0</v>
      </c>
      <c r="P69" s="496">
        <f t="shared" ca="1" si="41"/>
        <v>0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2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2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IFERROR(__xludf.DUMMYFUNCTION("IMPORTRANGE(""https://docs.google.com/spreadsheets/d/1MeEWN-I1oV_STSDYn1IFDPWt_1FKiwhDph83XaGc0o0/edit?usp=sharing"",""งบพรบ!AG56"")"),0)</f>
        <v>0</v>
      </c>
      <c r="M71" s="93">
        <f ca="1">IFERROR(__xludf.DUMMYFUNCTION("IMPORTRANGE(""https://docs.google.com/spreadsheets/d/1MeEWN-I1oV_STSDYn1IFDPWt_1FKiwhDph83XaGc0o0/edit?usp=sharing"",""งบพรบ!AL56"")"),0)</f>
        <v>0</v>
      </c>
      <c r="N71" s="93">
        <f ca="1">IFERROR(__xludf.DUMMYFUNCTION("IMPORTRANGE(""https://docs.google.com/spreadsheets/d/1MeEWN-I1oV_STSDYn1IFDPWt_1FKiwhDph83XaGc0o0/edit?usp=sharing"",""งบพรบ!AN56"")"),0)</f>
        <v>0</v>
      </c>
      <c r="O71" s="93">
        <f t="shared" ca="1" si="40"/>
        <v>0</v>
      </c>
      <c r="P71" s="93">
        <f t="shared" ca="1" si="41"/>
        <v>0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 hidden="1">
      <c r="A72" s="159"/>
      <c r="B72" s="33"/>
      <c r="C72" s="281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6">
        <f t="shared" ref="L72:N72" ca="1" si="44">L73+L74</f>
        <v>0</v>
      </c>
      <c r="M72" s="496">
        <f t="shared" ca="1" si="44"/>
        <v>0</v>
      </c>
      <c r="N72" s="496">
        <f t="shared" ca="1" si="44"/>
        <v>0</v>
      </c>
      <c r="O72" s="496">
        <f t="shared" ca="1" si="40"/>
        <v>0</v>
      </c>
      <c r="P72" s="496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2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2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IFERROR(__xludf.DUMMYFUNCTION("IMPORTRANGE(""https://docs.google.com/spreadsheets/d/1MeEWN-I1oV_STSDYn1IFDPWt_1FKiwhDph83XaGc0o0/edit?usp=sharing"",""งบพรบ!AJ56"")"),0)</f>
        <v>0</v>
      </c>
      <c r="M74" s="93">
        <f ca="1">IFERROR(__xludf.DUMMYFUNCTION("IMPORTRANGE(""https://docs.google.com/spreadsheets/d/1MeEWN-I1oV_STSDYn1IFDPWt_1FKiwhDph83XaGc0o0/edit?usp=sharing"",""งบพรบ!AM56"")"),0)</f>
        <v>0</v>
      </c>
      <c r="N74" s="93">
        <f ca="1">IFERROR(__xludf.DUMMYFUNCTION("IMPORTRANGE(""https://docs.google.com/spreadsheets/d/1MeEWN-I1oV_STSDYn1IFDPWt_1FKiwhDph83XaGc0o0/edit?usp=sharing"",""งบพรบ!AO56"")"),0)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 hidden="1">
      <c r="A75" s="170"/>
      <c r="B75" s="171"/>
      <c r="C75" s="164" t="s">
        <v>16</v>
      </c>
      <c r="D75" s="823" t="s">
        <v>38</v>
      </c>
      <c r="E75" s="173"/>
      <c r="F75" s="173"/>
      <c r="G75" s="174"/>
      <c r="H75" s="753"/>
      <c r="I75" s="184"/>
      <c r="J75" s="184"/>
      <c r="K75" s="163"/>
      <c r="L75" s="163"/>
      <c r="M75" s="163"/>
      <c r="N75" s="163"/>
      <c r="O75" s="163"/>
      <c r="P75" s="163"/>
    </row>
    <row r="76" spans="1:26" ht="19.5" hidden="1">
      <c r="A76" s="170"/>
      <c r="B76" s="171"/>
      <c r="C76" s="171"/>
      <c r="D76" s="176" t="s">
        <v>39</v>
      </c>
      <c r="E76" s="446"/>
      <c r="F76" s="178"/>
      <c r="G76" s="179"/>
      <c r="H76" s="180" t="s">
        <v>34</v>
      </c>
      <c r="I76" s="269">
        <f t="shared" ref="I76:J77" ca="1" si="45">I78+I80+I82</f>
        <v>0</v>
      </c>
      <c r="J76" s="269">
        <f t="shared" si="45"/>
        <v>0</v>
      </c>
      <c r="K76" s="163">
        <f t="shared" ref="K76:K84" ca="1" si="46">IF(I76&gt;0,J76*100/I76,0)</f>
        <v>0</v>
      </c>
      <c r="L76" s="163"/>
      <c r="M76" s="163"/>
      <c r="N76" s="163"/>
      <c r="O76" s="163"/>
      <c r="P76" s="163"/>
    </row>
    <row r="77" spans="1:26" ht="19.5" hidden="1">
      <c r="A77" s="170"/>
      <c r="B77" s="171"/>
      <c r="C77" s="171"/>
      <c r="D77" s="171"/>
      <c r="E77" s="178"/>
      <c r="F77" s="178"/>
      <c r="G77" s="179"/>
      <c r="H77" s="180" t="s">
        <v>35</v>
      </c>
      <c r="I77" s="269">
        <f t="shared" ca="1" si="45"/>
        <v>0</v>
      </c>
      <c r="J77" s="269">
        <f t="shared" si="45"/>
        <v>0</v>
      </c>
      <c r="K77" s="163">
        <f t="shared" ca="1" si="46"/>
        <v>0</v>
      </c>
      <c r="L77" s="163"/>
      <c r="M77" s="163"/>
      <c r="N77" s="163"/>
      <c r="O77" s="163"/>
      <c r="P77" s="163"/>
    </row>
    <row r="78" spans="1:26" ht="18.75" hidden="1">
      <c r="A78" s="170"/>
      <c r="B78" s="171"/>
      <c r="C78" s="171"/>
      <c r="D78" s="171"/>
      <c r="E78" s="446" t="s">
        <v>40</v>
      </c>
      <c r="F78" s="446"/>
      <c r="G78" s="179"/>
      <c r="H78" s="755" t="s">
        <v>34</v>
      </c>
      <c r="I78" s="184">
        <f ca="1">IFERROR(__xludf.DUMMYFUNCTION("IMPORTRANGE(""https://docs.google.com/spreadsheets/d/1QqKyyYR6Q21VydFLVH3TRQUabQu_ym0Zz7PgGX0-kHA/edit?usp=sharing"",""แผน!H56"")"),0)</f>
        <v>0</v>
      </c>
      <c r="J78" s="214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 hidden="1">
      <c r="A79" s="170"/>
      <c r="B79" s="171"/>
      <c r="C79" s="171"/>
      <c r="D79" s="171"/>
      <c r="E79" s="178"/>
      <c r="F79" s="178"/>
      <c r="G79" s="179"/>
      <c r="H79" s="755" t="s">
        <v>35</v>
      </c>
      <c r="I79" s="184">
        <f ca="1">IFERROR(__xludf.DUMMYFUNCTION("IMPORTRANGE(""https://docs.google.com/spreadsheets/d/1QqKyyYR6Q21VydFLVH3TRQUabQu_ym0Zz7PgGX0-kHA/edit?usp=sharing"",""แผน!I56"")"),0)</f>
        <v>0</v>
      </c>
      <c r="J79" s="214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 hidden="1">
      <c r="A80" s="170"/>
      <c r="B80" s="171"/>
      <c r="C80" s="171"/>
      <c r="D80" s="171"/>
      <c r="E80" s="446" t="s">
        <v>41</v>
      </c>
      <c r="F80" s="446"/>
      <c r="G80" s="179"/>
      <c r="H80" s="755" t="s">
        <v>34</v>
      </c>
      <c r="I80" s="184">
        <f ca="1">IFERROR(__xludf.DUMMYFUNCTION("IMPORTRANGE(""https://docs.google.com/spreadsheets/d/1QqKyyYR6Q21VydFLVH3TRQUabQu_ym0Zz7PgGX0-kHA/edit?usp=sharing"",""แผน!F56"")"),0)</f>
        <v>0</v>
      </c>
      <c r="J80" s="214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 hidden="1">
      <c r="A81" s="170"/>
      <c r="B81" s="171"/>
      <c r="C81" s="171"/>
      <c r="D81" s="171"/>
      <c r="E81" s="178"/>
      <c r="F81" s="178"/>
      <c r="G81" s="179"/>
      <c r="H81" s="755" t="s">
        <v>35</v>
      </c>
      <c r="I81" s="184">
        <f ca="1">IFERROR(__xludf.DUMMYFUNCTION("IMPORTRANGE(""https://docs.google.com/spreadsheets/d/1QqKyyYR6Q21VydFLVH3TRQUabQu_ym0Zz7PgGX0-kHA/edit?usp=sharing"",""แผน!G56"")"),0)</f>
        <v>0</v>
      </c>
      <c r="J81" s="214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 hidden="1">
      <c r="A82" s="170"/>
      <c r="B82" s="171"/>
      <c r="C82" s="171"/>
      <c r="D82" s="171"/>
      <c r="E82" s="446" t="s">
        <v>42</v>
      </c>
      <c r="F82" s="446"/>
      <c r="G82" s="179"/>
      <c r="H82" s="755" t="s">
        <v>34</v>
      </c>
      <c r="I82" s="184">
        <f ca="1">IFERROR(__xludf.DUMMYFUNCTION("IMPORTRANGE(""https://docs.google.com/spreadsheets/d/1QqKyyYR6Q21VydFLVH3TRQUabQu_ym0Zz7PgGX0-kHA/edit?usp=sharing"",""แผน!D56"")"),0)</f>
        <v>0</v>
      </c>
      <c r="J82" s="214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 hidden="1">
      <c r="A83" s="170"/>
      <c r="B83" s="171"/>
      <c r="C83" s="171"/>
      <c r="D83" s="171"/>
      <c r="E83" s="178"/>
      <c r="F83" s="178"/>
      <c r="G83" s="179"/>
      <c r="H83" s="755" t="s">
        <v>35</v>
      </c>
      <c r="I83" s="184">
        <f ca="1">IFERROR(__xludf.DUMMYFUNCTION("IMPORTRANGE(""https://docs.google.com/spreadsheets/d/1QqKyyYR6Q21VydFLVH3TRQUabQu_ym0Zz7PgGX0-kHA/edit?usp=sharing"",""แผน!E56"")"),0)</f>
        <v>0</v>
      </c>
      <c r="J83" s="214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 hidden="1">
      <c r="A84" s="170"/>
      <c r="B84" s="171"/>
      <c r="C84" s="171"/>
      <c r="D84" s="176" t="s">
        <v>43</v>
      </c>
      <c r="E84" s="446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IFERROR(__xludf.DUMMYFUNCTION("IMPORTRANGE(""https://docs.google.com/spreadsheets/d/1QqKyyYR6Q21VydFLVH3TRQUabQu_ym0Zz7PgGX0-kHA/edit?usp=sharing"",""แผน!J56"")"),0)</f>
        <v>0</v>
      </c>
      <c r="J84" s="214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8" t="s">
        <v>45</v>
      </c>
      <c r="C86" s="140"/>
      <c r="D86" s="141"/>
      <c r="E86" s="140"/>
      <c r="F86" s="140"/>
      <c r="G86" s="142"/>
      <c r="H86" s="143" t="s">
        <v>46</v>
      </c>
      <c r="I86" s="144">
        <f t="shared" ref="I86:J87" ca="1" si="47">I98</f>
        <v>0</v>
      </c>
      <c r="J86" s="144">
        <f t="shared" si="47"/>
        <v>0</v>
      </c>
      <c r="K86" s="145">
        <f t="shared" ref="K86:K87" ca="1" si="48">IF(I86&gt;0,J86*100/I86,0)</f>
        <v>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143" t="s">
        <v>35</v>
      </c>
      <c r="I87" s="144">
        <f t="shared" ca="1" si="47"/>
        <v>0</v>
      </c>
      <c r="J87" s="144">
        <f t="shared" si="47"/>
        <v>0</v>
      </c>
      <c r="K87" s="145">
        <f t="shared" ca="1" si="48"/>
        <v>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22" t="s">
        <v>17</v>
      </c>
      <c r="E88" s="148"/>
      <c r="F88" s="148"/>
      <c r="G88" s="151"/>
      <c r="H88" s="152" t="s">
        <v>12</v>
      </c>
      <c r="I88" s="419"/>
      <c r="J88" s="419"/>
      <c r="K88" s="154"/>
      <c r="L88" s="155">
        <f t="shared" ref="L88:N88" ca="1" si="49">L89+L90</f>
        <v>31200</v>
      </c>
      <c r="M88" s="155">
        <f t="shared" ca="1" si="49"/>
        <v>37850</v>
      </c>
      <c r="N88" s="155">
        <f t="shared" ca="1" si="49"/>
        <v>0</v>
      </c>
      <c r="O88" s="155">
        <f t="shared" ref="O88:O96" ca="1" si="50">IF(L88&gt;0,N88*100/L88,0)</f>
        <v>0</v>
      </c>
      <c r="P88" s="155">
        <f t="shared" ref="P88:P96" ca="1" si="51">IF(M88&gt;0,N88*100/M88,0)</f>
        <v>0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2" t="s">
        <v>18</v>
      </c>
      <c r="F89" s="40"/>
      <c r="G89" s="157"/>
      <c r="H89" s="158" t="s">
        <v>12</v>
      </c>
      <c r="I89" s="610"/>
      <c r="J89" s="610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2" t="s">
        <v>19</v>
      </c>
      <c r="F90" s="40"/>
      <c r="G90" s="157"/>
      <c r="H90" s="158" t="s">
        <v>12</v>
      </c>
      <c r="I90" s="610"/>
      <c r="J90" s="610"/>
      <c r="K90" s="93"/>
      <c r="L90" s="93">
        <f t="shared" ca="1" si="52"/>
        <v>31200</v>
      </c>
      <c r="M90" s="93">
        <f t="shared" ca="1" si="52"/>
        <v>37850</v>
      </c>
      <c r="N90" s="93">
        <f t="shared" ca="1" si="52"/>
        <v>0</v>
      </c>
      <c r="O90" s="93">
        <f t="shared" ca="1" si="50"/>
        <v>0</v>
      </c>
      <c r="P90" s="93">
        <f t="shared" ca="1" si="51"/>
        <v>0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1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6">
        <f t="shared" ref="L91:N91" ca="1" si="53">L92+L93</f>
        <v>31200</v>
      </c>
      <c r="M91" s="496">
        <f t="shared" ca="1" si="53"/>
        <v>37850</v>
      </c>
      <c r="N91" s="496">
        <f t="shared" ca="1" si="53"/>
        <v>0</v>
      </c>
      <c r="O91" s="496">
        <f t="shared" ca="1" si="50"/>
        <v>0</v>
      </c>
      <c r="P91" s="496">
        <f t="shared" ca="1" si="51"/>
        <v>0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2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2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IFERROR(__xludf.DUMMYFUNCTION("IMPORTRANGE(""https://docs.google.com/spreadsheets/d/1MeEWN-I1oV_STSDYn1IFDPWt_1FKiwhDph83XaGc0o0/edit?usp=sharing"",""งบพรบ!AQ56"")"),31200)</f>
        <v>31200</v>
      </c>
      <c r="M93" s="93">
        <f ca="1">IFERROR(__xludf.DUMMYFUNCTION("IMPORTRANGE(""https://docs.google.com/spreadsheets/d/1MeEWN-I1oV_STSDYn1IFDPWt_1FKiwhDph83XaGc0o0/edit?usp=sharing"",""งบพรบ!AV56"")"),37850)</f>
        <v>37850</v>
      </c>
      <c r="N93" s="93">
        <f ca="1">IFERROR(__xludf.DUMMYFUNCTION("IMPORTRANGE(""https://docs.google.com/spreadsheets/d/1MeEWN-I1oV_STSDYn1IFDPWt_1FKiwhDph83XaGc0o0/edit?usp=sharing"",""งบพรบ!AX56"")"),0)</f>
        <v>0</v>
      </c>
      <c r="O93" s="93">
        <f t="shared" ca="1" si="50"/>
        <v>0</v>
      </c>
      <c r="P93" s="93">
        <f t="shared" ca="1" si="51"/>
        <v>0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1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6">
        <f t="shared" ref="L94:N94" ca="1" si="54">L95+L96</f>
        <v>0</v>
      </c>
      <c r="M94" s="496">
        <f t="shared" ca="1" si="54"/>
        <v>0</v>
      </c>
      <c r="N94" s="496">
        <f t="shared" ca="1" si="54"/>
        <v>0</v>
      </c>
      <c r="O94" s="496">
        <f t="shared" ca="1" si="50"/>
        <v>0</v>
      </c>
      <c r="P94" s="496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2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2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IFERROR(__xludf.DUMMYFUNCTION("IMPORTRANGE(""https://docs.google.com/spreadsheets/d/1MeEWN-I1oV_STSDYn1IFDPWt_1FKiwhDph83XaGc0o0/edit?usp=sharing"",""งบพรบ!AT56"")"),0)</f>
        <v>0</v>
      </c>
      <c r="M96" s="93">
        <f ca="1">IFERROR(__xludf.DUMMYFUNCTION("IMPORTRANGE(""https://docs.google.com/spreadsheets/d/1MeEWN-I1oV_STSDYn1IFDPWt_1FKiwhDph83XaGc0o0/edit?usp=sharing"",""งบพรบ!AW56"")"),0)</f>
        <v>0</v>
      </c>
      <c r="N96" s="93">
        <f ca="1">IFERROR(__xludf.DUMMYFUNCTION("IMPORTRANGE(""https://docs.google.com/spreadsheets/d/1MeEWN-I1oV_STSDYn1IFDPWt_1FKiwhDph83XaGc0o0/edit?usp=sharing"",""งบพรบ!AY56"")"),0)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23" t="s">
        <v>38</v>
      </c>
      <c r="E97" s="173"/>
      <c r="F97" s="173"/>
      <c r="G97" s="174"/>
      <c r="H97" s="753"/>
      <c r="I97" s="184"/>
      <c r="J97" s="269"/>
      <c r="K97" s="496"/>
      <c r="L97" s="496"/>
      <c r="M97" s="496"/>
      <c r="N97" s="496"/>
      <c r="O97" s="163"/>
      <c r="P97" s="163"/>
    </row>
    <row r="98" spans="1:16" ht="18.75">
      <c r="A98" s="170"/>
      <c r="B98" s="171"/>
      <c r="C98" s="171"/>
      <c r="D98" s="446" t="s">
        <v>47</v>
      </c>
      <c r="E98" s="446"/>
      <c r="F98" s="178"/>
      <c r="G98" s="179"/>
      <c r="H98" s="616" t="s">
        <v>46</v>
      </c>
      <c r="I98" s="269">
        <f ca="1">IFERROR(__xludf.DUMMYFUNCTION("IMPORTRANGE(""https://docs.google.com/spreadsheets/d/1QqKyyYR6Q21VydFLVH3TRQUabQu_ym0Zz7PgGX0-kHA/edit?usp=sharing"",""แผน!K56"")"),0)</f>
        <v>0</v>
      </c>
      <c r="J98" s="269">
        <f>J102</f>
        <v>0</v>
      </c>
      <c r="K98" s="496">
        <f t="shared" ref="K98:K100" ca="1" si="55">IF(I98&gt;0,J98*100/I98,0)</f>
        <v>0</v>
      </c>
      <c r="L98" s="496"/>
      <c r="M98" s="496"/>
      <c r="N98" s="496"/>
      <c r="O98" s="163"/>
      <c r="P98" s="163"/>
    </row>
    <row r="99" spans="1:16" ht="18.75">
      <c r="A99" s="170"/>
      <c r="B99" s="171"/>
      <c r="C99" s="171"/>
      <c r="D99" s="446" t="s">
        <v>48</v>
      </c>
      <c r="E99" s="446"/>
      <c r="F99" s="178"/>
      <c r="G99" s="179"/>
      <c r="H99" s="616" t="s">
        <v>35</v>
      </c>
      <c r="I99" s="269">
        <f ca="1">IFERROR(__xludf.DUMMYFUNCTION("IMPORTRANGE(""https://docs.google.com/spreadsheets/d/1QqKyyYR6Q21VydFLVH3TRQUabQu_ym0Zz7PgGX0-kHA/edit?usp=sharing"",""แผน!L56"")"),0)</f>
        <v>0</v>
      </c>
      <c r="J99" s="269">
        <f>J104</f>
        <v>0</v>
      </c>
      <c r="K99" s="496">
        <f t="shared" ca="1" si="55"/>
        <v>0</v>
      </c>
      <c r="L99" s="496"/>
      <c r="M99" s="496"/>
      <c r="N99" s="496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16" t="s">
        <v>49</v>
      </c>
      <c r="I100" s="269">
        <f ca="1">IFERROR(__xludf.DUMMYFUNCTION("IMPORTRANGE(""https://docs.google.com/spreadsheets/d/1QqKyyYR6Q21VydFLVH3TRQUabQu_ym0Zz7PgGX0-kHA/edit?usp=sharing"",""แผน!M56"")"),1)</f>
        <v>1</v>
      </c>
      <c r="J100" s="269">
        <f>J107+J110</f>
        <v>0</v>
      </c>
      <c r="K100" s="496">
        <f t="shared" ca="1" si="55"/>
        <v>0</v>
      </c>
      <c r="L100" s="496"/>
      <c r="M100" s="496"/>
      <c r="N100" s="496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16"/>
      <c r="I101" s="269"/>
      <c r="J101" s="269"/>
      <c r="K101" s="496"/>
      <c r="L101" s="496"/>
      <c r="M101" s="496"/>
      <c r="N101" s="496"/>
      <c r="O101" s="163"/>
      <c r="P101" s="163"/>
    </row>
    <row r="102" spans="1:16" ht="18.75">
      <c r="A102" s="170"/>
      <c r="B102" s="171"/>
      <c r="C102" s="171"/>
      <c r="D102" s="178"/>
      <c r="E102" s="619" t="s">
        <v>47</v>
      </c>
      <c r="F102" s="178"/>
      <c r="G102" s="179"/>
      <c r="H102" s="616" t="s">
        <v>46</v>
      </c>
      <c r="I102" s="269">
        <f ca="1">IFERROR(__xludf.DUMMYFUNCTION("IMPORTRANGE(""https://docs.google.com/spreadsheets/d/1QqKyyYR6Q21VydFLVH3TRQUabQu_ym0Zz7PgGX0-kHA/edit?usp=sharing"",""แผน!N56"")"),0)</f>
        <v>0</v>
      </c>
      <c r="J102" s="214">
        <v>0</v>
      </c>
      <c r="K102" s="496">
        <f t="shared" ref="K102:K104" ca="1" si="56">IF(I102&gt;0,J102*100/I102,0)</f>
        <v>0</v>
      </c>
      <c r="L102" s="496"/>
      <c r="M102" s="496"/>
      <c r="N102" s="496"/>
      <c r="O102" s="163"/>
      <c r="P102" s="163"/>
    </row>
    <row r="103" spans="1:16" ht="19.5">
      <c r="A103" s="170"/>
      <c r="B103" s="171"/>
      <c r="C103" s="171"/>
      <c r="D103" s="178"/>
      <c r="E103" s="446" t="s">
        <v>51</v>
      </c>
      <c r="F103" s="178"/>
      <c r="G103" s="179"/>
      <c r="H103" s="616" t="s">
        <v>35</v>
      </c>
      <c r="I103" s="269">
        <f ca="1">IFERROR(__xludf.DUMMYFUNCTION("IMPORTRANGE(""https://docs.google.com/spreadsheets/d/1QqKyyYR6Q21VydFLVH3TRQUabQu_ym0Zz7PgGX0-kHA/edit?usp=sharing"",""แผน!O56"")"),0)</f>
        <v>0</v>
      </c>
      <c r="J103" s="214">
        <v>0</v>
      </c>
      <c r="K103" s="496">
        <f t="shared" ca="1" si="56"/>
        <v>0</v>
      </c>
      <c r="L103" s="496"/>
      <c r="M103" s="496"/>
      <c r="N103" s="496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16" t="s">
        <v>35</v>
      </c>
      <c r="I104" s="269">
        <f ca="1">IFERROR(__xludf.DUMMYFUNCTION("IMPORTRANGE(""https://docs.google.com/spreadsheets/d/1QqKyyYR6Q21VydFLVH3TRQUabQu_ym0Zz7PgGX0-kHA/edit?usp=sharing"",""แผน!O56"")"),0)</f>
        <v>0</v>
      </c>
      <c r="J104" s="214">
        <v>0</v>
      </c>
      <c r="K104" s="496">
        <f t="shared" ca="1" si="56"/>
        <v>0</v>
      </c>
      <c r="L104" s="496"/>
      <c r="M104" s="496"/>
      <c r="N104" s="496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69"/>
      <c r="J105" s="269"/>
      <c r="K105" s="496"/>
      <c r="L105" s="496"/>
      <c r="M105" s="496"/>
      <c r="N105" s="496"/>
      <c r="O105" s="163"/>
      <c r="P105" s="163"/>
    </row>
    <row r="106" spans="1:16" ht="19.5">
      <c r="A106" s="170"/>
      <c r="B106" s="171"/>
      <c r="C106" s="171"/>
      <c r="D106" s="178"/>
      <c r="E106" s="446" t="s">
        <v>54</v>
      </c>
      <c r="F106" s="178"/>
      <c r="G106" s="179"/>
      <c r="H106" s="616" t="s">
        <v>49</v>
      </c>
      <c r="I106" s="269">
        <f ca="1">IFERROR(__xludf.DUMMYFUNCTION("IMPORTRANGE(""https://docs.google.com/spreadsheets/d/1QqKyyYR6Q21VydFLVH3TRQUabQu_ym0Zz7PgGX0-kHA/edit?usp=sharing"",""แผน!P56"")"),0)</f>
        <v>0</v>
      </c>
      <c r="J106" s="214">
        <v>0</v>
      </c>
      <c r="K106" s="496">
        <f t="shared" ref="K106:K107" ca="1" si="57">IF(I106&gt;0,J106*100/I106,0)</f>
        <v>0</v>
      </c>
      <c r="L106" s="496"/>
      <c r="M106" s="496"/>
      <c r="N106" s="496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16" t="s">
        <v>49</v>
      </c>
      <c r="I107" s="269">
        <f ca="1">IFERROR(__xludf.DUMMYFUNCTION("IMPORTRANGE(""https://docs.google.com/spreadsheets/d/1QqKyyYR6Q21VydFLVH3TRQUabQu_ym0Zz7PgGX0-kHA/edit?usp=sharing"",""แผน!P56"")"),0)</f>
        <v>0</v>
      </c>
      <c r="J107" s="214">
        <v>0</v>
      </c>
      <c r="K107" s="496">
        <f t="shared" ca="1" si="57"/>
        <v>0</v>
      </c>
      <c r="L107" s="496"/>
      <c r="M107" s="496"/>
      <c r="N107" s="496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69"/>
      <c r="J108" s="269"/>
      <c r="K108" s="496"/>
      <c r="L108" s="496"/>
      <c r="M108" s="496"/>
      <c r="N108" s="496"/>
      <c r="O108" s="163"/>
      <c r="P108" s="163"/>
    </row>
    <row r="109" spans="1:16" ht="19.5">
      <c r="A109" s="170"/>
      <c r="B109" s="171"/>
      <c r="C109" s="171"/>
      <c r="D109" s="178"/>
      <c r="E109" s="446" t="s">
        <v>57</v>
      </c>
      <c r="F109" s="178"/>
      <c r="G109" s="179"/>
      <c r="H109" s="616" t="s">
        <v>49</v>
      </c>
      <c r="I109" s="269">
        <f ca="1">IFERROR(__xludf.DUMMYFUNCTION("IMPORTRANGE(""https://docs.google.com/spreadsheets/d/1QqKyyYR6Q21VydFLVH3TRQUabQu_ym0Zz7PgGX0-kHA/edit?usp=sharing"",""แผน!Q56"")"),1)</f>
        <v>1</v>
      </c>
      <c r="J109" s="214">
        <v>0</v>
      </c>
      <c r="K109" s="496">
        <f t="shared" ref="K109:K116" ca="1" si="58">IF(I109&gt;0,J109*100/I109,0)</f>
        <v>0</v>
      </c>
      <c r="L109" s="496"/>
      <c r="M109" s="496"/>
      <c r="N109" s="496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16" t="s">
        <v>49</v>
      </c>
      <c r="I110" s="269">
        <f ca="1">IFERROR(__xludf.DUMMYFUNCTION("IMPORTRANGE(""https://docs.google.com/spreadsheets/d/1QqKyyYR6Q21VydFLVH3TRQUabQu_ym0Zz7PgGX0-kHA/edit?usp=sharing"",""แผน!Q56"")"),1)</f>
        <v>1</v>
      </c>
      <c r="J110" s="214">
        <v>0</v>
      </c>
      <c r="K110" s="496">
        <f t="shared" ca="1" si="58"/>
        <v>0</v>
      </c>
      <c r="L110" s="496"/>
      <c r="M110" s="496"/>
      <c r="N110" s="496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58" t="s">
        <v>35</v>
      </c>
      <c r="I111" s="193">
        <f ca="1">IFERROR(__xludf.DUMMYFUNCTION("IMPORTRANGE(""https://docs.google.com/spreadsheets/d/1QqKyyYR6Q21VydFLVH3TRQUabQu_ym0Zz7PgGX0-kHA/edit?usp=sharing"",""แผน!R56"")"),0)</f>
        <v>0</v>
      </c>
      <c r="J111" s="674">
        <f>J114</f>
        <v>0</v>
      </c>
      <c r="K111" s="195">
        <f t="shared" ca="1" si="58"/>
        <v>0</v>
      </c>
      <c r="L111" s="496"/>
      <c r="M111" s="496"/>
      <c r="N111" s="496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1</v>
      </c>
      <c r="J112" s="674">
        <f t="shared" si="59"/>
        <v>0</v>
      </c>
      <c r="K112" s="195">
        <f t="shared" ca="1" si="58"/>
        <v>0</v>
      </c>
      <c r="L112" s="496"/>
      <c r="M112" s="496"/>
      <c r="N112" s="496"/>
      <c r="O112" s="163"/>
      <c r="P112" s="163"/>
    </row>
    <row r="113" spans="1:26" ht="19.5">
      <c r="A113" s="170"/>
      <c r="B113" s="171"/>
      <c r="C113" s="171"/>
      <c r="D113" s="171"/>
      <c r="E113" s="525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IFERROR(__xludf.DUMMYFUNCTION("IMPORTRANGE(""https://docs.google.com/spreadsheets/d/1QqKyyYR6Q21VydFLVH3TRQUabQu_ym0Zz7PgGX0-kHA/edit?usp=sharing"",""แผน!R56"")"),0)</f>
        <v>0</v>
      </c>
      <c r="J113" s="214">
        <v>0</v>
      </c>
      <c r="K113" s="496">
        <f t="shared" ca="1" si="58"/>
        <v>0</v>
      </c>
      <c r="L113" s="496"/>
      <c r="M113" s="496"/>
      <c r="N113" s="496"/>
      <c r="O113" s="163"/>
      <c r="P113" s="163"/>
    </row>
    <row r="114" spans="1:26" ht="19.5">
      <c r="A114" s="170"/>
      <c r="B114" s="171"/>
      <c r="C114" s="171"/>
      <c r="D114" s="171"/>
      <c r="E114" s="446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IFERROR(__xludf.DUMMYFUNCTION("IMPORTRANGE(""https://docs.google.com/spreadsheets/d/1QqKyyYR6Q21VydFLVH3TRQUabQu_ym0Zz7PgGX0-kHA/edit?usp=sharing"",""แผน!R56"")"),0)</f>
        <v>0</v>
      </c>
      <c r="J114" s="214">
        <v>0</v>
      </c>
      <c r="K114" s="496">
        <f t="shared" ca="1" si="58"/>
        <v>0</v>
      </c>
      <c r="L114" s="496"/>
      <c r="M114" s="496"/>
      <c r="N114" s="496"/>
      <c r="O114" s="163"/>
      <c r="P114" s="163"/>
    </row>
    <row r="115" spans="1:26" ht="18.75">
      <c r="A115" s="170"/>
      <c r="B115" s="171"/>
      <c r="C115" s="171"/>
      <c r="D115" s="171"/>
      <c r="E115" s="446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IFERROR(__xludf.DUMMYFUNCTION("IMPORTRANGE(""https://docs.google.com/spreadsheets/d/1QqKyyYR6Q21VydFLVH3TRQUabQu_ym0Zz7PgGX0-kHA/edit?usp=sharing"",""แผน!S56"")"),0)</f>
        <v>0</v>
      </c>
      <c r="J115" s="214">
        <v>0</v>
      </c>
      <c r="K115" s="496">
        <f t="shared" ca="1" si="58"/>
        <v>0</v>
      </c>
      <c r="L115" s="496"/>
      <c r="M115" s="496"/>
      <c r="N115" s="496"/>
      <c r="O115" s="163"/>
      <c r="P115" s="163"/>
    </row>
    <row r="116" spans="1:26" ht="18.75">
      <c r="A116" s="170"/>
      <c r="B116" s="171"/>
      <c r="C116" s="171"/>
      <c r="D116" s="171"/>
      <c r="E116" s="446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IFERROR(__xludf.DUMMYFUNCTION("IMPORTRANGE(""https://docs.google.com/spreadsheets/d/1QqKyyYR6Q21VydFLVH3TRQUabQu_ym0Zz7PgGX0-kHA/edit?usp=sharing"",""แผน!T56"")"),1)</f>
        <v>1</v>
      </c>
      <c r="J116" s="214">
        <v>0</v>
      </c>
      <c r="K116" s="496">
        <f t="shared" ca="1" si="58"/>
        <v>0</v>
      </c>
      <c r="L116" s="496"/>
      <c r="M116" s="496"/>
      <c r="N116" s="496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8" t="s">
        <v>65</v>
      </c>
      <c r="C118" s="204"/>
      <c r="D118" s="141"/>
      <c r="E118" s="140"/>
      <c r="F118" s="140"/>
      <c r="G118" s="142"/>
      <c r="H118" s="143"/>
      <c r="I118" s="205"/>
      <c r="J118" s="205"/>
      <c r="K118" s="146"/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22" t="s">
        <v>17</v>
      </c>
      <c r="E119" s="148"/>
      <c r="F119" s="148"/>
      <c r="G119" s="151"/>
      <c r="H119" s="152" t="s">
        <v>12</v>
      </c>
      <c r="I119" s="419"/>
      <c r="J119" s="419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2" t="s">
        <v>18</v>
      </c>
      <c r="F120" s="40"/>
      <c r="G120" s="157"/>
      <c r="H120" s="158" t="s">
        <v>12</v>
      </c>
      <c r="I120" s="610"/>
      <c r="J120" s="610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2" t="s">
        <v>19</v>
      </c>
      <c r="F121" s="40"/>
      <c r="G121" s="157"/>
      <c r="H121" s="158" t="s">
        <v>12</v>
      </c>
      <c r="I121" s="610"/>
      <c r="J121" s="610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1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6">
        <f t="shared" ref="L122:N122" ca="1" si="64">L123+L124</f>
        <v>0</v>
      </c>
      <c r="M122" s="496">
        <f t="shared" ca="1" si="64"/>
        <v>0</v>
      </c>
      <c r="N122" s="496">
        <f t="shared" ca="1" si="64"/>
        <v>0</v>
      </c>
      <c r="O122" s="496">
        <f t="shared" ca="1" si="61"/>
        <v>0</v>
      </c>
      <c r="P122" s="496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2"/>
      <c r="D123" s="40"/>
      <c r="E123" s="222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2"/>
      <c r="D124" s="40"/>
      <c r="E124" s="222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IFERROR(__xludf.DUMMYFUNCTION("IMPORTRANGE(""https://docs.google.com/spreadsheets/d/1MeEWN-I1oV_STSDYn1IFDPWt_1FKiwhDph83XaGc0o0/edit?usp=sharing"",""งบพรบ!BA56"")"),0)</f>
        <v>0</v>
      </c>
      <c r="M124" s="93">
        <f ca="1">IFERROR(__xludf.DUMMYFUNCTION("IMPORTRANGE(""https://docs.google.com/spreadsheets/d/1MeEWN-I1oV_STSDYn1IFDPWt_1FKiwhDph83XaGc0o0/edit?usp=sharing"",""งบพรบ!BF56"")"),0)</f>
        <v>0</v>
      </c>
      <c r="N124" s="93">
        <f ca="1">IFERROR(__xludf.DUMMYFUNCTION("IMPORTRANGE(""https://docs.google.com/spreadsheets/d/1MeEWN-I1oV_STSDYn1IFDPWt_1FKiwhDph83XaGc0o0/edit?usp=sharing"",""งบพรบ!BH56"")"),0)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1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6">
        <f t="shared" ref="L125:N125" ca="1" si="65">L126+L127</f>
        <v>0</v>
      </c>
      <c r="M125" s="496">
        <f t="shared" ca="1" si="65"/>
        <v>0</v>
      </c>
      <c r="N125" s="496">
        <f t="shared" ca="1" si="65"/>
        <v>0</v>
      </c>
      <c r="O125" s="496">
        <f t="shared" ca="1" si="61"/>
        <v>0</v>
      </c>
      <c r="P125" s="496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2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2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IFERROR(__xludf.DUMMYFUNCTION("IMPORTRANGE(""https://docs.google.com/spreadsheets/d/1MeEWN-I1oV_STSDYn1IFDPWt_1FKiwhDph83XaGc0o0/edit?usp=sharing"",""งบพรบ!BD56"")"),0)</f>
        <v>0</v>
      </c>
      <c r="M127" s="93">
        <f ca="1">IFERROR(__xludf.DUMMYFUNCTION("IMPORTRANGE(""https://docs.google.com/spreadsheets/d/1MeEWN-I1oV_STSDYn1IFDPWt_1FKiwhDph83XaGc0o0/edit?usp=sharing"",""งบพรบ!BG56"")"),0)</f>
        <v>0</v>
      </c>
      <c r="N127" s="93">
        <f ca="1">IFERROR(__xludf.DUMMYFUNCTION("IMPORTRANGE(""https://docs.google.com/spreadsheets/d/1MeEWN-I1oV_STSDYn1IFDPWt_1FKiwhDph83XaGc0o0/edit?usp=sharing"",""งบพรบ!BI56"")"),0)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66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8" t="s">
        <v>67</v>
      </c>
      <c r="C129" s="204"/>
      <c r="D129" s="141"/>
      <c r="E129" s="140"/>
      <c r="F129" s="140"/>
      <c r="G129" s="140"/>
      <c r="H129" s="207"/>
      <c r="I129" s="205"/>
      <c r="J129" s="205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8"/>
      <c r="C130" s="209" t="s">
        <v>68</v>
      </c>
      <c r="D130" s="141"/>
      <c r="E130" s="140"/>
      <c r="F130" s="140"/>
      <c r="G130" s="142"/>
      <c r="H130" s="143" t="s">
        <v>69</v>
      </c>
      <c r="I130" s="144">
        <f t="shared" ref="I130:J130" ca="1" si="66">I146</f>
        <v>0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8"/>
      <c r="C131" s="209" t="s">
        <v>70</v>
      </c>
      <c r="D131" s="141"/>
      <c r="E131" s="140"/>
      <c r="F131" s="140"/>
      <c r="G131" s="142"/>
      <c r="H131" s="143" t="s">
        <v>35</v>
      </c>
      <c r="I131" s="144">
        <f t="shared" ref="I131:J131" ca="1" si="68">I143</f>
        <v>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822" t="s">
        <v>17</v>
      </c>
      <c r="E132" s="148"/>
      <c r="F132" s="148"/>
      <c r="G132" s="151"/>
      <c r="H132" s="152" t="s">
        <v>12</v>
      </c>
      <c r="I132" s="419"/>
      <c r="J132" s="419"/>
      <c r="K132" s="154"/>
      <c r="L132" s="155">
        <f t="shared" ref="L132:N132" ca="1" si="69">L133+L134</f>
        <v>0</v>
      </c>
      <c r="M132" s="155">
        <f t="shared" ca="1" si="69"/>
        <v>0</v>
      </c>
      <c r="N132" s="155">
        <f t="shared" ca="1" si="69"/>
        <v>0</v>
      </c>
      <c r="O132" s="155">
        <f t="shared" ref="O132:O140" ca="1" si="70">IF(L132&gt;0,N132*100/L132,0)</f>
        <v>0</v>
      </c>
      <c r="P132" s="155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2" t="s">
        <v>18</v>
      </c>
      <c r="F133" s="40"/>
      <c r="G133" s="157"/>
      <c r="H133" s="158" t="s">
        <v>12</v>
      </c>
      <c r="I133" s="610"/>
      <c r="J133" s="610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2" t="s">
        <v>19</v>
      </c>
      <c r="F134" s="40"/>
      <c r="G134" s="157"/>
      <c r="H134" s="158" t="s">
        <v>12</v>
      </c>
      <c r="I134" s="610"/>
      <c r="J134" s="610"/>
      <c r="K134" s="93"/>
      <c r="L134" s="93">
        <f t="shared" ca="1" si="72"/>
        <v>0</v>
      </c>
      <c r="M134" s="93">
        <f t="shared" ca="1" si="72"/>
        <v>0</v>
      </c>
      <c r="N134" s="93">
        <f t="shared" ca="1" si="72"/>
        <v>0</v>
      </c>
      <c r="O134" s="93">
        <f t="shared" ca="1" si="70"/>
        <v>0</v>
      </c>
      <c r="P134" s="93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1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6">
        <f t="shared" ref="L135:N135" ca="1" si="73">L136+L137</f>
        <v>0</v>
      </c>
      <c r="M135" s="496">
        <f t="shared" ca="1" si="73"/>
        <v>0</v>
      </c>
      <c r="N135" s="496">
        <f t="shared" ca="1" si="73"/>
        <v>0</v>
      </c>
      <c r="O135" s="496">
        <f t="shared" ca="1" si="70"/>
        <v>0</v>
      </c>
      <c r="P135" s="496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2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2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IFERROR(__xludf.DUMMYFUNCTION("IMPORTRANGE(""https://docs.google.com/spreadsheets/d/1MeEWN-I1oV_STSDYn1IFDPWt_1FKiwhDph83XaGc0o0/edit?usp=sharing"",""งบพรบ!BK56"")"),0)</f>
        <v>0</v>
      </c>
      <c r="M137" s="93">
        <f ca="1">IFERROR(__xludf.DUMMYFUNCTION("IMPORTRANGE(""https://docs.google.com/spreadsheets/d/1MeEWN-I1oV_STSDYn1IFDPWt_1FKiwhDph83XaGc0o0/edit?usp=sharing"",""งบพรบ!BP56"")"),0)</f>
        <v>0</v>
      </c>
      <c r="N137" s="93">
        <f ca="1">IFERROR(__xludf.DUMMYFUNCTION("IMPORTRANGE(""https://docs.google.com/spreadsheets/d/1MeEWN-I1oV_STSDYn1IFDPWt_1FKiwhDph83XaGc0o0/edit?usp=sharing"",""งบพรบ!BR56"")"),0)</f>
        <v>0</v>
      </c>
      <c r="O137" s="93">
        <f t="shared" ca="1" si="70"/>
        <v>0</v>
      </c>
      <c r="P137" s="93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1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6">
        <f t="shared" ref="L138:N138" ca="1" si="74">L139+L140</f>
        <v>0</v>
      </c>
      <c r="M138" s="496">
        <f t="shared" ca="1" si="74"/>
        <v>0</v>
      </c>
      <c r="N138" s="496">
        <f t="shared" ca="1" si="74"/>
        <v>0</v>
      </c>
      <c r="O138" s="496">
        <f t="shared" ca="1" si="70"/>
        <v>0</v>
      </c>
      <c r="P138" s="496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2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2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IFERROR(__xludf.DUMMYFUNCTION("IMPORTRANGE(""https://docs.google.com/spreadsheets/d/1MeEWN-I1oV_STSDYn1IFDPWt_1FKiwhDph83XaGc0o0/edit?usp=sharing"",""งบพรบ!BN56"")"),0)</f>
        <v>0</v>
      </c>
      <c r="M140" s="93">
        <f ca="1">IFERROR(__xludf.DUMMYFUNCTION("IMPORTRANGE(""https://docs.google.com/spreadsheets/d/1MeEWN-I1oV_STSDYn1IFDPWt_1FKiwhDph83XaGc0o0/edit?usp=sharing"",""งบพรบ!BQ56"")"),0)</f>
        <v>0</v>
      </c>
      <c r="N140" s="93">
        <f ca="1">IFERROR(__xludf.DUMMYFUNCTION("IMPORTRANGE(""https://docs.google.com/spreadsheets/d/1MeEWN-I1oV_STSDYn1IFDPWt_1FKiwhDph83XaGc0o0/edit?usp=sharing"",""งบพรบ!BS56"")"),0)</f>
        <v>0</v>
      </c>
      <c r="O140" s="93">
        <f t="shared" ca="1" si="70"/>
        <v>0</v>
      </c>
      <c r="P140" s="93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823" t="s">
        <v>38</v>
      </c>
      <c r="E141" s="173"/>
      <c r="F141" s="173"/>
      <c r="G141" s="174"/>
      <c r="H141" s="168"/>
      <c r="I141" s="269"/>
      <c r="J141" s="269"/>
      <c r="K141" s="496"/>
      <c r="L141" s="496"/>
      <c r="M141" s="496"/>
      <c r="N141" s="496"/>
      <c r="O141" s="496"/>
      <c r="P141" s="496"/>
    </row>
    <row r="142" spans="1:26" ht="19.5" hidden="1">
      <c r="A142" s="159"/>
      <c r="B142" s="33"/>
      <c r="C142" s="210"/>
      <c r="D142" s="281" t="s">
        <v>71</v>
      </c>
      <c r="E142" s="34"/>
      <c r="F142" s="33"/>
      <c r="G142" s="213"/>
      <c r="H142" s="168"/>
      <c r="I142" s="269"/>
      <c r="J142" s="214">
        <v>0</v>
      </c>
      <c r="K142" s="496"/>
      <c r="L142" s="496"/>
      <c r="M142" s="496"/>
      <c r="N142" s="496"/>
      <c r="O142" s="496"/>
      <c r="P142" s="496"/>
    </row>
    <row r="143" spans="1:26" ht="19.5" hidden="1">
      <c r="A143" s="159"/>
      <c r="B143" s="33"/>
      <c r="C143" s="210"/>
      <c r="D143" s="281" t="s">
        <v>72</v>
      </c>
      <c r="E143" s="34"/>
      <c r="F143" s="33"/>
      <c r="G143" s="213"/>
      <c r="H143" s="168" t="s">
        <v>35</v>
      </c>
      <c r="I143" s="269">
        <f ca="1">I145</f>
        <v>0</v>
      </c>
      <c r="J143" s="269">
        <f ca="1">IF(AND(J144&gt;=I144,J145&gt;=I145),J145,0)</f>
        <v>0</v>
      </c>
      <c r="K143" s="496">
        <f t="shared" ref="K143:K146" ca="1" si="75">IF(I143&gt;0,J143*100/I143,0)</f>
        <v>0</v>
      </c>
      <c r="L143" s="496"/>
      <c r="M143" s="496"/>
      <c r="N143" s="496"/>
      <c r="O143" s="496"/>
      <c r="P143" s="496"/>
    </row>
    <row r="144" spans="1:26" ht="19.5" hidden="1">
      <c r="A144" s="159"/>
      <c r="B144" s="33"/>
      <c r="C144" s="210"/>
      <c r="D144" s="178"/>
      <c r="E144" s="281" t="s">
        <v>73</v>
      </c>
      <c r="F144" s="33"/>
      <c r="G144" s="213"/>
      <c r="H144" s="168" t="s">
        <v>35</v>
      </c>
      <c r="I144" s="269">
        <f ca="1">IFERROR(__xludf.DUMMYFUNCTION("IMPORTRANGE(""https://docs.google.com/spreadsheets/d/1QqKyyYR6Q21VydFLVH3TRQUabQu_ym0Zz7PgGX0-kHA/edit?usp=sharing"",""แผน!U56"")"),0)</f>
        <v>0</v>
      </c>
      <c r="J144" s="214">
        <v>0</v>
      </c>
      <c r="K144" s="496">
        <f t="shared" ca="1" si="75"/>
        <v>0</v>
      </c>
      <c r="L144" s="496"/>
      <c r="M144" s="496"/>
      <c r="N144" s="496"/>
      <c r="O144" s="496"/>
      <c r="P144" s="496"/>
    </row>
    <row r="145" spans="1:26" ht="19.5" hidden="1">
      <c r="A145" s="159"/>
      <c r="B145" s="33"/>
      <c r="C145" s="210"/>
      <c r="D145" s="178"/>
      <c r="E145" s="281" t="s">
        <v>74</v>
      </c>
      <c r="F145" s="33"/>
      <c r="G145" s="213"/>
      <c r="H145" s="168" t="s">
        <v>35</v>
      </c>
      <c r="I145" s="269">
        <f ca="1">IFERROR(__xludf.DUMMYFUNCTION("IMPORTRANGE(""https://docs.google.com/spreadsheets/d/1QqKyyYR6Q21VydFLVH3TRQUabQu_ym0Zz7PgGX0-kHA/edit?usp=sharing"",""แผน!V56"")"),0)</f>
        <v>0</v>
      </c>
      <c r="J145" s="214">
        <v>0</v>
      </c>
      <c r="K145" s="496">
        <f t="shared" ca="1" si="75"/>
        <v>0</v>
      </c>
      <c r="L145" s="496"/>
      <c r="M145" s="496"/>
      <c r="N145" s="496"/>
      <c r="O145" s="496"/>
      <c r="P145" s="496"/>
    </row>
    <row r="146" spans="1:26" ht="19.5" hidden="1">
      <c r="A146" s="159"/>
      <c r="B146" s="33"/>
      <c r="C146" s="210"/>
      <c r="D146" s="281" t="s">
        <v>75</v>
      </c>
      <c r="E146" s="34"/>
      <c r="F146" s="33"/>
      <c r="G146" s="213"/>
      <c r="H146" s="168" t="s">
        <v>69</v>
      </c>
      <c r="I146" s="269">
        <f ca="1">IFERROR(__xludf.DUMMYFUNCTION("IMPORTRANGE(""https://docs.google.com/spreadsheets/d/1QqKyyYR6Q21VydFLVH3TRQUabQu_ym0Zz7PgGX0-kHA/edit?usp=sharing"",""แผน!W56"")"),0)</f>
        <v>0</v>
      </c>
      <c r="J146" s="214">
        <v>0</v>
      </c>
      <c r="K146" s="496">
        <f t="shared" ca="1" si="75"/>
        <v>0</v>
      </c>
      <c r="L146" s="496"/>
      <c r="M146" s="496"/>
      <c r="N146" s="496"/>
      <c r="O146" s="496"/>
      <c r="P146" s="496"/>
    </row>
    <row r="147" spans="1:26" ht="19.5" hidden="1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 hidden="1">
      <c r="A148" s="216"/>
      <c r="B148" s="208" t="s">
        <v>77</v>
      </c>
      <c r="C148" s="208"/>
      <c r="D148" s="208"/>
      <c r="E148" s="824"/>
      <c r="F148" s="218"/>
      <c r="G148" s="219"/>
      <c r="H148" s="220" t="s">
        <v>35</v>
      </c>
      <c r="I148" s="144">
        <f t="shared" ref="I148:J148" ca="1" si="76">I159</f>
        <v>0</v>
      </c>
      <c r="J148" s="144">
        <f t="shared" si="76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1"/>
      <c r="R148" s="221"/>
      <c r="S148" s="221"/>
      <c r="T148" s="221"/>
      <c r="U148" s="221"/>
      <c r="V148" s="221"/>
      <c r="W148" s="221"/>
      <c r="X148" s="221"/>
      <c r="Y148" s="221"/>
      <c r="Z148" s="221"/>
    </row>
    <row r="149" spans="1:26" ht="19.5" hidden="1">
      <c r="A149" s="147"/>
      <c r="B149" s="148"/>
      <c r="C149" s="149" t="s">
        <v>16</v>
      </c>
      <c r="D149" s="822" t="s">
        <v>17</v>
      </c>
      <c r="E149" s="148"/>
      <c r="F149" s="148"/>
      <c r="G149" s="151"/>
      <c r="H149" s="152" t="s">
        <v>12</v>
      </c>
      <c r="I149" s="419"/>
      <c r="J149" s="419"/>
      <c r="K149" s="154"/>
      <c r="L149" s="155">
        <f t="shared" ref="L149:N149" ca="1" si="77">L150+L151</f>
        <v>0</v>
      </c>
      <c r="M149" s="155">
        <f t="shared" ca="1" si="77"/>
        <v>0</v>
      </c>
      <c r="N149" s="155">
        <f t="shared" ca="1" si="77"/>
        <v>0</v>
      </c>
      <c r="O149" s="155">
        <f t="shared" ref="O149:O157" ca="1" si="78">IF(L149&gt;0,N149*100/L149,0)</f>
        <v>0</v>
      </c>
      <c r="P149" s="155">
        <f t="shared" ref="P149:P157" ca="1" si="79">IF(M149&gt;0,N149*100/M149,0)</f>
        <v>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2" t="s">
        <v>18</v>
      </c>
      <c r="F150" s="40"/>
      <c r="G150" s="157"/>
      <c r="H150" s="158" t="s">
        <v>12</v>
      </c>
      <c r="I150" s="610"/>
      <c r="J150" s="610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2" t="s">
        <v>19</v>
      </c>
      <c r="F151" s="40"/>
      <c r="G151" s="157"/>
      <c r="H151" s="158" t="s">
        <v>12</v>
      </c>
      <c r="I151" s="610"/>
      <c r="J151" s="610"/>
      <c r="K151" s="93"/>
      <c r="L151" s="93">
        <f t="shared" ca="1" si="80"/>
        <v>0</v>
      </c>
      <c r="M151" s="93">
        <f t="shared" ca="1" si="80"/>
        <v>0</v>
      </c>
      <c r="N151" s="93">
        <f t="shared" ca="1" si="80"/>
        <v>0</v>
      </c>
      <c r="O151" s="93">
        <f t="shared" ca="1" si="78"/>
        <v>0</v>
      </c>
      <c r="P151" s="93">
        <f t="shared" ca="1" si="79"/>
        <v>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 hidden="1">
      <c r="A152" s="159"/>
      <c r="B152" s="33"/>
      <c r="C152" s="281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6">
        <f t="shared" ref="L152:N152" ca="1" si="81">L153+L154</f>
        <v>0</v>
      </c>
      <c r="M152" s="496">
        <f t="shared" ca="1" si="81"/>
        <v>0</v>
      </c>
      <c r="N152" s="496">
        <f t="shared" ca="1" si="81"/>
        <v>0</v>
      </c>
      <c r="O152" s="496">
        <f t="shared" ca="1" si="78"/>
        <v>0</v>
      </c>
      <c r="P152" s="496">
        <f t="shared" ca="1" si="79"/>
        <v>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2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2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IFERROR(__xludf.DUMMYFUNCTION("IMPORTRANGE(""https://docs.google.com/spreadsheets/d/1MeEWN-I1oV_STSDYn1IFDPWt_1FKiwhDph83XaGc0o0/edit?usp=sharing"",""งบพรบ!BU56"")"),0)</f>
        <v>0</v>
      </c>
      <c r="M154" s="93">
        <f ca="1">IFERROR(__xludf.DUMMYFUNCTION("IMPORTRANGE(""https://docs.google.com/spreadsheets/d/1MeEWN-I1oV_STSDYn1IFDPWt_1FKiwhDph83XaGc0o0/edit?usp=sharing"",""งบพรบ!BZ56"")"),0)</f>
        <v>0</v>
      </c>
      <c r="N154" s="93">
        <f ca="1">IFERROR(__xludf.DUMMYFUNCTION("IMPORTRANGE(""https://docs.google.com/spreadsheets/d/1MeEWN-I1oV_STSDYn1IFDPWt_1FKiwhDph83XaGc0o0/edit?usp=sharing"",""งบพรบ!CB56"")"),0)</f>
        <v>0</v>
      </c>
      <c r="O154" s="93">
        <f t="shared" ca="1" si="78"/>
        <v>0</v>
      </c>
      <c r="P154" s="93">
        <f t="shared" ca="1" si="79"/>
        <v>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 hidden="1">
      <c r="A155" s="159"/>
      <c r="B155" s="33"/>
      <c r="C155" s="281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6">
        <f t="shared" ref="L155:N155" ca="1" si="82">L156+L157</f>
        <v>0</v>
      </c>
      <c r="M155" s="496">
        <f t="shared" ca="1" si="82"/>
        <v>0</v>
      </c>
      <c r="N155" s="496">
        <f t="shared" ca="1" si="82"/>
        <v>0</v>
      </c>
      <c r="O155" s="496">
        <f t="shared" ca="1" si="78"/>
        <v>0</v>
      </c>
      <c r="P155" s="496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2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2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IFERROR(__xludf.DUMMYFUNCTION("IMPORTRANGE(""https://docs.google.com/spreadsheets/d/1MeEWN-I1oV_STSDYn1IFDPWt_1FKiwhDph83XaGc0o0/edit?usp=sharing"",""งบพรบ!BX56"")"),0)</f>
        <v>0</v>
      </c>
      <c r="M157" s="93">
        <f ca="1">IFERROR(__xludf.DUMMYFUNCTION("IMPORTRANGE(""https://docs.google.com/spreadsheets/d/1MeEWN-I1oV_STSDYn1IFDPWt_1FKiwhDph83XaGc0o0/edit?usp=sharing"",""งบพรบ!CA56"")"),0)</f>
        <v>0</v>
      </c>
      <c r="N157" s="93">
        <f ca="1">IFERROR(__xludf.DUMMYFUNCTION("IMPORTRANGE(""https://docs.google.com/spreadsheets/d/1MeEWN-I1oV_STSDYn1IFDPWt_1FKiwhDph83XaGc0o0/edit?usp=sharing"",""งบพรบ!CC56"")"),0)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 hidden="1">
      <c r="A158" s="170"/>
      <c r="B158" s="171"/>
      <c r="C158" s="164" t="s">
        <v>16</v>
      </c>
      <c r="D158" s="823" t="s">
        <v>38</v>
      </c>
      <c r="E158" s="173"/>
      <c r="F158" s="173"/>
      <c r="G158" s="174"/>
      <c r="H158" s="168"/>
      <c r="I158" s="269"/>
      <c r="J158" s="269"/>
      <c r="K158" s="496"/>
      <c r="L158" s="496"/>
      <c r="M158" s="496"/>
      <c r="N158" s="496"/>
      <c r="O158" s="496"/>
      <c r="P158" s="496"/>
    </row>
    <row r="159" spans="1:26" ht="19.5" hidden="1">
      <c r="A159" s="159"/>
      <c r="B159" s="33"/>
      <c r="C159" s="210"/>
      <c r="D159" s="281" t="s">
        <v>78</v>
      </c>
      <c r="E159" s="34"/>
      <c r="F159" s="33"/>
      <c r="G159" s="213"/>
      <c r="H159" s="168" t="s">
        <v>35</v>
      </c>
      <c r="I159" s="269">
        <f ca="1">IFERROR(__xludf.DUMMYFUNCTION("IMPORTRANGE(""https://docs.google.com/spreadsheets/d/1QqKyyYR6Q21VydFLVH3TRQUabQu_ym0Zz7PgGX0-kHA/edit?usp=sharing"",""แผน!X56"")"),0)</f>
        <v>0</v>
      </c>
      <c r="J159" s="214">
        <v>0</v>
      </c>
      <c r="K159" s="496">
        <f ca="1">IF(I159&gt;0,J159*100/I159,0)</f>
        <v>0</v>
      </c>
      <c r="L159" s="496"/>
      <c r="M159" s="496"/>
      <c r="N159" s="496"/>
      <c r="O159" s="496"/>
      <c r="P159" s="496"/>
    </row>
    <row r="160" spans="1:26" ht="19.5" hidden="1">
      <c r="A160" s="156"/>
      <c r="B160" s="40"/>
      <c r="C160" s="164"/>
      <c r="D160" s="222" t="s">
        <v>79</v>
      </c>
      <c r="E160" s="223"/>
      <c r="F160" s="40"/>
      <c r="G160" s="157"/>
      <c r="H160" s="169" t="s">
        <v>35</v>
      </c>
      <c r="I160" s="610"/>
      <c r="J160" s="610"/>
      <c r="K160" s="93"/>
      <c r="L160" s="93"/>
      <c r="M160" s="93"/>
      <c r="N160" s="93"/>
      <c r="O160" s="93"/>
      <c r="P160" s="93"/>
      <c r="Q160" s="224"/>
      <c r="R160" s="224"/>
      <c r="S160" s="224"/>
      <c r="T160" s="224"/>
      <c r="U160" s="224"/>
      <c r="V160" s="224"/>
      <c r="W160" s="224"/>
      <c r="X160" s="224"/>
      <c r="Y160" s="224"/>
      <c r="Z160" s="224"/>
    </row>
    <row r="161" spans="1:26" ht="19.5" hidden="1">
      <c r="A161" s="225"/>
      <c r="B161" s="226"/>
      <c r="C161" s="227"/>
      <c r="D161" s="228" t="s">
        <v>80</v>
      </c>
      <c r="E161" s="825"/>
      <c r="F161" s="226"/>
      <c r="G161" s="230"/>
      <c r="H161" s="231" t="s">
        <v>35</v>
      </c>
      <c r="I161" s="232"/>
      <c r="J161" s="232"/>
      <c r="K161" s="233"/>
      <c r="L161" s="233"/>
      <c r="M161" s="233"/>
      <c r="N161" s="233"/>
      <c r="O161" s="233"/>
      <c r="P161" s="233"/>
      <c r="Q161" s="224"/>
      <c r="R161" s="224"/>
      <c r="S161" s="224"/>
      <c r="T161" s="224"/>
      <c r="U161" s="224"/>
      <c r="V161" s="224"/>
      <c r="W161" s="224"/>
      <c r="X161" s="224"/>
      <c r="Y161" s="224"/>
      <c r="Z161" s="224"/>
    </row>
    <row r="162" spans="1:26" ht="19.5">
      <c r="A162" s="234" t="s">
        <v>81</v>
      </c>
      <c r="B162" s="235"/>
      <c r="C162" s="235"/>
      <c r="D162" s="235"/>
      <c r="E162" s="236"/>
      <c r="F162" s="236"/>
      <c r="G162" s="237"/>
      <c r="H162" s="238"/>
      <c r="I162" s="239"/>
      <c r="J162" s="239"/>
      <c r="K162" s="240"/>
      <c r="L162" s="240"/>
      <c r="M162" s="240"/>
      <c r="N162" s="240"/>
      <c r="O162" s="240"/>
      <c r="P162" s="240"/>
    </row>
    <row r="163" spans="1:26" ht="19.5">
      <c r="A163" s="241" t="s">
        <v>82</v>
      </c>
      <c r="B163" s="242"/>
      <c r="C163" s="242"/>
      <c r="D163" s="243"/>
      <c r="E163" s="243"/>
      <c r="F163" s="243"/>
      <c r="G163" s="244"/>
      <c r="H163" s="245"/>
      <c r="I163" s="246"/>
      <c r="J163" s="246"/>
      <c r="K163" s="247"/>
      <c r="L163" s="247"/>
      <c r="M163" s="247"/>
      <c r="N163" s="247"/>
      <c r="O163" s="247"/>
      <c r="P163" s="247"/>
    </row>
    <row r="164" spans="1:26" ht="19.5" hidden="1">
      <c r="A164" s="248"/>
      <c r="B164" s="249" t="s">
        <v>83</v>
      </c>
      <c r="C164" s="250"/>
      <c r="D164" s="173"/>
      <c r="E164" s="173"/>
      <c r="F164" s="173"/>
      <c r="G164" s="174"/>
      <c r="H164" s="251" t="s">
        <v>35</v>
      </c>
      <c r="I164" s="843">
        <f t="shared" ref="I164:J164" ca="1" si="83">I174+I177</f>
        <v>0</v>
      </c>
      <c r="J164" s="843">
        <f t="shared" si="83"/>
        <v>0</v>
      </c>
      <c r="K164" s="254">
        <f ca="1">IF(I164&gt;0,J164*100/I164,0)</f>
        <v>0</v>
      </c>
      <c r="L164" s="254"/>
      <c r="M164" s="254"/>
      <c r="N164" s="254"/>
      <c r="O164" s="254"/>
      <c r="P164" s="254"/>
    </row>
    <row r="165" spans="1:26" ht="19.5" hidden="1">
      <c r="A165" s="147"/>
      <c r="B165" s="148"/>
      <c r="C165" s="149" t="s">
        <v>16</v>
      </c>
      <c r="D165" s="822" t="s">
        <v>17</v>
      </c>
      <c r="E165" s="148"/>
      <c r="F165" s="148"/>
      <c r="G165" s="151"/>
      <c r="H165" s="152" t="s">
        <v>12</v>
      </c>
      <c r="I165" s="419"/>
      <c r="J165" s="419"/>
      <c r="K165" s="154"/>
      <c r="L165" s="154">
        <f t="shared" ref="L165:N165" ca="1" si="84">L166+L167</f>
        <v>0</v>
      </c>
      <c r="M165" s="154">
        <f t="shared" ca="1" si="84"/>
        <v>0</v>
      </c>
      <c r="N165" s="154">
        <f t="shared" ca="1" si="84"/>
        <v>0</v>
      </c>
      <c r="O165" s="154">
        <f t="shared" ref="O165:O173" ca="1" si="85">IF(L165&gt;0,N165*100/L165,0)</f>
        <v>0</v>
      </c>
      <c r="P165" s="154">
        <f t="shared" ref="P165:P173" ca="1" si="86">IF(M165&gt;0,N165*100/M165,0)</f>
        <v>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2" t="s">
        <v>18</v>
      </c>
      <c r="F166" s="40"/>
      <c r="G166" s="157"/>
      <c r="H166" s="158" t="s">
        <v>12</v>
      </c>
      <c r="I166" s="610"/>
      <c r="J166" s="610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2" t="s">
        <v>19</v>
      </c>
      <c r="F167" s="40"/>
      <c r="G167" s="157"/>
      <c r="H167" s="158" t="s">
        <v>12</v>
      </c>
      <c r="I167" s="610"/>
      <c r="J167" s="610"/>
      <c r="K167" s="93"/>
      <c r="L167" s="93">
        <f t="shared" ca="1" si="87"/>
        <v>0</v>
      </c>
      <c r="M167" s="93">
        <f t="shared" ca="1" si="87"/>
        <v>0</v>
      </c>
      <c r="N167" s="93">
        <f t="shared" ca="1" si="87"/>
        <v>0</v>
      </c>
      <c r="O167" s="93">
        <f t="shared" ca="1" si="85"/>
        <v>0</v>
      </c>
      <c r="P167" s="93">
        <f t="shared" ca="1" si="86"/>
        <v>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 hidden="1">
      <c r="A168" s="159"/>
      <c r="B168" s="33"/>
      <c r="C168" s="281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6">
        <f t="shared" ref="L168:N168" ca="1" si="88">L169+L170</f>
        <v>0</v>
      </c>
      <c r="M168" s="496">
        <f t="shared" ca="1" si="88"/>
        <v>0</v>
      </c>
      <c r="N168" s="496">
        <f t="shared" ca="1" si="88"/>
        <v>0</v>
      </c>
      <c r="O168" s="496">
        <f t="shared" ca="1" si="85"/>
        <v>0</v>
      </c>
      <c r="P168" s="496">
        <f t="shared" ca="1" si="86"/>
        <v>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2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2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IFERROR(__xludf.DUMMYFUNCTION("IMPORTRANGE(""https://docs.google.com/spreadsheets/d/1MeEWN-I1oV_STSDYn1IFDPWt_1FKiwhDph83XaGc0o0/edit?usp=sharing"",""งบพรบ!CE56"")"),0)</f>
        <v>0</v>
      </c>
      <c r="M170" s="93">
        <f ca="1">IFERROR(__xludf.DUMMYFUNCTION("IMPORTRANGE(""https://docs.google.com/spreadsheets/d/1MeEWN-I1oV_STSDYn1IFDPWt_1FKiwhDph83XaGc0o0/edit?usp=sharing"",""งบพรบ!CJ56"")"),0)</f>
        <v>0</v>
      </c>
      <c r="N170" s="93">
        <f ca="1">IFERROR(__xludf.DUMMYFUNCTION("IMPORTRANGE(""https://docs.google.com/spreadsheets/d/1MeEWN-I1oV_STSDYn1IFDPWt_1FKiwhDph83XaGc0o0/edit?usp=sharing"",""งบพรบ!CL56"")"),0)</f>
        <v>0</v>
      </c>
      <c r="O170" s="93">
        <f t="shared" ca="1" si="85"/>
        <v>0</v>
      </c>
      <c r="P170" s="93">
        <f t="shared" ca="1" si="86"/>
        <v>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 hidden="1">
      <c r="A171" s="159"/>
      <c r="B171" s="33"/>
      <c r="C171" s="281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6">
        <f t="shared" ref="L171:N171" ca="1" si="89">L172+L173</f>
        <v>0</v>
      </c>
      <c r="M171" s="496">
        <f t="shared" ca="1" si="89"/>
        <v>0</v>
      </c>
      <c r="N171" s="496">
        <f t="shared" ca="1" si="89"/>
        <v>0</v>
      </c>
      <c r="O171" s="496">
        <f t="shared" ca="1" si="85"/>
        <v>0</v>
      </c>
      <c r="P171" s="496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2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2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IFERROR(__xludf.DUMMYFUNCTION("IMPORTRANGE(""https://docs.google.com/spreadsheets/d/1MeEWN-I1oV_STSDYn1IFDPWt_1FKiwhDph83XaGc0o0/edit?usp=sharing"",""งบพรบ!CH56"")"),0)</f>
        <v>0</v>
      </c>
      <c r="M173" s="93">
        <f ca="1">IFERROR(__xludf.DUMMYFUNCTION("IMPORTRANGE(""https://docs.google.com/spreadsheets/d/1MeEWN-I1oV_STSDYn1IFDPWt_1FKiwhDph83XaGc0o0/edit?usp=sharing"",""งบพรบ!CK56"")"),0)</f>
        <v>0</v>
      </c>
      <c r="N173" s="93">
        <f ca="1">IFERROR(__xludf.DUMMYFUNCTION("IMPORTRANGE(""https://docs.google.com/spreadsheets/d/1MeEWN-I1oV_STSDYn1IFDPWt_1FKiwhDph83XaGc0o0/edit?usp=sharing"",""งบพรบ!CM56"")"),0)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 hidden="1">
      <c r="A174" s="255"/>
      <c r="B174" s="256"/>
      <c r="C174" s="257" t="s">
        <v>84</v>
      </c>
      <c r="D174" s="256"/>
      <c r="E174" s="256"/>
      <c r="F174" s="256"/>
      <c r="G174" s="258"/>
      <c r="H174" s="259" t="s">
        <v>35</v>
      </c>
      <c r="I174" s="260">
        <f t="shared" ref="I174:J174" ca="1" si="90">I176</f>
        <v>0</v>
      </c>
      <c r="J174" s="260">
        <f t="shared" si="90"/>
        <v>0</v>
      </c>
      <c r="K174" s="261">
        <f ca="1">IF(I174&gt;0,J174*100/I174,0)</f>
        <v>0</v>
      </c>
      <c r="L174" s="261"/>
      <c r="M174" s="261"/>
      <c r="N174" s="261"/>
      <c r="O174" s="261"/>
      <c r="P174" s="261"/>
    </row>
    <row r="175" spans="1:26" ht="19.5" hidden="1">
      <c r="A175" s="170"/>
      <c r="B175" s="171"/>
      <c r="C175" s="164" t="s">
        <v>16</v>
      </c>
      <c r="D175" s="823" t="s">
        <v>38</v>
      </c>
      <c r="E175" s="173"/>
      <c r="F175" s="173"/>
      <c r="G175" s="174"/>
      <c r="H175" s="753"/>
      <c r="I175" s="184"/>
      <c r="J175" s="184"/>
      <c r="K175" s="163"/>
      <c r="L175" s="163"/>
      <c r="M175" s="163"/>
      <c r="N175" s="163"/>
      <c r="O175" s="163"/>
      <c r="P175" s="163"/>
    </row>
    <row r="176" spans="1:26" ht="18.75" hidden="1">
      <c r="A176" s="170"/>
      <c r="B176" s="171"/>
      <c r="C176" s="171"/>
      <c r="D176" s="737" t="s">
        <v>85</v>
      </c>
      <c r="E176" s="178"/>
      <c r="F176" s="178"/>
      <c r="G176" s="179"/>
      <c r="H176" s="616" t="s">
        <v>35</v>
      </c>
      <c r="I176" s="269">
        <f ca="1">IFERROR(__xludf.DUMMYFUNCTION("IMPORTRANGE(""https://docs.google.com/spreadsheets/d/1QqKyyYR6Q21VydFLVH3TRQUabQu_ym0Zz7PgGX0-kHA/edit?usp=sharing"",""แผน!Y56"")"),0)</f>
        <v>0</v>
      </c>
      <c r="J176" s="214">
        <v>0</v>
      </c>
      <c r="K176" s="163">
        <f ca="1">IF(I176&gt;0,J176*100/I176,0)</f>
        <v>0</v>
      </c>
      <c r="L176" s="163"/>
      <c r="M176" s="163"/>
      <c r="N176" s="163"/>
      <c r="O176" s="163"/>
      <c r="P176" s="163"/>
    </row>
    <row r="177" spans="1:26" ht="19.5" hidden="1">
      <c r="A177" s="255"/>
      <c r="B177" s="263"/>
      <c r="C177" s="264" t="s">
        <v>86</v>
      </c>
      <c r="D177" s="263"/>
      <c r="E177" s="256"/>
      <c r="F177" s="256"/>
      <c r="G177" s="258"/>
      <c r="H177" s="265" t="s">
        <v>35</v>
      </c>
      <c r="I177" s="260"/>
      <c r="J177" s="260">
        <f>J179</f>
        <v>0</v>
      </c>
      <c r="K177" s="261"/>
      <c r="L177" s="261"/>
      <c r="M177" s="261"/>
      <c r="N177" s="261"/>
      <c r="O177" s="261"/>
      <c r="P177" s="261"/>
    </row>
    <row r="178" spans="1:26" ht="19.5" hidden="1">
      <c r="A178" s="170"/>
      <c r="B178" s="171"/>
      <c r="C178" s="164" t="s">
        <v>16</v>
      </c>
      <c r="D178" s="266" t="s">
        <v>38</v>
      </c>
      <c r="E178" s="173"/>
      <c r="F178" s="173"/>
      <c r="G178" s="174"/>
      <c r="H178" s="753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3" t="s">
        <v>87</v>
      </c>
      <c r="E179" s="178"/>
      <c r="F179" s="366"/>
      <c r="G179" s="179"/>
      <c r="H179" s="43" t="s">
        <v>35</v>
      </c>
      <c r="I179" s="269"/>
      <c r="J179" s="269"/>
      <c r="K179" s="163"/>
      <c r="L179" s="163"/>
      <c r="M179" s="163"/>
      <c r="N179" s="163"/>
      <c r="O179" s="163"/>
      <c r="P179" s="163"/>
    </row>
    <row r="180" spans="1:26" ht="19.5">
      <c r="A180" s="248"/>
      <c r="B180" s="249" t="s">
        <v>88</v>
      </c>
      <c r="C180" s="250"/>
      <c r="D180" s="173"/>
      <c r="E180" s="173"/>
      <c r="F180" s="173"/>
      <c r="G180" s="174"/>
      <c r="H180" s="251" t="s">
        <v>35</v>
      </c>
      <c r="I180" s="252">
        <f t="shared" ref="I180:J180" ca="1" si="91">I225+I226</f>
        <v>40</v>
      </c>
      <c r="J180" s="252">
        <f t="shared" si="91"/>
        <v>0</v>
      </c>
      <c r="K180" s="253">
        <f ca="1">IF(I180&gt;0,J180*100/I180,0)</f>
        <v>0</v>
      </c>
      <c r="L180" s="254"/>
      <c r="M180" s="254"/>
      <c r="N180" s="254"/>
      <c r="O180" s="254"/>
      <c r="P180" s="254"/>
    </row>
    <row r="181" spans="1:26" ht="19.5">
      <c r="A181" s="147"/>
      <c r="B181" s="148"/>
      <c r="C181" s="149" t="s">
        <v>16</v>
      </c>
      <c r="D181" s="822" t="s">
        <v>17</v>
      </c>
      <c r="E181" s="148"/>
      <c r="F181" s="148"/>
      <c r="G181" s="151"/>
      <c r="H181" s="152" t="s">
        <v>12</v>
      </c>
      <c r="I181" s="419"/>
      <c r="J181" s="419"/>
      <c r="K181" s="154"/>
      <c r="L181" s="155">
        <f t="shared" ref="L181:N181" ca="1" si="92">L182+L183</f>
        <v>153900</v>
      </c>
      <c r="M181" s="155">
        <f t="shared" ca="1" si="92"/>
        <v>72500</v>
      </c>
      <c r="N181" s="155">
        <f t="shared" ca="1" si="92"/>
        <v>2500</v>
      </c>
      <c r="O181" s="155">
        <f t="shared" ref="O181:O189" ca="1" si="93">IF(L181&gt;0,N181*100/L181,0)</f>
        <v>1.6244314489928524</v>
      </c>
      <c r="P181" s="155">
        <f t="shared" ref="P181:P189" ca="1" si="94">IF(M181&gt;0,N181*100/M181,0)</f>
        <v>3.4482758620689653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2" t="s">
        <v>18</v>
      </c>
      <c r="F182" s="40"/>
      <c r="G182" s="157"/>
      <c r="H182" s="158" t="s">
        <v>12</v>
      </c>
      <c r="I182" s="610"/>
      <c r="J182" s="610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2" t="s">
        <v>19</v>
      </c>
      <c r="F183" s="40"/>
      <c r="G183" s="157"/>
      <c r="H183" s="158" t="s">
        <v>12</v>
      </c>
      <c r="I183" s="610"/>
      <c r="J183" s="610"/>
      <c r="K183" s="93"/>
      <c r="L183" s="93">
        <f t="shared" ca="1" si="95"/>
        <v>153900</v>
      </c>
      <c r="M183" s="93">
        <f t="shared" ca="1" si="95"/>
        <v>72500</v>
      </c>
      <c r="N183" s="93">
        <f t="shared" ca="1" si="95"/>
        <v>2500</v>
      </c>
      <c r="O183" s="93">
        <f t="shared" ca="1" si="93"/>
        <v>1.6244314489928524</v>
      </c>
      <c r="P183" s="93">
        <f t="shared" ca="1" si="94"/>
        <v>3.4482758620689653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1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6">
        <f t="shared" ref="L184:N184" ca="1" si="96">L185+L186</f>
        <v>153900</v>
      </c>
      <c r="M184" s="496">
        <f t="shared" ca="1" si="96"/>
        <v>72500</v>
      </c>
      <c r="N184" s="496">
        <f t="shared" ca="1" si="96"/>
        <v>2500</v>
      </c>
      <c r="O184" s="496">
        <f t="shared" ca="1" si="93"/>
        <v>1.6244314489928524</v>
      </c>
      <c r="P184" s="496">
        <f t="shared" ca="1" si="94"/>
        <v>3.4482758620689653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2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2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IFERROR(__xludf.DUMMYFUNCTION("IMPORTRANGE(""https://docs.google.com/spreadsheets/d/1MeEWN-I1oV_STSDYn1IFDPWt_1FKiwhDph83XaGc0o0/edit?usp=sharing"",""งบพรบ!CO56"")"),153900)</f>
        <v>153900</v>
      </c>
      <c r="M186" s="93">
        <f ca="1">IFERROR(__xludf.DUMMYFUNCTION("IMPORTRANGE(""https://docs.google.com/spreadsheets/d/1MeEWN-I1oV_STSDYn1IFDPWt_1FKiwhDph83XaGc0o0/edit?usp=sharing"",""งบพรบ!CT56"")"),72500)</f>
        <v>72500</v>
      </c>
      <c r="N186" s="93">
        <f ca="1">IFERROR(__xludf.DUMMYFUNCTION("IMPORTRANGE(""https://docs.google.com/spreadsheets/d/1MeEWN-I1oV_STSDYn1IFDPWt_1FKiwhDph83XaGc0o0/edit?usp=sharing"",""งบพรบ!CV56"")"),2500)</f>
        <v>2500</v>
      </c>
      <c r="O186" s="93">
        <f t="shared" ca="1" si="93"/>
        <v>1.6244314489928524</v>
      </c>
      <c r="P186" s="93">
        <f t="shared" ca="1" si="94"/>
        <v>3.4482758620689653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1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6">
        <f t="shared" ref="L187:N187" ca="1" si="97">L188+L189</f>
        <v>0</v>
      </c>
      <c r="M187" s="496">
        <f t="shared" ca="1" si="97"/>
        <v>0</v>
      </c>
      <c r="N187" s="496">
        <f t="shared" ca="1" si="97"/>
        <v>0</v>
      </c>
      <c r="O187" s="496">
        <f t="shared" ca="1" si="93"/>
        <v>0</v>
      </c>
      <c r="P187" s="496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2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2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IFERROR(__xludf.DUMMYFUNCTION("IMPORTRANGE(""https://docs.google.com/spreadsheets/d/1MeEWN-I1oV_STSDYn1IFDPWt_1FKiwhDph83XaGc0o0/edit?usp=sharing"",""งบพรบ!CR56"")"),0)</f>
        <v>0</v>
      </c>
      <c r="M189" s="93">
        <f ca="1">IFERROR(__xludf.DUMMYFUNCTION("IMPORTRANGE(""https://docs.google.com/spreadsheets/d/1MeEWN-I1oV_STSDYn1IFDPWt_1FKiwhDph83XaGc0o0/edit?usp=sharing"",""งบพรบ!CU56"")"),0)</f>
        <v>0</v>
      </c>
      <c r="N189" s="93">
        <f ca="1">IFERROR(__xludf.DUMMYFUNCTION("IMPORTRANGE(""https://docs.google.com/spreadsheets/d/1MeEWN-I1oV_STSDYn1IFDPWt_1FKiwhDph83XaGc0o0/edit?usp=sharing"",""งบพรบ!CW56"")"),0)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5"/>
      <c r="B190" s="263"/>
      <c r="C190" s="270" t="s">
        <v>89</v>
      </c>
      <c r="D190" s="256"/>
      <c r="E190" s="256"/>
      <c r="F190" s="256"/>
      <c r="G190" s="258"/>
      <c r="H190" s="259" t="s">
        <v>90</v>
      </c>
      <c r="I190" s="271">
        <f t="shared" ref="I190:J190" ca="1" si="98">I193</f>
        <v>4</v>
      </c>
      <c r="J190" s="271">
        <f t="shared" si="98"/>
        <v>0</v>
      </c>
      <c r="K190" s="272">
        <f ca="1">IF(I190&gt;0,J190*100/I190,0)</f>
        <v>0</v>
      </c>
      <c r="L190" s="261"/>
      <c r="M190" s="261"/>
      <c r="N190" s="261"/>
      <c r="O190" s="261"/>
      <c r="P190" s="261"/>
    </row>
    <row r="191" spans="1:26" ht="19.5">
      <c r="A191" s="147"/>
      <c r="B191" s="148"/>
      <c r="C191" s="149" t="s">
        <v>16</v>
      </c>
      <c r="D191" s="826" t="s">
        <v>17</v>
      </c>
      <c r="E191" s="148"/>
      <c r="F191" s="148"/>
      <c r="G191" s="151"/>
      <c r="H191" s="274" t="s">
        <v>12</v>
      </c>
      <c r="I191" s="419"/>
      <c r="J191" s="419"/>
      <c r="K191" s="154"/>
      <c r="L191" s="155">
        <f ca="1">IFERROR(__xludf.DUMMYFUNCTION("IMPORTRANGE(""https://docs.google.com/spreadsheets/d/1QqKyyYR6Q21VydFLVH3TRQUabQu_ym0Zz7PgGX0-kHA/edit?usp=sharing"",""แผน!Z56"")"),6000)</f>
        <v>6000</v>
      </c>
      <c r="M191" s="155"/>
      <c r="N191" s="275">
        <v>0</v>
      </c>
      <c r="O191" s="155">
        <f ca="1">IF(L191&gt;0,N191*100/L191,0)</f>
        <v>0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0" t="s">
        <v>16</v>
      </c>
      <c r="D192" s="823" t="s">
        <v>38</v>
      </c>
      <c r="E192" s="173"/>
      <c r="F192" s="173"/>
      <c r="G192" s="174"/>
      <c r="H192" s="753"/>
      <c r="I192" s="269"/>
      <c r="J192" s="269"/>
      <c r="K192" s="496"/>
      <c r="L192" s="496"/>
      <c r="M192" s="496"/>
      <c r="N192" s="496"/>
      <c r="O192" s="496"/>
      <c r="P192" s="496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6" t="s">
        <v>91</v>
      </c>
      <c r="E193" s="178"/>
      <c r="F193" s="178"/>
      <c r="G193" s="179"/>
      <c r="H193" s="755" t="s">
        <v>90</v>
      </c>
      <c r="I193" s="269">
        <f ca="1">IFERROR(__xludf.DUMMYFUNCTION("IMPORTRANGE(""https://docs.google.com/spreadsheets/d/1QqKyyYR6Q21VydFLVH3TRQUabQu_ym0Zz7PgGX0-kHA/edit?usp=sharing"",""แผน!AC56"")"),4)</f>
        <v>4</v>
      </c>
      <c r="J193" s="214">
        <v>0</v>
      </c>
      <c r="K193" s="496">
        <f ca="1">IF(I193&gt;0,J193*100/I193,0)</f>
        <v>0</v>
      </c>
      <c r="L193" s="496"/>
      <c r="M193" s="496"/>
      <c r="N193" s="496"/>
      <c r="O193" s="496"/>
      <c r="P193" s="496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6" t="s">
        <v>92</v>
      </c>
      <c r="E194" s="178"/>
      <c r="F194" s="178"/>
      <c r="G194" s="179"/>
      <c r="H194" s="276" t="s">
        <v>35</v>
      </c>
      <c r="I194" s="269"/>
      <c r="J194" s="269">
        <f>J195+J196</f>
        <v>0</v>
      </c>
      <c r="K194" s="496"/>
      <c r="L194" s="496"/>
      <c r="M194" s="496"/>
      <c r="N194" s="496"/>
      <c r="O194" s="496"/>
      <c r="P194" s="496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6" t="s">
        <v>93</v>
      </c>
      <c r="F195" s="178"/>
      <c r="G195" s="179"/>
      <c r="H195" s="276" t="s">
        <v>35</v>
      </c>
      <c r="I195" s="269"/>
      <c r="J195" s="214">
        <v>0</v>
      </c>
      <c r="K195" s="496"/>
      <c r="L195" s="496"/>
      <c r="M195" s="496"/>
      <c r="N195" s="496"/>
      <c r="O195" s="496"/>
      <c r="P195" s="496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6" t="s">
        <v>94</v>
      </c>
      <c r="F196" s="178"/>
      <c r="G196" s="179"/>
      <c r="H196" s="276" t="s">
        <v>35</v>
      </c>
      <c r="I196" s="269"/>
      <c r="J196" s="214">
        <v>0</v>
      </c>
      <c r="K196" s="496"/>
      <c r="L196" s="496"/>
      <c r="M196" s="496"/>
      <c r="N196" s="496"/>
      <c r="O196" s="496"/>
      <c r="P196" s="496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5"/>
      <c r="B197" s="263"/>
      <c r="C197" s="270" t="s">
        <v>95</v>
      </c>
      <c r="D197" s="256"/>
      <c r="E197" s="256"/>
      <c r="F197" s="256"/>
      <c r="G197" s="258"/>
      <c r="H197" s="277" t="s">
        <v>96</v>
      </c>
      <c r="I197" s="271">
        <f t="shared" ref="I197:J197" ca="1" si="99">I204</f>
        <v>4</v>
      </c>
      <c r="J197" s="271">
        <f t="shared" si="99"/>
        <v>0</v>
      </c>
      <c r="K197" s="272">
        <f ca="1">IF(I197&gt;0,J197*100/I197,0)</f>
        <v>0</v>
      </c>
      <c r="L197" s="261"/>
      <c r="M197" s="261"/>
      <c r="N197" s="261"/>
      <c r="O197" s="261"/>
      <c r="P197" s="261"/>
    </row>
    <row r="198" spans="1:26" ht="19.5">
      <c r="A198" s="147"/>
      <c r="B198" s="148"/>
      <c r="C198" s="149" t="s">
        <v>16</v>
      </c>
      <c r="D198" s="826" t="s">
        <v>17</v>
      </c>
      <c r="E198" s="148"/>
      <c r="F198" s="148"/>
      <c r="G198" s="151"/>
      <c r="H198" s="274" t="s">
        <v>12</v>
      </c>
      <c r="I198" s="418"/>
      <c r="J198" s="418"/>
      <c r="K198" s="279"/>
      <c r="L198" s="155">
        <f ca="1">L199+L200+L201+L202</f>
        <v>57000</v>
      </c>
      <c r="M198" s="155"/>
      <c r="N198" s="155">
        <f>N199+N200+N201+N202</f>
        <v>2500</v>
      </c>
      <c r="O198" s="155">
        <f ca="1">IF(L198&gt;0,N198*100/L198,0)</f>
        <v>4.3859649122807021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0"/>
      <c r="C199" s="33"/>
      <c r="D199" s="281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6">
        <f ca="1">IFERROR(__xludf.DUMMYFUNCTION("IMPORTRANGE(""https://docs.google.com/spreadsheets/d/1QqKyyYR6Q21VydFLVH3TRQUabQu_ym0Zz7PgGX0-kHA/edit?usp=sharing"",""แผน!AE56"")"),4000)</f>
        <v>4000</v>
      </c>
      <c r="M199" s="496"/>
      <c r="N199" s="817">
        <v>2500</v>
      </c>
      <c r="O199" s="496"/>
      <c r="P199" s="496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4"/>
      <c r="B200" s="280"/>
      <c r="C200" s="210"/>
      <c r="D200" s="281" t="s">
        <v>98</v>
      </c>
      <c r="E200" s="33"/>
      <c r="F200" s="33"/>
      <c r="G200" s="35"/>
      <c r="H200" s="616" t="s">
        <v>12</v>
      </c>
      <c r="I200" s="269"/>
      <c r="J200" s="269"/>
      <c r="K200" s="496"/>
      <c r="L200" s="496">
        <f ca="1">IFERROR(__xludf.DUMMYFUNCTION("IMPORTRANGE(""https://docs.google.com/spreadsheets/d/1QqKyyYR6Q21VydFLVH3TRQUabQu_ym0Zz7PgGX0-kHA/edit?usp=sharing"",""แผน!AF56"")"),32000)</f>
        <v>32000</v>
      </c>
      <c r="M200" s="496"/>
      <c r="N200" s="817">
        <v>0</v>
      </c>
      <c r="O200" s="496"/>
      <c r="P200" s="496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>
      <c r="A201" s="284"/>
      <c r="B201" s="280"/>
      <c r="C201" s="210"/>
      <c r="D201" s="281" t="s">
        <v>99</v>
      </c>
      <c r="E201" s="33"/>
      <c r="F201" s="33"/>
      <c r="G201" s="35"/>
      <c r="H201" s="616" t="s">
        <v>12</v>
      </c>
      <c r="I201" s="269"/>
      <c r="J201" s="269"/>
      <c r="K201" s="496"/>
      <c r="L201" s="496">
        <f ca="1">IFERROR(__xludf.DUMMYFUNCTION("IMPORTRANGE(""https://docs.google.com/spreadsheets/d/1QqKyyYR6Q21VydFLVH3TRQUabQu_ym0Zz7PgGX0-kHA/edit?usp=sharing"",""แผน!AG56"")"),16000)</f>
        <v>16000</v>
      </c>
      <c r="M201" s="496"/>
      <c r="N201" s="817">
        <v>0</v>
      </c>
      <c r="O201" s="496"/>
      <c r="P201" s="496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>
      <c r="A202" s="284"/>
      <c r="B202" s="280"/>
      <c r="C202" s="210"/>
      <c r="D202" s="281" t="s">
        <v>100</v>
      </c>
      <c r="E202" s="33"/>
      <c r="F202" s="33"/>
      <c r="G202" s="35"/>
      <c r="H202" s="616" t="s">
        <v>12</v>
      </c>
      <c r="I202" s="269"/>
      <c r="J202" s="269"/>
      <c r="K202" s="496"/>
      <c r="L202" s="496">
        <f ca="1">IFERROR(__xludf.DUMMYFUNCTION("IMPORTRANGE(""https://docs.google.com/spreadsheets/d/1QqKyyYR6Q21VydFLVH3TRQUabQu_ym0Zz7PgGX0-kHA/edit?usp=sharing"",""แผน!AH56"")"),5000)</f>
        <v>5000</v>
      </c>
      <c r="M202" s="496"/>
      <c r="N202" s="817">
        <v>0</v>
      </c>
      <c r="O202" s="496"/>
      <c r="P202" s="496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>
      <c r="A203" s="170"/>
      <c r="B203" s="171"/>
      <c r="C203" s="210" t="s">
        <v>16</v>
      </c>
      <c r="D203" s="823" t="s">
        <v>38</v>
      </c>
      <c r="E203" s="173"/>
      <c r="F203" s="173"/>
      <c r="G203" s="174"/>
      <c r="H203" s="753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53" t="s">
        <v>96</v>
      </c>
      <c r="I204" s="269">
        <f ca="1">IFERROR(__xludf.DUMMYFUNCTION("IMPORTRANGE(""https://docs.google.com/spreadsheets/d/1QqKyyYR6Q21VydFLVH3TRQUabQu_ym0Zz7PgGX0-kHA/edit?usp=sharing"",""แผน!AI56"")"),4)</f>
        <v>4</v>
      </c>
      <c r="J204" s="214">
        <v>0</v>
      </c>
      <c r="K204" s="163">
        <f ca="1">IF(I204&gt;0,J204*100/I204,0)</f>
        <v>0</v>
      </c>
      <c r="L204" s="496"/>
      <c r="M204" s="496"/>
      <c r="N204" s="496"/>
      <c r="O204" s="496"/>
      <c r="P204" s="496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6" t="s">
        <v>59</v>
      </c>
      <c r="E205" s="178"/>
      <c r="F205" s="178"/>
      <c r="G205" s="179"/>
      <c r="H205" s="753"/>
      <c r="I205" s="269"/>
      <c r="J205" s="269"/>
      <c r="K205" s="163"/>
      <c r="L205" s="496"/>
      <c r="M205" s="496"/>
      <c r="N205" s="496"/>
      <c r="O205" s="496"/>
      <c r="P205" s="496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25" t="s">
        <v>102</v>
      </c>
      <c r="F206" s="287"/>
      <c r="G206" s="288"/>
      <c r="H206" s="289" t="s">
        <v>96</v>
      </c>
      <c r="I206" s="269">
        <v>4</v>
      </c>
      <c r="J206" s="214">
        <v>0</v>
      </c>
      <c r="K206" s="163">
        <f t="shared" ref="K206:K208" si="100">IF(I206&gt;0,J206*100/I206,0)</f>
        <v>0</v>
      </c>
      <c r="L206" s="496"/>
      <c r="M206" s="496"/>
      <c r="N206" s="496"/>
      <c r="O206" s="496"/>
      <c r="P206" s="496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6"/>
      <c r="E207" s="446" t="s">
        <v>103</v>
      </c>
      <c r="F207" s="178"/>
      <c r="G207" s="178"/>
      <c r="H207" s="290" t="s">
        <v>104</v>
      </c>
      <c r="I207" s="269">
        <v>1</v>
      </c>
      <c r="J207" s="214">
        <v>0</v>
      </c>
      <c r="K207" s="163">
        <f t="shared" si="100"/>
        <v>0</v>
      </c>
      <c r="L207" s="496"/>
      <c r="M207" s="496"/>
      <c r="N207" s="496"/>
      <c r="O207" s="496"/>
      <c r="P207" s="496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 hidden="1">
      <c r="A208" s="255"/>
      <c r="B208" s="263"/>
      <c r="C208" s="270" t="s">
        <v>105</v>
      </c>
      <c r="D208" s="256"/>
      <c r="E208" s="256"/>
      <c r="F208" s="291"/>
      <c r="G208" s="258"/>
      <c r="H208" s="277" t="s">
        <v>96</v>
      </c>
      <c r="I208" s="271">
        <f t="shared" ref="I208:J208" ca="1" si="101">I215</f>
        <v>0</v>
      </c>
      <c r="J208" s="271">
        <f t="shared" si="101"/>
        <v>0</v>
      </c>
      <c r="K208" s="272">
        <f t="shared" ca="1" si="100"/>
        <v>0</v>
      </c>
      <c r="L208" s="261"/>
      <c r="M208" s="261"/>
      <c r="N208" s="261"/>
      <c r="O208" s="261"/>
      <c r="P208" s="261"/>
    </row>
    <row r="209" spans="1:26" ht="19.5" hidden="1">
      <c r="A209" s="147"/>
      <c r="B209" s="148"/>
      <c r="C209" s="149" t="s">
        <v>16</v>
      </c>
      <c r="D209" s="826" t="s">
        <v>17</v>
      </c>
      <c r="E209" s="148"/>
      <c r="F209" s="148"/>
      <c r="G209" s="151"/>
      <c r="H209" s="274" t="s">
        <v>12</v>
      </c>
      <c r="I209" s="418"/>
      <c r="J209" s="418"/>
      <c r="K209" s="279"/>
      <c r="L209" s="155">
        <f ca="1">L210+L211+L212</f>
        <v>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 hidden="1">
      <c r="A210" s="159"/>
      <c r="B210" s="280"/>
      <c r="C210" s="33"/>
      <c r="D210" s="281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6">
        <f ca="1">IFERROR(__xludf.DUMMYFUNCTION("IMPORTRANGE(""https://docs.google.com/spreadsheets/d/1QqKyyYR6Q21VydFLVH3TRQUabQu_ym0Zz7PgGX0-kHA/edit?usp=sharing"",""แผน!AK56"")"),0)</f>
        <v>0</v>
      </c>
      <c r="M210" s="496"/>
      <c r="N210" s="817">
        <v>0</v>
      </c>
      <c r="O210" s="496"/>
      <c r="P210" s="496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 hidden="1">
      <c r="A211" s="284"/>
      <c r="B211" s="280"/>
      <c r="C211" s="292"/>
      <c r="D211" s="281" t="s">
        <v>99</v>
      </c>
      <c r="E211" s="33"/>
      <c r="F211" s="33"/>
      <c r="G211" s="35"/>
      <c r="H211" s="161" t="s">
        <v>12</v>
      </c>
      <c r="I211" s="269"/>
      <c r="J211" s="269"/>
      <c r="K211" s="496"/>
      <c r="L211" s="496">
        <f ca="1">IFERROR(__xludf.DUMMYFUNCTION("IMPORTRANGE(""https://docs.google.com/spreadsheets/d/1QqKyyYR6Q21VydFLVH3TRQUabQu_ym0Zz7PgGX0-kHA/edit?usp=sharing"",""แผน!AL56"")"),0)</f>
        <v>0</v>
      </c>
      <c r="M211" s="496"/>
      <c r="N211" s="817">
        <v>0</v>
      </c>
      <c r="O211" s="496"/>
      <c r="P211" s="496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 hidden="1">
      <c r="A212" s="284"/>
      <c r="B212" s="280"/>
      <c r="C212" s="292"/>
      <c r="D212" s="281" t="s">
        <v>98</v>
      </c>
      <c r="E212" s="33"/>
      <c r="F212" s="33"/>
      <c r="G212" s="35"/>
      <c r="H212" s="161" t="s">
        <v>12</v>
      </c>
      <c r="I212" s="269"/>
      <c r="J212" s="269"/>
      <c r="K212" s="496"/>
      <c r="L212" s="496">
        <f ca="1">IFERROR(__xludf.DUMMYFUNCTION("IMPORTRANGE(""https://docs.google.com/spreadsheets/d/1QqKyyYR6Q21VydFLVH3TRQUabQu_ym0Zz7PgGX0-kHA/edit?usp=sharing"",""แผน!AM56"")"),0)</f>
        <v>0</v>
      </c>
      <c r="M212" s="496"/>
      <c r="N212" s="817">
        <v>0</v>
      </c>
      <c r="O212" s="496"/>
      <c r="P212" s="496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 hidden="1">
      <c r="A213" s="170"/>
      <c r="B213" s="171"/>
      <c r="C213" s="292" t="s">
        <v>16</v>
      </c>
      <c r="D213" s="823" t="s">
        <v>38</v>
      </c>
      <c r="E213" s="173"/>
      <c r="F213" s="173"/>
      <c r="G213" s="174"/>
      <c r="H213" s="753"/>
      <c r="I213" s="184"/>
      <c r="J213" s="269"/>
      <c r="K213" s="496"/>
      <c r="L213" s="496"/>
      <c r="M213" s="496"/>
      <c r="N213" s="496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 hidden="1">
      <c r="A214" s="170"/>
      <c r="B214" s="171"/>
      <c r="C214" s="171"/>
      <c r="D214" s="176" t="s">
        <v>106</v>
      </c>
      <c r="E214" s="178"/>
      <c r="F214" s="178"/>
      <c r="G214" s="179"/>
      <c r="H214" s="753" t="s">
        <v>96</v>
      </c>
      <c r="I214" s="269">
        <f ca="1">IFERROR(__xludf.DUMMYFUNCTION("IMPORTRANGE(""https://docs.google.com/spreadsheets/d/1QqKyyYR6Q21VydFLVH3TRQUabQu_ym0Zz7PgGX0-kHA/edit?usp=sharing"",""แผน!AN56"")"),0)</f>
        <v>0</v>
      </c>
      <c r="J214" s="214">
        <v>0</v>
      </c>
      <c r="K214" s="496">
        <f t="shared" ref="K214:K216" ca="1" si="102">IF(I214&gt;0,J214*100/I214,0)</f>
        <v>0</v>
      </c>
      <c r="L214" s="496"/>
      <c r="M214" s="496"/>
      <c r="N214" s="496"/>
      <c r="O214" s="496"/>
      <c r="P214" s="496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 hidden="1">
      <c r="A215" s="170"/>
      <c r="B215" s="171"/>
      <c r="C215" s="171"/>
      <c r="D215" s="176" t="s">
        <v>107</v>
      </c>
      <c r="E215" s="178"/>
      <c r="F215" s="178"/>
      <c r="G215" s="179"/>
      <c r="H215" s="753" t="s">
        <v>96</v>
      </c>
      <c r="I215" s="269">
        <f ca="1">IFERROR(__xludf.DUMMYFUNCTION("IMPORTRANGE(""https://docs.google.com/spreadsheets/d/1QqKyyYR6Q21VydFLVH3TRQUabQu_ym0Zz7PgGX0-kHA/edit?usp=sharing"",""แผน!AN56"")"),0)</f>
        <v>0</v>
      </c>
      <c r="J215" s="214">
        <v>0</v>
      </c>
      <c r="K215" s="496">
        <f t="shared" ca="1" si="102"/>
        <v>0</v>
      </c>
      <c r="L215" s="496"/>
      <c r="M215" s="496"/>
      <c r="N215" s="496"/>
      <c r="O215" s="496"/>
      <c r="P215" s="496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5"/>
      <c r="B216" s="263"/>
      <c r="C216" s="270" t="s">
        <v>108</v>
      </c>
      <c r="D216" s="256"/>
      <c r="E216" s="256"/>
      <c r="F216" s="291"/>
      <c r="G216" s="258"/>
      <c r="H216" s="259" t="s">
        <v>109</v>
      </c>
      <c r="I216" s="271">
        <f t="shared" ref="I216:J216" ca="1" si="103">I224</f>
        <v>5000</v>
      </c>
      <c r="J216" s="271">
        <f t="shared" si="103"/>
        <v>0</v>
      </c>
      <c r="K216" s="272">
        <f t="shared" ca="1" si="102"/>
        <v>0</v>
      </c>
      <c r="L216" s="261"/>
      <c r="M216" s="261"/>
      <c r="N216" s="261"/>
      <c r="O216" s="261"/>
      <c r="P216" s="261"/>
    </row>
    <row r="217" spans="1:26" ht="19.5">
      <c r="A217" s="147"/>
      <c r="B217" s="148"/>
      <c r="C217" s="149" t="s">
        <v>16</v>
      </c>
      <c r="D217" s="826" t="s">
        <v>17</v>
      </c>
      <c r="E217" s="148"/>
      <c r="F217" s="148"/>
      <c r="G217" s="151"/>
      <c r="H217" s="274" t="s">
        <v>12</v>
      </c>
      <c r="I217" s="418"/>
      <c r="J217" s="418"/>
      <c r="K217" s="279"/>
      <c r="L217" s="155">
        <f ca="1">L218+L219+L220</f>
        <v>15900</v>
      </c>
      <c r="M217" s="155"/>
      <c r="N217" s="155">
        <f>N218+N219+N220</f>
        <v>0</v>
      </c>
      <c r="O217" s="155">
        <f ca="1">IF(L217&gt;0,N217*100/L217,0)</f>
        <v>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0"/>
      <c r="C218" s="33"/>
      <c r="D218" s="281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6">
        <f ca="1">IFERROR(__xludf.DUMMYFUNCTION("IMPORTRANGE(""https://docs.google.com/spreadsheets/d/1QqKyyYR6Q21VydFLVH3TRQUabQu_ym0Zz7PgGX0-kHA/edit?usp=sharing"",""แผน!AP56"")"),3000)</f>
        <v>3000</v>
      </c>
      <c r="M218" s="496"/>
      <c r="N218" s="817">
        <v>0</v>
      </c>
      <c r="O218" s="496"/>
      <c r="P218" s="496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4"/>
      <c r="B219" s="280"/>
      <c r="C219" s="292"/>
      <c r="D219" s="281" t="s">
        <v>110</v>
      </c>
      <c r="E219" s="33"/>
      <c r="F219" s="33"/>
      <c r="G219" s="35"/>
      <c r="H219" s="161" t="s">
        <v>12</v>
      </c>
      <c r="I219" s="269"/>
      <c r="J219" s="269"/>
      <c r="K219" s="496"/>
      <c r="L219" s="496">
        <f ca="1">IFERROR(__xludf.DUMMYFUNCTION("IMPORTRANGE(""https://docs.google.com/spreadsheets/d/1QqKyyYR6Q21VydFLVH3TRQUabQu_ym0Zz7PgGX0-kHA/edit?usp=sharing"",""แผน!AQ56"")"),2900)</f>
        <v>2900</v>
      </c>
      <c r="M219" s="496"/>
      <c r="N219" s="817">
        <v>0</v>
      </c>
      <c r="O219" s="496"/>
      <c r="P219" s="496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0"/>
      <c r="C220" s="292"/>
      <c r="D220" s="281" t="s">
        <v>98</v>
      </c>
      <c r="E220" s="33"/>
      <c r="F220" s="33"/>
      <c r="G220" s="35"/>
      <c r="H220" s="161" t="s">
        <v>12</v>
      </c>
      <c r="I220" s="269"/>
      <c r="J220" s="269"/>
      <c r="K220" s="496"/>
      <c r="L220" s="496">
        <f ca="1">IFERROR(__xludf.DUMMYFUNCTION("IMPORTRANGE(""https://docs.google.com/spreadsheets/d/1QqKyyYR6Q21VydFLVH3TRQUabQu_ym0Zz7PgGX0-kHA/edit?usp=sharing"",""แผน!AR56"")"),10000)</f>
        <v>10000</v>
      </c>
      <c r="M220" s="496"/>
      <c r="N220" s="817">
        <v>0</v>
      </c>
      <c r="O220" s="496"/>
      <c r="P220" s="496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70"/>
      <c r="B221" s="171"/>
      <c r="C221" s="292" t="s">
        <v>16</v>
      </c>
      <c r="D221" s="823" t="s">
        <v>38</v>
      </c>
      <c r="E221" s="173"/>
      <c r="F221" s="173"/>
      <c r="G221" s="174"/>
      <c r="H221" s="753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1" t="s">
        <v>111</v>
      </c>
      <c r="E222" s="178"/>
      <c r="F222" s="178"/>
      <c r="G222" s="179"/>
      <c r="H222" s="753"/>
      <c r="I222" s="269"/>
      <c r="J222" s="269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55" t="s">
        <v>109</v>
      </c>
      <c r="I223" s="269">
        <f ca="1">IFERROR(__xludf.DUMMYFUNCTION("IMPORTRANGE(""https://docs.google.com/spreadsheets/d/1QqKyyYR6Q21VydFLVH3TRQUabQu_ym0Zz7PgGX0-kHA/edit?usp=sharing"",""แผน!AT56"")"),5000)</f>
        <v>5000</v>
      </c>
      <c r="J223" s="214">
        <v>0</v>
      </c>
      <c r="K223" s="163">
        <f t="shared" ref="K223:K226" ca="1" si="104">IF(I223&gt;0,J223*100/I223,0)</f>
        <v>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55" t="s">
        <v>109</v>
      </c>
      <c r="I224" s="269">
        <f ca="1">IFERROR(__xludf.DUMMYFUNCTION("IMPORTRANGE(""https://docs.google.com/spreadsheets/d/1QqKyyYR6Q21VydFLVH3TRQUabQu_ym0Zz7PgGX0-kHA/edit?usp=sharing"",""แผน!AT56"")"),5000)</f>
        <v>5000</v>
      </c>
      <c r="J224" s="214">
        <v>0</v>
      </c>
      <c r="K224" s="163">
        <f t="shared" ca="1" si="104"/>
        <v>0</v>
      </c>
      <c r="L224" s="496"/>
      <c r="M224" s="496"/>
      <c r="N224" s="496"/>
      <c r="O224" s="496"/>
      <c r="P224" s="496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1" t="s">
        <v>114</v>
      </c>
      <c r="E225" s="178"/>
      <c r="F225" s="178"/>
      <c r="G225" s="179"/>
      <c r="H225" s="755" t="s">
        <v>35</v>
      </c>
      <c r="I225" s="269">
        <f ca="1">IFERROR(__xludf.DUMMYFUNCTION("IMPORTRANGE(""https://docs.google.com/spreadsheets/d/1QqKyyYR6Q21VydFLVH3TRQUabQu_ym0Zz7PgGX0-kHA/edit?usp=sharing"",""แผน!AS56"")"),10)</f>
        <v>10</v>
      </c>
      <c r="J225" s="214">
        <v>0</v>
      </c>
      <c r="K225" s="163">
        <f t="shared" ca="1" si="104"/>
        <v>0</v>
      </c>
      <c r="L225" s="496"/>
      <c r="M225" s="496"/>
      <c r="N225" s="496"/>
      <c r="O225" s="496"/>
      <c r="P225" s="496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5"/>
      <c r="B226" s="263"/>
      <c r="C226" s="341" t="s">
        <v>115</v>
      </c>
      <c r="D226" s="256"/>
      <c r="E226" s="256"/>
      <c r="F226" s="256"/>
      <c r="G226" s="258"/>
      <c r="H226" s="265" t="s">
        <v>35</v>
      </c>
      <c r="I226" s="344">
        <f t="shared" ref="I226:J226" ca="1" si="105">I237+I248</f>
        <v>30</v>
      </c>
      <c r="J226" s="344">
        <f t="shared" si="105"/>
        <v>0</v>
      </c>
      <c r="K226" s="345">
        <f t="shared" ca="1" si="104"/>
        <v>0</v>
      </c>
      <c r="L226" s="261"/>
      <c r="M226" s="261"/>
      <c r="N226" s="261"/>
      <c r="O226" s="261"/>
      <c r="P226" s="261"/>
    </row>
    <row r="227" spans="1:26" ht="19.5" hidden="1">
      <c r="A227" s="347"/>
      <c r="B227" s="348"/>
      <c r="C227" s="349" t="s">
        <v>16</v>
      </c>
      <c r="D227" s="827" t="s">
        <v>17</v>
      </c>
      <c r="E227" s="348"/>
      <c r="F227" s="348"/>
      <c r="G227" s="351"/>
      <c r="H227" s="352" t="s">
        <v>12</v>
      </c>
      <c r="I227" s="353"/>
      <c r="J227" s="353"/>
      <c r="K227" s="354"/>
      <c r="L227" s="355">
        <f t="shared" ref="L227:L231" ca="1" si="106">L238+L249</f>
        <v>75000</v>
      </c>
      <c r="M227" s="355"/>
      <c r="N227" s="355">
        <f t="shared" ref="N227:N231" si="107">N238+N249</f>
        <v>0</v>
      </c>
      <c r="O227" s="828"/>
      <c r="P227" s="828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6"/>
      <c r="C228" s="40"/>
      <c r="D228" s="222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20000</v>
      </c>
      <c r="M228" s="93"/>
      <c r="N228" s="93">
        <f t="shared" si="107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8"/>
      <c r="B229" s="356"/>
      <c r="C229" s="359"/>
      <c r="D229" s="222" t="s">
        <v>98</v>
      </c>
      <c r="E229" s="40"/>
      <c r="F229" s="40"/>
      <c r="G229" s="42"/>
      <c r="H229" s="165" t="s">
        <v>12</v>
      </c>
      <c r="I229" s="610"/>
      <c r="J229" s="610"/>
      <c r="K229" s="93"/>
      <c r="L229" s="93">
        <f t="shared" ca="1" si="106"/>
        <v>15000</v>
      </c>
      <c r="M229" s="93"/>
      <c r="N229" s="93">
        <f t="shared" si="107"/>
        <v>0</v>
      </c>
      <c r="O229" s="93"/>
      <c r="P229" s="93"/>
      <c r="Q229" s="360"/>
      <c r="R229" s="360"/>
      <c r="S229" s="360"/>
      <c r="T229" s="360"/>
      <c r="U229" s="360"/>
      <c r="V229" s="360"/>
      <c r="W229" s="360"/>
      <c r="X229" s="360"/>
      <c r="Y229" s="360"/>
      <c r="Z229" s="360"/>
    </row>
    <row r="230" spans="1:26" ht="19.5" hidden="1">
      <c r="A230" s="358"/>
      <c r="B230" s="356"/>
      <c r="C230" s="359"/>
      <c r="D230" s="222" t="s">
        <v>116</v>
      </c>
      <c r="E230" s="40"/>
      <c r="F230" s="40"/>
      <c r="G230" s="42"/>
      <c r="H230" s="165" t="s">
        <v>12</v>
      </c>
      <c r="I230" s="610"/>
      <c r="J230" s="610"/>
      <c r="K230" s="93"/>
      <c r="L230" s="93">
        <f t="shared" ca="1" si="106"/>
        <v>30000</v>
      </c>
      <c r="M230" s="93"/>
      <c r="N230" s="93">
        <f t="shared" si="107"/>
        <v>0</v>
      </c>
      <c r="O230" s="93"/>
      <c r="P230" s="93"/>
      <c r="Q230" s="360"/>
      <c r="R230" s="360"/>
      <c r="S230" s="360"/>
      <c r="T230" s="360"/>
      <c r="U230" s="360"/>
      <c r="V230" s="360"/>
      <c r="W230" s="360"/>
      <c r="X230" s="360"/>
      <c r="Y230" s="360"/>
      <c r="Z230" s="360"/>
    </row>
    <row r="231" spans="1:26" ht="19.5" hidden="1">
      <c r="A231" s="358"/>
      <c r="B231" s="356"/>
      <c r="C231" s="359"/>
      <c r="D231" s="222" t="s">
        <v>100</v>
      </c>
      <c r="E231" s="40"/>
      <c r="F231" s="40"/>
      <c r="G231" s="42"/>
      <c r="H231" s="165" t="s">
        <v>12</v>
      </c>
      <c r="I231" s="610"/>
      <c r="J231" s="610"/>
      <c r="K231" s="93"/>
      <c r="L231" s="93">
        <f t="shared" ca="1" si="106"/>
        <v>10000</v>
      </c>
      <c r="M231" s="93"/>
      <c r="N231" s="93">
        <f t="shared" si="107"/>
        <v>0</v>
      </c>
      <c r="O231" s="93"/>
      <c r="P231" s="93"/>
      <c r="Q231" s="360"/>
      <c r="R231" s="360"/>
      <c r="S231" s="360"/>
      <c r="T231" s="360"/>
      <c r="U231" s="360"/>
      <c r="V231" s="360"/>
      <c r="W231" s="360"/>
      <c r="X231" s="360"/>
      <c r="Y231" s="360"/>
      <c r="Z231" s="360"/>
    </row>
    <row r="232" spans="1:26" ht="19.5" hidden="1">
      <c r="A232" s="361"/>
      <c r="B232" s="362"/>
      <c r="C232" s="359" t="s">
        <v>16</v>
      </c>
      <c r="D232" s="266" t="s">
        <v>38</v>
      </c>
      <c r="E232" s="363"/>
      <c r="F232" s="363"/>
      <c r="G232" s="364"/>
      <c r="H232" s="365"/>
      <c r="I232" s="166"/>
      <c r="J232" s="610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1"/>
      <c r="B233" s="362"/>
      <c r="C233" s="362"/>
      <c r="D233" s="366" t="s">
        <v>117</v>
      </c>
      <c r="E233" s="372"/>
      <c r="F233" s="372"/>
      <c r="G233" s="368"/>
      <c r="H233" s="369" t="s">
        <v>35</v>
      </c>
      <c r="I233" s="610">
        <f t="shared" ref="I233:J233" ca="1" si="108">I244+I255</f>
        <v>30</v>
      </c>
      <c r="J233" s="610">
        <f t="shared" si="108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1"/>
      <c r="B234" s="362"/>
      <c r="C234" s="362"/>
      <c r="D234" s="371" t="s">
        <v>43</v>
      </c>
      <c r="E234" s="372"/>
      <c r="F234" s="372"/>
      <c r="G234" s="368"/>
      <c r="H234" s="369"/>
      <c r="I234" s="610"/>
      <c r="J234" s="610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1"/>
      <c r="B235" s="362"/>
      <c r="C235" s="362"/>
      <c r="D235" s="362"/>
      <c r="E235" s="373" t="s">
        <v>118</v>
      </c>
      <c r="F235" s="372"/>
      <c r="G235" s="368"/>
      <c r="H235" s="369" t="s">
        <v>35</v>
      </c>
      <c r="I235" s="610">
        <f t="shared" ref="I235:J236" si="109">I246+I257</f>
        <v>30</v>
      </c>
      <c r="J235" s="610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1"/>
      <c r="B236" s="362"/>
      <c r="C236" s="362"/>
      <c r="D236" s="362"/>
      <c r="E236" s="373" t="s">
        <v>119</v>
      </c>
      <c r="F236" s="372"/>
      <c r="G236" s="368"/>
      <c r="H236" s="369" t="s">
        <v>69</v>
      </c>
      <c r="I236" s="610">
        <f t="shared" si="109"/>
        <v>1</v>
      </c>
      <c r="J236" s="610">
        <f t="shared" si="109"/>
        <v>0</v>
      </c>
      <c r="K236" s="93">
        <f t="shared" si="110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>
      <c r="A237" s="255"/>
      <c r="B237" s="263"/>
      <c r="C237" s="270" t="s">
        <v>120</v>
      </c>
      <c r="D237" s="256"/>
      <c r="E237" s="256"/>
      <c r="F237" s="256"/>
      <c r="G237" s="258"/>
      <c r="H237" s="259" t="s">
        <v>35</v>
      </c>
      <c r="I237" s="271">
        <f t="shared" ref="I237:J237" ca="1" si="111">I244</f>
        <v>30</v>
      </c>
      <c r="J237" s="271">
        <f t="shared" si="111"/>
        <v>0</v>
      </c>
      <c r="K237" s="272">
        <f t="shared" ca="1" si="110"/>
        <v>0</v>
      </c>
      <c r="L237" s="261"/>
      <c r="M237" s="261"/>
      <c r="N237" s="261"/>
      <c r="O237" s="261"/>
      <c r="P237" s="261"/>
    </row>
    <row r="238" spans="1:26" ht="19.5">
      <c r="A238" s="147"/>
      <c r="B238" s="148"/>
      <c r="C238" s="149" t="s">
        <v>16</v>
      </c>
      <c r="D238" s="822" t="s">
        <v>17</v>
      </c>
      <c r="E238" s="148"/>
      <c r="F238" s="148"/>
      <c r="G238" s="151"/>
      <c r="H238" s="274" t="s">
        <v>12</v>
      </c>
      <c r="I238" s="418"/>
      <c r="J238" s="418"/>
      <c r="K238" s="279"/>
      <c r="L238" s="155">
        <f ca="1">L239+L240+L241+L242</f>
        <v>75000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>
      <c r="A239" s="314"/>
      <c r="B239" s="315"/>
      <c r="C239" s="316"/>
      <c r="D239" s="324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282">
        <f ca="1">IFERROR(__xludf.DUMMYFUNCTION("IMPORTRANGE(""https://docs.google.com/spreadsheets/d/1QqKyyYR6Q21VydFLVH3TRQUabQu_ym0Zz7PgGX0-kHA/edit?usp=sharing"",""แผน!AV56"")"),20000)</f>
        <v>20000</v>
      </c>
      <c r="M239" s="282"/>
      <c r="N239" s="829">
        <v>0</v>
      </c>
      <c r="O239" s="282"/>
      <c r="P239" s="28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>
      <c r="A240" s="322"/>
      <c r="B240" s="315"/>
      <c r="C240" s="323"/>
      <c r="D240" s="324" t="s">
        <v>98</v>
      </c>
      <c r="E240" s="316"/>
      <c r="F240" s="316"/>
      <c r="G240" s="318"/>
      <c r="H240" s="319" t="s">
        <v>12</v>
      </c>
      <c r="I240" s="325"/>
      <c r="J240" s="325"/>
      <c r="K240" s="282"/>
      <c r="L240" s="282">
        <f ca="1">IFERROR(__xludf.DUMMYFUNCTION("IMPORTRANGE(""https://docs.google.com/spreadsheets/d/1QqKyyYR6Q21VydFLVH3TRQUabQu_ym0Zz7PgGX0-kHA/edit?usp=sharing"",""แผน!AW56"")"),15000)</f>
        <v>15000</v>
      </c>
      <c r="M240" s="282"/>
      <c r="N240" s="829">
        <v>0</v>
      </c>
      <c r="O240" s="282"/>
      <c r="P240" s="282"/>
      <c r="Q240" s="326"/>
      <c r="R240" s="326"/>
      <c r="S240" s="326"/>
      <c r="T240" s="326"/>
      <c r="U240" s="326"/>
      <c r="V240" s="326"/>
      <c r="W240" s="326"/>
      <c r="X240" s="326"/>
      <c r="Y240" s="326"/>
      <c r="Z240" s="326"/>
    </row>
    <row r="241" spans="1:26" ht="19.5">
      <c r="A241" s="322"/>
      <c r="B241" s="315"/>
      <c r="C241" s="323"/>
      <c r="D241" s="324" t="s">
        <v>116</v>
      </c>
      <c r="E241" s="316"/>
      <c r="F241" s="316"/>
      <c r="G241" s="318"/>
      <c r="H241" s="319" t="s">
        <v>12</v>
      </c>
      <c r="I241" s="325"/>
      <c r="J241" s="325"/>
      <c r="K241" s="282"/>
      <c r="L241" s="282">
        <f ca="1">IFERROR(__xludf.DUMMYFUNCTION("IMPORTRANGE(""https://docs.google.com/spreadsheets/d/1QqKyyYR6Q21VydFLVH3TRQUabQu_ym0Zz7PgGX0-kHA/edit?usp=sharing"",""แผน!AX56"")"),30000)</f>
        <v>30000</v>
      </c>
      <c r="M241" s="282"/>
      <c r="N241" s="829">
        <v>0</v>
      </c>
      <c r="O241" s="282"/>
      <c r="P241" s="282"/>
      <c r="Q241" s="326"/>
      <c r="R241" s="326"/>
      <c r="S241" s="326"/>
      <c r="T241" s="326"/>
      <c r="U241" s="326"/>
      <c r="V241" s="326"/>
      <c r="W241" s="326"/>
      <c r="X241" s="326"/>
      <c r="Y241" s="326"/>
      <c r="Z241" s="326"/>
    </row>
    <row r="242" spans="1:26" ht="19.5">
      <c r="A242" s="322"/>
      <c r="B242" s="315"/>
      <c r="C242" s="323"/>
      <c r="D242" s="324" t="s">
        <v>100</v>
      </c>
      <c r="E242" s="316"/>
      <c r="F242" s="316"/>
      <c r="G242" s="318"/>
      <c r="H242" s="319" t="s">
        <v>12</v>
      </c>
      <c r="I242" s="325"/>
      <c r="J242" s="325"/>
      <c r="K242" s="282"/>
      <c r="L242" s="282">
        <f ca="1">IFERROR(__xludf.DUMMYFUNCTION("IMPORTRANGE(""https://docs.google.com/spreadsheets/d/1QqKyyYR6Q21VydFLVH3TRQUabQu_ym0Zz7PgGX0-kHA/edit?usp=sharing"",""แผน!AY56"")"),10000)</f>
        <v>10000</v>
      </c>
      <c r="M242" s="282"/>
      <c r="N242" s="829">
        <v>0</v>
      </c>
      <c r="O242" s="282"/>
      <c r="P242" s="282"/>
      <c r="Q242" s="326"/>
      <c r="R242" s="326"/>
      <c r="S242" s="326"/>
      <c r="T242" s="326"/>
      <c r="U242" s="326"/>
      <c r="V242" s="326"/>
      <c r="W242" s="326"/>
      <c r="X242" s="326"/>
      <c r="Y242" s="326"/>
      <c r="Z242" s="326"/>
    </row>
    <row r="243" spans="1:26" ht="19.5">
      <c r="A243" s="170"/>
      <c r="B243" s="171"/>
      <c r="C243" s="292" t="s">
        <v>16</v>
      </c>
      <c r="D243" s="823" t="s">
        <v>38</v>
      </c>
      <c r="E243" s="173"/>
      <c r="F243" s="173"/>
      <c r="G243" s="174"/>
      <c r="H243" s="753"/>
      <c r="I243" s="184"/>
      <c r="J243" s="269"/>
      <c r="K243" s="496"/>
      <c r="L243" s="496"/>
      <c r="M243" s="496"/>
      <c r="N243" s="496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>
      <c r="A244" s="170"/>
      <c r="B244" s="171"/>
      <c r="C244" s="171"/>
      <c r="D244" s="446" t="s">
        <v>117</v>
      </c>
      <c r="E244" s="178"/>
      <c r="F244" s="178"/>
      <c r="G244" s="179"/>
      <c r="H244" s="755" t="s">
        <v>35</v>
      </c>
      <c r="I244" s="269">
        <f ca="1">IFERROR(__xludf.DUMMYFUNCTION("IMPORTRANGE(""https://docs.google.com/spreadsheets/d/1QqKyyYR6Q21VydFLVH3TRQUabQu_ym0Zz7PgGX0-kHA/edit?usp=sharing"",""แผน!BE56"")"),30)</f>
        <v>30</v>
      </c>
      <c r="J244" s="214">
        <v>0</v>
      </c>
      <c r="K244" s="496">
        <f ca="1">IF(I244&gt;0,J244*100/I244,0)</f>
        <v>0</v>
      </c>
      <c r="L244" s="496"/>
      <c r="M244" s="496"/>
      <c r="N244" s="496"/>
      <c r="O244" s="496"/>
      <c r="P244" s="496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>
      <c r="A245" s="170"/>
      <c r="B245" s="171"/>
      <c r="C245" s="171"/>
      <c r="D245" s="830" t="s">
        <v>43</v>
      </c>
      <c r="E245" s="178"/>
      <c r="F245" s="178"/>
      <c r="G245" s="179"/>
      <c r="H245" s="755"/>
      <c r="I245" s="269"/>
      <c r="J245" s="269"/>
      <c r="K245" s="496"/>
      <c r="L245" s="496"/>
      <c r="M245" s="496"/>
      <c r="N245" s="496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>
      <c r="A246" s="170"/>
      <c r="B246" s="171"/>
      <c r="C246" s="171"/>
      <c r="D246" s="171"/>
      <c r="E246" s="176" t="s">
        <v>118</v>
      </c>
      <c r="F246" s="178"/>
      <c r="G246" s="179"/>
      <c r="H246" s="755" t="s">
        <v>35</v>
      </c>
      <c r="I246" s="269">
        <v>30</v>
      </c>
      <c r="J246" s="214">
        <v>0</v>
      </c>
      <c r="K246" s="496">
        <f t="shared" ref="K246:K248" si="112">IF(I246&gt;0,J246*100/I246,0)</f>
        <v>0</v>
      </c>
      <c r="L246" s="496"/>
      <c r="M246" s="496"/>
      <c r="N246" s="496"/>
      <c r="O246" s="496"/>
      <c r="P246" s="496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>
      <c r="A247" s="170"/>
      <c r="B247" s="171"/>
      <c r="C247" s="171"/>
      <c r="D247" s="171"/>
      <c r="E247" s="176" t="s">
        <v>119</v>
      </c>
      <c r="F247" s="178"/>
      <c r="G247" s="179"/>
      <c r="H247" s="755" t="s">
        <v>69</v>
      </c>
      <c r="I247" s="269">
        <v>1</v>
      </c>
      <c r="J247" s="214">
        <v>0</v>
      </c>
      <c r="K247" s="496">
        <f t="shared" si="112"/>
        <v>0</v>
      </c>
      <c r="L247" s="496"/>
      <c r="M247" s="496"/>
      <c r="N247" s="496"/>
      <c r="O247" s="496"/>
      <c r="P247" s="496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5"/>
      <c r="B248" s="263"/>
      <c r="C248" s="270" t="s">
        <v>121</v>
      </c>
      <c r="D248" s="256"/>
      <c r="E248" s="256"/>
      <c r="F248" s="256"/>
      <c r="G248" s="258"/>
      <c r="H248" s="259" t="s">
        <v>35</v>
      </c>
      <c r="I248" s="271">
        <f t="shared" ref="I248:J248" ca="1" si="113">I255</f>
        <v>0</v>
      </c>
      <c r="J248" s="271">
        <f t="shared" si="113"/>
        <v>0</v>
      </c>
      <c r="K248" s="272">
        <f t="shared" ca="1" si="112"/>
        <v>0</v>
      </c>
      <c r="L248" s="261"/>
      <c r="M248" s="261"/>
      <c r="N248" s="261"/>
      <c r="O248" s="261"/>
      <c r="P248" s="261"/>
    </row>
    <row r="249" spans="1:26" ht="19.5" hidden="1">
      <c r="A249" s="147"/>
      <c r="B249" s="148"/>
      <c r="C249" s="149" t="s">
        <v>16</v>
      </c>
      <c r="D249" s="826" t="s">
        <v>17</v>
      </c>
      <c r="E249" s="148"/>
      <c r="F249" s="148"/>
      <c r="G249" s="151"/>
      <c r="H249" s="274" t="s">
        <v>12</v>
      </c>
      <c r="I249" s="418"/>
      <c r="J249" s="418"/>
      <c r="K249" s="279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4"/>
      <c r="B250" s="315"/>
      <c r="C250" s="316"/>
      <c r="D250" s="324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282">
        <f ca="1">IFERROR(__xludf.DUMMYFUNCTION("IMPORTRANGE(""https://docs.google.com/spreadsheets/d/1QqKyyYR6Q21VydFLVH3TRQUabQu_ym0Zz7PgGX0-kHA/edit?usp=sharing"",""แผน!AZ56"")"),0)</f>
        <v>0</v>
      </c>
      <c r="M250" s="282"/>
      <c r="N250" s="829">
        <v>0</v>
      </c>
      <c r="O250" s="282"/>
      <c r="P250" s="282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9.5" hidden="1">
      <c r="A251" s="322"/>
      <c r="B251" s="315"/>
      <c r="C251" s="323"/>
      <c r="D251" s="324" t="s">
        <v>98</v>
      </c>
      <c r="E251" s="316"/>
      <c r="F251" s="316"/>
      <c r="G251" s="318"/>
      <c r="H251" s="319" t="s">
        <v>12</v>
      </c>
      <c r="I251" s="325"/>
      <c r="J251" s="325"/>
      <c r="K251" s="282"/>
      <c r="L251" s="282">
        <f ca="1">IFERROR(__xludf.DUMMYFUNCTION("IMPORTRANGE(""https://docs.google.com/spreadsheets/d/1QqKyyYR6Q21VydFLVH3TRQUabQu_ym0Zz7PgGX0-kHA/edit?usp=sharing"",""แผน!BA56"")"),0)</f>
        <v>0</v>
      </c>
      <c r="M251" s="282"/>
      <c r="N251" s="829">
        <v>0</v>
      </c>
      <c r="O251" s="282"/>
      <c r="P251" s="282"/>
      <c r="Q251" s="326"/>
      <c r="R251" s="326"/>
      <c r="S251" s="326"/>
      <c r="T251" s="326"/>
      <c r="U251" s="326"/>
      <c r="V251" s="326"/>
      <c r="W251" s="326"/>
      <c r="X251" s="326"/>
      <c r="Y251" s="326"/>
      <c r="Z251" s="326"/>
    </row>
    <row r="252" spans="1:26" ht="19.5" hidden="1">
      <c r="A252" s="322"/>
      <c r="B252" s="315"/>
      <c r="C252" s="323"/>
      <c r="D252" s="324" t="s">
        <v>116</v>
      </c>
      <c r="E252" s="316"/>
      <c r="F252" s="316"/>
      <c r="G252" s="318"/>
      <c r="H252" s="319" t="s">
        <v>12</v>
      </c>
      <c r="I252" s="325"/>
      <c r="J252" s="325"/>
      <c r="K252" s="282"/>
      <c r="L252" s="282">
        <f ca="1">IFERROR(__xludf.DUMMYFUNCTION("IMPORTRANGE(""https://docs.google.com/spreadsheets/d/1QqKyyYR6Q21VydFLVH3TRQUabQu_ym0Zz7PgGX0-kHA/edit?usp=sharing"",""แผน!BB56"")"),0)</f>
        <v>0</v>
      </c>
      <c r="M252" s="282"/>
      <c r="N252" s="829">
        <v>0</v>
      </c>
      <c r="O252" s="282"/>
      <c r="P252" s="282"/>
      <c r="Q252" s="326"/>
      <c r="R252" s="326"/>
      <c r="S252" s="326"/>
      <c r="T252" s="326"/>
      <c r="U252" s="326"/>
      <c r="V252" s="326"/>
      <c r="W252" s="326"/>
      <c r="X252" s="326"/>
      <c r="Y252" s="326"/>
      <c r="Z252" s="326"/>
    </row>
    <row r="253" spans="1:26" ht="19.5" hidden="1">
      <c r="A253" s="322"/>
      <c r="B253" s="315"/>
      <c r="C253" s="323"/>
      <c r="D253" s="324" t="s">
        <v>100</v>
      </c>
      <c r="E253" s="316"/>
      <c r="F253" s="316"/>
      <c r="G253" s="318"/>
      <c r="H253" s="319" t="s">
        <v>12</v>
      </c>
      <c r="I253" s="325"/>
      <c r="J253" s="325"/>
      <c r="K253" s="282"/>
      <c r="L253" s="282">
        <f ca="1">IFERROR(__xludf.DUMMYFUNCTION("IMPORTRANGE(""https://docs.google.com/spreadsheets/d/1QqKyyYR6Q21VydFLVH3TRQUabQu_ym0Zz7PgGX0-kHA/edit?usp=sharing"",""แผน!BC56"")"),0)</f>
        <v>0</v>
      </c>
      <c r="M253" s="282"/>
      <c r="N253" s="829">
        <v>0</v>
      </c>
      <c r="O253" s="282"/>
      <c r="P253" s="282"/>
      <c r="Q253" s="326"/>
      <c r="R253" s="326"/>
      <c r="S253" s="326"/>
      <c r="T253" s="326"/>
      <c r="U253" s="326"/>
      <c r="V253" s="326"/>
      <c r="W253" s="326"/>
      <c r="X253" s="326"/>
      <c r="Y253" s="326"/>
      <c r="Z253" s="326"/>
    </row>
    <row r="254" spans="1:26" ht="19.5" hidden="1">
      <c r="A254" s="170"/>
      <c r="B254" s="171"/>
      <c r="C254" s="292" t="s">
        <v>16</v>
      </c>
      <c r="D254" s="823" t="s">
        <v>38</v>
      </c>
      <c r="E254" s="173"/>
      <c r="F254" s="173"/>
      <c r="G254" s="174"/>
      <c r="H254" s="753"/>
      <c r="I254" s="184"/>
      <c r="J254" s="269"/>
      <c r="K254" s="496"/>
      <c r="L254" s="496"/>
      <c r="M254" s="496"/>
      <c r="N254" s="496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6" t="s">
        <v>117</v>
      </c>
      <c r="E255" s="178"/>
      <c r="F255" s="178"/>
      <c r="G255" s="179"/>
      <c r="H255" s="755" t="s">
        <v>35</v>
      </c>
      <c r="I255" s="269">
        <f ca="1">IFERROR(__xludf.DUMMYFUNCTION("IMPORTRANGE(""https://docs.google.com/spreadsheets/d/1QqKyyYR6Q21VydFLVH3TRQUabQu_ym0Zz7PgGX0-kHA/edit?usp=sharing"",""แผน!BF56"")"),0)</f>
        <v>0</v>
      </c>
      <c r="J255" s="214">
        <v>0</v>
      </c>
      <c r="K255" s="496">
        <f ca="1">IF(I255&gt;0,J255*100/I255,0)</f>
        <v>0</v>
      </c>
      <c r="L255" s="496"/>
      <c r="M255" s="496"/>
      <c r="N255" s="496"/>
      <c r="O255" s="496"/>
      <c r="P255" s="496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30" t="s">
        <v>43</v>
      </c>
      <c r="E256" s="178"/>
      <c r="F256" s="178"/>
      <c r="G256" s="179"/>
      <c r="H256" s="755"/>
      <c r="I256" s="269"/>
      <c r="J256" s="269"/>
      <c r="K256" s="496"/>
      <c r="L256" s="496"/>
      <c r="M256" s="496"/>
      <c r="N256" s="496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55" t="s">
        <v>35</v>
      </c>
      <c r="I257" s="269"/>
      <c r="J257" s="214">
        <v>0</v>
      </c>
      <c r="K257" s="496">
        <f t="shared" ref="K257:K258" si="114">IF(I257&gt;0,J257*100/I257,0)</f>
        <v>0</v>
      </c>
      <c r="L257" s="496"/>
      <c r="M257" s="496"/>
      <c r="N257" s="496"/>
      <c r="O257" s="496"/>
      <c r="P257" s="496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55" t="s">
        <v>69</v>
      </c>
      <c r="I258" s="269"/>
      <c r="J258" s="214">
        <v>0</v>
      </c>
      <c r="K258" s="496">
        <f t="shared" si="114"/>
        <v>0</v>
      </c>
      <c r="L258" s="496"/>
      <c r="M258" s="496"/>
      <c r="N258" s="496"/>
      <c r="O258" s="496"/>
      <c r="P258" s="496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1" t="s">
        <v>122</v>
      </c>
      <c r="B259" s="242"/>
      <c r="C259" s="242"/>
      <c r="D259" s="243"/>
      <c r="E259" s="243"/>
      <c r="F259" s="243"/>
      <c r="G259" s="244"/>
      <c r="H259" s="245"/>
      <c r="I259" s="246"/>
      <c r="J259" s="246"/>
      <c r="K259" s="247"/>
      <c r="L259" s="247"/>
      <c r="M259" s="247"/>
      <c r="N259" s="247"/>
      <c r="O259" s="247"/>
      <c r="P259" s="247"/>
    </row>
    <row r="260" spans="1:26" ht="19.5">
      <c r="A260" s="248"/>
      <c r="B260" s="249" t="s">
        <v>123</v>
      </c>
      <c r="C260" s="250"/>
      <c r="D260" s="173"/>
      <c r="E260" s="173"/>
      <c r="F260" s="173"/>
      <c r="G260" s="174"/>
      <c r="H260" s="251" t="s">
        <v>35</v>
      </c>
      <c r="I260" s="252">
        <f t="shared" ref="I260:J260" ca="1" si="115">I271</f>
        <v>20</v>
      </c>
      <c r="J260" s="252">
        <f t="shared" si="115"/>
        <v>0</v>
      </c>
      <c r="K260" s="253">
        <f ca="1">IF(I260&gt;0,J260*100/I260,0)</f>
        <v>0</v>
      </c>
      <c r="L260" s="254"/>
      <c r="M260" s="254"/>
      <c r="N260" s="254"/>
      <c r="O260" s="254"/>
      <c r="P260" s="254"/>
    </row>
    <row r="261" spans="1:26" ht="19.5">
      <c r="A261" s="147"/>
      <c r="B261" s="148"/>
      <c r="C261" s="149" t="s">
        <v>16</v>
      </c>
      <c r="D261" s="822" t="s">
        <v>17</v>
      </c>
      <c r="E261" s="148"/>
      <c r="F261" s="148"/>
      <c r="G261" s="151"/>
      <c r="H261" s="152" t="s">
        <v>12</v>
      </c>
      <c r="I261" s="419"/>
      <c r="J261" s="419"/>
      <c r="K261" s="154"/>
      <c r="L261" s="155">
        <f t="shared" ref="L261:N261" ca="1" si="116">L262+L263</f>
        <v>25000</v>
      </c>
      <c r="M261" s="155">
        <f t="shared" ca="1" si="116"/>
        <v>0</v>
      </c>
      <c r="N261" s="155">
        <f t="shared" ca="1" si="116"/>
        <v>0</v>
      </c>
      <c r="O261" s="155">
        <f t="shared" ref="O261:O269" ca="1" si="117">IF(L261&gt;0,N261*100/L261,0)</f>
        <v>0</v>
      </c>
      <c r="P261" s="155">
        <f t="shared" ref="P261:P269" ca="1" si="118">IF(M261&gt;0,N261*100/M261,0)</f>
        <v>0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2" t="s">
        <v>18</v>
      </c>
      <c r="F262" s="40"/>
      <c r="G262" s="157"/>
      <c r="H262" s="158" t="s">
        <v>12</v>
      </c>
      <c r="I262" s="610"/>
      <c r="J262" s="610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2" t="s">
        <v>19</v>
      </c>
      <c r="F263" s="40"/>
      <c r="G263" s="157"/>
      <c r="H263" s="158" t="s">
        <v>12</v>
      </c>
      <c r="I263" s="610"/>
      <c r="J263" s="610"/>
      <c r="K263" s="93"/>
      <c r="L263" s="93">
        <f t="shared" ca="1" si="119"/>
        <v>25000</v>
      </c>
      <c r="M263" s="93">
        <f t="shared" ca="1" si="119"/>
        <v>0</v>
      </c>
      <c r="N263" s="93">
        <f t="shared" ca="1" si="119"/>
        <v>0</v>
      </c>
      <c r="O263" s="93">
        <f t="shared" ca="1" si="117"/>
        <v>0</v>
      </c>
      <c r="P263" s="93">
        <f t="shared" ca="1" si="118"/>
        <v>0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1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6">
        <f t="shared" ref="L264:N264" ca="1" si="120">L265+L266</f>
        <v>25000</v>
      </c>
      <c r="M264" s="496">
        <f t="shared" ca="1" si="120"/>
        <v>0</v>
      </c>
      <c r="N264" s="496">
        <f t="shared" ca="1" si="120"/>
        <v>0</v>
      </c>
      <c r="O264" s="496">
        <f t="shared" ca="1" si="117"/>
        <v>0</v>
      </c>
      <c r="P264" s="496">
        <f t="shared" ca="1" si="118"/>
        <v>0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2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2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IFERROR(__xludf.DUMMYFUNCTION("IMPORTRANGE(""https://docs.google.com/spreadsheets/d/1MeEWN-I1oV_STSDYn1IFDPWt_1FKiwhDph83XaGc0o0/edit?usp=sharing"",""งบพรบ!CY56"")"),25000)</f>
        <v>25000</v>
      </c>
      <c r="M266" s="93">
        <f ca="1">IFERROR(__xludf.DUMMYFUNCTION("IMPORTRANGE(""https://docs.google.com/spreadsheets/d/1MeEWN-I1oV_STSDYn1IFDPWt_1FKiwhDph83XaGc0o0/edit?usp=sharing"",""งบพรบ!DD56"")"),0)</f>
        <v>0</v>
      </c>
      <c r="N266" s="93">
        <f ca="1">IFERROR(__xludf.DUMMYFUNCTION("IMPORTRANGE(""https://docs.google.com/spreadsheets/d/1MeEWN-I1oV_STSDYn1IFDPWt_1FKiwhDph83XaGc0o0/edit?usp=sharing"",""งบพรบ!DF56"")"),0)</f>
        <v>0</v>
      </c>
      <c r="O266" s="93">
        <f t="shared" ca="1" si="117"/>
        <v>0</v>
      </c>
      <c r="P266" s="93">
        <f t="shared" ca="1" si="118"/>
        <v>0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1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6">
        <f t="shared" ref="L267:N267" ca="1" si="121">L268+L269</f>
        <v>0</v>
      </c>
      <c r="M267" s="496">
        <f t="shared" ca="1" si="121"/>
        <v>0</v>
      </c>
      <c r="N267" s="496">
        <f t="shared" ca="1" si="121"/>
        <v>0</v>
      </c>
      <c r="O267" s="496">
        <f t="shared" ca="1" si="117"/>
        <v>0</v>
      </c>
      <c r="P267" s="496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2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2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IFERROR(__xludf.DUMMYFUNCTION("IMPORTRANGE(""https://docs.google.com/spreadsheets/d/1MeEWN-I1oV_STSDYn1IFDPWt_1FKiwhDph83XaGc0o0/edit?usp=sharing"",""งบพรบ!DB56"")"),0)</f>
        <v>0</v>
      </c>
      <c r="M269" s="93">
        <f ca="1">IFERROR(__xludf.DUMMYFUNCTION("IMPORTRANGE(""https://docs.google.com/spreadsheets/d/1MeEWN-I1oV_STSDYn1IFDPWt_1FKiwhDph83XaGc0o0/edit?usp=sharing"",""งบพรบ!DE56"")"),0)</f>
        <v>0</v>
      </c>
      <c r="N269" s="93">
        <f ca="1">IFERROR(__xludf.DUMMYFUNCTION("IMPORTRANGE(""https://docs.google.com/spreadsheets/d/1MeEWN-I1oV_STSDYn1IFDPWt_1FKiwhDph83XaGc0o0/edit?usp=sharing"",""งบพรบ!DG56"")"),0)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1" t="s">
        <v>16</v>
      </c>
      <c r="D270" s="823" t="s">
        <v>38</v>
      </c>
      <c r="E270" s="173"/>
      <c r="F270" s="173"/>
      <c r="G270" s="174"/>
      <c r="H270" s="753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5" t="s">
        <v>124</v>
      </c>
      <c r="E271" s="178"/>
      <c r="F271" s="366"/>
      <c r="G271" s="179"/>
      <c r="H271" s="376" t="s">
        <v>35</v>
      </c>
      <c r="I271" s="269">
        <f ca="1">IFERROR(__xludf.DUMMYFUNCTION("IMPORTRANGE(""https://docs.google.com/spreadsheets/d/1QqKyyYR6Q21VydFLVH3TRQUabQu_ym0Zz7PgGX0-kHA/edit?usp=sharing"",""แผน!EA56"")"),20)</f>
        <v>20</v>
      </c>
      <c r="J271" s="214">
        <v>0</v>
      </c>
      <c r="K271" s="163">
        <f ca="1">IF(I271&gt;0,J271*100/I271,0)</f>
        <v>0</v>
      </c>
      <c r="L271" s="163"/>
      <c r="M271" s="163"/>
      <c r="N271" s="163"/>
      <c r="O271" s="163"/>
      <c r="P271" s="163"/>
    </row>
    <row r="272" spans="1:26" ht="18.75" hidden="1">
      <c r="A272" s="377"/>
      <c r="B272" s="378"/>
      <c r="C272" s="378"/>
      <c r="D272" s="379" t="s">
        <v>125</v>
      </c>
      <c r="E272" s="380"/>
      <c r="F272" s="380"/>
      <c r="G272" s="381"/>
      <c r="H272" s="50" t="s">
        <v>35</v>
      </c>
      <c r="I272" s="499">
        <v>0</v>
      </c>
      <c r="J272" s="499">
        <v>0</v>
      </c>
      <c r="K272" s="384">
        <v>0</v>
      </c>
      <c r="L272" s="384"/>
      <c r="M272" s="384"/>
      <c r="N272" s="384"/>
      <c r="O272" s="384"/>
      <c r="P272" s="384"/>
    </row>
    <row r="273" spans="1:26" ht="19.5">
      <c r="A273" s="385" t="s">
        <v>126</v>
      </c>
      <c r="B273" s="386"/>
      <c r="C273" s="386"/>
      <c r="D273" s="386"/>
      <c r="E273" s="387"/>
      <c r="F273" s="387"/>
      <c r="G273" s="388"/>
      <c r="H273" s="389"/>
      <c r="I273" s="390"/>
      <c r="J273" s="390"/>
      <c r="K273" s="391"/>
      <c r="L273" s="391"/>
      <c r="M273" s="391"/>
      <c r="N273" s="391"/>
      <c r="O273" s="391"/>
      <c r="P273" s="391"/>
    </row>
    <row r="274" spans="1:26" ht="19.5">
      <c r="A274" s="392" t="s">
        <v>127</v>
      </c>
      <c r="B274" s="393"/>
      <c r="C274" s="394"/>
      <c r="D274" s="393"/>
      <c r="E274" s="393"/>
      <c r="F274" s="393"/>
      <c r="G274" s="393"/>
      <c r="H274" s="395"/>
      <c r="I274" s="396"/>
      <c r="J274" s="397"/>
      <c r="K274" s="398"/>
      <c r="L274" s="398"/>
      <c r="M274" s="398"/>
      <c r="N274" s="398"/>
      <c r="O274" s="398"/>
      <c r="P274" s="398"/>
    </row>
    <row r="275" spans="1:26" ht="19.5">
      <c r="A275" s="399"/>
      <c r="B275" s="408" t="s">
        <v>128</v>
      </c>
      <c r="C275" s="401"/>
      <c r="D275" s="402"/>
      <c r="E275" s="401"/>
      <c r="F275" s="401"/>
      <c r="G275" s="403"/>
      <c r="H275" s="404" t="s">
        <v>35</v>
      </c>
      <c r="I275" s="405">
        <f t="shared" ref="I275:J275" ca="1" si="122">I288</f>
        <v>5</v>
      </c>
      <c r="J275" s="405">
        <f t="shared" ca="1" si="122"/>
        <v>0</v>
      </c>
      <c r="K275" s="406">
        <f t="shared" ref="K275:K276" ca="1" si="123">IF(I275&gt;0,J275*100/I275,0)</f>
        <v>0</v>
      </c>
      <c r="L275" s="407"/>
      <c r="M275" s="407"/>
      <c r="N275" s="407"/>
      <c r="O275" s="407"/>
      <c r="P275" s="407"/>
    </row>
    <row r="276" spans="1:26" ht="19.5">
      <c r="A276" s="399"/>
      <c r="B276" s="408"/>
      <c r="C276" s="401"/>
      <c r="D276" s="402"/>
      <c r="E276" s="401"/>
      <c r="F276" s="401"/>
      <c r="G276" s="403"/>
      <c r="H276" s="404" t="s">
        <v>46</v>
      </c>
      <c r="I276" s="831">
        <f t="shared" ref="I276:J276" ca="1" si="124">I287</f>
        <v>50</v>
      </c>
      <c r="J276" s="831">
        <f t="shared" si="124"/>
        <v>0</v>
      </c>
      <c r="K276" s="407">
        <f t="shared" ca="1" si="123"/>
        <v>0</v>
      </c>
      <c r="L276" s="407"/>
      <c r="M276" s="407"/>
      <c r="N276" s="407"/>
      <c r="O276" s="407"/>
      <c r="P276" s="407"/>
    </row>
    <row r="277" spans="1:26" ht="19.5">
      <c r="A277" s="147"/>
      <c r="B277" s="148"/>
      <c r="C277" s="149" t="s">
        <v>16</v>
      </c>
      <c r="D277" s="822" t="s">
        <v>17</v>
      </c>
      <c r="E277" s="148"/>
      <c r="F277" s="148"/>
      <c r="G277" s="151"/>
      <c r="H277" s="152" t="s">
        <v>12</v>
      </c>
      <c r="I277" s="419"/>
      <c r="J277" s="419"/>
      <c r="K277" s="154"/>
      <c r="L277" s="155">
        <f t="shared" ref="L277:N277" ca="1" si="125">L278+L279</f>
        <v>163030</v>
      </c>
      <c r="M277" s="155">
        <f t="shared" ca="1" si="125"/>
        <v>79610</v>
      </c>
      <c r="N277" s="155">
        <f t="shared" ca="1" si="125"/>
        <v>2120</v>
      </c>
      <c r="O277" s="155">
        <f t="shared" ref="O277:O285" ca="1" si="126">IF(L277&gt;0,N277*100/L277,0)</f>
        <v>1.3003741642642459</v>
      </c>
      <c r="P277" s="155">
        <f t="shared" ref="P277:P285" ca="1" si="127">IF(M277&gt;0,N277*100/M277,0)</f>
        <v>2.6629820374324833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2" t="s">
        <v>18</v>
      </c>
      <c r="F278" s="40"/>
      <c r="G278" s="157"/>
      <c r="H278" s="158" t="s">
        <v>12</v>
      </c>
      <c r="I278" s="610"/>
      <c r="J278" s="610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2" t="s">
        <v>19</v>
      </c>
      <c r="F279" s="40"/>
      <c r="G279" s="157"/>
      <c r="H279" s="158" t="s">
        <v>12</v>
      </c>
      <c r="I279" s="610"/>
      <c r="J279" s="610"/>
      <c r="K279" s="93"/>
      <c r="L279" s="93">
        <f t="shared" ca="1" si="128"/>
        <v>163030</v>
      </c>
      <c r="M279" s="93">
        <f t="shared" ca="1" si="128"/>
        <v>79610</v>
      </c>
      <c r="N279" s="93">
        <f t="shared" ca="1" si="128"/>
        <v>2120</v>
      </c>
      <c r="O279" s="93">
        <f t="shared" ca="1" si="126"/>
        <v>1.3003741642642459</v>
      </c>
      <c r="P279" s="93">
        <f t="shared" ca="1" si="127"/>
        <v>2.6629820374324833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>
      <c r="A280" s="159"/>
      <c r="B280" s="33"/>
      <c r="C280" s="281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6">
        <f t="shared" ref="L280:N280" ca="1" si="129">L281+L282</f>
        <v>163030</v>
      </c>
      <c r="M280" s="496">
        <f t="shared" ca="1" si="129"/>
        <v>79610</v>
      </c>
      <c r="N280" s="496">
        <f t="shared" ca="1" si="129"/>
        <v>2120</v>
      </c>
      <c r="O280" s="496">
        <f t="shared" ca="1" si="126"/>
        <v>1.3003741642642459</v>
      </c>
      <c r="P280" s="496">
        <f t="shared" ca="1" si="127"/>
        <v>2.6629820374324833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2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2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IFERROR(__xludf.DUMMYFUNCTION("IMPORTRANGE(""https://docs.google.com/spreadsheets/d/1MeEWN-I1oV_STSDYn1IFDPWt_1FKiwhDph83XaGc0o0/edit?usp=sharing"",""งบพรบ!DI56"")"),163030)</f>
        <v>163030</v>
      </c>
      <c r="M282" s="93">
        <f ca="1">IFERROR(__xludf.DUMMYFUNCTION("IMPORTRANGE(""https://docs.google.com/spreadsheets/d/1MeEWN-I1oV_STSDYn1IFDPWt_1FKiwhDph83XaGc0o0/edit?usp=sharing"",""งบพรบ!DN56"")"),79610)</f>
        <v>79610</v>
      </c>
      <c r="N282" s="93">
        <f ca="1">IFERROR(__xludf.DUMMYFUNCTION("IMPORTRANGE(""https://docs.google.com/spreadsheets/d/1MeEWN-I1oV_STSDYn1IFDPWt_1FKiwhDph83XaGc0o0/edit?usp=sharing"",""งบพรบ!DP56"")"),2120)</f>
        <v>2120</v>
      </c>
      <c r="O282" s="93">
        <f t="shared" ca="1" si="126"/>
        <v>1.3003741642642459</v>
      </c>
      <c r="P282" s="93">
        <f t="shared" ca="1" si="127"/>
        <v>2.6629820374324833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>
      <c r="A283" s="159"/>
      <c r="B283" s="33"/>
      <c r="C283" s="281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6">
        <f t="shared" ref="L283:N283" ca="1" si="130">L284+L285</f>
        <v>0</v>
      </c>
      <c r="M283" s="496">
        <f t="shared" ca="1" si="130"/>
        <v>0</v>
      </c>
      <c r="N283" s="496">
        <f t="shared" ca="1" si="130"/>
        <v>0</v>
      </c>
      <c r="O283" s="496">
        <f t="shared" ca="1" si="126"/>
        <v>0</v>
      </c>
      <c r="P283" s="496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2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2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IFERROR(__xludf.DUMMYFUNCTION("IMPORTRANGE(""https://docs.google.com/spreadsheets/d/1MeEWN-I1oV_STSDYn1IFDPWt_1FKiwhDph83XaGc0o0/edit?usp=sharing"",""งบพรบ!DL56"")"),0)</f>
        <v>0</v>
      </c>
      <c r="M285" s="93">
        <f ca="1">IFERROR(__xludf.DUMMYFUNCTION("IMPORTRANGE(""https://docs.google.com/spreadsheets/d/1MeEWN-I1oV_STSDYn1IFDPWt_1FKiwhDph83XaGc0o0/edit?usp=sharing"",""งบพรบ!DO56"")"),0)</f>
        <v>0</v>
      </c>
      <c r="N285" s="93">
        <f ca="1">IFERROR(__xludf.DUMMYFUNCTION("IMPORTRANGE(""https://docs.google.com/spreadsheets/d/1MeEWN-I1oV_STSDYn1IFDPWt_1FKiwhDph83XaGc0o0/edit?usp=sharing"",""งบพรบ!DQ56"")"),0)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>
      <c r="A286" s="170"/>
      <c r="B286" s="171"/>
      <c r="C286" s="164" t="s">
        <v>16</v>
      </c>
      <c r="D286" s="823" t="s">
        <v>38</v>
      </c>
      <c r="E286" s="173"/>
      <c r="F286" s="173"/>
      <c r="G286" s="174"/>
      <c r="H286" s="753"/>
      <c r="I286" s="184"/>
      <c r="J286" s="184"/>
      <c r="K286" s="163"/>
      <c r="L286" s="163"/>
      <c r="M286" s="163"/>
      <c r="N286" s="163"/>
      <c r="O286" s="163"/>
      <c r="P286" s="163"/>
    </row>
    <row r="287" spans="1:26" ht="18.75">
      <c r="A287" s="170"/>
      <c r="B287" s="171"/>
      <c r="C287" s="171"/>
      <c r="D287" s="619" t="s">
        <v>129</v>
      </c>
      <c r="E287" s="171"/>
      <c r="F287" s="178"/>
      <c r="G287" s="179"/>
      <c r="H287" s="185" t="s">
        <v>46</v>
      </c>
      <c r="I287" s="269">
        <f ca="1">IFERROR(__xludf.DUMMYFUNCTION("IMPORTRANGE(""https://docs.google.com/spreadsheets/d/1QqKyyYR6Q21VydFLVH3TRQUabQu_ym0Zz7PgGX0-kHA/edit?usp=sharing"",""แผน!EC56"")"),50)</f>
        <v>50</v>
      </c>
      <c r="J287" s="214">
        <v>0</v>
      </c>
      <c r="K287" s="163">
        <f t="shared" ref="K287:K288" ca="1" si="131">IF(I287&gt;0,J287*100/I287,0)</f>
        <v>0</v>
      </c>
      <c r="L287" s="163"/>
      <c r="M287" s="163"/>
      <c r="N287" s="163"/>
      <c r="O287" s="163"/>
      <c r="P287" s="163"/>
    </row>
    <row r="288" spans="1:26" ht="19.5">
      <c r="A288" s="170"/>
      <c r="B288" s="171"/>
      <c r="C288" s="171"/>
      <c r="D288" s="619" t="s">
        <v>130</v>
      </c>
      <c r="E288" s="171"/>
      <c r="F288" s="178"/>
      <c r="G288" s="179"/>
      <c r="H288" s="180" t="s">
        <v>35</v>
      </c>
      <c r="I288" s="674">
        <f ca="1">IFERROR(__xludf.DUMMYFUNCTION("IMPORTRANGE(""https://docs.google.com/spreadsheets/d/1QqKyyYR6Q21VydFLVH3TRQUabQu_ym0Zz7PgGX0-kHA/edit?usp=sharing"",""แผน!EB56"")"),5)</f>
        <v>5</v>
      </c>
      <c r="J288" s="674">
        <f ca="1">IF(AND(J291&gt;=I288,J294&gt;=I288),J294,0)</f>
        <v>0</v>
      </c>
      <c r="K288" s="410">
        <f t="shared" ca="1" si="131"/>
        <v>0</v>
      </c>
      <c r="L288" s="163"/>
      <c r="M288" s="163"/>
      <c r="N288" s="163"/>
      <c r="O288" s="163"/>
      <c r="P288" s="163"/>
    </row>
    <row r="289" spans="1:26" ht="19.5">
      <c r="A289" s="170"/>
      <c r="B289" s="171"/>
      <c r="C289" s="171"/>
      <c r="D289" s="411"/>
      <c r="E289" s="412" t="s">
        <v>131</v>
      </c>
      <c r="F289" s="178"/>
      <c r="G289" s="179"/>
      <c r="H289" s="755"/>
      <c r="I289" s="184"/>
      <c r="J289" s="269"/>
      <c r="K289" s="163"/>
      <c r="L289" s="163"/>
      <c r="M289" s="163"/>
      <c r="N289" s="163"/>
      <c r="O289" s="163"/>
      <c r="P289" s="163"/>
    </row>
    <row r="290" spans="1:26" ht="19.5">
      <c r="A290" s="170"/>
      <c r="B290" s="171"/>
      <c r="C290" s="171"/>
      <c r="D290" s="411"/>
      <c r="E290" s="619" t="s">
        <v>132</v>
      </c>
      <c r="F290" s="178"/>
      <c r="G290" s="179"/>
      <c r="H290" s="755" t="s">
        <v>35</v>
      </c>
      <c r="I290" s="184">
        <f ca="1">IFERROR(__xludf.DUMMYFUNCTION("IMPORTRANGE(""https://docs.google.com/spreadsheets/d/1QqKyyYR6Q21VydFLVH3TRQUabQu_ym0Zz7PgGX0-kHA/edit?usp=sharing"",""แผน!EB56"")"),5)</f>
        <v>5</v>
      </c>
      <c r="J290" s="214">
        <v>0</v>
      </c>
      <c r="K290" s="163">
        <f t="shared" ref="K290:K291" ca="1" si="132">IF(I290&gt;0,J290*100/I290,0)</f>
        <v>0</v>
      </c>
      <c r="L290" s="163"/>
      <c r="M290" s="163"/>
      <c r="N290" s="163"/>
      <c r="O290" s="163"/>
      <c r="P290" s="163"/>
    </row>
    <row r="291" spans="1:26" ht="19.5">
      <c r="A291" s="170"/>
      <c r="B291" s="171"/>
      <c r="C291" s="171"/>
      <c r="D291" s="178"/>
      <c r="E291" s="619" t="s">
        <v>133</v>
      </c>
      <c r="F291" s="178"/>
      <c r="G291" s="179"/>
      <c r="H291" s="755" t="s">
        <v>35</v>
      </c>
      <c r="I291" s="184">
        <f ca="1">IFERROR(__xludf.DUMMYFUNCTION("IMPORTRANGE(""https://docs.google.com/spreadsheets/d/1QqKyyYR6Q21VydFLVH3TRQUabQu_ym0Zz7PgGX0-kHA/edit?usp=sharing"",""แผน!EB56"")"),5)</f>
        <v>5</v>
      </c>
      <c r="J291" s="214">
        <v>0</v>
      </c>
      <c r="K291" s="163">
        <f t="shared" ca="1" si="132"/>
        <v>0</v>
      </c>
      <c r="L291" s="163"/>
      <c r="M291" s="163"/>
      <c r="N291" s="163"/>
      <c r="O291" s="163"/>
      <c r="P291" s="163"/>
    </row>
    <row r="292" spans="1:26" ht="19.5">
      <c r="A292" s="413"/>
      <c r="B292" s="414"/>
      <c r="C292" s="414"/>
      <c r="D292" s="415"/>
      <c r="E292" s="416" t="s">
        <v>134</v>
      </c>
      <c r="F292" s="287"/>
      <c r="G292" s="288"/>
      <c r="H292" s="417"/>
      <c r="I292" s="418"/>
      <c r="J292" s="419"/>
      <c r="K292" s="279"/>
      <c r="L292" s="279"/>
      <c r="M292" s="279"/>
      <c r="N292" s="279"/>
      <c r="O292" s="279"/>
      <c r="P292" s="279"/>
    </row>
    <row r="293" spans="1:26" ht="19.5">
      <c r="A293" s="170"/>
      <c r="B293" s="171"/>
      <c r="C293" s="171"/>
      <c r="D293" s="411"/>
      <c r="E293" s="619" t="s">
        <v>132</v>
      </c>
      <c r="F293" s="178"/>
      <c r="G293" s="179"/>
      <c r="H293" s="755" t="s">
        <v>35</v>
      </c>
      <c r="I293" s="184">
        <f ca="1">IFERROR(__xludf.DUMMYFUNCTION("IMPORTRANGE(""https://docs.google.com/spreadsheets/d/1QqKyyYR6Q21VydFLVH3TRQUabQu_ym0Zz7PgGX0-kHA/edit?usp=sharing"",""แผน!EB56"")"),5)</f>
        <v>5</v>
      </c>
      <c r="J293" s="214">
        <v>0</v>
      </c>
      <c r="K293" s="163">
        <f t="shared" ref="K293:K294" ca="1" si="133">IF(I293&gt;0,J293*100/I293,0)</f>
        <v>0</v>
      </c>
      <c r="L293" s="163"/>
      <c r="M293" s="163"/>
      <c r="N293" s="163"/>
      <c r="O293" s="163"/>
      <c r="P293" s="163"/>
    </row>
    <row r="294" spans="1:26" ht="19.5">
      <c r="A294" s="377"/>
      <c r="B294" s="378"/>
      <c r="C294" s="378"/>
      <c r="D294" s="380"/>
      <c r="E294" s="725" t="s">
        <v>136</v>
      </c>
      <c r="F294" s="380"/>
      <c r="G294" s="381"/>
      <c r="H294" s="421" t="s">
        <v>35</v>
      </c>
      <c r="I294" s="422">
        <f ca="1">IFERROR(__xludf.DUMMYFUNCTION("IMPORTRANGE(""https://docs.google.com/spreadsheets/d/1QqKyyYR6Q21VydFLVH3TRQUabQu_ym0Zz7PgGX0-kHA/edit?usp=sharing"",""แผน!EB56"")"),5)</f>
        <v>5</v>
      </c>
      <c r="J294" s="423">
        <v>0</v>
      </c>
      <c r="K294" s="384">
        <f t="shared" ca="1" si="133"/>
        <v>0</v>
      </c>
      <c r="L294" s="384"/>
      <c r="M294" s="384"/>
      <c r="N294" s="384"/>
      <c r="O294" s="384"/>
      <c r="P294" s="384"/>
    </row>
    <row r="295" spans="1:26" ht="19.5">
      <c r="A295" s="424" t="s">
        <v>137</v>
      </c>
      <c r="B295" s="425"/>
      <c r="C295" s="425"/>
      <c r="D295" s="425"/>
      <c r="E295" s="426"/>
      <c r="F295" s="426"/>
      <c r="G295" s="427"/>
      <c r="H295" s="428"/>
      <c r="I295" s="429"/>
      <c r="J295" s="429"/>
      <c r="K295" s="430"/>
      <c r="L295" s="430"/>
      <c r="M295" s="430"/>
      <c r="N295" s="430"/>
      <c r="O295" s="430"/>
      <c r="P295" s="430"/>
    </row>
    <row r="296" spans="1:26" ht="19.5">
      <c r="A296" s="431" t="s">
        <v>138</v>
      </c>
      <c r="B296" s="432"/>
      <c r="C296" s="432"/>
      <c r="D296" s="433"/>
      <c r="E296" s="433"/>
      <c r="F296" s="433"/>
      <c r="G296" s="434"/>
      <c r="H296" s="435"/>
      <c r="I296" s="436"/>
      <c r="J296" s="436"/>
      <c r="K296" s="437"/>
      <c r="L296" s="437"/>
      <c r="M296" s="437"/>
      <c r="N296" s="437"/>
      <c r="O296" s="437"/>
      <c r="P296" s="437"/>
    </row>
    <row r="297" spans="1:26" ht="19.5">
      <c r="A297" s="438"/>
      <c r="B297" s="439" t="s">
        <v>139</v>
      </c>
      <c r="C297" s="440"/>
      <c r="D297" s="440"/>
      <c r="E297" s="440"/>
      <c r="F297" s="440"/>
      <c r="G297" s="441"/>
      <c r="H297" s="442" t="s">
        <v>35</v>
      </c>
      <c r="I297" s="443">
        <f t="shared" ref="I297:J297" ca="1" si="134">I309</f>
        <v>15</v>
      </c>
      <c r="J297" s="443">
        <f t="shared" si="134"/>
        <v>0</v>
      </c>
      <c r="K297" s="444">
        <f ca="1">IF(I297&gt;0,J297*100/I297,0)</f>
        <v>0</v>
      </c>
      <c r="L297" s="445"/>
      <c r="M297" s="445"/>
      <c r="N297" s="445"/>
      <c r="O297" s="445"/>
      <c r="P297" s="445"/>
    </row>
    <row r="298" spans="1:26" ht="19.5">
      <c r="A298" s="147"/>
      <c r="B298" s="148"/>
      <c r="C298" s="149" t="s">
        <v>16</v>
      </c>
      <c r="D298" s="822" t="s">
        <v>17</v>
      </c>
      <c r="E298" s="148"/>
      <c r="F298" s="148"/>
      <c r="G298" s="151"/>
      <c r="H298" s="152" t="s">
        <v>12</v>
      </c>
      <c r="I298" s="419"/>
      <c r="J298" s="419"/>
      <c r="K298" s="154"/>
      <c r="L298" s="155">
        <f t="shared" ref="L298:N298" ca="1" si="135">L299+L300</f>
        <v>206800</v>
      </c>
      <c r="M298" s="155">
        <f t="shared" ca="1" si="135"/>
        <v>102840</v>
      </c>
      <c r="N298" s="155">
        <f t="shared" ca="1" si="135"/>
        <v>32369</v>
      </c>
      <c r="O298" s="155">
        <f t="shared" ref="O298:O306" ca="1" si="136">IF(L298&gt;0,N298*100/L298,0)</f>
        <v>15.652321083172147</v>
      </c>
      <c r="P298" s="155">
        <f t="shared" ref="P298:P306" ca="1" si="137">IF(M298&gt;0,N298*100/M298,0)</f>
        <v>31.475106962271489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2" t="s">
        <v>18</v>
      </c>
      <c r="F299" s="40"/>
      <c r="G299" s="157"/>
      <c r="H299" s="158" t="s">
        <v>12</v>
      </c>
      <c r="I299" s="610"/>
      <c r="J299" s="610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2" t="s">
        <v>19</v>
      </c>
      <c r="F300" s="40"/>
      <c r="G300" s="157"/>
      <c r="H300" s="158" t="s">
        <v>12</v>
      </c>
      <c r="I300" s="610"/>
      <c r="J300" s="610"/>
      <c r="K300" s="93"/>
      <c r="L300" s="93">
        <f t="shared" ca="1" si="138"/>
        <v>206800</v>
      </c>
      <c r="M300" s="93">
        <f t="shared" ca="1" si="138"/>
        <v>102840</v>
      </c>
      <c r="N300" s="93">
        <f t="shared" ca="1" si="138"/>
        <v>32369</v>
      </c>
      <c r="O300" s="93">
        <f t="shared" ca="1" si="136"/>
        <v>15.652321083172147</v>
      </c>
      <c r="P300" s="93">
        <f t="shared" ca="1" si="137"/>
        <v>31.475106962271489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>
      <c r="A301" s="159"/>
      <c r="B301" s="33"/>
      <c r="C301" s="281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6">
        <f t="shared" ref="L301:N301" ca="1" si="139">L302+L303</f>
        <v>206800</v>
      </c>
      <c r="M301" s="496">
        <f t="shared" ca="1" si="139"/>
        <v>102840</v>
      </c>
      <c r="N301" s="496">
        <f t="shared" ca="1" si="139"/>
        <v>32369</v>
      </c>
      <c r="O301" s="496">
        <f t="shared" ca="1" si="136"/>
        <v>15.652321083172147</v>
      </c>
      <c r="P301" s="496">
        <f t="shared" ca="1" si="137"/>
        <v>31.475106962271489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2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2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IFERROR(__xludf.DUMMYFUNCTION("IMPORTRANGE(""https://docs.google.com/spreadsheets/d/1MeEWN-I1oV_STSDYn1IFDPWt_1FKiwhDph83XaGc0o0/edit?usp=sharing"",""งบพรบ!DS56"")"),206800)</f>
        <v>206800</v>
      </c>
      <c r="M303" s="93">
        <f ca="1">IFERROR(__xludf.DUMMYFUNCTION("IMPORTRANGE(""https://docs.google.com/spreadsheets/d/1MeEWN-I1oV_STSDYn1IFDPWt_1FKiwhDph83XaGc0o0/edit?usp=sharing"",""งบพรบ!DX56"")"),102840)</f>
        <v>102840</v>
      </c>
      <c r="N303" s="93">
        <f ca="1">IFERROR(__xludf.DUMMYFUNCTION("IMPORTRANGE(""https://docs.google.com/spreadsheets/d/1MeEWN-I1oV_STSDYn1IFDPWt_1FKiwhDph83XaGc0o0/edit?usp=sharing"",""งบพรบ!DZ56"")"),32369)</f>
        <v>32369</v>
      </c>
      <c r="O303" s="93">
        <f t="shared" ca="1" si="136"/>
        <v>15.652321083172147</v>
      </c>
      <c r="P303" s="93">
        <f t="shared" ca="1" si="137"/>
        <v>31.475106962271489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>
      <c r="A304" s="159"/>
      <c r="B304" s="33"/>
      <c r="C304" s="281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6">
        <f t="shared" ref="L304:N304" ca="1" si="140">L305+L306</f>
        <v>0</v>
      </c>
      <c r="M304" s="496">
        <f t="shared" ca="1" si="140"/>
        <v>0</v>
      </c>
      <c r="N304" s="496">
        <f t="shared" ca="1" si="140"/>
        <v>0</v>
      </c>
      <c r="O304" s="496">
        <f t="shared" ca="1" si="136"/>
        <v>0</v>
      </c>
      <c r="P304" s="496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2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2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IFERROR(__xludf.DUMMYFUNCTION("IMPORTRANGE(""https://docs.google.com/spreadsheets/d/1MeEWN-I1oV_STSDYn1IFDPWt_1FKiwhDph83XaGc0o0/edit?usp=sharing"",""งบพรบ!DV56"")"),0)</f>
        <v>0</v>
      </c>
      <c r="M306" s="93">
        <f ca="1">IFERROR(__xludf.DUMMYFUNCTION("IMPORTRANGE(""https://docs.google.com/spreadsheets/d/1MeEWN-I1oV_STSDYn1IFDPWt_1FKiwhDph83XaGc0o0/edit?usp=sharing"",""งบพรบ!DY56"")"),0)</f>
        <v>0</v>
      </c>
      <c r="N306" s="93">
        <f ca="1">IFERROR(__xludf.DUMMYFUNCTION("IMPORTRANGE(""https://docs.google.com/spreadsheets/d/1MeEWN-I1oV_STSDYn1IFDPWt_1FKiwhDph83XaGc0o0/edit?usp=sharing"",""งบพรบ!EA56"")"),0)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>
      <c r="A307" s="170"/>
      <c r="B307" s="171"/>
      <c r="C307" s="164" t="s">
        <v>16</v>
      </c>
      <c r="D307" s="823" t="s">
        <v>38</v>
      </c>
      <c r="E307" s="173"/>
      <c r="F307" s="173"/>
      <c r="G307" s="174"/>
      <c r="H307" s="753"/>
      <c r="I307" s="269"/>
      <c r="J307" s="269"/>
      <c r="K307" s="496"/>
      <c r="L307" s="496"/>
      <c r="M307" s="496"/>
      <c r="N307" s="496"/>
      <c r="O307" s="496"/>
      <c r="P307" s="496"/>
    </row>
    <row r="308" spans="1:26" ht="18.75">
      <c r="A308" s="170"/>
      <c r="B308" s="171"/>
      <c r="C308" s="171"/>
      <c r="D308" s="446" t="s">
        <v>140</v>
      </c>
      <c r="E308" s="446"/>
      <c r="F308" s="446"/>
      <c r="G308" s="179"/>
      <c r="H308" s="755"/>
      <c r="I308" s="269"/>
      <c r="J308" s="214">
        <v>0</v>
      </c>
      <c r="K308" s="496"/>
      <c r="L308" s="496"/>
      <c r="M308" s="496"/>
      <c r="N308" s="496"/>
      <c r="O308" s="496"/>
      <c r="P308" s="496"/>
    </row>
    <row r="309" spans="1:26" ht="18.75">
      <c r="A309" s="170"/>
      <c r="B309" s="171"/>
      <c r="C309" s="171"/>
      <c r="D309" s="446" t="s">
        <v>141</v>
      </c>
      <c r="E309" s="446"/>
      <c r="F309" s="446"/>
      <c r="G309" s="179"/>
      <c r="H309" s="755" t="s">
        <v>35</v>
      </c>
      <c r="I309" s="269">
        <f ca="1">IFERROR(__xludf.DUMMYFUNCTION("IMPORTRANGE(""https://docs.google.com/spreadsheets/d/1QqKyyYR6Q21VydFLVH3TRQUabQu_ym0Zz7PgGX0-kHA/edit?usp=sharing"",""แผน!ED56"")"),15)</f>
        <v>15</v>
      </c>
      <c r="J309" s="214">
        <v>0</v>
      </c>
      <c r="K309" s="496">
        <f t="shared" ref="K309:K312" ca="1" si="141">IF(I309&gt;0,J309*100/I309,0)</f>
        <v>0</v>
      </c>
      <c r="L309" s="496"/>
      <c r="M309" s="496"/>
      <c r="N309" s="496"/>
      <c r="O309" s="496"/>
      <c r="P309" s="496"/>
    </row>
    <row r="310" spans="1:26" ht="18.75">
      <c r="A310" s="170"/>
      <c r="B310" s="171"/>
      <c r="C310" s="171"/>
      <c r="D310" s="446" t="s">
        <v>142</v>
      </c>
      <c r="E310" s="446"/>
      <c r="F310" s="446"/>
      <c r="G310" s="179"/>
      <c r="H310" s="755" t="s">
        <v>35</v>
      </c>
      <c r="I310" s="269">
        <f ca="1">IFERROR(__xludf.DUMMYFUNCTION("IMPORTRANGE(""https://docs.google.com/spreadsheets/d/1QqKyyYR6Q21VydFLVH3TRQUabQu_ym0Zz7PgGX0-kHA/edit?usp=sharing"",""แผน!ED56"")"),15)</f>
        <v>15</v>
      </c>
      <c r="J310" s="214">
        <v>0</v>
      </c>
      <c r="K310" s="496">
        <f t="shared" ca="1" si="141"/>
        <v>0</v>
      </c>
      <c r="L310" s="496"/>
      <c r="M310" s="496"/>
      <c r="N310" s="496"/>
      <c r="O310" s="496"/>
      <c r="P310" s="496"/>
    </row>
    <row r="311" spans="1:26" ht="18.75">
      <c r="A311" s="170"/>
      <c r="B311" s="171"/>
      <c r="C311" s="171"/>
      <c r="D311" s="446" t="s">
        <v>59</v>
      </c>
      <c r="E311" s="446"/>
      <c r="F311" s="446"/>
      <c r="G311" s="179"/>
      <c r="H311" s="755" t="s">
        <v>35</v>
      </c>
      <c r="I311" s="269">
        <f ca="1">IFERROR(__xludf.DUMMYFUNCTION("IMPORTRANGE(""https://docs.google.com/spreadsheets/d/1QqKyyYR6Q21VydFLVH3TRQUabQu_ym0Zz7PgGX0-kHA/edit?usp=sharing"",""แผน!ED56"")"),15)</f>
        <v>15</v>
      </c>
      <c r="J311" s="214">
        <v>0</v>
      </c>
      <c r="K311" s="496">
        <f t="shared" ca="1" si="141"/>
        <v>0</v>
      </c>
      <c r="L311" s="496"/>
      <c r="M311" s="496"/>
      <c r="N311" s="496"/>
      <c r="O311" s="496"/>
      <c r="P311" s="496"/>
    </row>
    <row r="312" spans="1:26" ht="18.75">
      <c r="A312" s="170"/>
      <c r="B312" s="171"/>
      <c r="C312" s="171"/>
      <c r="D312" s="446" t="s">
        <v>143</v>
      </c>
      <c r="E312" s="446"/>
      <c r="F312" s="446"/>
      <c r="G312" s="179"/>
      <c r="H312" s="755" t="s">
        <v>35</v>
      </c>
      <c r="I312" s="269">
        <f ca="1">IFERROR(__xludf.DUMMYFUNCTION("IMPORTRANGE(""https://docs.google.com/spreadsheets/d/1QqKyyYR6Q21VydFLVH3TRQUabQu_ym0Zz7PgGX0-kHA/edit?usp=sharing"",""แผน!EE56"")"),3)</f>
        <v>3</v>
      </c>
      <c r="J312" s="214">
        <v>0</v>
      </c>
      <c r="K312" s="496">
        <f t="shared" ca="1" si="141"/>
        <v>0</v>
      </c>
      <c r="L312" s="496"/>
      <c r="M312" s="496"/>
      <c r="N312" s="496"/>
      <c r="O312" s="496"/>
      <c r="P312" s="496"/>
    </row>
    <row r="313" spans="1:26" ht="19.5">
      <c r="A313" s="431" t="s">
        <v>144</v>
      </c>
      <c r="B313" s="432"/>
      <c r="C313" s="432"/>
      <c r="D313" s="433"/>
      <c r="E313" s="432"/>
      <c r="F313" s="432"/>
      <c r="G313" s="432"/>
      <c r="H313" s="448"/>
      <c r="I313" s="436"/>
      <c r="J313" s="436"/>
      <c r="K313" s="437"/>
      <c r="L313" s="437"/>
      <c r="M313" s="437"/>
      <c r="N313" s="437"/>
      <c r="O313" s="437"/>
      <c r="P313" s="437"/>
    </row>
    <row r="314" spans="1:26" ht="19.5">
      <c r="A314" s="449"/>
      <c r="B314" s="439" t="s">
        <v>145</v>
      </c>
      <c r="C314" s="450"/>
      <c r="D314" s="451"/>
      <c r="E314" s="440"/>
      <c r="F314" s="440"/>
      <c r="G314" s="441"/>
      <c r="H314" s="442" t="s">
        <v>146</v>
      </c>
      <c r="I314" s="443">
        <f t="shared" ref="I314:J314" ca="1" si="142">I325</f>
        <v>2</v>
      </c>
      <c r="J314" s="443">
        <f t="shared" si="142"/>
        <v>0</v>
      </c>
      <c r="K314" s="444">
        <f ca="1">IF(I314&gt;0,J314*100/I314,0)</f>
        <v>0</v>
      </c>
      <c r="L314" s="445"/>
      <c r="M314" s="445"/>
      <c r="N314" s="445"/>
      <c r="O314" s="445"/>
      <c r="P314" s="445"/>
    </row>
    <row r="315" spans="1:26" ht="19.5">
      <c r="A315" s="147"/>
      <c r="B315" s="148"/>
      <c r="C315" s="149" t="s">
        <v>16</v>
      </c>
      <c r="D315" s="822" t="s">
        <v>17</v>
      </c>
      <c r="E315" s="148"/>
      <c r="F315" s="148"/>
      <c r="G315" s="151"/>
      <c r="H315" s="152" t="s">
        <v>12</v>
      </c>
      <c r="I315" s="419"/>
      <c r="J315" s="419"/>
      <c r="K315" s="154"/>
      <c r="L315" s="155">
        <f t="shared" ref="L315:N315" ca="1" si="143">L316+L317</f>
        <v>153000</v>
      </c>
      <c r="M315" s="155">
        <f t="shared" ca="1" si="143"/>
        <v>76500</v>
      </c>
      <c r="N315" s="155">
        <f t="shared" ca="1" si="143"/>
        <v>27473</v>
      </c>
      <c r="O315" s="155">
        <f t="shared" ref="O315:O323" ca="1" si="144">IF(L315&gt;0,N315*100/L315,0)</f>
        <v>17.956209150326796</v>
      </c>
      <c r="P315" s="155">
        <f t="shared" ref="P315:P323" ca="1" si="145">IF(M315&gt;0,N315*100/M315,0)</f>
        <v>35.912418300653592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2" t="s">
        <v>18</v>
      </c>
      <c r="F316" s="40"/>
      <c r="G316" s="157"/>
      <c r="H316" s="158" t="s">
        <v>12</v>
      </c>
      <c r="I316" s="610"/>
      <c r="J316" s="610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2" t="s">
        <v>19</v>
      </c>
      <c r="F317" s="40"/>
      <c r="G317" s="157"/>
      <c r="H317" s="158" t="s">
        <v>12</v>
      </c>
      <c r="I317" s="610"/>
      <c r="J317" s="610"/>
      <c r="K317" s="93"/>
      <c r="L317" s="93">
        <f t="shared" ca="1" si="146"/>
        <v>153000</v>
      </c>
      <c r="M317" s="93">
        <f t="shared" ca="1" si="146"/>
        <v>76500</v>
      </c>
      <c r="N317" s="93">
        <f t="shared" ca="1" si="146"/>
        <v>27473</v>
      </c>
      <c r="O317" s="93">
        <f t="shared" ca="1" si="144"/>
        <v>17.956209150326796</v>
      </c>
      <c r="P317" s="93">
        <f t="shared" ca="1" si="145"/>
        <v>35.912418300653592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>
      <c r="A318" s="159"/>
      <c r="B318" s="33"/>
      <c r="C318" s="281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6">
        <f t="shared" ref="L318:N318" ca="1" si="147">L319+L320</f>
        <v>153000</v>
      </c>
      <c r="M318" s="496">
        <f t="shared" ca="1" si="147"/>
        <v>76500</v>
      </c>
      <c r="N318" s="496">
        <f t="shared" ca="1" si="147"/>
        <v>27473</v>
      </c>
      <c r="O318" s="496">
        <f t="shared" ca="1" si="144"/>
        <v>17.956209150326796</v>
      </c>
      <c r="P318" s="496">
        <f t="shared" ca="1" si="145"/>
        <v>35.912418300653592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2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2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IFERROR(__xludf.DUMMYFUNCTION("IMPORTRANGE(""https://docs.google.com/spreadsheets/d/1MeEWN-I1oV_STSDYn1IFDPWt_1FKiwhDph83XaGc0o0/edit?usp=sharing"",""งบพรบ!EC56"")"),153000)</f>
        <v>153000</v>
      </c>
      <c r="M320" s="93">
        <f ca="1">IFERROR(__xludf.DUMMYFUNCTION("IMPORTRANGE(""https://docs.google.com/spreadsheets/d/1MeEWN-I1oV_STSDYn1IFDPWt_1FKiwhDph83XaGc0o0/edit?usp=sharing"",""งบพรบ!EH56"")"),76500)</f>
        <v>76500</v>
      </c>
      <c r="N320" s="93">
        <f ca="1">IFERROR(__xludf.DUMMYFUNCTION("IMPORTRANGE(""https://docs.google.com/spreadsheets/d/1MeEWN-I1oV_STSDYn1IFDPWt_1FKiwhDph83XaGc0o0/edit?usp=sharing"",""งบพรบ!EJ56"")"),27473)</f>
        <v>27473</v>
      </c>
      <c r="O320" s="93">
        <f t="shared" ca="1" si="144"/>
        <v>17.956209150326796</v>
      </c>
      <c r="P320" s="93">
        <f t="shared" ca="1" si="145"/>
        <v>35.912418300653592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>
      <c r="A321" s="159"/>
      <c r="B321" s="33"/>
      <c r="C321" s="281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6">
        <f t="shared" ref="L321:N321" ca="1" si="148">L322+L323</f>
        <v>0</v>
      </c>
      <c r="M321" s="496">
        <f t="shared" ca="1" si="148"/>
        <v>0</v>
      </c>
      <c r="N321" s="496">
        <f t="shared" ca="1" si="148"/>
        <v>0</v>
      </c>
      <c r="O321" s="496">
        <f t="shared" ca="1" si="144"/>
        <v>0</v>
      </c>
      <c r="P321" s="496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2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2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IFERROR(__xludf.DUMMYFUNCTION("IMPORTRANGE(""https://docs.google.com/spreadsheets/d/1MeEWN-I1oV_STSDYn1IFDPWt_1FKiwhDph83XaGc0o0/edit?usp=sharing"",""งบพรบ!EF56"")"),0)</f>
        <v>0</v>
      </c>
      <c r="M323" s="93">
        <f ca="1">IFERROR(__xludf.DUMMYFUNCTION("IMPORTRANGE(""https://docs.google.com/spreadsheets/d/1MeEWN-I1oV_STSDYn1IFDPWt_1FKiwhDph83XaGc0o0/edit?usp=sharing"",""งบพรบ!EI56"")"),0)</f>
        <v>0</v>
      </c>
      <c r="N323" s="93">
        <f ca="1">IFERROR(__xludf.DUMMYFUNCTION("IMPORTRANGE(""https://docs.google.com/spreadsheets/d/1MeEWN-I1oV_STSDYn1IFDPWt_1FKiwhDph83XaGc0o0/edit?usp=sharing"",""งบพรบ!EK56"")"),0)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>
      <c r="A324" s="170"/>
      <c r="B324" s="171"/>
      <c r="C324" s="164" t="s">
        <v>16</v>
      </c>
      <c r="D324" s="823" t="s">
        <v>38</v>
      </c>
      <c r="E324" s="173"/>
      <c r="F324" s="173"/>
      <c r="G324" s="174"/>
      <c r="H324" s="753"/>
      <c r="I324" s="184"/>
      <c r="J324" s="269"/>
      <c r="K324" s="496"/>
      <c r="L324" s="496"/>
      <c r="M324" s="496"/>
      <c r="N324" s="496"/>
      <c r="O324" s="163"/>
      <c r="P324" s="163"/>
    </row>
    <row r="325" spans="1:26" ht="18.75">
      <c r="A325" s="170"/>
      <c r="B325" s="171"/>
      <c r="C325" s="171"/>
      <c r="D325" s="176" t="s">
        <v>147</v>
      </c>
      <c r="E325" s="178"/>
      <c r="F325" s="446"/>
      <c r="G325" s="179"/>
      <c r="H325" s="616" t="s">
        <v>146</v>
      </c>
      <c r="I325" s="269">
        <f ca="1">IFERROR(__xludf.DUMMYFUNCTION("IMPORTRANGE(""https://docs.google.com/spreadsheets/d/1QqKyyYR6Q21VydFLVH3TRQUabQu_ym0Zz7PgGX0-kHA/edit?usp=sharing"",""แผน!EF56"")"),2)</f>
        <v>2</v>
      </c>
      <c r="J325" s="214">
        <v>0</v>
      </c>
      <c r="K325" s="496">
        <f ca="1">IF(I325&gt;0,J325*100/I325,0)</f>
        <v>0</v>
      </c>
      <c r="L325" s="496"/>
      <c r="M325" s="496"/>
      <c r="N325" s="496"/>
      <c r="O325" s="163"/>
      <c r="P325" s="163"/>
    </row>
    <row r="326" spans="1:26" ht="19.5">
      <c r="A326" s="431" t="s">
        <v>148</v>
      </c>
      <c r="B326" s="432"/>
      <c r="C326" s="432"/>
      <c r="D326" s="433"/>
      <c r="E326" s="432"/>
      <c r="F326" s="432"/>
      <c r="G326" s="432"/>
      <c r="H326" s="448"/>
      <c r="I326" s="436"/>
      <c r="J326" s="436"/>
      <c r="K326" s="437"/>
      <c r="L326" s="437"/>
      <c r="M326" s="437"/>
      <c r="N326" s="437"/>
      <c r="O326" s="437"/>
      <c r="P326" s="437"/>
    </row>
    <row r="327" spans="1:26" ht="19.5">
      <c r="A327" s="438"/>
      <c r="B327" s="439" t="s">
        <v>149</v>
      </c>
      <c r="C327" s="451"/>
      <c r="D327" s="440"/>
      <c r="E327" s="440"/>
      <c r="F327" s="440"/>
      <c r="G327" s="441"/>
      <c r="H327" s="442" t="s">
        <v>35</v>
      </c>
      <c r="I327" s="443">
        <f ca="1">IFERROR(__xludf.DUMMYFUNCTION("IMPORTRANGE(""https://docs.google.com/spreadsheets/d/1QqKyyYR6Q21VydFLVH3TRQUabQu_ym0Zz7PgGX0-kHA/edit?usp=sharing"",""แผน!EG56"")"),1400)</f>
        <v>1400</v>
      </c>
      <c r="J327" s="443">
        <f ca="1">J338+J341+J342+J343</f>
        <v>542</v>
      </c>
      <c r="K327" s="444">
        <f ca="1">IF(I327&gt;0,J327*100/I327,0)</f>
        <v>38.714285714285715</v>
      </c>
      <c r="L327" s="445"/>
      <c r="M327" s="445"/>
      <c r="N327" s="445"/>
      <c r="O327" s="445"/>
      <c r="P327" s="445"/>
    </row>
    <row r="328" spans="1:26" ht="19.5">
      <c r="A328" s="147"/>
      <c r="B328" s="148"/>
      <c r="C328" s="149" t="s">
        <v>16</v>
      </c>
      <c r="D328" s="822" t="s">
        <v>17</v>
      </c>
      <c r="E328" s="148"/>
      <c r="F328" s="148"/>
      <c r="G328" s="151"/>
      <c r="H328" s="152" t="s">
        <v>12</v>
      </c>
      <c r="I328" s="419"/>
      <c r="J328" s="419"/>
      <c r="K328" s="154"/>
      <c r="L328" s="155">
        <f t="shared" ref="L328:N328" ca="1" si="149">L329+L330</f>
        <v>1016000</v>
      </c>
      <c r="M328" s="155">
        <f t="shared" ca="1" si="149"/>
        <v>933000</v>
      </c>
      <c r="N328" s="155">
        <f t="shared" ca="1" si="149"/>
        <v>38098</v>
      </c>
      <c r="O328" s="155">
        <f t="shared" ref="O328:O336" ca="1" si="150">IF(L328&gt;0,N328*100/L328,0)</f>
        <v>3.7498031496062993</v>
      </c>
      <c r="P328" s="155">
        <f t="shared" ref="P328:P336" ca="1" si="151">IF(M328&gt;0,N328*100/M328,0)</f>
        <v>4.0833869239013936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2" t="s">
        <v>18</v>
      </c>
      <c r="F329" s="40"/>
      <c r="G329" s="157"/>
      <c r="H329" s="158" t="s">
        <v>12</v>
      </c>
      <c r="I329" s="610"/>
      <c r="J329" s="610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2" t="s">
        <v>19</v>
      </c>
      <c r="F330" s="40"/>
      <c r="G330" s="157"/>
      <c r="H330" s="158" t="s">
        <v>12</v>
      </c>
      <c r="I330" s="610"/>
      <c r="J330" s="610"/>
      <c r="K330" s="93"/>
      <c r="L330" s="93">
        <f t="shared" ca="1" si="152"/>
        <v>1016000</v>
      </c>
      <c r="M330" s="93">
        <f t="shared" ca="1" si="152"/>
        <v>933000</v>
      </c>
      <c r="N330" s="93">
        <f t="shared" ca="1" si="152"/>
        <v>38098</v>
      </c>
      <c r="O330" s="93">
        <f t="shared" ca="1" si="150"/>
        <v>3.7498031496062993</v>
      </c>
      <c r="P330" s="93">
        <f t="shared" ca="1" si="151"/>
        <v>4.0833869239013936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1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6">
        <f t="shared" ref="L331:N331" ca="1" si="153">L332+L333</f>
        <v>166000</v>
      </c>
      <c r="M331" s="496">
        <f t="shared" ca="1" si="153"/>
        <v>83000</v>
      </c>
      <c r="N331" s="496">
        <f t="shared" ca="1" si="153"/>
        <v>38098</v>
      </c>
      <c r="O331" s="496">
        <f t="shared" ca="1" si="150"/>
        <v>22.950602409638556</v>
      </c>
      <c r="P331" s="496">
        <f t="shared" ca="1" si="151"/>
        <v>45.901204819277112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2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2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IFERROR(__xludf.DUMMYFUNCTION("IMPORTRANGE(""https://docs.google.com/spreadsheets/d/1MeEWN-I1oV_STSDYn1IFDPWt_1FKiwhDph83XaGc0o0/edit?usp=sharing"",""งบพรบ!EM56"")"),166000)</f>
        <v>166000</v>
      </c>
      <c r="M333" s="93">
        <f ca="1">IFERROR(__xludf.DUMMYFUNCTION("IMPORTRANGE(""https://docs.google.com/spreadsheets/d/1MeEWN-I1oV_STSDYn1IFDPWt_1FKiwhDph83XaGc0o0/edit?usp=sharing"",""งบพรบ!ER56"")"),83000)</f>
        <v>83000</v>
      </c>
      <c r="N333" s="93">
        <f ca="1">IFERROR(__xludf.DUMMYFUNCTION("IMPORTRANGE(""https://docs.google.com/spreadsheets/d/1MeEWN-I1oV_STSDYn1IFDPWt_1FKiwhDph83XaGc0o0/edit?usp=sharing"",""งบพรบ!ET56"")"),38098)</f>
        <v>38098</v>
      </c>
      <c r="O333" s="93">
        <f t="shared" ca="1" si="150"/>
        <v>22.950602409638556</v>
      </c>
      <c r="P333" s="93">
        <f t="shared" ca="1" si="151"/>
        <v>45.901204819277112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1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6">
        <f t="shared" ref="L334:N334" ca="1" si="154">L335+L336</f>
        <v>850000</v>
      </c>
      <c r="M334" s="496">
        <f t="shared" ca="1" si="154"/>
        <v>850000</v>
      </c>
      <c r="N334" s="496">
        <f t="shared" ca="1" si="154"/>
        <v>0</v>
      </c>
      <c r="O334" s="496">
        <f t="shared" ca="1" si="150"/>
        <v>0</v>
      </c>
      <c r="P334" s="496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2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2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IFERROR(__xludf.DUMMYFUNCTION("IMPORTRANGE(""https://docs.google.com/spreadsheets/d/1MeEWN-I1oV_STSDYn1IFDPWt_1FKiwhDph83XaGc0o0/edit?usp=sharing"",""งบพรบ!EP56"")"),850000)</f>
        <v>850000</v>
      </c>
      <c r="M336" s="93">
        <f ca="1">IFERROR(__xludf.DUMMYFUNCTION("IMPORTRANGE(""https://docs.google.com/spreadsheets/d/1MeEWN-I1oV_STSDYn1IFDPWt_1FKiwhDph83XaGc0o0/edit?usp=sharing"",""งบพรบ!ES56"")"),850000)</f>
        <v>850000</v>
      </c>
      <c r="N336" s="93">
        <f ca="1">IFERROR(__xludf.DUMMYFUNCTION("IMPORTRANGE(""https://docs.google.com/spreadsheets/d/1MeEWN-I1oV_STSDYn1IFDPWt_1FKiwhDph83XaGc0o0/edit?usp=sharing"",""งบพรบ!EU56"")"),0)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23" t="s">
        <v>38</v>
      </c>
      <c r="E337" s="173"/>
      <c r="F337" s="173"/>
      <c r="G337" s="174"/>
      <c r="H337" s="753"/>
      <c r="I337" s="184"/>
      <c r="J337" s="269"/>
      <c r="K337" s="496"/>
      <c r="L337" s="496"/>
      <c r="M337" s="496"/>
      <c r="N337" s="496"/>
      <c r="O337" s="163"/>
      <c r="P337" s="163"/>
    </row>
    <row r="338" spans="1:26" ht="18.75">
      <c r="A338" s="284"/>
      <c r="B338" s="33"/>
      <c r="C338" s="280"/>
      <c r="D338" s="446" t="s">
        <v>150</v>
      </c>
      <c r="E338" s="171"/>
      <c r="F338" s="33"/>
      <c r="G338" s="35"/>
      <c r="H338" s="276" t="s">
        <v>35</v>
      </c>
      <c r="I338" s="269">
        <f ca="1">IFERROR(__xludf.DUMMYFUNCTION("IMPORTRANGE(""https://docs.google.com/spreadsheets/d/1QqKyyYR6Q21VydFLVH3TRQUabQu_ym0Zz7PgGX0-kHA/edit?usp=sharing"",""แผน!EG56"")"),1400)</f>
        <v>1400</v>
      </c>
      <c r="J338" s="269">
        <f ca="1">IFERROR(__xludf.DUMMYFUNCTION("IMPORTRANGE(""https://docs.google.com/spreadsheets/d/1kVcqe37tkHyjCSG3S0O1AXqVkqjo8mSIZil3BcpIysc/edit?usp=sharing"",""ศูนย์!D56"")"),542)</f>
        <v>542</v>
      </c>
      <c r="K338" s="496">
        <f ca="1">IF(I338&gt;0,J338*100/I338,0)</f>
        <v>38.714285714285715</v>
      </c>
      <c r="L338" s="496"/>
      <c r="M338" s="496"/>
      <c r="N338" s="496"/>
      <c r="O338" s="496"/>
      <c r="P338" s="496"/>
    </row>
    <row r="339" spans="1:26" ht="18.75">
      <c r="A339" s="284"/>
      <c r="B339" s="33"/>
      <c r="C339" s="280"/>
      <c r="D339" s="446" t="s">
        <v>151</v>
      </c>
      <c r="E339" s="171"/>
      <c r="F339" s="33"/>
      <c r="G339" s="35"/>
      <c r="H339" s="276"/>
      <c r="I339" s="269"/>
      <c r="J339" s="269"/>
      <c r="K339" s="496"/>
      <c r="L339" s="496"/>
      <c r="M339" s="496"/>
      <c r="N339" s="496"/>
      <c r="O339" s="496"/>
      <c r="P339" s="496"/>
    </row>
    <row r="340" spans="1:26" ht="18.75">
      <c r="A340" s="284"/>
      <c r="B340" s="33"/>
      <c r="C340" s="280"/>
      <c r="D340" s="178"/>
      <c r="E340" s="446" t="s">
        <v>152</v>
      </c>
      <c r="F340" s="33"/>
      <c r="G340" s="35"/>
      <c r="H340" s="276" t="s">
        <v>153</v>
      </c>
      <c r="I340" s="269">
        <f ca="1">IFERROR(__xludf.DUMMYFUNCTION("IMPORTRANGE(""https://docs.google.com/spreadsheets/d/1QqKyyYR6Q21VydFLVH3TRQUabQu_ym0Zz7PgGX0-kHA/edit?usp=sharing"",""แผน!EH56"")"),4)</f>
        <v>4</v>
      </c>
      <c r="J340" s="269">
        <f ca="1">IFERROR(__xludf.DUMMYFUNCTION("IMPORTRANGE(""https://docs.google.com/spreadsheets/d/1kVcqe37tkHyjCSG3S0O1AXqVkqjo8mSIZil3BcpIysc/edit?usp=sharing"",""ศูนย์!E56"")"),0)</f>
        <v>0</v>
      </c>
      <c r="K340" s="496">
        <f ca="1">IF(I340&gt;0,J340*100/I340,0)</f>
        <v>0</v>
      </c>
      <c r="L340" s="496"/>
      <c r="M340" s="496"/>
      <c r="N340" s="496"/>
      <c r="O340" s="496"/>
      <c r="P340" s="496"/>
    </row>
    <row r="341" spans="1:26" ht="18.75">
      <c r="A341" s="284"/>
      <c r="B341" s="33"/>
      <c r="C341" s="280"/>
      <c r="D341" s="178"/>
      <c r="E341" s="446" t="s">
        <v>154</v>
      </c>
      <c r="F341" s="33"/>
      <c r="G341" s="35"/>
      <c r="H341" s="276" t="s">
        <v>35</v>
      </c>
      <c r="I341" s="269"/>
      <c r="J341" s="269">
        <f ca="1">IFERROR(__xludf.DUMMYFUNCTION("IMPORTRANGE(""https://docs.google.com/spreadsheets/d/1kVcqe37tkHyjCSG3S0O1AXqVkqjo8mSIZil3BcpIysc/edit?usp=sharing"",""ศูนย์!F56"")"),0)</f>
        <v>0</v>
      </c>
      <c r="K341" s="496"/>
      <c r="L341" s="496"/>
      <c r="M341" s="496"/>
      <c r="N341" s="496"/>
      <c r="O341" s="496"/>
      <c r="P341" s="496"/>
    </row>
    <row r="342" spans="1:26" ht="18.75">
      <c r="A342" s="284"/>
      <c r="B342" s="33"/>
      <c r="C342" s="280"/>
      <c r="D342" s="446" t="s">
        <v>155</v>
      </c>
      <c r="E342" s="178"/>
      <c r="F342" s="178"/>
      <c r="G342" s="35"/>
      <c r="H342" s="276" t="s">
        <v>35</v>
      </c>
      <c r="I342" s="269"/>
      <c r="J342" s="269">
        <f ca="1">IFERROR(__xludf.DUMMYFUNCTION("IMPORTRANGE(""https://docs.google.com/spreadsheets/d/1kVcqe37tkHyjCSG3S0O1AXqVkqjo8mSIZil3BcpIysc/edit?usp=sharing"",""ศูนย์!G56"")"),0)</f>
        <v>0</v>
      </c>
      <c r="K342" s="496"/>
      <c r="L342" s="496"/>
      <c r="M342" s="496"/>
      <c r="N342" s="496"/>
      <c r="O342" s="496"/>
      <c r="P342" s="496"/>
    </row>
    <row r="343" spans="1:26" ht="18.75">
      <c r="A343" s="284"/>
      <c r="B343" s="33"/>
      <c r="C343" s="280"/>
      <c r="D343" s="446" t="s">
        <v>156</v>
      </c>
      <c r="E343" s="178"/>
      <c r="F343" s="178"/>
      <c r="G343" s="35"/>
      <c r="H343" s="276" t="s">
        <v>35</v>
      </c>
      <c r="I343" s="269"/>
      <c r="J343" s="269">
        <f ca="1">IFERROR(__xludf.DUMMYFUNCTION("IMPORTRANGE(""https://docs.google.com/spreadsheets/d/1kVcqe37tkHyjCSG3S0O1AXqVkqjo8mSIZil3BcpIysc/edit?usp=sharing"",""ศูนย์!H56"")"),0)</f>
        <v>0</v>
      </c>
      <c r="K343" s="496"/>
      <c r="L343" s="496"/>
      <c r="M343" s="496"/>
      <c r="N343" s="496"/>
      <c r="O343" s="496"/>
      <c r="P343" s="496"/>
    </row>
    <row r="344" spans="1:26" ht="19.5">
      <c r="A344" s="438"/>
      <c r="B344" s="439" t="s">
        <v>157</v>
      </c>
      <c r="C344" s="451"/>
      <c r="D344" s="440"/>
      <c r="E344" s="440"/>
      <c r="F344" s="440"/>
      <c r="G344" s="441"/>
      <c r="H344" s="442"/>
      <c r="I344" s="452"/>
      <c r="J344" s="452"/>
      <c r="K344" s="445"/>
      <c r="L344" s="445"/>
      <c r="M344" s="445"/>
      <c r="N344" s="445"/>
      <c r="O344" s="445"/>
      <c r="P344" s="445"/>
    </row>
    <row r="345" spans="1:26" ht="19.5">
      <c r="A345" s="147"/>
      <c r="B345" s="148"/>
      <c r="C345" s="149" t="s">
        <v>16</v>
      </c>
      <c r="D345" s="822" t="s">
        <v>17</v>
      </c>
      <c r="E345" s="148"/>
      <c r="F345" s="148"/>
      <c r="G345" s="151"/>
      <c r="H345" s="152" t="s">
        <v>12</v>
      </c>
      <c r="I345" s="419"/>
      <c r="J345" s="419"/>
      <c r="K345" s="154"/>
      <c r="L345" s="155">
        <f t="shared" ref="L345:N345" ca="1" si="155">L346+L347</f>
        <v>867850</v>
      </c>
      <c r="M345" s="155">
        <f t="shared" ca="1" si="155"/>
        <v>456430</v>
      </c>
      <c r="N345" s="155">
        <f t="shared" ca="1" si="155"/>
        <v>285384.40000000002</v>
      </c>
      <c r="O345" s="155">
        <f t="shared" ref="O345:O353" ca="1" si="156">IF(L345&gt;0,N345*100/L345,0)</f>
        <v>32.88406982773521</v>
      </c>
      <c r="P345" s="155">
        <f t="shared" ref="P345:P353" ca="1" si="157">IF(M345&gt;0,N345*100/M345,0)</f>
        <v>62.525337948864021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2" t="s">
        <v>18</v>
      </c>
      <c r="F346" s="40"/>
      <c r="G346" s="157"/>
      <c r="H346" s="158" t="s">
        <v>12</v>
      </c>
      <c r="I346" s="610"/>
      <c r="J346" s="610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2" t="s">
        <v>19</v>
      </c>
      <c r="F347" s="40"/>
      <c r="G347" s="157"/>
      <c r="H347" s="158" t="s">
        <v>12</v>
      </c>
      <c r="I347" s="610"/>
      <c r="J347" s="610"/>
      <c r="K347" s="93"/>
      <c r="L347" s="93">
        <f t="shared" ca="1" si="158"/>
        <v>867850</v>
      </c>
      <c r="M347" s="93">
        <f t="shared" ca="1" si="158"/>
        <v>456430</v>
      </c>
      <c r="N347" s="93">
        <f t="shared" ca="1" si="158"/>
        <v>285384.40000000002</v>
      </c>
      <c r="O347" s="93">
        <f t="shared" ca="1" si="156"/>
        <v>32.88406982773521</v>
      </c>
      <c r="P347" s="93">
        <f t="shared" ca="1" si="157"/>
        <v>62.525337948864021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1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6">
        <f t="shared" ref="L348:N348" ca="1" si="159">L349+L350</f>
        <v>822850</v>
      </c>
      <c r="M348" s="496">
        <f t="shared" ca="1" si="159"/>
        <v>411430</v>
      </c>
      <c r="N348" s="496">
        <f t="shared" ca="1" si="159"/>
        <v>240384.4</v>
      </c>
      <c r="O348" s="496">
        <f t="shared" ca="1" si="156"/>
        <v>29.213635535030686</v>
      </c>
      <c r="P348" s="496">
        <f t="shared" ca="1" si="157"/>
        <v>58.426561018885351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2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2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IFERROR(__xludf.DUMMYFUNCTION("IMPORTRANGE(""https://docs.google.com/spreadsheets/d/1MeEWN-I1oV_STSDYn1IFDPWt_1FKiwhDph83XaGc0o0/edit?usp=sharing"",""งบพรบ!EW56"")"),822850)</f>
        <v>822850</v>
      </c>
      <c r="M350" s="93">
        <f ca="1">IFERROR(__xludf.DUMMYFUNCTION("IMPORTRANGE(""https://docs.google.com/spreadsheets/d/1MeEWN-I1oV_STSDYn1IFDPWt_1FKiwhDph83XaGc0o0/edit?usp=sharing"",""งบพรบ!FB56"")"),411430)</f>
        <v>411430</v>
      </c>
      <c r="N350" s="93">
        <f ca="1">IFERROR(__xludf.DUMMYFUNCTION("IMPORTRANGE(""https://docs.google.com/spreadsheets/d/1MeEWN-I1oV_STSDYn1IFDPWt_1FKiwhDph83XaGc0o0/edit?usp=sharing"",""งบพรบ!FD56"")"),240384.4)</f>
        <v>240384.4</v>
      </c>
      <c r="O350" s="93">
        <f t="shared" ca="1" si="156"/>
        <v>29.213635535030686</v>
      </c>
      <c r="P350" s="93">
        <f t="shared" ca="1" si="157"/>
        <v>58.426561018885351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1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6">
        <f t="shared" ref="L351:N351" ca="1" si="160">L352+L353</f>
        <v>45000</v>
      </c>
      <c r="M351" s="496">
        <f t="shared" ca="1" si="160"/>
        <v>45000</v>
      </c>
      <c r="N351" s="496">
        <f t="shared" ca="1" si="160"/>
        <v>45000</v>
      </c>
      <c r="O351" s="496">
        <f t="shared" ca="1" si="156"/>
        <v>100</v>
      </c>
      <c r="P351" s="496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2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2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IFERROR(__xludf.DUMMYFUNCTION("IMPORTRANGE(""https://docs.google.com/spreadsheets/d/1MeEWN-I1oV_STSDYn1IFDPWt_1FKiwhDph83XaGc0o0/edit?usp=sharing"",""งบพรบ!EZ56"")"),45000)</f>
        <v>45000</v>
      </c>
      <c r="M353" s="93">
        <f ca="1">IFERROR(__xludf.DUMMYFUNCTION("IMPORTRANGE(""https://docs.google.com/spreadsheets/d/1MeEWN-I1oV_STSDYn1IFDPWt_1FKiwhDph83XaGc0o0/edit?usp=sharing"",""งบพรบ!FC56"")"),45000)</f>
        <v>45000</v>
      </c>
      <c r="N353" s="93">
        <f ca="1">IFERROR(__xludf.DUMMYFUNCTION("IMPORTRANGE(""https://docs.google.com/spreadsheets/d/1MeEWN-I1oV_STSDYn1IFDPWt_1FKiwhDph83XaGc0o0/edit?usp=sharing"",""งบพรบ!FE56"")"),45000)</f>
        <v>45000</v>
      </c>
      <c r="O353" s="93">
        <f t="shared" ca="1" si="156"/>
        <v>100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5"/>
      <c r="B354" s="263"/>
      <c r="C354" s="256"/>
      <c r="D354" s="832" t="s">
        <v>158</v>
      </c>
      <c r="E354" s="256"/>
      <c r="F354" s="256"/>
      <c r="G354" s="258"/>
      <c r="H354" s="454"/>
      <c r="I354" s="260"/>
      <c r="J354" s="260"/>
      <c r="K354" s="261"/>
      <c r="L354" s="261"/>
      <c r="M354" s="261"/>
      <c r="N354" s="261"/>
      <c r="O354" s="261"/>
      <c r="P354" s="261"/>
    </row>
    <row r="355" spans="1:26" ht="19.5">
      <c r="A355" s="455"/>
      <c r="B355" s="456"/>
      <c r="C355" s="457"/>
      <c r="D355" s="833" t="s">
        <v>159</v>
      </c>
      <c r="E355" s="459"/>
      <c r="F355" s="459"/>
      <c r="G355" s="460"/>
      <c r="H355" s="461" t="s">
        <v>35</v>
      </c>
      <c r="I355" s="463">
        <f ca="1">IFERROR(__xludf.DUMMYFUNCTION("IMPORTRANGE(""https://docs.google.com/spreadsheets/d/1QqKyyYR6Q21VydFLVH3TRQUabQu_ym0Zz7PgGX0-kHA/edit?usp=sharing"",""แผน!EP56"")"),270)</f>
        <v>270</v>
      </c>
      <c r="J355" s="463">
        <f ca="1">J362</f>
        <v>11</v>
      </c>
      <c r="K355" s="464">
        <f ca="1">IF(I355&gt;0,J355*100/I355,0)</f>
        <v>4.0740740740740744</v>
      </c>
      <c r="L355" s="465"/>
      <c r="M355" s="465"/>
      <c r="N355" s="465"/>
      <c r="O355" s="465"/>
      <c r="P355" s="465"/>
    </row>
    <row r="356" spans="1:26" ht="19.5">
      <c r="A356" s="455"/>
      <c r="B356" s="456"/>
      <c r="C356" s="457"/>
      <c r="D356" s="466" t="s">
        <v>160</v>
      </c>
      <c r="E356" s="459"/>
      <c r="F356" s="459"/>
      <c r="G356" s="460"/>
      <c r="H356" s="467"/>
      <c r="I356" s="468"/>
      <c r="J356" s="468"/>
      <c r="K356" s="465"/>
      <c r="L356" s="465"/>
      <c r="M356" s="465"/>
      <c r="N356" s="465"/>
      <c r="O356" s="465"/>
      <c r="P356" s="465"/>
    </row>
    <row r="357" spans="1:26" ht="19.5">
      <c r="A357" s="170"/>
      <c r="B357" s="171"/>
      <c r="C357" s="164" t="s">
        <v>16</v>
      </c>
      <c r="D357" s="823" t="s">
        <v>38</v>
      </c>
      <c r="E357" s="173"/>
      <c r="F357" s="173"/>
      <c r="G357" s="174"/>
      <c r="H357" s="753"/>
      <c r="I357" s="269"/>
      <c r="J357" s="269"/>
      <c r="K357" s="496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69">
        <v>0</v>
      </c>
      <c r="J358" s="269">
        <f ca="1">IFERROR(__xludf.DUMMYFUNCTION("IMPORTRANGE(""https://docs.google.com/spreadsheets/d/1XWAQStnk-4SwqDmLtmXYiTMKHgktTP8We1SCoS47DrQ/edit?usp=sharing"",""จัดที่ดิน!W56"")"),91)</f>
        <v>91</v>
      </c>
      <c r="K358" s="496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69">
        <f ca="1">IFERROR(__xludf.DUMMYFUNCTION("IMPORTRANGE(""https://docs.google.com/spreadsheets/d/1QqKyyYR6Q21VydFLVH3TRQUabQu_ym0Zz7PgGX0-kHA/edit?usp=sharing"",""แผน!EO56"")"),3000)</f>
        <v>3000</v>
      </c>
      <c r="J359" s="269">
        <f ca="1">IFERROR(__xludf.DUMMYFUNCTION("IMPORTRANGE(""https://docs.google.com/spreadsheets/d/1XWAQStnk-4SwqDmLtmXYiTMKHgktTP8We1SCoS47DrQ/edit?usp=sharing"",""จัดที่ดิน!X56"")"),909.48)</f>
        <v>909.48</v>
      </c>
      <c r="K359" s="496">
        <f t="shared" ca="1" si="161"/>
        <v>30.315999999999999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755" t="s">
        <v>35</v>
      </c>
      <c r="I360" s="269">
        <f ca="1">IFERROR(__xludf.DUMMYFUNCTION("IMPORTRANGE(""https://docs.google.com/spreadsheets/d/1QqKyyYR6Q21VydFLVH3TRQUabQu_ym0Zz7PgGX0-kHA/edit?usp=sharing"",""แผน!EP56"")"),270)</f>
        <v>270</v>
      </c>
      <c r="J360" s="269">
        <f ca="1">IFERROR(__xludf.DUMMYFUNCTION("IMPORTRANGE(""https://docs.google.com/spreadsheets/d/1XWAQStnk-4SwqDmLtmXYiTMKHgktTP8We1SCoS47DrQ/edit?usp=sharing"",""จัดที่ดิน!Y56"")"),14)</f>
        <v>14</v>
      </c>
      <c r="K360" s="496">
        <f t="shared" ca="1" si="161"/>
        <v>5.1851851851851851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755" t="s">
        <v>46</v>
      </c>
      <c r="I361" s="269">
        <v>0</v>
      </c>
      <c r="J361" s="269">
        <f ca="1">IFERROR(__xludf.DUMMYFUNCTION("IMPORTRANGE(""https://docs.google.com/spreadsheets/d/1XWAQStnk-4SwqDmLtmXYiTMKHgktTP8We1SCoS47DrQ/edit?usp=sharing"",""จัดที่ดิน!Z56"")"),342.99)</f>
        <v>342.99</v>
      </c>
      <c r="K361" s="496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755" t="s">
        <v>35</v>
      </c>
      <c r="I362" s="269">
        <f ca="1">IFERROR(__xludf.DUMMYFUNCTION("IMPORTRANGE(""https://docs.google.com/spreadsheets/d/1QqKyyYR6Q21VydFLVH3TRQUabQu_ym0Zz7PgGX0-kHA/edit?usp=sharing"",""แผน!EP56"")"),270)</f>
        <v>270</v>
      </c>
      <c r="J362" s="269">
        <f ca="1">IFERROR(__xludf.DUMMYFUNCTION("IMPORTRANGE(""https://docs.google.com/spreadsheets/d/1XWAQStnk-4SwqDmLtmXYiTMKHgktTP8We1SCoS47DrQ/edit?usp=sharing"",""จัดที่ดิน!AA56"")"),11)</f>
        <v>11</v>
      </c>
      <c r="K362" s="496">
        <f t="shared" ca="1" si="161"/>
        <v>4.0740740740740744</v>
      </c>
      <c r="L362" s="163"/>
      <c r="M362" s="163"/>
      <c r="N362" s="163"/>
      <c r="O362" s="163"/>
      <c r="P362" s="163"/>
    </row>
    <row r="363" spans="1:26" ht="18.75">
      <c r="A363" s="469" t="s">
        <v>164</v>
      </c>
      <c r="B363" s="178"/>
      <c r="C363" s="171"/>
      <c r="D363" s="178"/>
      <c r="E363" s="446"/>
      <c r="F363" s="178"/>
      <c r="G363" s="179"/>
      <c r="H363" s="755" t="s">
        <v>46</v>
      </c>
      <c r="I363" s="269">
        <v>0</v>
      </c>
      <c r="J363" s="269">
        <f ca="1">IFERROR(__xludf.DUMMYFUNCTION("IMPORTRANGE(""https://docs.google.com/spreadsheets/d/1XWAQStnk-4SwqDmLtmXYiTMKHgktTP8We1SCoS47DrQ/edit?usp=sharing"",""จัดที่ดิน!AB56"")"),207.13)</f>
        <v>207.13</v>
      </c>
      <c r="K363" s="496">
        <f t="shared" si="161"/>
        <v>0</v>
      </c>
      <c r="L363" s="163"/>
      <c r="M363" s="163"/>
      <c r="N363" s="163"/>
      <c r="O363" s="163"/>
      <c r="P363" s="163"/>
    </row>
    <row r="364" spans="1:26" ht="19.5">
      <c r="A364" s="470"/>
      <c r="B364" s="471"/>
      <c r="C364" s="472"/>
      <c r="D364" s="473" t="s">
        <v>165</v>
      </c>
      <c r="E364" s="474"/>
      <c r="F364" s="474"/>
      <c r="G364" s="475"/>
      <c r="H364" s="476" t="s">
        <v>35</v>
      </c>
      <c r="I364" s="477">
        <f t="shared" ref="I364:J364" ca="1" si="162">I365+I374</f>
        <v>420</v>
      </c>
      <c r="J364" s="477">
        <f t="shared" ca="1" si="162"/>
        <v>66</v>
      </c>
      <c r="K364" s="478">
        <f t="shared" ca="1" si="161"/>
        <v>15.714285714285714</v>
      </c>
      <c r="L364" s="479"/>
      <c r="M364" s="479"/>
      <c r="N364" s="479"/>
      <c r="O364" s="479"/>
      <c r="P364" s="479"/>
      <c r="Q364" s="480"/>
      <c r="R364" s="480"/>
      <c r="S364" s="480"/>
      <c r="T364" s="480"/>
      <c r="U364" s="480"/>
      <c r="V364" s="480"/>
      <c r="W364" s="480"/>
      <c r="X364" s="480"/>
      <c r="Y364" s="480"/>
      <c r="Z364" s="480"/>
    </row>
    <row r="365" spans="1:26" ht="19.5">
      <c r="A365" s="481"/>
      <c r="B365" s="482"/>
      <c r="C365" s="484"/>
      <c r="D365" s="484" t="s">
        <v>166</v>
      </c>
      <c r="E365" s="485"/>
      <c r="F365" s="485"/>
      <c r="G365" s="486"/>
      <c r="H365" s="487" t="s">
        <v>35</v>
      </c>
      <c r="I365" s="489">
        <f ca="1">IFERROR(__xludf.DUMMYFUNCTION("IMPORTRANGE(""https://docs.google.com/spreadsheets/d/1QqKyyYR6Q21VydFLVH3TRQUabQu_ym0Zz7PgGX0-kHA/edit?usp=sharing"",""แผน!EJ56"")"),200)</f>
        <v>200</v>
      </c>
      <c r="J365" s="489">
        <f ca="1">J372</f>
        <v>6</v>
      </c>
      <c r="K365" s="490">
        <f t="shared" ca="1" si="161"/>
        <v>3</v>
      </c>
      <c r="L365" s="491"/>
      <c r="M365" s="491"/>
      <c r="N365" s="491"/>
      <c r="O365" s="491"/>
      <c r="P365" s="491"/>
      <c r="Q365" s="480"/>
      <c r="R365" s="480"/>
      <c r="S365" s="480"/>
      <c r="T365" s="480"/>
      <c r="U365" s="480"/>
      <c r="V365" s="480"/>
      <c r="W365" s="480"/>
      <c r="X365" s="480"/>
      <c r="Y365" s="480"/>
      <c r="Z365" s="480"/>
    </row>
    <row r="366" spans="1:26" ht="19.5">
      <c r="A366" s="481"/>
      <c r="B366" s="482"/>
      <c r="C366" s="484"/>
      <c r="D366" s="492" t="s">
        <v>167</v>
      </c>
      <c r="E366" s="485"/>
      <c r="F366" s="485"/>
      <c r="G366" s="486"/>
      <c r="H366" s="493"/>
      <c r="I366" s="494"/>
      <c r="J366" s="494"/>
      <c r="K366" s="491"/>
      <c r="L366" s="491"/>
      <c r="M366" s="491"/>
      <c r="N366" s="491"/>
      <c r="O366" s="491"/>
      <c r="P366" s="491"/>
      <c r="Q366" s="480"/>
      <c r="R366" s="480"/>
      <c r="S366" s="480"/>
      <c r="T366" s="480"/>
      <c r="U366" s="480"/>
      <c r="V366" s="480"/>
      <c r="W366" s="480"/>
      <c r="X366" s="480"/>
      <c r="Y366" s="480"/>
      <c r="Z366" s="480"/>
    </row>
    <row r="367" spans="1:26" ht="19.5">
      <c r="A367" s="170"/>
      <c r="B367" s="171"/>
      <c r="C367" s="164" t="s">
        <v>16</v>
      </c>
      <c r="D367" s="823" t="s">
        <v>38</v>
      </c>
      <c r="E367" s="173"/>
      <c r="F367" s="173"/>
      <c r="G367" s="174"/>
      <c r="H367" s="753"/>
      <c r="I367" s="269"/>
      <c r="J367" s="269"/>
      <c r="K367" s="496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69">
        <v>0</v>
      </c>
      <c r="J368" s="269">
        <f ca="1">IFERROR(__xludf.DUMMYFUNCTION("IMPORTRANGE(""https://docs.google.com/spreadsheets/d/1XWAQStnk-4SwqDmLtmXYiTMKHgktTP8We1SCoS47DrQ/edit?usp=sharing"",""จัดที่ดิน!E56"")"),85)</f>
        <v>85</v>
      </c>
      <c r="K368" s="496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69">
        <f ca="1">IFERROR(__xludf.DUMMYFUNCTION("IMPORTRANGE(""https://docs.google.com/spreadsheets/d/1QqKyyYR6Q21VydFLVH3TRQUabQu_ym0Zz7PgGX0-kHA/edit?usp=sharing"",""แผน!EI56"")"),2000)</f>
        <v>2000</v>
      </c>
      <c r="J369" s="269">
        <f ca="1">IFERROR(__xludf.DUMMYFUNCTION("IMPORTRANGE(""https://docs.google.com/spreadsheets/d/1XWAQStnk-4SwqDmLtmXYiTMKHgktTP8We1SCoS47DrQ/edit?usp=sharing"",""จัดที่ดิน!F56"")"),803.19)</f>
        <v>803.19</v>
      </c>
      <c r="K369" s="496">
        <f t="shared" ca="1" si="163"/>
        <v>40.159500000000001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55" t="s">
        <v>35</v>
      </c>
      <c r="I370" s="269">
        <f ca="1">IFERROR(__xludf.DUMMYFUNCTION("IMPORTRANGE(""https://docs.google.com/spreadsheets/d/1QqKyyYR6Q21VydFLVH3TRQUabQu_ym0Zz7PgGX0-kHA/edit?usp=sharing"",""แผน!EJ56"")"),200)</f>
        <v>200</v>
      </c>
      <c r="J370" s="269">
        <f ca="1">IFERROR(__xludf.DUMMYFUNCTION("IMPORTRANGE(""https://docs.google.com/spreadsheets/d/1XWAQStnk-4SwqDmLtmXYiTMKHgktTP8We1SCoS47DrQ/edit?usp=sharing"",""จัดที่ดิน!G56"")"),8)</f>
        <v>8</v>
      </c>
      <c r="K370" s="496">
        <f t="shared" ca="1" si="163"/>
        <v>4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55" t="s">
        <v>46</v>
      </c>
      <c r="I371" s="269">
        <v>0</v>
      </c>
      <c r="J371" s="269">
        <f ca="1">IFERROR(__xludf.DUMMYFUNCTION("IMPORTRANGE(""https://docs.google.com/spreadsheets/d/1XWAQStnk-4SwqDmLtmXYiTMKHgktTP8We1SCoS47DrQ/edit?usp=sharing"",""จัดที่ดิน!H56"")"),236.7)</f>
        <v>236.7</v>
      </c>
      <c r="K371" s="496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55" t="s">
        <v>35</v>
      </c>
      <c r="I372" s="269">
        <f ca="1">IFERROR(__xludf.DUMMYFUNCTION("IMPORTRANGE(""https://docs.google.com/spreadsheets/d/1QqKyyYR6Q21VydFLVH3TRQUabQu_ym0Zz7PgGX0-kHA/edit?usp=sharing"",""แผน!EJ56"")"),200)</f>
        <v>200</v>
      </c>
      <c r="J372" s="269">
        <f ca="1">IFERROR(__xludf.DUMMYFUNCTION("IMPORTRANGE(""https://docs.google.com/spreadsheets/d/1XWAQStnk-4SwqDmLtmXYiTMKHgktTP8We1SCoS47DrQ/edit?usp=sharing"",""จัดที่ดิน!I56"")"),6)</f>
        <v>6</v>
      </c>
      <c r="K372" s="496">
        <f t="shared" ca="1" si="163"/>
        <v>3</v>
      </c>
      <c r="L372" s="163"/>
      <c r="M372" s="163"/>
      <c r="N372" s="163"/>
      <c r="O372" s="163"/>
      <c r="P372" s="163"/>
    </row>
    <row r="373" spans="1:26" ht="18.75">
      <c r="A373" s="469" t="s">
        <v>164</v>
      </c>
      <c r="B373" s="178"/>
      <c r="C373" s="171"/>
      <c r="D373" s="178"/>
      <c r="E373" s="446"/>
      <c r="F373" s="178"/>
      <c r="G373" s="179"/>
      <c r="H373" s="755" t="s">
        <v>46</v>
      </c>
      <c r="I373" s="269">
        <v>0</v>
      </c>
      <c r="J373" s="269">
        <f ca="1">IFERROR(__xludf.DUMMYFUNCTION("IMPORTRANGE(""https://docs.google.com/spreadsheets/d/1XWAQStnk-4SwqDmLtmXYiTMKHgktTP8We1SCoS47DrQ/edit?usp=sharing"",""จัดที่ดิน!J56"")"),110.23)</f>
        <v>110.23</v>
      </c>
      <c r="K373" s="496">
        <f t="shared" si="163"/>
        <v>0</v>
      </c>
      <c r="L373" s="163"/>
      <c r="M373" s="163"/>
      <c r="N373" s="163"/>
      <c r="O373" s="163"/>
      <c r="P373" s="163"/>
    </row>
    <row r="374" spans="1:26" ht="19.5">
      <c r="A374" s="481"/>
      <c r="B374" s="482"/>
      <c r="C374" s="484"/>
      <c r="D374" s="484" t="s">
        <v>168</v>
      </c>
      <c r="E374" s="485"/>
      <c r="F374" s="485"/>
      <c r="G374" s="486"/>
      <c r="H374" s="487" t="s">
        <v>35</v>
      </c>
      <c r="I374" s="495">
        <f ca="1">IFERROR(__xludf.DUMMYFUNCTION("IMPORTRANGE(""https://docs.google.com/spreadsheets/d/1QqKyyYR6Q21VydFLVH3TRQUabQu_ym0Zz7PgGX0-kHA/edit?usp=sharing"",""แผน!EU56"")"),220)</f>
        <v>220</v>
      </c>
      <c r="J374" s="489">
        <f ca="1">J381</f>
        <v>60</v>
      </c>
      <c r="K374" s="490">
        <f t="shared" ca="1" si="163"/>
        <v>27.272727272727273</v>
      </c>
      <c r="L374" s="491"/>
      <c r="M374" s="491"/>
      <c r="N374" s="491"/>
      <c r="O374" s="491"/>
      <c r="P374" s="491"/>
      <c r="Q374" s="480"/>
      <c r="R374" s="480"/>
      <c r="S374" s="480"/>
      <c r="T374" s="480"/>
      <c r="U374" s="480"/>
      <c r="V374" s="480"/>
      <c r="W374" s="480"/>
      <c r="X374" s="480"/>
      <c r="Y374" s="480"/>
      <c r="Z374" s="480"/>
    </row>
    <row r="375" spans="1:26" ht="19.5">
      <c r="A375" s="481"/>
      <c r="B375" s="482"/>
      <c r="C375" s="484"/>
      <c r="D375" s="492" t="s">
        <v>169</v>
      </c>
      <c r="E375" s="485"/>
      <c r="F375" s="485"/>
      <c r="G375" s="486"/>
      <c r="H375" s="493"/>
      <c r="I375" s="494"/>
      <c r="J375" s="494"/>
      <c r="K375" s="491"/>
      <c r="L375" s="491"/>
      <c r="M375" s="491"/>
      <c r="N375" s="491"/>
      <c r="O375" s="491"/>
      <c r="P375" s="491"/>
      <c r="Q375" s="480"/>
      <c r="R375" s="480"/>
      <c r="S375" s="480"/>
      <c r="T375" s="480"/>
      <c r="U375" s="480"/>
      <c r="V375" s="480"/>
      <c r="W375" s="480"/>
      <c r="X375" s="480"/>
      <c r="Y375" s="480"/>
      <c r="Z375" s="480"/>
    </row>
    <row r="376" spans="1:26" ht="19.5">
      <c r="A376" s="170"/>
      <c r="B376" s="171"/>
      <c r="C376" s="164" t="s">
        <v>16</v>
      </c>
      <c r="D376" s="823" t="s">
        <v>38</v>
      </c>
      <c r="E376" s="173"/>
      <c r="F376" s="173"/>
      <c r="G376" s="174"/>
      <c r="H376" s="753"/>
      <c r="I376" s="269"/>
      <c r="J376" s="269"/>
      <c r="K376" s="496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69">
        <v>0</v>
      </c>
      <c r="J377" s="269">
        <f ca="1">IFERROR(__xludf.DUMMYFUNCTION("IMPORTRANGE(""https://docs.google.com/spreadsheets/d/1XWAQStnk-4SwqDmLtmXYiTMKHgktTP8We1SCoS47DrQ/edit?usp=sharing"",""จัดที่ดิน!AH56"")"),6)</f>
        <v>6</v>
      </c>
      <c r="K377" s="496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69">
        <f ca="1">IFERROR(__xludf.DUMMYFUNCTION("IMPORTRANGE(""https://docs.google.com/spreadsheets/d/1QqKyyYR6Q21VydFLVH3TRQUabQu_ym0Zz7PgGX0-kHA/edit?usp=sharing"",""แผน!ET56"")"),1000)</f>
        <v>1000</v>
      </c>
      <c r="J378" s="269">
        <f ca="1">IFERROR(__xludf.DUMMYFUNCTION("IMPORTRANGE(""https://docs.google.com/spreadsheets/d/1XWAQStnk-4SwqDmLtmXYiTMKHgktTP8We1SCoS47DrQ/edit?usp=sharing"",""จัดที่ดิน!AI56"")"),106.29)</f>
        <v>106.29</v>
      </c>
      <c r="K378" s="496">
        <f t="shared" ca="1" si="164"/>
        <v>10.629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55" t="s">
        <v>35</v>
      </c>
      <c r="I379" s="269">
        <f ca="1">IFERROR(__xludf.DUMMYFUNCTION("IMPORTRANGE(""https://docs.google.com/spreadsheets/d/1QqKyyYR6Q21VydFLVH3TRQUabQu_ym0Zz7PgGX0-kHA/edit?usp=sharing"",""แผน!EU56"")"),220)</f>
        <v>220</v>
      </c>
      <c r="J379" s="269">
        <f ca="1">IFERROR(__xludf.DUMMYFUNCTION("IMPORTRANGE(""https://docs.google.com/spreadsheets/d/1XWAQStnk-4SwqDmLtmXYiTMKHgktTP8We1SCoS47DrQ/edit?usp=sharing"",""จัดที่ดิน!AJ56"")"),61)</f>
        <v>61</v>
      </c>
      <c r="K379" s="496">
        <f t="shared" ca="1" si="164"/>
        <v>27.727272727272727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55" t="s">
        <v>46</v>
      </c>
      <c r="I380" s="269">
        <v>0</v>
      </c>
      <c r="J380" s="269">
        <f ca="1">IFERROR(__xludf.DUMMYFUNCTION("IMPORTRANGE(""https://docs.google.com/spreadsheets/d/1XWAQStnk-4SwqDmLtmXYiTMKHgktTP8We1SCoS47DrQ/edit?usp=sharing"",""จัดที่ดิน!AK56"")"),863.73)</f>
        <v>863.73</v>
      </c>
      <c r="K380" s="496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55" t="s">
        <v>35</v>
      </c>
      <c r="I381" s="269">
        <f ca="1">IFERROR(__xludf.DUMMYFUNCTION("IMPORTRANGE(""https://docs.google.com/spreadsheets/d/1QqKyyYR6Q21VydFLVH3TRQUabQu_ym0Zz7PgGX0-kHA/edit?usp=sharing"",""แผน!EU56"")"),220)</f>
        <v>220</v>
      </c>
      <c r="J381" s="269">
        <f ca="1">IFERROR(__xludf.DUMMYFUNCTION("IMPORTRANGE(""https://docs.google.com/spreadsheets/d/1XWAQStnk-4SwqDmLtmXYiTMKHgktTP8We1SCoS47DrQ/edit?usp=sharing"",""จัดที่ดิน!AL56"")"),60)</f>
        <v>60</v>
      </c>
      <c r="K381" s="496">
        <f t="shared" ca="1" si="164"/>
        <v>27.272727272727273</v>
      </c>
      <c r="L381" s="163"/>
      <c r="M381" s="163"/>
      <c r="N381" s="163"/>
      <c r="O381" s="163"/>
      <c r="P381" s="163"/>
    </row>
    <row r="382" spans="1:26" ht="18.75">
      <c r="A382" s="469" t="s">
        <v>164</v>
      </c>
      <c r="B382" s="178"/>
      <c r="C382" s="171"/>
      <c r="D382" s="178"/>
      <c r="E382" s="446"/>
      <c r="F382" s="178"/>
      <c r="G382" s="179"/>
      <c r="H382" s="755" t="s">
        <v>46</v>
      </c>
      <c r="I382" s="269">
        <v>0</v>
      </c>
      <c r="J382" s="269">
        <f ca="1">IFERROR(__xludf.DUMMYFUNCTION("IMPORTRANGE(""https://docs.google.com/spreadsheets/d/1XWAQStnk-4SwqDmLtmXYiTMKHgktTP8We1SCoS47DrQ/edit?usp=sharing"",""จัดที่ดิน!AM56"")"),854.34)</f>
        <v>854.34</v>
      </c>
      <c r="K382" s="496">
        <f t="shared" si="164"/>
        <v>0</v>
      </c>
      <c r="L382" s="163"/>
      <c r="M382" s="163"/>
      <c r="N382" s="163"/>
      <c r="O382" s="163"/>
      <c r="P382" s="163"/>
    </row>
    <row r="383" spans="1:26" ht="19.5">
      <c r="A383" s="255"/>
      <c r="B383" s="263"/>
      <c r="C383" s="256"/>
      <c r="D383" s="832" t="s">
        <v>170</v>
      </c>
      <c r="E383" s="256"/>
      <c r="F383" s="256"/>
      <c r="G383" s="258"/>
      <c r="H383" s="454"/>
      <c r="I383" s="260"/>
      <c r="J383" s="260"/>
      <c r="K383" s="261"/>
      <c r="L383" s="261"/>
      <c r="M383" s="261"/>
      <c r="N383" s="261"/>
      <c r="O383" s="261"/>
      <c r="P383" s="261"/>
    </row>
    <row r="384" spans="1:26" ht="19.5">
      <c r="A384" s="170"/>
      <c r="B384" s="171"/>
      <c r="C384" s="33" t="s">
        <v>16</v>
      </c>
      <c r="D384" s="823" t="s">
        <v>38</v>
      </c>
      <c r="E384" s="173"/>
      <c r="F384" s="173"/>
      <c r="G384" s="174"/>
      <c r="H384" s="753"/>
      <c r="I384" s="269"/>
      <c r="J384" s="269"/>
      <c r="K384" s="496"/>
      <c r="L384" s="163"/>
      <c r="M384" s="163"/>
      <c r="N384" s="163"/>
      <c r="O384" s="163"/>
      <c r="P384" s="163"/>
    </row>
    <row r="385" spans="1:26" ht="18.75">
      <c r="A385" s="377"/>
      <c r="B385" s="380"/>
      <c r="C385" s="378"/>
      <c r="D385" s="380"/>
      <c r="E385" s="497" t="s">
        <v>163</v>
      </c>
      <c r="F385" s="380"/>
      <c r="G385" s="381"/>
      <c r="H385" s="498" t="s">
        <v>35</v>
      </c>
      <c r="I385" s="499">
        <f ca="1">IFERROR(__xludf.DUMMYFUNCTION("IMPORTRANGE(""https://docs.google.com/spreadsheets/d/1QqKyyYR6Q21VydFLVH3TRQUabQu_ym0Zz7PgGX0-kHA/edit?usp=sharing"",""แผน!EW56"")"),60)</f>
        <v>60</v>
      </c>
      <c r="J385" s="499">
        <f ca="1">IFERROR(__xludf.DUMMYFUNCTION("IMPORTRANGE(""https://docs.google.com/spreadsheets/d/1XWAQStnk-4SwqDmLtmXYiTMKHgktTP8We1SCoS47DrQ/edit?usp=sharing"",""จัดที่ดิน!AP56"")"),0)</f>
        <v>0</v>
      </c>
      <c r="K385" s="500">
        <f ca="1">IF(I385&gt;0,J385*100/I385,0)</f>
        <v>0</v>
      </c>
      <c r="L385" s="384"/>
      <c r="M385" s="384"/>
      <c r="N385" s="384"/>
      <c r="O385" s="384"/>
      <c r="P385" s="384"/>
    </row>
    <row r="386" spans="1:26" ht="19.5" hidden="1">
      <c r="A386" s="501" t="s">
        <v>171</v>
      </c>
      <c r="B386" s="502"/>
      <c r="C386" s="502"/>
      <c r="D386" s="502"/>
      <c r="E386" s="503"/>
      <c r="F386" s="503"/>
      <c r="G386" s="504"/>
      <c r="H386" s="505"/>
      <c r="I386" s="506"/>
      <c r="J386" s="506"/>
      <c r="K386" s="507"/>
      <c r="L386" s="507"/>
      <c r="M386" s="507"/>
      <c r="N386" s="507"/>
      <c r="O386" s="507"/>
      <c r="P386" s="507"/>
    </row>
    <row r="387" spans="1:26" ht="19.5" hidden="1">
      <c r="A387" s="508" t="s">
        <v>172</v>
      </c>
      <c r="B387" s="509"/>
      <c r="C387" s="509"/>
      <c r="D387" s="510"/>
      <c r="E387" s="509"/>
      <c r="F387" s="509"/>
      <c r="G387" s="509"/>
      <c r="H387" s="511"/>
      <c r="I387" s="512"/>
      <c r="J387" s="512"/>
      <c r="K387" s="513"/>
      <c r="L387" s="513"/>
      <c r="M387" s="513"/>
      <c r="N387" s="513"/>
      <c r="O387" s="513"/>
      <c r="P387" s="513"/>
    </row>
    <row r="388" spans="1:26" ht="19.5" hidden="1">
      <c r="A388" s="514"/>
      <c r="B388" s="515" t="s">
        <v>173</v>
      </c>
      <c r="C388" s="516"/>
      <c r="D388" s="517"/>
      <c r="E388" s="517"/>
      <c r="F388" s="517"/>
      <c r="G388" s="518"/>
      <c r="H388" s="519" t="s">
        <v>69</v>
      </c>
      <c r="I388" s="520">
        <f t="shared" ref="I388:J388" si="165">I400</f>
        <v>0</v>
      </c>
      <c r="J388" s="520">
        <f t="shared" si="165"/>
        <v>0</v>
      </c>
      <c r="K388" s="521">
        <f>IF(I388&gt;0,J388*100/I388,0)</f>
        <v>0</v>
      </c>
      <c r="L388" s="522"/>
      <c r="M388" s="522"/>
      <c r="N388" s="522"/>
      <c r="O388" s="522"/>
      <c r="P388" s="522"/>
    </row>
    <row r="389" spans="1:26" ht="19.5" hidden="1">
      <c r="A389" s="147"/>
      <c r="B389" s="148"/>
      <c r="C389" s="149" t="s">
        <v>16</v>
      </c>
      <c r="D389" s="822" t="s">
        <v>17</v>
      </c>
      <c r="E389" s="148"/>
      <c r="F389" s="148"/>
      <c r="G389" s="151"/>
      <c r="H389" s="152" t="s">
        <v>12</v>
      </c>
      <c r="I389" s="419"/>
      <c r="J389" s="419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2" t="s">
        <v>18</v>
      </c>
      <c r="F390" s="40"/>
      <c r="G390" s="157"/>
      <c r="H390" s="158" t="s">
        <v>12</v>
      </c>
      <c r="I390" s="610"/>
      <c r="J390" s="610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2" t="s">
        <v>19</v>
      </c>
      <c r="F391" s="40"/>
      <c r="G391" s="157"/>
      <c r="H391" s="158" t="s">
        <v>12</v>
      </c>
      <c r="I391" s="610"/>
      <c r="J391" s="610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1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6">
        <f t="shared" ref="L392:N392" ca="1" si="170">L393+L394</f>
        <v>0</v>
      </c>
      <c r="M392" s="496">
        <f t="shared" ca="1" si="170"/>
        <v>0</v>
      </c>
      <c r="N392" s="496">
        <f t="shared" ca="1" si="170"/>
        <v>0</v>
      </c>
      <c r="O392" s="496">
        <f t="shared" ca="1" si="167"/>
        <v>0</v>
      </c>
      <c r="P392" s="496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2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2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IFERROR(__xludf.DUMMYFUNCTION("IMPORTRANGE(""https://docs.google.com/spreadsheets/d/1MeEWN-I1oV_STSDYn1IFDPWt_1FKiwhDph83XaGc0o0/edit?usp=sharing"",""งบพรบ!FG56"")"),0)</f>
        <v>0</v>
      </c>
      <c r="M394" s="93">
        <f ca="1">IFERROR(__xludf.DUMMYFUNCTION("IMPORTRANGE(""https://docs.google.com/spreadsheets/d/1MeEWN-I1oV_STSDYn1IFDPWt_1FKiwhDph83XaGc0o0/edit?usp=sharing"",""งบพรบ!FL56"")"),0)</f>
        <v>0</v>
      </c>
      <c r="N394" s="93">
        <f ca="1">IFERROR(__xludf.DUMMYFUNCTION("IMPORTRANGE(""https://docs.google.com/spreadsheets/d/1MeEWN-I1oV_STSDYn1IFDPWt_1FKiwhDph83XaGc0o0/edit?usp=sharing"",""งบพรบ!FN56"")"),0)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1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6">
        <f t="shared" ref="L395:N395" ca="1" si="171">L396+L397</f>
        <v>0</v>
      </c>
      <c r="M395" s="496">
        <f t="shared" ca="1" si="171"/>
        <v>0</v>
      </c>
      <c r="N395" s="496">
        <f t="shared" ca="1" si="171"/>
        <v>0</v>
      </c>
      <c r="O395" s="496">
        <f t="shared" ca="1" si="167"/>
        <v>0</v>
      </c>
      <c r="P395" s="496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2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2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IFERROR(__xludf.DUMMYFUNCTION("IMPORTRANGE(""https://docs.google.com/spreadsheets/d/1MeEWN-I1oV_STSDYn1IFDPWt_1FKiwhDph83XaGc0o0/edit?usp=sharing"",""งบพรบ!FJ56"")"),0)</f>
        <v>0</v>
      </c>
      <c r="M397" s="93">
        <f ca="1">IFERROR(__xludf.DUMMYFUNCTION("IMPORTRANGE(""https://docs.google.com/spreadsheets/d/1MeEWN-I1oV_STSDYn1IFDPWt_1FKiwhDph83XaGc0o0/edit?usp=sharing"",""งบพรบ!FM56"")"),0)</f>
        <v>0</v>
      </c>
      <c r="N397" s="93">
        <f ca="1">IFERROR(__xludf.DUMMYFUNCTION("IMPORTRANGE(""https://docs.google.com/spreadsheets/d/1MeEWN-I1oV_STSDYn1IFDPWt_1FKiwhDph83XaGc0o0/edit?usp=sharing"",""งบพรบ!FO56"")"),0)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23" t="s">
        <v>38</v>
      </c>
      <c r="E398" s="173"/>
      <c r="F398" s="173"/>
      <c r="G398" s="174"/>
      <c r="H398" s="753"/>
      <c r="I398" s="184"/>
      <c r="J398" s="269"/>
      <c r="K398" s="496"/>
      <c r="L398" s="496"/>
      <c r="M398" s="496"/>
      <c r="N398" s="496"/>
      <c r="O398" s="163"/>
      <c r="P398" s="163"/>
    </row>
    <row r="399" spans="1:26" ht="18.75" hidden="1">
      <c r="A399" s="523"/>
      <c r="B399" s="148"/>
      <c r="C399" s="524"/>
      <c r="D399" s="525" t="s">
        <v>174</v>
      </c>
      <c r="E399" s="414"/>
      <c r="F399" s="148"/>
      <c r="G399" s="151"/>
      <c r="H399" s="526" t="s">
        <v>9</v>
      </c>
      <c r="I399" s="269">
        <v>0</v>
      </c>
      <c r="J399" s="214">
        <v>0</v>
      </c>
      <c r="K399" s="496">
        <f t="shared" ref="K399:K401" si="172">IF(I399&gt;0,J399*100/I399,0)</f>
        <v>0</v>
      </c>
      <c r="L399" s="527"/>
      <c r="M399" s="527"/>
      <c r="N399" s="527"/>
      <c r="O399" s="527"/>
      <c r="P399" s="527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4"/>
      <c r="B400" s="33"/>
      <c r="C400" s="280"/>
      <c r="D400" s="446" t="s">
        <v>175</v>
      </c>
      <c r="E400" s="171"/>
      <c r="F400" s="33"/>
      <c r="G400" s="35"/>
      <c r="H400" s="276" t="s">
        <v>69</v>
      </c>
      <c r="I400" s="269">
        <v>0</v>
      </c>
      <c r="J400" s="214">
        <v>0</v>
      </c>
      <c r="K400" s="496">
        <f t="shared" si="172"/>
        <v>0</v>
      </c>
      <c r="L400" s="496"/>
      <c r="M400" s="496"/>
      <c r="N400" s="496"/>
      <c r="O400" s="496"/>
      <c r="P400" s="496"/>
    </row>
    <row r="401" spans="1:26" ht="19.5" hidden="1">
      <c r="A401" s="514"/>
      <c r="B401" s="515" t="s">
        <v>176</v>
      </c>
      <c r="C401" s="516"/>
      <c r="D401" s="517"/>
      <c r="E401" s="517"/>
      <c r="F401" s="517"/>
      <c r="G401" s="518"/>
      <c r="H401" s="519" t="s">
        <v>69</v>
      </c>
      <c r="I401" s="520">
        <f t="shared" ref="I401:J401" si="173">I412</f>
        <v>0</v>
      </c>
      <c r="J401" s="520">
        <f t="shared" si="173"/>
        <v>0</v>
      </c>
      <c r="K401" s="521">
        <f t="shared" si="172"/>
        <v>0</v>
      </c>
      <c r="L401" s="522"/>
      <c r="M401" s="522"/>
      <c r="N401" s="522"/>
      <c r="O401" s="522"/>
      <c r="P401" s="522"/>
    </row>
    <row r="402" spans="1:26" ht="19.5" hidden="1">
      <c r="A402" s="147"/>
      <c r="B402" s="148"/>
      <c r="C402" s="149" t="s">
        <v>16</v>
      </c>
      <c r="D402" s="822" t="s">
        <v>17</v>
      </c>
      <c r="E402" s="148"/>
      <c r="F402" s="148"/>
      <c r="G402" s="151"/>
      <c r="H402" s="152" t="s">
        <v>12</v>
      </c>
      <c r="I402" s="419"/>
      <c r="J402" s="419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2" t="s">
        <v>18</v>
      </c>
      <c r="F403" s="40"/>
      <c r="G403" s="157"/>
      <c r="H403" s="158" t="s">
        <v>12</v>
      </c>
      <c r="I403" s="610"/>
      <c r="J403" s="610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2" t="s">
        <v>19</v>
      </c>
      <c r="F404" s="40"/>
      <c r="G404" s="157"/>
      <c r="H404" s="158" t="s">
        <v>12</v>
      </c>
      <c r="I404" s="610"/>
      <c r="J404" s="610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1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6">
        <f t="shared" ref="L405:N405" ca="1" si="178">L406+L407</f>
        <v>0</v>
      </c>
      <c r="M405" s="496">
        <f t="shared" ca="1" si="178"/>
        <v>0</v>
      </c>
      <c r="N405" s="496">
        <f t="shared" ca="1" si="178"/>
        <v>0</v>
      </c>
      <c r="O405" s="496">
        <f t="shared" ca="1" si="175"/>
        <v>0</v>
      </c>
      <c r="P405" s="496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2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2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IFERROR(__xludf.DUMMYFUNCTION("IMPORTRANGE(""https://docs.google.com/spreadsheets/d/1MeEWN-I1oV_STSDYn1IFDPWt_1FKiwhDph83XaGc0o0/edit?usp=sharing"",""งบพรบ!FQ56"")"),0)</f>
        <v>0</v>
      </c>
      <c r="M407" s="93">
        <f ca="1">IFERROR(__xludf.DUMMYFUNCTION("IMPORTRANGE(""https://docs.google.com/spreadsheets/d/1MeEWN-I1oV_STSDYn1IFDPWt_1FKiwhDph83XaGc0o0/edit?usp=sharing"",""งบพรบ!FV56"")"),0)</f>
        <v>0</v>
      </c>
      <c r="N407" s="93">
        <f ca="1">IFERROR(__xludf.DUMMYFUNCTION("IMPORTRANGE(""https://docs.google.com/spreadsheets/d/1MeEWN-I1oV_STSDYn1IFDPWt_1FKiwhDph83XaGc0o0/edit?usp=sharing"",""งบพรบ!FX56"")"),0)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1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6">
        <f t="shared" ref="L408:N408" ca="1" si="179">L409+L410</f>
        <v>0</v>
      </c>
      <c r="M408" s="496">
        <f t="shared" ca="1" si="179"/>
        <v>0</v>
      </c>
      <c r="N408" s="496">
        <f t="shared" ca="1" si="179"/>
        <v>0</v>
      </c>
      <c r="O408" s="496">
        <f t="shared" ca="1" si="175"/>
        <v>0</v>
      </c>
      <c r="P408" s="496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2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2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IFERROR(__xludf.DUMMYFUNCTION("IMPORTRANGE(""https://docs.google.com/spreadsheets/d/1MeEWN-I1oV_STSDYn1IFDPWt_1FKiwhDph83XaGc0o0/edit?usp=sharing"",""งบพรบ!FT56"")"),0)</f>
        <v>0</v>
      </c>
      <c r="M410" s="93">
        <f ca="1">IFERROR(__xludf.DUMMYFUNCTION("IMPORTRANGE(""https://docs.google.com/spreadsheets/d/1MeEWN-I1oV_STSDYn1IFDPWt_1FKiwhDph83XaGc0o0/edit?usp=sharing"",""งบพรบ!FW56"")"),0)</f>
        <v>0</v>
      </c>
      <c r="N410" s="93">
        <f ca="1">IFERROR(__xludf.DUMMYFUNCTION("IMPORTRANGE(""https://docs.google.com/spreadsheets/d/1MeEWN-I1oV_STSDYn1IFDPWt_1FKiwhDph83XaGc0o0/edit?usp=sharing"",""งบพรบ!FY56"")"),0)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34" t="s">
        <v>38</v>
      </c>
      <c r="E411" s="529"/>
      <c r="F411" s="529"/>
      <c r="G411" s="530"/>
      <c r="H411" s="753"/>
      <c r="I411" s="269"/>
      <c r="J411" s="269"/>
      <c r="K411" s="496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6" t="s">
        <v>177</v>
      </c>
      <c r="E412" s="178"/>
      <c r="F412" s="178"/>
      <c r="G412" s="179"/>
      <c r="H412" s="531" t="s">
        <v>69</v>
      </c>
      <c r="I412" s="269">
        <v>0</v>
      </c>
      <c r="J412" s="214">
        <v>0</v>
      </c>
      <c r="K412" s="496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2"/>
      <c r="B413" s="533"/>
      <c r="C413" s="533"/>
      <c r="D413" s="534" t="s">
        <v>178</v>
      </c>
      <c r="E413" s="533"/>
      <c r="F413" s="533"/>
      <c r="G413" s="535"/>
      <c r="H413" s="536" t="s">
        <v>179</v>
      </c>
      <c r="I413" s="537">
        <v>0</v>
      </c>
      <c r="J413" s="538">
        <v>0</v>
      </c>
      <c r="K413" s="539">
        <f t="shared" si="180"/>
        <v>0</v>
      </c>
      <c r="L413" s="540"/>
      <c r="M413" s="540"/>
      <c r="N413" s="540"/>
      <c r="O413" s="540"/>
      <c r="P413" s="540"/>
    </row>
    <row r="414" spans="1:26" ht="19.5">
      <c r="A414" s="541" t="s">
        <v>180</v>
      </c>
      <c r="B414" s="542"/>
      <c r="C414" s="542"/>
      <c r="D414" s="542"/>
      <c r="E414" s="542"/>
      <c r="F414" s="542"/>
      <c r="G414" s="543"/>
      <c r="H414" s="544"/>
      <c r="I414" s="545"/>
      <c r="J414" s="545"/>
      <c r="K414" s="546"/>
      <c r="L414" s="547">
        <f t="shared" ref="L414:N414" ca="1" si="181">L419+L444+L467+L502+L523+L544+L629+L655+L685+L737+L754+L770+L786+L805</f>
        <v>1362418</v>
      </c>
      <c r="M414" s="547">
        <f t="shared" si="181"/>
        <v>0</v>
      </c>
      <c r="N414" s="547">
        <f t="shared" si="181"/>
        <v>32700</v>
      </c>
      <c r="O414" s="547">
        <f ca="1">IF(L414&gt;0,N414*100/L414,0)</f>
        <v>2.4001444490604205</v>
      </c>
      <c r="P414" s="547">
        <f>IF(M414&gt;0,N414*100/M414,0)</f>
        <v>0</v>
      </c>
    </row>
    <row r="415" spans="1:26" ht="19.5">
      <c r="A415" s="548" t="s">
        <v>181</v>
      </c>
      <c r="B415" s="549"/>
      <c r="C415" s="549"/>
      <c r="D415" s="549"/>
      <c r="E415" s="549"/>
      <c r="F415" s="549"/>
      <c r="G415" s="549"/>
      <c r="H415" s="550"/>
      <c r="I415" s="551"/>
      <c r="J415" s="551"/>
      <c r="K415" s="552"/>
      <c r="L415" s="553"/>
      <c r="M415" s="553"/>
      <c r="N415" s="553"/>
      <c r="O415" s="553"/>
      <c r="P415" s="553"/>
    </row>
    <row r="416" spans="1:26" ht="19.5">
      <c r="A416" s="548" t="s">
        <v>182</v>
      </c>
      <c r="B416" s="549"/>
      <c r="C416" s="549"/>
      <c r="D416" s="549"/>
      <c r="E416" s="549"/>
      <c r="F416" s="549"/>
      <c r="G416" s="554"/>
      <c r="H416" s="555"/>
      <c r="I416" s="556"/>
      <c r="J416" s="556"/>
      <c r="K416" s="553"/>
      <c r="L416" s="553"/>
      <c r="M416" s="553"/>
      <c r="N416" s="553"/>
      <c r="O416" s="553"/>
      <c r="P416" s="553"/>
    </row>
    <row r="417" spans="1:26" ht="39">
      <c r="A417" s="557">
        <v>1</v>
      </c>
      <c r="B417" s="559" t="s">
        <v>183</v>
      </c>
      <c r="C417" s="559"/>
      <c r="D417" s="560"/>
      <c r="E417" s="560"/>
      <c r="F417" s="560"/>
      <c r="G417" s="561"/>
      <c r="H417" s="562" t="s">
        <v>35</v>
      </c>
      <c r="I417" s="563">
        <f t="shared" ref="I417:J418" ca="1" si="182">I433</f>
        <v>20</v>
      </c>
      <c r="J417" s="563">
        <f t="shared" ca="1" si="182"/>
        <v>0</v>
      </c>
      <c r="K417" s="564">
        <f t="shared" ref="K417:K418" ca="1" si="183">IF(I417&gt;0,J417*100/I417,0)</f>
        <v>0</v>
      </c>
      <c r="L417" s="565"/>
      <c r="M417" s="565"/>
      <c r="N417" s="565"/>
      <c r="O417" s="565"/>
      <c r="P417" s="565"/>
    </row>
    <row r="418" spans="1:26" ht="19.5">
      <c r="A418" s="566"/>
      <c r="B418" s="557"/>
      <c r="C418" s="559"/>
      <c r="D418" s="560"/>
      <c r="E418" s="560"/>
      <c r="F418" s="560"/>
      <c r="G418" s="561"/>
      <c r="H418" s="562" t="s">
        <v>49</v>
      </c>
      <c r="I418" s="563">
        <f t="shared" ca="1" si="182"/>
        <v>1</v>
      </c>
      <c r="J418" s="563">
        <f t="shared" si="182"/>
        <v>0</v>
      </c>
      <c r="K418" s="564">
        <f t="shared" ca="1" si="183"/>
        <v>0</v>
      </c>
      <c r="L418" s="565"/>
      <c r="M418" s="565"/>
      <c r="N418" s="565"/>
      <c r="O418" s="565"/>
      <c r="P418" s="565"/>
    </row>
    <row r="419" spans="1:26" ht="19.5">
      <c r="A419" s="147"/>
      <c r="B419" s="148"/>
      <c r="C419" s="148" t="s">
        <v>16</v>
      </c>
      <c r="D419" s="868" t="s">
        <v>17</v>
      </c>
      <c r="E419" s="862"/>
      <c r="F419" s="862"/>
      <c r="G419" s="151"/>
      <c r="H419" s="274" t="s">
        <v>12</v>
      </c>
      <c r="I419" s="419"/>
      <c r="J419" s="419"/>
      <c r="K419" s="154"/>
      <c r="L419" s="155">
        <f t="shared" ref="L419:N419" ca="1" si="184">L420+L421</f>
        <v>78660</v>
      </c>
      <c r="M419" s="155">
        <f t="shared" si="184"/>
        <v>0</v>
      </c>
      <c r="N419" s="155">
        <f t="shared" si="184"/>
        <v>0</v>
      </c>
      <c r="O419" s="155">
        <f t="shared" ref="O419:O424" ca="1" si="185">IF(L419&gt;0,N419*100/L419,0)</f>
        <v>0</v>
      </c>
      <c r="P419" s="155">
        <f t="shared" ref="P419:P424" si="186">IF(M419&gt;0,N419*100/M419,0)</f>
        <v>0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2"/>
      <c r="E420" s="222" t="s">
        <v>184</v>
      </c>
      <c r="F420" s="40"/>
      <c r="G420" s="157"/>
      <c r="H420" s="165" t="s">
        <v>12</v>
      </c>
      <c r="I420" s="610"/>
      <c r="J420" s="610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2"/>
      <c r="E421" s="222" t="s">
        <v>185</v>
      </c>
      <c r="F421" s="40"/>
      <c r="G421" s="157"/>
      <c r="H421" s="165" t="s">
        <v>12</v>
      </c>
      <c r="I421" s="610"/>
      <c r="J421" s="610"/>
      <c r="K421" s="93"/>
      <c r="L421" s="93">
        <f t="shared" ca="1" si="187"/>
        <v>78660</v>
      </c>
      <c r="M421" s="93">
        <f t="shared" si="187"/>
        <v>0</v>
      </c>
      <c r="N421" s="93">
        <f t="shared" si="187"/>
        <v>0</v>
      </c>
      <c r="O421" s="93">
        <f t="shared" ca="1" si="185"/>
        <v>0</v>
      </c>
      <c r="P421" s="93">
        <f t="shared" si="186"/>
        <v>0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0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6">
        <f t="shared" ref="L422:N422" ca="1" si="188">L423+L424</f>
        <v>78660</v>
      </c>
      <c r="M422" s="496">
        <f t="shared" si="188"/>
        <v>0</v>
      </c>
      <c r="N422" s="496">
        <f t="shared" si="188"/>
        <v>0</v>
      </c>
      <c r="O422" s="496">
        <f t="shared" ca="1" si="185"/>
        <v>0</v>
      </c>
      <c r="P422" s="496">
        <f t="shared" si="186"/>
        <v>0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2"/>
      <c r="E423" s="222" t="s">
        <v>184</v>
      </c>
      <c r="F423" s="40"/>
      <c r="G423" s="157"/>
      <c r="H423" s="165" t="s">
        <v>12</v>
      </c>
      <c r="I423" s="610"/>
      <c r="J423" s="610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2"/>
      <c r="E424" s="222" t="s">
        <v>185</v>
      </c>
      <c r="F424" s="40"/>
      <c r="G424" s="157"/>
      <c r="H424" s="165" t="s">
        <v>12</v>
      </c>
      <c r="I424" s="610"/>
      <c r="J424" s="610"/>
      <c r="K424" s="93"/>
      <c r="L424" s="93">
        <f ca="1">IFERROR(__xludf.DUMMYFUNCTION("IMPORTRANGE(""https://docs.google.com/spreadsheets/d/1QqKyyYR6Q21VydFLVH3TRQUabQu_ym0Zz7PgGX0-kHA/edit?usp=sharing"",""แผน!EY56"")"),78660)</f>
        <v>78660</v>
      </c>
      <c r="M424" s="93">
        <v>0</v>
      </c>
      <c r="N424" s="93">
        <f>N425+N426+N427+N428</f>
        <v>0</v>
      </c>
      <c r="O424" s="93">
        <f t="shared" ca="1" si="185"/>
        <v>0</v>
      </c>
      <c r="P424" s="93">
        <f t="shared" si="186"/>
        <v>0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67"/>
      <c r="B425" s="568"/>
      <c r="C425" s="754"/>
      <c r="D425" s="754"/>
      <c r="E425" s="754"/>
      <c r="F425" s="754" t="s">
        <v>186</v>
      </c>
      <c r="G425" s="189"/>
      <c r="H425" s="161" t="s">
        <v>12</v>
      </c>
      <c r="I425" s="269"/>
      <c r="J425" s="269"/>
      <c r="K425" s="496"/>
      <c r="L425" s="496"/>
      <c r="M425" s="496"/>
      <c r="N425" s="817">
        <v>0</v>
      </c>
      <c r="O425" s="496"/>
      <c r="P425" s="496"/>
      <c r="Q425" s="571"/>
      <c r="R425" s="571"/>
      <c r="S425" s="571"/>
      <c r="T425" s="571"/>
      <c r="U425" s="571"/>
      <c r="V425" s="571"/>
      <c r="W425" s="571"/>
      <c r="X425" s="571"/>
      <c r="Y425" s="571"/>
      <c r="Z425" s="571"/>
    </row>
    <row r="426" spans="1:26" ht="18.75">
      <c r="A426" s="567"/>
      <c r="B426" s="568"/>
      <c r="C426" s="754"/>
      <c r="D426" s="754"/>
      <c r="E426" s="754"/>
      <c r="F426" s="754" t="s">
        <v>187</v>
      </c>
      <c r="G426" s="189"/>
      <c r="H426" s="161" t="s">
        <v>12</v>
      </c>
      <c r="I426" s="269"/>
      <c r="J426" s="269"/>
      <c r="K426" s="496"/>
      <c r="L426" s="496"/>
      <c r="M426" s="496"/>
      <c r="N426" s="817">
        <v>0</v>
      </c>
      <c r="O426" s="496"/>
      <c r="P426" s="496"/>
      <c r="Q426" s="571"/>
      <c r="R426" s="571"/>
      <c r="S426" s="571"/>
      <c r="T426" s="571"/>
      <c r="U426" s="571"/>
      <c r="V426" s="571"/>
      <c r="W426" s="571"/>
      <c r="X426" s="571"/>
      <c r="Y426" s="571"/>
      <c r="Z426" s="571"/>
    </row>
    <row r="427" spans="1:26" ht="18.75">
      <c r="A427" s="567"/>
      <c r="B427" s="568"/>
      <c r="C427" s="754"/>
      <c r="D427" s="754"/>
      <c r="E427" s="754"/>
      <c r="F427" s="754" t="s">
        <v>188</v>
      </c>
      <c r="G427" s="189"/>
      <c r="H427" s="161" t="s">
        <v>12</v>
      </c>
      <c r="I427" s="269"/>
      <c r="J427" s="269"/>
      <c r="K427" s="496"/>
      <c r="L427" s="496"/>
      <c r="M427" s="496"/>
      <c r="N427" s="817">
        <v>0</v>
      </c>
      <c r="O427" s="496"/>
      <c r="P427" s="496"/>
      <c r="Q427" s="571"/>
      <c r="R427" s="571"/>
      <c r="S427" s="571"/>
      <c r="T427" s="571"/>
      <c r="U427" s="571"/>
      <c r="V427" s="571"/>
      <c r="W427" s="571"/>
      <c r="X427" s="571"/>
      <c r="Y427" s="571"/>
      <c r="Z427" s="571"/>
    </row>
    <row r="428" spans="1:26" ht="18.75">
      <c r="A428" s="284"/>
      <c r="B428" s="280"/>
      <c r="C428" s="33"/>
      <c r="D428" s="33"/>
      <c r="E428" s="33"/>
      <c r="F428" s="281" t="s">
        <v>189</v>
      </c>
      <c r="G428" s="213"/>
      <c r="H428" s="161" t="s">
        <v>12</v>
      </c>
      <c r="I428" s="269"/>
      <c r="J428" s="269"/>
      <c r="K428" s="496"/>
      <c r="L428" s="496"/>
      <c r="M428" s="496"/>
      <c r="N428" s="817">
        <v>0</v>
      </c>
      <c r="O428" s="496"/>
      <c r="P428" s="496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0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6">
        <f t="shared" ref="L429:N429" ca="1" si="189">L430+L431</f>
        <v>0</v>
      </c>
      <c r="M429" s="496">
        <f t="shared" si="189"/>
        <v>0</v>
      </c>
      <c r="N429" s="496">
        <f t="shared" si="189"/>
        <v>0</v>
      </c>
      <c r="O429" s="496">
        <f t="shared" ref="O429:O431" ca="1" si="190">IF(L429&gt;0,N429*100/L429,0)</f>
        <v>0</v>
      </c>
      <c r="P429" s="496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6"/>
      <c r="C430" s="40"/>
      <c r="D430" s="40"/>
      <c r="E430" s="222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6"/>
      <c r="C431" s="40"/>
      <c r="D431" s="40"/>
      <c r="E431" s="222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IFERROR(__xludf.DUMMYFUNCTION("IMPORTRANGE(""https://docs.google.com/spreadsheets/d/1QqKyyYR6Q21VydFLVH3TRQUabQu_ym0Zz7PgGX0-kHA/edit?usp=sharing"",""แผน!FB56"")"),0)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3"/>
      <c r="B432" s="414"/>
      <c r="C432" s="148" t="s">
        <v>16</v>
      </c>
      <c r="D432" s="835" t="s">
        <v>38</v>
      </c>
      <c r="E432" s="573"/>
      <c r="F432" s="573"/>
      <c r="G432" s="574"/>
      <c r="H432" s="575"/>
      <c r="I432" s="419"/>
      <c r="J432" s="419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190</v>
      </c>
      <c r="E433" s="178"/>
      <c r="F433" s="178"/>
      <c r="G433" s="179"/>
      <c r="H433" s="196" t="s">
        <v>35</v>
      </c>
      <c r="I433" s="674">
        <f ca="1">I435</f>
        <v>20</v>
      </c>
      <c r="J433" s="674">
        <f ca="1">IF(AND(J435=I435,J437=I437,J439=I439),I437+I439,IF(AND(J435=I437,J437=I437),I437,IF(AND(J435=I439,J439=I439),I439,0)))</f>
        <v>0</v>
      </c>
      <c r="K433" s="195">
        <f t="shared" ref="K433:K435" ca="1" si="192">IF(I433&gt;0,J433*100/I433,0)</f>
        <v>0</v>
      </c>
      <c r="L433" s="496"/>
      <c r="M433" s="496"/>
      <c r="N433" s="496"/>
      <c r="O433" s="496"/>
      <c r="P433" s="496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191</v>
      </c>
      <c r="E434" s="178"/>
      <c r="F434" s="178"/>
      <c r="G434" s="179"/>
      <c r="H434" s="196" t="s">
        <v>49</v>
      </c>
      <c r="I434" s="674">
        <f t="shared" ref="I434:J434" ca="1" si="193">I438+I440</f>
        <v>1</v>
      </c>
      <c r="J434" s="674">
        <f t="shared" si="193"/>
        <v>0</v>
      </c>
      <c r="K434" s="195">
        <f t="shared" ca="1" si="192"/>
        <v>0</v>
      </c>
      <c r="L434" s="496"/>
      <c r="M434" s="496"/>
      <c r="N434" s="496"/>
      <c r="O434" s="496"/>
      <c r="P434" s="496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6" t="s">
        <v>192</v>
      </c>
      <c r="E435" s="178"/>
      <c r="F435" s="178"/>
      <c r="G435" s="179"/>
      <c r="H435" s="616" t="s">
        <v>35</v>
      </c>
      <c r="I435" s="576">
        <f ca="1">IFERROR(__xludf.DUMMYFUNCTION("IMPORTRANGE(""https://docs.google.com/spreadsheets/d/1QqKyyYR6Q21VydFLVH3TRQUabQu_ym0Zz7PgGX0-kHA/edit?usp=sharing"",""แผน!FC56"")"),20)</f>
        <v>20</v>
      </c>
      <c r="J435" s="577">
        <v>0</v>
      </c>
      <c r="K435" s="496">
        <f t="shared" ca="1" si="192"/>
        <v>0</v>
      </c>
      <c r="L435" s="496"/>
      <c r="M435" s="496"/>
      <c r="N435" s="496"/>
      <c r="O435" s="496"/>
      <c r="P435" s="496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6" t="s">
        <v>193</v>
      </c>
      <c r="E436" s="178"/>
      <c r="F436" s="178"/>
      <c r="G436" s="179"/>
      <c r="H436" s="616"/>
      <c r="I436" s="269"/>
      <c r="J436" s="269"/>
      <c r="K436" s="496"/>
      <c r="L436" s="496"/>
      <c r="M436" s="496"/>
      <c r="N436" s="496"/>
      <c r="O436" s="496"/>
      <c r="P436" s="496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6" t="s">
        <v>194</v>
      </c>
      <c r="E437" s="178"/>
      <c r="F437" s="178"/>
      <c r="G437" s="179"/>
      <c r="H437" s="616" t="s">
        <v>35</v>
      </c>
      <c r="I437" s="576">
        <f ca="1">IFERROR(__xludf.DUMMYFUNCTION("IMPORTRANGE(""https://docs.google.com/spreadsheets/d/1QqKyyYR6Q21VydFLVH3TRQUabQu_ym0Zz7PgGX0-kHA/edit?usp=sharing"",""แผน!FD56"")"),0)</f>
        <v>0</v>
      </c>
      <c r="J437" s="577">
        <v>0</v>
      </c>
      <c r="K437" s="496">
        <f t="shared" ref="K437:K443" ca="1" si="194">IF(I437&gt;0,J437*100/I437,0)</f>
        <v>0</v>
      </c>
      <c r="L437" s="496"/>
      <c r="M437" s="496"/>
      <c r="N437" s="496"/>
      <c r="O437" s="496"/>
      <c r="P437" s="496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6" t="s">
        <v>195</v>
      </c>
      <c r="E438" s="178"/>
      <c r="F438" s="178"/>
      <c r="G438" s="179"/>
      <c r="H438" s="616" t="s">
        <v>49</v>
      </c>
      <c r="I438" s="269">
        <f ca="1">IFERROR(__xludf.DUMMYFUNCTION("IMPORTRANGE(""https://docs.google.com/spreadsheets/d/1QqKyyYR6Q21VydFLVH3TRQUabQu_ym0Zz7PgGX0-kHA/edit?usp=sharing"",""แผน!FE56"")"),0)</f>
        <v>0</v>
      </c>
      <c r="J438" s="214">
        <v>0</v>
      </c>
      <c r="K438" s="496">
        <f t="shared" ca="1" si="194"/>
        <v>0</v>
      </c>
      <c r="L438" s="496"/>
      <c r="M438" s="496"/>
      <c r="N438" s="496"/>
      <c r="O438" s="496"/>
      <c r="P438" s="496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6" t="s">
        <v>196</v>
      </c>
      <c r="E439" s="178"/>
      <c r="F439" s="178"/>
      <c r="G439" s="179"/>
      <c r="H439" s="616" t="s">
        <v>35</v>
      </c>
      <c r="I439" s="576">
        <f ca="1">IFERROR(__xludf.DUMMYFUNCTION("IMPORTRANGE(""https://docs.google.com/spreadsheets/d/1QqKyyYR6Q21VydFLVH3TRQUabQu_ym0Zz7PgGX0-kHA/edit?usp=sharing"",""แผน!FF56"")"),20)</f>
        <v>20</v>
      </c>
      <c r="J439" s="577">
        <v>0</v>
      </c>
      <c r="K439" s="496">
        <f t="shared" ca="1" si="194"/>
        <v>0</v>
      </c>
      <c r="L439" s="496"/>
      <c r="M439" s="496"/>
      <c r="N439" s="496"/>
      <c r="O439" s="496"/>
      <c r="P439" s="496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6" t="s">
        <v>197</v>
      </c>
      <c r="E440" s="178"/>
      <c r="F440" s="178"/>
      <c r="G440" s="179"/>
      <c r="H440" s="616" t="s">
        <v>49</v>
      </c>
      <c r="I440" s="269">
        <f ca="1">IFERROR(__xludf.DUMMYFUNCTION("IMPORTRANGE(""https://docs.google.com/spreadsheets/d/1QqKyyYR6Q21VydFLVH3TRQUabQu_ym0Zz7PgGX0-kHA/edit?usp=sharing"",""แผน!FG56"")"),1)</f>
        <v>1</v>
      </c>
      <c r="J440" s="214">
        <v>0</v>
      </c>
      <c r="K440" s="496">
        <f t="shared" ca="1" si="194"/>
        <v>0</v>
      </c>
      <c r="L440" s="496"/>
      <c r="M440" s="496"/>
      <c r="N440" s="496"/>
      <c r="O440" s="496"/>
      <c r="P440" s="496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 hidden="1">
      <c r="A441" s="170"/>
      <c r="B441" s="171"/>
      <c r="C441" s="171"/>
      <c r="D441" s="446" t="s">
        <v>198</v>
      </c>
      <c r="E441" s="178"/>
      <c r="F441" s="178"/>
      <c r="G441" s="179"/>
      <c r="H441" s="616" t="s">
        <v>35</v>
      </c>
      <c r="I441" s="269">
        <f ca="1">IFERROR(__xludf.DUMMYFUNCTION("IMPORTRANGE(""https://docs.google.com/spreadsheets/d/1QqKyyYR6Q21VydFLVH3TRQUabQu_ym0Zz7PgGX0-kHA/edit?usp=sharing"",""แผน!FH56"")"),0)</f>
        <v>0</v>
      </c>
      <c r="J441" s="269">
        <v>0</v>
      </c>
      <c r="K441" s="496">
        <f t="shared" ca="1" si="194"/>
        <v>0</v>
      </c>
      <c r="L441" s="496"/>
      <c r="M441" s="496"/>
      <c r="N441" s="496"/>
      <c r="O441" s="496"/>
      <c r="P441" s="496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78">
        <v>2</v>
      </c>
      <c r="B442" s="579" t="s">
        <v>199</v>
      </c>
      <c r="C442" s="580"/>
      <c r="D442" s="580"/>
      <c r="E442" s="580"/>
      <c r="F442" s="580"/>
      <c r="G442" s="581"/>
      <c r="H442" s="582" t="s">
        <v>35</v>
      </c>
      <c r="I442" s="583">
        <f t="shared" ref="I442:J442" ca="1" si="195">I460</f>
        <v>15</v>
      </c>
      <c r="J442" s="583">
        <f t="shared" si="195"/>
        <v>0</v>
      </c>
      <c r="K442" s="584">
        <f t="shared" ca="1" si="194"/>
        <v>0</v>
      </c>
      <c r="L442" s="585"/>
      <c r="M442" s="585"/>
      <c r="N442" s="585"/>
      <c r="O442" s="585"/>
      <c r="P442" s="585"/>
      <c r="Q442" s="571"/>
      <c r="R442" s="571"/>
      <c r="S442" s="571"/>
      <c r="T442" s="571"/>
      <c r="U442" s="571"/>
      <c r="V442" s="571"/>
      <c r="W442" s="571"/>
      <c r="X442" s="571"/>
      <c r="Y442" s="571"/>
      <c r="Z442" s="571"/>
    </row>
    <row r="443" spans="1:26" ht="19.5">
      <c r="A443" s="586"/>
      <c r="B443" s="587"/>
      <c r="C443" s="588"/>
      <c r="D443" s="588"/>
      <c r="E443" s="588"/>
      <c r="F443" s="588"/>
      <c r="G443" s="589"/>
      <c r="H443" s="562" t="s">
        <v>46</v>
      </c>
      <c r="I443" s="563">
        <f t="shared" ref="I443:J443" ca="1" si="196">I462</f>
        <v>15</v>
      </c>
      <c r="J443" s="563">
        <f t="shared" si="196"/>
        <v>0</v>
      </c>
      <c r="K443" s="564">
        <f t="shared" ca="1" si="194"/>
        <v>0</v>
      </c>
      <c r="L443" s="565"/>
      <c r="M443" s="565"/>
      <c r="N443" s="565"/>
      <c r="O443" s="565"/>
      <c r="P443" s="565"/>
      <c r="Q443" s="571"/>
      <c r="R443" s="571"/>
      <c r="S443" s="571"/>
      <c r="T443" s="571"/>
      <c r="U443" s="571"/>
      <c r="V443" s="571"/>
      <c r="W443" s="571"/>
      <c r="X443" s="571"/>
      <c r="Y443" s="571"/>
      <c r="Z443" s="571"/>
    </row>
    <row r="444" spans="1:26" ht="19.5">
      <c r="A444" s="590"/>
      <c r="B444" s="754"/>
      <c r="C444" s="754" t="s">
        <v>16</v>
      </c>
      <c r="D444" s="863" t="s">
        <v>17</v>
      </c>
      <c r="E444" s="857"/>
      <c r="F444" s="857"/>
      <c r="G444" s="189"/>
      <c r="H444" s="591" t="s">
        <v>12</v>
      </c>
      <c r="I444" s="269"/>
      <c r="J444" s="269"/>
      <c r="K444" s="496"/>
      <c r="L444" s="195">
        <f t="shared" ref="L444:N444" ca="1" si="197">L445+L446</f>
        <v>68160</v>
      </c>
      <c r="M444" s="195">
        <f t="shared" si="197"/>
        <v>0</v>
      </c>
      <c r="N444" s="195">
        <f t="shared" si="197"/>
        <v>3600</v>
      </c>
      <c r="O444" s="195">
        <f t="shared" ref="O444:O449" ca="1" si="198">IF(L444&gt;0,N444*100/L444,0)</f>
        <v>5.28169014084507</v>
      </c>
      <c r="P444" s="195">
        <f t="shared" ref="P444:P449" si="199">IF(M444&gt;0,N444*100/M444,0)</f>
        <v>0</v>
      </c>
      <c r="Q444" s="571"/>
      <c r="R444" s="571"/>
      <c r="S444" s="571"/>
      <c r="T444" s="571"/>
      <c r="U444" s="571"/>
      <c r="V444" s="571"/>
      <c r="W444" s="571"/>
      <c r="X444" s="571"/>
      <c r="Y444" s="571"/>
      <c r="Z444" s="571"/>
    </row>
    <row r="445" spans="1:26" ht="18.75" hidden="1">
      <c r="A445" s="592"/>
      <c r="B445" s="750"/>
      <c r="C445" s="750"/>
      <c r="D445" s="711"/>
      <c r="E445" s="750" t="s">
        <v>184</v>
      </c>
      <c r="F445" s="750"/>
      <c r="G445" s="596"/>
      <c r="H445" s="165" t="s">
        <v>12</v>
      </c>
      <c r="I445" s="610"/>
      <c r="J445" s="610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597"/>
      <c r="R445" s="597"/>
      <c r="S445" s="597"/>
      <c r="T445" s="597"/>
      <c r="U445" s="597"/>
      <c r="V445" s="597"/>
      <c r="W445" s="597"/>
      <c r="X445" s="597"/>
      <c r="Y445" s="597"/>
      <c r="Z445" s="597"/>
    </row>
    <row r="446" spans="1:26" ht="18.75" hidden="1">
      <c r="A446" s="592"/>
      <c r="B446" s="600"/>
      <c r="C446" s="750"/>
      <c r="D446" s="711"/>
      <c r="E446" s="750" t="s">
        <v>185</v>
      </c>
      <c r="F446" s="750"/>
      <c r="G446" s="596"/>
      <c r="H446" s="165" t="s">
        <v>12</v>
      </c>
      <c r="I446" s="610"/>
      <c r="J446" s="610"/>
      <c r="K446" s="93"/>
      <c r="L446" s="93">
        <f t="shared" ca="1" si="200"/>
        <v>68160</v>
      </c>
      <c r="M446" s="93">
        <f t="shared" si="200"/>
        <v>0</v>
      </c>
      <c r="N446" s="93">
        <f t="shared" si="200"/>
        <v>3600</v>
      </c>
      <c r="O446" s="93">
        <f t="shared" ca="1" si="198"/>
        <v>5.28169014084507</v>
      </c>
      <c r="P446" s="93">
        <f t="shared" si="199"/>
        <v>0</v>
      </c>
      <c r="Q446" s="597"/>
      <c r="R446" s="597"/>
      <c r="S446" s="597"/>
      <c r="T446" s="597"/>
      <c r="U446" s="597"/>
      <c r="V446" s="597"/>
      <c r="W446" s="597"/>
      <c r="X446" s="597"/>
      <c r="Y446" s="597"/>
      <c r="Z446" s="597"/>
    </row>
    <row r="447" spans="1:26" ht="18.75">
      <c r="A447" s="590"/>
      <c r="B447" s="568"/>
      <c r="C447" s="754"/>
      <c r="D447" s="599" t="s">
        <v>20</v>
      </c>
      <c r="E447" s="754"/>
      <c r="F447" s="754"/>
      <c r="G447" s="189"/>
      <c r="H447" s="161" t="s">
        <v>12</v>
      </c>
      <c r="I447" s="184"/>
      <c r="J447" s="184"/>
      <c r="K447" s="163"/>
      <c r="L447" s="496">
        <f t="shared" ref="L447:N447" ca="1" si="201">L448+L449</f>
        <v>68160</v>
      </c>
      <c r="M447" s="496">
        <f t="shared" si="201"/>
        <v>0</v>
      </c>
      <c r="N447" s="496">
        <f t="shared" si="201"/>
        <v>3600</v>
      </c>
      <c r="O447" s="496">
        <f t="shared" ca="1" si="198"/>
        <v>5.28169014084507</v>
      </c>
      <c r="P447" s="496">
        <f t="shared" si="199"/>
        <v>0</v>
      </c>
      <c r="Q447" s="571"/>
      <c r="R447" s="571"/>
      <c r="S447" s="571"/>
      <c r="T447" s="571"/>
      <c r="U447" s="571"/>
      <c r="V447" s="571"/>
      <c r="W447" s="571"/>
      <c r="X447" s="571"/>
      <c r="Y447" s="571"/>
      <c r="Z447" s="571"/>
    </row>
    <row r="448" spans="1:26" ht="18.75" hidden="1">
      <c r="A448" s="592"/>
      <c r="B448" s="600"/>
      <c r="C448" s="750"/>
      <c r="D448" s="711"/>
      <c r="E448" s="750" t="s">
        <v>184</v>
      </c>
      <c r="F448" s="750"/>
      <c r="G448" s="596"/>
      <c r="H448" s="165" t="s">
        <v>12</v>
      </c>
      <c r="I448" s="610"/>
      <c r="J448" s="610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597"/>
      <c r="R448" s="597"/>
      <c r="S448" s="597"/>
      <c r="T448" s="597"/>
      <c r="U448" s="597"/>
      <c r="V448" s="597"/>
      <c r="W448" s="597"/>
      <c r="X448" s="597"/>
      <c r="Y448" s="597"/>
      <c r="Z448" s="597"/>
    </row>
    <row r="449" spans="1:26" ht="18.75" hidden="1">
      <c r="A449" s="592"/>
      <c r="B449" s="600"/>
      <c r="C449" s="750"/>
      <c r="D449" s="711"/>
      <c r="E449" s="750" t="s">
        <v>185</v>
      </c>
      <c r="F449" s="750"/>
      <c r="G449" s="596"/>
      <c r="H449" s="165" t="s">
        <v>12</v>
      </c>
      <c r="I449" s="610"/>
      <c r="J449" s="610"/>
      <c r="K449" s="93"/>
      <c r="L449" s="93">
        <f ca="1">IFERROR(__xludf.DUMMYFUNCTION("IMPORTRANGE(""https://docs.google.com/spreadsheets/d/1QqKyyYR6Q21VydFLVH3TRQUabQu_ym0Zz7PgGX0-kHA/edit?usp=sharing"",""แผน!FJ56"")"),68160)</f>
        <v>68160</v>
      </c>
      <c r="M449" s="93">
        <v>0</v>
      </c>
      <c r="N449" s="93">
        <f>N450+N451+N452+N453</f>
        <v>3600</v>
      </c>
      <c r="O449" s="93">
        <f t="shared" ca="1" si="198"/>
        <v>5.28169014084507</v>
      </c>
      <c r="P449" s="93">
        <f t="shared" si="199"/>
        <v>0</v>
      </c>
      <c r="Q449" s="597"/>
      <c r="R449" s="597"/>
      <c r="S449" s="597"/>
      <c r="T449" s="597"/>
      <c r="U449" s="597"/>
      <c r="V449" s="597"/>
      <c r="W449" s="597"/>
      <c r="X449" s="597"/>
      <c r="Y449" s="597"/>
      <c r="Z449" s="597"/>
    </row>
    <row r="450" spans="1:26" ht="18.75">
      <c r="A450" s="567"/>
      <c r="B450" s="568"/>
      <c r="C450" s="754"/>
      <c r="D450" s="754"/>
      <c r="E450" s="754"/>
      <c r="F450" s="754" t="s">
        <v>186</v>
      </c>
      <c r="G450" s="189"/>
      <c r="H450" s="161" t="s">
        <v>12</v>
      </c>
      <c r="I450" s="269"/>
      <c r="J450" s="269"/>
      <c r="K450" s="496"/>
      <c r="L450" s="496"/>
      <c r="M450" s="496"/>
      <c r="N450" s="817">
        <v>0</v>
      </c>
      <c r="O450" s="496"/>
      <c r="P450" s="496"/>
      <c r="Q450" s="571"/>
      <c r="R450" s="571"/>
      <c r="S450" s="571"/>
      <c r="T450" s="571"/>
      <c r="U450" s="571"/>
      <c r="V450" s="571"/>
      <c r="W450" s="571"/>
      <c r="X450" s="571"/>
      <c r="Y450" s="571"/>
      <c r="Z450" s="571"/>
    </row>
    <row r="451" spans="1:26" ht="18.75">
      <c r="A451" s="567"/>
      <c r="B451" s="568"/>
      <c r="C451" s="754"/>
      <c r="D451" s="754"/>
      <c r="E451" s="754"/>
      <c r="F451" s="754" t="s">
        <v>187</v>
      </c>
      <c r="G451" s="189"/>
      <c r="H451" s="161" t="s">
        <v>12</v>
      </c>
      <c r="I451" s="269"/>
      <c r="J451" s="269"/>
      <c r="K451" s="496"/>
      <c r="L451" s="496"/>
      <c r="M451" s="496"/>
      <c r="N451" s="817">
        <v>0</v>
      </c>
      <c r="O451" s="496"/>
      <c r="P451" s="496"/>
      <c r="Q451" s="571"/>
      <c r="R451" s="571"/>
      <c r="S451" s="571"/>
      <c r="T451" s="571"/>
      <c r="U451" s="571"/>
      <c r="V451" s="571"/>
      <c r="W451" s="571"/>
      <c r="X451" s="571"/>
      <c r="Y451" s="571"/>
      <c r="Z451" s="571"/>
    </row>
    <row r="452" spans="1:26" ht="18.75">
      <c r="A452" s="567"/>
      <c r="B452" s="568"/>
      <c r="C452" s="568"/>
      <c r="D452" s="568"/>
      <c r="E452" s="568"/>
      <c r="F452" s="754" t="s">
        <v>188</v>
      </c>
      <c r="G452" s="189"/>
      <c r="H452" s="161" t="s">
        <v>12</v>
      </c>
      <c r="I452" s="269"/>
      <c r="J452" s="269"/>
      <c r="K452" s="496"/>
      <c r="L452" s="496"/>
      <c r="M452" s="496"/>
      <c r="N452" s="817">
        <v>0</v>
      </c>
      <c r="O452" s="496"/>
      <c r="P452" s="496"/>
      <c r="Q452" s="571"/>
      <c r="R452" s="571"/>
      <c r="S452" s="571"/>
      <c r="T452" s="571"/>
      <c r="U452" s="571"/>
      <c r="V452" s="571"/>
      <c r="W452" s="571"/>
      <c r="X452" s="571"/>
      <c r="Y452" s="571"/>
      <c r="Z452" s="571"/>
    </row>
    <row r="453" spans="1:26" ht="18.75">
      <c r="A453" s="567"/>
      <c r="B453" s="568"/>
      <c r="C453" s="568"/>
      <c r="D453" s="568"/>
      <c r="E453" s="568"/>
      <c r="F453" s="754" t="s">
        <v>189</v>
      </c>
      <c r="G453" s="189"/>
      <c r="H453" s="161" t="s">
        <v>12</v>
      </c>
      <c r="I453" s="269"/>
      <c r="J453" s="269"/>
      <c r="K453" s="496"/>
      <c r="L453" s="496"/>
      <c r="M453" s="496"/>
      <c r="N453" s="817">
        <v>3600</v>
      </c>
      <c r="O453" s="496"/>
      <c r="P453" s="496"/>
      <c r="Q453" s="571"/>
      <c r="R453" s="571"/>
      <c r="S453" s="571"/>
      <c r="T453" s="571"/>
      <c r="U453" s="571"/>
      <c r="V453" s="571"/>
      <c r="W453" s="571"/>
      <c r="X453" s="571"/>
      <c r="Y453" s="571"/>
      <c r="Z453" s="571"/>
    </row>
    <row r="454" spans="1:26" ht="18.75">
      <c r="A454" s="590"/>
      <c r="B454" s="568"/>
      <c r="C454" s="568"/>
      <c r="D454" s="599" t="s">
        <v>21</v>
      </c>
      <c r="E454" s="568"/>
      <c r="F454" s="754"/>
      <c r="G454" s="189"/>
      <c r="H454" s="168" t="s">
        <v>12</v>
      </c>
      <c r="I454" s="184"/>
      <c r="J454" s="184"/>
      <c r="K454" s="163"/>
      <c r="L454" s="496">
        <f t="shared" ref="L454:N454" ca="1" si="202">L455+L456</f>
        <v>0</v>
      </c>
      <c r="M454" s="496">
        <f t="shared" si="202"/>
        <v>0</v>
      </c>
      <c r="N454" s="496">
        <f t="shared" si="202"/>
        <v>0</v>
      </c>
      <c r="O454" s="496">
        <f t="shared" ref="O454:O456" ca="1" si="203">IF(L454&gt;0,N454*100/L454,0)</f>
        <v>0</v>
      </c>
      <c r="P454" s="496">
        <f t="shared" ref="P454:P456" si="204">IF(M454&gt;0,N454*100/M454,0)</f>
        <v>0</v>
      </c>
      <c r="Q454" s="571"/>
      <c r="R454" s="571"/>
      <c r="S454" s="571"/>
      <c r="T454" s="571"/>
      <c r="U454" s="571"/>
      <c r="V454" s="571"/>
      <c r="W454" s="571"/>
      <c r="X454" s="571"/>
      <c r="Y454" s="571"/>
      <c r="Z454" s="571"/>
    </row>
    <row r="455" spans="1:26" ht="18.75" hidden="1">
      <c r="A455" s="592"/>
      <c r="B455" s="600"/>
      <c r="C455" s="600"/>
      <c r="D455" s="600"/>
      <c r="E455" s="600" t="s">
        <v>18</v>
      </c>
      <c r="F455" s="750"/>
      <c r="G455" s="596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597"/>
      <c r="R455" s="597"/>
      <c r="S455" s="597"/>
      <c r="T455" s="597"/>
      <c r="U455" s="597"/>
      <c r="V455" s="597"/>
      <c r="W455" s="597"/>
      <c r="X455" s="597"/>
      <c r="Y455" s="597"/>
      <c r="Z455" s="597"/>
    </row>
    <row r="456" spans="1:26" ht="18.75" hidden="1">
      <c r="A456" s="592"/>
      <c r="B456" s="600"/>
      <c r="C456" s="600"/>
      <c r="D456" s="600"/>
      <c r="E456" s="600" t="s">
        <v>19</v>
      </c>
      <c r="F456" s="750"/>
      <c r="G456" s="596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IFERROR(__xludf.DUMMYFUNCTION("IMPORTRANGE(""https://docs.google.com/spreadsheets/d/1QqKyyYR6Q21VydFLVH3TRQUabQu_ym0Zz7PgGX0-kHA/edit?usp=sharing"",""แผน!FM56"")"),0)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597"/>
      <c r="R456" s="597"/>
      <c r="S456" s="597"/>
      <c r="T456" s="597"/>
      <c r="U456" s="597"/>
      <c r="V456" s="597"/>
      <c r="W456" s="597"/>
      <c r="X456" s="597"/>
      <c r="Y456" s="597"/>
      <c r="Z456" s="597"/>
    </row>
    <row r="457" spans="1:26" ht="19.5">
      <c r="A457" s="601"/>
      <c r="B457" s="611"/>
      <c r="C457" s="568" t="s">
        <v>16</v>
      </c>
      <c r="D457" s="836" t="s">
        <v>38</v>
      </c>
      <c r="E457" s="604"/>
      <c r="F457" s="752"/>
      <c r="G457" s="606"/>
      <c r="H457" s="753"/>
      <c r="I457" s="269"/>
      <c r="J457" s="269"/>
      <c r="K457" s="496"/>
      <c r="L457" s="496"/>
      <c r="M457" s="496"/>
      <c r="N457" s="496"/>
      <c r="O457" s="496"/>
      <c r="P457" s="496"/>
      <c r="Q457" s="571"/>
      <c r="R457" s="571"/>
      <c r="S457" s="571"/>
      <c r="T457" s="571"/>
      <c r="U457" s="571"/>
      <c r="V457" s="571"/>
      <c r="W457" s="571"/>
      <c r="X457" s="571"/>
      <c r="Y457" s="571"/>
      <c r="Z457" s="571"/>
    </row>
    <row r="458" spans="1:26" ht="18.75" hidden="1">
      <c r="A458" s="607"/>
      <c r="B458" s="609"/>
      <c r="C458" s="609"/>
      <c r="D458" s="609" t="s">
        <v>200</v>
      </c>
      <c r="E458" s="609"/>
      <c r="F458" s="711"/>
      <c r="G458" s="365"/>
      <c r="H458" s="369" t="s">
        <v>35</v>
      </c>
      <c r="I458" s="610">
        <v>0</v>
      </c>
      <c r="J458" s="610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597"/>
      <c r="R458" s="597"/>
      <c r="S458" s="597"/>
      <c r="T458" s="597"/>
      <c r="U458" s="597"/>
      <c r="V458" s="597"/>
      <c r="W458" s="597"/>
      <c r="X458" s="597"/>
      <c r="Y458" s="597"/>
      <c r="Z458" s="597"/>
    </row>
    <row r="459" spans="1:26" ht="18.75" hidden="1">
      <c r="A459" s="607"/>
      <c r="B459" s="609"/>
      <c r="C459" s="609"/>
      <c r="D459" s="609" t="s">
        <v>201</v>
      </c>
      <c r="E459" s="609"/>
      <c r="F459" s="711"/>
      <c r="G459" s="365"/>
      <c r="H459" s="369"/>
      <c r="I459" s="610"/>
      <c r="J459" s="610"/>
      <c r="K459" s="93"/>
      <c r="L459" s="93"/>
      <c r="M459" s="93"/>
      <c r="N459" s="93"/>
      <c r="O459" s="93"/>
      <c r="P459" s="93"/>
      <c r="Q459" s="597"/>
      <c r="R459" s="597"/>
      <c r="S459" s="597"/>
      <c r="T459" s="597"/>
      <c r="U459" s="597"/>
      <c r="V459" s="597"/>
      <c r="W459" s="597"/>
      <c r="X459" s="597"/>
      <c r="Y459" s="597"/>
      <c r="Z459" s="597"/>
    </row>
    <row r="460" spans="1:26" ht="18.75">
      <c r="A460" s="601"/>
      <c r="B460" s="611"/>
      <c r="C460" s="611"/>
      <c r="D460" s="611" t="s">
        <v>202</v>
      </c>
      <c r="E460" s="611"/>
      <c r="F460" s="619"/>
      <c r="G460" s="753"/>
      <c r="H460" s="755" t="s">
        <v>35</v>
      </c>
      <c r="I460" s="269">
        <f ca="1">IFERROR(__xludf.DUMMYFUNCTION("IMPORTRANGE(""https://docs.google.com/spreadsheets/d/1QqKyyYR6Q21VydFLVH3TRQUabQu_ym0Zz7PgGX0-kHA/edit?usp=sharing"",""แผน!FN56"")"),15)</f>
        <v>15</v>
      </c>
      <c r="J460" s="214">
        <v>0</v>
      </c>
      <c r="K460" s="496">
        <f ca="1">IF(I460&gt;0,J460*100/I460,0)</f>
        <v>0</v>
      </c>
      <c r="L460" s="496"/>
      <c r="M460" s="496"/>
      <c r="N460" s="496"/>
      <c r="O460" s="496"/>
      <c r="P460" s="496"/>
      <c r="Q460" s="571"/>
      <c r="R460" s="571"/>
      <c r="S460" s="571"/>
      <c r="T460" s="571"/>
      <c r="U460" s="571"/>
      <c r="V460" s="571"/>
      <c r="W460" s="571"/>
      <c r="X460" s="571"/>
      <c r="Y460" s="571"/>
      <c r="Z460" s="571"/>
    </row>
    <row r="461" spans="1:26" ht="18.75">
      <c r="A461" s="601"/>
      <c r="B461" s="611"/>
      <c r="C461" s="611"/>
      <c r="D461" s="611" t="s">
        <v>203</v>
      </c>
      <c r="E461" s="619"/>
      <c r="F461" s="619"/>
      <c r="G461" s="753"/>
      <c r="H461" s="755"/>
      <c r="I461" s="269"/>
      <c r="J461" s="269"/>
      <c r="K461" s="496"/>
      <c r="L461" s="496"/>
      <c r="M461" s="496"/>
      <c r="N461" s="496"/>
      <c r="O461" s="496"/>
      <c r="P461" s="496"/>
      <c r="Q461" s="571"/>
      <c r="R461" s="571"/>
      <c r="S461" s="571"/>
      <c r="T461" s="571"/>
      <c r="U461" s="571"/>
      <c r="V461" s="571"/>
      <c r="W461" s="571"/>
      <c r="X461" s="571"/>
      <c r="Y461" s="571"/>
      <c r="Z461" s="571"/>
    </row>
    <row r="462" spans="1:26" ht="18.75">
      <c r="A462" s="601"/>
      <c r="B462" s="611"/>
      <c r="C462" s="611"/>
      <c r="D462" s="611" t="s">
        <v>204</v>
      </c>
      <c r="E462" s="619"/>
      <c r="F462" s="619"/>
      <c r="G462" s="753"/>
      <c r="H462" s="755" t="s">
        <v>46</v>
      </c>
      <c r="I462" s="269">
        <f ca="1">IFERROR(__xludf.DUMMYFUNCTION("IMPORTRANGE(""https://docs.google.com/spreadsheets/d/1QqKyyYR6Q21VydFLVH3TRQUabQu_ym0Zz7PgGX0-kHA/edit?usp=sharing"",""แผน!FO56"")"),15)</f>
        <v>15</v>
      </c>
      <c r="J462" s="214">
        <v>0</v>
      </c>
      <c r="K462" s="496">
        <f ca="1">IF(I462&gt;0,J462*100/I462,0)</f>
        <v>0</v>
      </c>
      <c r="L462" s="496"/>
      <c r="M462" s="496"/>
      <c r="N462" s="496"/>
      <c r="O462" s="496"/>
      <c r="P462" s="496"/>
      <c r="Q462" s="571"/>
      <c r="R462" s="571"/>
      <c r="S462" s="571"/>
      <c r="T462" s="571"/>
      <c r="U462" s="571"/>
      <c r="V462" s="571"/>
      <c r="W462" s="571"/>
      <c r="X462" s="571"/>
      <c r="Y462" s="571"/>
      <c r="Z462" s="571"/>
    </row>
    <row r="463" spans="1:26" ht="18.75">
      <c r="A463" s="601"/>
      <c r="B463" s="611"/>
      <c r="C463" s="611"/>
      <c r="D463" s="611" t="s">
        <v>59</v>
      </c>
      <c r="E463" s="619"/>
      <c r="F463" s="754"/>
      <c r="G463" s="189"/>
      <c r="H463" s="755" t="s">
        <v>46</v>
      </c>
      <c r="I463" s="269">
        <f ca="1">IFERROR(__xludf.DUMMYFUNCTION("IMPORTRANGE(""https://docs.google.com/spreadsheets/d/1QqKyyYR6Q21VydFLVH3TRQUabQu_ym0Zz7PgGX0-kHA/edit?usp=sharing"",""แผน!FO56"")"),15)</f>
        <v>15</v>
      </c>
      <c r="J463" s="214">
        <v>0</v>
      </c>
      <c r="K463" s="496"/>
      <c r="L463" s="496"/>
      <c r="M463" s="496"/>
      <c r="N463" s="496"/>
      <c r="O463" s="496"/>
      <c r="P463" s="496"/>
      <c r="Q463" s="571"/>
      <c r="R463" s="571"/>
      <c r="S463" s="571"/>
      <c r="T463" s="571"/>
      <c r="U463" s="571"/>
      <c r="V463" s="571"/>
      <c r="W463" s="571"/>
      <c r="X463" s="571"/>
      <c r="Y463" s="571"/>
      <c r="Z463" s="571"/>
    </row>
    <row r="464" spans="1:26" ht="19.5">
      <c r="A464" s="601"/>
      <c r="B464" s="611"/>
      <c r="C464" s="611"/>
      <c r="D464" s="611"/>
      <c r="E464" s="619"/>
      <c r="F464" s="619"/>
      <c r="G464" s="613"/>
      <c r="H464" s="755" t="s">
        <v>35</v>
      </c>
      <c r="I464" s="269">
        <f ca="1">IFERROR(__xludf.DUMMYFUNCTION("IMPORTRANGE(""https://docs.google.com/spreadsheets/d/1QqKyyYR6Q21VydFLVH3TRQUabQu_ym0Zz7PgGX0-kHA/edit?usp=sharing"",""แผน!FN56"")"),15)</f>
        <v>15</v>
      </c>
      <c r="J464" s="214">
        <v>0</v>
      </c>
      <c r="K464" s="496"/>
      <c r="L464" s="496"/>
      <c r="M464" s="496"/>
      <c r="N464" s="496"/>
      <c r="O464" s="496"/>
      <c r="P464" s="496"/>
      <c r="Q464" s="571"/>
      <c r="R464" s="571"/>
      <c r="S464" s="571"/>
      <c r="T464" s="571"/>
      <c r="U464" s="571"/>
      <c r="V464" s="571"/>
      <c r="W464" s="571"/>
      <c r="X464" s="571"/>
      <c r="Y464" s="571"/>
      <c r="Z464" s="571"/>
    </row>
    <row r="465" spans="1:26" ht="19.5">
      <c r="A465" s="578">
        <v>3</v>
      </c>
      <c r="B465" s="579" t="s">
        <v>205</v>
      </c>
      <c r="C465" s="580"/>
      <c r="D465" s="580"/>
      <c r="E465" s="580"/>
      <c r="F465" s="580"/>
      <c r="G465" s="581"/>
      <c r="H465" s="582" t="s">
        <v>35</v>
      </c>
      <c r="I465" s="583">
        <f ca="1">IFERROR(__xludf.DUMMYFUNCTION("IMPORTRANGE(""https://docs.google.com/spreadsheets/d/1QqKyyYR6Q21VydFLVH3TRQUabQu_ym0Zz7PgGX0-kHA/edit?usp=sharing"",""แผน!FX56"")"),41)</f>
        <v>41</v>
      </c>
      <c r="J465" s="583">
        <f>J485+J489+J492</f>
        <v>0</v>
      </c>
      <c r="K465" s="584">
        <f t="shared" ref="K465:K466" ca="1" si="205">IF(I465&gt;0,J465*100/I465,0)</f>
        <v>0</v>
      </c>
      <c r="L465" s="585"/>
      <c r="M465" s="585"/>
      <c r="N465" s="585"/>
      <c r="O465" s="585"/>
      <c r="P465" s="585"/>
      <c r="Q465" s="571"/>
      <c r="R465" s="571"/>
      <c r="S465" s="571"/>
      <c r="T465" s="571"/>
      <c r="U465" s="571"/>
      <c r="V465" s="571"/>
      <c r="W465" s="571"/>
      <c r="X465" s="571"/>
      <c r="Y465" s="571"/>
      <c r="Z465" s="571"/>
    </row>
    <row r="466" spans="1:26" ht="19.5">
      <c r="A466" s="586"/>
      <c r="B466" s="587"/>
      <c r="C466" s="588"/>
      <c r="D466" s="588"/>
      <c r="E466" s="588"/>
      <c r="F466" s="588"/>
      <c r="G466" s="589"/>
      <c r="H466" s="562" t="s">
        <v>46</v>
      </c>
      <c r="I466" s="563">
        <f ca="1">IFERROR(__xludf.DUMMYFUNCTION("IMPORTRANGE(""https://docs.google.com/spreadsheets/d/1QqKyyYR6Q21VydFLVH3TRQUabQu_ym0Zz7PgGX0-kHA/edit?usp=sharing"",""แผน!FW56"")"),400)</f>
        <v>400</v>
      </c>
      <c r="J466" s="563">
        <f>J483+J487</f>
        <v>0</v>
      </c>
      <c r="K466" s="564">
        <f t="shared" ca="1" si="205"/>
        <v>0</v>
      </c>
      <c r="L466" s="565"/>
      <c r="M466" s="565"/>
      <c r="N466" s="565"/>
      <c r="O466" s="565"/>
      <c r="P466" s="565"/>
      <c r="Q466" s="571"/>
      <c r="R466" s="571"/>
      <c r="S466" s="571"/>
      <c r="T466" s="571"/>
      <c r="U466" s="571"/>
      <c r="V466" s="571"/>
      <c r="W466" s="571"/>
      <c r="X466" s="571"/>
      <c r="Y466" s="571"/>
      <c r="Z466" s="571"/>
    </row>
    <row r="467" spans="1:26" ht="19.5">
      <c r="A467" s="590"/>
      <c r="B467" s="754"/>
      <c r="C467" s="754" t="s">
        <v>16</v>
      </c>
      <c r="D467" s="863" t="s">
        <v>17</v>
      </c>
      <c r="E467" s="857"/>
      <c r="F467" s="857"/>
      <c r="G467" s="189"/>
      <c r="H467" s="591" t="s">
        <v>12</v>
      </c>
      <c r="I467" s="269"/>
      <c r="J467" s="269"/>
      <c r="K467" s="496"/>
      <c r="L467" s="195">
        <f t="shared" ref="L467:N467" ca="1" si="206">L468+L469</f>
        <v>327863</v>
      </c>
      <c r="M467" s="195">
        <f t="shared" si="206"/>
        <v>0</v>
      </c>
      <c r="N467" s="195">
        <f t="shared" si="206"/>
        <v>5265</v>
      </c>
      <c r="O467" s="195">
        <f t="shared" ref="O467:O472" ca="1" si="207">IF(L467&gt;0,N467*100/L467,0)</f>
        <v>1.6058536644879111</v>
      </c>
      <c r="P467" s="195">
        <f t="shared" ref="P467:P472" si="208">IF(M467&gt;0,N467*100/M467,0)</f>
        <v>0</v>
      </c>
      <c r="Q467" s="571"/>
      <c r="R467" s="571"/>
      <c r="S467" s="571"/>
      <c r="T467" s="571"/>
      <c r="U467" s="571"/>
      <c r="V467" s="571"/>
      <c r="W467" s="571"/>
      <c r="X467" s="571"/>
      <c r="Y467" s="571"/>
      <c r="Z467" s="571"/>
    </row>
    <row r="468" spans="1:26" ht="18.75" hidden="1">
      <c r="A468" s="592"/>
      <c r="B468" s="750"/>
      <c r="C468" s="750"/>
      <c r="D468" s="711"/>
      <c r="E468" s="750" t="s">
        <v>184</v>
      </c>
      <c r="F468" s="750"/>
      <c r="G468" s="596"/>
      <c r="H468" s="165" t="s">
        <v>12</v>
      </c>
      <c r="I468" s="610"/>
      <c r="J468" s="610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597"/>
      <c r="R468" s="597"/>
      <c r="S468" s="597"/>
      <c r="T468" s="597"/>
      <c r="U468" s="597"/>
      <c r="V468" s="597"/>
      <c r="W468" s="597"/>
      <c r="X468" s="597"/>
      <c r="Y468" s="597"/>
      <c r="Z468" s="597"/>
    </row>
    <row r="469" spans="1:26" ht="18.75" hidden="1">
      <c r="A469" s="592"/>
      <c r="B469" s="600"/>
      <c r="C469" s="750"/>
      <c r="D469" s="711"/>
      <c r="E469" s="750" t="s">
        <v>185</v>
      </c>
      <c r="F469" s="750"/>
      <c r="G469" s="596"/>
      <c r="H469" s="165" t="s">
        <v>12</v>
      </c>
      <c r="I469" s="610"/>
      <c r="J469" s="610"/>
      <c r="K469" s="93"/>
      <c r="L469" s="93">
        <f t="shared" ca="1" si="209"/>
        <v>327863</v>
      </c>
      <c r="M469" s="93">
        <f t="shared" si="209"/>
        <v>0</v>
      </c>
      <c r="N469" s="93">
        <f t="shared" si="209"/>
        <v>5265</v>
      </c>
      <c r="O469" s="93">
        <f t="shared" ca="1" si="207"/>
        <v>1.6058536644879111</v>
      </c>
      <c r="P469" s="93">
        <f t="shared" si="208"/>
        <v>0</v>
      </c>
      <c r="Q469" s="597"/>
      <c r="R469" s="597"/>
      <c r="S469" s="597"/>
      <c r="T469" s="597"/>
      <c r="U469" s="597"/>
      <c r="V469" s="597"/>
      <c r="W469" s="597"/>
      <c r="X469" s="597"/>
      <c r="Y469" s="597"/>
      <c r="Z469" s="597"/>
    </row>
    <row r="470" spans="1:26" ht="18.75">
      <c r="A470" s="590"/>
      <c r="B470" s="568"/>
      <c r="C470" s="754"/>
      <c r="D470" s="599" t="s">
        <v>20</v>
      </c>
      <c r="E470" s="754"/>
      <c r="F470" s="754"/>
      <c r="G470" s="189"/>
      <c r="H470" s="161" t="s">
        <v>12</v>
      </c>
      <c r="I470" s="184"/>
      <c r="J470" s="184"/>
      <c r="K470" s="163"/>
      <c r="L470" s="496">
        <f t="shared" ref="L470:N470" ca="1" si="210">L471+L472</f>
        <v>327863</v>
      </c>
      <c r="M470" s="496">
        <f t="shared" si="210"/>
        <v>0</v>
      </c>
      <c r="N470" s="496">
        <f t="shared" si="210"/>
        <v>5265</v>
      </c>
      <c r="O470" s="496">
        <f t="shared" ca="1" si="207"/>
        <v>1.6058536644879111</v>
      </c>
      <c r="P470" s="496">
        <f t="shared" si="208"/>
        <v>0</v>
      </c>
      <c r="Q470" s="571"/>
      <c r="R470" s="571"/>
      <c r="S470" s="571"/>
      <c r="T470" s="571"/>
      <c r="U470" s="571"/>
      <c r="V470" s="571"/>
      <c r="W470" s="571"/>
      <c r="X470" s="571"/>
      <c r="Y470" s="571"/>
      <c r="Z470" s="571"/>
    </row>
    <row r="471" spans="1:26" ht="18.75" hidden="1">
      <c r="A471" s="592"/>
      <c r="B471" s="600"/>
      <c r="C471" s="750"/>
      <c r="D471" s="711"/>
      <c r="E471" s="750" t="s">
        <v>184</v>
      </c>
      <c r="F471" s="750"/>
      <c r="G471" s="596"/>
      <c r="H471" s="165" t="s">
        <v>12</v>
      </c>
      <c r="I471" s="610"/>
      <c r="J471" s="610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597"/>
      <c r="R471" s="597"/>
      <c r="S471" s="597"/>
      <c r="T471" s="597"/>
      <c r="U471" s="597"/>
      <c r="V471" s="597"/>
      <c r="W471" s="597"/>
      <c r="X471" s="597"/>
      <c r="Y471" s="597"/>
      <c r="Z471" s="597"/>
    </row>
    <row r="472" spans="1:26" ht="18.75" hidden="1">
      <c r="A472" s="592"/>
      <c r="B472" s="600"/>
      <c r="C472" s="750"/>
      <c r="D472" s="711"/>
      <c r="E472" s="750" t="s">
        <v>185</v>
      </c>
      <c r="F472" s="750"/>
      <c r="G472" s="596"/>
      <c r="H472" s="165" t="s">
        <v>12</v>
      </c>
      <c r="I472" s="610"/>
      <c r="J472" s="610"/>
      <c r="K472" s="93"/>
      <c r="L472" s="93">
        <f ca="1">IFERROR(__xludf.DUMMYFUNCTION("IMPORTRANGE(""https://docs.google.com/spreadsheets/d/1QqKyyYR6Q21VydFLVH3TRQUabQu_ym0Zz7PgGX0-kHA/edit?usp=sharing"",""แผน!FS56"")"),327863)</f>
        <v>327863</v>
      </c>
      <c r="M472" s="93">
        <v>0</v>
      </c>
      <c r="N472" s="93">
        <f>N473+N474+N475+N476</f>
        <v>5265</v>
      </c>
      <c r="O472" s="93">
        <f t="shared" ca="1" si="207"/>
        <v>1.6058536644879111</v>
      </c>
      <c r="P472" s="93">
        <f t="shared" si="208"/>
        <v>0</v>
      </c>
      <c r="Q472" s="597"/>
      <c r="R472" s="597"/>
      <c r="S472" s="597"/>
      <c r="T472" s="597"/>
      <c r="U472" s="597"/>
      <c r="V472" s="597"/>
      <c r="W472" s="597"/>
      <c r="X472" s="597"/>
      <c r="Y472" s="597"/>
      <c r="Z472" s="597"/>
    </row>
    <row r="473" spans="1:26" ht="18.75">
      <c r="A473" s="567"/>
      <c r="B473" s="568"/>
      <c r="C473" s="754"/>
      <c r="D473" s="754"/>
      <c r="E473" s="754"/>
      <c r="F473" s="754" t="s">
        <v>186</v>
      </c>
      <c r="G473" s="189"/>
      <c r="H473" s="161" t="s">
        <v>12</v>
      </c>
      <c r="I473" s="269"/>
      <c r="J473" s="269"/>
      <c r="K473" s="496"/>
      <c r="L473" s="496"/>
      <c r="M473" s="496"/>
      <c r="N473" s="817">
        <v>0</v>
      </c>
      <c r="O473" s="496"/>
      <c r="P473" s="496"/>
      <c r="Q473" s="571"/>
      <c r="R473" s="571"/>
      <c r="S473" s="571"/>
      <c r="T473" s="571"/>
      <c r="U473" s="571"/>
      <c r="V473" s="571"/>
      <c r="W473" s="571"/>
      <c r="X473" s="571"/>
      <c r="Y473" s="571"/>
      <c r="Z473" s="571"/>
    </row>
    <row r="474" spans="1:26" ht="18.75">
      <c r="A474" s="567"/>
      <c r="B474" s="568"/>
      <c r="C474" s="754"/>
      <c r="D474" s="754"/>
      <c r="E474" s="754"/>
      <c r="F474" s="754" t="s">
        <v>187</v>
      </c>
      <c r="G474" s="189"/>
      <c r="H474" s="161" t="s">
        <v>12</v>
      </c>
      <c r="I474" s="269"/>
      <c r="J474" s="269"/>
      <c r="K474" s="496"/>
      <c r="L474" s="496"/>
      <c r="M474" s="496"/>
      <c r="N474" s="817">
        <v>0</v>
      </c>
      <c r="O474" s="496"/>
      <c r="P474" s="496"/>
      <c r="Q474" s="571"/>
      <c r="R474" s="571"/>
      <c r="S474" s="571"/>
      <c r="T474" s="571"/>
      <c r="U474" s="571"/>
      <c r="V474" s="571"/>
      <c r="W474" s="571"/>
      <c r="X474" s="571"/>
      <c r="Y474" s="571"/>
      <c r="Z474" s="571"/>
    </row>
    <row r="475" spans="1:26" ht="18.75">
      <c r="A475" s="567"/>
      <c r="B475" s="568"/>
      <c r="C475" s="568"/>
      <c r="D475" s="568"/>
      <c r="E475" s="568"/>
      <c r="F475" s="754" t="s">
        <v>188</v>
      </c>
      <c r="G475" s="189"/>
      <c r="H475" s="161" t="s">
        <v>12</v>
      </c>
      <c r="I475" s="269"/>
      <c r="J475" s="269"/>
      <c r="K475" s="496"/>
      <c r="L475" s="496"/>
      <c r="M475" s="496"/>
      <c r="N475" s="817">
        <v>0</v>
      </c>
      <c r="O475" s="496"/>
      <c r="P475" s="496"/>
      <c r="Q475" s="571"/>
      <c r="R475" s="571"/>
      <c r="S475" s="571"/>
      <c r="T475" s="571"/>
      <c r="U475" s="571"/>
      <c r="V475" s="571"/>
      <c r="W475" s="571"/>
      <c r="X475" s="571"/>
      <c r="Y475" s="571"/>
      <c r="Z475" s="571"/>
    </row>
    <row r="476" spans="1:26" ht="18.75">
      <c r="A476" s="567"/>
      <c r="B476" s="568"/>
      <c r="C476" s="568"/>
      <c r="D476" s="568"/>
      <c r="E476" s="568"/>
      <c r="F476" s="754" t="s">
        <v>189</v>
      </c>
      <c r="G476" s="189"/>
      <c r="H476" s="161" t="s">
        <v>12</v>
      </c>
      <c r="I476" s="269"/>
      <c r="J476" s="269"/>
      <c r="K476" s="496"/>
      <c r="L476" s="496"/>
      <c r="M476" s="496"/>
      <c r="N476" s="817">
        <v>5265</v>
      </c>
      <c r="O476" s="496"/>
      <c r="P476" s="496"/>
      <c r="Q476" s="571"/>
      <c r="R476" s="571"/>
      <c r="S476" s="571"/>
      <c r="T476" s="571"/>
      <c r="U476" s="571"/>
      <c r="V476" s="571"/>
      <c r="W476" s="571"/>
      <c r="X476" s="571"/>
      <c r="Y476" s="571"/>
      <c r="Z476" s="571"/>
    </row>
    <row r="477" spans="1:26" ht="18.75">
      <c r="A477" s="590"/>
      <c r="B477" s="568"/>
      <c r="C477" s="568"/>
      <c r="D477" s="599" t="s">
        <v>21</v>
      </c>
      <c r="E477" s="568"/>
      <c r="F477" s="568"/>
      <c r="G477" s="189"/>
      <c r="H477" s="168" t="s">
        <v>12</v>
      </c>
      <c r="I477" s="184"/>
      <c r="J477" s="184"/>
      <c r="K477" s="163"/>
      <c r="L477" s="496">
        <f t="shared" ref="L477:N477" ca="1" si="211">L478+L479</f>
        <v>0</v>
      </c>
      <c r="M477" s="496">
        <f t="shared" si="211"/>
        <v>0</v>
      </c>
      <c r="N477" s="496">
        <f t="shared" si="211"/>
        <v>0</v>
      </c>
      <c r="O477" s="496">
        <f t="shared" ref="O477:O479" ca="1" si="212">IF(L477&gt;0,N477*100/L477,0)</f>
        <v>0</v>
      </c>
      <c r="P477" s="496">
        <f t="shared" ref="P477:P479" si="213">IF(M477&gt;0,N477*100/M477,0)</f>
        <v>0</v>
      </c>
      <c r="Q477" s="571"/>
      <c r="R477" s="571"/>
      <c r="S477" s="571"/>
      <c r="T477" s="571"/>
      <c r="U477" s="571"/>
      <c r="V477" s="571"/>
      <c r="W477" s="571"/>
      <c r="X477" s="571"/>
      <c r="Y477" s="571"/>
      <c r="Z477" s="571"/>
    </row>
    <row r="478" spans="1:26" ht="18.75" hidden="1">
      <c r="A478" s="592"/>
      <c r="B478" s="600"/>
      <c r="C478" s="600"/>
      <c r="D478" s="600"/>
      <c r="E478" s="600" t="s">
        <v>18</v>
      </c>
      <c r="F478" s="600"/>
      <c r="G478" s="596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597"/>
      <c r="R478" s="597"/>
      <c r="S478" s="597"/>
      <c r="T478" s="597"/>
      <c r="U478" s="597"/>
      <c r="V478" s="597"/>
      <c r="W478" s="597"/>
      <c r="X478" s="597"/>
      <c r="Y478" s="597"/>
      <c r="Z478" s="597"/>
    </row>
    <row r="479" spans="1:26" ht="18.75" hidden="1">
      <c r="A479" s="592"/>
      <c r="B479" s="600"/>
      <c r="C479" s="600"/>
      <c r="D479" s="600"/>
      <c r="E479" s="600" t="s">
        <v>19</v>
      </c>
      <c r="F479" s="600"/>
      <c r="G479" s="596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IFERROR(__xludf.DUMMYFUNCTION("IMPORTRANGE(""https://docs.google.com/spreadsheets/d/1QqKyyYR6Q21VydFLVH3TRQUabQu_ym0Zz7PgGX0-kHA/edit?usp=sharing"",""แผน!FV56"")"),0)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597"/>
      <c r="R479" s="597"/>
      <c r="S479" s="597"/>
      <c r="T479" s="597"/>
      <c r="U479" s="597"/>
      <c r="V479" s="597"/>
      <c r="W479" s="597"/>
      <c r="X479" s="597"/>
      <c r="Y479" s="597"/>
      <c r="Z479" s="597"/>
    </row>
    <row r="480" spans="1:26" ht="19.5">
      <c r="A480" s="601"/>
      <c r="B480" s="611"/>
      <c r="C480" s="568" t="s">
        <v>16</v>
      </c>
      <c r="D480" s="837" t="s">
        <v>38</v>
      </c>
      <c r="E480" s="604"/>
      <c r="F480" s="752"/>
      <c r="G480" s="606"/>
      <c r="H480" s="753"/>
      <c r="I480" s="269"/>
      <c r="J480" s="269"/>
      <c r="K480" s="496"/>
      <c r="L480" s="496"/>
      <c r="M480" s="496"/>
      <c r="N480" s="496"/>
      <c r="O480" s="496"/>
      <c r="P480" s="496"/>
      <c r="Q480" s="571"/>
      <c r="R480" s="571"/>
      <c r="S480" s="571"/>
      <c r="T480" s="571"/>
      <c r="U480" s="571"/>
      <c r="V480" s="571"/>
      <c r="W480" s="571"/>
      <c r="X480" s="571"/>
      <c r="Y480" s="571"/>
      <c r="Z480" s="571"/>
    </row>
    <row r="481" spans="1:26" ht="19.5">
      <c r="A481" s="601"/>
      <c r="B481" s="611"/>
      <c r="C481" s="611"/>
      <c r="D481" s="618" t="s">
        <v>206</v>
      </c>
      <c r="E481" s="611"/>
      <c r="F481" s="611"/>
      <c r="G481" s="753"/>
      <c r="H481" s="189"/>
      <c r="I481" s="269"/>
      <c r="J481" s="269"/>
      <c r="K481" s="496"/>
      <c r="L481" s="496"/>
      <c r="M481" s="496"/>
      <c r="N481" s="496"/>
      <c r="O481" s="496"/>
      <c r="P481" s="496"/>
      <c r="Q481" s="571"/>
      <c r="R481" s="571"/>
      <c r="S481" s="571"/>
      <c r="T481" s="571"/>
      <c r="U481" s="571"/>
      <c r="V481" s="571"/>
      <c r="W481" s="571"/>
      <c r="X481" s="571"/>
      <c r="Y481" s="571"/>
      <c r="Z481" s="571"/>
    </row>
    <row r="482" spans="1:26" ht="18.75">
      <c r="A482" s="601"/>
      <c r="B482" s="611"/>
      <c r="C482" s="611"/>
      <c r="D482" s="611"/>
      <c r="E482" s="611" t="s">
        <v>207</v>
      </c>
      <c r="F482" s="611"/>
      <c r="G482" s="753"/>
      <c r="H482" s="189"/>
      <c r="I482" s="269"/>
      <c r="J482" s="269"/>
      <c r="K482" s="496"/>
      <c r="L482" s="496"/>
      <c r="M482" s="496"/>
      <c r="N482" s="496"/>
      <c r="O482" s="496"/>
      <c r="P482" s="496"/>
      <c r="Q482" s="571"/>
      <c r="R482" s="571"/>
      <c r="S482" s="571"/>
      <c r="T482" s="571"/>
      <c r="U482" s="571"/>
      <c r="V482" s="571"/>
      <c r="W482" s="571"/>
      <c r="X482" s="571"/>
      <c r="Y482" s="571"/>
      <c r="Z482" s="571"/>
    </row>
    <row r="483" spans="1:26" ht="18.75">
      <c r="A483" s="601"/>
      <c r="B483" s="611"/>
      <c r="C483" s="611"/>
      <c r="D483" s="611"/>
      <c r="E483" s="611"/>
      <c r="F483" s="611" t="s">
        <v>208</v>
      </c>
      <c r="G483" s="753"/>
      <c r="H483" s="616" t="s">
        <v>46</v>
      </c>
      <c r="I483" s="269">
        <f ca="1">IFERROR(__xludf.DUMMYFUNCTION("IMPORTRANGE(""https://docs.google.com/spreadsheets/d/1QqKyyYR6Q21VydFLVH3TRQUabQu_ym0Zz7PgGX0-kHA/edit?usp=sharing"",""แผน!FY56"")"),360)</f>
        <v>360</v>
      </c>
      <c r="J483" s="214">
        <v>0</v>
      </c>
      <c r="K483" s="496">
        <f ca="1">IF(I483&gt;0,J483*100/I483,0)</f>
        <v>0</v>
      </c>
      <c r="L483" s="496"/>
      <c r="M483" s="496"/>
      <c r="N483" s="496"/>
      <c r="O483" s="496"/>
      <c r="P483" s="496"/>
      <c r="Q483" s="571"/>
      <c r="R483" s="571"/>
      <c r="S483" s="571"/>
      <c r="T483" s="571"/>
      <c r="U483" s="571"/>
      <c r="V483" s="571"/>
      <c r="W483" s="571"/>
      <c r="X483" s="571"/>
      <c r="Y483" s="571"/>
      <c r="Z483" s="571"/>
    </row>
    <row r="484" spans="1:26" ht="18.75">
      <c r="A484" s="601"/>
      <c r="B484" s="611"/>
      <c r="C484" s="611"/>
      <c r="D484" s="611"/>
      <c r="E484" s="611"/>
      <c r="F484" s="611" t="s">
        <v>209</v>
      </c>
      <c r="G484" s="753"/>
      <c r="H484" s="616" t="s">
        <v>35</v>
      </c>
      <c r="I484" s="269"/>
      <c r="J484" s="214">
        <v>0</v>
      </c>
      <c r="K484" s="496"/>
      <c r="L484" s="496"/>
      <c r="M484" s="496"/>
      <c r="N484" s="496"/>
      <c r="O484" s="496"/>
      <c r="P484" s="496"/>
      <c r="Q484" s="571"/>
      <c r="R484" s="571"/>
      <c r="S484" s="571"/>
      <c r="T484" s="571"/>
      <c r="U484" s="571"/>
      <c r="V484" s="571"/>
      <c r="W484" s="571"/>
      <c r="X484" s="571"/>
      <c r="Y484" s="571"/>
      <c r="Z484" s="571"/>
    </row>
    <row r="485" spans="1:26" ht="18.75">
      <c r="A485" s="601"/>
      <c r="B485" s="611"/>
      <c r="C485" s="611"/>
      <c r="D485" s="611"/>
      <c r="E485" s="611"/>
      <c r="F485" s="611" t="s">
        <v>210</v>
      </c>
      <c r="G485" s="753"/>
      <c r="H485" s="616" t="s">
        <v>35</v>
      </c>
      <c r="I485" s="269">
        <f ca="1">IFERROR(__xludf.DUMMYFUNCTION("IMPORTRANGE(""https://docs.google.com/spreadsheets/d/1QqKyyYR6Q21VydFLVH3TRQUabQu_ym0Zz7PgGX0-kHA/edit?usp=sharing"",""แผน!FZ56"")"),36)</f>
        <v>36</v>
      </c>
      <c r="J485" s="214">
        <v>0</v>
      </c>
      <c r="K485" s="496">
        <f ca="1">IF(I485&gt;0,J485*100/I485,0)</f>
        <v>0</v>
      </c>
      <c r="L485" s="496"/>
      <c r="M485" s="496"/>
      <c r="N485" s="496"/>
      <c r="O485" s="496"/>
      <c r="P485" s="496"/>
      <c r="Q485" s="571"/>
      <c r="R485" s="571"/>
      <c r="S485" s="571"/>
      <c r="T485" s="571"/>
      <c r="U485" s="571"/>
      <c r="V485" s="571"/>
      <c r="W485" s="571"/>
      <c r="X485" s="571"/>
      <c r="Y485" s="571"/>
      <c r="Z485" s="571"/>
    </row>
    <row r="486" spans="1:26" ht="18.75">
      <c r="A486" s="601"/>
      <c r="B486" s="611"/>
      <c r="C486" s="611"/>
      <c r="D486" s="611"/>
      <c r="E486" s="611" t="s">
        <v>62</v>
      </c>
      <c r="F486" s="611"/>
      <c r="G486" s="753"/>
      <c r="H486" s="616"/>
      <c r="I486" s="269"/>
      <c r="J486" s="269"/>
      <c r="K486" s="496"/>
      <c r="L486" s="496"/>
      <c r="M486" s="496"/>
      <c r="N486" s="496"/>
      <c r="O486" s="496"/>
      <c r="P486" s="496"/>
      <c r="Q486" s="571"/>
      <c r="R486" s="571"/>
      <c r="S486" s="571"/>
      <c r="T486" s="571"/>
      <c r="U486" s="571"/>
      <c r="V486" s="571"/>
      <c r="W486" s="571"/>
      <c r="X486" s="571"/>
      <c r="Y486" s="571"/>
      <c r="Z486" s="571"/>
    </row>
    <row r="487" spans="1:26" ht="18.75">
      <c r="A487" s="601"/>
      <c r="B487" s="611"/>
      <c r="C487" s="611"/>
      <c r="D487" s="611"/>
      <c r="E487" s="611"/>
      <c r="F487" s="611" t="s">
        <v>208</v>
      </c>
      <c r="G487" s="753"/>
      <c r="H487" s="616" t="s">
        <v>46</v>
      </c>
      <c r="I487" s="269">
        <f ca="1">IFERROR(__xludf.DUMMYFUNCTION("IMPORTRANGE(""https://docs.google.com/spreadsheets/d/1QqKyyYR6Q21VydFLVH3TRQUabQu_ym0Zz7PgGX0-kHA/edit?usp=sharing"",""แผน!GA56"")"),40)</f>
        <v>40</v>
      </c>
      <c r="J487" s="214">
        <v>0</v>
      </c>
      <c r="K487" s="496">
        <f ca="1">IF(I487&gt;0,J487*100/I487,0)</f>
        <v>0</v>
      </c>
      <c r="L487" s="496"/>
      <c r="M487" s="496"/>
      <c r="N487" s="496"/>
      <c r="O487" s="496"/>
      <c r="P487" s="496"/>
      <c r="Q487" s="571"/>
      <c r="R487" s="571"/>
      <c r="S487" s="571"/>
      <c r="T487" s="571"/>
      <c r="U487" s="571"/>
      <c r="V487" s="571"/>
      <c r="W487" s="571"/>
      <c r="X487" s="571"/>
      <c r="Y487" s="571"/>
      <c r="Z487" s="571"/>
    </row>
    <row r="488" spans="1:26" ht="18.75">
      <c r="A488" s="601"/>
      <c r="B488" s="611"/>
      <c r="C488" s="611"/>
      <c r="D488" s="611"/>
      <c r="E488" s="611"/>
      <c r="F488" s="611" t="s">
        <v>211</v>
      </c>
      <c r="G488" s="753"/>
      <c r="H488" s="616" t="s">
        <v>35</v>
      </c>
      <c r="I488" s="269"/>
      <c r="J488" s="214">
        <v>0</v>
      </c>
      <c r="K488" s="496"/>
      <c r="L488" s="496"/>
      <c r="M488" s="496"/>
      <c r="N488" s="496"/>
      <c r="O488" s="496"/>
      <c r="P488" s="496"/>
      <c r="Q488" s="571"/>
      <c r="R488" s="571"/>
      <c r="S488" s="571"/>
      <c r="T488" s="571"/>
      <c r="U488" s="571"/>
      <c r="V488" s="571"/>
      <c r="W488" s="571"/>
      <c r="X488" s="571"/>
      <c r="Y488" s="571"/>
      <c r="Z488" s="571"/>
    </row>
    <row r="489" spans="1:26" ht="18.75">
      <c r="A489" s="601"/>
      <c r="B489" s="611"/>
      <c r="C489" s="611"/>
      <c r="D489" s="611"/>
      <c r="E489" s="611"/>
      <c r="F489" s="611" t="s">
        <v>212</v>
      </c>
      <c r="G489" s="753"/>
      <c r="H489" s="616" t="s">
        <v>35</v>
      </c>
      <c r="I489" s="269">
        <f ca="1">IFERROR(__xludf.DUMMYFUNCTION("IMPORTRANGE(""https://docs.google.com/spreadsheets/d/1QqKyyYR6Q21VydFLVH3TRQUabQu_ym0Zz7PgGX0-kHA/edit?usp=sharing"",""แผน!GB56"")"),4)</f>
        <v>4</v>
      </c>
      <c r="J489" s="214">
        <v>0</v>
      </c>
      <c r="K489" s="496">
        <f ca="1">IF(I489&gt;0,J489*100/I489,0)</f>
        <v>0</v>
      </c>
      <c r="L489" s="496"/>
      <c r="M489" s="496"/>
      <c r="N489" s="496"/>
      <c r="O489" s="496"/>
      <c r="P489" s="496"/>
      <c r="Q489" s="571"/>
      <c r="R489" s="571"/>
      <c r="S489" s="571"/>
      <c r="T489" s="571"/>
      <c r="U489" s="571"/>
      <c r="V489" s="571"/>
      <c r="W489" s="571"/>
      <c r="X489" s="571"/>
      <c r="Y489" s="571"/>
      <c r="Z489" s="571"/>
    </row>
    <row r="490" spans="1:26" ht="18.75">
      <c r="A490" s="601"/>
      <c r="B490" s="611"/>
      <c r="C490" s="611"/>
      <c r="D490" s="611"/>
      <c r="E490" s="611" t="s">
        <v>63</v>
      </c>
      <c r="F490" s="619"/>
      <c r="G490" s="753"/>
      <c r="H490" s="616"/>
      <c r="I490" s="269"/>
      <c r="J490" s="269"/>
      <c r="K490" s="496"/>
      <c r="L490" s="496"/>
      <c r="M490" s="496"/>
      <c r="N490" s="496"/>
      <c r="O490" s="496"/>
      <c r="P490" s="496"/>
      <c r="Q490" s="571"/>
      <c r="R490" s="571"/>
      <c r="S490" s="571"/>
      <c r="T490" s="571"/>
      <c r="U490" s="571"/>
      <c r="V490" s="571"/>
      <c r="W490" s="571"/>
      <c r="X490" s="571"/>
      <c r="Y490" s="571"/>
      <c r="Z490" s="571"/>
    </row>
    <row r="491" spans="1:26" ht="18.75">
      <c r="A491" s="601"/>
      <c r="B491" s="611"/>
      <c r="C491" s="611"/>
      <c r="D491" s="611"/>
      <c r="E491" s="611"/>
      <c r="F491" s="611" t="s">
        <v>213</v>
      </c>
      <c r="G491" s="753"/>
      <c r="H491" s="616" t="s">
        <v>35</v>
      </c>
      <c r="I491" s="269"/>
      <c r="J491" s="214">
        <v>0</v>
      </c>
      <c r="K491" s="496"/>
      <c r="L491" s="496"/>
      <c r="M491" s="496"/>
      <c r="N491" s="496"/>
      <c r="O491" s="496"/>
      <c r="P491" s="496"/>
      <c r="Q491" s="571"/>
      <c r="R491" s="571"/>
      <c r="S491" s="571"/>
      <c r="T491" s="571"/>
      <c r="U491" s="571"/>
      <c r="V491" s="571"/>
      <c r="W491" s="571"/>
      <c r="X491" s="571"/>
      <c r="Y491" s="571"/>
      <c r="Z491" s="571"/>
    </row>
    <row r="492" spans="1:26" ht="18.75">
      <c r="A492" s="601"/>
      <c r="B492" s="611"/>
      <c r="C492" s="611"/>
      <c r="D492" s="611"/>
      <c r="E492" s="611"/>
      <c r="F492" s="611" t="s">
        <v>214</v>
      </c>
      <c r="G492" s="753"/>
      <c r="H492" s="616" t="s">
        <v>35</v>
      </c>
      <c r="I492" s="269">
        <f ca="1">IFERROR(__xludf.DUMMYFUNCTION("IMPORTRANGE(""https://docs.google.com/spreadsheets/d/1QqKyyYR6Q21VydFLVH3TRQUabQu_ym0Zz7PgGX0-kHA/edit?usp=sharing"",""แผน!GC56"")"),1)</f>
        <v>1</v>
      </c>
      <c r="J492" s="214">
        <v>0</v>
      </c>
      <c r="K492" s="496">
        <f ca="1">IF(I492&gt;0,J492*100/I492,0)</f>
        <v>0</v>
      </c>
      <c r="L492" s="496"/>
      <c r="M492" s="496"/>
      <c r="N492" s="496"/>
      <c r="O492" s="496"/>
      <c r="P492" s="496"/>
      <c r="Q492" s="571"/>
      <c r="R492" s="571"/>
      <c r="S492" s="571"/>
      <c r="T492" s="571"/>
      <c r="U492" s="571"/>
      <c r="V492" s="571"/>
      <c r="W492" s="571"/>
      <c r="X492" s="571"/>
      <c r="Y492" s="571"/>
      <c r="Z492" s="571"/>
    </row>
    <row r="493" spans="1:26" ht="19.5">
      <c r="A493" s="601"/>
      <c r="B493" s="611"/>
      <c r="C493" s="611"/>
      <c r="D493" s="618" t="s">
        <v>59</v>
      </c>
      <c r="E493" s="611"/>
      <c r="F493" s="619"/>
      <c r="G493" s="753"/>
      <c r="H493" s="189"/>
      <c r="I493" s="269"/>
      <c r="J493" s="269"/>
      <c r="K493" s="496"/>
      <c r="L493" s="496"/>
      <c r="M493" s="496"/>
      <c r="N493" s="496"/>
      <c r="O493" s="496"/>
      <c r="P493" s="496"/>
      <c r="Q493" s="571"/>
      <c r="R493" s="571"/>
      <c r="S493" s="571"/>
      <c r="T493" s="571"/>
      <c r="U493" s="571"/>
      <c r="V493" s="571"/>
      <c r="W493" s="571"/>
      <c r="X493" s="571"/>
      <c r="Y493" s="571"/>
      <c r="Z493" s="571"/>
    </row>
    <row r="494" spans="1:26" ht="18.75">
      <c r="A494" s="601"/>
      <c r="B494" s="611"/>
      <c r="C494" s="611"/>
      <c r="D494" s="611"/>
      <c r="E494" s="611" t="s">
        <v>207</v>
      </c>
      <c r="F494" s="619"/>
      <c r="G494" s="753"/>
      <c r="H494" s="189"/>
      <c r="I494" s="269"/>
      <c r="J494" s="269"/>
      <c r="K494" s="496"/>
      <c r="L494" s="496"/>
      <c r="M494" s="496"/>
      <c r="N494" s="496"/>
      <c r="O494" s="496"/>
      <c r="P494" s="496"/>
      <c r="Q494" s="571"/>
      <c r="R494" s="571"/>
      <c r="S494" s="571"/>
      <c r="T494" s="571"/>
      <c r="U494" s="571"/>
      <c r="V494" s="571"/>
      <c r="W494" s="571"/>
      <c r="X494" s="571"/>
      <c r="Y494" s="571"/>
      <c r="Z494" s="571"/>
    </row>
    <row r="495" spans="1:26" ht="18.75">
      <c r="A495" s="601"/>
      <c r="B495" s="611"/>
      <c r="C495" s="611"/>
      <c r="D495" s="611"/>
      <c r="E495" s="611"/>
      <c r="F495" s="619" t="s">
        <v>215</v>
      </c>
      <c r="G495" s="753"/>
      <c r="H495" s="616" t="s">
        <v>46</v>
      </c>
      <c r="I495" s="269">
        <f ca="1">IFERROR(__xludf.DUMMYFUNCTION("IMPORTRANGE(""https://docs.google.com/spreadsheets/d/1QqKyyYR6Q21VydFLVH3TRQUabQu_ym0Zz7PgGX0-kHA/edit?usp=sharing"",""แผน!FY56"")"),360)</f>
        <v>360</v>
      </c>
      <c r="J495" s="214">
        <v>0</v>
      </c>
      <c r="K495" s="496">
        <f ca="1">IF(I495&gt;0,J495*100/I495,0)</f>
        <v>0</v>
      </c>
      <c r="L495" s="496"/>
      <c r="M495" s="496"/>
      <c r="N495" s="496"/>
      <c r="O495" s="496"/>
      <c r="P495" s="496"/>
      <c r="Q495" s="571"/>
      <c r="R495" s="571"/>
      <c r="S495" s="571"/>
      <c r="T495" s="571"/>
      <c r="U495" s="571"/>
      <c r="V495" s="571"/>
      <c r="W495" s="571"/>
      <c r="X495" s="571"/>
      <c r="Y495" s="571"/>
      <c r="Z495" s="571"/>
    </row>
    <row r="496" spans="1:26" ht="18.75">
      <c r="A496" s="601"/>
      <c r="B496" s="611"/>
      <c r="C496" s="611"/>
      <c r="D496" s="611"/>
      <c r="E496" s="611"/>
      <c r="F496" s="619" t="s">
        <v>216</v>
      </c>
      <c r="G496" s="753"/>
      <c r="H496" s="616" t="s">
        <v>46</v>
      </c>
      <c r="I496" s="269"/>
      <c r="J496" s="214">
        <v>0</v>
      </c>
      <c r="K496" s="496"/>
      <c r="L496" s="496"/>
      <c r="M496" s="496"/>
      <c r="N496" s="496"/>
      <c r="O496" s="496"/>
      <c r="P496" s="496"/>
      <c r="Q496" s="571"/>
      <c r="R496" s="571"/>
      <c r="S496" s="571"/>
      <c r="T496" s="571"/>
      <c r="U496" s="571"/>
      <c r="V496" s="571"/>
      <c r="W496" s="571"/>
      <c r="X496" s="571"/>
      <c r="Y496" s="571"/>
      <c r="Z496" s="571"/>
    </row>
    <row r="497" spans="1:26" ht="18.75">
      <c r="A497" s="601"/>
      <c r="B497" s="611"/>
      <c r="C497" s="611"/>
      <c r="D497" s="611"/>
      <c r="E497" s="611" t="s">
        <v>62</v>
      </c>
      <c r="F497" s="619"/>
      <c r="G497" s="753"/>
      <c r="H497" s="189"/>
      <c r="I497" s="269"/>
      <c r="J497" s="269"/>
      <c r="K497" s="496"/>
      <c r="L497" s="496"/>
      <c r="M497" s="496"/>
      <c r="N497" s="496"/>
      <c r="O497" s="496"/>
      <c r="P497" s="496"/>
      <c r="Q497" s="571"/>
      <c r="R497" s="571"/>
      <c r="S497" s="571"/>
      <c r="T497" s="571"/>
      <c r="U497" s="571"/>
      <c r="V497" s="571"/>
      <c r="W497" s="571"/>
      <c r="X497" s="571"/>
      <c r="Y497" s="571"/>
      <c r="Z497" s="571"/>
    </row>
    <row r="498" spans="1:26" ht="18.75">
      <c r="A498" s="601"/>
      <c r="B498" s="611"/>
      <c r="C498" s="611"/>
      <c r="D498" s="611"/>
      <c r="E498" s="619"/>
      <c r="F498" s="619" t="s">
        <v>217</v>
      </c>
      <c r="G498" s="753"/>
      <c r="H498" s="616" t="s">
        <v>46</v>
      </c>
      <c r="I498" s="269">
        <f ca="1">IFERROR(__xludf.DUMMYFUNCTION("IMPORTRANGE(""https://docs.google.com/spreadsheets/d/1QqKyyYR6Q21VydFLVH3TRQUabQu_ym0Zz7PgGX0-kHA/edit?usp=sharing"",""แผน!GA56"")"),40)</f>
        <v>40</v>
      </c>
      <c r="J498" s="214">
        <v>0</v>
      </c>
      <c r="K498" s="496">
        <f ca="1">IF(I498&gt;0,J498*100/I498,0)</f>
        <v>0</v>
      </c>
      <c r="L498" s="496"/>
      <c r="M498" s="496"/>
      <c r="N498" s="496"/>
      <c r="O498" s="496"/>
      <c r="P498" s="496"/>
      <c r="Q498" s="571"/>
      <c r="R498" s="571"/>
      <c r="S498" s="571"/>
      <c r="T498" s="571"/>
      <c r="U498" s="571"/>
      <c r="V498" s="571"/>
      <c r="W498" s="571"/>
      <c r="X498" s="571"/>
      <c r="Y498" s="571"/>
      <c r="Z498" s="571"/>
    </row>
    <row r="499" spans="1:26" ht="18.75">
      <c r="A499" s="601"/>
      <c r="B499" s="611"/>
      <c r="C499" s="611"/>
      <c r="D499" s="611"/>
      <c r="E499" s="619"/>
      <c r="F499" s="619" t="s">
        <v>218</v>
      </c>
      <c r="G499" s="753"/>
      <c r="H499" s="616" t="s">
        <v>46</v>
      </c>
      <c r="I499" s="269"/>
      <c r="J499" s="214">
        <v>0</v>
      </c>
      <c r="K499" s="496"/>
      <c r="L499" s="496"/>
      <c r="M499" s="496"/>
      <c r="N499" s="496"/>
      <c r="O499" s="496"/>
      <c r="P499" s="496"/>
      <c r="Q499" s="571"/>
      <c r="R499" s="571"/>
      <c r="S499" s="571"/>
      <c r="T499" s="571"/>
      <c r="U499" s="571"/>
      <c r="V499" s="571"/>
      <c r="W499" s="571"/>
      <c r="X499" s="571"/>
      <c r="Y499" s="571"/>
      <c r="Z499" s="571"/>
    </row>
    <row r="500" spans="1:26" ht="19.5" hidden="1">
      <c r="A500" s="620">
        <v>4</v>
      </c>
      <c r="B500" s="621" t="s">
        <v>219</v>
      </c>
      <c r="C500" s="622"/>
      <c r="D500" s="623"/>
      <c r="E500" s="623"/>
      <c r="F500" s="623"/>
      <c r="G500" s="624"/>
      <c r="H500" s="625" t="s">
        <v>109</v>
      </c>
      <c r="I500" s="626"/>
      <c r="J500" s="626">
        <f t="shared" ref="J500:J501" si="214">J516</f>
        <v>0</v>
      </c>
      <c r="K500" s="627">
        <f t="shared" ref="K500:K501" si="215">IF(I500&gt;0,J500*100/I500,0)</f>
        <v>0</v>
      </c>
      <c r="L500" s="628"/>
      <c r="M500" s="628"/>
      <c r="N500" s="628"/>
      <c r="O500" s="628"/>
      <c r="P500" s="628"/>
      <c r="Q500" s="597"/>
      <c r="R500" s="597"/>
      <c r="S500" s="597"/>
      <c r="T500" s="597"/>
      <c r="U500" s="597"/>
      <c r="V500" s="597"/>
      <c r="W500" s="597"/>
      <c r="X500" s="597"/>
      <c r="Y500" s="597"/>
      <c r="Z500" s="597"/>
    </row>
    <row r="501" spans="1:26" ht="19.5" hidden="1">
      <c r="A501" s="629"/>
      <c r="B501" s="631" t="s">
        <v>220</v>
      </c>
      <c r="C501" s="631"/>
      <c r="D501" s="632"/>
      <c r="E501" s="632"/>
      <c r="F501" s="632"/>
      <c r="G501" s="633"/>
      <c r="H501" s="634" t="s">
        <v>35</v>
      </c>
      <c r="I501" s="635"/>
      <c r="J501" s="635">
        <f t="shared" si="214"/>
        <v>0</v>
      </c>
      <c r="K501" s="636">
        <f t="shared" si="215"/>
        <v>0</v>
      </c>
      <c r="L501" s="637"/>
      <c r="M501" s="637"/>
      <c r="N501" s="637"/>
      <c r="O501" s="637"/>
      <c r="P501" s="637"/>
      <c r="Q501" s="597"/>
      <c r="R501" s="597"/>
      <c r="S501" s="597"/>
      <c r="T501" s="597"/>
      <c r="U501" s="597"/>
      <c r="V501" s="597"/>
      <c r="W501" s="597"/>
      <c r="X501" s="597"/>
      <c r="Y501" s="597"/>
      <c r="Z501" s="597"/>
    </row>
    <row r="502" spans="1:26" ht="19.5" hidden="1">
      <c r="A502" s="592"/>
      <c r="B502" s="750"/>
      <c r="C502" s="750" t="s">
        <v>16</v>
      </c>
      <c r="D502" s="864" t="s">
        <v>17</v>
      </c>
      <c r="E502" s="857"/>
      <c r="F502" s="857"/>
      <c r="G502" s="596"/>
      <c r="H502" s="639" t="s">
        <v>12</v>
      </c>
      <c r="I502" s="610"/>
      <c r="J502" s="610"/>
      <c r="K502" s="93"/>
      <c r="L502" s="640">
        <f t="shared" ref="L502:N502" si="216">L503+L504</f>
        <v>0</v>
      </c>
      <c r="M502" s="640">
        <f t="shared" si="216"/>
        <v>0</v>
      </c>
      <c r="N502" s="640">
        <f t="shared" si="216"/>
        <v>0</v>
      </c>
      <c r="O502" s="640">
        <f t="shared" ref="O502:O507" si="217">IF(L502&gt;0,N502*100/L502,0)</f>
        <v>0</v>
      </c>
      <c r="P502" s="640">
        <f t="shared" ref="P502:P507" si="218">IF(M502&gt;0,N502*100/M502,0)</f>
        <v>0</v>
      </c>
      <c r="Q502" s="597"/>
      <c r="R502" s="597"/>
      <c r="S502" s="597"/>
      <c r="T502" s="597"/>
      <c r="U502" s="597"/>
      <c r="V502" s="597"/>
      <c r="W502" s="597"/>
      <c r="X502" s="597"/>
      <c r="Y502" s="597"/>
      <c r="Z502" s="597"/>
    </row>
    <row r="503" spans="1:26" ht="18.75" hidden="1">
      <c r="A503" s="592"/>
      <c r="B503" s="750"/>
      <c r="C503" s="750"/>
      <c r="D503" s="711"/>
      <c r="E503" s="750" t="s">
        <v>184</v>
      </c>
      <c r="F503" s="750"/>
      <c r="G503" s="596"/>
      <c r="H503" s="165" t="s">
        <v>12</v>
      </c>
      <c r="I503" s="610"/>
      <c r="J503" s="610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597"/>
      <c r="R503" s="597"/>
      <c r="S503" s="597"/>
      <c r="T503" s="597"/>
      <c r="U503" s="597"/>
      <c r="V503" s="597"/>
      <c r="W503" s="597"/>
      <c r="X503" s="597"/>
      <c r="Y503" s="597"/>
      <c r="Z503" s="597"/>
    </row>
    <row r="504" spans="1:26" ht="18.75" hidden="1">
      <c r="A504" s="592"/>
      <c r="B504" s="600"/>
      <c r="C504" s="750"/>
      <c r="D504" s="711"/>
      <c r="E504" s="750" t="s">
        <v>185</v>
      </c>
      <c r="F504" s="750"/>
      <c r="G504" s="596"/>
      <c r="H504" s="165" t="s">
        <v>12</v>
      </c>
      <c r="I504" s="610"/>
      <c r="J504" s="610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597"/>
      <c r="R504" s="597"/>
      <c r="S504" s="597"/>
      <c r="T504" s="597"/>
      <c r="U504" s="597"/>
      <c r="V504" s="597"/>
      <c r="W504" s="597"/>
      <c r="X504" s="597"/>
      <c r="Y504" s="597"/>
      <c r="Z504" s="597"/>
    </row>
    <row r="505" spans="1:26" ht="18.75" hidden="1">
      <c r="A505" s="592"/>
      <c r="B505" s="600"/>
      <c r="C505" s="750"/>
      <c r="D505" s="641" t="s">
        <v>20</v>
      </c>
      <c r="E505" s="750"/>
      <c r="F505" s="750"/>
      <c r="G505" s="596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597"/>
      <c r="R505" s="597"/>
      <c r="S505" s="597"/>
      <c r="T505" s="597"/>
      <c r="U505" s="597"/>
      <c r="V505" s="597"/>
      <c r="W505" s="597"/>
      <c r="X505" s="597"/>
      <c r="Y505" s="597"/>
      <c r="Z505" s="597"/>
    </row>
    <row r="506" spans="1:26" ht="18.75" hidden="1">
      <c r="A506" s="592"/>
      <c r="B506" s="600"/>
      <c r="C506" s="750"/>
      <c r="D506" s="711"/>
      <c r="E506" s="750" t="s">
        <v>184</v>
      </c>
      <c r="F506" s="750"/>
      <c r="G506" s="596"/>
      <c r="H506" s="165" t="s">
        <v>12</v>
      </c>
      <c r="I506" s="610"/>
      <c r="J506" s="610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597"/>
      <c r="R506" s="597"/>
      <c r="S506" s="597"/>
      <c r="T506" s="597"/>
      <c r="U506" s="597"/>
      <c r="V506" s="597"/>
      <c r="W506" s="597"/>
      <c r="X506" s="597"/>
      <c r="Y506" s="597"/>
      <c r="Z506" s="597"/>
    </row>
    <row r="507" spans="1:26" ht="18.75" hidden="1">
      <c r="A507" s="592"/>
      <c r="B507" s="600"/>
      <c r="C507" s="750"/>
      <c r="D507" s="711"/>
      <c r="E507" s="750" t="s">
        <v>185</v>
      </c>
      <c r="F507" s="750"/>
      <c r="G507" s="596"/>
      <c r="H507" s="165" t="s">
        <v>12</v>
      </c>
      <c r="I507" s="610"/>
      <c r="J507" s="610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597"/>
      <c r="R507" s="597"/>
      <c r="S507" s="597"/>
      <c r="T507" s="597"/>
      <c r="U507" s="597"/>
      <c r="V507" s="597"/>
      <c r="W507" s="597"/>
      <c r="X507" s="597"/>
      <c r="Y507" s="597"/>
      <c r="Z507" s="597"/>
    </row>
    <row r="508" spans="1:26" ht="18.75" hidden="1">
      <c r="A508" s="642"/>
      <c r="B508" s="600"/>
      <c r="C508" s="750"/>
      <c r="D508" s="750"/>
      <c r="E508" s="750"/>
      <c r="F508" s="750" t="s">
        <v>186</v>
      </c>
      <c r="G508" s="596"/>
      <c r="H508" s="165" t="s">
        <v>12</v>
      </c>
      <c r="I508" s="610"/>
      <c r="J508" s="610"/>
      <c r="K508" s="93"/>
      <c r="L508" s="93"/>
      <c r="M508" s="93"/>
      <c r="N508" s="93">
        <v>0</v>
      </c>
      <c r="O508" s="93"/>
      <c r="P508" s="93"/>
      <c r="Q508" s="597"/>
      <c r="R508" s="597"/>
      <c r="S508" s="597"/>
      <c r="T508" s="597"/>
      <c r="U508" s="597"/>
      <c r="V508" s="597"/>
      <c r="W508" s="597"/>
      <c r="X508" s="597"/>
      <c r="Y508" s="597"/>
      <c r="Z508" s="597"/>
    </row>
    <row r="509" spans="1:26" ht="18.75" hidden="1">
      <c r="A509" s="642"/>
      <c r="B509" s="600"/>
      <c r="C509" s="750"/>
      <c r="D509" s="750"/>
      <c r="E509" s="750"/>
      <c r="F509" s="750" t="s">
        <v>187</v>
      </c>
      <c r="G509" s="596"/>
      <c r="H509" s="165" t="s">
        <v>12</v>
      </c>
      <c r="I509" s="610"/>
      <c r="J509" s="610"/>
      <c r="K509" s="93"/>
      <c r="L509" s="93"/>
      <c r="M509" s="93"/>
      <c r="N509" s="93">
        <v>0</v>
      </c>
      <c r="O509" s="93"/>
      <c r="P509" s="93"/>
      <c r="Q509" s="597"/>
      <c r="R509" s="597"/>
      <c r="S509" s="597"/>
      <c r="T509" s="597"/>
      <c r="U509" s="597"/>
      <c r="V509" s="597"/>
      <c r="W509" s="597"/>
      <c r="X509" s="597"/>
      <c r="Y509" s="597"/>
      <c r="Z509" s="597"/>
    </row>
    <row r="510" spans="1:26" ht="18.75" hidden="1">
      <c r="A510" s="642"/>
      <c r="B510" s="600"/>
      <c r="C510" s="600"/>
      <c r="D510" s="600"/>
      <c r="E510" s="750"/>
      <c r="F510" s="750" t="s">
        <v>188</v>
      </c>
      <c r="G510" s="596"/>
      <c r="H510" s="165" t="s">
        <v>12</v>
      </c>
      <c r="I510" s="610"/>
      <c r="J510" s="610"/>
      <c r="K510" s="93"/>
      <c r="L510" s="93"/>
      <c r="M510" s="93"/>
      <c r="N510" s="93">
        <v>0</v>
      </c>
      <c r="O510" s="93"/>
      <c r="P510" s="93"/>
      <c r="Q510" s="597"/>
      <c r="R510" s="597"/>
      <c r="S510" s="597"/>
      <c r="T510" s="597"/>
      <c r="U510" s="597"/>
      <c r="V510" s="597"/>
      <c r="W510" s="597"/>
      <c r="X510" s="597"/>
      <c r="Y510" s="597"/>
      <c r="Z510" s="597"/>
    </row>
    <row r="511" spans="1:26" ht="18.75" hidden="1">
      <c r="A511" s="642"/>
      <c r="B511" s="600"/>
      <c r="C511" s="600"/>
      <c r="D511" s="600"/>
      <c r="E511" s="750"/>
      <c r="F511" s="750" t="s">
        <v>189</v>
      </c>
      <c r="G511" s="596"/>
      <c r="H511" s="165" t="s">
        <v>12</v>
      </c>
      <c r="I511" s="610"/>
      <c r="J511" s="610"/>
      <c r="K511" s="93"/>
      <c r="L511" s="93"/>
      <c r="M511" s="93"/>
      <c r="N511" s="93">
        <v>0</v>
      </c>
      <c r="O511" s="93"/>
      <c r="P511" s="93"/>
      <c r="Q511" s="597"/>
      <c r="R511" s="597"/>
      <c r="S511" s="597"/>
      <c r="T511" s="597"/>
      <c r="U511" s="597"/>
      <c r="V511" s="597"/>
      <c r="W511" s="597"/>
      <c r="X511" s="597"/>
      <c r="Y511" s="597"/>
      <c r="Z511" s="597"/>
    </row>
    <row r="512" spans="1:26" ht="18.75" hidden="1">
      <c r="A512" s="592"/>
      <c r="B512" s="600"/>
      <c r="C512" s="600"/>
      <c r="D512" s="641" t="s">
        <v>21</v>
      </c>
      <c r="E512" s="600"/>
      <c r="F512" s="750"/>
      <c r="G512" s="596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597"/>
      <c r="R512" s="597"/>
      <c r="S512" s="597"/>
      <c r="T512" s="597"/>
      <c r="U512" s="597"/>
      <c r="V512" s="597"/>
      <c r="W512" s="597"/>
      <c r="X512" s="597"/>
      <c r="Y512" s="597"/>
      <c r="Z512" s="597"/>
    </row>
    <row r="513" spans="1:26" ht="18.75" hidden="1">
      <c r="A513" s="592"/>
      <c r="B513" s="600"/>
      <c r="C513" s="600"/>
      <c r="D513" s="600"/>
      <c r="E513" s="600" t="s">
        <v>18</v>
      </c>
      <c r="F513" s="750"/>
      <c r="G513" s="596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597"/>
      <c r="R513" s="597"/>
      <c r="S513" s="597"/>
      <c r="T513" s="597"/>
      <c r="U513" s="597"/>
      <c r="V513" s="597"/>
      <c r="W513" s="597"/>
      <c r="X513" s="597"/>
      <c r="Y513" s="597"/>
      <c r="Z513" s="597"/>
    </row>
    <row r="514" spans="1:26" ht="18.75" hidden="1">
      <c r="A514" s="592"/>
      <c r="B514" s="600"/>
      <c r="C514" s="600"/>
      <c r="D514" s="750"/>
      <c r="E514" s="600" t="s">
        <v>19</v>
      </c>
      <c r="F514" s="750"/>
      <c r="G514" s="596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597"/>
      <c r="R514" s="597"/>
      <c r="S514" s="597"/>
      <c r="T514" s="597"/>
      <c r="U514" s="597"/>
      <c r="V514" s="597"/>
      <c r="W514" s="597"/>
      <c r="X514" s="597"/>
      <c r="Y514" s="597"/>
      <c r="Z514" s="597"/>
    </row>
    <row r="515" spans="1:26" ht="19.5" hidden="1">
      <c r="A515" s="607"/>
      <c r="B515" s="609"/>
      <c r="C515" s="600" t="s">
        <v>16</v>
      </c>
      <c r="D515" s="838" t="s">
        <v>38</v>
      </c>
      <c r="E515" s="644"/>
      <c r="F515" s="644"/>
      <c r="G515" s="645"/>
      <c r="H515" s="365"/>
      <c r="I515" s="166"/>
      <c r="J515" s="166"/>
      <c r="K515" s="167"/>
      <c r="L515" s="167"/>
      <c r="M515" s="167"/>
      <c r="N515" s="167"/>
      <c r="O515" s="167"/>
      <c r="P515" s="167"/>
      <c r="Q515" s="597"/>
      <c r="R515" s="597"/>
      <c r="S515" s="597"/>
      <c r="T515" s="597"/>
      <c r="U515" s="597"/>
      <c r="V515" s="597"/>
      <c r="W515" s="597"/>
      <c r="X515" s="597"/>
      <c r="Y515" s="597"/>
      <c r="Z515" s="597"/>
    </row>
    <row r="516" spans="1:26" ht="18.75" hidden="1">
      <c r="A516" s="607"/>
      <c r="B516" s="609"/>
      <c r="C516" s="609"/>
      <c r="D516" s="609" t="s">
        <v>221</v>
      </c>
      <c r="E516" s="711"/>
      <c r="F516" s="711"/>
      <c r="G516" s="365"/>
      <c r="H516" s="646" t="s">
        <v>109</v>
      </c>
      <c r="I516" s="610"/>
      <c r="J516" s="610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597"/>
      <c r="R516" s="597"/>
      <c r="S516" s="597"/>
      <c r="T516" s="597"/>
      <c r="U516" s="597"/>
      <c r="V516" s="597"/>
      <c r="W516" s="597"/>
      <c r="X516" s="597"/>
      <c r="Y516" s="597"/>
      <c r="Z516" s="597"/>
    </row>
    <row r="517" spans="1:26" ht="19.5" hidden="1">
      <c r="A517" s="607"/>
      <c r="B517" s="609"/>
      <c r="C517" s="609"/>
      <c r="D517" s="609" t="s">
        <v>222</v>
      </c>
      <c r="E517" s="711"/>
      <c r="F517" s="711"/>
      <c r="G517" s="365"/>
      <c r="H517" s="647" t="s">
        <v>35</v>
      </c>
      <c r="I517" s="648"/>
      <c r="J517" s="648">
        <f>J518+J519</f>
        <v>0</v>
      </c>
      <c r="K517" s="649">
        <f t="shared" si="224"/>
        <v>0</v>
      </c>
      <c r="L517" s="167"/>
      <c r="M517" s="167"/>
      <c r="N517" s="167"/>
      <c r="O517" s="167"/>
      <c r="P517" s="167"/>
      <c r="Q517" s="597"/>
      <c r="R517" s="597"/>
      <c r="S517" s="597"/>
      <c r="T517" s="597"/>
      <c r="U517" s="597"/>
      <c r="V517" s="597"/>
      <c r="W517" s="597"/>
      <c r="X517" s="597"/>
      <c r="Y517" s="597"/>
      <c r="Z517" s="597"/>
    </row>
    <row r="518" spans="1:26" ht="18.75" hidden="1">
      <c r="A518" s="607"/>
      <c r="B518" s="609"/>
      <c r="C518" s="609"/>
      <c r="D518" s="609"/>
      <c r="E518" s="609" t="s">
        <v>223</v>
      </c>
      <c r="F518" s="711"/>
      <c r="G518" s="365"/>
      <c r="H518" s="369" t="s">
        <v>35</v>
      </c>
      <c r="I518" s="610"/>
      <c r="J518" s="610"/>
      <c r="K518" s="167"/>
      <c r="L518" s="167"/>
      <c r="M518" s="167"/>
      <c r="N518" s="167"/>
      <c r="O518" s="167"/>
      <c r="P518" s="167"/>
      <c r="Q518" s="597"/>
      <c r="R518" s="597"/>
      <c r="S518" s="597"/>
      <c r="T518" s="597"/>
      <c r="U518" s="597"/>
      <c r="V518" s="597"/>
      <c r="W518" s="597"/>
      <c r="X518" s="597"/>
      <c r="Y518" s="597"/>
      <c r="Z518" s="597"/>
    </row>
    <row r="519" spans="1:26" ht="18.75" hidden="1">
      <c r="A519" s="607"/>
      <c r="B519" s="609"/>
      <c r="C519" s="609"/>
      <c r="D519" s="609"/>
      <c r="E519" s="609" t="s">
        <v>224</v>
      </c>
      <c r="F519" s="711"/>
      <c r="G519" s="365"/>
      <c r="H519" s="646" t="s">
        <v>35</v>
      </c>
      <c r="I519" s="610"/>
      <c r="J519" s="610"/>
      <c r="K519" s="167"/>
      <c r="L519" s="167"/>
      <c r="M519" s="167"/>
      <c r="N519" s="167"/>
      <c r="O519" s="167"/>
      <c r="P519" s="167"/>
      <c r="Q519" s="597"/>
      <c r="R519" s="597"/>
      <c r="S519" s="597"/>
      <c r="T519" s="597"/>
      <c r="U519" s="597"/>
      <c r="V519" s="597"/>
      <c r="W519" s="597"/>
      <c r="X519" s="597"/>
      <c r="Y519" s="597"/>
      <c r="Z519" s="597"/>
    </row>
    <row r="520" spans="1:26" ht="19.5">
      <c r="A520" s="650" t="s">
        <v>137</v>
      </c>
      <c r="B520" s="651"/>
      <c r="C520" s="651"/>
      <c r="D520" s="652"/>
      <c r="E520" s="652"/>
      <c r="F520" s="652"/>
      <c r="G520" s="653"/>
      <c r="H520" s="654"/>
      <c r="I520" s="655"/>
      <c r="J520" s="655"/>
      <c r="K520" s="656"/>
      <c r="L520" s="656"/>
      <c r="M520" s="656"/>
      <c r="N520" s="656"/>
      <c r="O520" s="656"/>
      <c r="P520" s="656"/>
    </row>
    <row r="521" spans="1:26" ht="19.5">
      <c r="A521" s="657">
        <v>5</v>
      </c>
      <c r="B521" s="658" t="s">
        <v>225</v>
      </c>
      <c r="C521" s="659"/>
      <c r="D521" s="660"/>
      <c r="E521" s="660"/>
      <c r="F521" s="660"/>
      <c r="G521" s="660"/>
      <c r="H521" s="661"/>
      <c r="I521" s="662"/>
      <c r="J521" s="662"/>
      <c r="K521" s="663"/>
      <c r="L521" s="663"/>
      <c r="M521" s="663"/>
      <c r="N521" s="663"/>
      <c r="O521" s="663"/>
      <c r="P521" s="663"/>
      <c r="Q521" s="571"/>
      <c r="R521" s="571"/>
      <c r="S521" s="571"/>
      <c r="T521" s="571"/>
      <c r="U521" s="571"/>
      <c r="V521" s="571"/>
      <c r="W521" s="571"/>
      <c r="X521" s="571"/>
      <c r="Y521" s="571"/>
      <c r="Z521" s="571"/>
    </row>
    <row r="522" spans="1:26" ht="19.5">
      <c r="A522" s="664"/>
      <c r="B522" s="665" t="s">
        <v>226</v>
      </c>
      <c r="C522" s="666"/>
      <c r="D522" s="666"/>
      <c r="E522" s="666"/>
      <c r="F522" s="666"/>
      <c r="G522" s="667"/>
      <c r="H522" s="668" t="s">
        <v>35</v>
      </c>
      <c r="I522" s="699">
        <f t="shared" ref="I522:J522" ca="1" si="225">I537</f>
        <v>50</v>
      </c>
      <c r="J522" s="699">
        <f t="shared" ca="1" si="225"/>
        <v>0</v>
      </c>
      <c r="K522" s="670">
        <f ca="1">IF(I522&gt;0,J522*100/I522,0)</f>
        <v>0</v>
      </c>
      <c r="L522" s="671"/>
      <c r="M522" s="671"/>
      <c r="N522" s="671"/>
      <c r="O522" s="671"/>
      <c r="P522" s="671"/>
      <c r="Q522" s="571"/>
      <c r="R522" s="571"/>
      <c r="S522" s="571"/>
      <c r="T522" s="571"/>
      <c r="U522" s="571"/>
      <c r="V522" s="571"/>
      <c r="W522" s="571"/>
      <c r="X522" s="571"/>
      <c r="Y522" s="571"/>
      <c r="Z522" s="571"/>
    </row>
    <row r="523" spans="1:26" ht="19.5">
      <c r="A523" s="590"/>
      <c r="B523" s="754"/>
      <c r="C523" s="754" t="s">
        <v>16</v>
      </c>
      <c r="D523" s="863" t="s">
        <v>17</v>
      </c>
      <c r="E523" s="857"/>
      <c r="F523" s="857"/>
      <c r="G523" s="189"/>
      <c r="H523" s="591" t="s">
        <v>12</v>
      </c>
      <c r="I523" s="269"/>
      <c r="J523" s="269"/>
      <c r="K523" s="496"/>
      <c r="L523" s="195">
        <f t="shared" ref="L523:N523" ca="1" si="226">L524+L525</f>
        <v>427460</v>
      </c>
      <c r="M523" s="195">
        <f t="shared" si="226"/>
        <v>0</v>
      </c>
      <c r="N523" s="195">
        <f t="shared" si="226"/>
        <v>0</v>
      </c>
      <c r="O523" s="195">
        <f t="shared" ref="O523:O528" ca="1" si="227">IF(L523&gt;0,N523*100/L523,0)</f>
        <v>0</v>
      </c>
      <c r="P523" s="195">
        <f t="shared" ref="P523:P528" si="228">IF(M523&gt;0,N523*100/M523,0)</f>
        <v>0</v>
      </c>
      <c r="Q523" s="571"/>
      <c r="R523" s="571"/>
      <c r="S523" s="571"/>
      <c r="T523" s="571"/>
      <c r="U523" s="571"/>
      <c r="V523" s="571"/>
      <c r="W523" s="571"/>
      <c r="X523" s="571"/>
      <c r="Y523" s="571"/>
      <c r="Z523" s="571"/>
    </row>
    <row r="524" spans="1:26" ht="18.75" hidden="1">
      <c r="A524" s="592"/>
      <c r="B524" s="750"/>
      <c r="C524" s="750"/>
      <c r="D524" s="711"/>
      <c r="E524" s="750" t="s">
        <v>184</v>
      </c>
      <c r="F524" s="750"/>
      <c r="G524" s="596"/>
      <c r="H524" s="165" t="s">
        <v>12</v>
      </c>
      <c r="I524" s="610"/>
      <c r="J524" s="610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597"/>
      <c r="R524" s="597"/>
      <c r="S524" s="597"/>
      <c r="T524" s="597"/>
      <c r="U524" s="597"/>
      <c r="V524" s="597"/>
      <c r="W524" s="597"/>
      <c r="X524" s="597"/>
      <c r="Y524" s="597"/>
      <c r="Z524" s="597"/>
    </row>
    <row r="525" spans="1:26" ht="18.75" hidden="1">
      <c r="A525" s="592"/>
      <c r="B525" s="600"/>
      <c r="C525" s="750"/>
      <c r="D525" s="711"/>
      <c r="E525" s="750" t="s">
        <v>185</v>
      </c>
      <c r="F525" s="750"/>
      <c r="G525" s="596"/>
      <c r="H525" s="165" t="s">
        <v>12</v>
      </c>
      <c r="I525" s="610"/>
      <c r="J525" s="610"/>
      <c r="K525" s="93"/>
      <c r="L525" s="93">
        <f t="shared" ca="1" si="229"/>
        <v>427460</v>
      </c>
      <c r="M525" s="93">
        <f t="shared" si="229"/>
        <v>0</v>
      </c>
      <c r="N525" s="93">
        <f t="shared" si="229"/>
        <v>0</v>
      </c>
      <c r="O525" s="93">
        <f t="shared" ca="1" si="227"/>
        <v>0</v>
      </c>
      <c r="P525" s="93">
        <f t="shared" si="228"/>
        <v>0</v>
      </c>
      <c r="Q525" s="597"/>
      <c r="R525" s="597"/>
      <c r="S525" s="597"/>
      <c r="T525" s="597"/>
      <c r="U525" s="597"/>
      <c r="V525" s="597"/>
      <c r="W525" s="597"/>
      <c r="X525" s="597"/>
      <c r="Y525" s="597"/>
      <c r="Z525" s="597"/>
    </row>
    <row r="526" spans="1:26" ht="18.75">
      <c r="A526" s="590"/>
      <c r="B526" s="568"/>
      <c r="C526" s="754"/>
      <c r="D526" s="599" t="s">
        <v>20</v>
      </c>
      <c r="E526" s="754"/>
      <c r="F526" s="754"/>
      <c r="G526" s="189"/>
      <c r="H526" s="161" t="s">
        <v>12</v>
      </c>
      <c r="I526" s="184"/>
      <c r="J526" s="184"/>
      <c r="K526" s="163"/>
      <c r="L526" s="496">
        <f t="shared" ref="L526:N526" ca="1" si="230">L527+L528</f>
        <v>427460</v>
      </c>
      <c r="M526" s="496">
        <f t="shared" si="230"/>
        <v>0</v>
      </c>
      <c r="N526" s="496">
        <f t="shared" si="230"/>
        <v>0</v>
      </c>
      <c r="O526" s="496">
        <f t="shared" ca="1" si="227"/>
        <v>0</v>
      </c>
      <c r="P526" s="496">
        <f t="shared" si="228"/>
        <v>0</v>
      </c>
      <c r="Q526" s="571"/>
      <c r="R526" s="571"/>
      <c r="S526" s="571"/>
      <c r="T526" s="571"/>
      <c r="U526" s="571"/>
      <c r="V526" s="571"/>
      <c r="W526" s="571"/>
      <c r="X526" s="571"/>
      <c r="Y526" s="571"/>
      <c r="Z526" s="571"/>
    </row>
    <row r="527" spans="1:26" ht="18.75" hidden="1">
      <c r="A527" s="592"/>
      <c r="B527" s="600"/>
      <c r="C527" s="750"/>
      <c r="D527" s="711"/>
      <c r="E527" s="750" t="s">
        <v>184</v>
      </c>
      <c r="F527" s="750"/>
      <c r="G527" s="596"/>
      <c r="H527" s="165" t="s">
        <v>12</v>
      </c>
      <c r="I527" s="610"/>
      <c r="J527" s="610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597"/>
      <c r="R527" s="597"/>
      <c r="S527" s="597"/>
      <c r="T527" s="597"/>
      <c r="U527" s="597"/>
      <c r="V527" s="597"/>
      <c r="W527" s="597"/>
      <c r="X527" s="597"/>
      <c r="Y527" s="597"/>
      <c r="Z527" s="597"/>
    </row>
    <row r="528" spans="1:26" ht="18.75" hidden="1">
      <c r="A528" s="592"/>
      <c r="B528" s="600"/>
      <c r="C528" s="750"/>
      <c r="D528" s="711"/>
      <c r="E528" s="750" t="s">
        <v>185</v>
      </c>
      <c r="F528" s="750"/>
      <c r="G528" s="596"/>
      <c r="H528" s="165" t="s">
        <v>12</v>
      </c>
      <c r="I528" s="610"/>
      <c r="J528" s="610"/>
      <c r="K528" s="93"/>
      <c r="L528" s="93">
        <f ca="1">IFERROR(__xludf.DUMMYFUNCTION("IMPORTRANGE(""https://docs.google.com/spreadsheets/d/1QqKyyYR6Q21VydFLVH3TRQUabQu_ym0Zz7PgGX0-kHA/edit?usp=sharing"",""แผน!GQ56"")"),427460)</f>
        <v>427460</v>
      </c>
      <c r="M528" s="93">
        <v>0</v>
      </c>
      <c r="N528" s="93">
        <f>N529+N530+N531+N532</f>
        <v>0</v>
      </c>
      <c r="O528" s="93">
        <f t="shared" ca="1" si="227"/>
        <v>0</v>
      </c>
      <c r="P528" s="93">
        <f t="shared" si="228"/>
        <v>0</v>
      </c>
      <c r="Q528" s="597"/>
      <c r="R528" s="597"/>
      <c r="S528" s="597"/>
      <c r="T528" s="597"/>
      <c r="U528" s="597"/>
      <c r="V528" s="597"/>
      <c r="W528" s="597"/>
      <c r="X528" s="597"/>
      <c r="Y528" s="597"/>
      <c r="Z528" s="597"/>
    </row>
    <row r="529" spans="1:26" ht="18.75">
      <c r="A529" s="567"/>
      <c r="B529" s="568"/>
      <c r="C529" s="754"/>
      <c r="D529" s="754"/>
      <c r="E529" s="754"/>
      <c r="F529" s="754" t="s">
        <v>186</v>
      </c>
      <c r="G529" s="189"/>
      <c r="H529" s="161" t="s">
        <v>12</v>
      </c>
      <c r="I529" s="269"/>
      <c r="J529" s="269"/>
      <c r="K529" s="496"/>
      <c r="L529" s="496"/>
      <c r="M529" s="496"/>
      <c r="N529" s="817">
        <v>0</v>
      </c>
      <c r="O529" s="496"/>
      <c r="P529" s="496"/>
      <c r="Q529" s="571"/>
      <c r="R529" s="571"/>
      <c r="S529" s="571"/>
      <c r="T529" s="571"/>
      <c r="U529" s="571"/>
      <c r="V529" s="571"/>
      <c r="W529" s="571"/>
      <c r="X529" s="571"/>
      <c r="Y529" s="571"/>
      <c r="Z529" s="571"/>
    </row>
    <row r="530" spans="1:26" ht="18.75">
      <c r="A530" s="567"/>
      <c r="B530" s="568"/>
      <c r="C530" s="754"/>
      <c r="D530" s="754"/>
      <c r="E530" s="754"/>
      <c r="F530" s="754" t="s">
        <v>187</v>
      </c>
      <c r="G530" s="189"/>
      <c r="H530" s="161" t="s">
        <v>12</v>
      </c>
      <c r="I530" s="269"/>
      <c r="J530" s="269"/>
      <c r="K530" s="496"/>
      <c r="L530" s="496"/>
      <c r="M530" s="496"/>
      <c r="N530" s="817">
        <v>0</v>
      </c>
      <c r="O530" s="496"/>
      <c r="P530" s="496"/>
      <c r="Q530" s="571"/>
      <c r="R530" s="571"/>
      <c r="S530" s="571"/>
      <c r="T530" s="571"/>
      <c r="U530" s="571"/>
      <c r="V530" s="571"/>
      <c r="W530" s="571"/>
      <c r="X530" s="571"/>
      <c r="Y530" s="571"/>
      <c r="Z530" s="571"/>
    </row>
    <row r="531" spans="1:26" ht="18.75">
      <c r="A531" s="567"/>
      <c r="B531" s="568"/>
      <c r="C531" s="754"/>
      <c r="D531" s="754"/>
      <c r="E531" s="754"/>
      <c r="F531" s="754" t="s">
        <v>188</v>
      </c>
      <c r="G531" s="189"/>
      <c r="H531" s="161" t="s">
        <v>12</v>
      </c>
      <c r="I531" s="269"/>
      <c r="J531" s="269"/>
      <c r="K531" s="496"/>
      <c r="L531" s="496"/>
      <c r="M531" s="496"/>
      <c r="N531" s="817">
        <v>0</v>
      </c>
      <c r="O531" s="496"/>
      <c r="P531" s="496"/>
      <c r="Q531" s="571"/>
      <c r="R531" s="571"/>
      <c r="S531" s="571"/>
      <c r="T531" s="571"/>
      <c r="U531" s="571"/>
      <c r="V531" s="571"/>
      <c r="W531" s="571"/>
      <c r="X531" s="571"/>
      <c r="Y531" s="571"/>
      <c r="Z531" s="571"/>
    </row>
    <row r="532" spans="1:26" ht="18.75">
      <c r="A532" s="567"/>
      <c r="B532" s="568"/>
      <c r="C532" s="754"/>
      <c r="D532" s="754"/>
      <c r="E532" s="754"/>
      <c r="F532" s="754" t="s">
        <v>189</v>
      </c>
      <c r="G532" s="189"/>
      <c r="H532" s="161" t="s">
        <v>12</v>
      </c>
      <c r="I532" s="269"/>
      <c r="J532" s="269"/>
      <c r="K532" s="496"/>
      <c r="L532" s="496"/>
      <c r="M532" s="496"/>
      <c r="N532" s="817">
        <v>0</v>
      </c>
      <c r="O532" s="496"/>
      <c r="P532" s="496"/>
      <c r="Q532" s="571"/>
      <c r="R532" s="571"/>
      <c r="S532" s="571"/>
      <c r="T532" s="571"/>
      <c r="U532" s="571"/>
      <c r="V532" s="571"/>
      <c r="W532" s="571"/>
      <c r="X532" s="571"/>
      <c r="Y532" s="571"/>
      <c r="Z532" s="571"/>
    </row>
    <row r="533" spans="1:26" ht="18.75">
      <c r="A533" s="590"/>
      <c r="B533" s="568"/>
      <c r="C533" s="754"/>
      <c r="D533" s="599" t="s">
        <v>21</v>
      </c>
      <c r="E533" s="754"/>
      <c r="F533" s="754"/>
      <c r="G533" s="189"/>
      <c r="H533" s="168" t="s">
        <v>12</v>
      </c>
      <c r="I533" s="184"/>
      <c r="J533" s="184"/>
      <c r="K533" s="163"/>
      <c r="L533" s="496">
        <f t="shared" ref="L533:N533" ca="1" si="231">L534+L535</f>
        <v>0</v>
      </c>
      <c r="M533" s="496">
        <f t="shared" si="231"/>
        <v>0</v>
      </c>
      <c r="N533" s="496">
        <f t="shared" si="231"/>
        <v>0</v>
      </c>
      <c r="O533" s="496">
        <f t="shared" ref="O533:O535" ca="1" si="232">IF(L533&gt;0,N533*100/L533,0)</f>
        <v>0</v>
      </c>
      <c r="P533" s="496">
        <f t="shared" ref="P533:P535" si="233">IF(M533&gt;0,N533*100/M533,0)</f>
        <v>0</v>
      </c>
      <c r="Q533" s="571"/>
      <c r="R533" s="571"/>
      <c r="S533" s="571"/>
      <c r="T533" s="571"/>
      <c r="U533" s="571"/>
      <c r="V533" s="571"/>
      <c r="W533" s="571"/>
      <c r="X533" s="571"/>
      <c r="Y533" s="571"/>
      <c r="Z533" s="571"/>
    </row>
    <row r="534" spans="1:26" ht="18.75" hidden="1">
      <c r="A534" s="592"/>
      <c r="B534" s="600"/>
      <c r="C534" s="750"/>
      <c r="D534" s="750"/>
      <c r="E534" s="750" t="s">
        <v>18</v>
      </c>
      <c r="F534" s="750"/>
      <c r="G534" s="596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597"/>
      <c r="R534" s="597"/>
      <c r="S534" s="597"/>
      <c r="T534" s="597"/>
      <c r="U534" s="597"/>
      <c r="V534" s="597"/>
      <c r="W534" s="597"/>
      <c r="X534" s="597"/>
      <c r="Y534" s="597"/>
      <c r="Z534" s="597"/>
    </row>
    <row r="535" spans="1:26" ht="18.75" hidden="1">
      <c r="A535" s="592"/>
      <c r="B535" s="600"/>
      <c r="C535" s="750"/>
      <c r="D535" s="750"/>
      <c r="E535" s="750" t="s">
        <v>19</v>
      </c>
      <c r="F535" s="750"/>
      <c r="G535" s="596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IFERROR(__xludf.DUMMYFUNCTION("IMPORTRANGE(""https://docs.google.com/spreadsheets/d/1QqKyyYR6Q21VydFLVH3TRQUabQu_ym0Zz7PgGX0-kHA/edit?usp=sharing"",""แผน!GT56"")"),0)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597"/>
      <c r="R535" s="597"/>
      <c r="S535" s="597"/>
      <c r="T535" s="597"/>
      <c r="U535" s="597"/>
      <c r="V535" s="597"/>
      <c r="W535" s="597"/>
      <c r="X535" s="597"/>
      <c r="Y535" s="597"/>
      <c r="Z535" s="597"/>
    </row>
    <row r="536" spans="1:26" ht="19.5">
      <c r="A536" s="601"/>
      <c r="B536" s="611"/>
      <c r="C536" s="754" t="s">
        <v>16</v>
      </c>
      <c r="D536" s="839" t="s">
        <v>38</v>
      </c>
      <c r="E536" s="752"/>
      <c r="F536" s="752"/>
      <c r="G536" s="606"/>
      <c r="H536" s="753"/>
      <c r="I536" s="184"/>
      <c r="J536" s="184"/>
      <c r="K536" s="163"/>
      <c r="L536" s="163"/>
      <c r="M536" s="163"/>
      <c r="N536" s="163"/>
      <c r="O536" s="163"/>
      <c r="P536" s="163"/>
      <c r="Q536" s="571"/>
      <c r="R536" s="571"/>
      <c r="S536" s="571"/>
      <c r="T536" s="571"/>
      <c r="U536" s="571"/>
      <c r="V536" s="571"/>
      <c r="W536" s="571"/>
      <c r="X536" s="571"/>
      <c r="Y536" s="571"/>
      <c r="Z536" s="571"/>
    </row>
    <row r="537" spans="1:26" ht="19.5">
      <c r="A537" s="567"/>
      <c r="B537" s="568"/>
      <c r="C537" s="754"/>
      <c r="D537" s="754" t="s">
        <v>227</v>
      </c>
      <c r="E537" s="754"/>
      <c r="F537" s="754"/>
      <c r="G537" s="189"/>
      <c r="H537" s="616" t="s">
        <v>35</v>
      </c>
      <c r="I537" s="674">
        <f ca="1">IFERROR(__xludf.DUMMYFUNCTION("IMPORTRANGE(""https://docs.google.com/spreadsheets/d/1QqKyyYR6Q21VydFLVH3TRQUabQu_ym0Zz7PgGX0-kHA/edit?usp=sharing"",""แผน!GU56"")"),50)</f>
        <v>50</v>
      </c>
      <c r="J537" s="674">
        <f ca="1">IF(AND(J538=I538,J539=I539,J540=I540,J541=I541),I537,0)</f>
        <v>0</v>
      </c>
      <c r="K537" s="496">
        <f t="shared" ref="K537:K543" ca="1" si="234">IF(I537&gt;0,J537*100/I537,0)</f>
        <v>0</v>
      </c>
      <c r="L537" s="496"/>
      <c r="M537" s="496"/>
      <c r="N537" s="496"/>
      <c r="O537" s="496"/>
      <c r="P537" s="496"/>
      <c r="Q537" s="675"/>
      <c r="R537" s="675"/>
      <c r="S537" s="675"/>
      <c r="T537" s="675"/>
      <c r="U537" s="675"/>
      <c r="V537" s="675"/>
      <c r="W537" s="675"/>
      <c r="X537" s="675"/>
      <c r="Y537" s="675"/>
      <c r="Z537" s="675"/>
    </row>
    <row r="538" spans="1:26" ht="18.75">
      <c r="A538" s="567"/>
      <c r="B538" s="568"/>
      <c r="C538" s="754"/>
      <c r="D538" s="754"/>
      <c r="E538" s="754" t="s">
        <v>228</v>
      </c>
      <c r="F538" s="754"/>
      <c r="G538" s="189"/>
      <c r="H538" s="616" t="s">
        <v>35</v>
      </c>
      <c r="I538" s="269">
        <f ca="1">IFERROR(__xludf.DUMMYFUNCTION("IMPORTRANGE(""https://docs.google.com/spreadsheets/d/1QqKyyYR6Q21VydFLVH3TRQUabQu_ym0Zz7PgGX0-kHA/edit?usp=sharing"",""แผน!GV56"")"),50)</f>
        <v>50</v>
      </c>
      <c r="J538" s="214">
        <v>0</v>
      </c>
      <c r="K538" s="496">
        <f t="shared" ca="1" si="234"/>
        <v>0</v>
      </c>
      <c r="L538" s="496"/>
      <c r="M538" s="496"/>
      <c r="N538" s="496"/>
      <c r="O538" s="496"/>
      <c r="P538" s="496"/>
      <c r="Q538" s="675"/>
      <c r="R538" s="675"/>
      <c r="S538" s="675"/>
      <c r="T538" s="675"/>
      <c r="U538" s="675"/>
      <c r="V538" s="675"/>
      <c r="W538" s="675"/>
      <c r="X538" s="675"/>
      <c r="Y538" s="675"/>
      <c r="Z538" s="675"/>
    </row>
    <row r="539" spans="1:26" ht="18.75">
      <c r="A539" s="567"/>
      <c r="B539" s="568"/>
      <c r="C539" s="754"/>
      <c r="D539" s="754"/>
      <c r="E539" s="754" t="s">
        <v>229</v>
      </c>
      <c r="F539" s="754"/>
      <c r="G539" s="189"/>
      <c r="H539" s="616" t="s">
        <v>35</v>
      </c>
      <c r="I539" s="269">
        <f ca="1">IFERROR(__xludf.DUMMYFUNCTION("IMPORTRANGE(""https://docs.google.com/spreadsheets/d/1QqKyyYR6Q21VydFLVH3TRQUabQu_ym0Zz7PgGX0-kHA/edit?usp=sharing"",""แผน!GW56"")"),0)</f>
        <v>0</v>
      </c>
      <c r="J539" s="214">
        <v>0</v>
      </c>
      <c r="K539" s="496">
        <f t="shared" ca="1" si="234"/>
        <v>0</v>
      </c>
      <c r="L539" s="496"/>
      <c r="M539" s="496"/>
      <c r="N539" s="496"/>
      <c r="O539" s="496"/>
      <c r="P539" s="496"/>
      <c r="Q539" s="675"/>
      <c r="R539" s="675"/>
      <c r="S539" s="675"/>
      <c r="T539" s="675"/>
      <c r="U539" s="675"/>
      <c r="V539" s="675"/>
      <c r="W539" s="675"/>
      <c r="X539" s="675"/>
      <c r="Y539" s="675"/>
      <c r="Z539" s="675"/>
    </row>
    <row r="540" spans="1:26" ht="18.75">
      <c r="A540" s="567"/>
      <c r="B540" s="568"/>
      <c r="C540" s="754"/>
      <c r="D540" s="754"/>
      <c r="E540" s="754" t="s">
        <v>230</v>
      </c>
      <c r="F540" s="754"/>
      <c r="G540" s="189"/>
      <c r="H540" s="616" t="s">
        <v>35</v>
      </c>
      <c r="I540" s="269">
        <f ca="1">IFERROR(__xludf.DUMMYFUNCTION("IMPORTRANGE(""https://docs.google.com/spreadsheets/d/1QqKyyYR6Q21VydFLVH3TRQUabQu_ym0Zz7PgGX0-kHA/edit?usp=sharing"",""แผน!GX56"")"),0)</f>
        <v>0</v>
      </c>
      <c r="J540" s="214">
        <v>0</v>
      </c>
      <c r="K540" s="496">
        <f t="shared" ca="1" si="234"/>
        <v>0</v>
      </c>
      <c r="L540" s="496"/>
      <c r="M540" s="496"/>
      <c r="N540" s="496"/>
      <c r="O540" s="496"/>
      <c r="P540" s="496"/>
      <c r="Q540" s="675"/>
      <c r="R540" s="675"/>
      <c r="S540" s="675"/>
      <c r="T540" s="675"/>
      <c r="U540" s="675"/>
      <c r="V540" s="675"/>
      <c r="W540" s="675"/>
      <c r="X540" s="675"/>
      <c r="Y540" s="675"/>
      <c r="Z540" s="675"/>
    </row>
    <row r="541" spans="1:26" ht="18.75">
      <c r="A541" s="567"/>
      <c r="B541" s="568"/>
      <c r="C541" s="754"/>
      <c r="D541" s="754"/>
      <c r="E541" s="760" t="s">
        <v>231</v>
      </c>
      <c r="F541" s="754"/>
      <c r="G541" s="189"/>
      <c r="H541" s="616" t="s">
        <v>35</v>
      </c>
      <c r="I541" s="269">
        <f ca="1">IFERROR(__xludf.DUMMYFUNCTION("IMPORTRANGE(""https://docs.google.com/spreadsheets/d/1QqKyyYR6Q21VydFLVH3TRQUabQu_ym0Zz7PgGX0-kHA/edit?usp=sharing"",""แผน!GY56"")"),50)</f>
        <v>50</v>
      </c>
      <c r="J541" s="214">
        <v>0</v>
      </c>
      <c r="K541" s="496">
        <f t="shared" ca="1" si="234"/>
        <v>0</v>
      </c>
      <c r="L541" s="496"/>
      <c r="M541" s="496"/>
      <c r="N541" s="496"/>
      <c r="O541" s="496"/>
      <c r="P541" s="496"/>
      <c r="Q541" s="675"/>
      <c r="R541" s="675"/>
      <c r="S541" s="675"/>
      <c r="T541" s="675"/>
      <c r="U541" s="675"/>
      <c r="V541" s="675"/>
      <c r="W541" s="675"/>
      <c r="X541" s="675"/>
      <c r="Y541" s="675"/>
      <c r="Z541" s="675"/>
    </row>
    <row r="542" spans="1:26" ht="18.75">
      <c r="A542" s="567"/>
      <c r="B542" s="568"/>
      <c r="C542" s="754"/>
      <c r="D542" s="754" t="s">
        <v>59</v>
      </c>
      <c r="E542" s="754"/>
      <c r="F542" s="754"/>
      <c r="G542" s="189"/>
      <c r="H542" s="616" t="s">
        <v>35</v>
      </c>
      <c r="I542" s="269">
        <f ca="1">IFERROR(__xludf.DUMMYFUNCTION("IMPORTRANGE(""https://docs.google.com/spreadsheets/d/1QqKyyYR6Q21VydFLVH3TRQUabQu_ym0Zz7PgGX0-kHA/edit?usp=sharing"",""แผน!GZ56"")"),50)</f>
        <v>50</v>
      </c>
      <c r="J542" s="214">
        <v>0</v>
      </c>
      <c r="K542" s="496">
        <f t="shared" ca="1" si="234"/>
        <v>0</v>
      </c>
      <c r="L542" s="496"/>
      <c r="M542" s="496"/>
      <c r="N542" s="496"/>
      <c r="O542" s="496"/>
      <c r="P542" s="496"/>
      <c r="Q542" s="675"/>
      <c r="R542" s="675"/>
      <c r="S542" s="675"/>
      <c r="T542" s="675"/>
      <c r="U542" s="675"/>
      <c r="V542" s="675"/>
      <c r="W542" s="675"/>
      <c r="X542" s="675"/>
      <c r="Y542" s="675"/>
      <c r="Z542" s="675"/>
    </row>
    <row r="543" spans="1:26" ht="19.5">
      <c r="A543" s="657">
        <v>6</v>
      </c>
      <c r="B543" s="678" t="s">
        <v>232</v>
      </c>
      <c r="C543" s="660"/>
      <c r="D543" s="660"/>
      <c r="E543" s="660"/>
      <c r="F543" s="660"/>
      <c r="G543" s="661"/>
      <c r="H543" s="679" t="s">
        <v>46</v>
      </c>
      <c r="I543" s="680">
        <f t="shared" ref="I543:J543" ca="1" si="235">I559</f>
        <v>0</v>
      </c>
      <c r="J543" s="680">
        <f t="shared" si="235"/>
        <v>0</v>
      </c>
      <c r="K543" s="681">
        <f t="shared" ca="1" si="234"/>
        <v>0</v>
      </c>
      <c r="L543" s="663"/>
      <c r="M543" s="663"/>
      <c r="N543" s="663"/>
      <c r="O543" s="663"/>
      <c r="P543" s="663"/>
      <c r="Q543" s="571"/>
      <c r="R543" s="571"/>
      <c r="S543" s="571"/>
      <c r="T543" s="571"/>
      <c r="U543" s="571"/>
      <c r="V543" s="571"/>
      <c r="W543" s="571"/>
      <c r="X543" s="571"/>
      <c r="Y543" s="571"/>
      <c r="Z543" s="571"/>
    </row>
    <row r="544" spans="1:26" ht="19.5">
      <c r="A544" s="682"/>
      <c r="B544" s="683"/>
      <c r="C544" s="683" t="s">
        <v>16</v>
      </c>
      <c r="D544" s="867" t="s">
        <v>17</v>
      </c>
      <c r="E544" s="862"/>
      <c r="F544" s="862"/>
      <c r="G544" s="684"/>
      <c r="H544" s="274" t="s">
        <v>12</v>
      </c>
      <c r="I544" s="419"/>
      <c r="J544" s="419"/>
      <c r="K544" s="154"/>
      <c r="L544" s="155">
        <f t="shared" ref="L544:N544" ca="1" si="236">L545+L546</f>
        <v>289100</v>
      </c>
      <c r="M544" s="155">
        <f t="shared" si="236"/>
        <v>0</v>
      </c>
      <c r="N544" s="155">
        <f t="shared" si="236"/>
        <v>23835</v>
      </c>
      <c r="O544" s="155">
        <f t="shared" ref="O544:O549" ca="1" si="237">IF(L544&gt;0,N544*100/L544,0)</f>
        <v>8.2445520581113794</v>
      </c>
      <c r="P544" s="155">
        <f t="shared" ref="P544:P549" si="238">IF(M544&gt;0,N544*100/M544,0)</f>
        <v>0</v>
      </c>
      <c r="Q544" s="571"/>
      <c r="R544" s="571"/>
      <c r="S544" s="571"/>
      <c r="T544" s="571"/>
      <c r="U544" s="571"/>
      <c r="V544" s="571"/>
      <c r="W544" s="571"/>
      <c r="X544" s="571"/>
      <c r="Y544" s="571"/>
      <c r="Z544" s="571"/>
    </row>
    <row r="545" spans="1:26" ht="18.75" hidden="1">
      <c r="A545" s="592"/>
      <c r="B545" s="750"/>
      <c r="C545" s="750"/>
      <c r="D545" s="750"/>
      <c r="E545" s="750" t="s">
        <v>184</v>
      </c>
      <c r="F545" s="750"/>
      <c r="G545" s="596"/>
      <c r="H545" s="165" t="s">
        <v>12</v>
      </c>
      <c r="I545" s="610"/>
      <c r="J545" s="610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597"/>
      <c r="R545" s="597"/>
      <c r="S545" s="597"/>
      <c r="T545" s="597"/>
      <c r="U545" s="597"/>
      <c r="V545" s="597"/>
      <c r="W545" s="597"/>
      <c r="X545" s="597"/>
      <c r="Y545" s="597"/>
      <c r="Z545" s="597"/>
    </row>
    <row r="546" spans="1:26" ht="18.75" hidden="1">
      <c r="A546" s="592"/>
      <c r="B546" s="600"/>
      <c r="C546" s="750"/>
      <c r="D546" s="750"/>
      <c r="E546" s="750" t="s">
        <v>185</v>
      </c>
      <c r="F546" s="750"/>
      <c r="G546" s="596"/>
      <c r="H546" s="165" t="s">
        <v>12</v>
      </c>
      <c r="I546" s="610"/>
      <c r="J546" s="610"/>
      <c r="K546" s="93"/>
      <c r="L546" s="93">
        <f t="shared" ca="1" si="239"/>
        <v>289100</v>
      </c>
      <c r="M546" s="93">
        <f t="shared" si="240"/>
        <v>0</v>
      </c>
      <c r="N546" s="93">
        <f t="shared" si="240"/>
        <v>23835</v>
      </c>
      <c r="O546" s="93">
        <f t="shared" ca="1" si="237"/>
        <v>8.2445520581113794</v>
      </c>
      <c r="P546" s="93">
        <f t="shared" si="238"/>
        <v>0</v>
      </c>
      <c r="Q546" s="597"/>
      <c r="R546" s="597"/>
      <c r="S546" s="597"/>
      <c r="T546" s="597"/>
      <c r="U546" s="597"/>
      <c r="V546" s="597"/>
      <c r="W546" s="597"/>
      <c r="X546" s="597"/>
      <c r="Y546" s="597"/>
      <c r="Z546" s="597"/>
    </row>
    <row r="547" spans="1:26" ht="18.75">
      <c r="A547" s="590"/>
      <c r="B547" s="568"/>
      <c r="C547" s="754"/>
      <c r="D547" s="599" t="s">
        <v>20</v>
      </c>
      <c r="E547" s="754"/>
      <c r="F547" s="754"/>
      <c r="G547" s="189"/>
      <c r="H547" s="161" t="s">
        <v>12</v>
      </c>
      <c r="I547" s="184"/>
      <c r="J547" s="184"/>
      <c r="K547" s="163"/>
      <c r="L547" s="496">
        <f t="shared" ref="L547:N547" ca="1" si="241">L548+L549</f>
        <v>289100</v>
      </c>
      <c r="M547" s="496">
        <f t="shared" si="241"/>
        <v>0</v>
      </c>
      <c r="N547" s="496">
        <f t="shared" si="241"/>
        <v>23835</v>
      </c>
      <c r="O547" s="496">
        <f t="shared" ca="1" si="237"/>
        <v>8.2445520581113794</v>
      </c>
      <c r="P547" s="496">
        <f t="shared" si="238"/>
        <v>0</v>
      </c>
      <c r="Q547" s="571"/>
      <c r="R547" s="571"/>
      <c r="S547" s="571"/>
      <c r="T547" s="571"/>
      <c r="U547" s="571"/>
      <c r="V547" s="571"/>
      <c r="W547" s="571"/>
      <c r="X547" s="571"/>
      <c r="Y547" s="571"/>
      <c r="Z547" s="571"/>
    </row>
    <row r="548" spans="1:26" ht="18.75" hidden="1">
      <c r="A548" s="592"/>
      <c r="B548" s="600"/>
      <c r="C548" s="750"/>
      <c r="D548" s="711"/>
      <c r="E548" s="750" t="s">
        <v>184</v>
      </c>
      <c r="F548" s="750"/>
      <c r="G548" s="596"/>
      <c r="H548" s="165" t="s">
        <v>12</v>
      </c>
      <c r="I548" s="610"/>
      <c r="J548" s="610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597"/>
      <c r="R548" s="597"/>
      <c r="S548" s="597"/>
      <c r="T548" s="597"/>
      <c r="U548" s="597"/>
      <c r="V548" s="597"/>
      <c r="W548" s="597"/>
      <c r="X548" s="597"/>
      <c r="Y548" s="597"/>
      <c r="Z548" s="597"/>
    </row>
    <row r="549" spans="1:26" ht="18.75" hidden="1">
      <c r="A549" s="592"/>
      <c r="B549" s="600"/>
      <c r="C549" s="750"/>
      <c r="D549" s="711"/>
      <c r="E549" s="750" t="s">
        <v>185</v>
      </c>
      <c r="F549" s="750"/>
      <c r="G549" s="596"/>
      <c r="H549" s="165" t="s">
        <v>12</v>
      </c>
      <c r="I549" s="610"/>
      <c r="J549" s="610"/>
      <c r="K549" s="93"/>
      <c r="L549" s="93">
        <f ca="1">IFERROR(__xludf.DUMMYFUNCTION("IMPORTRANGE(""https://docs.google.com/spreadsheets/d/1QqKyyYR6Q21VydFLVH3TRQUabQu_ym0Zz7PgGX0-kHA/edit?usp=sharing"",""แผน!HB56"")"),289100)</f>
        <v>289100</v>
      </c>
      <c r="M549" s="93">
        <v>0</v>
      </c>
      <c r="N549" s="93">
        <f>N550+N551+N552+N553+N554</f>
        <v>23835</v>
      </c>
      <c r="O549" s="93">
        <f t="shared" ca="1" si="237"/>
        <v>8.2445520581113794</v>
      </c>
      <c r="P549" s="93">
        <f t="shared" si="238"/>
        <v>0</v>
      </c>
      <c r="Q549" s="597"/>
      <c r="R549" s="597"/>
      <c r="S549" s="597"/>
      <c r="T549" s="597"/>
      <c r="U549" s="597"/>
      <c r="V549" s="597"/>
      <c r="W549" s="597"/>
      <c r="X549" s="597"/>
      <c r="Y549" s="597"/>
      <c r="Z549" s="597"/>
    </row>
    <row r="550" spans="1:26" ht="18.75">
      <c r="A550" s="567"/>
      <c r="B550" s="568"/>
      <c r="C550" s="754"/>
      <c r="D550" s="754"/>
      <c r="E550" s="754"/>
      <c r="F550" s="754" t="s">
        <v>186</v>
      </c>
      <c r="G550" s="189"/>
      <c r="H550" s="161" t="s">
        <v>12</v>
      </c>
      <c r="I550" s="269"/>
      <c r="J550" s="269"/>
      <c r="K550" s="496"/>
      <c r="L550" s="496"/>
      <c r="M550" s="496"/>
      <c r="N550" s="817">
        <v>0</v>
      </c>
      <c r="O550" s="496"/>
      <c r="P550" s="496"/>
      <c r="Q550" s="571"/>
      <c r="R550" s="571"/>
      <c r="S550" s="571"/>
      <c r="T550" s="571"/>
      <c r="U550" s="571"/>
      <c r="V550" s="571"/>
      <c r="W550" s="571"/>
      <c r="X550" s="571"/>
      <c r="Y550" s="571"/>
      <c r="Z550" s="571"/>
    </row>
    <row r="551" spans="1:26" ht="18.75">
      <c r="A551" s="567"/>
      <c r="B551" s="568"/>
      <c r="C551" s="568"/>
      <c r="D551" s="568"/>
      <c r="E551" s="754"/>
      <c r="F551" s="754" t="s">
        <v>187</v>
      </c>
      <c r="G551" s="189"/>
      <c r="H551" s="161" t="s">
        <v>12</v>
      </c>
      <c r="I551" s="269"/>
      <c r="J551" s="269"/>
      <c r="K551" s="496"/>
      <c r="L551" s="496"/>
      <c r="M551" s="496"/>
      <c r="N551" s="817">
        <v>0</v>
      </c>
      <c r="O551" s="496"/>
      <c r="P551" s="496"/>
      <c r="Q551" s="571"/>
      <c r="R551" s="571"/>
      <c r="S551" s="571"/>
      <c r="T551" s="571"/>
      <c r="U551" s="571"/>
      <c r="V551" s="571"/>
      <c r="W551" s="571"/>
      <c r="X551" s="571"/>
      <c r="Y551" s="571"/>
      <c r="Z551" s="571"/>
    </row>
    <row r="552" spans="1:26" ht="18.75">
      <c r="A552" s="567"/>
      <c r="B552" s="568"/>
      <c r="C552" s="754"/>
      <c r="D552" s="754"/>
      <c r="E552" s="754"/>
      <c r="F552" s="754" t="s">
        <v>188</v>
      </c>
      <c r="G552" s="189"/>
      <c r="H552" s="161" t="s">
        <v>12</v>
      </c>
      <c r="I552" s="269"/>
      <c r="J552" s="269"/>
      <c r="K552" s="496"/>
      <c r="L552" s="496"/>
      <c r="M552" s="496"/>
      <c r="N552" s="817">
        <f>10835+13000</f>
        <v>23835</v>
      </c>
      <c r="O552" s="496"/>
      <c r="P552" s="496"/>
      <c r="Q552" s="571"/>
      <c r="R552" s="571"/>
      <c r="S552" s="571"/>
      <c r="T552" s="571"/>
      <c r="U552" s="571"/>
      <c r="V552" s="571"/>
      <c r="W552" s="571"/>
      <c r="X552" s="571"/>
      <c r="Y552" s="571"/>
      <c r="Z552" s="571"/>
    </row>
    <row r="553" spans="1:26" ht="18.75">
      <c r="A553" s="567"/>
      <c r="B553" s="568"/>
      <c r="C553" s="568"/>
      <c r="D553" s="568"/>
      <c r="E553" s="754"/>
      <c r="F553" s="754" t="s">
        <v>189</v>
      </c>
      <c r="G553" s="189"/>
      <c r="H553" s="161" t="s">
        <v>12</v>
      </c>
      <c r="I553" s="269"/>
      <c r="J553" s="269"/>
      <c r="K553" s="496"/>
      <c r="L553" s="496"/>
      <c r="M553" s="496"/>
      <c r="N553" s="817">
        <v>0</v>
      </c>
      <c r="O553" s="496"/>
      <c r="P553" s="496"/>
      <c r="Q553" s="571"/>
      <c r="R553" s="571"/>
      <c r="S553" s="571"/>
      <c r="T553" s="571"/>
      <c r="U553" s="571"/>
      <c r="V553" s="571"/>
      <c r="W553" s="571"/>
      <c r="X553" s="571"/>
      <c r="Y553" s="571"/>
      <c r="Z553" s="571"/>
    </row>
    <row r="554" spans="1:26" ht="18.75">
      <c r="A554" s="567"/>
      <c r="B554" s="568"/>
      <c r="C554" s="568"/>
      <c r="D554" s="568"/>
      <c r="E554" s="754"/>
      <c r="F554" s="754" t="s">
        <v>233</v>
      </c>
      <c r="G554" s="189"/>
      <c r="H554" s="161" t="s">
        <v>12</v>
      </c>
      <c r="I554" s="269"/>
      <c r="J554" s="269"/>
      <c r="K554" s="496"/>
      <c r="L554" s="496"/>
      <c r="M554" s="496"/>
      <c r="N554" s="817">
        <v>0</v>
      </c>
      <c r="O554" s="496"/>
      <c r="P554" s="496"/>
      <c r="Q554" s="571"/>
      <c r="R554" s="571"/>
      <c r="S554" s="571"/>
      <c r="T554" s="571"/>
      <c r="U554" s="571"/>
      <c r="V554" s="571"/>
      <c r="W554" s="571"/>
      <c r="X554" s="571"/>
      <c r="Y554" s="571"/>
      <c r="Z554" s="571"/>
    </row>
    <row r="555" spans="1:26" ht="18.75">
      <c r="A555" s="590"/>
      <c r="B555" s="568"/>
      <c r="C555" s="568"/>
      <c r="D555" s="599" t="s">
        <v>21</v>
      </c>
      <c r="E555" s="754"/>
      <c r="F555" s="754"/>
      <c r="G555" s="189"/>
      <c r="H555" s="168" t="s">
        <v>12</v>
      </c>
      <c r="I555" s="184"/>
      <c r="J555" s="184"/>
      <c r="K555" s="163"/>
      <c r="L555" s="496">
        <f t="shared" ref="L555:N555" ca="1" si="242">L556+L557</f>
        <v>0</v>
      </c>
      <c r="M555" s="496">
        <f t="shared" si="242"/>
        <v>0</v>
      </c>
      <c r="N555" s="496">
        <f t="shared" si="242"/>
        <v>0</v>
      </c>
      <c r="O555" s="496">
        <f t="shared" ref="O555:O557" ca="1" si="243">IF(L555&gt;0,N555*100/L555,0)</f>
        <v>0</v>
      </c>
      <c r="P555" s="496">
        <f t="shared" ref="P555:P557" si="244">IF(M555&gt;0,N555*100/M555,0)</f>
        <v>0</v>
      </c>
      <c r="Q555" s="571"/>
      <c r="R555" s="571"/>
      <c r="S555" s="571"/>
      <c r="T555" s="571"/>
      <c r="U555" s="571"/>
      <c r="V555" s="571"/>
      <c r="W555" s="571"/>
      <c r="X555" s="571"/>
      <c r="Y555" s="571"/>
      <c r="Z555" s="571"/>
    </row>
    <row r="556" spans="1:26" ht="18.75" hidden="1">
      <c r="A556" s="592"/>
      <c r="B556" s="600"/>
      <c r="C556" s="600"/>
      <c r="D556" s="750"/>
      <c r="E556" s="750" t="s">
        <v>18</v>
      </c>
      <c r="F556" s="750"/>
      <c r="G556" s="596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597"/>
      <c r="R556" s="597"/>
      <c r="S556" s="597"/>
      <c r="T556" s="597"/>
      <c r="U556" s="597"/>
      <c r="V556" s="597"/>
      <c r="W556" s="597"/>
      <c r="X556" s="597"/>
      <c r="Y556" s="597"/>
      <c r="Z556" s="597"/>
    </row>
    <row r="557" spans="1:26" ht="18.75" hidden="1">
      <c r="A557" s="592"/>
      <c r="B557" s="600"/>
      <c r="C557" s="600"/>
      <c r="D557" s="750"/>
      <c r="E557" s="750" t="s">
        <v>19</v>
      </c>
      <c r="F557" s="750"/>
      <c r="G557" s="596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IFERROR(__xludf.DUMMYFUNCTION("IMPORTRANGE(""https://docs.google.com/spreadsheets/d/1QqKyyYR6Q21VydFLVH3TRQUabQu_ym0Zz7PgGX0-kHA/edit?usp=sharing"",""แผน!HF56"")"),0)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597"/>
      <c r="R557" s="597"/>
      <c r="S557" s="597"/>
      <c r="T557" s="597"/>
      <c r="U557" s="597"/>
      <c r="V557" s="597"/>
      <c r="W557" s="597"/>
      <c r="X557" s="597"/>
      <c r="Y557" s="597"/>
      <c r="Z557" s="597"/>
    </row>
    <row r="558" spans="1:26" ht="19.5">
      <c r="A558" s="601"/>
      <c r="B558" s="611"/>
      <c r="C558" s="568" t="s">
        <v>16</v>
      </c>
      <c r="D558" s="839" t="s">
        <v>38</v>
      </c>
      <c r="E558" s="752"/>
      <c r="F558" s="752"/>
      <c r="G558" s="606"/>
      <c r="H558" s="753"/>
      <c r="I558" s="184"/>
      <c r="J558" s="184"/>
      <c r="K558" s="163"/>
      <c r="L558" s="163"/>
      <c r="M558" s="163"/>
      <c r="N558" s="163"/>
      <c r="O558" s="163"/>
      <c r="P558" s="163"/>
      <c r="Q558" s="571"/>
      <c r="R558" s="571"/>
      <c r="S558" s="571"/>
      <c r="T558" s="571"/>
      <c r="U558" s="571"/>
      <c r="V558" s="571"/>
      <c r="W558" s="571"/>
      <c r="X558" s="571"/>
      <c r="Y558" s="571"/>
      <c r="Z558" s="571"/>
    </row>
    <row r="559" spans="1:26" ht="19.5" hidden="1">
      <c r="A559" s="685"/>
      <c r="B559" s="686" t="s">
        <v>234</v>
      </c>
      <c r="C559" s="687"/>
      <c r="D559" s="687"/>
      <c r="E559" s="666"/>
      <c r="F559" s="666"/>
      <c r="G559" s="667"/>
      <c r="H559" s="688" t="s">
        <v>46</v>
      </c>
      <c r="I559" s="699">
        <f t="shared" ref="I559:J559" ca="1" si="245">I576</f>
        <v>0</v>
      </c>
      <c r="J559" s="699">
        <f t="shared" si="245"/>
        <v>0</v>
      </c>
      <c r="K559" s="670">
        <f t="shared" ref="K559:K561" ca="1" si="246">IF(I559&gt;0,J559*100/I559,0)</f>
        <v>0</v>
      </c>
      <c r="L559" s="671"/>
      <c r="M559" s="671"/>
      <c r="N559" s="671"/>
      <c r="O559" s="671"/>
      <c r="P559" s="671"/>
      <c r="Q559" s="571"/>
      <c r="R559" s="571"/>
      <c r="S559" s="571"/>
      <c r="T559" s="571"/>
      <c r="U559" s="571"/>
      <c r="V559" s="571"/>
      <c r="W559" s="571"/>
      <c r="X559" s="571"/>
      <c r="Y559" s="571"/>
      <c r="Z559" s="571"/>
    </row>
    <row r="560" spans="1:26" ht="19.5" hidden="1">
      <c r="A560" s="601"/>
      <c r="B560" s="611"/>
      <c r="C560" s="618" t="s">
        <v>235</v>
      </c>
      <c r="D560" s="611"/>
      <c r="E560" s="619"/>
      <c r="F560" s="619"/>
      <c r="G560" s="753"/>
      <c r="H560" s="758" t="s">
        <v>46</v>
      </c>
      <c r="I560" s="193">
        <f ca="1">IFERROR(__xludf.DUMMYFUNCTION("IMPORTRANGE(""https://docs.google.com/spreadsheets/d/1QqKyyYR6Q21VydFLVH3TRQUabQu_ym0Zz7PgGX0-kHA/edit?usp=sharing"",""แผน!HH56"")"),0)</f>
        <v>0</v>
      </c>
      <c r="J560" s="193">
        <f t="shared" ref="J560:J561" si="247">J562+J564+J566</f>
        <v>0</v>
      </c>
      <c r="K560" s="410">
        <f t="shared" ca="1" si="246"/>
        <v>0</v>
      </c>
      <c r="L560" s="163"/>
      <c r="M560" s="163"/>
      <c r="N560" s="163"/>
      <c r="O560" s="163"/>
      <c r="P560" s="163"/>
      <c r="Q560" s="571"/>
      <c r="R560" s="571"/>
      <c r="S560" s="571"/>
      <c r="T560" s="571"/>
      <c r="U560" s="571"/>
      <c r="V560" s="571"/>
      <c r="W560" s="571"/>
      <c r="X560" s="571"/>
      <c r="Y560" s="571"/>
      <c r="Z560" s="571"/>
    </row>
    <row r="561" spans="1:26" ht="19.5" hidden="1">
      <c r="A561" s="601"/>
      <c r="B561" s="611"/>
      <c r="C561" s="611"/>
      <c r="D561" s="619"/>
      <c r="E561" s="619"/>
      <c r="F561" s="619"/>
      <c r="G561" s="753"/>
      <c r="H561" s="758" t="s">
        <v>34</v>
      </c>
      <c r="I561" s="193">
        <f ca="1">IFERROR(__xludf.DUMMYFUNCTION("IMPORTRANGE(""https://docs.google.com/spreadsheets/d/1QqKyyYR6Q21VydFLVH3TRQUabQu_ym0Zz7PgGX0-kHA/edit?usp=sharing"",""แผน!HG56"")"),0)</f>
        <v>0</v>
      </c>
      <c r="J561" s="193">
        <f t="shared" si="247"/>
        <v>0</v>
      </c>
      <c r="K561" s="410">
        <f t="shared" ca="1" si="246"/>
        <v>0</v>
      </c>
      <c r="L561" s="163"/>
      <c r="M561" s="163"/>
      <c r="N561" s="163"/>
      <c r="O561" s="163"/>
      <c r="P561" s="163"/>
      <c r="Q561" s="571"/>
      <c r="R561" s="571"/>
      <c r="S561" s="571"/>
      <c r="T561" s="571"/>
      <c r="U561" s="571"/>
      <c r="V561" s="571"/>
      <c r="W561" s="571"/>
      <c r="X561" s="571"/>
      <c r="Y561" s="571"/>
      <c r="Z561" s="571"/>
    </row>
    <row r="562" spans="1:26" ht="18.75" hidden="1">
      <c r="A562" s="601"/>
      <c r="B562" s="611"/>
      <c r="C562" s="611"/>
      <c r="D562" s="619" t="s">
        <v>236</v>
      </c>
      <c r="E562" s="619"/>
      <c r="F562" s="619"/>
      <c r="G562" s="753"/>
      <c r="H562" s="755" t="s">
        <v>46</v>
      </c>
      <c r="I562" s="184"/>
      <c r="J562" s="214">
        <v>0</v>
      </c>
      <c r="K562" s="163"/>
      <c r="L562" s="163"/>
      <c r="M562" s="163"/>
      <c r="N562" s="163"/>
      <c r="O562" s="163"/>
      <c r="P562" s="163"/>
      <c r="Q562" s="571"/>
      <c r="R562" s="571"/>
      <c r="S562" s="571"/>
      <c r="T562" s="571"/>
      <c r="U562" s="571"/>
      <c r="V562" s="571"/>
      <c r="W562" s="571"/>
      <c r="X562" s="571"/>
      <c r="Y562" s="571"/>
      <c r="Z562" s="571"/>
    </row>
    <row r="563" spans="1:26" ht="18.75" hidden="1">
      <c r="A563" s="601"/>
      <c r="B563" s="611"/>
      <c r="C563" s="611"/>
      <c r="D563" s="611"/>
      <c r="E563" s="619"/>
      <c r="F563" s="619"/>
      <c r="G563" s="753"/>
      <c r="H563" s="755" t="s">
        <v>34</v>
      </c>
      <c r="I563" s="184"/>
      <c r="J563" s="214">
        <v>0</v>
      </c>
      <c r="K563" s="163"/>
      <c r="L563" s="163"/>
      <c r="M563" s="163"/>
      <c r="N563" s="163"/>
      <c r="O563" s="163"/>
      <c r="P563" s="163"/>
      <c r="Q563" s="571"/>
      <c r="R563" s="571"/>
      <c r="S563" s="571"/>
      <c r="T563" s="571"/>
      <c r="U563" s="571"/>
      <c r="V563" s="571"/>
      <c r="W563" s="571"/>
      <c r="X563" s="571"/>
      <c r="Y563" s="571"/>
      <c r="Z563" s="571"/>
    </row>
    <row r="564" spans="1:26" ht="18.75" hidden="1">
      <c r="A564" s="601"/>
      <c r="B564" s="611"/>
      <c r="C564" s="611"/>
      <c r="D564" s="619" t="s">
        <v>237</v>
      </c>
      <c r="E564" s="619"/>
      <c r="F564" s="619"/>
      <c r="G564" s="753"/>
      <c r="H564" s="755" t="s">
        <v>46</v>
      </c>
      <c r="I564" s="184"/>
      <c r="J564" s="214">
        <v>0</v>
      </c>
      <c r="K564" s="163"/>
      <c r="L564" s="163"/>
      <c r="M564" s="163"/>
      <c r="N564" s="163"/>
      <c r="O564" s="163"/>
      <c r="P564" s="163"/>
      <c r="Q564" s="571"/>
      <c r="R564" s="571"/>
      <c r="S564" s="571"/>
      <c r="T564" s="571"/>
      <c r="U564" s="571"/>
      <c r="V564" s="571"/>
      <c r="W564" s="571"/>
      <c r="X564" s="571"/>
      <c r="Y564" s="571"/>
      <c r="Z564" s="571"/>
    </row>
    <row r="565" spans="1:26" ht="18.75" hidden="1">
      <c r="A565" s="601"/>
      <c r="B565" s="611"/>
      <c r="C565" s="611"/>
      <c r="D565" s="619"/>
      <c r="E565" s="619"/>
      <c r="F565" s="619"/>
      <c r="G565" s="753"/>
      <c r="H565" s="755" t="s">
        <v>34</v>
      </c>
      <c r="I565" s="184"/>
      <c r="J565" s="214">
        <v>0</v>
      </c>
      <c r="K565" s="163"/>
      <c r="L565" s="163"/>
      <c r="M565" s="163"/>
      <c r="N565" s="163"/>
      <c r="O565" s="163"/>
      <c r="P565" s="163"/>
      <c r="Q565" s="571"/>
      <c r="R565" s="571"/>
      <c r="S565" s="571"/>
      <c r="T565" s="571"/>
      <c r="U565" s="571"/>
      <c r="V565" s="571"/>
      <c r="W565" s="571"/>
      <c r="X565" s="571"/>
      <c r="Y565" s="571"/>
      <c r="Z565" s="571"/>
    </row>
    <row r="566" spans="1:26" ht="18.75" hidden="1">
      <c r="A566" s="601"/>
      <c r="B566" s="611"/>
      <c r="C566" s="611"/>
      <c r="D566" s="619" t="s">
        <v>238</v>
      </c>
      <c r="E566" s="619"/>
      <c r="F566" s="619"/>
      <c r="G566" s="753"/>
      <c r="H566" s="755" t="s">
        <v>46</v>
      </c>
      <c r="I566" s="184"/>
      <c r="J566" s="214">
        <v>0</v>
      </c>
      <c r="K566" s="163"/>
      <c r="L566" s="163"/>
      <c r="M566" s="163"/>
      <c r="N566" s="163"/>
      <c r="O566" s="163"/>
      <c r="P566" s="163"/>
      <c r="Q566" s="571"/>
      <c r="R566" s="571"/>
      <c r="S566" s="571"/>
      <c r="T566" s="571"/>
      <c r="U566" s="571"/>
      <c r="V566" s="571"/>
      <c r="W566" s="571"/>
      <c r="X566" s="571"/>
      <c r="Y566" s="571"/>
      <c r="Z566" s="571"/>
    </row>
    <row r="567" spans="1:26" ht="18.75" hidden="1">
      <c r="A567" s="601"/>
      <c r="B567" s="611"/>
      <c r="C567" s="611"/>
      <c r="D567" s="619"/>
      <c r="E567" s="619"/>
      <c r="F567" s="619"/>
      <c r="G567" s="753"/>
      <c r="H567" s="755" t="s">
        <v>34</v>
      </c>
      <c r="I567" s="184"/>
      <c r="J567" s="214">
        <v>0</v>
      </c>
      <c r="K567" s="163"/>
      <c r="L567" s="163"/>
      <c r="M567" s="163"/>
      <c r="N567" s="163"/>
      <c r="O567" s="163"/>
      <c r="P567" s="163"/>
      <c r="Q567" s="571"/>
      <c r="R567" s="571"/>
      <c r="S567" s="571"/>
      <c r="T567" s="571"/>
      <c r="U567" s="571"/>
      <c r="V567" s="571"/>
      <c r="W567" s="571"/>
      <c r="X567" s="571"/>
      <c r="Y567" s="571"/>
      <c r="Z567" s="571"/>
    </row>
    <row r="568" spans="1:26" ht="19.5" hidden="1">
      <c r="A568" s="601"/>
      <c r="B568" s="611"/>
      <c r="C568" s="618" t="s">
        <v>239</v>
      </c>
      <c r="D568" s="619"/>
      <c r="E568" s="619"/>
      <c r="F568" s="619"/>
      <c r="G568" s="753"/>
      <c r="H568" s="758" t="s">
        <v>46</v>
      </c>
      <c r="I568" s="193">
        <f ca="1">IFERROR(__xludf.DUMMYFUNCTION("IMPORTRANGE(""https://docs.google.com/spreadsheets/d/1QqKyyYR6Q21VydFLVH3TRQUabQu_ym0Zz7PgGX0-kHA/edit?usp=sharing"",""แผน!HH56"")"),0)</f>
        <v>0</v>
      </c>
      <c r="J568" s="674">
        <f t="shared" ref="J568:J569" si="248">J570+J572+J574</f>
        <v>0</v>
      </c>
      <c r="K568" s="410">
        <f t="shared" ref="K568:K569" ca="1" si="249">IF(I568&gt;0,J568*100/I568,0)</f>
        <v>0</v>
      </c>
      <c r="L568" s="163"/>
      <c r="M568" s="163"/>
      <c r="N568" s="163"/>
      <c r="O568" s="163"/>
      <c r="P568" s="163"/>
      <c r="Q568" s="571"/>
      <c r="R568" s="571"/>
      <c r="S568" s="571"/>
      <c r="T568" s="571"/>
      <c r="U568" s="571"/>
      <c r="V568" s="571"/>
      <c r="W568" s="571"/>
      <c r="X568" s="571"/>
      <c r="Y568" s="571"/>
      <c r="Z568" s="571"/>
    </row>
    <row r="569" spans="1:26" ht="19.5" hidden="1">
      <c r="A569" s="601"/>
      <c r="B569" s="611"/>
      <c r="C569" s="611"/>
      <c r="D569" s="611"/>
      <c r="E569" s="619"/>
      <c r="F569" s="619"/>
      <c r="G569" s="753"/>
      <c r="H569" s="758" t="s">
        <v>34</v>
      </c>
      <c r="I569" s="193">
        <f ca="1">IFERROR(__xludf.DUMMYFUNCTION("IMPORTRANGE(""https://docs.google.com/spreadsheets/d/1QqKyyYR6Q21VydFLVH3TRQUabQu_ym0Zz7PgGX0-kHA/edit?usp=sharing"",""แผน!HG56"")"),0)</f>
        <v>0</v>
      </c>
      <c r="J569" s="674">
        <f t="shared" si="248"/>
        <v>0</v>
      </c>
      <c r="K569" s="410">
        <f t="shared" ca="1" si="249"/>
        <v>0</v>
      </c>
      <c r="L569" s="163"/>
      <c r="M569" s="163"/>
      <c r="N569" s="163"/>
      <c r="O569" s="163"/>
      <c r="P569" s="163"/>
      <c r="Q569" s="571"/>
      <c r="R569" s="571"/>
      <c r="S569" s="571"/>
      <c r="T569" s="571"/>
      <c r="U569" s="571"/>
      <c r="V569" s="571"/>
      <c r="W569" s="571"/>
      <c r="X569" s="571"/>
      <c r="Y569" s="571"/>
      <c r="Z569" s="571"/>
    </row>
    <row r="570" spans="1:26" ht="18.75" hidden="1">
      <c r="A570" s="601"/>
      <c r="B570" s="611"/>
      <c r="C570" s="611"/>
      <c r="D570" s="619" t="s">
        <v>240</v>
      </c>
      <c r="E570" s="611"/>
      <c r="F570" s="619"/>
      <c r="G570" s="753"/>
      <c r="H570" s="755" t="s">
        <v>46</v>
      </c>
      <c r="I570" s="184"/>
      <c r="J570" s="214">
        <v>0</v>
      </c>
      <c r="K570" s="163"/>
      <c r="L570" s="163"/>
      <c r="M570" s="163"/>
      <c r="N570" s="163"/>
      <c r="O570" s="163"/>
      <c r="P570" s="163"/>
      <c r="Q570" s="571"/>
      <c r="R570" s="571"/>
      <c r="S570" s="571"/>
      <c r="T570" s="571"/>
      <c r="U570" s="571"/>
      <c r="V570" s="571"/>
      <c r="W570" s="571"/>
      <c r="X570" s="571"/>
      <c r="Y570" s="571"/>
      <c r="Z570" s="571"/>
    </row>
    <row r="571" spans="1:26" ht="18.75" hidden="1">
      <c r="A571" s="601"/>
      <c r="B571" s="611"/>
      <c r="C571" s="611"/>
      <c r="D571" s="611"/>
      <c r="E571" s="619"/>
      <c r="F571" s="619"/>
      <c r="G571" s="753"/>
      <c r="H571" s="755" t="s">
        <v>34</v>
      </c>
      <c r="I571" s="184"/>
      <c r="J571" s="214">
        <v>0</v>
      </c>
      <c r="K571" s="163"/>
      <c r="L571" s="163"/>
      <c r="M571" s="163"/>
      <c r="N571" s="163"/>
      <c r="O571" s="163"/>
      <c r="P571" s="163"/>
      <c r="Q571" s="571"/>
      <c r="R571" s="571"/>
      <c r="S571" s="571"/>
      <c r="T571" s="571"/>
      <c r="U571" s="571"/>
      <c r="V571" s="571"/>
      <c r="W571" s="571"/>
      <c r="X571" s="571"/>
      <c r="Y571" s="571"/>
      <c r="Z571" s="571"/>
    </row>
    <row r="572" spans="1:26" ht="18.75" hidden="1">
      <c r="A572" s="601"/>
      <c r="B572" s="611"/>
      <c r="C572" s="611"/>
      <c r="D572" s="619" t="s">
        <v>241</v>
      </c>
      <c r="E572" s="619"/>
      <c r="F572" s="619"/>
      <c r="G572" s="753"/>
      <c r="H572" s="755" t="s">
        <v>46</v>
      </c>
      <c r="I572" s="184"/>
      <c r="J572" s="214">
        <v>0</v>
      </c>
      <c r="K572" s="163"/>
      <c r="L572" s="163"/>
      <c r="M572" s="163"/>
      <c r="N572" s="163"/>
      <c r="O572" s="163"/>
      <c r="P572" s="163"/>
      <c r="Q572" s="571"/>
      <c r="R572" s="571"/>
      <c r="S572" s="571"/>
      <c r="T572" s="571"/>
      <c r="U572" s="571"/>
      <c r="V572" s="571"/>
      <c r="W572" s="571"/>
      <c r="X572" s="571"/>
      <c r="Y572" s="571"/>
      <c r="Z572" s="571"/>
    </row>
    <row r="573" spans="1:26" ht="18.75" hidden="1">
      <c r="A573" s="601"/>
      <c r="B573" s="611"/>
      <c r="C573" s="611"/>
      <c r="D573" s="619"/>
      <c r="E573" s="619"/>
      <c r="F573" s="619"/>
      <c r="G573" s="753"/>
      <c r="H573" s="755" t="s">
        <v>34</v>
      </c>
      <c r="I573" s="184"/>
      <c r="J573" s="214">
        <v>0</v>
      </c>
      <c r="K573" s="163"/>
      <c r="L573" s="163"/>
      <c r="M573" s="163"/>
      <c r="N573" s="163"/>
      <c r="O573" s="163"/>
      <c r="P573" s="163"/>
      <c r="Q573" s="571"/>
      <c r="R573" s="571"/>
      <c r="S573" s="571"/>
      <c r="T573" s="571"/>
      <c r="U573" s="571"/>
      <c r="V573" s="571"/>
      <c r="W573" s="571"/>
      <c r="X573" s="571"/>
      <c r="Y573" s="571"/>
      <c r="Z573" s="571"/>
    </row>
    <row r="574" spans="1:26" ht="18.75" hidden="1">
      <c r="A574" s="601"/>
      <c r="B574" s="611"/>
      <c r="C574" s="611"/>
      <c r="D574" s="619" t="s">
        <v>242</v>
      </c>
      <c r="E574" s="619"/>
      <c r="F574" s="619"/>
      <c r="G574" s="753"/>
      <c r="H574" s="755" t="s">
        <v>46</v>
      </c>
      <c r="I574" s="184"/>
      <c r="J574" s="214">
        <v>0</v>
      </c>
      <c r="K574" s="163"/>
      <c r="L574" s="163"/>
      <c r="M574" s="163"/>
      <c r="N574" s="163"/>
      <c r="O574" s="163"/>
      <c r="P574" s="163"/>
      <c r="Q574" s="571"/>
      <c r="R574" s="571"/>
      <c r="S574" s="571"/>
      <c r="T574" s="571"/>
      <c r="U574" s="571"/>
      <c r="V574" s="571"/>
      <c r="W574" s="571"/>
      <c r="X574" s="571"/>
      <c r="Y574" s="571"/>
      <c r="Z574" s="571"/>
    </row>
    <row r="575" spans="1:26" ht="18.75" hidden="1">
      <c r="A575" s="601"/>
      <c r="B575" s="611"/>
      <c r="C575" s="611"/>
      <c r="D575" s="611"/>
      <c r="E575" s="619"/>
      <c r="F575" s="619"/>
      <c r="G575" s="753"/>
      <c r="H575" s="755" t="s">
        <v>34</v>
      </c>
      <c r="I575" s="184"/>
      <c r="J575" s="214">
        <v>0</v>
      </c>
      <c r="K575" s="163"/>
      <c r="L575" s="163"/>
      <c r="M575" s="163"/>
      <c r="N575" s="163"/>
      <c r="O575" s="163"/>
      <c r="P575" s="163"/>
      <c r="Q575" s="571"/>
      <c r="R575" s="571"/>
      <c r="S575" s="571"/>
      <c r="T575" s="571"/>
      <c r="U575" s="571"/>
      <c r="V575" s="571"/>
      <c r="W575" s="571"/>
      <c r="X575" s="571"/>
      <c r="Y575" s="571"/>
      <c r="Z575" s="571"/>
    </row>
    <row r="576" spans="1:26" ht="19.5" hidden="1">
      <c r="A576" s="601"/>
      <c r="B576" s="611"/>
      <c r="C576" s="618" t="s">
        <v>243</v>
      </c>
      <c r="D576" s="611"/>
      <c r="E576" s="611"/>
      <c r="F576" s="619"/>
      <c r="G576" s="753"/>
      <c r="H576" s="758" t="s">
        <v>46</v>
      </c>
      <c r="I576" s="193">
        <f ca="1">IFERROR(__xludf.DUMMYFUNCTION("IMPORTRANGE(""https://docs.google.com/spreadsheets/d/1QqKyyYR6Q21VydFLVH3TRQUabQu_ym0Zz7PgGX0-kHA/edit?usp=sharing"",""แผน!HH56"")"),0)</f>
        <v>0</v>
      </c>
      <c r="J576" s="674">
        <f t="shared" ref="J576:J577" si="250">J578+J580+J582+J588+J590</f>
        <v>0</v>
      </c>
      <c r="K576" s="410">
        <f t="shared" ref="K576:K577" ca="1" si="251">IF(I576&gt;0,J576*100/I576,0)</f>
        <v>0</v>
      </c>
      <c r="L576" s="163"/>
      <c r="M576" s="163"/>
      <c r="N576" s="163"/>
      <c r="O576" s="163"/>
      <c r="P576" s="163"/>
      <c r="Q576" s="571"/>
      <c r="R576" s="571"/>
      <c r="S576" s="571"/>
      <c r="T576" s="571"/>
      <c r="U576" s="571"/>
      <c r="V576" s="571"/>
      <c r="W576" s="571"/>
      <c r="X576" s="571"/>
      <c r="Y576" s="571"/>
      <c r="Z576" s="571"/>
    </row>
    <row r="577" spans="1:26" ht="19.5" hidden="1">
      <c r="A577" s="601"/>
      <c r="B577" s="611"/>
      <c r="C577" s="611"/>
      <c r="D577" s="611"/>
      <c r="E577" s="619"/>
      <c r="F577" s="619"/>
      <c r="G577" s="753"/>
      <c r="H577" s="758" t="s">
        <v>34</v>
      </c>
      <c r="I577" s="193">
        <f ca="1">IFERROR(__xludf.DUMMYFUNCTION("IMPORTRANGE(""https://docs.google.com/spreadsheets/d/1QqKyyYR6Q21VydFLVH3TRQUabQu_ym0Zz7PgGX0-kHA/edit?usp=sharing"",""แผน!HG56"")"),0)</f>
        <v>0</v>
      </c>
      <c r="J577" s="674">
        <f t="shared" si="250"/>
        <v>0</v>
      </c>
      <c r="K577" s="410">
        <f t="shared" ca="1" si="251"/>
        <v>0</v>
      </c>
      <c r="L577" s="163"/>
      <c r="M577" s="163"/>
      <c r="N577" s="163"/>
      <c r="O577" s="163"/>
      <c r="P577" s="163"/>
      <c r="Q577" s="571"/>
      <c r="R577" s="571"/>
      <c r="S577" s="571"/>
      <c r="T577" s="571"/>
      <c r="U577" s="571"/>
      <c r="V577" s="571"/>
      <c r="W577" s="571"/>
      <c r="X577" s="571"/>
      <c r="Y577" s="571"/>
      <c r="Z577" s="571"/>
    </row>
    <row r="578" spans="1:26" ht="18.75" hidden="1">
      <c r="A578" s="601"/>
      <c r="B578" s="611"/>
      <c r="C578" s="611"/>
      <c r="D578" s="619" t="s">
        <v>244</v>
      </c>
      <c r="E578" s="619"/>
      <c r="F578" s="619"/>
      <c r="G578" s="753"/>
      <c r="H578" s="755" t="s">
        <v>46</v>
      </c>
      <c r="I578" s="184"/>
      <c r="J578" s="214">
        <v>0</v>
      </c>
      <c r="K578" s="163"/>
      <c r="L578" s="163"/>
      <c r="M578" s="163"/>
      <c r="N578" s="163"/>
      <c r="O578" s="163"/>
      <c r="P578" s="163"/>
      <c r="Q578" s="571"/>
      <c r="R578" s="571"/>
      <c r="S578" s="571"/>
      <c r="T578" s="571"/>
      <c r="U578" s="571"/>
      <c r="V578" s="571"/>
      <c r="W578" s="571"/>
      <c r="X578" s="571"/>
      <c r="Y578" s="571"/>
      <c r="Z578" s="571"/>
    </row>
    <row r="579" spans="1:26" ht="18.75" hidden="1">
      <c r="A579" s="601"/>
      <c r="B579" s="611"/>
      <c r="C579" s="611"/>
      <c r="D579" s="611"/>
      <c r="E579" s="619"/>
      <c r="F579" s="619"/>
      <c r="G579" s="753"/>
      <c r="H579" s="755" t="s">
        <v>34</v>
      </c>
      <c r="I579" s="184"/>
      <c r="J579" s="214">
        <v>0</v>
      </c>
      <c r="K579" s="163"/>
      <c r="L579" s="163"/>
      <c r="M579" s="163"/>
      <c r="N579" s="163"/>
      <c r="O579" s="163"/>
      <c r="P579" s="163"/>
      <c r="Q579" s="571"/>
      <c r="R579" s="571"/>
      <c r="S579" s="571"/>
      <c r="T579" s="571"/>
      <c r="U579" s="571"/>
      <c r="V579" s="571"/>
      <c r="W579" s="571"/>
      <c r="X579" s="571"/>
      <c r="Y579" s="571"/>
      <c r="Z579" s="571"/>
    </row>
    <row r="580" spans="1:26" ht="18.75" hidden="1">
      <c r="A580" s="601"/>
      <c r="B580" s="611"/>
      <c r="C580" s="611"/>
      <c r="D580" s="619" t="s">
        <v>245</v>
      </c>
      <c r="E580" s="619"/>
      <c r="F580" s="619"/>
      <c r="G580" s="753"/>
      <c r="H580" s="755" t="s">
        <v>46</v>
      </c>
      <c r="I580" s="184"/>
      <c r="J580" s="214">
        <v>0</v>
      </c>
      <c r="K580" s="163"/>
      <c r="L580" s="163"/>
      <c r="M580" s="163"/>
      <c r="N580" s="163"/>
      <c r="O580" s="163"/>
      <c r="P580" s="163"/>
      <c r="Q580" s="571"/>
      <c r="R580" s="571"/>
      <c r="S580" s="571"/>
      <c r="T580" s="571"/>
      <c r="U580" s="571"/>
      <c r="V580" s="571"/>
      <c r="W580" s="571"/>
      <c r="X580" s="571"/>
      <c r="Y580" s="571"/>
      <c r="Z580" s="571"/>
    </row>
    <row r="581" spans="1:26" ht="18.75" hidden="1">
      <c r="A581" s="601"/>
      <c r="B581" s="611"/>
      <c r="C581" s="611"/>
      <c r="D581" s="611"/>
      <c r="E581" s="619"/>
      <c r="F581" s="619"/>
      <c r="G581" s="753"/>
      <c r="H581" s="755" t="s">
        <v>34</v>
      </c>
      <c r="I581" s="184"/>
      <c r="J581" s="214">
        <v>0</v>
      </c>
      <c r="K581" s="163"/>
      <c r="L581" s="163"/>
      <c r="M581" s="163"/>
      <c r="N581" s="163"/>
      <c r="O581" s="163"/>
      <c r="P581" s="163"/>
      <c r="Q581" s="571"/>
      <c r="R581" s="571"/>
      <c r="S581" s="571"/>
      <c r="T581" s="571"/>
      <c r="U581" s="571"/>
      <c r="V581" s="571"/>
      <c r="W581" s="571"/>
      <c r="X581" s="571"/>
      <c r="Y581" s="571"/>
      <c r="Z581" s="571"/>
    </row>
    <row r="582" spans="1:26" ht="19.5" hidden="1">
      <c r="A582" s="601"/>
      <c r="B582" s="611"/>
      <c r="C582" s="611"/>
      <c r="D582" s="619" t="s">
        <v>246</v>
      </c>
      <c r="E582" s="619"/>
      <c r="F582" s="619"/>
      <c r="G582" s="753"/>
      <c r="H582" s="755" t="s">
        <v>46</v>
      </c>
      <c r="I582" s="184"/>
      <c r="J582" s="674">
        <f t="shared" ref="J582:J583" si="252">J584+J586</f>
        <v>0</v>
      </c>
      <c r="K582" s="410"/>
      <c r="L582" s="163"/>
      <c r="M582" s="163"/>
      <c r="N582" s="163"/>
      <c r="O582" s="163"/>
      <c r="P582" s="163"/>
      <c r="Q582" s="571"/>
      <c r="R582" s="571"/>
      <c r="S582" s="571"/>
      <c r="T582" s="571"/>
      <c r="U582" s="571"/>
      <c r="V582" s="571"/>
      <c r="W582" s="571"/>
      <c r="X582" s="571"/>
      <c r="Y582" s="571"/>
      <c r="Z582" s="571"/>
    </row>
    <row r="583" spans="1:26" ht="19.5" hidden="1">
      <c r="A583" s="601"/>
      <c r="B583" s="611"/>
      <c r="C583" s="611"/>
      <c r="D583" s="611"/>
      <c r="E583" s="619"/>
      <c r="F583" s="619"/>
      <c r="G583" s="753"/>
      <c r="H583" s="755" t="s">
        <v>34</v>
      </c>
      <c r="I583" s="184"/>
      <c r="J583" s="674">
        <f t="shared" si="252"/>
        <v>0</v>
      </c>
      <c r="K583" s="410"/>
      <c r="L583" s="163"/>
      <c r="M583" s="163"/>
      <c r="N583" s="163"/>
      <c r="O583" s="163"/>
      <c r="P583" s="163"/>
      <c r="Q583" s="571"/>
      <c r="R583" s="571"/>
      <c r="S583" s="571"/>
      <c r="T583" s="571"/>
      <c r="U583" s="571"/>
      <c r="V583" s="571"/>
      <c r="W583" s="571"/>
      <c r="X583" s="571"/>
      <c r="Y583" s="571"/>
      <c r="Z583" s="571"/>
    </row>
    <row r="584" spans="1:26" ht="18.75" hidden="1">
      <c r="A584" s="601"/>
      <c r="B584" s="611"/>
      <c r="C584" s="611"/>
      <c r="D584" s="611"/>
      <c r="E584" s="619" t="s">
        <v>247</v>
      </c>
      <c r="F584" s="619"/>
      <c r="G584" s="753"/>
      <c r="H584" s="755" t="s">
        <v>46</v>
      </c>
      <c r="I584" s="184"/>
      <c r="J584" s="214">
        <v>0</v>
      </c>
      <c r="K584" s="163"/>
      <c r="L584" s="163"/>
      <c r="M584" s="163"/>
      <c r="N584" s="163"/>
      <c r="O584" s="163"/>
      <c r="P584" s="163"/>
      <c r="Q584" s="571"/>
      <c r="R584" s="571"/>
      <c r="S584" s="571"/>
      <c r="T584" s="571"/>
      <c r="U584" s="571"/>
      <c r="V584" s="571"/>
      <c r="W584" s="571"/>
      <c r="X584" s="571"/>
      <c r="Y584" s="571"/>
      <c r="Z584" s="571"/>
    </row>
    <row r="585" spans="1:26" ht="18.75" hidden="1">
      <c r="A585" s="601"/>
      <c r="B585" s="611"/>
      <c r="C585" s="611"/>
      <c r="D585" s="611"/>
      <c r="E585" s="619"/>
      <c r="F585" s="619"/>
      <c r="G585" s="753"/>
      <c r="H585" s="755" t="s">
        <v>34</v>
      </c>
      <c r="I585" s="184"/>
      <c r="J585" s="214">
        <v>0</v>
      </c>
      <c r="K585" s="163"/>
      <c r="L585" s="163"/>
      <c r="M585" s="163"/>
      <c r="N585" s="163"/>
      <c r="O585" s="163"/>
      <c r="P585" s="163"/>
      <c r="Q585" s="571"/>
      <c r="R585" s="571"/>
      <c r="S585" s="571"/>
      <c r="T585" s="571"/>
      <c r="U585" s="571"/>
      <c r="V585" s="571"/>
      <c r="W585" s="571"/>
      <c r="X585" s="571"/>
      <c r="Y585" s="571"/>
      <c r="Z585" s="571"/>
    </row>
    <row r="586" spans="1:26" ht="18.75" hidden="1">
      <c r="A586" s="601"/>
      <c r="B586" s="611"/>
      <c r="C586" s="611"/>
      <c r="D586" s="611"/>
      <c r="E586" s="619" t="s">
        <v>248</v>
      </c>
      <c r="F586" s="619"/>
      <c r="G586" s="753"/>
      <c r="H586" s="755" t="s">
        <v>46</v>
      </c>
      <c r="I586" s="184"/>
      <c r="J586" s="214">
        <v>0</v>
      </c>
      <c r="K586" s="163"/>
      <c r="L586" s="163"/>
      <c r="M586" s="163"/>
      <c r="N586" s="163"/>
      <c r="O586" s="163"/>
      <c r="P586" s="163"/>
      <c r="Q586" s="571"/>
      <c r="R586" s="571"/>
      <c r="S586" s="571"/>
      <c r="T586" s="571"/>
      <c r="U586" s="571"/>
      <c r="V586" s="571"/>
      <c r="W586" s="571"/>
      <c r="X586" s="571"/>
      <c r="Y586" s="571"/>
      <c r="Z586" s="571"/>
    </row>
    <row r="587" spans="1:26" ht="18.75" hidden="1">
      <c r="A587" s="601"/>
      <c r="B587" s="611"/>
      <c r="C587" s="611"/>
      <c r="D587" s="611"/>
      <c r="E587" s="611"/>
      <c r="F587" s="619"/>
      <c r="G587" s="753"/>
      <c r="H587" s="755" t="s">
        <v>34</v>
      </c>
      <c r="I587" s="184"/>
      <c r="J587" s="214">
        <v>0</v>
      </c>
      <c r="K587" s="163"/>
      <c r="L587" s="163"/>
      <c r="M587" s="163"/>
      <c r="N587" s="163"/>
      <c r="O587" s="163"/>
      <c r="P587" s="163"/>
      <c r="Q587" s="571"/>
      <c r="R587" s="571"/>
      <c r="S587" s="571"/>
      <c r="T587" s="571"/>
      <c r="U587" s="571"/>
      <c r="V587" s="571"/>
      <c r="W587" s="571"/>
      <c r="X587" s="571"/>
      <c r="Y587" s="571"/>
      <c r="Z587" s="571"/>
    </row>
    <row r="588" spans="1:26" ht="18.75" hidden="1">
      <c r="A588" s="601"/>
      <c r="B588" s="611"/>
      <c r="C588" s="611"/>
      <c r="D588" s="619" t="s">
        <v>249</v>
      </c>
      <c r="E588" s="619"/>
      <c r="F588" s="619"/>
      <c r="G588" s="753"/>
      <c r="H588" s="755" t="s">
        <v>46</v>
      </c>
      <c r="I588" s="184"/>
      <c r="J588" s="214">
        <v>0</v>
      </c>
      <c r="K588" s="163"/>
      <c r="L588" s="163"/>
      <c r="M588" s="163"/>
      <c r="N588" s="163"/>
      <c r="O588" s="163"/>
      <c r="P588" s="163"/>
      <c r="Q588" s="571"/>
      <c r="R588" s="571"/>
      <c r="S588" s="571"/>
      <c r="T588" s="571"/>
      <c r="U588" s="571"/>
      <c r="V588" s="571"/>
      <c r="W588" s="571"/>
      <c r="X588" s="571"/>
      <c r="Y588" s="571"/>
      <c r="Z588" s="571"/>
    </row>
    <row r="589" spans="1:26" ht="18.75" hidden="1">
      <c r="A589" s="601"/>
      <c r="B589" s="611"/>
      <c r="C589" s="611"/>
      <c r="D589" s="611"/>
      <c r="E589" s="611"/>
      <c r="F589" s="619"/>
      <c r="G589" s="753"/>
      <c r="H589" s="755" t="s">
        <v>34</v>
      </c>
      <c r="I589" s="184"/>
      <c r="J589" s="214">
        <v>0</v>
      </c>
      <c r="K589" s="163"/>
      <c r="L589" s="163"/>
      <c r="M589" s="163"/>
      <c r="N589" s="163"/>
      <c r="O589" s="163"/>
      <c r="P589" s="163"/>
      <c r="Q589" s="571"/>
      <c r="R589" s="571"/>
      <c r="S589" s="571"/>
      <c r="T589" s="571"/>
      <c r="U589" s="571"/>
      <c r="V589" s="571"/>
      <c r="W589" s="571"/>
      <c r="X589" s="571"/>
      <c r="Y589" s="571"/>
      <c r="Z589" s="571"/>
    </row>
    <row r="590" spans="1:26" ht="18.75" hidden="1">
      <c r="A590" s="601"/>
      <c r="B590" s="611"/>
      <c r="C590" s="611"/>
      <c r="D590" s="619" t="s">
        <v>250</v>
      </c>
      <c r="E590" s="619"/>
      <c r="F590" s="619"/>
      <c r="G590" s="753"/>
      <c r="H590" s="755" t="s">
        <v>46</v>
      </c>
      <c r="I590" s="184"/>
      <c r="J590" s="214">
        <v>0</v>
      </c>
      <c r="K590" s="163"/>
      <c r="L590" s="163"/>
      <c r="M590" s="163"/>
      <c r="N590" s="163"/>
      <c r="O590" s="163"/>
      <c r="P590" s="163"/>
      <c r="Q590" s="571"/>
      <c r="R590" s="571"/>
      <c r="S590" s="571"/>
      <c r="T590" s="571"/>
      <c r="U590" s="571"/>
      <c r="V590" s="571"/>
      <c r="W590" s="571"/>
      <c r="X590" s="571"/>
      <c r="Y590" s="571"/>
      <c r="Z590" s="571"/>
    </row>
    <row r="591" spans="1:26" ht="18.75" hidden="1">
      <c r="A591" s="689"/>
      <c r="B591" s="690"/>
      <c r="C591" s="690"/>
      <c r="D591" s="690"/>
      <c r="E591" s="571"/>
      <c r="F591" s="571"/>
      <c r="G591" s="691"/>
      <c r="H591" s="692" t="s">
        <v>34</v>
      </c>
      <c r="I591" s="693"/>
      <c r="J591" s="694">
        <v>0</v>
      </c>
      <c r="K591" s="695"/>
      <c r="L591" s="695"/>
      <c r="M591" s="695"/>
      <c r="N591" s="695"/>
      <c r="O591" s="695"/>
      <c r="P591" s="695"/>
      <c r="Q591" s="571"/>
      <c r="R591" s="571"/>
      <c r="S591" s="571"/>
      <c r="T591" s="571"/>
      <c r="U591" s="571"/>
      <c r="V591" s="571"/>
      <c r="W591" s="571"/>
      <c r="X591" s="571"/>
      <c r="Y591" s="571"/>
      <c r="Z591" s="571"/>
    </row>
    <row r="592" spans="1:26" ht="19.5">
      <c r="A592" s="685"/>
      <c r="B592" s="686" t="s">
        <v>251</v>
      </c>
      <c r="C592" s="687"/>
      <c r="D592" s="687"/>
      <c r="E592" s="666"/>
      <c r="F592" s="666"/>
      <c r="G592" s="667"/>
      <c r="H592" s="688" t="s">
        <v>46</v>
      </c>
      <c r="I592" s="699">
        <f t="shared" ref="I592:J592" ca="1" si="253">I593</f>
        <v>3810</v>
      </c>
      <c r="J592" s="699">
        <f t="shared" si="253"/>
        <v>0</v>
      </c>
      <c r="K592" s="670">
        <f t="shared" ref="K592:K594" ca="1" si="254">IF(I592&gt;0,J592*100/I592,0)</f>
        <v>0</v>
      </c>
      <c r="L592" s="671"/>
      <c r="M592" s="671"/>
      <c r="N592" s="671"/>
      <c r="O592" s="671"/>
      <c r="P592" s="671"/>
      <c r="Q592" s="571"/>
      <c r="R592" s="571"/>
      <c r="S592" s="571"/>
      <c r="T592" s="571"/>
      <c r="U592" s="571"/>
      <c r="V592" s="571"/>
      <c r="W592" s="571"/>
      <c r="X592" s="571"/>
      <c r="Y592" s="571"/>
      <c r="Z592" s="571"/>
    </row>
    <row r="593" spans="1:26" ht="19.5">
      <c r="A593" s="601"/>
      <c r="B593" s="611"/>
      <c r="C593" s="618" t="s">
        <v>252</v>
      </c>
      <c r="D593" s="611"/>
      <c r="E593" s="611"/>
      <c r="F593" s="619"/>
      <c r="G593" s="753"/>
      <c r="H593" s="758" t="s">
        <v>46</v>
      </c>
      <c r="I593" s="193">
        <f ca="1">IFERROR(__xludf.DUMMYFUNCTION("IMPORTRANGE(""https://docs.google.com/spreadsheets/d/1QqKyyYR6Q21VydFLVH3TRQUabQu_ym0Zz7PgGX0-kHA/edit?usp=sharing"",""แผน!HJ56"")"),3810)</f>
        <v>3810</v>
      </c>
      <c r="J593" s="193">
        <f t="shared" ref="J593:J594" si="255">J595+J603+J609</f>
        <v>0</v>
      </c>
      <c r="K593" s="410">
        <f t="shared" ca="1" si="254"/>
        <v>0</v>
      </c>
      <c r="L593" s="163"/>
      <c r="M593" s="163"/>
      <c r="N593" s="163"/>
      <c r="O593" s="163"/>
      <c r="P593" s="163"/>
      <c r="Q593" s="571"/>
      <c r="R593" s="571"/>
      <c r="S593" s="571"/>
      <c r="T593" s="571"/>
      <c r="U593" s="571"/>
      <c r="V593" s="571"/>
      <c r="W593" s="571"/>
      <c r="X593" s="571"/>
      <c r="Y593" s="571"/>
      <c r="Z593" s="571"/>
    </row>
    <row r="594" spans="1:26" ht="19.5">
      <c r="A594" s="601"/>
      <c r="B594" s="611"/>
      <c r="C594" s="611"/>
      <c r="D594" s="611"/>
      <c r="E594" s="619"/>
      <c r="F594" s="619"/>
      <c r="G594" s="753"/>
      <c r="H594" s="758" t="s">
        <v>34</v>
      </c>
      <c r="I594" s="193">
        <f ca="1">IFERROR(__xludf.DUMMYFUNCTION("IMPORTRANGE(""https://docs.google.com/spreadsheets/d/1QqKyyYR6Q21VydFLVH3TRQUabQu_ym0Zz7PgGX0-kHA/edit?usp=sharing"",""แผน!HI56"")"),257)</f>
        <v>257</v>
      </c>
      <c r="J594" s="193">
        <f t="shared" si="255"/>
        <v>0</v>
      </c>
      <c r="K594" s="410">
        <f t="shared" ca="1" si="254"/>
        <v>0</v>
      </c>
      <c r="L594" s="163"/>
      <c r="M594" s="163"/>
      <c r="N594" s="163"/>
      <c r="O594" s="163"/>
      <c r="P594" s="163"/>
      <c r="Q594" s="571"/>
      <c r="R594" s="571"/>
      <c r="S594" s="571"/>
      <c r="T594" s="571"/>
      <c r="U594" s="571"/>
      <c r="V594" s="571"/>
      <c r="W594" s="571"/>
      <c r="X594" s="571"/>
      <c r="Y594" s="571"/>
      <c r="Z594" s="571"/>
    </row>
    <row r="595" spans="1:26" ht="18.75">
      <c r="A595" s="601"/>
      <c r="B595" s="611"/>
      <c r="C595" s="611" t="s">
        <v>253</v>
      </c>
      <c r="D595" s="611"/>
      <c r="E595" s="611"/>
      <c r="F595" s="619"/>
      <c r="G595" s="753"/>
      <c r="H595" s="755" t="s">
        <v>46</v>
      </c>
      <c r="I595" s="184"/>
      <c r="J595" s="184">
        <f t="shared" ref="J595:J596" si="256">J597+J599</f>
        <v>0</v>
      </c>
      <c r="K595" s="163"/>
      <c r="L595" s="163"/>
      <c r="M595" s="163"/>
      <c r="N595" s="163"/>
      <c r="O595" s="163"/>
      <c r="P595" s="163"/>
      <c r="Q595" s="571"/>
      <c r="R595" s="571"/>
      <c r="S595" s="571"/>
      <c r="T595" s="571"/>
      <c r="U595" s="571"/>
      <c r="V595" s="571"/>
      <c r="W595" s="571"/>
      <c r="X595" s="571"/>
      <c r="Y595" s="571"/>
      <c r="Z595" s="571"/>
    </row>
    <row r="596" spans="1:26" ht="18.75">
      <c r="A596" s="601"/>
      <c r="B596" s="611"/>
      <c r="C596" s="611"/>
      <c r="D596" s="611"/>
      <c r="E596" s="619"/>
      <c r="F596" s="619"/>
      <c r="G596" s="753"/>
      <c r="H596" s="755" t="s">
        <v>34</v>
      </c>
      <c r="I596" s="184"/>
      <c r="J596" s="184">
        <f t="shared" si="256"/>
        <v>0</v>
      </c>
      <c r="K596" s="163"/>
      <c r="L596" s="163"/>
      <c r="M596" s="163"/>
      <c r="N596" s="163"/>
      <c r="O596" s="163"/>
      <c r="P596" s="163"/>
      <c r="Q596" s="571"/>
      <c r="R596" s="571"/>
      <c r="S596" s="571"/>
      <c r="T596" s="571"/>
      <c r="U596" s="571"/>
      <c r="V596" s="571"/>
      <c r="W596" s="571"/>
      <c r="X596" s="571"/>
      <c r="Y596" s="571"/>
      <c r="Z596" s="571"/>
    </row>
    <row r="597" spans="1:26" ht="18.75">
      <c r="A597" s="601"/>
      <c r="B597" s="611"/>
      <c r="C597" s="611"/>
      <c r="D597" s="737" t="s">
        <v>254</v>
      </c>
      <c r="E597" s="619"/>
      <c r="F597" s="619"/>
      <c r="G597" s="753"/>
      <c r="H597" s="755" t="s">
        <v>46</v>
      </c>
      <c r="I597" s="184"/>
      <c r="J597" s="214">
        <v>0</v>
      </c>
      <c r="K597" s="163"/>
      <c r="L597" s="163"/>
      <c r="M597" s="163"/>
      <c r="N597" s="163"/>
      <c r="O597" s="163"/>
      <c r="P597" s="163"/>
      <c r="Q597" s="571"/>
      <c r="R597" s="571"/>
      <c r="S597" s="571"/>
      <c r="T597" s="571"/>
      <c r="U597" s="571"/>
      <c r="V597" s="571"/>
      <c r="W597" s="571"/>
      <c r="X597" s="571"/>
      <c r="Y597" s="571"/>
      <c r="Z597" s="571"/>
    </row>
    <row r="598" spans="1:26" ht="18.75">
      <c r="A598" s="601"/>
      <c r="B598" s="611"/>
      <c r="C598" s="611"/>
      <c r="D598" s="611"/>
      <c r="E598" s="619"/>
      <c r="F598" s="619"/>
      <c r="G598" s="753"/>
      <c r="H598" s="755" t="s">
        <v>34</v>
      </c>
      <c r="I598" s="269"/>
      <c r="J598" s="214">
        <v>0</v>
      </c>
      <c r="K598" s="163"/>
      <c r="L598" s="163"/>
      <c r="M598" s="163"/>
      <c r="N598" s="163"/>
      <c r="O598" s="163"/>
      <c r="P598" s="163"/>
      <c r="Q598" s="571"/>
      <c r="R598" s="571"/>
      <c r="S598" s="571"/>
      <c r="T598" s="571"/>
      <c r="U598" s="571"/>
      <c r="V598" s="571"/>
      <c r="W598" s="571"/>
      <c r="X598" s="571"/>
      <c r="Y598" s="571"/>
      <c r="Z598" s="571"/>
    </row>
    <row r="599" spans="1:26" ht="18.75">
      <c r="A599" s="601"/>
      <c r="B599" s="611"/>
      <c r="C599" s="611"/>
      <c r="D599" s="737" t="s">
        <v>255</v>
      </c>
      <c r="E599" s="619"/>
      <c r="F599" s="619"/>
      <c r="G599" s="753"/>
      <c r="H599" s="755" t="s">
        <v>46</v>
      </c>
      <c r="I599" s="269"/>
      <c r="J599" s="214">
        <v>0</v>
      </c>
      <c r="K599" s="163"/>
      <c r="L599" s="163"/>
      <c r="M599" s="163"/>
      <c r="N599" s="163"/>
      <c r="O599" s="163"/>
      <c r="P599" s="163"/>
      <c r="Q599" s="571"/>
      <c r="R599" s="571"/>
      <c r="S599" s="571"/>
      <c r="T599" s="571"/>
      <c r="U599" s="571"/>
      <c r="V599" s="571"/>
      <c r="W599" s="571"/>
      <c r="X599" s="571"/>
      <c r="Y599" s="571"/>
      <c r="Z599" s="571"/>
    </row>
    <row r="600" spans="1:26" ht="18.75">
      <c r="A600" s="601"/>
      <c r="B600" s="611"/>
      <c r="C600" s="611"/>
      <c r="D600" s="611"/>
      <c r="E600" s="619"/>
      <c r="F600" s="619"/>
      <c r="G600" s="753"/>
      <c r="H600" s="755" t="s">
        <v>34</v>
      </c>
      <c r="I600" s="269"/>
      <c r="J600" s="214">
        <v>0</v>
      </c>
      <c r="K600" s="163"/>
      <c r="L600" s="163"/>
      <c r="M600" s="163"/>
      <c r="N600" s="163"/>
      <c r="O600" s="163"/>
      <c r="P600" s="163"/>
      <c r="Q600" s="571"/>
      <c r="R600" s="571"/>
      <c r="S600" s="571"/>
      <c r="T600" s="571"/>
      <c r="U600" s="571"/>
      <c r="V600" s="571"/>
      <c r="W600" s="571"/>
      <c r="X600" s="571"/>
      <c r="Y600" s="571"/>
      <c r="Z600" s="571"/>
    </row>
    <row r="601" spans="1:26" ht="18.75">
      <c r="A601" s="601"/>
      <c r="B601" s="611"/>
      <c r="C601" s="611"/>
      <c r="D601" s="737" t="s">
        <v>256</v>
      </c>
      <c r="E601" s="619"/>
      <c r="F601" s="619"/>
      <c r="G601" s="753"/>
      <c r="H601" s="755" t="s">
        <v>46</v>
      </c>
      <c r="I601" s="269"/>
      <c r="J601" s="214">
        <v>0</v>
      </c>
      <c r="K601" s="163"/>
      <c r="L601" s="163"/>
      <c r="M601" s="163"/>
      <c r="N601" s="163"/>
      <c r="O601" s="163"/>
      <c r="P601" s="163"/>
      <c r="Q601" s="571"/>
      <c r="R601" s="571"/>
      <c r="S601" s="571"/>
      <c r="T601" s="571"/>
      <c r="U601" s="571"/>
      <c r="V601" s="571"/>
      <c r="W601" s="571"/>
      <c r="X601" s="571"/>
      <c r="Y601" s="571"/>
      <c r="Z601" s="571"/>
    </row>
    <row r="602" spans="1:26" ht="18.75">
      <c r="A602" s="601"/>
      <c r="B602" s="611"/>
      <c r="C602" s="611"/>
      <c r="D602" s="611"/>
      <c r="E602" s="619"/>
      <c r="F602" s="619"/>
      <c r="G602" s="753"/>
      <c r="H602" s="755" t="s">
        <v>34</v>
      </c>
      <c r="I602" s="269"/>
      <c r="J602" s="214">
        <v>0</v>
      </c>
      <c r="K602" s="163"/>
      <c r="L602" s="163"/>
      <c r="M602" s="163"/>
      <c r="N602" s="163"/>
      <c r="O602" s="163"/>
      <c r="P602" s="163"/>
      <c r="Q602" s="571"/>
      <c r="R602" s="571"/>
      <c r="S602" s="571"/>
      <c r="T602" s="571"/>
      <c r="U602" s="571"/>
      <c r="V602" s="571"/>
      <c r="W602" s="571"/>
      <c r="X602" s="571"/>
      <c r="Y602" s="571"/>
      <c r="Z602" s="571"/>
    </row>
    <row r="603" spans="1:26" ht="18.75">
      <c r="A603" s="601"/>
      <c r="B603" s="611"/>
      <c r="C603" s="696" t="s">
        <v>257</v>
      </c>
      <c r="D603" s="611"/>
      <c r="E603" s="611"/>
      <c r="F603" s="619"/>
      <c r="G603" s="753"/>
      <c r="H603" s="755" t="s">
        <v>46</v>
      </c>
      <c r="I603" s="269"/>
      <c r="J603" s="269">
        <f t="shared" ref="J603:J604" si="257">J605+J607</f>
        <v>0</v>
      </c>
      <c r="K603" s="163"/>
      <c r="L603" s="163"/>
      <c r="M603" s="163"/>
      <c r="N603" s="163"/>
      <c r="O603" s="163"/>
      <c r="P603" s="163"/>
      <c r="Q603" s="571"/>
      <c r="R603" s="571"/>
      <c r="S603" s="571"/>
      <c r="T603" s="571"/>
      <c r="U603" s="571"/>
      <c r="V603" s="571"/>
      <c r="W603" s="571"/>
      <c r="X603" s="571"/>
      <c r="Y603" s="571"/>
      <c r="Z603" s="571"/>
    </row>
    <row r="604" spans="1:26" ht="18.75">
      <c r="A604" s="601"/>
      <c r="B604" s="611"/>
      <c r="C604" s="611"/>
      <c r="D604" s="611"/>
      <c r="E604" s="619"/>
      <c r="F604" s="619"/>
      <c r="G604" s="753"/>
      <c r="H604" s="755" t="s">
        <v>34</v>
      </c>
      <c r="I604" s="269"/>
      <c r="J604" s="269">
        <f t="shared" si="257"/>
        <v>0</v>
      </c>
      <c r="K604" s="163"/>
      <c r="L604" s="163"/>
      <c r="M604" s="163"/>
      <c r="N604" s="163"/>
      <c r="O604" s="163"/>
      <c r="P604" s="163"/>
      <c r="Q604" s="571"/>
      <c r="R604" s="571"/>
      <c r="S604" s="571"/>
      <c r="T604" s="571"/>
      <c r="U604" s="571"/>
      <c r="V604" s="571"/>
      <c r="W604" s="571"/>
      <c r="X604" s="571"/>
      <c r="Y604" s="571"/>
      <c r="Z604" s="571"/>
    </row>
    <row r="605" spans="1:26" ht="18.75">
      <c r="A605" s="601"/>
      <c r="B605" s="611"/>
      <c r="C605" s="611"/>
      <c r="D605" s="696" t="s">
        <v>258</v>
      </c>
      <c r="E605" s="619"/>
      <c r="F605" s="619"/>
      <c r="G605" s="753"/>
      <c r="H605" s="755" t="s">
        <v>46</v>
      </c>
      <c r="I605" s="269"/>
      <c r="J605" s="214">
        <v>0</v>
      </c>
      <c r="K605" s="163"/>
      <c r="L605" s="163"/>
      <c r="M605" s="163"/>
      <c r="N605" s="163"/>
      <c r="O605" s="163"/>
      <c r="P605" s="163"/>
      <c r="Q605" s="571"/>
      <c r="R605" s="571"/>
      <c r="S605" s="571"/>
      <c r="T605" s="571"/>
      <c r="U605" s="571"/>
      <c r="V605" s="571"/>
      <c r="W605" s="571"/>
      <c r="X605" s="571"/>
      <c r="Y605" s="571"/>
      <c r="Z605" s="571"/>
    </row>
    <row r="606" spans="1:26" ht="18.75">
      <c r="A606" s="601"/>
      <c r="B606" s="611"/>
      <c r="C606" s="611"/>
      <c r="D606" s="611"/>
      <c r="E606" s="611"/>
      <c r="F606" s="619"/>
      <c r="G606" s="753"/>
      <c r="H606" s="755" t="s">
        <v>34</v>
      </c>
      <c r="I606" s="269"/>
      <c r="J606" s="214">
        <v>0</v>
      </c>
      <c r="K606" s="163"/>
      <c r="L606" s="163"/>
      <c r="M606" s="163"/>
      <c r="N606" s="163"/>
      <c r="O606" s="163"/>
      <c r="P606" s="163"/>
      <c r="Q606" s="571"/>
      <c r="R606" s="571"/>
      <c r="S606" s="571"/>
      <c r="T606" s="571"/>
      <c r="U606" s="571"/>
      <c r="V606" s="571"/>
      <c r="W606" s="571"/>
      <c r="X606" s="571"/>
      <c r="Y606" s="571"/>
      <c r="Z606" s="571"/>
    </row>
    <row r="607" spans="1:26" ht="18.75">
      <c r="A607" s="601"/>
      <c r="B607" s="611"/>
      <c r="C607" s="611"/>
      <c r="D607" s="696" t="s">
        <v>259</v>
      </c>
      <c r="E607" s="611"/>
      <c r="F607" s="619"/>
      <c r="G607" s="753"/>
      <c r="H607" s="755" t="s">
        <v>46</v>
      </c>
      <c r="I607" s="269"/>
      <c r="J607" s="214">
        <v>0</v>
      </c>
      <c r="K607" s="163"/>
      <c r="L607" s="163"/>
      <c r="M607" s="163"/>
      <c r="N607" s="163"/>
      <c r="O607" s="163"/>
      <c r="P607" s="163"/>
      <c r="Q607" s="571"/>
      <c r="R607" s="571"/>
      <c r="S607" s="571"/>
      <c r="T607" s="571"/>
      <c r="U607" s="571"/>
      <c r="V607" s="571"/>
      <c r="W607" s="571"/>
      <c r="X607" s="571"/>
      <c r="Y607" s="571"/>
      <c r="Z607" s="571"/>
    </row>
    <row r="608" spans="1:26" ht="18.75">
      <c r="A608" s="601"/>
      <c r="B608" s="611"/>
      <c r="C608" s="611"/>
      <c r="D608" s="611"/>
      <c r="E608" s="619"/>
      <c r="F608" s="619"/>
      <c r="G608" s="753"/>
      <c r="H608" s="755" t="s">
        <v>34</v>
      </c>
      <c r="I608" s="269"/>
      <c r="J608" s="214">
        <v>0</v>
      </c>
      <c r="K608" s="163"/>
      <c r="L608" s="163"/>
      <c r="M608" s="163"/>
      <c r="N608" s="163"/>
      <c r="O608" s="163"/>
      <c r="P608" s="163"/>
      <c r="Q608" s="571"/>
      <c r="R608" s="571"/>
      <c r="S608" s="571"/>
      <c r="T608" s="571"/>
      <c r="U608" s="571"/>
      <c r="V608" s="571"/>
      <c r="W608" s="571"/>
      <c r="X608" s="571"/>
      <c r="Y608" s="571"/>
      <c r="Z608" s="571"/>
    </row>
    <row r="609" spans="1:26" ht="18.75">
      <c r="A609" s="601"/>
      <c r="B609" s="611"/>
      <c r="C609" s="611" t="s">
        <v>260</v>
      </c>
      <c r="D609" s="611"/>
      <c r="E609" s="611"/>
      <c r="F609" s="619"/>
      <c r="G609" s="753"/>
      <c r="H609" s="755" t="s">
        <v>46</v>
      </c>
      <c r="I609" s="269"/>
      <c r="J609" s="214">
        <v>0</v>
      </c>
      <c r="K609" s="163"/>
      <c r="L609" s="163"/>
      <c r="M609" s="163"/>
      <c r="N609" s="163"/>
      <c r="O609" s="163"/>
      <c r="P609" s="163"/>
      <c r="Q609" s="571"/>
      <c r="R609" s="571"/>
      <c r="S609" s="571"/>
      <c r="T609" s="571"/>
      <c r="U609" s="571"/>
      <c r="V609" s="571"/>
      <c r="W609" s="571"/>
      <c r="X609" s="571"/>
      <c r="Y609" s="571"/>
      <c r="Z609" s="571"/>
    </row>
    <row r="610" spans="1:26" ht="18.75">
      <c r="A610" s="601"/>
      <c r="B610" s="611"/>
      <c r="C610" s="611"/>
      <c r="D610" s="611"/>
      <c r="E610" s="619"/>
      <c r="F610" s="619"/>
      <c r="G610" s="753"/>
      <c r="H610" s="755" t="s">
        <v>34</v>
      </c>
      <c r="I610" s="269"/>
      <c r="J610" s="214">
        <v>0</v>
      </c>
      <c r="K610" s="163"/>
      <c r="L610" s="163"/>
      <c r="M610" s="163"/>
      <c r="N610" s="163"/>
      <c r="O610" s="163"/>
      <c r="P610" s="163"/>
      <c r="Q610" s="571"/>
      <c r="R610" s="571"/>
      <c r="S610" s="571"/>
      <c r="T610" s="571"/>
      <c r="U610" s="571"/>
      <c r="V610" s="571"/>
      <c r="W610" s="571"/>
      <c r="X610" s="571"/>
      <c r="Y610" s="571"/>
      <c r="Z610" s="571"/>
    </row>
    <row r="611" spans="1:26" ht="19.5" hidden="1">
      <c r="A611" s="685"/>
      <c r="B611" s="697" t="s">
        <v>261</v>
      </c>
      <c r="C611" s="687"/>
      <c r="D611" s="687"/>
      <c r="E611" s="666"/>
      <c r="F611" s="666"/>
      <c r="G611" s="667"/>
      <c r="H611" s="698" t="s">
        <v>46</v>
      </c>
      <c r="I611" s="699">
        <v>0</v>
      </c>
      <c r="J611" s="699">
        <f>J614+J616</f>
        <v>0</v>
      </c>
      <c r="K611" s="670">
        <f t="shared" ref="K611:K613" si="258">IF(I611&gt;0,J611*100/I611,0)</f>
        <v>0</v>
      </c>
      <c r="L611" s="671"/>
      <c r="M611" s="671"/>
      <c r="N611" s="671"/>
      <c r="O611" s="671"/>
      <c r="P611" s="671"/>
      <c r="Q611" s="571"/>
      <c r="R611" s="571"/>
      <c r="S611" s="571"/>
      <c r="T611" s="571"/>
      <c r="U611" s="571"/>
      <c r="V611" s="571"/>
      <c r="W611" s="571"/>
      <c r="X611" s="571"/>
      <c r="Y611" s="571"/>
      <c r="Z611" s="571"/>
    </row>
    <row r="612" spans="1:26" ht="19.5" hidden="1">
      <c r="A612" s="700"/>
      <c r="B612" s="710"/>
      <c r="C612" s="702" t="s">
        <v>262</v>
      </c>
      <c r="D612" s="710"/>
      <c r="E612" s="710"/>
      <c r="F612" s="703"/>
      <c r="G612" s="704"/>
      <c r="H612" s="705" t="s">
        <v>46</v>
      </c>
      <c r="I612" s="707">
        <v>0</v>
      </c>
      <c r="J612" s="707">
        <f t="shared" ref="J612:J613" si="259">J614+J616</f>
        <v>0</v>
      </c>
      <c r="K612" s="708">
        <f t="shared" si="258"/>
        <v>0</v>
      </c>
      <c r="L612" s="709"/>
      <c r="M612" s="709"/>
      <c r="N612" s="709"/>
      <c r="O612" s="709"/>
      <c r="P612" s="709"/>
      <c r="Q612" s="597"/>
      <c r="R612" s="597"/>
      <c r="S612" s="597"/>
      <c r="T612" s="597"/>
      <c r="U612" s="597"/>
      <c r="V612" s="597"/>
      <c r="W612" s="597"/>
      <c r="X612" s="597"/>
      <c r="Y612" s="597"/>
      <c r="Z612" s="597"/>
    </row>
    <row r="613" spans="1:26" ht="19.5" hidden="1">
      <c r="A613" s="700"/>
      <c r="B613" s="710"/>
      <c r="C613" s="710" t="s">
        <v>263</v>
      </c>
      <c r="D613" s="710"/>
      <c r="E613" s="710"/>
      <c r="F613" s="703"/>
      <c r="G613" s="704"/>
      <c r="H613" s="705" t="s">
        <v>34</v>
      </c>
      <c r="I613" s="707">
        <v>0</v>
      </c>
      <c r="J613" s="707">
        <f t="shared" si="259"/>
        <v>0</v>
      </c>
      <c r="K613" s="708">
        <f t="shared" si="258"/>
        <v>0</v>
      </c>
      <c r="L613" s="709"/>
      <c r="M613" s="709"/>
      <c r="N613" s="709"/>
      <c r="O613" s="709"/>
      <c r="P613" s="709"/>
      <c r="Q613" s="597"/>
      <c r="R613" s="597"/>
      <c r="S613" s="597"/>
      <c r="T613" s="597"/>
      <c r="U613" s="597"/>
      <c r="V613" s="597"/>
      <c r="W613" s="597"/>
      <c r="X613" s="597"/>
      <c r="Y613" s="597"/>
      <c r="Z613" s="597"/>
    </row>
    <row r="614" spans="1:26" ht="18.75" hidden="1">
      <c r="A614" s="607"/>
      <c r="B614" s="609"/>
      <c r="C614" s="609"/>
      <c r="D614" s="711" t="s">
        <v>264</v>
      </c>
      <c r="E614" s="609"/>
      <c r="F614" s="711"/>
      <c r="G614" s="365"/>
      <c r="H614" s="369" t="s">
        <v>46</v>
      </c>
      <c r="I614" s="610"/>
      <c r="J614" s="610">
        <v>0</v>
      </c>
      <c r="K614" s="167"/>
      <c r="L614" s="167"/>
      <c r="M614" s="167"/>
      <c r="N614" s="167"/>
      <c r="O614" s="167"/>
      <c r="P614" s="167"/>
      <c r="Q614" s="597"/>
      <c r="R614" s="597"/>
      <c r="S614" s="597"/>
      <c r="T614" s="597"/>
      <c r="U614" s="597"/>
      <c r="V614" s="597"/>
      <c r="W614" s="597"/>
      <c r="X614" s="597"/>
      <c r="Y614" s="597"/>
      <c r="Z614" s="597"/>
    </row>
    <row r="615" spans="1:26" ht="18.75" hidden="1">
      <c r="A615" s="607"/>
      <c r="B615" s="609"/>
      <c r="C615" s="609"/>
      <c r="D615" s="609"/>
      <c r="E615" s="609"/>
      <c r="F615" s="711"/>
      <c r="G615" s="365"/>
      <c r="H615" s="369" t="s">
        <v>34</v>
      </c>
      <c r="I615" s="610"/>
      <c r="J615" s="610">
        <v>0</v>
      </c>
      <c r="K615" s="167"/>
      <c r="L615" s="167"/>
      <c r="M615" s="167"/>
      <c r="N615" s="167"/>
      <c r="O615" s="167"/>
      <c r="P615" s="167"/>
      <c r="Q615" s="597"/>
      <c r="R615" s="597"/>
      <c r="S615" s="597"/>
      <c r="T615" s="597"/>
      <c r="U615" s="597"/>
      <c r="V615" s="597"/>
      <c r="W615" s="597"/>
      <c r="X615" s="597"/>
      <c r="Y615" s="597"/>
      <c r="Z615" s="597"/>
    </row>
    <row r="616" spans="1:26" ht="18.75" hidden="1">
      <c r="A616" s="607"/>
      <c r="B616" s="609"/>
      <c r="C616" s="609"/>
      <c r="D616" s="712" t="s">
        <v>264</v>
      </c>
      <c r="E616" s="711"/>
      <c r="F616" s="711"/>
      <c r="G616" s="365"/>
      <c r="H616" s="369" t="s">
        <v>46</v>
      </c>
      <c r="I616" s="610"/>
      <c r="J616" s="610">
        <v>0</v>
      </c>
      <c r="K616" s="167"/>
      <c r="L616" s="167"/>
      <c r="M616" s="167"/>
      <c r="N616" s="167"/>
      <c r="O616" s="167"/>
      <c r="P616" s="167"/>
      <c r="Q616" s="597"/>
      <c r="R616" s="597"/>
      <c r="S616" s="597"/>
      <c r="T616" s="597"/>
      <c r="U616" s="597"/>
      <c r="V616" s="597"/>
      <c r="W616" s="597"/>
      <c r="X616" s="597"/>
      <c r="Y616" s="597"/>
      <c r="Z616" s="597"/>
    </row>
    <row r="617" spans="1:26" ht="18.75" hidden="1">
      <c r="A617" s="607"/>
      <c r="B617" s="609"/>
      <c r="C617" s="609"/>
      <c r="D617" s="609"/>
      <c r="E617" s="711"/>
      <c r="F617" s="711"/>
      <c r="G617" s="365"/>
      <c r="H617" s="369" t="s">
        <v>34</v>
      </c>
      <c r="I617" s="610"/>
      <c r="J617" s="610">
        <v>0</v>
      </c>
      <c r="K617" s="167"/>
      <c r="L617" s="167"/>
      <c r="M617" s="167"/>
      <c r="N617" s="167"/>
      <c r="O617" s="167"/>
      <c r="P617" s="167"/>
      <c r="Q617" s="597"/>
      <c r="R617" s="597"/>
      <c r="S617" s="597"/>
      <c r="T617" s="597"/>
      <c r="U617" s="597"/>
      <c r="V617" s="597"/>
      <c r="W617" s="597"/>
      <c r="X617" s="597"/>
      <c r="Y617" s="597"/>
      <c r="Z617" s="597"/>
    </row>
    <row r="618" spans="1:26" ht="18.75" hidden="1">
      <c r="A618" s="607"/>
      <c r="B618" s="609"/>
      <c r="C618" s="609"/>
      <c r="D618" s="712" t="s">
        <v>265</v>
      </c>
      <c r="E618" s="711"/>
      <c r="F618" s="711"/>
      <c r="G618" s="365"/>
      <c r="H618" s="369" t="s">
        <v>46</v>
      </c>
      <c r="I618" s="610"/>
      <c r="J618" s="610">
        <v>0</v>
      </c>
      <c r="K618" s="167"/>
      <c r="L618" s="167"/>
      <c r="M618" s="167"/>
      <c r="N618" s="167"/>
      <c r="O618" s="167"/>
      <c r="P618" s="167"/>
      <c r="Q618" s="597"/>
      <c r="R618" s="597"/>
      <c r="S618" s="597"/>
      <c r="T618" s="597"/>
      <c r="U618" s="597"/>
      <c r="V618" s="597"/>
      <c r="W618" s="597"/>
      <c r="X618" s="597"/>
      <c r="Y618" s="597"/>
      <c r="Z618" s="597"/>
    </row>
    <row r="619" spans="1:26" ht="18.75" hidden="1">
      <c r="A619" s="607"/>
      <c r="B619" s="609"/>
      <c r="C619" s="609"/>
      <c r="D619" s="609"/>
      <c r="E619" s="711"/>
      <c r="F619" s="711"/>
      <c r="G619" s="365"/>
      <c r="H619" s="369" t="s">
        <v>34</v>
      </c>
      <c r="I619" s="610"/>
      <c r="J619" s="610">
        <v>0</v>
      </c>
      <c r="K619" s="167"/>
      <c r="L619" s="167"/>
      <c r="M619" s="167"/>
      <c r="N619" s="167"/>
      <c r="O619" s="167"/>
      <c r="P619" s="167"/>
      <c r="Q619" s="597"/>
      <c r="R619" s="597"/>
      <c r="S619" s="597"/>
      <c r="T619" s="597"/>
      <c r="U619" s="597"/>
      <c r="V619" s="597"/>
      <c r="W619" s="597"/>
      <c r="X619" s="597"/>
      <c r="Y619" s="597"/>
      <c r="Z619" s="597"/>
    </row>
    <row r="620" spans="1:26" ht="19.5" hidden="1">
      <c r="A620" s="713"/>
      <c r="B620" s="722"/>
      <c r="C620" s="715" t="s">
        <v>266</v>
      </c>
      <c r="D620" s="722"/>
      <c r="E620" s="722"/>
      <c r="F620" s="716"/>
      <c r="G620" s="717"/>
      <c r="H620" s="718" t="s">
        <v>46</v>
      </c>
      <c r="I620" s="719">
        <f ca="1">IFERROR(__xludf.DUMMYFUNCTION("IMPORTRANGE(""https://docs.google.com/spreadsheets/d/1QqKyyYR6Q21VydFLVH3TRQUabQu_ym0Zz7PgGX0-kHA/edit?usp=sharing"",""แผน!HL56"")"),0)</f>
        <v>0</v>
      </c>
      <c r="J620" s="719">
        <f t="shared" ref="J620:J621" si="260">J622+J624+J626</f>
        <v>0</v>
      </c>
      <c r="K620" s="720">
        <f t="shared" ref="K620:K621" ca="1" si="261">IF(I620&gt;0,J620*100/I620,0)</f>
        <v>0</v>
      </c>
      <c r="L620" s="721"/>
      <c r="M620" s="721"/>
      <c r="N620" s="721"/>
      <c r="O620" s="721"/>
      <c r="P620" s="721"/>
      <c r="Q620" s="571"/>
      <c r="R620" s="571"/>
      <c r="S620" s="571"/>
      <c r="T620" s="571"/>
      <c r="U620" s="571"/>
      <c r="V620" s="571"/>
      <c r="W620" s="571"/>
      <c r="X620" s="571"/>
      <c r="Y620" s="571"/>
      <c r="Z620" s="571"/>
    </row>
    <row r="621" spans="1:26" ht="19.5" hidden="1">
      <c r="A621" s="713"/>
      <c r="B621" s="722"/>
      <c r="C621" s="722" t="s">
        <v>267</v>
      </c>
      <c r="D621" s="722"/>
      <c r="E621" s="722"/>
      <c r="F621" s="716"/>
      <c r="G621" s="717"/>
      <c r="H621" s="718" t="s">
        <v>34</v>
      </c>
      <c r="I621" s="719">
        <f ca="1">IFERROR(__xludf.DUMMYFUNCTION("IMPORTRANGE(""https://docs.google.com/spreadsheets/d/1QqKyyYR6Q21VydFLVH3TRQUabQu_ym0Zz7PgGX0-kHA/edit?usp=sharing"",""แผน!HK56"")"),0)</f>
        <v>0</v>
      </c>
      <c r="J621" s="719">
        <f t="shared" si="260"/>
        <v>0</v>
      </c>
      <c r="K621" s="720">
        <f t="shared" ca="1" si="261"/>
        <v>0</v>
      </c>
      <c r="L621" s="721"/>
      <c r="M621" s="721"/>
      <c r="N621" s="721"/>
      <c r="O621" s="721"/>
      <c r="P621" s="721"/>
      <c r="Q621" s="571"/>
      <c r="R621" s="571"/>
      <c r="S621" s="571"/>
      <c r="T621" s="571"/>
      <c r="U621" s="571"/>
      <c r="V621" s="571"/>
      <c r="W621" s="571"/>
      <c r="X621" s="571"/>
      <c r="Y621" s="571"/>
      <c r="Z621" s="571"/>
    </row>
    <row r="622" spans="1:26" ht="18.75" hidden="1">
      <c r="A622" s="601"/>
      <c r="B622" s="611"/>
      <c r="C622" s="611"/>
      <c r="D622" s="737" t="s">
        <v>268</v>
      </c>
      <c r="E622" s="619"/>
      <c r="F622" s="619"/>
      <c r="G622" s="753"/>
      <c r="H622" s="755" t="s">
        <v>46</v>
      </c>
      <c r="I622" s="269"/>
      <c r="J622" s="214">
        <v>0</v>
      </c>
      <c r="K622" s="163"/>
      <c r="L622" s="163"/>
      <c r="M622" s="163"/>
      <c r="N622" s="163"/>
      <c r="O622" s="163"/>
      <c r="P622" s="163"/>
      <c r="Q622" s="571"/>
      <c r="R622" s="571"/>
      <c r="S622" s="571"/>
      <c r="T622" s="571"/>
      <c r="U622" s="571"/>
      <c r="V622" s="571"/>
      <c r="W622" s="571"/>
      <c r="X622" s="571"/>
      <c r="Y622" s="571"/>
      <c r="Z622" s="571"/>
    </row>
    <row r="623" spans="1:26" ht="18.75" hidden="1">
      <c r="A623" s="601"/>
      <c r="B623" s="611"/>
      <c r="C623" s="611"/>
      <c r="D623" s="611"/>
      <c r="E623" s="619"/>
      <c r="F623" s="619"/>
      <c r="G623" s="753"/>
      <c r="H623" s="755" t="s">
        <v>34</v>
      </c>
      <c r="I623" s="269"/>
      <c r="J623" s="214">
        <v>0</v>
      </c>
      <c r="K623" s="163"/>
      <c r="L623" s="163"/>
      <c r="M623" s="163"/>
      <c r="N623" s="163"/>
      <c r="O623" s="163"/>
      <c r="P623" s="163"/>
      <c r="Q623" s="571"/>
      <c r="R623" s="571"/>
      <c r="S623" s="571"/>
      <c r="T623" s="571"/>
      <c r="U623" s="571"/>
      <c r="V623" s="571"/>
      <c r="W623" s="571"/>
      <c r="X623" s="571"/>
      <c r="Y623" s="571"/>
      <c r="Z623" s="571"/>
    </row>
    <row r="624" spans="1:26" ht="18.75" hidden="1">
      <c r="A624" s="601"/>
      <c r="B624" s="611"/>
      <c r="C624" s="611"/>
      <c r="D624" s="737" t="s">
        <v>264</v>
      </c>
      <c r="E624" s="619"/>
      <c r="F624" s="619"/>
      <c r="G624" s="753"/>
      <c r="H624" s="755" t="s">
        <v>46</v>
      </c>
      <c r="I624" s="269"/>
      <c r="J624" s="214">
        <v>0</v>
      </c>
      <c r="K624" s="163"/>
      <c r="L624" s="163"/>
      <c r="M624" s="163"/>
      <c r="N624" s="163"/>
      <c r="O624" s="163"/>
      <c r="P624" s="163"/>
      <c r="Q624" s="571"/>
      <c r="R624" s="571"/>
      <c r="S624" s="571"/>
      <c r="T624" s="571"/>
      <c r="U624" s="571"/>
      <c r="V624" s="571"/>
      <c r="W624" s="571"/>
      <c r="X624" s="571"/>
      <c r="Y624" s="571"/>
      <c r="Z624" s="571"/>
    </row>
    <row r="625" spans="1:26" ht="18.75" hidden="1">
      <c r="A625" s="601"/>
      <c r="B625" s="611"/>
      <c r="C625" s="611"/>
      <c r="D625" s="611"/>
      <c r="E625" s="619"/>
      <c r="F625" s="619"/>
      <c r="G625" s="753"/>
      <c r="H625" s="755" t="s">
        <v>34</v>
      </c>
      <c r="I625" s="269"/>
      <c r="J625" s="214">
        <v>0</v>
      </c>
      <c r="K625" s="163"/>
      <c r="L625" s="163"/>
      <c r="M625" s="163"/>
      <c r="N625" s="163"/>
      <c r="O625" s="163"/>
      <c r="P625" s="163"/>
      <c r="Q625" s="571"/>
      <c r="R625" s="571"/>
      <c r="S625" s="571"/>
      <c r="T625" s="571"/>
      <c r="U625" s="571"/>
      <c r="V625" s="571"/>
      <c r="W625" s="571"/>
      <c r="X625" s="571"/>
      <c r="Y625" s="571"/>
      <c r="Z625" s="571"/>
    </row>
    <row r="626" spans="1:26" ht="18.75" hidden="1">
      <c r="A626" s="601"/>
      <c r="B626" s="611"/>
      <c r="C626" s="611"/>
      <c r="D626" s="737" t="s">
        <v>269</v>
      </c>
      <c r="E626" s="619"/>
      <c r="F626" s="619"/>
      <c r="G626" s="753"/>
      <c r="H626" s="755" t="s">
        <v>46</v>
      </c>
      <c r="I626" s="269"/>
      <c r="J626" s="214">
        <v>0</v>
      </c>
      <c r="K626" s="163"/>
      <c r="L626" s="163"/>
      <c r="M626" s="163"/>
      <c r="N626" s="163"/>
      <c r="O626" s="163"/>
      <c r="P626" s="163"/>
      <c r="Q626" s="571"/>
      <c r="R626" s="571"/>
      <c r="S626" s="571"/>
      <c r="T626" s="571"/>
      <c r="U626" s="571"/>
      <c r="V626" s="571"/>
      <c r="W626" s="571"/>
      <c r="X626" s="571"/>
      <c r="Y626" s="571"/>
      <c r="Z626" s="571"/>
    </row>
    <row r="627" spans="1:26" ht="18.75" hidden="1">
      <c r="A627" s="723"/>
      <c r="B627" s="724"/>
      <c r="C627" s="724"/>
      <c r="D627" s="724"/>
      <c r="E627" s="725"/>
      <c r="F627" s="725"/>
      <c r="G627" s="726"/>
      <c r="H627" s="421" t="s">
        <v>34</v>
      </c>
      <c r="I627" s="499"/>
      <c r="J627" s="423">
        <v>0</v>
      </c>
      <c r="K627" s="384"/>
      <c r="L627" s="384"/>
      <c r="M627" s="384"/>
      <c r="N627" s="384"/>
      <c r="O627" s="384"/>
      <c r="P627" s="384"/>
      <c r="Q627" s="571"/>
      <c r="R627" s="571"/>
      <c r="S627" s="571"/>
      <c r="T627" s="571"/>
      <c r="U627" s="571"/>
      <c r="V627" s="571"/>
      <c r="W627" s="571"/>
      <c r="X627" s="571"/>
      <c r="Y627" s="571"/>
      <c r="Z627" s="571"/>
    </row>
    <row r="628" spans="1:26" ht="19.5">
      <c r="A628" s="727">
        <v>7</v>
      </c>
      <c r="B628" s="728" t="s">
        <v>270</v>
      </c>
      <c r="C628" s="729"/>
      <c r="D628" s="729"/>
      <c r="E628" s="729"/>
      <c r="F628" s="729"/>
      <c r="G628" s="730"/>
      <c r="H628" s="731" t="s">
        <v>35</v>
      </c>
      <c r="I628" s="732">
        <f t="shared" ref="I628:J628" ca="1" si="262">I651</f>
        <v>50</v>
      </c>
      <c r="J628" s="732">
        <f t="shared" ca="1" si="262"/>
        <v>0</v>
      </c>
      <c r="K628" s="733">
        <f ca="1">IF(I628&gt;0,J628*100/I628,0)</f>
        <v>0</v>
      </c>
      <c r="L628" s="734"/>
      <c r="M628" s="734"/>
      <c r="N628" s="734"/>
      <c r="O628" s="734"/>
      <c r="P628" s="734"/>
      <c r="Q628" s="571"/>
      <c r="R628" s="571"/>
      <c r="S628" s="571"/>
      <c r="T628" s="571"/>
      <c r="U628" s="571"/>
      <c r="V628" s="571"/>
      <c r="W628" s="571"/>
      <c r="X628" s="571"/>
      <c r="Y628" s="571"/>
      <c r="Z628" s="571"/>
    </row>
    <row r="629" spans="1:26" ht="19.5">
      <c r="A629" s="590"/>
      <c r="B629" s="754"/>
      <c r="C629" s="754" t="s">
        <v>16</v>
      </c>
      <c r="D629" s="863" t="s">
        <v>17</v>
      </c>
      <c r="E629" s="857"/>
      <c r="F629" s="857"/>
      <c r="G629" s="189"/>
      <c r="H629" s="591" t="s">
        <v>12</v>
      </c>
      <c r="I629" s="269"/>
      <c r="J629" s="269"/>
      <c r="K629" s="496"/>
      <c r="L629" s="195">
        <f t="shared" ref="L629:N629" ca="1" si="263">L630+L631</f>
        <v>171175</v>
      </c>
      <c r="M629" s="195">
        <f t="shared" si="263"/>
        <v>0</v>
      </c>
      <c r="N629" s="195">
        <f t="shared" si="263"/>
        <v>0</v>
      </c>
      <c r="O629" s="195">
        <f t="shared" ref="O629:O634" ca="1" si="264">IF(L629&gt;0,N629*100/L629,0)</f>
        <v>0</v>
      </c>
      <c r="P629" s="195">
        <f t="shared" ref="P629:P634" si="265">IF(M629&gt;0,N629*100/M629,0)</f>
        <v>0</v>
      </c>
      <c r="Q629" s="571"/>
      <c r="R629" s="571"/>
      <c r="S629" s="571"/>
      <c r="T629" s="571"/>
      <c r="U629" s="571"/>
      <c r="V629" s="571"/>
      <c r="W629" s="571"/>
      <c r="X629" s="571"/>
      <c r="Y629" s="571"/>
      <c r="Z629" s="571"/>
    </row>
    <row r="630" spans="1:26" ht="18.75" hidden="1">
      <c r="A630" s="592"/>
      <c r="B630" s="750"/>
      <c r="C630" s="750"/>
      <c r="D630" s="711"/>
      <c r="E630" s="750" t="s">
        <v>184</v>
      </c>
      <c r="F630" s="750"/>
      <c r="G630" s="596"/>
      <c r="H630" s="165" t="s">
        <v>12</v>
      </c>
      <c r="I630" s="610"/>
      <c r="J630" s="610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597"/>
      <c r="R630" s="597"/>
      <c r="S630" s="597"/>
      <c r="T630" s="597"/>
      <c r="U630" s="597"/>
      <c r="V630" s="597"/>
      <c r="W630" s="597"/>
      <c r="X630" s="597"/>
      <c r="Y630" s="597"/>
      <c r="Z630" s="597"/>
    </row>
    <row r="631" spans="1:26" ht="18.75" hidden="1">
      <c r="A631" s="592"/>
      <c r="B631" s="600"/>
      <c r="C631" s="750"/>
      <c r="D631" s="711"/>
      <c r="E631" s="750" t="s">
        <v>185</v>
      </c>
      <c r="F631" s="750"/>
      <c r="G631" s="596"/>
      <c r="H631" s="165" t="s">
        <v>12</v>
      </c>
      <c r="I631" s="610"/>
      <c r="J631" s="610"/>
      <c r="K631" s="93"/>
      <c r="L631" s="93">
        <f t="shared" ca="1" si="266"/>
        <v>171175</v>
      </c>
      <c r="M631" s="93">
        <f t="shared" si="266"/>
        <v>0</v>
      </c>
      <c r="N631" s="93">
        <f t="shared" si="266"/>
        <v>0</v>
      </c>
      <c r="O631" s="93">
        <f t="shared" ca="1" si="264"/>
        <v>0</v>
      </c>
      <c r="P631" s="93">
        <f t="shared" si="265"/>
        <v>0</v>
      </c>
      <c r="Q631" s="597"/>
      <c r="R631" s="597"/>
      <c r="S631" s="597"/>
      <c r="T631" s="597"/>
      <c r="U631" s="597"/>
      <c r="V631" s="597"/>
      <c r="W631" s="597"/>
      <c r="X631" s="597"/>
      <c r="Y631" s="597"/>
      <c r="Z631" s="597"/>
    </row>
    <row r="632" spans="1:26" ht="18.75">
      <c r="A632" s="590"/>
      <c r="B632" s="568"/>
      <c r="C632" s="754"/>
      <c r="D632" s="599" t="s">
        <v>20</v>
      </c>
      <c r="E632" s="754"/>
      <c r="F632" s="754"/>
      <c r="G632" s="189"/>
      <c r="H632" s="161" t="s">
        <v>12</v>
      </c>
      <c r="I632" s="184"/>
      <c r="J632" s="184"/>
      <c r="K632" s="163"/>
      <c r="L632" s="496">
        <f t="shared" ref="L632:N632" ca="1" si="267">L633+L634</f>
        <v>171175</v>
      </c>
      <c r="M632" s="496">
        <f t="shared" si="267"/>
        <v>0</v>
      </c>
      <c r="N632" s="496">
        <f t="shared" si="267"/>
        <v>0</v>
      </c>
      <c r="O632" s="496">
        <f t="shared" ca="1" si="264"/>
        <v>0</v>
      </c>
      <c r="P632" s="496">
        <f t="shared" si="265"/>
        <v>0</v>
      </c>
      <c r="Q632" s="571"/>
      <c r="R632" s="571"/>
      <c r="S632" s="571"/>
      <c r="T632" s="571"/>
      <c r="U632" s="571"/>
      <c r="V632" s="571"/>
      <c r="W632" s="571"/>
      <c r="X632" s="571"/>
      <c r="Y632" s="571"/>
      <c r="Z632" s="571"/>
    </row>
    <row r="633" spans="1:26" ht="18.75" hidden="1">
      <c r="A633" s="592"/>
      <c r="B633" s="600"/>
      <c r="C633" s="750"/>
      <c r="D633" s="711"/>
      <c r="E633" s="750" t="s">
        <v>184</v>
      </c>
      <c r="F633" s="750"/>
      <c r="G633" s="596"/>
      <c r="H633" s="165" t="s">
        <v>12</v>
      </c>
      <c r="I633" s="610"/>
      <c r="J633" s="610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597"/>
      <c r="R633" s="597"/>
      <c r="S633" s="597"/>
      <c r="T633" s="597"/>
      <c r="U633" s="597"/>
      <c r="V633" s="597"/>
      <c r="W633" s="597"/>
      <c r="X633" s="597"/>
      <c r="Y633" s="597"/>
      <c r="Z633" s="597"/>
    </row>
    <row r="634" spans="1:26" ht="18.75" hidden="1">
      <c r="A634" s="592"/>
      <c r="B634" s="600"/>
      <c r="C634" s="750"/>
      <c r="D634" s="711"/>
      <c r="E634" s="750" t="s">
        <v>185</v>
      </c>
      <c r="F634" s="750"/>
      <c r="G634" s="596"/>
      <c r="H634" s="165" t="s">
        <v>12</v>
      </c>
      <c r="I634" s="610"/>
      <c r="J634" s="610"/>
      <c r="K634" s="93"/>
      <c r="L634" s="93">
        <f ca="1">IFERROR(__xludf.DUMMYFUNCTION("IMPORTRANGE(""https://docs.google.com/spreadsheets/d/1QqKyyYR6Q21VydFLVH3TRQUabQu_ym0Zz7PgGX0-kHA/edit?usp=sharing"",""แผน!HN56"")"),171175)</f>
        <v>171175</v>
      </c>
      <c r="M634" s="93">
        <v>0</v>
      </c>
      <c r="N634" s="93">
        <f>N635+N636+N637+N638</f>
        <v>0</v>
      </c>
      <c r="O634" s="93">
        <f t="shared" ca="1" si="264"/>
        <v>0</v>
      </c>
      <c r="P634" s="93">
        <f t="shared" si="265"/>
        <v>0</v>
      </c>
      <c r="Q634" s="597"/>
      <c r="R634" s="597"/>
      <c r="S634" s="597"/>
      <c r="T634" s="597"/>
      <c r="U634" s="597"/>
      <c r="V634" s="597"/>
      <c r="W634" s="597"/>
      <c r="X634" s="597"/>
      <c r="Y634" s="597"/>
      <c r="Z634" s="597"/>
    </row>
    <row r="635" spans="1:26" ht="18.75">
      <c r="A635" s="567"/>
      <c r="B635" s="568"/>
      <c r="C635" s="754"/>
      <c r="D635" s="754"/>
      <c r="E635" s="754"/>
      <c r="F635" s="754" t="s">
        <v>186</v>
      </c>
      <c r="G635" s="189"/>
      <c r="H635" s="161" t="s">
        <v>12</v>
      </c>
      <c r="I635" s="269"/>
      <c r="J635" s="269"/>
      <c r="K635" s="496"/>
      <c r="L635" s="496"/>
      <c r="M635" s="496"/>
      <c r="N635" s="817">
        <v>0</v>
      </c>
      <c r="O635" s="496"/>
      <c r="P635" s="496"/>
      <c r="Q635" s="571"/>
      <c r="R635" s="571"/>
      <c r="S635" s="571"/>
      <c r="T635" s="571"/>
      <c r="U635" s="571"/>
      <c r="V635" s="571"/>
      <c r="W635" s="571"/>
      <c r="X635" s="571"/>
      <c r="Y635" s="571"/>
      <c r="Z635" s="571"/>
    </row>
    <row r="636" spans="1:26" ht="18.75">
      <c r="A636" s="567"/>
      <c r="B636" s="568"/>
      <c r="C636" s="754"/>
      <c r="D636" s="754"/>
      <c r="E636" s="754"/>
      <c r="F636" s="754" t="s">
        <v>187</v>
      </c>
      <c r="G636" s="189"/>
      <c r="H636" s="161" t="s">
        <v>12</v>
      </c>
      <c r="I636" s="269"/>
      <c r="J636" s="269"/>
      <c r="K636" s="496"/>
      <c r="L636" s="496"/>
      <c r="M636" s="496"/>
      <c r="N636" s="817">
        <v>0</v>
      </c>
      <c r="O636" s="496"/>
      <c r="P636" s="496"/>
      <c r="Q636" s="571"/>
      <c r="R636" s="571"/>
      <c r="S636" s="571"/>
      <c r="T636" s="571"/>
      <c r="U636" s="571"/>
      <c r="V636" s="571"/>
      <c r="W636" s="571"/>
      <c r="X636" s="571"/>
      <c r="Y636" s="571"/>
      <c r="Z636" s="571"/>
    </row>
    <row r="637" spans="1:26" ht="18.75">
      <c r="A637" s="567"/>
      <c r="B637" s="568"/>
      <c r="C637" s="754"/>
      <c r="D637" s="754"/>
      <c r="E637" s="754"/>
      <c r="F637" s="754" t="s">
        <v>188</v>
      </c>
      <c r="G637" s="189"/>
      <c r="H637" s="161" t="s">
        <v>12</v>
      </c>
      <c r="I637" s="269"/>
      <c r="J637" s="269"/>
      <c r="K637" s="496"/>
      <c r="L637" s="496"/>
      <c r="M637" s="496"/>
      <c r="N637" s="817">
        <v>0</v>
      </c>
      <c r="O637" s="496"/>
      <c r="P637" s="496"/>
      <c r="Q637" s="571"/>
      <c r="R637" s="571"/>
      <c r="S637" s="571"/>
      <c r="T637" s="571"/>
      <c r="U637" s="571"/>
      <c r="V637" s="571"/>
      <c r="W637" s="571"/>
      <c r="X637" s="571"/>
      <c r="Y637" s="571"/>
      <c r="Z637" s="571"/>
    </row>
    <row r="638" spans="1:26" ht="18.75">
      <c r="A638" s="567"/>
      <c r="B638" s="568"/>
      <c r="C638" s="754"/>
      <c r="D638" s="754"/>
      <c r="E638" s="754"/>
      <c r="F638" s="754" t="s">
        <v>189</v>
      </c>
      <c r="G638" s="189"/>
      <c r="H638" s="161" t="s">
        <v>12</v>
      </c>
      <c r="I638" s="269"/>
      <c r="J638" s="269"/>
      <c r="K638" s="496"/>
      <c r="L638" s="496"/>
      <c r="M638" s="496"/>
      <c r="N638" s="817">
        <v>0</v>
      </c>
      <c r="O638" s="496"/>
      <c r="P638" s="496"/>
      <c r="Q638" s="571"/>
      <c r="R638" s="571"/>
      <c r="S638" s="571"/>
      <c r="T638" s="571"/>
      <c r="U638" s="571"/>
      <c r="V638" s="571"/>
      <c r="W638" s="571"/>
      <c r="X638" s="571"/>
      <c r="Y638" s="571"/>
      <c r="Z638" s="571"/>
    </row>
    <row r="639" spans="1:26" ht="18.75">
      <c r="A639" s="590"/>
      <c r="B639" s="568"/>
      <c r="C639" s="754"/>
      <c r="D639" s="599" t="s">
        <v>21</v>
      </c>
      <c r="E639" s="754"/>
      <c r="F639" s="754"/>
      <c r="G639" s="189"/>
      <c r="H639" s="168" t="s">
        <v>12</v>
      </c>
      <c r="I639" s="184"/>
      <c r="J639" s="184"/>
      <c r="K639" s="163"/>
      <c r="L639" s="496">
        <f t="shared" ref="L639:N639" ca="1" si="268">L640+L641</f>
        <v>0</v>
      </c>
      <c r="M639" s="496">
        <f t="shared" si="268"/>
        <v>0</v>
      </c>
      <c r="N639" s="496">
        <f t="shared" si="268"/>
        <v>0</v>
      </c>
      <c r="O639" s="496">
        <f t="shared" ref="O639:O641" ca="1" si="269">IF(L639&gt;0,N639*100/L639,0)</f>
        <v>0</v>
      </c>
      <c r="P639" s="496">
        <f t="shared" ref="P639:P641" si="270">IF(M639&gt;0,N639*100/M639,0)</f>
        <v>0</v>
      </c>
      <c r="Q639" s="571"/>
      <c r="R639" s="571"/>
      <c r="S639" s="571"/>
      <c r="T639" s="571"/>
      <c r="U639" s="571"/>
      <c r="V639" s="571"/>
      <c r="W639" s="571"/>
      <c r="X639" s="571"/>
      <c r="Y639" s="571"/>
      <c r="Z639" s="571"/>
    </row>
    <row r="640" spans="1:26" ht="18.75" hidden="1">
      <c r="A640" s="592"/>
      <c r="B640" s="600"/>
      <c r="C640" s="750"/>
      <c r="D640" s="750"/>
      <c r="E640" s="750" t="s">
        <v>18</v>
      </c>
      <c r="F640" s="750"/>
      <c r="G640" s="596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597"/>
      <c r="R640" s="597"/>
      <c r="S640" s="597"/>
      <c r="T640" s="597"/>
      <c r="U640" s="597"/>
      <c r="V640" s="597"/>
      <c r="W640" s="597"/>
      <c r="X640" s="597"/>
      <c r="Y640" s="597"/>
      <c r="Z640" s="597"/>
    </row>
    <row r="641" spans="1:26" ht="18.75" hidden="1">
      <c r="A641" s="592"/>
      <c r="B641" s="600"/>
      <c r="C641" s="750"/>
      <c r="D641" s="750"/>
      <c r="E641" s="750" t="s">
        <v>19</v>
      </c>
      <c r="F641" s="750"/>
      <c r="G641" s="596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IFERROR(__xludf.DUMMYFUNCTION("IMPORTRANGE(""https://docs.google.com/spreadsheets/d/1QqKyyYR6Q21VydFLVH3TRQUabQu_ym0Zz7PgGX0-kHA/edit?usp=sharing"",""แผน!HQ56"")"),0)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597"/>
      <c r="R641" s="597"/>
      <c r="S641" s="597"/>
      <c r="T641" s="597"/>
      <c r="U641" s="597"/>
      <c r="V641" s="597"/>
      <c r="W641" s="597"/>
      <c r="X641" s="597"/>
      <c r="Y641" s="597"/>
      <c r="Z641" s="597"/>
    </row>
    <row r="642" spans="1:26" ht="19.5">
      <c r="A642" s="601"/>
      <c r="B642" s="611"/>
      <c r="C642" s="754" t="s">
        <v>16</v>
      </c>
      <c r="D642" s="839" t="s">
        <v>38</v>
      </c>
      <c r="E642" s="752"/>
      <c r="F642" s="752"/>
      <c r="G642" s="606"/>
      <c r="H642" s="753"/>
      <c r="I642" s="184"/>
      <c r="J642" s="184"/>
      <c r="K642" s="163"/>
      <c r="L642" s="163"/>
      <c r="M642" s="163"/>
      <c r="N642" s="163"/>
      <c r="O642" s="163"/>
      <c r="P642" s="163"/>
      <c r="Q642" s="571"/>
      <c r="R642" s="571"/>
      <c r="S642" s="571"/>
      <c r="T642" s="571"/>
      <c r="U642" s="571"/>
      <c r="V642" s="571"/>
      <c r="W642" s="571"/>
      <c r="X642" s="571"/>
      <c r="Y642" s="571"/>
      <c r="Z642" s="571"/>
    </row>
    <row r="643" spans="1:26" ht="18.75">
      <c r="A643" s="735"/>
      <c r="B643" s="568"/>
      <c r="C643" s="754"/>
      <c r="D643" s="619"/>
      <c r="E643" s="737" t="s">
        <v>271</v>
      </c>
      <c r="F643" s="619"/>
      <c r="G643" s="753"/>
      <c r="H643" s="755" t="s">
        <v>272</v>
      </c>
      <c r="I643" s="269">
        <f ca="1">IFERROR(__xludf.DUMMYFUNCTION("IMPORTRANGE(""https://docs.google.com/spreadsheets/d/1QqKyyYR6Q21VydFLVH3TRQUabQu_ym0Zz7PgGX0-kHA/edit?usp=sharing"",""แผน!HR56"")"),0)</f>
        <v>0</v>
      </c>
      <c r="J643" s="214">
        <v>0</v>
      </c>
      <c r="K643" s="163">
        <f t="shared" ref="K643:K652" ca="1" si="271">IF(I643&gt;0,J643*100/I643,0)</f>
        <v>0</v>
      </c>
      <c r="L643" s="163"/>
      <c r="M643" s="163"/>
      <c r="N643" s="496"/>
      <c r="O643" s="163"/>
      <c r="P643" s="163"/>
      <c r="Q643" s="571"/>
      <c r="R643" s="571"/>
      <c r="S643" s="571"/>
      <c r="T643" s="571"/>
      <c r="U643" s="571"/>
      <c r="V643" s="571"/>
      <c r="W643" s="571"/>
      <c r="X643" s="571"/>
      <c r="Y643" s="571"/>
      <c r="Z643" s="571"/>
    </row>
    <row r="644" spans="1:26" ht="18.75">
      <c r="A644" s="735"/>
      <c r="B644" s="568"/>
      <c r="C644" s="754"/>
      <c r="D644" s="619"/>
      <c r="E644" s="737" t="s">
        <v>273</v>
      </c>
      <c r="F644" s="619"/>
      <c r="G644" s="753"/>
      <c r="H644" s="755" t="s">
        <v>274</v>
      </c>
      <c r="I644" s="269">
        <f ca="1">IFERROR(__xludf.DUMMYFUNCTION("IMPORTRANGE(""https://docs.google.com/spreadsheets/d/1QqKyyYR6Q21VydFLVH3TRQUabQu_ym0Zz7PgGX0-kHA/edit?usp=sharing"",""แผน!HR56"")"),0)</f>
        <v>0</v>
      </c>
      <c r="J644" s="214">
        <v>0</v>
      </c>
      <c r="K644" s="163">
        <f t="shared" ca="1" si="271"/>
        <v>0</v>
      </c>
      <c r="L644" s="163"/>
      <c r="M644" s="163"/>
      <c r="N644" s="496"/>
      <c r="O644" s="163"/>
      <c r="P644" s="163"/>
      <c r="Q644" s="571"/>
      <c r="R644" s="571"/>
      <c r="S644" s="571"/>
      <c r="T644" s="571"/>
      <c r="U644" s="571"/>
      <c r="V644" s="571"/>
      <c r="W644" s="571"/>
      <c r="X644" s="571"/>
      <c r="Y644" s="571"/>
      <c r="Z644" s="571"/>
    </row>
    <row r="645" spans="1:26" ht="18.75">
      <c r="A645" s="735"/>
      <c r="B645" s="568"/>
      <c r="C645" s="754"/>
      <c r="D645" s="619"/>
      <c r="E645" s="737" t="s">
        <v>275</v>
      </c>
      <c r="F645" s="619"/>
      <c r="G645" s="753"/>
      <c r="H645" s="755" t="s">
        <v>34</v>
      </c>
      <c r="I645" s="269">
        <v>0</v>
      </c>
      <c r="J645" s="269">
        <f ca="1">IFERROR(__xludf.DUMMYFUNCTION("IMPORTRANGE(""https://docs.google.com/spreadsheets/d/1XWAQStnk-4SwqDmLtmXYiTMKHgktTP8We1SCoS47DrQ/edit?usp=sharing"",""จัดที่ดิน!AS56"")"),2)</f>
        <v>2</v>
      </c>
      <c r="K645" s="163">
        <f t="shared" si="271"/>
        <v>0</v>
      </c>
      <c r="L645" s="163"/>
      <c r="M645" s="163"/>
      <c r="N645" s="496"/>
      <c r="O645" s="163"/>
      <c r="P645" s="163"/>
      <c r="Q645" s="571"/>
      <c r="R645" s="571"/>
      <c r="S645" s="571"/>
      <c r="T645" s="571"/>
      <c r="U645" s="571"/>
      <c r="V645" s="571"/>
      <c r="W645" s="571"/>
      <c r="X645" s="571"/>
      <c r="Y645" s="571"/>
      <c r="Z645" s="571"/>
    </row>
    <row r="646" spans="1:26" ht="18.75">
      <c r="A646" s="735"/>
      <c r="B646" s="568"/>
      <c r="C646" s="754"/>
      <c r="D646" s="619"/>
      <c r="E646" s="619"/>
      <c r="F646" s="619"/>
      <c r="G646" s="753"/>
      <c r="H646" s="755" t="s">
        <v>46</v>
      </c>
      <c r="I646" s="269">
        <v>0</v>
      </c>
      <c r="J646" s="269">
        <f ca="1">IFERROR(__xludf.DUMMYFUNCTION("IMPORTRANGE(""https://docs.google.com/spreadsheets/d/1XWAQStnk-4SwqDmLtmXYiTMKHgktTP8We1SCoS47DrQ/edit?usp=sharing"",""จัดที่ดิน!AT56"")"),1.3)</f>
        <v>1.3</v>
      </c>
      <c r="K646" s="496">
        <f t="shared" si="271"/>
        <v>0</v>
      </c>
      <c r="L646" s="163"/>
      <c r="M646" s="163"/>
      <c r="N646" s="496"/>
      <c r="O646" s="163"/>
      <c r="P646" s="163"/>
      <c r="Q646" s="571"/>
      <c r="R646" s="571"/>
      <c r="S646" s="571"/>
      <c r="T646" s="571"/>
      <c r="U646" s="571"/>
      <c r="V646" s="571"/>
      <c r="W646" s="571"/>
      <c r="X646" s="571"/>
      <c r="Y646" s="571"/>
      <c r="Z646" s="571"/>
    </row>
    <row r="647" spans="1:26" ht="18.75">
      <c r="A647" s="735"/>
      <c r="B647" s="568"/>
      <c r="C647" s="754"/>
      <c r="D647" s="619"/>
      <c r="E647" s="737" t="s">
        <v>162</v>
      </c>
      <c r="F647" s="619"/>
      <c r="G647" s="753"/>
      <c r="H647" s="755" t="s">
        <v>35</v>
      </c>
      <c r="I647" s="269">
        <f ca="1">IFERROR(__xludf.DUMMYFUNCTION("IMPORTRANGE(""https://docs.google.com/spreadsheets/d/1QqKyyYR6Q21VydFLVH3TRQUabQu_ym0Zz7PgGX0-kHA/edit?usp=sharing"",""แผน!HS56"")"),50)</f>
        <v>50</v>
      </c>
      <c r="J647" s="269">
        <f ca="1">IFERROR(__xludf.DUMMYFUNCTION("IMPORTRANGE(""https://docs.google.com/spreadsheets/d/1XWAQStnk-4SwqDmLtmXYiTMKHgktTP8We1SCoS47DrQ/edit?usp=sharing"",""จัดที่ดิน!AU56"")"),6)</f>
        <v>6</v>
      </c>
      <c r="K647" s="163">
        <f t="shared" ca="1" si="271"/>
        <v>12</v>
      </c>
      <c r="L647" s="163"/>
      <c r="M647" s="163"/>
      <c r="N647" s="163"/>
      <c r="O647" s="163"/>
      <c r="P647" s="163"/>
      <c r="Q647" s="571"/>
      <c r="R647" s="571"/>
      <c r="S647" s="571"/>
      <c r="T647" s="571"/>
      <c r="U647" s="571"/>
      <c r="V647" s="571"/>
      <c r="W647" s="571"/>
      <c r="X647" s="571"/>
      <c r="Y647" s="571"/>
      <c r="Z647" s="571"/>
    </row>
    <row r="648" spans="1:26" ht="18.75">
      <c r="A648" s="735"/>
      <c r="B648" s="568"/>
      <c r="C648" s="754"/>
      <c r="D648" s="619"/>
      <c r="E648" s="619"/>
      <c r="F648" s="619"/>
      <c r="G648" s="753"/>
      <c r="H648" s="755" t="s">
        <v>46</v>
      </c>
      <c r="I648" s="269">
        <v>0</v>
      </c>
      <c r="J648" s="269">
        <f ca="1">IFERROR(__xludf.DUMMYFUNCTION("IMPORTRANGE(""https://docs.google.com/spreadsheets/d/1XWAQStnk-4SwqDmLtmXYiTMKHgktTP8We1SCoS47DrQ/edit?usp=sharing"",""จัดที่ดิน!AV56"")"),2.79)</f>
        <v>2.79</v>
      </c>
      <c r="K648" s="496">
        <f t="shared" si="271"/>
        <v>0</v>
      </c>
      <c r="L648" s="163"/>
      <c r="M648" s="163"/>
      <c r="N648" s="163"/>
      <c r="O648" s="163"/>
      <c r="P648" s="163"/>
      <c r="Q648" s="571"/>
      <c r="R648" s="571"/>
      <c r="S648" s="571"/>
      <c r="T648" s="571"/>
      <c r="U648" s="571"/>
      <c r="V648" s="571"/>
      <c r="W648" s="571"/>
      <c r="X648" s="571"/>
      <c r="Y648" s="571"/>
      <c r="Z648" s="571"/>
    </row>
    <row r="649" spans="1:26" ht="18.75">
      <c r="A649" s="735"/>
      <c r="B649" s="568"/>
      <c r="C649" s="754"/>
      <c r="D649" s="619"/>
      <c r="E649" s="737" t="s">
        <v>276</v>
      </c>
      <c r="F649" s="619"/>
      <c r="G649" s="753"/>
      <c r="H649" s="755" t="s">
        <v>35</v>
      </c>
      <c r="I649" s="269">
        <f ca="1">IFERROR(__xludf.DUMMYFUNCTION("IMPORTRANGE(""https://docs.google.com/spreadsheets/d/1QqKyyYR6Q21VydFLVH3TRQUabQu_ym0Zz7PgGX0-kHA/edit?usp=sharing"",""แผน!HS56"")"),50)</f>
        <v>50</v>
      </c>
      <c r="J649" s="269">
        <f ca="1">IFERROR(__xludf.DUMMYFUNCTION("IMPORTRANGE(""https://docs.google.com/spreadsheets/d/1XWAQStnk-4SwqDmLtmXYiTMKHgktTP8We1SCoS47DrQ/edit?usp=sharing"",""จัดที่ดิน!AW56"")"),0)</f>
        <v>0</v>
      </c>
      <c r="K649" s="163">
        <f t="shared" ca="1" si="271"/>
        <v>0</v>
      </c>
      <c r="L649" s="163"/>
      <c r="M649" s="163"/>
      <c r="N649" s="163"/>
      <c r="O649" s="163"/>
      <c r="P649" s="163"/>
      <c r="Q649" s="571"/>
      <c r="R649" s="571"/>
      <c r="S649" s="571"/>
      <c r="T649" s="571"/>
      <c r="U649" s="571"/>
      <c r="V649" s="571"/>
      <c r="W649" s="571"/>
      <c r="X649" s="571"/>
      <c r="Y649" s="571"/>
      <c r="Z649" s="571"/>
    </row>
    <row r="650" spans="1:26" ht="18.75">
      <c r="A650" s="735"/>
      <c r="B650" s="568"/>
      <c r="C650" s="754"/>
      <c r="D650" s="619"/>
      <c r="E650" s="619"/>
      <c r="F650" s="619"/>
      <c r="G650" s="753"/>
      <c r="H650" s="755" t="s">
        <v>46</v>
      </c>
      <c r="I650" s="269">
        <v>0</v>
      </c>
      <c r="J650" s="269">
        <f ca="1">IFERROR(__xludf.DUMMYFUNCTION("IMPORTRANGE(""https://docs.google.com/spreadsheets/d/1XWAQStnk-4SwqDmLtmXYiTMKHgktTP8We1SCoS47DrQ/edit?usp=sharing"",""จัดที่ดิน!AX56"")"),0)</f>
        <v>0</v>
      </c>
      <c r="K650" s="496">
        <f t="shared" si="271"/>
        <v>0</v>
      </c>
      <c r="L650" s="163"/>
      <c r="M650" s="163"/>
      <c r="N650" s="163"/>
      <c r="O650" s="163"/>
      <c r="P650" s="163"/>
      <c r="Q650" s="571"/>
      <c r="R650" s="571"/>
      <c r="S650" s="571"/>
      <c r="T650" s="571"/>
      <c r="U650" s="571"/>
      <c r="V650" s="571"/>
      <c r="W650" s="571"/>
      <c r="X650" s="571"/>
      <c r="Y650" s="571"/>
      <c r="Z650" s="571"/>
    </row>
    <row r="651" spans="1:26" ht="18.75">
      <c r="A651" s="735"/>
      <c r="B651" s="568"/>
      <c r="C651" s="754"/>
      <c r="D651" s="619"/>
      <c r="E651" s="737" t="s">
        <v>277</v>
      </c>
      <c r="F651" s="619"/>
      <c r="G651" s="753"/>
      <c r="H651" s="755" t="s">
        <v>35</v>
      </c>
      <c r="I651" s="269">
        <f ca="1">IFERROR(__xludf.DUMMYFUNCTION("IMPORTRANGE(""https://docs.google.com/spreadsheets/d/1QqKyyYR6Q21VydFLVH3TRQUabQu_ym0Zz7PgGX0-kHA/edit?usp=sharing"",""แผน!HS56"")"),50)</f>
        <v>50</v>
      </c>
      <c r="J651" s="269">
        <f ca="1">IFERROR(__xludf.DUMMYFUNCTION("IMPORTRANGE(""https://docs.google.com/spreadsheets/d/1XWAQStnk-4SwqDmLtmXYiTMKHgktTP8We1SCoS47DrQ/edit?usp=sharing"",""จัดที่ดิน!AY56"")"),0)</f>
        <v>0</v>
      </c>
      <c r="K651" s="163">
        <f t="shared" ca="1" si="271"/>
        <v>0</v>
      </c>
      <c r="L651" s="163"/>
      <c r="M651" s="163"/>
      <c r="N651" s="163"/>
      <c r="O651" s="163"/>
      <c r="P651" s="163"/>
      <c r="Q651" s="571"/>
      <c r="R651" s="571"/>
      <c r="S651" s="571"/>
      <c r="T651" s="571"/>
      <c r="U651" s="571"/>
      <c r="V651" s="571"/>
      <c r="W651" s="571"/>
      <c r="X651" s="571"/>
      <c r="Y651" s="571"/>
      <c r="Z651" s="571"/>
    </row>
    <row r="652" spans="1:26" ht="18.75">
      <c r="A652" s="738"/>
      <c r="B652" s="739"/>
      <c r="C652" s="740"/>
      <c r="D652" s="725"/>
      <c r="E652" s="725"/>
      <c r="F652" s="725"/>
      <c r="G652" s="726"/>
      <c r="H652" s="498" t="s">
        <v>46</v>
      </c>
      <c r="I652" s="499">
        <v>0</v>
      </c>
      <c r="J652" s="499">
        <f ca="1">IFERROR(__xludf.DUMMYFUNCTION("IMPORTRANGE(""https://docs.google.com/spreadsheets/d/1XWAQStnk-4SwqDmLtmXYiTMKHgktTP8We1SCoS47DrQ/edit?usp=sharing"",""จัดที่ดิน!AZ56"")"),0)</f>
        <v>0</v>
      </c>
      <c r="K652" s="500">
        <f t="shared" si="271"/>
        <v>0</v>
      </c>
      <c r="L652" s="384"/>
      <c r="M652" s="384"/>
      <c r="N652" s="384"/>
      <c r="O652" s="384"/>
      <c r="P652" s="384"/>
      <c r="Q652" s="571"/>
      <c r="R652" s="571"/>
      <c r="S652" s="571"/>
      <c r="T652" s="571"/>
      <c r="U652" s="571"/>
      <c r="V652" s="571"/>
      <c r="W652" s="571"/>
      <c r="X652" s="571"/>
      <c r="Y652" s="571"/>
      <c r="Z652" s="571"/>
    </row>
    <row r="653" spans="1:26" ht="19.5" hidden="1">
      <c r="A653" s="741">
        <v>8</v>
      </c>
      <c r="B653" s="728" t="s">
        <v>278</v>
      </c>
      <c r="C653" s="729"/>
      <c r="D653" s="729"/>
      <c r="E653" s="729"/>
      <c r="F653" s="729"/>
      <c r="G653" s="730"/>
      <c r="H653" s="730"/>
      <c r="I653" s="742"/>
      <c r="J653" s="742"/>
      <c r="K653" s="734"/>
      <c r="L653" s="734"/>
      <c r="M653" s="734"/>
      <c r="N653" s="734"/>
      <c r="O653" s="734"/>
      <c r="P653" s="734"/>
      <c r="Q653" s="571"/>
      <c r="R653" s="571"/>
      <c r="S653" s="571"/>
      <c r="T653" s="571"/>
      <c r="U653" s="571"/>
      <c r="V653" s="571"/>
      <c r="W653" s="571"/>
      <c r="X653" s="571"/>
      <c r="Y653" s="571"/>
      <c r="Z653" s="571"/>
    </row>
    <row r="654" spans="1:26" ht="19.5" hidden="1">
      <c r="A654" s="666"/>
      <c r="B654" s="665" t="s">
        <v>279</v>
      </c>
      <c r="C654" s="666"/>
      <c r="D654" s="666"/>
      <c r="E654" s="666"/>
      <c r="F654" s="666"/>
      <c r="G654" s="667"/>
      <c r="H654" s="698" t="s">
        <v>46</v>
      </c>
      <c r="I654" s="699">
        <f t="shared" ref="I654:J654" ca="1" si="272">I669</f>
        <v>0</v>
      </c>
      <c r="J654" s="699">
        <f t="shared" si="272"/>
        <v>0</v>
      </c>
      <c r="K654" s="670">
        <f ca="1">IF(I654&gt;0,J654*100/I654,0)</f>
        <v>0</v>
      </c>
      <c r="L654" s="671"/>
      <c r="M654" s="671"/>
      <c r="N654" s="671"/>
      <c r="O654" s="671"/>
      <c r="P654" s="671"/>
      <c r="Q654" s="571"/>
      <c r="R654" s="571"/>
      <c r="S654" s="571"/>
      <c r="T654" s="571"/>
      <c r="U654" s="571"/>
      <c r="V654" s="571"/>
      <c r="W654" s="571"/>
      <c r="X654" s="571"/>
      <c r="Y654" s="571"/>
      <c r="Z654" s="571"/>
    </row>
    <row r="655" spans="1:26" ht="19.5" hidden="1">
      <c r="A655" s="590"/>
      <c r="B655" s="754"/>
      <c r="C655" s="754" t="s">
        <v>16</v>
      </c>
      <c r="D655" s="863" t="s">
        <v>17</v>
      </c>
      <c r="E655" s="857"/>
      <c r="F655" s="857"/>
      <c r="G655" s="189"/>
      <c r="H655" s="591" t="s">
        <v>12</v>
      </c>
      <c r="I655" s="269"/>
      <c r="J655" s="269"/>
      <c r="K655" s="496"/>
      <c r="L655" s="195">
        <f t="shared" ref="L655:N655" ca="1" si="273">L656+L657</f>
        <v>0</v>
      </c>
      <c r="M655" s="195">
        <f t="shared" si="273"/>
        <v>0</v>
      </c>
      <c r="N655" s="195">
        <f t="shared" si="273"/>
        <v>0</v>
      </c>
      <c r="O655" s="195">
        <f t="shared" ref="O655:O660" ca="1" si="274">IF(L655&gt;0,N655*100/L655,0)</f>
        <v>0</v>
      </c>
      <c r="P655" s="195">
        <f t="shared" ref="P655:P660" si="275">IF(M655&gt;0,N655*100/M655,0)</f>
        <v>0</v>
      </c>
      <c r="Q655" s="571"/>
      <c r="R655" s="571"/>
      <c r="S655" s="571"/>
      <c r="T655" s="571"/>
      <c r="U655" s="571"/>
      <c r="V655" s="571"/>
      <c r="W655" s="571"/>
      <c r="X655" s="571"/>
      <c r="Y655" s="571"/>
      <c r="Z655" s="571"/>
    </row>
    <row r="656" spans="1:26" ht="18.75" hidden="1">
      <c r="A656" s="592"/>
      <c r="B656" s="750"/>
      <c r="C656" s="750"/>
      <c r="D656" s="711"/>
      <c r="E656" s="750" t="s">
        <v>184</v>
      </c>
      <c r="F656" s="750"/>
      <c r="G656" s="596"/>
      <c r="H656" s="165" t="s">
        <v>12</v>
      </c>
      <c r="I656" s="610"/>
      <c r="J656" s="610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597"/>
      <c r="R656" s="597"/>
      <c r="S656" s="597"/>
      <c r="T656" s="597"/>
      <c r="U656" s="597"/>
      <c r="V656" s="597"/>
      <c r="W656" s="597"/>
      <c r="X656" s="597"/>
      <c r="Y656" s="597"/>
      <c r="Z656" s="597"/>
    </row>
    <row r="657" spans="1:26" ht="18.75" hidden="1">
      <c r="A657" s="592"/>
      <c r="B657" s="600"/>
      <c r="C657" s="750"/>
      <c r="D657" s="711"/>
      <c r="E657" s="750" t="s">
        <v>185</v>
      </c>
      <c r="F657" s="750"/>
      <c r="G657" s="596"/>
      <c r="H657" s="165" t="s">
        <v>12</v>
      </c>
      <c r="I657" s="610"/>
      <c r="J657" s="610"/>
      <c r="K657" s="93"/>
      <c r="L657" s="93">
        <f t="shared" ca="1" si="276"/>
        <v>0</v>
      </c>
      <c r="M657" s="93">
        <f t="shared" si="276"/>
        <v>0</v>
      </c>
      <c r="N657" s="93">
        <f t="shared" si="276"/>
        <v>0</v>
      </c>
      <c r="O657" s="93">
        <f t="shared" ca="1" si="274"/>
        <v>0</v>
      </c>
      <c r="P657" s="93">
        <f t="shared" si="275"/>
        <v>0</v>
      </c>
      <c r="Q657" s="597"/>
      <c r="R657" s="597"/>
      <c r="S657" s="597"/>
      <c r="T657" s="597"/>
      <c r="U657" s="597"/>
      <c r="V657" s="597"/>
      <c r="W657" s="597"/>
      <c r="X657" s="597"/>
      <c r="Y657" s="597"/>
      <c r="Z657" s="597"/>
    </row>
    <row r="658" spans="1:26" ht="18.75" hidden="1">
      <c r="A658" s="590"/>
      <c r="B658" s="568"/>
      <c r="C658" s="754"/>
      <c r="D658" s="599" t="s">
        <v>20</v>
      </c>
      <c r="E658" s="754"/>
      <c r="F658" s="754"/>
      <c r="G658" s="189"/>
      <c r="H658" s="161" t="s">
        <v>12</v>
      </c>
      <c r="I658" s="184"/>
      <c r="J658" s="184"/>
      <c r="K658" s="163"/>
      <c r="L658" s="496">
        <f t="shared" ref="L658:N658" ca="1" si="277">L659+L660</f>
        <v>0</v>
      </c>
      <c r="M658" s="496">
        <f t="shared" si="277"/>
        <v>0</v>
      </c>
      <c r="N658" s="496">
        <f t="shared" si="277"/>
        <v>0</v>
      </c>
      <c r="O658" s="496">
        <f t="shared" ca="1" si="274"/>
        <v>0</v>
      </c>
      <c r="P658" s="496">
        <f t="shared" si="275"/>
        <v>0</v>
      </c>
      <c r="Q658" s="571"/>
      <c r="R658" s="571"/>
      <c r="S658" s="571"/>
      <c r="T658" s="571"/>
      <c r="U658" s="571"/>
      <c r="V658" s="571"/>
      <c r="W658" s="571"/>
      <c r="X658" s="571"/>
      <c r="Y658" s="571"/>
      <c r="Z658" s="571"/>
    </row>
    <row r="659" spans="1:26" ht="18.75" hidden="1">
      <c r="A659" s="592"/>
      <c r="B659" s="600"/>
      <c r="C659" s="750"/>
      <c r="D659" s="711"/>
      <c r="E659" s="750" t="s">
        <v>184</v>
      </c>
      <c r="F659" s="750"/>
      <c r="G659" s="596"/>
      <c r="H659" s="165" t="s">
        <v>12</v>
      </c>
      <c r="I659" s="610"/>
      <c r="J659" s="610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597"/>
      <c r="R659" s="597"/>
      <c r="S659" s="597"/>
      <c r="T659" s="597"/>
      <c r="U659" s="597"/>
      <c r="V659" s="597"/>
      <c r="W659" s="597"/>
      <c r="X659" s="597"/>
      <c r="Y659" s="597"/>
      <c r="Z659" s="597"/>
    </row>
    <row r="660" spans="1:26" ht="18.75" hidden="1">
      <c r="A660" s="592"/>
      <c r="B660" s="600"/>
      <c r="C660" s="750"/>
      <c r="D660" s="711"/>
      <c r="E660" s="750" t="s">
        <v>185</v>
      </c>
      <c r="F660" s="750"/>
      <c r="G660" s="596"/>
      <c r="H660" s="165" t="s">
        <v>12</v>
      </c>
      <c r="I660" s="610"/>
      <c r="J660" s="610"/>
      <c r="K660" s="93"/>
      <c r="L660" s="93">
        <f ca="1">IFERROR(__xludf.DUMMYFUNCTION("IMPORTRANGE(""https://docs.google.com/spreadsheets/d/1QqKyyYR6Q21VydFLVH3TRQUabQu_ym0Zz7PgGX0-kHA/edit?usp=sharing"",""แผน!HV56"")"),0)</f>
        <v>0</v>
      </c>
      <c r="M660" s="93">
        <v>0</v>
      </c>
      <c r="N660" s="93">
        <f>N661+N662+N663+N664</f>
        <v>0</v>
      </c>
      <c r="O660" s="93">
        <f t="shared" ca="1" si="274"/>
        <v>0</v>
      </c>
      <c r="P660" s="93">
        <f t="shared" si="275"/>
        <v>0</v>
      </c>
      <c r="Q660" s="597"/>
      <c r="R660" s="597"/>
      <c r="S660" s="597"/>
      <c r="T660" s="597"/>
      <c r="U660" s="597"/>
      <c r="V660" s="597"/>
      <c r="W660" s="597"/>
      <c r="X660" s="597"/>
      <c r="Y660" s="597"/>
      <c r="Z660" s="597"/>
    </row>
    <row r="661" spans="1:26" ht="18.75" hidden="1">
      <c r="A661" s="567"/>
      <c r="B661" s="568"/>
      <c r="C661" s="754"/>
      <c r="D661" s="754"/>
      <c r="E661" s="754"/>
      <c r="F661" s="754" t="s">
        <v>186</v>
      </c>
      <c r="G661" s="189"/>
      <c r="H661" s="161" t="s">
        <v>12</v>
      </c>
      <c r="I661" s="269"/>
      <c r="J661" s="269"/>
      <c r="K661" s="496"/>
      <c r="L661" s="496"/>
      <c r="M661" s="496"/>
      <c r="N661" s="817">
        <v>0</v>
      </c>
      <c r="O661" s="496"/>
      <c r="P661" s="496"/>
      <c r="Q661" s="571"/>
      <c r="R661" s="571"/>
      <c r="S661" s="571"/>
      <c r="T661" s="571"/>
      <c r="U661" s="571"/>
      <c r="V661" s="571"/>
      <c r="W661" s="571"/>
      <c r="X661" s="571"/>
      <c r="Y661" s="571"/>
      <c r="Z661" s="571"/>
    </row>
    <row r="662" spans="1:26" ht="18.75" hidden="1">
      <c r="A662" s="567"/>
      <c r="B662" s="568"/>
      <c r="C662" s="754"/>
      <c r="D662" s="754"/>
      <c r="E662" s="754"/>
      <c r="F662" s="754" t="s">
        <v>187</v>
      </c>
      <c r="G662" s="189"/>
      <c r="H662" s="161" t="s">
        <v>12</v>
      </c>
      <c r="I662" s="269"/>
      <c r="J662" s="269"/>
      <c r="K662" s="496"/>
      <c r="L662" s="496"/>
      <c r="M662" s="496"/>
      <c r="N662" s="817">
        <v>0</v>
      </c>
      <c r="O662" s="496"/>
      <c r="P662" s="496"/>
      <c r="Q662" s="571"/>
      <c r="R662" s="571"/>
      <c r="S662" s="571"/>
      <c r="T662" s="571"/>
      <c r="U662" s="571"/>
      <c r="V662" s="571"/>
      <c r="W662" s="571"/>
      <c r="X662" s="571"/>
      <c r="Y662" s="571"/>
      <c r="Z662" s="571"/>
    </row>
    <row r="663" spans="1:26" ht="18.75" hidden="1">
      <c r="A663" s="567"/>
      <c r="B663" s="568"/>
      <c r="C663" s="568"/>
      <c r="D663" s="754"/>
      <c r="E663" s="754"/>
      <c r="F663" s="754" t="s">
        <v>188</v>
      </c>
      <c r="G663" s="189"/>
      <c r="H663" s="161" t="s">
        <v>12</v>
      </c>
      <c r="I663" s="269"/>
      <c r="J663" s="269"/>
      <c r="K663" s="496"/>
      <c r="L663" s="496"/>
      <c r="M663" s="496"/>
      <c r="N663" s="817">
        <v>0</v>
      </c>
      <c r="O663" s="496"/>
      <c r="P663" s="496"/>
      <c r="Q663" s="571"/>
      <c r="R663" s="571"/>
      <c r="S663" s="571"/>
      <c r="T663" s="571"/>
      <c r="U663" s="571"/>
      <c r="V663" s="571"/>
      <c r="W663" s="571"/>
      <c r="X663" s="571"/>
      <c r="Y663" s="571"/>
      <c r="Z663" s="571"/>
    </row>
    <row r="664" spans="1:26" ht="18.75" hidden="1">
      <c r="A664" s="567"/>
      <c r="B664" s="568"/>
      <c r="C664" s="568"/>
      <c r="D664" s="568"/>
      <c r="E664" s="754"/>
      <c r="F664" s="754" t="s">
        <v>189</v>
      </c>
      <c r="G664" s="189"/>
      <c r="H664" s="161" t="s">
        <v>12</v>
      </c>
      <c r="I664" s="269"/>
      <c r="J664" s="269"/>
      <c r="K664" s="496"/>
      <c r="L664" s="496"/>
      <c r="M664" s="496"/>
      <c r="N664" s="817">
        <v>0</v>
      </c>
      <c r="O664" s="496"/>
      <c r="P664" s="496"/>
      <c r="Q664" s="571"/>
      <c r="R664" s="571"/>
      <c r="S664" s="571"/>
      <c r="T664" s="571"/>
      <c r="U664" s="571"/>
      <c r="V664" s="571"/>
      <c r="W664" s="571"/>
      <c r="X664" s="571"/>
      <c r="Y664" s="571"/>
      <c r="Z664" s="571"/>
    </row>
    <row r="665" spans="1:26" ht="18.75" hidden="1">
      <c r="A665" s="590"/>
      <c r="B665" s="568"/>
      <c r="C665" s="568"/>
      <c r="D665" s="599" t="s">
        <v>21</v>
      </c>
      <c r="E665" s="754"/>
      <c r="F665" s="754"/>
      <c r="G665" s="189"/>
      <c r="H665" s="168" t="s">
        <v>12</v>
      </c>
      <c r="I665" s="184"/>
      <c r="J665" s="184"/>
      <c r="K665" s="163"/>
      <c r="L665" s="496">
        <f t="shared" ref="L665:N665" si="278">L666+L667</f>
        <v>0</v>
      </c>
      <c r="M665" s="496">
        <f t="shared" si="278"/>
        <v>0</v>
      </c>
      <c r="N665" s="496">
        <f t="shared" si="278"/>
        <v>0</v>
      </c>
      <c r="O665" s="496">
        <f t="shared" ref="O665:O667" si="279">IF(L665&gt;0,N665*100/L665,0)</f>
        <v>0</v>
      </c>
      <c r="P665" s="496">
        <f t="shared" ref="P665:P667" si="280">IF(M665&gt;0,N665*100/M665,0)</f>
        <v>0</v>
      </c>
      <c r="Q665" s="571"/>
      <c r="R665" s="571"/>
      <c r="S665" s="571"/>
      <c r="T665" s="571"/>
      <c r="U665" s="571"/>
      <c r="V665" s="571"/>
      <c r="W665" s="571"/>
      <c r="X665" s="571"/>
      <c r="Y665" s="571"/>
      <c r="Z665" s="571"/>
    </row>
    <row r="666" spans="1:26" ht="18.75" hidden="1">
      <c r="A666" s="592"/>
      <c r="B666" s="600"/>
      <c r="C666" s="600"/>
      <c r="D666" s="600"/>
      <c r="E666" s="750" t="s">
        <v>18</v>
      </c>
      <c r="F666" s="750"/>
      <c r="G666" s="596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597"/>
      <c r="R666" s="597"/>
      <c r="S666" s="597"/>
      <c r="T666" s="597"/>
      <c r="U666" s="597"/>
      <c r="V666" s="597"/>
      <c r="W666" s="597"/>
      <c r="X666" s="597"/>
      <c r="Y666" s="597"/>
      <c r="Z666" s="597"/>
    </row>
    <row r="667" spans="1:26" ht="18.75" hidden="1">
      <c r="A667" s="592"/>
      <c r="B667" s="600"/>
      <c r="C667" s="600"/>
      <c r="D667" s="600"/>
      <c r="E667" s="750" t="s">
        <v>19</v>
      </c>
      <c r="F667" s="750"/>
      <c r="G667" s="596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597"/>
      <c r="R667" s="597"/>
      <c r="S667" s="597"/>
      <c r="T667" s="597"/>
      <c r="U667" s="597"/>
      <c r="V667" s="597"/>
      <c r="W667" s="597"/>
      <c r="X667" s="597"/>
      <c r="Y667" s="597"/>
      <c r="Z667" s="597"/>
    </row>
    <row r="668" spans="1:26" ht="19.5" hidden="1">
      <c r="A668" s="601"/>
      <c r="B668" s="611"/>
      <c r="C668" s="568" t="s">
        <v>16</v>
      </c>
      <c r="D668" s="836" t="s">
        <v>38</v>
      </c>
      <c r="E668" s="752"/>
      <c r="F668" s="752"/>
      <c r="G668" s="606"/>
      <c r="H668" s="753"/>
      <c r="I668" s="184"/>
      <c r="J668" s="184"/>
      <c r="K668" s="163"/>
      <c r="L668" s="163"/>
      <c r="M668" s="163"/>
      <c r="N668" s="163"/>
      <c r="O668" s="163"/>
      <c r="P668" s="163"/>
      <c r="Q668" s="571"/>
      <c r="R668" s="571"/>
      <c r="S668" s="571"/>
      <c r="T668" s="571"/>
      <c r="U668" s="571"/>
      <c r="V668" s="571"/>
      <c r="W668" s="571"/>
      <c r="X668" s="571"/>
      <c r="Y668" s="571"/>
      <c r="Z668" s="571"/>
    </row>
    <row r="669" spans="1:26" ht="19.5" hidden="1">
      <c r="A669" s="601"/>
      <c r="B669" s="611"/>
      <c r="C669" s="611"/>
      <c r="D669" s="611" t="s">
        <v>280</v>
      </c>
      <c r="E669" s="619"/>
      <c r="F669" s="619"/>
      <c r="G669" s="753"/>
      <c r="H669" s="758" t="s">
        <v>46</v>
      </c>
      <c r="I669" s="674">
        <f ca="1">IFERROR(__xludf.DUMMYFUNCTION("IMPORTRANGE(""https://docs.google.com/spreadsheets/d/1QqKyyYR6Q21VydFLVH3TRQUabQu_ym0Zz7PgGX0-kHA/edit?usp=sharing"",""แผน!IA56"")"),0)</f>
        <v>0</v>
      </c>
      <c r="J669" s="674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1"/>
      <c r="R669" s="571"/>
      <c r="S669" s="571"/>
      <c r="T669" s="571"/>
      <c r="U669" s="571"/>
      <c r="V669" s="571"/>
      <c r="W669" s="571"/>
      <c r="X669" s="571"/>
      <c r="Y669" s="571"/>
      <c r="Z669" s="571"/>
    </row>
    <row r="670" spans="1:26" ht="18.75" hidden="1">
      <c r="A670" s="601"/>
      <c r="B670" s="611"/>
      <c r="C670" s="611"/>
      <c r="D670" s="611"/>
      <c r="E670" s="619" t="s">
        <v>281</v>
      </c>
      <c r="F670" s="619"/>
      <c r="G670" s="753"/>
      <c r="H670" s="755" t="s">
        <v>69</v>
      </c>
      <c r="I670" s="269">
        <f ca="1">IFERROR(__xludf.DUMMYFUNCTION("IMPORTRANGE(""https://docs.google.com/spreadsheets/d/1QqKyyYR6Q21VydFLVH3TRQUabQu_ym0Zz7PgGX0-kHA/edit?usp=sharing"",""แผน!HZ56"")"),0)</f>
        <v>0</v>
      </c>
      <c r="J670" s="214">
        <v>0</v>
      </c>
      <c r="K670" s="496">
        <f ca="1">IF(I670&gt;0,(J670*100)/I670,0)</f>
        <v>0</v>
      </c>
      <c r="L670" s="163"/>
      <c r="M670" s="163"/>
      <c r="N670" s="163"/>
      <c r="O670" s="163"/>
      <c r="P670" s="163"/>
      <c r="Q670" s="571"/>
      <c r="R670" s="571"/>
      <c r="S670" s="571"/>
      <c r="T670" s="571"/>
      <c r="U670" s="571"/>
      <c r="V670" s="571"/>
      <c r="W670" s="571"/>
      <c r="X670" s="571"/>
      <c r="Y670" s="571"/>
      <c r="Z670" s="571"/>
    </row>
    <row r="671" spans="1:26" ht="18.75" hidden="1">
      <c r="A671" s="601"/>
      <c r="B671" s="611"/>
      <c r="C671" s="611"/>
      <c r="D671" s="611"/>
      <c r="E671" s="619" t="s">
        <v>282</v>
      </c>
      <c r="F671" s="619"/>
      <c r="G671" s="753"/>
      <c r="H671" s="755" t="s">
        <v>69</v>
      </c>
      <c r="I671" s="269">
        <f ca="1">IFERROR(__xludf.DUMMYFUNCTION("IMPORTRANGE(""https://docs.google.com/spreadsheets/d/1QqKyyYR6Q21VydFLVH3TRQUabQu_ym0Zz7PgGX0-kHA/edit?usp=sharing"",""แผน!HZ56"")"),0)</f>
        <v>0</v>
      </c>
      <c r="J671" s="214">
        <v>0</v>
      </c>
      <c r="K671" s="496">
        <f ca="1">IF(I$671&gt;0,J671*100/I$671,0)</f>
        <v>0</v>
      </c>
      <c r="L671" s="163"/>
      <c r="M671" s="163"/>
      <c r="N671" s="163"/>
      <c r="O671" s="163"/>
      <c r="P671" s="163"/>
      <c r="Q671" s="571"/>
      <c r="R671" s="571"/>
      <c r="S671" s="571"/>
      <c r="T671" s="571"/>
      <c r="U671" s="571"/>
      <c r="V671" s="571"/>
      <c r="W671" s="571"/>
      <c r="X671" s="571"/>
      <c r="Y671" s="571"/>
      <c r="Z671" s="571"/>
    </row>
    <row r="672" spans="1:26" ht="18.75" hidden="1">
      <c r="A672" s="601"/>
      <c r="B672" s="611"/>
      <c r="C672" s="611"/>
      <c r="D672" s="611"/>
      <c r="E672" s="619" t="s">
        <v>283</v>
      </c>
      <c r="F672" s="619"/>
      <c r="G672" s="753"/>
      <c r="H672" s="755" t="s">
        <v>46</v>
      </c>
      <c r="I672" s="269"/>
      <c r="J672" s="214">
        <v>0</v>
      </c>
      <c r="K672" s="496">
        <f t="shared" ref="K672:K675" ca="1" si="281">IF(I$669&gt;0,J672*100/I$669,0)</f>
        <v>0</v>
      </c>
      <c r="L672" s="163"/>
      <c r="M672" s="163"/>
      <c r="N672" s="163"/>
      <c r="O672" s="163"/>
      <c r="P672" s="163"/>
      <c r="Q672" s="571"/>
      <c r="R672" s="571"/>
      <c r="S672" s="571"/>
      <c r="T672" s="571"/>
      <c r="U672" s="571"/>
      <c r="V672" s="571"/>
      <c r="W672" s="571"/>
      <c r="X672" s="571"/>
      <c r="Y672" s="571"/>
      <c r="Z672" s="571"/>
    </row>
    <row r="673" spans="1:26" ht="18.75" hidden="1">
      <c r="A673" s="601"/>
      <c r="B673" s="611"/>
      <c r="C673" s="611"/>
      <c r="D673" s="611"/>
      <c r="E673" s="619" t="s">
        <v>284</v>
      </c>
      <c r="F673" s="619"/>
      <c r="G673" s="753"/>
      <c r="H673" s="755" t="s">
        <v>46</v>
      </c>
      <c r="I673" s="269"/>
      <c r="J673" s="214">
        <v>0</v>
      </c>
      <c r="K673" s="496">
        <f t="shared" ca="1" si="281"/>
        <v>0</v>
      </c>
      <c r="L673" s="163"/>
      <c r="M673" s="163"/>
      <c r="N673" s="163"/>
      <c r="O673" s="163"/>
      <c r="P673" s="163"/>
      <c r="Q673" s="571"/>
      <c r="R673" s="571"/>
      <c r="S673" s="571"/>
      <c r="T673" s="571"/>
      <c r="U673" s="571"/>
      <c r="V673" s="571"/>
      <c r="W673" s="571"/>
      <c r="X673" s="571"/>
      <c r="Y673" s="571"/>
      <c r="Z673" s="571"/>
    </row>
    <row r="674" spans="1:26" ht="18.75" hidden="1">
      <c r="A674" s="601"/>
      <c r="B674" s="611"/>
      <c r="C674" s="611"/>
      <c r="D674" s="611"/>
      <c r="E674" s="619" t="s">
        <v>285</v>
      </c>
      <c r="F674" s="619"/>
      <c r="G674" s="753"/>
      <c r="H674" s="755" t="s">
        <v>46</v>
      </c>
      <c r="I674" s="269"/>
      <c r="J674" s="214">
        <v>0</v>
      </c>
      <c r="K674" s="496">
        <f t="shared" ca="1" si="281"/>
        <v>0</v>
      </c>
      <c r="L674" s="163"/>
      <c r="M674" s="163"/>
      <c r="N674" s="163"/>
      <c r="O674" s="163"/>
      <c r="P674" s="163"/>
      <c r="Q674" s="571"/>
      <c r="R674" s="571"/>
      <c r="S674" s="571"/>
      <c r="T674" s="571"/>
      <c r="U674" s="571"/>
      <c r="V674" s="571"/>
      <c r="W674" s="571"/>
      <c r="X674" s="571"/>
      <c r="Y674" s="571"/>
      <c r="Z674" s="571"/>
    </row>
    <row r="675" spans="1:26" ht="19.5" hidden="1">
      <c r="A675" s="601"/>
      <c r="B675" s="611"/>
      <c r="C675" s="611"/>
      <c r="D675" s="611"/>
      <c r="E675" s="619" t="s">
        <v>286</v>
      </c>
      <c r="F675" s="619"/>
      <c r="G675" s="753"/>
      <c r="H675" s="755" t="s">
        <v>46</v>
      </c>
      <c r="I675" s="269"/>
      <c r="J675" s="674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71"/>
      <c r="R675" s="571"/>
      <c r="S675" s="571"/>
      <c r="T675" s="571"/>
      <c r="U675" s="571"/>
      <c r="V675" s="571"/>
      <c r="W675" s="571"/>
      <c r="X675" s="571"/>
      <c r="Y675" s="571"/>
      <c r="Z675" s="571"/>
    </row>
    <row r="676" spans="1:26" ht="18.75" hidden="1">
      <c r="A676" s="601"/>
      <c r="B676" s="611"/>
      <c r="C676" s="611"/>
      <c r="D676" s="611"/>
      <c r="E676" s="619"/>
      <c r="F676" s="619" t="s">
        <v>287</v>
      </c>
      <c r="G676" s="753"/>
      <c r="H676" s="755" t="s">
        <v>46</v>
      </c>
      <c r="I676" s="269"/>
      <c r="J676" s="214">
        <v>0</v>
      </c>
      <c r="K676" s="496"/>
      <c r="L676" s="163"/>
      <c r="M676" s="163"/>
      <c r="N676" s="163"/>
      <c r="O676" s="163"/>
      <c r="P676" s="163"/>
      <c r="Q676" s="571"/>
      <c r="R676" s="571"/>
      <c r="S676" s="571"/>
      <c r="T676" s="571"/>
      <c r="U676" s="571"/>
      <c r="V676" s="571"/>
      <c r="W676" s="571"/>
      <c r="X676" s="571"/>
      <c r="Y676" s="571"/>
      <c r="Z676" s="571"/>
    </row>
    <row r="677" spans="1:26" ht="18.75" hidden="1">
      <c r="A677" s="601"/>
      <c r="B677" s="611"/>
      <c r="C677" s="611"/>
      <c r="D677" s="611"/>
      <c r="E677" s="619"/>
      <c r="F677" s="619" t="s">
        <v>288</v>
      </c>
      <c r="G677" s="753"/>
      <c r="H677" s="755" t="s">
        <v>46</v>
      </c>
      <c r="I677" s="269"/>
      <c r="J677" s="214">
        <v>0</v>
      </c>
      <c r="K677" s="496"/>
      <c r="L677" s="163"/>
      <c r="M677" s="163"/>
      <c r="N677" s="163"/>
      <c r="O677" s="163"/>
      <c r="P677" s="163"/>
      <c r="Q677" s="571"/>
      <c r="R677" s="571"/>
      <c r="S677" s="571"/>
      <c r="T677" s="571"/>
      <c r="U677" s="571"/>
      <c r="V677" s="571"/>
      <c r="W677" s="571"/>
      <c r="X677" s="571"/>
      <c r="Y677" s="571"/>
      <c r="Z677" s="571"/>
    </row>
    <row r="678" spans="1:26" ht="19.5" hidden="1">
      <c r="A678" s="601"/>
      <c r="B678" s="611"/>
      <c r="C678" s="611"/>
      <c r="D678" s="611" t="s">
        <v>289</v>
      </c>
      <c r="E678" s="619"/>
      <c r="F678" s="619"/>
      <c r="G678" s="753"/>
      <c r="H678" s="755" t="s">
        <v>46</v>
      </c>
      <c r="I678" s="674">
        <f ca="1">IFERROR(__xludf.DUMMYFUNCTION("IMPORTRANGE(""https://docs.google.com/spreadsheets/d/1QqKyyYR6Q21VydFLVH3TRQUabQu_ym0Zz7PgGX0-kHA/edit?usp=sharing"",""แผน!IB56"")"),0)</f>
        <v>0</v>
      </c>
      <c r="J678" s="674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1"/>
      <c r="R678" s="571"/>
      <c r="S678" s="571"/>
      <c r="T678" s="571"/>
      <c r="U678" s="571"/>
      <c r="V678" s="571"/>
      <c r="W678" s="571"/>
      <c r="X678" s="571"/>
      <c r="Y678" s="571"/>
      <c r="Z678" s="571"/>
    </row>
    <row r="679" spans="1:26" ht="18.75" hidden="1">
      <c r="A679" s="601"/>
      <c r="B679" s="611"/>
      <c r="C679" s="611"/>
      <c r="D679" s="611"/>
      <c r="E679" s="619" t="s">
        <v>290</v>
      </c>
      <c r="F679" s="619"/>
      <c r="G679" s="753"/>
      <c r="H679" s="755" t="s">
        <v>46</v>
      </c>
      <c r="I679" s="269"/>
      <c r="J679" s="269">
        <f>J680+J681</f>
        <v>0</v>
      </c>
      <c r="K679" s="496"/>
      <c r="L679" s="163"/>
      <c r="M679" s="163"/>
      <c r="N679" s="163"/>
      <c r="O679" s="163"/>
      <c r="P679" s="163"/>
      <c r="Q679" s="571"/>
      <c r="R679" s="571"/>
      <c r="S679" s="571"/>
      <c r="T679" s="571"/>
      <c r="U679" s="571"/>
      <c r="V679" s="571"/>
      <c r="W679" s="571"/>
      <c r="X679" s="571"/>
      <c r="Y679" s="571"/>
      <c r="Z679" s="571"/>
    </row>
    <row r="680" spans="1:26" ht="18.75" hidden="1">
      <c r="A680" s="601"/>
      <c r="B680" s="611"/>
      <c r="C680" s="611"/>
      <c r="D680" s="611"/>
      <c r="E680" s="619"/>
      <c r="F680" s="619" t="s">
        <v>287</v>
      </c>
      <c r="G680" s="753"/>
      <c r="H680" s="755" t="s">
        <v>46</v>
      </c>
      <c r="I680" s="269"/>
      <c r="J680" s="214">
        <v>0</v>
      </c>
      <c r="K680" s="496"/>
      <c r="L680" s="163"/>
      <c r="M680" s="163"/>
      <c r="N680" s="163"/>
      <c r="O680" s="163"/>
      <c r="P680" s="163"/>
      <c r="Q680" s="571"/>
      <c r="R680" s="571"/>
      <c r="S680" s="571"/>
      <c r="T680" s="571"/>
      <c r="U680" s="571"/>
      <c r="V680" s="571"/>
      <c r="W680" s="571"/>
      <c r="X680" s="571"/>
      <c r="Y680" s="571"/>
      <c r="Z680" s="571"/>
    </row>
    <row r="681" spans="1:26" ht="18.75" hidden="1">
      <c r="A681" s="601"/>
      <c r="B681" s="611"/>
      <c r="C681" s="611"/>
      <c r="D681" s="611"/>
      <c r="E681" s="619"/>
      <c r="F681" s="619" t="s">
        <v>288</v>
      </c>
      <c r="G681" s="753"/>
      <c r="H681" s="755" t="s">
        <v>46</v>
      </c>
      <c r="I681" s="269"/>
      <c r="J681" s="214">
        <v>0</v>
      </c>
      <c r="K681" s="496"/>
      <c r="L681" s="163"/>
      <c r="M681" s="163"/>
      <c r="N681" s="163"/>
      <c r="O681" s="163"/>
      <c r="P681" s="163"/>
      <c r="Q681" s="571"/>
      <c r="R681" s="571"/>
      <c r="S681" s="571"/>
      <c r="T681" s="571"/>
      <c r="U681" s="571"/>
      <c r="V681" s="571"/>
      <c r="W681" s="571"/>
      <c r="X681" s="571"/>
      <c r="Y681" s="571"/>
      <c r="Z681" s="571"/>
    </row>
    <row r="682" spans="1:26" ht="18.75" hidden="1">
      <c r="A682" s="601"/>
      <c r="B682" s="611"/>
      <c r="C682" s="611"/>
      <c r="D682" s="611"/>
      <c r="E682" s="619" t="s">
        <v>291</v>
      </c>
      <c r="F682" s="619"/>
      <c r="G682" s="753"/>
      <c r="H682" s="755" t="s">
        <v>46</v>
      </c>
      <c r="I682" s="269"/>
      <c r="J682" s="214">
        <v>0</v>
      </c>
      <c r="K682" s="496"/>
      <c r="L682" s="163"/>
      <c r="M682" s="163"/>
      <c r="N682" s="163"/>
      <c r="O682" s="163"/>
      <c r="P682" s="163"/>
      <c r="Q682" s="571"/>
      <c r="R682" s="571"/>
      <c r="S682" s="571"/>
      <c r="T682" s="571"/>
      <c r="U682" s="571"/>
      <c r="V682" s="571"/>
      <c r="W682" s="571"/>
      <c r="X682" s="571"/>
      <c r="Y682" s="571"/>
      <c r="Z682" s="571"/>
    </row>
    <row r="683" spans="1:26" ht="18.75" hidden="1">
      <c r="A683" s="601"/>
      <c r="B683" s="611"/>
      <c r="C683" s="611"/>
      <c r="D683" s="611"/>
      <c r="E683" s="619"/>
      <c r="F683" s="619" t="s">
        <v>292</v>
      </c>
      <c r="G683" s="753"/>
      <c r="H683" s="755" t="s">
        <v>46</v>
      </c>
      <c r="I683" s="269"/>
      <c r="J683" s="214">
        <v>0</v>
      </c>
      <c r="K683" s="496"/>
      <c r="L683" s="163"/>
      <c r="M683" s="163"/>
      <c r="N683" s="163"/>
      <c r="O683" s="163"/>
      <c r="P683" s="163"/>
      <c r="Q683" s="571"/>
      <c r="R683" s="571"/>
      <c r="S683" s="571"/>
      <c r="T683" s="571"/>
      <c r="U683" s="571"/>
      <c r="V683" s="571"/>
      <c r="W683" s="571"/>
      <c r="X683" s="571"/>
      <c r="Y683" s="571"/>
      <c r="Z683" s="571"/>
    </row>
    <row r="684" spans="1:26" ht="19.5" hidden="1">
      <c r="A684" s="744"/>
      <c r="B684" s="745" t="s">
        <v>293</v>
      </c>
      <c r="C684" s="744"/>
      <c r="D684" s="744"/>
      <c r="E684" s="744"/>
      <c r="F684" s="744"/>
      <c r="G684" s="746"/>
      <c r="H684" s="746"/>
      <c r="I684" s="747"/>
      <c r="J684" s="747"/>
      <c r="K684" s="748"/>
      <c r="L684" s="748"/>
      <c r="M684" s="748"/>
      <c r="N684" s="748"/>
      <c r="O684" s="748"/>
      <c r="P684" s="748"/>
      <c r="Q684" s="571"/>
      <c r="R684" s="571"/>
      <c r="S684" s="571"/>
      <c r="T684" s="571"/>
      <c r="U684" s="571"/>
      <c r="V684" s="571"/>
      <c r="W684" s="571"/>
      <c r="X684" s="571"/>
      <c r="Y684" s="571"/>
      <c r="Z684" s="571"/>
    </row>
    <row r="685" spans="1:26" ht="19.5" hidden="1">
      <c r="A685" s="590"/>
      <c r="B685" s="754"/>
      <c r="C685" s="754" t="s">
        <v>16</v>
      </c>
      <c r="D685" s="863" t="s">
        <v>17</v>
      </c>
      <c r="E685" s="857"/>
      <c r="F685" s="857"/>
      <c r="G685" s="189"/>
      <c r="H685" s="591" t="s">
        <v>12</v>
      </c>
      <c r="I685" s="269"/>
      <c r="J685" s="269"/>
      <c r="K685" s="496"/>
      <c r="L685" s="195">
        <f t="shared" ref="L685:N685" ca="1" si="282">L686+L687</f>
        <v>0</v>
      </c>
      <c r="M685" s="195">
        <f t="shared" si="282"/>
        <v>0</v>
      </c>
      <c r="N685" s="195">
        <f t="shared" si="282"/>
        <v>0</v>
      </c>
      <c r="O685" s="195">
        <f t="shared" ref="O685:O688" ca="1" si="283">IF(L685&gt;0,N685*100/L685,0)</f>
        <v>0</v>
      </c>
      <c r="P685" s="195">
        <f t="shared" ref="P685:P688" si="284">IF(M685&gt;0,N685*100/M685,0)</f>
        <v>0</v>
      </c>
      <c r="Q685" s="571"/>
      <c r="R685" s="571"/>
      <c r="S685" s="571"/>
      <c r="T685" s="571"/>
      <c r="U685" s="571"/>
      <c r="V685" s="571"/>
      <c r="W685" s="571"/>
      <c r="X685" s="571"/>
      <c r="Y685" s="571"/>
      <c r="Z685" s="571"/>
    </row>
    <row r="686" spans="1:26" ht="18.75" hidden="1">
      <c r="A686" s="592"/>
      <c r="B686" s="750"/>
      <c r="C686" s="750"/>
      <c r="D686" s="711"/>
      <c r="E686" s="750" t="s">
        <v>184</v>
      </c>
      <c r="F686" s="750"/>
      <c r="G686" s="596"/>
      <c r="H686" s="165" t="s">
        <v>12</v>
      </c>
      <c r="I686" s="610"/>
      <c r="J686" s="610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597"/>
      <c r="R686" s="597"/>
      <c r="S686" s="597"/>
      <c r="T686" s="597"/>
      <c r="U686" s="597"/>
      <c r="V686" s="597"/>
      <c r="W686" s="597"/>
      <c r="X686" s="597"/>
      <c r="Y686" s="597"/>
      <c r="Z686" s="597"/>
    </row>
    <row r="687" spans="1:26" ht="18.75" hidden="1">
      <c r="A687" s="592"/>
      <c r="B687" s="600"/>
      <c r="C687" s="750"/>
      <c r="D687" s="711"/>
      <c r="E687" s="750" t="s">
        <v>185</v>
      </c>
      <c r="F687" s="750"/>
      <c r="G687" s="596"/>
      <c r="H687" s="165" t="s">
        <v>12</v>
      </c>
      <c r="I687" s="610"/>
      <c r="J687" s="610"/>
      <c r="K687" s="93"/>
      <c r="L687" s="93">
        <f t="shared" ca="1" si="285"/>
        <v>0</v>
      </c>
      <c r="M687" s="93">
        <f t="shared" si="285"/>
        <v>0</v>
      </c>
      <c r="N687" s="93">
        <f t="shared" si="285"/>
        <v>0</v>
      </c>
      <c r="O687" s="93">
        <f t="shared" ca="1" si="283"/>
        <v>0</v>
      </c>
      <c r="P687" s="93">
        <f t="shared" si="284"/>
        <v>0</v>
      </c>
      <c r="Q687" s="597"/>
      <c r="R687" s="597"/>
      <c r="S687" s="597"/>
      <c r="T687" s="597"/>
      <c r="U687" s="597"/>
      <c r="V687" s="597"/>
      <c r="W687" s="597"/>
      <c r="X687" s="597"/>
      <c r="Y687" s="597"/>
      <c r="Z687" s="597"/>
    </row>
    <row r="688" spans="1:26" ht="18.75" hidden="1">
      <c r="A688" s="590"/>
      <c r="B688" s="568"/>
      <c r="C688" s="754"/>
      <c r="D688" s="599" t="s">
        <v>20</v>
      </c>
      <c r="E688" s="754"/>
      <c r="F688" s="754"/>
      <c r="G688" s="189"/>
      <c r="H688" s="161" t="s">
        <v>12</v>
      </c>
      <c r="I688" s="184"/>
      <c r="J688" s="184"/>
      <c r="K688" s="163"/>
      <c r="L688" s="496">
        <f t="shared" ref="L688:N688" ca="1" si="286">L689+L690</f>
        <v>0</v>
      </c>
      <c r="M688" s="496">
        <f t="shared" si="286"/>
        <v>0</v>
      </c>
      <c r="N688" s="496">
        <f t="shared" si="286"/>
        <v>0</v>
      </c>
      <c r="O688" s="496">
        <f t="shared" ca="1" si="283"/>
        <v>0</v>
      </c>
      <c r="P688" s="496">
        <f t="shared" si="284"/>
        <v>0</v>
      </c>
      <c r="Q688" s="571"/>
      <c r="R688" s="571"/>
      <c r="S688" s="571"/>
      <c r="T688" s="571"/>
      <c r="U688" s="571"/>
      <c r="V688" s="571"/>
      <c r="W688" s="571"/>
      <c r="X688" s="571"/>
      <c r="Y688" s="571"/>
      <c r="Z688" s="571"/>
    </row>
    <row r="689" spans="1:26" ht="18.75" hidden="1">
      <c r="A689" s="592"/>
      <c r="B689" s="600"/>
      <c r="C689" s="750"/>
      <c r="D689" s="711"/>
      <c r="E689" s="750" t="s">
        <v>184</v>
      </c>
      <c r="F689" s="750"/>
      <c r="G689" s="596"/>
      <c r="H689" s="165" t="s">
        <v>12</v>
      </c>
      <c r="I689" s="610"/>
      <c r="J689" s="610"/>
      <c r="K689" s="93"/>
      <c r="L689" s="93">
        <v>0</v>
      </c>
      <c r="M689" s="93">
        <v>0</v>
      </c>
      <c r="N689" s="93">
        <v>0</v>
      </c>
      <c r="O689" s="93"/>
      <c r="P689" s="93"/>
      <c r="Q689" s="597"/>
      <c r="R689" s="597"/>
      <c r="S689" s="597"/>
      <c r="T689" s="597"/>
      <c r="U689" s="597"/>
      <c r="V689" s="597"/>
      <c r="W689" s="597"/>
      <c r="X689" s="597"/>
      <c r="Y689" s="597"/>
      <c r="Z689" s="597"/>
    </row>
    <row r="690" spans="1:26" ht="18.75" hidden="1">
      <c r="A690" s="592"/>
      <c r="B690" s="600"/>
      <c r="C690" s="750"/>
      <c r="D690" s="711"/>
      <c r="E690" s="750" t="s">
        <v>185</v>
      </c>
      <c r="F690" s="750"/>
      <c r="G690" s="596"/>
      <c r="H690" s="165" t="s">
        <v>12</v>
      </c>
      <c r="I690" s="610"/>
      <c r="J690" s="610"/>
      <c r="K690" s="93"/>
      <c r="L690" s="93">
        <f ca="1">IFERROR(__xludf.DUMMYFUNCTION("IMPORTRANGE(""https://docs.google.com/spreadsheets/d/1QqKyyYR6Q21VydFLVH3TRQUabQu_ym0Zz7PgGX0-kHA/edit?usp=sharing"",""แผน!HW56"")"),0)</f>
        <v>0</v>
      </c>
      <c r="M690" s="93">
        <v>0</v>
      </c>
      <c r="N690" s="93">
        <f>N691+N692+N693+N694</f>
        <v>0</v>
      </c>
      <c r="O690" s="93">
        <f ca="1">IF(L690&gt;0,N690*100/L690,0)</f>
        <v>0</v>
      </c>
      <c r="P690" s="93">
        <f>IF(M690&gt;0,N690*100/M690,0)</f>
        <v>0</v>
      </c>
      <c r="Q690" s="597"/>
      <c r="R690" s="597"/>
      <c r="S690" s="597"/>
      <c r="T690" s="597"/>
      <c r="U690" s="597"/>
      <c r="V690" s="597"/>
      <c r="W690" s="597"/>
      <c r="X690" s="597"/>
      <c r="Y690" s="597"/>
      <c r="Z690" s="597"/>
    </row>
    <row r="691" spans="1:26" ht="18.75" hidden="1">
      <c r="A691" s="567"/>
      <c r="B691" s="568"/>
      <c r="C691" s="754"/>
      <c r="D691" s="754"/>
      <c r="E691" s="754"/>
      <c r="F691" s="754" t="s">
        <v>186</v>
      </c>
      <c r="G691" s="189"/>
      <c r="H691" s="161" t="s">
        <v>12</v>
      </c>
      <c r="I691" s="269"/>
      <c r="J691" s="269"/>
      <c r="K691" s="496"/>
      <c r="L691" s="496"/>
      <c r="M691" s="496"/>
      <c r="N691" s="817">
        <v>0</v>
      </c>
      <c r="O691" s="496"/>
      <c r="P691" s="496"/>
      <c r="Q691" s="571"/>
      <c r="R691" s="571"/>
      <c r="S691" s="571"/>
      <c r="T691" s="571"/>
      <c r="U691" s="571"/>
      <c r="V691" s="571"/>
      <c r="W691" s="571"/>
      <c r="X691" s="571"/>
      <c r="Y691" s="571"/>
      <c r="Z691" s="571"/>
    </row>
    <row r="692" spans="1:26" ht="18.75" hidden="1">
      <c r="A692" s="567"/>
      <c r="B692" s="568"/>
      <c r="C692" s="754"/>
      <c r="D692" s="754"/>
      <c r="E692" s="754"/>
      <c r="F692" s="754" t="s">
        <v>187</v>
      </c>
      <c r="G692" s="189"/>
      <c r="H692" s="161" t="s">
        <v>12</v>
      </c>
      <c r="I692" s="269"/>
      <c r="J692" s="269"/>
      <c r="K692" s="496"/>
      <c r="L692" s="496"/>
      <c r="M692" s="496"/>
      <c r="N692" s="817">
        <v>0</v>
      </c>
      <c r="O692" s="496"/>
      <c r="P692" s="496"/>
      <c r="Q692" s="571"/>
      <c r="R692" s="571"/>
      <c r="S692" s="571"/>
      <c r="T692" s="571"/>
      <c r="U692" s="571"/>
      <c r="V692" s="571"/>
      <c r="W692" s="571"/>
      <c r="X692" s="571"/>
      <c r="Y692" s="571"/>
      <c r="Z692" s="571"/>
    </row>
    <row r="693" spans="1:26" ht="18.75" hidden="1">
      <c r="A693" s="567"/>
      <c r="B693" s="568"/>
      <c r="C693" s="754"/>
      <c r="D693" s="754"/>
      <c r="E693" s="754"/>
      <c r="F693" s="754" t="s">
        <v>188</v>
      </c>
      <c r="G693" s="189"/>
      <c r="H693" s="161" t="s">
        <v>12</v>
      </c>
      <c r="I693" s="269"/>
      <c r="J693" s="269"/>
      <c r="K693" s="496"/>
      <c r="L693" s="496"/>
      <c r="M693" s="496"/>
      <c r="N693" s="817">
        <v>0</v>
      </c>
      <c r="O693" s="496"/>
      <c r="P693" s="496"/>
      <c r="Q693" s="571"/>
      <c r="R693" s="571"/>
      <c r="S693" s="571"/>
      <c r="T693" s="571"/>
      <c r="U693" s="571"/>
      <c r="V693" s="571"/>
      <c r="W693" s="571"/>
      <c r="X693" s="571"/>
      <c r="Y693" s="571"/>
      <c r="Z693" s="571"/>
    </row>
    <row r="694" spans="1:26" ht="18.75" hidden="1">
      <c r="A694" s="567"/>
      <c r="B694" s="568"/>
      <c r="C694" s="754"/>
      <c r="D694" s="754"/>
      <c r="E694" s="754"/>
      <c r="F694" s="754" t="s">
        <v>189</v>
      </c>
      <c r="G694" s="189"/>
      <c r="H694" s="161" t="s">
        <v>12</v>
      </c>
      <c r="I694" s="269"/>
      <c r="J694" s="269"/>
      <c r="K694" s="496"/>
      <c r="L694" s="496"/>
      <c r="M694" s="496"/>
      <c r="N694" s="817">
        <v>0</v>
      </c>
      <c r="O694" s="496"/>
      <c r="P694" s="496"/>
      <c r="Q694" s="571"/>
      <c r="R694" s="571"/>
      <c r="S694" s="571"/>
      <c r="T694" s="571"/>
      <c r="U694" s="571"/>
      <c r="V694" s="571"/>
      <c r="W694" s="571"/>
      <c r="X694" s="571"/>
      <c r="Y694" s="571"/>
      <c r="Z694" s="571"/>
    </row>
    <row r="695" spans="1:26" ht="18.75" hidden="1">
      <c r="A695" s="590"/>
      <c r="B695" s="568"/>
      <c r="C695" s="754"/>
      <c r="D695" s="599" t="s">
        <v>21</v>
      </c>
      <c r="E695" s="754"/>
      <c r="F695" s="754"/>
      <c r="G695" s="189"/>
      <c r="H695" s="168" t="s">
        <v>12</v>
      </c>
      <c r="I695" s="184"/>
      <c r="J695" s="184"/>
      <c r="K695" s="163"/>
      <c r="L695" s="496">
        <f t="shared" ref="L695:N695" si="287">L696+L697</f>
        <v>0</v>
      </c>
      <c r="M695" s="496">
        <f t="shared" si="287"/>
        <v>0</v>
      </c>
      <c r="N695" s="496">
        <f t="shared" si="287"/>
        <v>0</v>
      </c>
      <c r="O695" s="496">
        <f t="shared" ref="O695:O697" si="288">IF(L695&gt;0,N695*100/L695,0)</f>
        <v>0</v>
      </c>
      <c r="P695" s="496">
        <f t="shared" ref="P695:P697" si="289">IF(M695&gt;0,N695*100/M695,0)</f>
        <v>0</v>
      </c>
      <c r="Q695" s="571"/>
      <c r="R695" s="571"/>
      <c r="S695" s="571"/>
      <c r="T695" s="571"/>
      <c r="U695" s="571"/>
      <c r="V695" s="571"/>
      <c r="W695" s="571"/>
      <c r="X695" s="571"/>
      <c r="Y695" s="571"/>
      <c r="Z695" s="571"/>
    </row>
    <row r="696" spans="1:26" ht="18.75" hidden="1">
      <c r="A696" s="592"/>
      <c r="B696" s="600"/>
      <c r="C696" s="750"/>
      <c r="D696" s="750"/>
      <c r="E696" s="750" t="s">
        <v>18</v>
      </c>
      <c r="F696" s="750"/>
      <c r="G696" s="596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597"/>
      <c r="R696" s="597"/>
      <c r="S696" s="597"/>
      <c r="T696" s="597"/>
      <c r="U696" s="597"/>
      <c r="V696" s="597"/>
      <c r="W696" s="597"/>
      <c r="X696" s="597"/>
      <c r="Y696" s="597"/>
      <c r="Z696" s="597"/>
    </row>
    <row r="697" spans="1:26" ht="18.75" hidden="1">
      <c r="A697" s="592"/>
      <c r="B697" s="600"/>
      <c r="C697" s="750"/>
      <c r="D697" s="750"/>
      <c r="E697" s="750" t="s">
        <v>19</v>
      </c>
      <c r="F697" s="750"/>
      <c r="G697" s="596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597"/>
      <c r="R697" s="597"/>
      <c r="S697" s="597"/>
      <c r="T697" s="597"/>
      <c r="U697" s="597"/>
      <c r="V697" s="597"/>
      <c r="W697" s="597"/>
      <c r="X697" s="597"/>
      <c r="Y697" s="597"/>
      <c r="Z697" s="597"/>
    </row>
    <row r="698" spans="1:26" ht="19.5" hidden="1">
      <c r="A698" s="601"/>
      <c r="B698" s="611"/>
      <c r="C698" s="754" t="s">
        <v>16</v>
      </c>
      <c r="D698" s="840" t="s">
        <v>38</v>
      </c>
      <c r="E698" s="752"/>
      <c r="F698" s="752"/>
      <c r="G698" s="606"/>
      <c r="H698" s="753"/>
      <c r="I698" s="184"/>
      <c r="J698" s="184"/>
      <c r="K698" s="163"/>
      <c r="L698" s="163"/>
      <c r="M698" s="163"/>
      <c r="N698" s="163"/>
      <c r="O698" s="163"/>
      <c r="P698" s="163"/>
      <c r="Q698" s="571"/>
      <c r="R698" s="571"/>
      <c r="S698" s="571"/>
      <c r="T698" s="571"/>
      <c r="U698" s="571"/>
      <c r="V698" s="571"/>
      <c r="W698" s="571"/>
      <c r="X698" s="571"/>
      <c r="Y698" s="571"/>
      <c r="Z698" s="571"/>
    </row>
    <row r="699" spans="1:26" ht="18.75" hidden="1">
      <c r="A699" s="735"/>
      <c r="B699" s="754"/>
      <c r="C699" s="754"/>
      <c r="D699" s="754" t="s">
        <v>294</v>
      </c>
      <c r="E699" s="754"/>
      <c r="F699" s="754"/>
      <c r="G699" s="189"/>
      <c r="H699" s="755" t="s">
        <v>46</v>
      </c>
      <c r="I699" s="756">
        <f ca="1">IFERROR(__xludf.DUMMYFUNCTION("IMPORTRANGE(""https://docs.google.com/spreadsheets/d/1QqKyyYR6Q21VydFLVH3TRQUabQu_ym0Zz7PgGX0-kHA/edit?usp=sharing"",""แผน!IC56"")"),0)</f>
        <v>0</v>
      </c>
      <c r="J699" s="269">
        <f ca="1">IFERROR(__xludf.DUMMYFUNCTION("IMPORTRANGE(""https://docs.google.com/spreadsheets/d/1XWAQStnk-4SwqDmLtmXYiTMKHgktTP8We1SCoS47DrQ/edit?usp=sharing"",""จัดที่ดิน!BB56"")"),0)</f>
        <v>0</v>
      </c>
      <c r="K699" s="496">
        <f t="shared" ref="K699:K701" ca="1" si="290">IF(I699&gt;0,J699*100/I699,0)</f>
        <v>0</v>
      </c>
      <c r="L699" s="496"/>
      <c r="M699" s="189"/>
      <c r="N699" s="757"/>
      <c r="O699" s="496"/>
      <c r="P699" s="496"/>
      <c r="Q699" s="571"/>
      <c r="R699" s="571"/>
      <c r="S699" s="571"/>
      <c r="T699" s="571"/>
      <c r="U699" s="571"/>
      <c r="V699" s="571"/>
      <c r="W699" s="571"/>
      <c r="X699" s="571"/>
      <c r="Y699" s="571"/>
      <c r="Z699" s="571"/>
    </row>
    <row r="700" spans="1:26" ht="18.75" hidden="1">
      <c r="A700" s="735"/>
      <c r="B700" s="754"/>
      <c r="C700" s="754"/>
      <c r="D700" s="754" t="s">
        <v>295</v>
      </c>
      <c r="E700" s="754"/>
      <c r="F700" s="754"/>
      <c r="G700" s="189"/>
      <c r="H700" s="755" t="s">
        <v>35</v>
      </c>
      <c r="I700" s="756">
        <f ca="1">IFERROR(__xludf.DUMMYFUNCTION("IMPORTRANGE(""https://docs.google.com/spreadsheets/d/1QqKyyYR6Q21VydFLVH3TRQUabQu_ym0Zz7PgGX0-kHA/edit?usp=sharing"",""แผน!ID56"")"),0)</f>
        <v>0</v>
      </c>
      <c r="J700" s="269">
        <f ca="1">IFERROR(__xludf.DUMMYFUNCTION("IMPORTRANGE(""https://docs.google.com/spreadsheets/d/1XWAQStnk-4SwqDmLtmXYiTMKHgktTP8We1SCoS47DrQ/edit?usp=sharing"",""จัดที่ดิน!BD56"")"),0)</f>
        <v>0</v>
      </c>
      <c r="K700" s="496">
        <f t="shared" ca="1" si="290"/>
        <v>0</v>
      </c>
      <c r="L700" s="496"/>
      <c r="M700" s="189"/>
      <c r="N700" s="757"/>
      <c r="O700" s="496"/>
      <c r="P700" s="496"/>
      <c r="Q700" s="571"/>
      <c r="R700" s="571"/>
      <c r="S700" s="571"/>
      <c r="T700" s="571"/>
      <c r="U700" s="571"/>
      <c r="V700" s="571"/>
      <c r="W700" s="571"/>
      <c r="X700" s="571"/>
      <c r="Y700" s="571"/>
      <c r="Z700" s="571"/>
    </row>
    <row r="701" spans="1:26" ht="19.5" hidden="1">
      <c r="A701" s="735"/>
      <c r="B701" s="754"/>
      <c r="C701" s="754"/>
      <c r="D701" s="754" t="s">
        <v>296</v>
      </c>
      <c r="E701" s="754"/>
      <c r="F701" s="754"/>
      <c r="G701" s="189"/>
      <c r="H701" s="758" t="s">
        <v>46</v>
      </c>
      <c r="I701" s="759">
        <f ca="1">IFERROR(__xludf.DUMMYFUNCTION("IMPORTRANGE(""https://docs.google.com/spreadsheets/d/1QqKyyYR6Q21VydFLVH3TRQUabQu_ym0Zz7PgGX0-kHA/edit?usp=sharing"",""แผน!IE56"")"),0)</f>
        <v>0</v>
      </c>
      <c r="J701" s="674">
        <f>J704+J707</f>
        <v>0</v>
      </c>
      <c r="K701" s="195">
        <f t="shared" ca="1" si="290"/>
        <v>0</v>
      </c>
      <c r="L701" s="496"/>
      <c r="M701" s="189"/>
      <c r="N701" s="757"/>
      <c r="O701" s="496"/>
      <c r="P701" s="496"/>
      <c r="Q701" s="571"/>
      <c r="R701" s="571"/>
      <c r="S701" s="571"/>
      <c r="T701" s="571"/>
      <c r="U701" s="571"/>
      <c r="V701" s="571"/>
      <c r="W701" s="571"/>
      <c r="X701" s="571"/>
      <c r="Y701" s="571"/>
      <c r="Z701" s="571"/>
    </row>
    <row r="702" spans="1:26" ht="18.75" hidden="1">
      <c r="A702" s="735"/>
      <c r="B702" s="754"/>
      <c r="C702" s="754"/>
      <c r="D702" s="754"/>
      <c r="E702" s="754" t="s">
        <v>297</v>
      </c>
      <c r="F702" s="754"/>
      <c r="G702" s="189"/>
      <c r="H702" s="755" t="s">
        <v>35</v>
      </c>
      <c r="I702" s="756"/>
      <c r="J702" s="214">
        <v>0</v>
      </c>
      <c r="K702" s="496"/>
      <c r="L702" s="496"/>
      <c r="M702" s="189"/>
      <c r="N702" s="757"/>
      <c r="O702" s="496"/>
      <c r="P702" s="496"/>
      <c r="Q702" s="571"/>
      <c r="R702" s="571"/>
      <c r="S702" s="571"/>
      <c r="T702" s="571"/>
      <c r="U702" s="571"/>
      <c r="V702" s="571"/>
      <c r="W702" s="571"/>
      <c r="X702" s="571"/>
      <c r="Y702" s="571"/>
      <c r="Z702" s="571"/>
    </row>
    <row r="703" spans="1:26" ht="18.75" hidden="1">
      <c r="A703" s="735"/>
      <c r="B703" s="754"/>
      <c r="C703" s="754"/>
      <c r="D703" s="754"/>
      <c r="E703" s="754"/>
      <c r="F703" s="754"/>
      <c r="G703" s="189"/>
      <c r="H703" s="755" t="s">
        <v>34</v>
      </c>
      <c r="I703" s="756"/>
      <c r="J703" s="214">
        <v>0</v>
      </c>
      <c r="K703" s="496"/>
      <c r="L703" s="496"/>
      <c r="M703" s="189"/>
      <c r="N703" s="757"/>
      <c r="O703" s="496"/>
      <c r="P703" s="496"/>
      <c r="Q703" s="571"/>
      <c r="R703" s="571"/>
      <c r="S703" s="571"/>
      <c r="T703" s="571"/>
      <c r="U703" s="571"/>
      <c r="V703" s="571"/>
      <c r="W703" s="571"/>
      <c r="X703" s="571"/>
      <c r="Y703" s="571"/>
      <c r="Z703" s="571"/>
    </row>
    <row r="704" spans="1:26" ht="18.75" hidden="1">
      <c r="A704" s="735"/>
      <c r="B704" s="754"/>
      <c r="C704" s="754"/>
      <c r="D704" s="754"/>
      <c r="E704" s="754"/>
      <c r="F704" s="754"/>
      <c r="G704" s="189"/>
      <c r="H704" s="755" t="s">
        <v>46</v>
      </c>
      <c r="I704" s="756">
        <f ca="1">IFERROR(__xludf.DUMMYFUNCTION("IMPORTRANGE(""https://docs.google.com/spreadsheets/d/1QqKyyYR6Q21VydFLVH3TRQUabQu_ym0Zz7PgGX0-kHA/edit?usp=sharing"",""แผน!IF56"")"),0)</f>
        <v>0</v>
      </c>
      <c r="J704" s="214">
        <v>0</v>
      </c>
      <c r="K704" s="496"/>
      <c r="L704" s="496"/>
      <c r="M704" s="189"/>
      <c r="N704" s="757"/>
      <c r="O704" s="496"/>
      <c r="P704" s="496"/>
      <c r="Q704" s="571"/>
      <c r="R704" s="571"/>
      <c r="S704" s="571"/>
      <c r="T704" s="571"/>
      <c r="U704" s="571"/>
      <c r="V704" s="571"/>
      <c r="W704" s="571"/>
      <c r="X704" s="571"/>
      <c r="Y704" s="571"/>
      <c r="Z704" s="571"/>
    </row>
    <row r="705" spans="1:26" ht="18.75" hidden="1">
      <c r="A705" s="735"/>
      <c r="B705" s="754"/>
      <c r="C705" s="754"/>
      <c r="D705" s="754"/>
      <c r="E705" s="754" t="s">
        <v>298</v>
      </c>
      <c r="F705" s="754"/>
      <c r="G705" s="189"/>
      <c r="H705" s="755" t="s">
        <v>35</v>
      </c>
      <c r="I705" s="756"/>
      <c r="J705" s="214">
        <v>0</v>
      </c>
      <c r="K705" s="496"/>
      <c r="L705" s="496"/>
      <c r="M705" s="189"/>
      <c r="N705" s="757"/>
      <c r="O705" s="496"/>
      <c r="P705" s="496"/>
      <c r="Q705" s="571"/>
      <c r="R705" s="571"/>
      <c r="S705" s="571"/>
      <c r="T705" s="571"/>
      <c r="U705" s="571"/>
      <c r="V705" s="571"/>
      <c r="W705" s="571"/>
      <c r="X705" s="571"/>
      <c r="Y705" s="571"/>
      <c r="Z705" s="571"/>
    </row>
    <row r="706" spans="1:26" ht="18.75" hidden="1">
      <c r="A706" s="735"/>
      <c r="B706" s="754"/>
      <c r="C706" s="754"/>
      <c r="D706" s="754"/>
      <c r="E706" s="754"/>
      <c r="F706" s="754"/>
      <c r="G706" s="189"/>
      <c r="H706" s="755" t="s">
        <v>34</v>
      </c>
      <c r="I706" s="756"/>
      <c r="J706" s="214">
        <v>0</v>
      </c>
      <c r="K706" s="496"/>
      <c r="L706" s="496"/>
      <c r="M706" s="189"/>
      <c r="N706" s="757"/>
      <c r="O706" s="496"/>
      <c r="P706" s="496"/>
      <c r="Q706" s="571"/>
      <c r="R706" s="571"/>
      <c r="S706" s="571"/>
      <c r="T706" s="571"/>
      <c r="U706" s="571"/>
      <c r="V706" s="571"/>
      <c r="W706" s="571"/>
      <c r="X706" s="571"/>
      <c r="Y706" s="571"/>
      <c r="Z706" s="571"/>
    </row>
    <row r="707" spans="1:26" ht="18.75" hidden="1">
      <c r="A707" s="735"/>
      <c r="B707" s="754"/>
      <c r="C707" s="754"/>
      <c r="D707" s="754"/>
      <c r="E707" s="754"/>
      <c r="F707" s="754"/>
      <c r="G707" s="189"/>
      <c r="H707" s="755" t="s">
        <v>46</v>
      </c>
      <c r="I707" s="756">
        <f ca="1">IFERROR(__xludf.DUMMYFUNCTION("IMPORTRANGE(""https://docs.google.com/spreadsheets/d/1QqKyyYR6Q21VydFLVH3TRQUabQu_ym0Zz7PgGX0-kHA/edit?usp=sharing"",""แผน!IG56"")"),0)</f>
        <v>0</v>
      </c>
      <c r="J707" s="214">
        <v>0</v>
      </c>
      <c r="K707" s="496"/>
      <c r="L707" s="496"/>
      <c r="M707" s="189"/>
      <c r="N707" s="757"/>
      <c r="O707" s="496"/>
      <c r="P707" s="496"/>
      <c r="Q707" s="571"/>
      <c r="R707" s="571"/>
      <c r="S707" s="571"/>
      <c r="T707" s="571"/>
      <c r="U707" s="571"/>
      <c r="V707" s="571"/>
      <c r="W707" s="571"/>
      <c r="X707" s="571"/>
      <c r="Y707" s="571"/>
      <c r="Z707" s="571"/>
    </row>
    <row r="708" spans="1:26" ht="19.5" hidden="1">
      <c r="A708" s="735"/>
      <c r="B708" s="754"/>
      <c r="C708" s="754"/>
      <c r="D708" s="760" t="s">
        <v>299</v>
      </c>
      <c r="E708" s="754"/>
      <c r="F708" s="754"/>
      <c r="G708" s="189"/>
      <c r="H708" s="758" t="s">
        <v>46</v>
      </c>
      <c r="I708" s="759">
        <f ca="1">IFERROR(__xludf.DUMMYFUNCTION("IMPORTRANGE(""https://docs.google.com/spreadsheets/d/1QqKyyYR6Q21VydFLVH3TRQUabQu_ym0Zz7PgGX0-kHA/edit?usp=sharing"",""แผน!IH56"")"),0)</f>
        <v>0</v>
      </c>
      <c r="J708" s="674">
        <f>J714+J717</f>
        <v>0</v>
      </c>
      <c r="K708" s="195">
        <f ca="1">IF(I708&gt;0,J708*100/I708,0)</f>
        <v>0</v>
      </c>
      <c r="L708" s="496"/>
      <c r="M708" s="189"/>
      <c r="N708" s="757"/>
      <c r="O708" s="496"/>
      <c r="P708" s="496"/>
      <c r="Q708" s="571"/>
      <c r="R708" s="571"/>
      <c r="S708" s="571"/>
      <c r="T708" s="571"/>
      <c r="U708" s="571"/>
      <c r="V708" s="571"/>
      <c r="W708" s="571"/>
      <c r="X708" s="571"/>
      <c r="Y708" s="571"/>
      <c r="Z708" s="571"/>
    </row>
    <row r="709" spans="1:26" ht="18.75" hidden="1">
      <c r="A709" s="735"/>
      <c r="B709" s="754"/>
      <c r="C709" s="754"/>
      <c r="D709" s="754"/>
      <c r="E709" s="754" t="s">
        <v>300</v>
      </c>
      <c r="F709" s="754"/>
      <c r="G709" s="189"/>
      <c r="H709" s="755" t="s">
        <v>34</v>
      </c>
      <c r="I709" s="756"/>
      <c r="J709" s="214">
        <v>0</v>
      </c>
      <c r="K709" s="496"/>
      <c r="L709" s="757"/>
      <c r="M709" s="189"/>
      <c r="N709" s="757"/>
      <c r="O709" s="496"/>
      <c r="P709" s="496"/>
      <c r="Q709" s="571"/>
      <c r="R709" s="571"/>
      <c r="S709" s="571"/>
      <c r="T709" s="571"/>
      <c r="U709" s="571"/>
      <c r="V709" s="571"/>
      <c r="W709" s="571"/>
      <c r="X709" s="571"/>
      <c r="Y709" s="571"/>
      <c r="Z709" s="571"/>
    </row>
    <row r="710" spans="1:26" ht="18.75" hidden="1">
      <c r="A710" s="735"/>
      <c r="B710" s="754"/>
      <c r="C710" s="754"/>
      <c r="D710" s="754"/>
      <c r="E710" s="754"/>
      <c r="F710" s="754"/>
      <c r="G710" s="189"/>
      <c r="H710" s="755" t="s">
        <v>46</v>
      </c>
      <c r="I710" s="756"/>
      <c r="J710" s="214">
        <v>0</v>
      </c>
      <c r="K710" s="496"/>
      <c r="L710" s="757"/>
      <c r="M710" s="189"/>
      <c r="N710" s="757"/>
      <c r="O710" s="496"/>
      <c r="P710" s="496"/>
      <c r="Q710" s="571"/>
      <c r="R710" s="571"/>
      <c r="S710" s="571"/>
      <c r="T710" s="571"/>
      <c r="U710" s="571"/>
      <c r="V710" s="571"/>
      <c r="W710" s="571"/>
      <c r="X710" s="571"/>
      <c r="Y710" s="571"/>
      <c r="Z710" s="571"/>
    </row>
    <row r="711" spans="1:26" ht="18.75" hidden="1">
      <c r="A711" s="735"/>
      <c r="B711" s="754"/>
      <c r="C711" s="754"/>
      <c r="D711" s="754"/>
      <c r="E711" s="754" t="s">
        <v>301</v>
      </c>
      <c r="F711" s="754"/>
      <c r="G711" s="189"/>
      <c r="H711" s="753"/>
      <c r="I711" s="756"/>
      <c r="J711" s="269"/>
      <c r="K711" s="496"/>
      <c r="L711" s="757"/>
      <c r="M711" s="189"/>
      <c r="N711" s="757"/>
      <c r="O711" s="496"/>
      <c r="P711" s="496"/>
      <c r="Q711" s="571"/>
      <c r="R711" s="571"/>
      <c r="S711" s="571"/>
      <c r="T711" s="571"/>
      <c r="U711" s="571"/>
      <c r="V711" s="571"/>
      <c r="W711" s="571"/>
      <c r="X711" s="571"/>
      <c r="Y711" s="571"/>
      <c r="Z711" s="571"/>
    </row>
    <row r="712" spans="1:26" ht="18.75" hidden="1">
      <c r="A712" s="735"/>
      <c r="B712" s="754"/>
      <c r="C712" s="754"/>
      <c r="D712" s="754"/>
      <c r="E712" s="754"/>
      <c r="F712" s="754" t="s">
        <v>302</v>
      </c>
      <c r="G712" s="189"/>
      <c r="H712" s="755" t="s">
        <v>35</v>
      </c>
      <c r="I712" s="756"/>
      <c r="J712" s="214">
        <v>0</v>
      </c>
      <c r="K712" s="496"/>
      <c r="L712" s="757"/>
      <c r="M712" s="189"/>
      <c r="N712" s="757"/>
      <c r="O712" s="496"/>
      <c r="P712" s="496"/>
      <c r="Q712" s="571"/>
      <c r="R712" s="571"/>
      <c r="S712" s="571"/>
      <c r="T712" s="571"/>
      <c r="U712" s="571"/>
      <c r="V712" s="571"/>
      <c r="W712" s="571"/>
      <c r="X712" s="571"/>
      <c r="Y712" s="571"/>
      <c r="Z712" s="571"/>
    </row>
    <row r="713" spans="1:26" ht="18.75" hidden="1">
      <c r="A713" s="735"/>
      <c r="B713" s="754"/>
      <c r="C713" s="754"/>
      <c r="D713" s="754"/>
      <c r="E713" s="754"/>
      <c r="F713" s="754"/>
      <c r="G713" s="189"/>
      <c r="H713" s="755" t="s">
        <v>34</v>
      </c>
      <c r="I713" s="756"/>
      <c r="J713" s="214">
        <v>0</v>
      </c>
      <c r="K713" s="496"/>
      <c r="L713" s="757"/>
      <c r="M713" s="189"/>
      <c r="N713" s="757"/>
      <c r="O713" s="496"/>
      <c r="P713" s="496"/>
      <c r="Q713" s="571"/>
      <c r="R713" s="571"/>
      <c r="S713" s="571"/>
      <c r="T713" s="571"/>
      <c r="U713" s="571"/>
      <c r="V713" s="571"/>
      <c r="W713" s="571"/>
      <c r="X713" s="571"/>
      <c r="Y713" s="571"/>
      <c r="Z713" s="571"/>
    </row>
    <row r="714" spans="1:26" ht="18.75" hidden="1">
      <c r="A714" s="735"/>
      <c r="B714" s="754"/>
      <c r="C714" s="754"/>
      <c r="D714" s="754"/>
      <c r="E714" s="754"/>
      <c r="F714" s="754"/>
      <c r="G714" s="189"/>
      <c r="H714" s="755" t="s">
        <v>46</v>
      </c>
      <c r="I714" s="756"/>
      <c r="J714" s="214">
        <v>0</v>
      </c>
      <c r="K714" s="496"/>
      <c r="L714" s="757"/>
      <c r="M714" s="189"/>
      <c r="N714" s="757"/>
      <c r="O714" s="496"/>
      <c r="P714" s="496"/>
      <c r="Q714" s="571"/>
      <c r="R714" s="571"/>
      <c r="S714" s="571"/>
      <c r="T714" s="571"/>
      <c r="U714" s="571"/>
      <c r="V714" s="571"/>
      <c r="W714" s="571"/>
      <c r="X714" s="571"/>
      <c r="Y714" s="571"/>
      <c r="Z714" s="571"/>
    </row>
    <row r="715" spans="1:26" ht="18.75" hidden="1">
      <c r="A715" s="735"/>
      <c r="B715" s="754"/>
      <c r="C715" s="754"/>
      <c r="D715" s="754"/>
      <c r="E715" s="754"/>
      <c r="F715" s="754" t="s">
        <v>303</v>
      </c>
      <c r="G715" s="189"/>
      <c r="H715" s="755" t="s">
        <v>35</v>
      </c>
      <c r="I715" s="756"/>
      <c r="J715" s="214">
        <v>0</v>
      </c>
      <c r="K715" s="496"/>
      <c r="L715" s="757"/>
      <c r="M715" s="189"/>
      <c r="N715" s="757"/>
      <c r="O715" s="496"/>
      <c r="P715" s="496"/>
      <c r="Q715" s="571"/>
      <c r="R715" s="571"/>
      <c r="S715" s="571"/>
      <c r="T715" s="571"/>
      <c r="U715" s="571"/>
      <c r="V715" s="571"/>
      <c r="W715" s="571"/>
      <c r="X715" s="571"/>
      <c r="Y715" s="571"/>
      <c r="Z715" s="571"/>
    </row>
    <row r="716" spans="1:26" ht="18.75" hidden="1">
      <c r="A716" s="735"/>
      <c r="B716" s="754"/>
      <c r="C716" s="754"/>
      <c r="D716" s="754"/>
      <c r="E716" s="754"/>
      <c r="F716" s="754"/>
      <c r="G716" s="189"/>
      <c r="H716" s="755" t="s">
        <v>34</v>
      </c>
      <c r="I716" s="756"/>
      <c r="J716" s="214">
        <v>0</v>
      </c>
      <c r="K716" s="496"/>
      <c r="L716" s="757"/>
      <c r="M716" s="189"/>
      <c r="N716" s="757"/>
      <c r="O716" s="496"/>
      <c r="P716" s="496"/>
      <c r="Q716" s="571"/>
      <c r="R716" s="571"/>
      <c r="S716" s="571"/>
      <c r="T716" s="571"/>
      <c r="U716" s="571"/>
      <c r="V716" s="571"/>
      <c r="W716" s="571"/>
      <c r="X716" s="571"/>
      <c r="Y716" s="571"/>
      <c r="Z716" s="571"/>
    </row>
    <row r="717" spans="1:26" ht="18.75" hidden="1">
      <c r="A717" s="735"/>
      <c r="B717" s="754"/>
      <c r="C717" s="754"/>
      <c r="D717" s="754"/>
      <c r="E717" s="754"/>
      <c r="F717" s="754"/>
      <c r="G717" s="189"/>
      <c r="H717" s="755" t="s">
        <v>46</v>
      </c>
      <c r="I717" s="756"/>
      <c r="J717" s="214">
        <v>0</v>
      </c>
      <c r="K717" s="496"/>
      <c r="L717" s="757"/>
      <c r="M717" s="189"/>
      <c r="N717" s="757"/>
      <c r="O717" s="496"/>
      <c r="P717" s="496"/>
      <c r="Q717" s="571"/>
      <c r="R717" s="571"/>
      <c r="S717" s="571"/>
      <c r="T717" s="571"/>
      <c r="U717" s="571"/>
      <c r="V717" s="571"/>
      <c r="W717" s="571"/>
      <c r="X717" s="571"/>
      <c r="Y717" s="571"/>
      <c r="Z717" s="571"/>
    </row>
    <row r="718" spans="1:26" ht="18.75" hidden="1">
      <c r="A718" s="735"/>
      <c r="B718" s="754"/>
      <c r="C718" s="754"/>
      <c r="D718" s="754" t="s">
        <v>304</v>
      </c>
      <c r="E718" s="754"/>
      <c r="F718" s="754"/>
      <c r="G718" s="189"/>
      <c r="H718" s="755" t="s">
        <v>35</v>
      </c>
      <c r="I718" s="756"/>
      <c r="J718" s="269">
        <f ca="1">IFERROR(__xludf.DUMMYFUNCTION("IMPORTRANGE(""https://docs.google.com/spreadsheets/d/1XWAQStnk-4SwqDmLtmXYiTMKHgktTP8We1SCoS47DrQ/edit?usp=sharing"",""จัดที่ดิน!BF56"")"),0)</f>
        <v>0</v>
      </c>
      <c r="K718" s="496"/>
      <c r="L718" s="496"/>
      <c r="M718" s="189"/>
      <c r="N718" s="757"/>
      <c r="O718" s="496"/>
      <c r="P718" s="496"/>
      <c r="Q718" s="571"/>
      <c r="R718" s="571"/>
      <c r="S718" s="571"/>
      <c r="T718" s="571"/>
      <c r="U718" s="571"/>
      <c r="V718" s="571"/>
      <c r="W718" s="571"/>
      <c r="X718" s="571"/>
      <c r="Y718" s="571"/>
      <c r="Z718" s="571"/>
    </row>
    <row r="719" spans="1:26" ht="18.75" hidden="1">
      <c r="A719" s="735"/>
      <c r="B719" s="754"/>
      <c r="C719" s="754"/>
      <c r="D719" s="754"/>
      <c r="E719" s="754"/>
      <c r="F719" s="754"/>
      <c r="G719" s="189"/>
      <c r="H719" s="755" t="s">
        <v>34</v>
      </c>
      <c r="I719" s="756"/>
      <c r="J719" s="269">
        <f ca="1">IFERROR(__xludf.DUMMYFUNCTION("IMPORTRANGE(""https://docs.google.com/spreadsheets/d/1XWAQStnk-4SwqDmLtmXYiTMKHgktTP8We1SCoS47DrQ/edit?usp=sharing"",""จัดที่ดิน!BG56"")"),0)</f>
        <v>0</v>
      </c>
      <c r="K719" s="496"/>
      <c r="L719" s="757"/>
      <c r="M719" s="189"/>
      <c r="N719" s="757"/>
      <c r="O719" s="496"/>
      <c r="P719" s="496"/>
      <c r="Q719" s="571"/>
      <c r="R719" s="571"/>
      <c r="S719" s="571"/>
      <c r="T719" s="571"/>
      <c r="U719" s="571"/>
      <c r="V719" s="571"/>
      <c r="W719" s="571"/>
      <c r="X719" s="571"/>
      <c r="Y719" s="571"/>
      <c r="Z719" s="571"/>
    </row>
    <row r="720" spans="1:26" ht="18.75" hidden="1">
      <c r="A720" s="735"/>
      <c r="B720" s="754"/>
      <c r="C720" s="754"/>
      <c r="D720" s="754"/>
      <c r="E720" s="754"/>
      <c r="F720" s="754"/>
      <c r="G720" s="189"/>
      <c r="H720" s="755" t="s">
        <v>46</v>
      </c>
      <c r="I720" s="756">
        <f ca="1">IFERROR(__xludf.DUMMYFUNCTION("IMPORTRANGE(""https://docs.google.com/spreadsheets/d/1QqKyyYR6Q21VydFLVH3TRQUabQu_ym0Zz7PgGX0-kHA/edit?usp=sharing"",""แผน!II56"")"),0)</f>
        <v>0</v>
      </c>
      <c r="J720" s="269">
        <f ca="1">IFERROR(__xludf.DUMMYFUNCTION("IMPORTRANGE(""https://docs.google.com/spreadsheets/d/1XWAQStnk-4SwqDmLtmXYiTMKHgktTP8We1SCoS47DrQ/edit?usp=sharing"",""จัดที่ดิน!BH56"")"),0)</f>
        <v>0</v>
      </c>
      <c r="K720" s="496">
        <f t="shared" ref="K720:K723" ca="1" si="291">IF(I720&gt;0,J720*100/I720,0)</f>
        <v>0</v>
      </c>
      <c r="L720" s="757"/>
      <c r="M720" s="189"/>
      <c r="N720" s="757"/>
      <c r="O720" s="496"/>
      <c r="P720" s="496"/>
      <c r="Q720" s="571"/>
      <c r="R720" s="571"/>
      <c r="S720" s="571"/>
      <c r="T720" s="571"/>
      <c r="U720" s="571"/>
      <c r="V720" s="571"/>
      <c r="W720" s="571"/>
      <c r="X720" s="571"/>
      <c r="Y720" s="571"/>
      <c r="Z720" s="571"/>
    </row>
    <row r="721" spans="1:26" ht="19.5" hidden="1">
      <c r="A721" s="735"/>
      <c r="B721" s="754"/>
      <c r="C721" s="754"/>
      <c r="D721" s="754" t="s">
        <v>305</v>
      </c>
      <c r="E721" s="754"/>
      <c r="F721" s="754"/>
      <c r="G721" s="189"/>
      <c r="H721" s="758" t="s">
        <v>35</v>
      </c>
      <c r="I721" s="759">
        <f ca="1">IFERROR(__xludf.DUMMYFUNCTION("IMPORTRANGE(""https://docs.google.com/spreadsheets/d/1QqKyyYR6Q21VydFLVH3TRQUabQu_ym0Zz7PgGX0-kHA/edit?usp=sharing"",""แผน!IJ56"")"),0)</f>
        <v>0</v>
      </c>
      <c r="J721" s="674">
        <f ca="1">J723+J726</f>
        <v>0</v>
      </c>
      <c r="K721" s="195">
        <f t="shared" ca="1" si="291"/>
        <v>0</v>
      </c>
      <c r="L721" s="757"/>
      <c r="M721" s="189"/>
      <c r="N721" s="757"/>
      <c r="O721" s="496"/>
      <c r="P721" s="496"/>
      <c r="Q721" s="571"/>
      <c r="R721" s="571"/>
      <c r="S721" s="571"/>
      <c r="T721" s="571"/>
      <c r="U721" s="571"/>
      <c r="V721" s="571"/>
      <c r="W721" s="571"/>
      <c r="X721" s="571"/>
      <c r="Y721" s="571"/>
      <c r="Z721" s="571"/>
    </row>
    <row r="722" spans="1:26" ht="19.5" hidden="1">
      <c r="A722" s="735"/>
      <c r="B722" s="754"/>
      <c r="C722" s="754"/>
      <c r="D722" s="754"/>
      <c r="E722" s="754"/>
      <c r="F722" s="754"/>
      <c r="G722" s="189"/>
      <c r="H722" s="758" t="s">
        <v>46</v>
      </c>
      <c r="I722" s="759">
        <f ca="1">IFERROR(__xludf.DUMMYFUNCTION("IMPORTRANGE(""https://docs.google.com/spreadsheets/d/1QqKyyYR6Q21VydFLVH3TRQUabQu_ym0Zz7PgGX0-kHA/edit?usp=sharing"",""แผน!IK56"")"),0)</f>
        <v>0</v>
      </c>
      <c r="J722" s="674">
        <f ca="1">J725+J728</f>
        <v>0</v>
      </c>
      <c r="K722" s="195">
        <f t="shared" ca="1" si="291"/>
        <v>0</v>
      </c>
      <c r="L722" s="496"/>
      <c r="M722" s="189"/>
      <c r="N722" s="757"/>
      <c r="O722" s="496"/>
      <c r="P722" s="496"/>
      <c r="Q722" s="571"/>
      <c r="R722" s="571"/>
      <c r="S722" s="571"/>
      <c r="T722" s="571"/>
      <c r="U722" s="571"/>
      <c r="V722" s="571"/>
      <c r="W722" s="571"/>
      <c r="X722" s="571"/>
      <c r="Y722" s="571"/>
      <c r="Z722" s="571"/>
    </row>
    <row r="723" spans="1:26" ht="18.75" hidden="1">
      <c r="A723" s="735"/>
      <c r="B723" s="754"/>
      <c r="C723" s="754"/>
      <c r="D723" s="754"/>
      <c r="E723" s="754" t="s">
        <v>306</v>
      </c>
      <c r="F723" s="754"/>
      <c r="G723" s="189"/>
      <c r="H723" s="755" t="s">
        <v>35</v>
      </c>
      <c r="I723" s="756">
        <f ca="1">IFERROR(__xludf.DUMMYFUNCTION("IMPORTRANGE(""https://docs.google.com/spreadsheets/d/1QqKyyYR6Q21VydFLVH3TRQUabQu_ym0Zz7PgGX0-kHA/edit?usp=sharing"",""แผน!IL56"")"),0)</f>
        <v>0</v>
      </c>
      <c r="J723" s="269">
        <f ca="1">IFERROR(__xludf.DUMMYFUNCTION("IMPORTRANGE(""https://docs.google.com/spreadsheets/d/1XWAQStnk-4SwqDmLtmXYiTMKHgktTP8We1SCoS47DrQ/edit?usp=sharing"",""จัดที่ดิน!BM56"")"),0)</f>
        <v>0</v>
      </c>
      <c r="K723" s="496">
        <f t="shared" ca="1" si="291"/>
        <v>0</v>
      </c>
      <c r="L723" s="496"/>
      <c r="M723" s="189"/>
      <c r="N723" s="757"/>
      <c r="O723" s="496"/>
      <c r="P723" s="496"/>
      <c r="Q723" s="571"/>
      <c r="R723" s="571"/>
      <c r="S723" s="571"/>
      <c r="T723" s="571"/>
      <c r="U723" s="571"/>
      <c r="V723" s="571"/>
      <c r="W723" s="571"/>
      <c r="X723" s="571"/>
      <c r="Y723" s="571"/>
      <c r="Z723" s="571"/>
    </row>
    <row r="724" spans="1:26" ht="18.75" hidden="1">
      <c r="A724" s="735"/>
      <c r="B724" s="754"/>
      <c r="C724" s="754"/>
      <c r="D724" s="754"/>
      <c r="E724" s="754"/>
      <c r="F724" s="754"/>
      <c r="G724" s="189"/>
      <c r="H724" s="755" t="s">
        <v>34</v>
      </c>
      <c r="I724" s="756"/>
      <c r="J724" s="269">
        <f ca="1">IFERROR(__xludf.DUMMYFUNCTION("IMPORTRANGE(""https://docs.google.com/spreadsheets/d/1XWAQStnk-4SwqDmLtmXYiTMKHgktTP8We1SCoS47DrQ/edit?usp=sharing"",""จัดที่ดิน!BN56"")"),0)</f>
        <v>0</v>
      </c>
      <c r="K724" s="496"/>
      <c r="L724" s="757"/>
      <c r="M724" s="189"/>
      <c r="N724" s="757"/>
      <c r="O724" s="496"/>
      <c r="P724" s="496"/>
      <c r="Q724" s="571"/>
      <c r="R724" s="571"/>
      <c r="S724" s="571"/>
      <c r="T724" s="571"/>
      <c r="U724" s="571"/>
      <c r="V724" s="571"/>
      <c r="W724" s="571"/>
      <c r="X724" s="571"/>
      <c r="Y724" s="571"/>
      <c r="Z724" s="571"/>
    </row>
    <row r="725" spans="1:26" ht="18.75" hidden="1">
      <c r="A725" s="735"/>
      <c r="B725" s="754"/>
      <c r="C725" s="754"/>
      <c r="D725" s="754"/>
      <c r="E725" s="754"/>
      <c r="F725" s="754"/>
      <c r="G725" s="189"/>
      <c r="H725" s="755" t="s">
        <v>46</v>
      </c>
      <c r="I725" s="756">
        <f ca="1">IFERROR(__xludf.DUMMYFUNCTION("IMPORTRANGE(""https://docs.google.com/spreadsheets/d/1QqKyyYR6Q21VydFLVH3TRQUabQu_ym0Zz7PgGX0-kHA/edit?usp=sharing"",""แผน!IM56"")"),0)</f>
        <v>0</v>
      </c>
      <c r="J725" s="269">
        <f ca="1">IFERROR(__xludf.DUMMYFUNCTION("IMPORTRANGE(""https://docs.google.com/spreadsheets/d/1XWAQStnk-4SwqDmLtmXYiTMKHgktTP8We1SCoS47DrQ/edit?usp=sharing"",""จัดที่ดิน!BO56"")"),0)</f>
        <v>0</v>
      </c>
      <c r="K725" s="496">
        <f t="shared" ref="K725:K726" ca="1" si="292">IF(I725&gt;0,J725*100/I725,0)</f>
        <v>0</v>
      </c>
      <c r="L725" s="757"/>
      <c r="M725" s="189"/>
      <c r="N725" s="757"/>
      <c r="O725" s="496"/>
      <c r="P725" s="496"/>
      <c r="Q725" s="571"/>
      <c r="R725" s="571"/>
      <c r="S725" s="571"/>
      <c r="T725" s="571"/>
      <c r="U725" s="571"/>
      <c r="V725" s="571"/>
      <c r="W725" s="571"/>
      <c r="X725" s="571"/>
      <c r="Y725" s="571"/>
      <c r="Z725" s="571"/>
    </row>
    <row r="726" spans="1:26" ht="18.75" hidden="1">
      <c r="A726" s="735"/>
      <c r="B726" s="754"/>
      <c r="C726" s="754"/>
      <c r="D726" s="754"/>
      <c r="E726" s="754" t="s">
        <v>307</v>
      </c>
      <c r="F726" s="754"/>
      <c r="G726" s="189"/>
      <c r="H726" s="755" t="s">
        <v>35</v>
      </c>
      <c r="I726" s="756">
        <f ca="1">IFERROR(__xludf.DUMMYFUNCTION("IMPORTRANGE(""https://docs.google.com/spreadsheets/d/1QqKyyYR6Q21VydFLVH3TRQUabQu_ym0Zz7PgGX0-kHA/edit?usp=sharing"",""แผน!IN56"")"),0)</f>
        <v>0</v>
      </c>
      <c r="J726" s="269">
        <f ca="1">IFERROR(__xludf.DUMMYFUNCTION("IMPORTRANGE(""https://docs.google.com/spreadsheets/d/1XWAQStnk-4SwqDmLtmXYiTMKHgktTP8We1SCoS47DrQ/edit?usp=sharing"",""จัดที่ดิน!BR56"")"),0)</f>
        <v>0</v>
      </c>
      <c r="K726" s="496">
        <f t="shared" ca="1" si="292"/>
        <v>0</v>
      </c>
      <c r="L726" s="496"/>
      <c r="M726" s="189"/>
      <c r="N726" s="757"/>
      <c r="O726" s="496"/>
      <c r="P726" s="496"/>
      <c r="Q726" s="571"/>
      <c r="R726" s="571"/>
      <c r="S726" s="571"/>
      <c r="T726" s="571"/>
      <c r="U726" s="571"/>
      <c r="V726" s="571"/>
      <c r="W726" s="571"/>
      <c r="X726" s="571"/>
      <c r="Y726" s="571"/>
      <c r="Z726" s="571"/>
    </row>
    <row r="727" spans="1:26" ht="18.75" hidden="1">
      <c r="A727" s="735"/>
      <c r="B727" s="754"/>
      <c r="C727" s="754"/>
      <c r="D727" s="754"/>
      <c r="E727" s="754"/>
      <c r="F727" s="754"/>
      <c r="G727" s="189"/>
      <c r="H727" s="755" t="s">
        <v>34</v>
      </c>
      <c r="I727" s="756"/>
      <c r="J727" s="269">
        <f ca="1">IFERROR(__xludf.DUMMYFUNCTION("IMPORTRANGE(""https://docs.google.com/spreadsheets/d/1XWAQStnk-4SwqDmLtmXYiTMKHgktTP8We1SCoS47DrQ/edit?usp=sharing"",""จัดที่ดิน!BS56"")"),0)</f>
        <v>0</v>
      </c>
      <c r="K727" s="496"/>
      <c r="L727" s="757"/>
      <c r="M727" s="189"/>
      <c r="N727" s="757"/>
      <c r="O727" s="496"/>
      <c r="P727" s="496"/>
      <c r="Q727" s="571"/>
      <c r="R727" s="571"/>
      <c r="S727" s="571"/>
      <c r="T727" s="571"/>
      <c r="U727" s="571"/>
      <c r="V727" s="571"/>
      <c r="W727" s="571"/>
      <c r="X727" s="571"/>
      <c r="Y727" s="571"/>
      <c r="Z727" s="571"/>
    </row>
    <row r="728" spans="1:26" ht="18.75" hidden="1">
      <c r="A728" s="735"/>
      <c r="B728" s="754"/>
      <c r="C728" s="754"/>
      <c r="D728" s="754"/>
      <c r="E728" s="754"/>
      <c r="F728" s="754"/>
      <c r="G728" s="189"/>
      <c r="H728" s="755" t="s">
        <v>46</v>
      </c>
      <c r="I728" s="756">
        <f ca="1">IFERROR(__xludf.DUMMYFUNCTION("IMPORTRANGE(""https://docs.google.com/spreadsheets/d/1QqKyyYR6Q21VydFLVH3TRQUabQu_ym0Zz7PgGX0-kHA/edit?usp=sharing"",""แผน!IO56"")"),0)</f>
        <v>0</v>
      </c>
      <c r="J728" s="269">
        <f ca="1">IFERROR(__xludf.DUMMYFUNCTION("IMPORTRANGE(""https://docs.google.com/spreadsheets/d/1XWAQStnk-4SwqDmLtmXYiTMKHgktTP8We1SCoS47DrQ/edit?usp=sharing"",""จัดที่ดิน!BT56"")"),0)</f>
        <v>0</v>
      </c>
      <c r="K728" s="496">
        <f t="shared" ref="K728:K729" ca="1" si="293">IF(I728&gt;0,J728*100/I728,0)</f>
        <v>0</v>
      </c>
      <c r="L728" s="757"/>
      <c r="M728" s="189"/>
      <c r="N728" s="757"/>
      <c r="O728" s="496"/>
      <c r="P728" s="496"/>
      <c r="Q728" s="571"/>
      <c r="R728" s="571"/>
      <c r="S728" s="571"/>
      <c r="T728" s="571"/>
      <c r="U728" s="571"/>
      <c r="V728" s="571"/>
      <c r="W728" s="571"/>
      <c r="X728" s="571"/>
      <c r="Y728" s="571"/>
      <c r="Z728" s="571"/>
    </row>
    <row r="729" spans="1:26" ht="19.5" hidden="1">
      <c r="A729" s="735"/>
      <c r="B729" s="754"/>
      <c r="C729" s="754"/>
      <c r="D729" s="754" t="s">
        <v>308</v>
      </c>
      <c r="E729" s="754"/>
      <c r="F729" s="754"/>
      <c r="G729" s="189"/>
      <c r="H729" s="758" t="s">
        <v>46</v>
      </c>
      <c r="I729" s="759">
        <f ca="1">IFERROR(__xludf.DUMMYFUNCTION("IMPORTRANGE(""https://docs.google.com/spreadsheets/d/1QqKyyYR6Q21VydFLVH3TRQUabQu_ym0Zz7PgGX0-kHA/edit?usp=sharing"",""แผน!IP56"")"),0)</f>
        <v>0</v>
      </c>
      <c r="J729" s="674">
        <f>J732+J735</f>
        <v>0</v>
      </c>
      <c r="K729" s="195">
        <f t="shared" ca="1" si="293"/>
        <v>0</v>
      </c>
      <c r="L729" s="496"/>
      <c r="M729" s="189"/>
      <c r="N729" s="757"/>
      <c r="O729" s="496"/>
      <c r="P729" s="496"/>
      <c r="Q729" s="571"/>
      <c r="R729" s="571"/>
      <c r="S729" s="571"/>
      <c r="T729" s="571"/>
      <c r="U729" s="571"/>
      <c r="V729" s="571"/>
      <c r="W729" s="571"/>
      <c r="X729" s="571"/>
      <c r="Y729" s="571"/>
      <c r="Z729" s="571"/>
    </row>
    <row r="730" spans="1:26" ht="18.75" hidden="1">
      <c r="A730" s="735"/>
      <c r="B730" s="754"/>
      <c r="C730" s="754"/>
      <c r="D730" s="754"/>
      <c r="E730" s="754" t="s">
        <v>309</v>
      </c>
      <c r="F730" s="754"/>
      <c r="G730" s="189"/>
      <c r="H730" s="755" t="s">
        <v>35</v>
      </c>
      <c r="I730" s="756"/>
      <c r="J730" s="214">
        <v>0</v>
      </c>
      <c r="K730" s="496"/>
      <c r="L730" s="757"/>
      <c r="M730" s="496"/>
      <c r="N730" s="757"/>
      <c r="O730" s="496"/>
      <c r="P730" s="496"/>
      <c r="Q730" s="571"/>
      <c r="R730" s="571"/>
      <c r="S730" s="571"/>
      <c r="T730" s="571"/>
      <c r="U730" s="571"/>
      <c r="V730" s="571"/>
      <c r="W730" s="571"/>
      <c r="X730" s="571"/>
      <c r="Y730" s="571"/>
      <c r="Z730" s="571"/>
    </row>
    <row r="731" spans="1:26" ht="18.75" hidden="1">
      <c r="A731" s="735"/>
      <c r="B731" s="754"/>
      <c r="C731" s="754"/>
      <c r="D731" s="754"/>
      <c r="E731" s="754"/>
      <c r="F731" s="754"/>
      <c r="G731" s="189"/>
      <c r="H731" s="755" t="s">
        <v>34</v>
      </c>
      <c r="I731" s="756"/>
      <c r="J731" s="214">
        <v>0</v>
      </c>
      <c r="K731" s="496"/>
      <c r="L731" s="757"/>
      <c r="M731" s="496"/>
      <c r="N731" s="757"/>
      <c r="O731" s="496"/>
      <c r="P731" s="496"/>
      <c r="Q731" s="571"/>
      <c r="R731" s="571"/>
      <c r="S731" s="571"/>
      <c r="T731" s="571"/>
      <c r="U731" s="571"/>
      <c r="V731" s="571"/>
      <c r="W731" s="571"/>
      <c r="X731" s="571"/>
      <c r="Y731" s="571"/>
      <c r="Z731" s="571"/>
    </row>
    <row r="732" spans="1:26" ht="18.75" hidden="1">
      <c r="A732" s="735"/>
      <c r="B732" s="754"/>
      <c r="C732" s="754"/>
      <c r="D732" s="754"/>
      <c r="E732" s="754"/>
      <c r="F732" s="754"/>
      <c r="G732" s="189"/>
      <c r="H732" s="755" t="s">
        <v>46</v>
      </c>
      <c r="I732" s="756"/>
      <c r="J732" s="214">
        <v>0</v>
      </c>
      <c r="K732" s="496"/>
      <c r="L732" s="757"/>
      <c r="M732" s="496"/>
      <c r="N732" s="757"/>
      <c r="O732" s="496"/>
      <c r="P732" s="496"/>
      <c r="Q732" s="571"/>
      <c r="R732" s="571"/>
      <c r="S732" s="571"/>
      <c r="T732" s="571"/>
      <c r="U732" s="571"/>
      <c r="V732" s="571"/>
      <c r="W732" s="571"/>
      <c r="X732" s="571"/>
      <c r="Y732" s="571"/>
      <c r="Z732" s="571"/>
    </row>
    <row r="733" spans="1:26" ht="18.75" hidden="1">
      <c r="A733" s="735"/>
      <c r="B733" s="754"/>
      <c r="C733" s="754"/>
      <c r="D733" s="754"/>
      <c r="E733" s="754" t="s">
        <v>310</v>
      </c>
      <c r="F733" s="754"/>
      <c r="G733" s="189"/>
      <c r="H733" s="755" t="s">
        <v>35</v>
      </c>
      <c r="I733" s="756"/>
      <c r="J733" s="214">
        <v>0</v>
      </c>
      <c r="K733" s="496"/>
      <c r="L733" s="757"/>
      <c r="M733" s="496"/>
      <c r="N733" s="757"/>
      <c r="O733" s="496"/>
      <c r="P733" s="496"/>
      <c r="Q733" s="571"/>
      <c r="R733" s="571"/>
      <c r="S733" s="571"/>
      <c r="T733" s="571"/>
      <c r="U733" s="571"/>
      <c r="V733" s="571"/>
      <c r="W733" s="571"/>
      <c r="X733" s="571"/>
      <c r="Y733" s="571"/>
      <c r="Z733" s="571"/>
    </row>
    <row r="734" spans="1:26" ht="18.75" hidden="1">
      <c r="A734" s="735"/>
      <c r="B734" s="754"/>
      <c r="C734" s="754"/>
      <c r="D734" s="754"/>
      <c r="E734" s="754"/>
      <c r="F734" s="754"/>
      <c r="G734" s="189"/>
      <c r="H734" s="755" t="s">
        <v>34</v>
      </c>
      <c r="I734" s="756"/>
      <c r="J734" s="214">
        <v>0</v>
      </c>
      <c r="K734" s="496"/>
      <c r="L734" s="757"/>
      <c r="M734" s="496"/>
      <c r="N734" s="757"/>
      <c r="O734" s="496"/>
      <c r="P734" s="496"/>
      <c r="Q734" s="571"/>
      <c r="R734" s="571"/>
      <c r="S734" s="571"/>
      <c r="T734" s="571"/>
      <c r="U734" s="571"/>
      <c r="V734" s="571"/>
      <c r="W734" s="571"/>
      <c r="X734" s="571"/>
      <c r="Y734" s="571"/>
      <c r="Z734" s="571"/>
    </row>
    <row r="735" spans="1:26" ht="19.5" hidden="1">
      <c r="A735" s="761"/>
      <c r="B735" s="762" t="s">
        <v>311</v>
      </c>
      <c r="C735" s="725"/>
      <c r="D735" s="725"/>
      <c r="E735" s="725"/>
      <c r="F735" s="725"/>
      <c r="G735" s="726"/>
      <c r="H735" s="421" t="s">
        <v>46</v>
      </c>
      <c r="I735" s="763"/>
      <c r="J735" s="423">
        <v>0</v>
      </c>
      <c r="K735" s="500"/>
      <c r="L735" s="764"/>
      <c r="M735" s="500"/>
      <c r="N735" s="764"/>
      <c r="O735" s="500"/>
      <c r="P735" s="500"/>
      <c r="Q735" s="571"/>
      <c r="R735" s="571"/>
      <c r="S735" s="571"/>
      <c r="T735" s="571"/>
      <c r="U735" s="571"/>
      <c r="V735" s="571"/>
      <c r="W735" s="571"/>
      <c r="X735" s="571"/>
      <c r="Y735" s="571"/>
      <c r="Z735" s="571"/>
    </row>
    <row r="736" spans="1:26" ht="19.5" hidden="1">
      <c r="A736" s="765">
        <v>9</v>
      </c>
      <c r="B736" s="766" t="s">
        <v>312</v>
      </c>
      <c r="C736" s="767"/>
      <c r="D736" s="767"/>
      <c r="E736" s="767"/>
      <c r="F736" s="767"/>
      <c r="G736" s="768"/>
      <c r="H736" s="769" t="s">
        <v>46</v>
      </c>
      <c r="I736" s="770"/>
      <c r="J736" s="770">
        <f>J751</f>
        <v>0</v>
      </c>
      <c r="K736" s="771">
        <f>IF(I736&gt;0,J736*100/I736,0)</f>
        <v>0</v>
      </c>
      <c r="L736" s="772"/>
      <c r="M736" s="772"/>
      <c r="N736" s="772"/>
      <c r="O736" s="772"/>
      <c r="P736" s="772"/>
      <c r="Q736" s="597"/>
      <c r="R736" s="597"/>
      <c r="S736" s="597"/>
      <c r="T736" s="597"/>
      <c r="U736" s="597"/>
      <c r="V736" s="597"/>
      <c r="W736" s="597"/>
      <c r="X736" s="597"/>
      <c r="Y736" s="597"/>
      <c r="Z736" s="597"/>
    </row>
    <row r="737" spans="1:26" ht="19.5" hidden="1">
      <c r="A737" s="592"/>
      <c r="B737" s="750"/>
      <c r="C737" s="750" t="s">
        <v>16</v>
      </c>
      <c r="D737" s="864" t="s">
        <v>17</v>
      </c>
      <c r="E737" s="857"/>
      <c r="F737" s="857"/>
      <c r="G737" s="596"/>
      <c r="H737" s="639" t="s">
        <v>12</v>
      </c>
      <c r="I737" s="610"/>
      <c r="J737" s="610"/>
      <c r="K737" s="93"/>
      <c r="L737" s="640">
        <f t="shared" ref="L737:N737" si="294">L738+L739</f>
        <v>0</v>
      </c>
      <c r="M737" s="640">
        <f t="shared" si="294"/>
        <v>0</v>
      </c>
      <c r="N737" s="640">
        <f t="shared" si="294"/>
        <v>0</v>
      </c>
      <c r="O737" s="640">
        <f t="shared" ref="O737:O742" si="295">IF(L737&gt;0,N737*100/L737,0)</f>
        <v>0</v>
      </c>
      <c r="P737" s="640">
        <f t="shared" ref="P737:P742" si="296">IF(M737&gt;0,N737*100/M737,0)</f>
        <v>0</v>
      </c>
      <c r="Q737" s="597"/>
      <c r="R737" s="597"/>
      <c r="S737" s="597"/>
      <c r="T737" s="597"/>
      <c r="U737" s="597"/>
      <c r="V737" s="597"/>
      <c r="W737" s="597"/>
      <c r="X737" s="597"/>
      <c r="Y737" s="597"/>
      <c r="Z737" s="597"/>
    </row>
    <row r="738" spans="1:26" ht="18.75" hidden="1">
      <c r="A738" s="592"/>
      <c r="B738" s="750"/>
      <c r="C738" s="750"/>
      <c r="D738" s="711"/>
      <c r="E738" s="750" t="s">
        <v>184</v>
      </c>
      <c r="F738" s="750"/>
      <c r="G738" s="596"/>
      <c r="H738" s="165" t="s">
        <v>12</v>
      </c>
      <c r="I738" s="610"/>
      <c r="J738" s="610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597"/>
      <c r="R738" s="597"/>
      <c r="S738" s="597"/>
      <c r="T738" s="597"/>
      <c r="U738" s="597"/>
      <c r="V738" s="597"/>
      <c r="W738" s="597"/>
      <c r="X738" s="597"/>
      <c r="Y738" s="597"/>
      <c r="Z738" s="597"/>
    </row>
    <row r="739" spans="1:26" ht="18.75" hidden="1">
      <c r="A739" s="592"/>
      <c r="B739" s="600"/>
      <c r="C739" s="750"/>
      <c r="D739" s="711"/>
      <c r="E739" s="750" t="s">
        <v>185</v>
      </c>
      <c r="F739" s="750"/>
      <c r="G739" s="596"/>
      <c r="H739" s="165" t="s">
        <v>12</v>
      </c>
      <c r="I739" s="610"/>
      <c r="J739" s="610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597"/>
      <c r="R739" s="597"/>
      <c r="S739" s="597"/>
      <c r="T739" s="597"/>
      <c r="U739" s="597"/>
      <c r="V739" s="597"/>
      <c r="W739" s="597"/>
      <c r="X739" s="597"/>
      <c r="Y739" s="597"/>
      <c r="Z739" s="597"/>
    </row>
    <row r="740" spans="1:26" ht="19.5" hidden="1">
      <c r="A740" s="592"/>
      <c r="B740" s="600"/>
      <c r="C740" s="750"/>
      <c r="D740" s="638" t="s">
        <v>20</v>
      </c>
      <c r="E740" s="750"/>
      <c r="F740" s="750"/>
      <c r="G740" s="596"/>
      <c r="H740" s="639" t="s">
        <v>12</v>
      </c>
      <c r="I740" s="166"/>
      <c r="J740" s="166"/>
      <c r="K740" s="167"/>
      <c r="L740" s="640">
        <f t="shared" ref="L740:N740" si="298">L741+L742</f>
        <v>0</v>
      </c>
      <c r="M740" s="640">
        <f t="shared" si="298"/>
        <v>0</v>
      </c>
      <c r="N740" s="640">
        <f t="shared" si="298"/>
        <v>0</v>
      </c>
      <c r="O740" s="640">
        <f t="shared" si="295"/>
        <v>0</v>
      </c>
      <c r="P740" s="640">
        <f t="shared" si="296"/>
        <v>0</v>
      </c>
      <c r="Q740" s="597"/>
      <c r="R740" s="597"/>
      <c r="S740" s="597"/>
      <c r="T740" s="597"/>
      <c r="U740" s="597"/>
      <c r="V740" s="597"/>
      <c r="W740" s="597"/>
      <c r="X740" s="597"/>
      <c r="Y740" s="597"/>
      <c r="Z740" s="597"/>
    </row>
    <row r="741" spans="1:26" ht="18.75" hidden="1">
      <c r="A741" s="592"/>
      <c r="B741" s="600"/>
      <c r="C741" s="750"/>
      <c r="D741" s="711"/>
      <c r="E741" s="750" t="s">
        <v>184</v>
      </c>
      <c r="F741" s="750"/>
      <c r="G741" s="596"/>
      <c r="H741" s="165" t="s">
        <v>12</v>
      </c>
      <c r="I741" s="610"/>
      <c r="J741" s="610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597"/>
      <c r="R741" s="597"/>
      <c r="S741" s="597"/>
      <c r="T741" s="597"/>
      <c r="U741" s="597"/>
      <c r="V741" s="597"/>
      <c r="W741" s="597"/>
      <c r="X741" s="597"/>
      <c r="Y741" s="597"/>
      <c r="Z741" s="597"/>
    </row>
    <row r="742" spans="1:26" ht="18.75" hidden="1">
      <c r="A742" s="592"/>
      <c r="B742" s="600"/>
      <c r="C742" s="750"/>
      <c r="D742" s="711"/>
      <c r="E742" s="750" t="s">
        <v>185</v>
      </c>
      <c r="F742" s="750"/>
      <c r="G742" s="596"/>
      <c r="H742" s="165" t="s">
        <v>12</v>
      </c>
      <c r="I742" s="610"/>
      <c r="J742" s="610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597"/>
      <c r="R742" s="597"/>
      <c r="S742" s="597"/>
      <c r="T742" s="597"/>
      <c r="U742" s="597"/>
      <c r="V742" s="597"/>
      <c r="W742" s="597"/>
      <c r="X742" s="597"/>
      <c r="Y742" s="597"/>
      <c r="Z742" s="597"/>
    </row>
    <row r="743" spans="1:26" ht="18.75" hidden="1">
      <c r="A743" s="642"/>
      <c r="B743" s="600"/>
      <c r="C743" s="750"/>
      <c r="D743" s="750"/>
      <c r="E743" s="750"/>
      <c r="F743" s="750" t="s">
        <v>186</v>
      </c>
      <c r="G743" s="596"/>
      <c r="H743" s="165" t="s">
        <v>12</v>
      </c>
      <c r="I743" s="610"/>
      <c r="J743" s="610"/>
      <c r="K743" s="93"/>
      <c r="L743" s="93"/>
      <c r="M743" s="93"/>
      <c r="N743" s="93"/>
      <c r="O743" s="93"/>
      <c r="P743" s="93"/>
      <c r="Q743" s="597"/>
      <c r="R743" s="597"/>
      <c r="S743" s="597"/>
      <c r="T743" s="597"/>
      <c r="U743" s="597"/>
      <c r="V743" s="597"/>
      <c r="W743" s="597"/>
      <c r="X743" s="597"/>
      <c r="Y743" s="597"/>
      <c r="Z743" s="597"/>
    </row>
    <row r="744" spans="1:26" ht="18.75" hidden="1">
      <c r="A744" s="642"/>
      <c r="B744" s="600"/>
      <c r="C744" s="750"/>
      <c r="D744" s="750"/>
      <c r="E744" s="750"/>
      <c r="F744" s="750" t="s">
        <v>187</v>
      </c>
      <c r="G744" s="596"/>
      <c r="H744" s="165" t="s">
        <v>12</v>
      </c>
      <c r="I744" s="610"/>
      <c r="J744" s="610"/>
      <c r="K744" s="93"/>
      <c r="L744" s="93"/>
      <c r="M744" s="93"/>
      <c r="N744" s="93"/>
      <c r="O744" s="93"/>
      <c r="P744" s="93"/>
      <c r="Q744" s="597"/>
      <c r="R744" s="597"/>
      <c r="S744" s="597"/>
      <c r="T744" s="597"/>
      <c r="U744" s="597"/>
      <c r="V744" s="597"/>
      <c r="W744" s="597"/>
      <c r="X744" s="597"/>
      <c r="Y744" s="597"/>
      <c r="Z744" s="597"/>
    </row>
    <row r="745" spans="1:26" ht="18.75" hidden="1">
      <c r="A745" s="642"/>
      <c r="B745" s="600"/>
      <c r="C745" s="750"/>
      <c r="D745" s="750"/>
      <c r="E745" s="750"/>
      <c r="F745" s="750" t="s">
        <v>188</v>
      </c>
      <c r="G745" s="596"/>
      <c r="H745" s="165" t="s">
        <v>12</v>
      </c>
      <c r="I745" s="610"/>
      <c r="J745" s="610"/>
      <c r="K745" s="93"/>
      <c r="L745" s="93"/>
      <c r="M745" s="93"/>
      <c r="N745" s="93"/>
      <c r="O745" s="93"/>
      <c r="P745" s="93"/>
      <c r="Q745" s="597"/>
      <c r="R745" s="597"/>
      <c r="S745" s="597"/>
      <c r="T745" s="597"/>
      <c r="U745" s="597"/>
      <c r="V745" s="597"/>
      <c r="W745" s="597"/>
      <c r="X745" s="597"/>
      <c r="Y745" s="597"/>
      <c r="Z745" s="597"/>
    </row>
    <row r="746" spans="1:26" ht="18.75" hidden="1">
      <c r="A746" s="642"/>
      <c r="B746" s="600"/>
      <c r="C746" s="750"/>
      <c r="D746" s="750"/>
      <c r="E746" s="750"/>
      <c r="F746" s="750" t="s">
        <v>189</v>
      </c>
      <c r="G746" s="596"/>
      <c r="H746" s="165" t="s">
        <v>12</v>
      </c>
      <c r="I746" s="610"/>
      <c r="J746" s="610"/>
      <c r="K746" s="93"/>
      <c r="L746" s="93"/>
      <c r="M746" s="93"/>
      <c r="N746" s="93"/>
      <c r="O746" s="93"/>
      <c r="P746" s="93"/>
      <c r="Q746" s="597"/>
      <c r="R746" s="597"/>
      <c r="S746" s="597"/>
      <c r="T746" s="597"/>
      <c r="U746" s="597"/>
      <c r="V746" s="597"/>
      <c r="W746" s="597"/>
      <c r="X746" s="597"/>
      <c r="Y746" s="597"/>
      <c r="Z746" s="597"/>
    </row>
    <row r="747" spans="1:26" ht="19.5" hidden="1">
      <c r="A747" s="592"/>
      <c r="B747" s="600"/>
      <c r="C747" s="750"/>
      <c r="D747" s="638" t="s">
        <v>21</v>
      </c>
      <c r="E747" s="750"/>
      <c r="F747" s="750"/>
      <c r="G747" s="596"/>
      <c r="H747" s="774" t="s">
        <v>12</v>
      </c>
      <c r="I747" s="166"/>
      <c r="J747" s="166"/>
      <c r="K747" s="167"/>
      <c r="L747" s="640">
        <f t="shared" ref="L747:N747" si="299">L748+L749</f>
        <v>0</v>
      </c>
      <c r="M747" s="640">
        <f t="shared" si="299"/>
        <v>0</v>
      </c>
      <c r="N747" s="640">
        <f t="shared" si="299"/>
        <v>0</v>
      </c>
      <c r="O747" s="640">
        <f t="shared" ref="O747:O749" si="300">IF(L747&gt;0,N747*100/L747,0)</f>
        <v>0</v>
      </c>
      <c r="P747" s="640">
        <f t="shared" ref="P747:P749" si="301">IF(M747&gt;0,N747*100/M747,0)</f>
        <v>0</v>
      </c>
      <c r="Q747" s="597"/>
      <c r="R747" s="597"/>
      <c r="S747" s="597"/>
      <c r="T747" s="597"/>
      <c r="U747" s="597"/>
      <c r="V747" s="597"/>
      <c r="W747" s="597"/>
      <c r="X747" s="597"/>
      <c r="Y747" s="597"/>
      <c r="Z747" s="597"/>
    </row>
    <row r="748" spans="1:26" ht="18.75" hidden="1">
      <c r="A748" s="592"/>
      <c r="B748" s="600"/>
      <c r="C748" s="750"/>
      <c r="D748" s="750"/>
      <c r="E748" s="750" t="s">
        <v>18</v>
      </c>
      <c r="F748" s="750"/>
      <c r="G748" s="596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597"/>
      <c r="R748" s="597"/>
      <c r="S748" s="597"/>
      <c r="T748" s="597"/>
      <c r="U748" s="597"/>
      <c r="V748" s="597"/>
      <c r="W748" s="597"/>
      <c r="X748" s="597"/>
      <c r="Y748" s="597"/>
      <c r="Z748" s="597"/>
    </row>
    <row r="749" spans="1:26" ht="18.75" hidden="1">
      <c r="A749" s="592"/>
      <c r="B749" s="600"/>
      <c r="C749" s="750"/>
      <c r="D749" s="750"/>
      <c r="E749" s="750" t="s">
        <v>19</v>
      </c>
      <c r="F749" s="750"/>
      <c r="G749" s="596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597"/>
      <c r="R749" s="597"/>
      <c r="S749" s="597"/>
      <c r="T749" s="597"/>
      <c r="U749" s="597"/>
      <c r="V749" s="597"/>
      <c r="W749" s="597"/>
      <c r="X749" s="597"/>
      <c r="Y749" s="597"/>
      <c r="Z749" s="597"/>
    </row>
    <row r="750" spans="1:26" ht="19.5" hidden="1">
      <c r="A750" s="607"/>
      <c r="B750" s="609"/>
      <c r="C750" s="750" t="s">
        <v>16</v>
      </c>
      <c r="D750" s="841" t="s">
        <v>38</v>
      </c>
      <c r="E750" s="644"/>
      <c r="F750" s="644"/>
      <c r="G750" s="645"/>
      <c r="H750" s="365"/>
      <c r="I750" s="166"/>
      <c r="J750" s="166"/>
      <c r="K750" s="167"/>
      <c r="L750" s="167"/>
      <c r="M750" s="167"/>
      <c r="N750" s="167"/>
      <c r="O750" s="167"/>
      <c r="P750" s="167"/>
      <c r="Q750" s="597"/>
      <c r="R750" s="597"/>
      <c r="S750" s="597"/>
      <c r="T750" s="597"/>
      <c r="U750" s="597"/>
      <c r="V750" s="597"/>
      <c r="W750" s="597"/>
      <c r="X750" s="597"/>
      <c r="Y750" s="597"/>
      <c r="Z750" s="597"/>
    </row>
    <row r="751" spans="1:26" ht="18.75" hidden="1">
      <c r="A751" s="642"/>
      <c r="B751" s="600"/>
      <c r="C751" s="750"/>
      <c r="D751" s="750"/>
      <c r="E751" s="750" t="s">
        <v>313</v>
      </c>
      <c r="F751" s="750"/>
      <c r="G751" s="596"/>
      <c r="H751" s="165" t="s">
        <v>46</v>
      </c>
      <c r="I751" s="610"/>
      <c r="J751" s="610"/>
      <c r="K751" s="93"/>
      <c r="L751" s="93"/>
      <c r="M751" s="93"/>
      <c r="N751" s="93"/>
      <c r="O751" s="93"/>
      <c r="P751" s="93"/>
      <c r="Q751" s="597"/>
      <c r="R751" s="597"/>
      <c r="S751" s="597"/>
      <c r="T751" s="597"/>
      <c r="U751" s="597"/>
      <c r="V751" s="597"/>
      <c r="W751" s="597"/>
      <c r="X751" s="597"/>
      <c r="Y751" s="597"/>
      <c r="Z751" s="597"/>
    </row>
    <row r="752" spans="1:26" ht="18.75" hidden="1">
      <c r="A752" s="642"/>
      <c r="B752" s="600"/>
      <c r="C752" s="750"/>
      <c r="D752" s="750"/>
      <c r="E752" s="750"/>
      <c r="F752" s="750"/>
      <c r="G752" s="596"/>
      <c r="H752" s="165" t="s">
        <v>314</v>
      </c>
      <c r="I752" s="610"/>
      <c r="J752" s="610"/>
      <c r="K752" s="93"/>
      <c r="L752" s="93"/>
      <c r="M752" s="93"/>
      <c r="N752" s="93"/>
      <c r="O752" s="93"/>
      <c r="P752" s="93"/>
      <c r="Q752" s="597"/>
      <c r="R752" s="597"/>
      <c r="S752" s="597"/>
      <c r="T752" s="597"/>
      <c r="U752" s="597"/>
      <c r="V752" s="597"/>
      <c r="W752" s="597"/>
      <c r="X752" s="597"/>
      <c r="Y752" s="597"/>
      <c r="Z752" s="597"/>
    </row>
    <row r="753" spans="1:26" ht="19.5" hidden="1">
      <c r="A753" s="776">
        <v>10</v>
      </c>
      <c r="B753" s="777" t="s">
        <v>315</v>
      </c>
      <c r="C753" s="778"/>
      <c r="D753" s="778"/>
      <c r="E753" s="778"/>
      <c r="F753" s="778"/>
      <c r="G753" s="779"/>
      <c r="H753" s="780" t="s">
        <v>46</v>
      </c>
      <c r="I753" s="781"/>
      <c r="J753" s="781">
        <f>J768</f>
        <v>0</v>
      </c>
      <c r="K753" s="782">
        <f>IF(I753&gt;0,J753*100/I753,0)</f>
        <v>0</v>
      </c>
      <c r="L753" s="783"/>
      <c r="M753" s="783"/>
      <c r="N753" s="783"/>
      <c r="O753" s="783"/>
      <c r="P753" s="783"/>
      <c r="Q753" s="597"/>
      <c r="R753" s="597"/>
      <c r="S753" s="597"/>
      <c r="T753" s="597"/>
      <c r="U753" s="597"/>
      <c r="V753" s="597"/>
      <c r="W753" s="597"/>
      <c r="X753" s="597"/>
      <c r="Y753" s="597"/>
      <c r="Z753" s="597"/>
    </row>
    <row r="754" spans="1:26" ht="19.5" hidden="1">
      <c r="A754" s="592"/>
      <c r="B754" s="750"/>
      <c r="C754" s="750" t="s">
        <v>16</v>
      </c>
      <c r="D754" s="864" t="s">
        <v>17</v>
      </c>
      <c r="E754" s="857"/>
      <c r="F754" s="857"/>
      <c r="G754" s="596"/>
      <c r="H754" s="639" t="s">
        <v>12</v>
      </c>
      <c r="I754" s="610"/>
      <c r="J754" s="610"/>
      <c r="K754" s="93"/>
      <c r="L754" s="640">
        <f t="shared" ref="L754:N754" si="302">L755+L756</f>
        <v>0</v>
      </c>
      <c r="M754" s="640">
        <f t="shared" si="302"/>
        <v>0</v>
      </c>
      <c r="N754" s="640">
        <f t="shared" si="302"/>
        <v>0</v>
      </c>
      <c r="O754" s="640">
        <f t="shared" ref="O754:O759" si="303">IF(L754&gt;0,N754*100/L754,0)</f>
        <v>0</v>
      </c>
      <c r="P754" s="640">
        <f t="shared" ref="P754:P759" si="304">IF(M754&gt;0,N754*100/M754,0)</f>
        <v>0</v>
      </c>
      <c r="Q754" s="597"/>
      <c r="R754" s="597"/>
      <c r="S754" s="597"/>
      <c r="T754" s="597"/>
      <c r="U754" s="597"/>
      <c r="V754" s="597"/>
      <c r="W754" s="597"/>
      <c r="X754" s="597"/>
      <c r="Y754" s="597"/>
      <c r="Z754" s="597"/>
    </row>
    <row r="755" spans="1:26" ht="18.75" hidden="1">
      <c r="A755" s="592"/>
      <c r="B755" s="750"/>
      <c r="C755" s="750"/>
      <c r="D755" s="711"/>
      <c r="E755" s="750" t="s">
        <v>184</v>
      </c>
      <c r="F755" s="750"/>
      <c r="G755" s="596"/>
      <c r="H755" s="165" t="s">
        <v>12</v>
      </c>
      <c r="I755" s="610"/>
      <c r="J755" s="610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597"/>
      <c r="R755" s="597"/>
      <c r="S755" s="597"/>
      <c r="T755" s="597"/>
      <c r="U755" s="597"/>
      <c r="V755" s="597"/>
      <c r="W755" s="597"/>
      <c r="X755" s="597"/>
      <c r="Y755" s="597"/>
      <c r="Z755" s="597"/>
    </row>
    <row r="756" spans="1:26" ht="18.75" hidden="1">
      <c r="A756" s="592"/>
      <c r="B756" s="600"/>
      <c r="C756" s="750"/>
      <c r="D756" s="711"/>
      <c r="E756" s="750" t="s">
        <v>185</v>
      </c>
      <c r="F756" s="750"/>
      <c r="G756" s="596"/>
      <c r="H756" s="165" t="s">
        <v>12</v>
      </c>
      <c r="I756" s="610"/>
      <c r="J756" s="610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597"/>
      <c r="R756" s="597"/>
      <c r="S756" s="597"/>
      <c r="T756" s="597"/>
      <c r="U756" s="597"/>
      <c r="V756" s="597"/>
      <c r="W756" s="597"/>
      <c r="X756" s="597"/>
      <c r="Y756" s="597"/>
      <c r="Z756" s="597"/>
    </row>
    <row r="757" spans="1:26" ht="19.5" hidden="1">
      <c r="A757" s="592"/>
      <c r="B757" s="600"/>
      <c r="C757" s="750"/>
      <c r="D757" s="638" t="s">
        <v>20</v>
      </c>
      <c r="E757" s="750"/>
      <c r="F757" s="750"/>
      <c r="G757" s="596"/>
      <c r="H757" s="639" t="s">
        <v>12</v>
      </c>
      <c r="I757" s="166"/>
      <c r="J757" s="166"/>
      <c r="K757" s="167"/>
      <c r="L757" s="640">
        <f t="shared" ref="L757:N757" si="306">L758+L759</f>
        <v>0</v>
      </c>
      <c r="M757" s="640">
        <f t="shared" si="306"/>
        <v>0</v>
      </c>
      <c r="N757" s="640">
        <f t="shared" si="306"/>
        <v>0</v>
      </c>
      <c r="O757" s="640">
        <f t="shared" si="303"/>
        <v>0</v>
      </c>
      <c r="P757" s="640">
        <f t="shared" si="304"/>
        <v>0</v>
      </c>
      <c r="Q757" s="597"/>
      <c r="R757" s="597"/>
      <c r="S757" s="597"/>
      <c r="T757" s="597"/>
      <c r="U757" s="597"/>
      <c r="V757" s="597"/>
      <c r="W757" s="597"/>
      <c r="X757" s="597"/>
      <c r="Y757" s="597"/>
      <c r="Z757" s="597"/>
    </row>
    <row r="758" spans="1:26" ht="18.75" hidden="1">
      <c r="A758" s="592"/>
      <c r="B758" s="600"/>
      <c r="C758" s="750"/>
      <c r="D758" s="711"/>
      <c r="E758" s="750" t="s">
        <v>184</v>
      </c>
      <c r="F758" s="750"/>
      <c r="G758" s="596"/>
      <c r="H758" s="165" t="s">
        <v>12</v>
      </c>
      <c r="I758" s="610"/>
      <c r="J758" s="610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597"/>
      <c r="R758" s="597"/>
      <c r="S758" s="597"/>
      <c r="T758" s="597"/>
      <c r="U758" s="597"/>
      <c r="V758" s="597"/>
      <c r="W758" s="597"/>
      <c r="X758" s="597"/>
      <c r="Y758" s="597"/>
      <c r="Z758" s="597"/>
    </row>
    <row r="759" spans="1:26" ht="18.75" hidden="1">
      <c r="A759" s="592"/>
      <c r="B759" s="600"/>
      <c r="C759" s="750"/>
      <c r="D759" s="711"/>
      <c r="E759" s="750" t="s">
        <v>185</v>
      </c>
      <c r="F759" s="750"/>
      <c r="G759" s="596"/>
      <c r="H759" s="165" t="s">
        <v>12</v>
      </c>
      <c r="I759" s="610"/>
      <c r="J759" s="610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597"/>
      <c r="R759" s="597"/>
      <c r="S759" s="597"/>
      <c r="T759" s="597"/>
      <c r="U759" s="597"/>
      <c r="V759" s="597"/>
      <c r="W759" s="597"/>
      <c r="X759" s="597"/>
      <c r="Y759" s="597"/>
      <c r="Z759" s="597"/>
    </row>
    <row r="760" spans="1:26" ht="18.75" hidden="1">
      <c r="A760" s="642"/>
      <c r="B760" s="600"/>
      <c r="C760" s="750"/>
      <c r="D760" s="750"/>
      <c r="E760" s="750"/>
      <c r="F760" s="750" t="s">
        <v>186</v>
      </c>
      <c r="G760" s="596"/>
      <c r="H760" s="165" t="s">
        <v>12</v>
      </c>
      <c r="I760" s="610"/>
      <c r="J760" s="610"/>
      <c r="K760" s="93"/>
      <c r="L760" s="93"/>
      <c r="M760" s="93"/>
      <c r="N760" s="93"/>
      <c r="O760" s="93"/>
      <c r="P760" s="93"/>
      <c r="Q760" s="597"/>
      <c r="R760" s="597"/>
      <c r="S760" s="597"/>
      <c r="T760" s="597"/>
      <c r="U760" s="597"/>
      <c r="V760" s="597"/>
      <c r="W760" s="597"/>
      <c r="X760" s="597"/>
      <c r="Y760" s="597"/>
      <c r="Z760" s="597"/>
    </row>
    <row r="761" spans="1:26" ht="18.75" hidden="1">
      <c r="A761" s="642"/>
      <c r="B761" s="600"/>
      <c r="C761" s="750"/>
      <c r="D761" s="750"/>
      <c r="E761" s="750"/>
      <c r="F761" s="750" t="s">
        <v>187</v>
      </c>
      <c r="G761" s="596"/>
      <c r="H761" s="165" t="s">
        <v>12</v>
      </c>
      <c r="I761" s="610"/>
      <c r="J761" s="610"/>
      <c r="K761" s="93"/>
      <c r="L761" s="93"/>
      <c r="M761" s="93"/>
      <c r="N761" s="93"/>
      <c r="O761" s="93"/>
      <c r="P761" s="93"/>
      <c r="Q761" s="597"/>
      <c r="R761" s="597"/>
      <c r="S761" s="597"/>
      <c r="T761" s="597"/>
      <c r="U761" s="597"/>
      <c r="V761" s="597"/>
      <c r="W761" s="597"/>
      <c r="X761" s="597"/>
      <c r="Y761" s="597"/>
      <c r="Z761" s="597"/>
    </row>
    <row r="762" spans="1:26" ht="18.75" hidden="1">
      <c r="A762" s="642"/>
      <c r="B762" s="600"/>
      <c r="C762" s="750"/>
      <c r="D762" s="750"/>
      <c r="E762" s="750"/>
      <c r="F762" s="750" t="s">
        <v>188</v>
      </c>
      <c r="G762" s="596"/>
      <c r="H762" s="165" t="s">
        <v>12</v>
      </c>
      <c r="I762" s="610"/>
      <c r="J762" s="610"/>
      <c r="K762" s="93"/>
      <c r="L762" s="93"/>
      <c r="M762" s="93"/>
      <c r="N762" s="93"/>
      <c r="O762" s="93"/>
      <c r="P762" s="93"/>
      <c r="Q762" s="597"/>
      <c r="R762" s="597"/>
      <c r="S762" s="597"/>
      <c r="T762" s="597"/>
      <c r="U762" s="597"/>
      <c r="V762" s="597"/>
      <c r="W762" s="597"/>
      <c r="X762" s="597"/>
      <c r="Y762" s="597"/>
      <c r="Z762" s="597"/>
    </row>
    <row r="763" spans="1:26" ht="18.75" hidden="1">
      <c r="A763" s="642"/>
      <c r="B763" s="600"/>
      <c r="C763" s="750"/>
      <c r="D763" s="750"/>
      <c r="E763" s="750"/>
      <c r="F763" s="750" t="s">
        <v>189</v>
      </c>
      <c r="G763" s="596"/>
      <c r="H763" s="165" t="s">
        <v>12</v>
      </c>
      <c r="I763" s="610"/>
      <c r="J763" s="610"/>
      <c r="K763" s="93"/>
      <c r="L763" s="93"/>
      <c r="M763" s="93"/>
      <c r="N763" s="93"/>
      <c r="O763" s="93"/>
      <c r="P763" s="93"/>
      <c r="Q763" s="597"/>
      <c r="R763" s="597"/>
      <c r="S763" s="597"/>
      <c r="T763" s="597"/>
      <c r="U763" s="597"/>
      <c r="V763" s="597"/>
      <c r="W763" s="597"/>
      <c r="X763" s="597"/>
      <c r="Y763" s="597"/>
      <c r="Z763" s="597"/>
    </row>
    <row r="764" spans="1:26" ht="19.5" hidden="1">
      <c r="A764" s="592"/>
      <c r="B764" s="600"/>
      <c r="C764" s="750"/>
      <c r="D764" s="638" t="s">
        <v>21</v>
      </c>
      <c r="E764" s="750"/>
      <c r="F764" s="750"/>
      <c r="G764" s="596"/>
      <c r="H764" s="774" t="s">
        <v>12</v>
      </c>
      <c r="I764" s="166"/>
      <c r="J764" s="166"/>
      <c r="K764" s="167"/>
      <c r="L764" s="640">
        <f t="shared" ref="L764:N764" si="307">L765+L766</f>
        <v>0</v>
      </c>
      <c r="M764" s="640">
        <f t="shared" si="307"/>
        <v>0</v>
      </c>
      <c r="N764" s="640">
        <f t="shared" si="307"/>
        <v>0</v>
      </c>
      <c r="O764" s="640">
        <f t="shared" ref="O764:O766" si="308">IF(L764&gt;0,N764*100/L764,0)</f>
        <v>0</v>
      </c>
      <c r="P764" s="640">
        <f t="shared" ref="P764:P766" si="309">IF(M764&gt;0,N764*100/M764,0)</f>
        <v>0</v>
      </c>
      <c r="Q764" s="597"/>
      <c r="R764" s="597"/>
      <c r="S764" s="597"/>
      <c r="T764" s="597"/>
      <c r="U764" s="597"/>
      <c r="V764" s="597"/>
      <c r="W764" s="597"/>
      <c r="X764" s="597"/>
      <c r="Y764" s="597"/>
      <c r="Z764" s="597"/>
    </row>
    <row r="765" spans="1:26" ht="18.75" hidden="1">
      <c r="A765" s="592"/>
      <c r="B765" s="600"/>
      <c r="C765" s="750"/>
      <c r="D765" s="750"/>
      <c r="E765" s="750" t="s">
        <v>18</v>
      </c>
      <c r="F765" s="750"/>
      <c r="G765" s="596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597"/>
      <c r="R765" s="597"/>
      <c r="S765" s="597"/>
      <c r="T765" s="597"/>
      <c r="U765" s="597"/>
      <c r="V765" s="597"/>
      <c r="W765" s="597"/>
      <c r="X765" s="597"/>
      <c r="Y765" s="597"/>
      <c r="Z765" s="597"/>
    </row>
    <row r="766" spans="1:26" ht="18.75" hidden="1">
      <c r="A766" s="592"/>
      <c r="B766" s="600"/>
      <c r="C766" s="750"/>
      <c r="D766" s="750"/>
      <c r="E766" s="750" t="s">
        <v>19</v>
      </c>
      <c r="F766" s="750"/>
      <c r="G766" s="596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597"/>
      <c r="R766" s="597"/>
      <c r="S766" s="597"/>
      <c r="T766" s="597"/>
      <c r="U766" s="597"/>
      <c r="V766" s="597"/>
      <c r="W766" s="597"/>
      <c r="X766" s="597"/>
      <c r="Y766" s="597"/>
      <c r="Z766" s="597"/>
    </row>
    <row r="767" spans="1:26" ht="19.5" hidden="1">
      <c r="A767" s="607"/>
      <c r="B767" s="609"/>
      <c r="C767" s="750" t="s">
        <v>16</v>
      </c>
      <c r="D767" s="841" t="s">
        <v>38</v>
      </c>
      <c r="E767" s="644"/>
      <c r="F767" s="644"/>
      <c r="G767" s="645"/>
      <c r="H767" s="365"/>
      <c r="I767" s="166"/>
      <c r="J767" s="166"/>
      <c r="K767" s="167"/>
      <c r="L767" s="167"/>
      <c r="M767" s="167"/>
      <c r="N767" s="167"/>
      <c r="O767" s="167"/>
      <c r="P767" s="167"/>
      <c r="Q767" s="597"/>
      <c r="R767" s="597"/>
      <c r="S767" s="597"/>
      <c r="T767" s="597"/>
      <c r="U767" s="597"/>
      <c r="V767" s="597"/>
      <c r="W767" s="597"/>
      <c r="X767" s="597"/>
      <c r="Y767" s="597"/>
      <c r="Z767" s="597"/>
    </row>
    <row r="768" spans="1:26" ht="18.75" hidden="1">
      <c r="A768" s="642"/>
      <c r="B768" s="600"/>
      <c r="C768" s="750"/>
      <c r="D768" s="750"/>
      <c r="E768" s="750" t="s">
        <v>316</v>
      </c>
      <c r="F768" s="750"/>
      <c r="G768" s="596"/>
      <c r="H768" s="165" t="s">
        <v>46</v>
      </c>
      <c r="I768" s="610"/>
      <c r="J768" s="610"/>
      <c r="K768" s="93"/>
      <c r="L768" s="93"/>
      <c r="M768" s="93"/>
      <c r="N768" s="93"/>
      <c r="O768" s="93"/>
      <c r="P768" s="93"/>
      <c r="Q768" s="597"/>
      <c r="R768" s="597"/>
      <c r="S768" s="597"/>
      <c r="T768" s="597"/>
      <c r="U768" s="597"/>
      <c r="V768" s="597"/>
      <c r="W768" s="597"/>
      <c r="X768" s="597"/>
      <c r="Y768" s="597"/>
      <c r="Z768" s="597"/>
    </row>
    <row r="769" spans="1:26" ht="19.5" hidden="1">
      <c r="A769" s="784">
        <v>11</v>
      </c>
      <c r="B769" s="785" t="s">
        <v>317</v>
      </c>
      <c r="C769" s="786"/>
      <c r="D769" s="786"/>
      <c r="E769" s="786"/>
      <c r="F769" s="786"/>
      <c r="G769" s="787"/>
      <c r="H769" s="788" t="s">
        <v>46</v>
      </c>
      <c r="I769" s="789"/>
      <c r="J769" s="789">
        <f>J784</f>
        <v>0</v>
      </c>
      <c r="K769" s="790">
        <f>IF(I769&gt;0,J769*100/I769,0)</f>
        <v>0</v>
      </c>
      <c r="L769" s="791"/>
      <c r="M769" s="791"/>
      <c r="N769" s="791"/>
      <c r="O769" s="791"/>
      <c r="P769" s="791"/>
      <c r="Q769" s="597"/>
      <c r="R769" s="597"/>
      <c r="S769" s="597"/>
      <c r="T769" s="597"/>
      <c r="U769" s="597"/>
      <c r="V769" s="597"/>
      <c r="W769" s="597"/>
      <c r="X769" s="597"/>
      <c r="Y769" s="597"/>
      <c r="Z769" s="597"/>
    </row>
    <row r="770" spans="1:26" ht="19.5" hidden="1">
      <c r="A770" s="592"/>
      <c r="B770" s="750"/>
      <c r="C770" s="750" t="s">
        <v>16</v>
      </c>
      <c r="D770" s="864" t="s">
        <v>17</v>
      </c>
      <c r="E770" s="857"/>
      <c r="F770" s="857"/>
      <c r="G770" s="596"/>
      <c r="H770" s="639" t="s">
        <v>12</v>
      </c>
      <c r="I770" s="610"/>
      <c r="J770" s="610"/>
      <c r="K770" s="93"/>
      <c r="L770" s="640">
        <f t="shared" ref="L770:N770" si="310">L771+L772</f>
        <v>0</v>
      </c>
      <c r="M770" s="640">
        <f t="shared" si="310"/>
        <v>0</v>
      </c>
      <c r="N770" s="640">
        <f t="shared" si="310"/>
        <v>0</v>
      </c>
      <c r="O770" s="640">
        <f t="shared" ref="O770:O775" si="311">IF(L770&gt;0,N770*100/L770,0)</f>
        <v>0</v>
      </c>
      <c r="P770" s="640">
        <f t="shared" ref="P770:P775" si="312">IF(M770&gt;0,N770*100/M770,0)</f>
        <v>0</v>
      </c>
      <c r="Q770" s="597"/>
      <c r="R770" s="597"/>
      <c r="S770" s="597"/>
      <c r="T770" s="597"/>
      <c r="U770" s="597"/>
      <c r="V770" s="597"/>
      <c r="W770" s="597"/>
      <c r="X770" s="597"/>
      <c r="Y770" s="597"/>
      <c r="Z770" s="597"/>
    </row>
    <row r="771" spans="1:26" ht="18.75" hidden="1">
      <c r="A771" s="592"/>
      <c r="B771" s="750"/>
      <c r="C771" s="750"/>
      <c r="D771" s="711"/>
      <c r="E771" s="750" t="s">
        <v>184</v>
      </c>
      <c r="F771" s="750"/>
      <c r="G771" s="596"/>
      <c r="H771" s="165" t="s">
        <v>12</v>
      </c>
      <c r="I771" s="610"/>
      <c r="J771" s="610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597"/>
      <c r="R771" s="597"/>
      <c r="S771" s="597"/>
      <c r="T771" s="597"/>
      <c r="U771" s="597"/>
      <c r="V771" s="597"/>
      <c r="W771" s="597"/>
      <c r="X771" s="597"/>
      <c r="Y771" s="597"/>
      <c r="Z771" s="597"/>
    </row>
    <row r="772" spans="1:26" ht="18.75" hidden="1">
      <c r="A772" s="592"/>
      <c r="B772" s="600"/>
      <c r="C772" s="750"/>
      <c r="D772" s="711"/>
      <c r="E772" s="750" t="s">
        <v>185</v>
      </c>
      <c r="F772" s="750"/>
      <c r="G772" s="596"/>
      <c r="H772" s="165" t="s">
        <v>12</v>
      </c>
      <c r="I772" s="610"/>
      <c r="J772" s="610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597"/>
      <c r="R772" s="597"/>
      <c r="S772" s="597"/>
      <c r="T772" s="597"/>
      <c r="U772" s="597"/>
      <c r="V772" s="597"/>
      <c r="W772" s="597"/>
      <c r="X772" s="597"/>
      <c r="Y772" s="597"/>
      <c r="Z772" s="597"/>
    </row>
    <row r="773" spans="1:26" ht="19.5" hidden="1">
      <c r="A773" s="592"/>
      <c r="B773" s="600"/>
      <c r="C773" s="750"/>
      <c r="D773" s="638" t="s">
        <v>20</v>
      </c>
      <c r="E773" s="750"/>
      <c r="F773" s="750"/>
      <c r="G773" s="596"/>
      <c r="H773" s="639" t="s">
        <v>12</v>
      </c>
      <c r="I773" s="166"/>
      <c r="J773" s="166"/>
      <c r="K773" s="167"/>
      <c r="L773" s="640">
        <f t="shared" ref="L773:N773" si="314">L774+L775</f>
        <v>0</v>
      </c>
      <c r="M773" s="640">
        <f t="shared" si="314"/>
        <v>0</v>
      </c>
      <c r="N773" s="640">
        <f t="shared" si="314"/>
        <v>0</v>
      </c>
      <c r="O773" s="640">
        <f t="shared" si="311"/>
        <v>0</v>
      </c>
      <c r="P773" s="640">
        <f t="shared" si="312"/>
        <v>0</v>
      </c>
      <c r="Q773" s="597"/>
      <c r="R773" s="597"/>
      <c r="S773" s="597"/>
      <c r="T773" s="597"/>
      <c r="U773" s="597"/>
      <c r="V773" s="597"/>
      <c r="W773" s="597"/>
      <c r="X773" s="597"/>
      <c r="Y773" s="597"/>
      <c r="Z773" s="597"/>
    </row>
    <row r="774" spans="1:26" ht="18.75" hidden="1">
      <c r="A774" s="592"/>
      <c r="B774" s="600"/>
      <c r="C774" s="750"/>
      <c r="D774" s="711"/>
      <c r="E774" s="750" t="s">
        <v>184</v>
      </c>
      <c r="F774" s="750"/>
      <c r="G774" s="596"/>
      <c r="H774" s="165" t="s">
        <v>12</v>
      </c>
      <c r="I774" s="610"/>
      <c r="J774" s="610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597"/>
      <c r="R774" s="597"/>
      <c r="S774" s="597"/>
      <c r="T774" s="597"/>
      <c r="U774" s="597"/>
      <c r="V774" s="597"/>
      <c r="W774" s="597"/>
      <c r="X774" s="597"/>
      <c r="Y774" s="597"/>
      <c r="Z774" s="597"/>
    </row>
    <row r="775" spans="1:26" ht="18.75" hidden="1">
      <c r="A775" s="592"/>
      <c r="B775" s="600"/>
      <c r="C775" s="750"/>
      <c r="D775" s="711"/>
      <c r="E775" s="750" t="s">
        <v>185</v>
      </c>
      <c r="F775" s="750"/>
      <c r="G775" s="596"/>
      <c r="H775" s="165" t="s">
        <v>12</v>
      </c>
      <c r="I775" s="610"/>
      <c r="J775" s="610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597"/>
      <c r="R775" s="597"/>
      <c r="S775" s="597"/>
      <c r="T775" s="597"/>
      <c r="U775" s="597"/>
      <c r="V775" s="597"/>
      <c r="W775" s="597"/>
      <c r="X775" s="597"/>
      <c r="Y775" s="597"/>
      <c r="Z775" s="597"/>
    </row>
    <row r="776" spans="1:26" ht="18.75" hidden="1">
      <c r="A776" s="642"/>
      <c r="B776" s="600"/>
      <c r="C776" s="750"/>
      <c r="D776" s="750"/>
      <c r="E776" s="750"/>
      <c r="F776" s="750" t="s">
        <v>186</v>
      </c>
      <c r="G776" s="596"/>
      <c r="H776" s="165" t="s">
        <v>12</v>
      </c>
      <c r="I776" s="610"/>
      <c r="J776" s="610"/>
      <c r="K776" s="93"/>
      <c r="L776" s="93"/>
      <c r="M776" s="93"/>
      <c r="N776" s="93"/>
      <c r="O776" s="93"/>
      <c r="P776" s="93"/>
      <c r="Q776" s="597"/>
      <c r="R776" s="597"/>
      <c r="S776" s="597"/>
      <c r="T776" s="597"/>
      <c r="U776" s="597"/>
      <c r="V776" s="597"/>
      <c r="W776" s="597"/>
      <c r="X776" s="597"/>
      <c r="Y776" s="597"/>
      <c r="Z776" s="597"/>
    </row>
    <row r="777" spans="1:26" ht="18.75" hidden="1">
      <c r="A777" s="642"/>
      <c r="B777" s="600"/>
      <c r="C777" s="750"/>
      <c r="D777" s="750"/>
      <c r="E777" s="750"/>
      <c r="F777" s="750" t="s">
        <v>187</v>
      </c>
      <c r="G777" s="596"/>
      <c r="H777" s="165" t="s">
        <v>12</v>
      </c>
      <c r="I777" s="610"/>
      <c r="J777" s="610"/>
      <c r="K777" s="93"/>
      <c r="L777" s="93"/>
      <c r="M777" s="93"/>
      <c r="N777" s="93"/>
      <c r="O777" s="93"/>
      <c r="P777" s="93"/>
      <c r="Q777" s="597"/>
      <c r="R777" s="597"/>
      <c r="S777" s="597"/>
      <c r="T777" s="597"/>
      <c r="U777" s="597"/>
      <c r="V777" s="597"/>
      <c r="W777" s="597"/>
      <c r="X777" s="597"/>
      <c r="Y777" s="597"/>
      <c r="Z777" s="597"/>
    </row>
    <row r="778" spans="1:26" ht="18.75" hidden="1">
      <c r="A778" s="642"/>
      <c r="B778" s="600"/>
      <c r="C778" s="750"/>
      <c r="D778" s="750"/>
      <c r="E778" s="750"/>
      <c r="F778" s="750" t="s">
        <v>188</v>
      </c>
      <c r="G778" s="596"/>
      <c r="H778" s="165" t="s">
        <v>12</v>
      </c>
      <c r="I778" s="610"/>
      <c r="J778" s="610"/>
      <c r="K778" s="93"/>
      <c r="L778" s="93"/>
      <c r="M778" s="93"/>
      <c r="N778" s="93"/>
      <c r="O778" s="93"/>
      <c r="P778" s="93"/>
      <c r="Q778" s="597"/>
      <c r="R778" s="597"/>
      <c r="S778" s="597"/>
      <c r="T778" s="597"/>
      <c r="U778" s="597"/>
      <c r="V778" s="597"/>
      <c r="W778" s="597"/>
      <c r="X778" s="597"/>
      <c r="Y778" s="597"/>
      <c r="Z778" s="597"/>
    </row>
    <row r="779" spans="1:26" ht="18.75" hidden="1">
      <c r="A779" s="642"/>
      <c r="B779" s="600"/>
      <c r="C779" s="750"/>
      <c r="D779" s="750"/>
      <c r="E779" s="750"/>
      <c r="F779" s="750" t="s">
        <v>189</v>
      </c>
      <c r="G779" s="596"/>
      <c r="H779" s="165" t="s">
        <v>12</v>
      </c>
      <c r="I779" s="610"/>
      <c r="J779" s="610"/>
      <c r="K779" s="93"/>
      <c r="L779" s="93"/>
      <c r="M779" s="93"/>
      <c r="N779" s="93"/>
      <c r="O779" s="93"/>
      <c r="P779" s="93"/>
      <c r="Q779" s="597"/>
      <c r="R779" s="597"/>
      <c r="S779" s="597"/>
      <c r="T779" s="597"/>
      <c r="U779" s="597"/>
      <c r="V779" s="597"/>
      <c r="W779" s="597"/>
      <c r="X779" s="597"/>
      <c r="Y779" s="597"/>
      <c r="Z779" s="597"/>
    </row>
    <row r="780" spans="1:26" ht="19.5" hidden="1">
      <c r="A780" s="592"/>
      <c r="B780" s="600"/>
      <c r="C780" s="750"/>
      <c r="D780" s="638" t="s">
        <v>21</v>
      </c>
      <c r="E780" s="750"/>
      <c r="F780" s="750"/>
      <c r="G780" s="596"/>
      <c r="H780" s="774" t="s">
        <v>12</v>
      </c>
      <c r="I780" s="166"/>
      <c r="J780" s="166"/>
      <c r="K780" s="167"/>
      <c r="L780" s="640">
        <f t="shared" ref="L780:N780" si="315">L781+L782</f>
        <v>0</v>
      </c>
      <c r="M780" s="640">
        <f t="shared" si="315"/>
        <v>0</v>
      </c>
      <c r="N780" s="640">
        <f t="shared" si="315"/>
        <v>0</v>
      </c>
      <c r="O780" s="640">
        <f t="shared" ref="O780:O782" si="316">IF(L780&gt;0,N780*100/L780,0)</f>
        <v>0</v>
      </c>
      <c r="P780" s="640">
        <f t="shared" ref="P780:P782" si="317">IF(M780&gt;0,N780*100/M780,0)</f>
        <v>0</v>
      </c>
      <c r="Q780" s="597"/>
      <c r="R780" s="597"/>
      <c r="S780" s="597"/>
      <c r="T780" s="597"/>
      <c r="U780" s="597"/>
      <c r="V780" s="597"/>
      <c r="W780" s="597"/>
      <c r="X780" s="597"/>
      <c r="Y780" s="597"/>
      <c r="Z780" s="597"/>
    </row>
    <row r="781" spans="1:26" ht="18.75" hidden="1">
      <c r="A781" s="592"/>
      <c r="B781" s="600"/>
      <c r="C781" s="750"/>
      <c r="D781" s="750"/>
      <c r="E781" s="750" t="s">
        <v>18</v>
      </c>
      <c r="F781" s="750"/>
      <c r="G781" s="596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597"/>
      <c r="R781" s="597"/>
      <c r="S781" s="597"/>
      <c r="T781" s="597"/>
      <c r="U781" s="597"/>
      <c r="V781" s="597"/>
      <c r="W781" s="597"/>
      <c r="X781" s="597"/>
      <c r="Y781" s="597"/>
      <c r="Z781" s="597"/>
    </row>
    <row r="782" spans="1:26" ht="18.75" hidden="1">
      <c r="A782" s="592"/>
      <c r="B782" s="600"/>
      <c r="C782" s="750"/>
      <c r="D782" s="750"/>
      <c r="E782" s="750" t="s">
        <v>19</v>
      </c>
      <c r="F782" s="750"/>
      <c r="G782" s="596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597"/>
      <c r="R782" s="597"/>
      <c r="S782" s="597"/>
      <c r="T782" s="597"/>
      <c r="U782" s="597"/>
      <c r="V782" s="597"/>
      <c r="W782" s="597"/>
      <c r="X782" s="597"/>
      <c r="Y782" s="597"/>
      <c r="Z782" s="597"/>
    </row>
    <row r="783" spans="1:26" ht="19.5" hidden="1">
      <c r="A783" s="607"/>
      <c r="B783" s="609"/>
      <c r="C783" s="750" t="s">
        <v>16</v>
      </c>
      <c r="D783" s="841" t="s">
        <v>38</v>
      </c>
      <c r="E783" s="644"/>
      <c r="F783" s="644"/>
      <c r="G783" s="645"/>
      <c r="H783" s="792"/>
      <c r="I783" s="166"/>
      <c r="J783" s="166"/>
      <c r="K783" s="167"/>
      <c r="L783" s="167"/>
      <c r="M783" s="167"/>
      <c r="N783" s="167"/>
      <c r="O783" s="167"/>
      <c r="P783" s="167"/>
      <c r="Q783" s="597"/>
      <c r="R783" s="597"/>
      <c r="S783" s="597"/>
      <c r="T783" s="597"/>
      <c r="U783" s="597"/>
      <c r="V783" s="597"/>
      <c r="W783" s="597"/>
      <c r="X783" s="597"/>
      <c r="Y783" s="597"/>
      <c r="Z783" s="597"/>
    </row>
    <row r="784" spans="1:26" ht="18.75" hidden="1">
      <c r="A784" s="642"/>
      <c r="B784" s="600"/>
      <c r="C784" s="750"/>
      <c r="D784" s="750"/>
      <c r="E784" s="750" t="s">
        <v>318</v>
      </c>
      <c r="F784" s="750"/>
      <c r="G784" s="596"/>
      <c r="H784" s="165" t="s">
        <v>46</v>
      </c>
      <c r="I784" s="610"/>
      <c r="J784" s="610"/>
      <c r="K784" s="93"/>
      <c r="L784" s="93"/>
      <c r="M784" s="93"/>
      <c r="N784" s="93"/>
      <c r="O784" s="93"/>
      <c r="P784" s="93"/>
      <c r="Q784" s="597"/>
      <c r="R784" s="597"/>
      <c r="S784" s="597"/>
      <c r="T784" s="597"/>
      <c r="U784" s="597"/>
      <c r="V784" s="597"/>
      <c r="W784" s="597"/>
      <c r="X784" s="597"/>
      <c r="Y784" s="597"/>
      <c r="Z784" s="597"/>
    </row>
    <row r="785" spans="1:26" ht="19.5" hidden="1">
      <c r="A785" s="793">
        <v>12</v>
      </c>
      <c r="B785" s="794" t="s">
        <v>319</v>
      </c>
      <c r="C785" s="795"/>
      <c r="D785" s="795"/>
      <c r="E785" s="795"/>
      <c r="F785" s="795"/>
      <c r="G785" s="796"/>
      <c r="H785" s="797" t="s">
        <v>46</v>
      </c>
      <c r="I785" s="798">
        <f t="shared" ref="I785:J785" ca="1" si="318">I800</f>
        <v>0</v>
      </c>
      <c r="J785" s="799">
        <f t="shared" ca="1" si="318"/>
        <v>0</v>
      </c>
      <c r="K785" s="800">
        <f ca="1">IF(I785&gt;0,J785*100/I785,0)</f>
        <v>0</v>
      </c>
      <c r="L785" s="801"/>
      <c r="M785" s="801"/>
      <c r="N785" s="801"/>
      <c r="O785" s="801"/>
      <c r="P785" s="801"/>
      <c r="Q785" s="571"/>
      <c r="R785" s="571"/>
      <c r="S785" s="571"/>
      <c r="T785" s="571"/>
      <c r="U785" s="571"/>
      <c r="V785" s="571"/>
      <c r="W785" s="571"/>
      <c r="X785" s="571"/>
      <c r="Y785" s="571"/>
      <c r="Z785" s="571"/>
    </row>
    <row r="786" spans="1:26" ht="19.5" hidden="1">
      <c r="A786" s="590"/>
      <c r="B786" s="568"/>
      <c r="C786" s="754" t="s">
        <v>16</v>
      </c>
      <c r="D786" s="863" t="s">
        <v>17</v>
      </c>
      <c r="E786" s="857"/>
      <c r="F786" s="857"/>
      <c r="G786" s="189"/>
      <c r="H786" s="591" t="s">
        <v>12</v>
      </c>
      <c r="I786" s="269"/>
      <c r="J786" s="269"/>
      <c r="K786" s="496"/>
      <c r="L786" s="195">
        <f t="shared" ref="L786:N786" ca="1" si="319">L787+L788</f>
        <v>0</v>
      </c>
      <c r="M786" s="195">
        <f t="shared" si="319"/>
        <v>0</v>
      </c>
      <c r="N786" s="195">
        <f t="shared" si="319"/>
        <v>0</v>
      </c>
      <c r="O786" s="195">
        <f t="shared" ref="O786:O791" ca="1" si="320">IF(L786&gt;0,N786*100/L786,0)</f>
        <v>0</v>
      </c>
      <c r="P786" s="195">
        <f t="shared" ref="P786:P791" si="321">IF(M786&gt;0,N786*100/M786,0)</f>
        <v>0</v>
      </c>
      <c r="Q786" s="571"/>
      <c r="R786" s="571"/>
      <c r="S786" s="571"/>
      <c r="T786" s="571"/>
      <c r="U786" s="571"/>
      <c r="V786" s="571"/>
      <c r="W786" s="571"/>
      <c r="X786" s="571"/>
      <c r="Y786" s="571"/>
      <c r="Z786" s="571"/>
    </row>
    <row r="787" spans="1:26" ht="18.75" hidden="1">
      <c r="A787" s="592"/>
      <c r="B787" s="600"/>
      <c r="C787" s="750"/>
      <c r="D787" s="711"/>
      <c r="E787" s="750" t="s">
        <v>184</v>
      </c>
      <c r="F787" s="750"/>
      <c r="G787" s="596"/>
      <c r="H787" s="165" t="s">
        <v>12</v>
      </c>
      <c r="I787" s="610"/>
      <c r="J787" s="610"/>
      <c r="K787" s="93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597"/>
      <c r="R787" s="597"/>
      <c r="S787" s="597"/>
      <c r="T787" s="597"/>
      <c r="U787" s="597"/>
      <c r="V787" s="597"/>
      <c r="W787" s="597"/>
      <c r="X787" s="597"/>
      <c r="Y787" s="597"/>
      <c r="Z787" s="597"/>
    </row>
    <row r="788" spans="1:26" ht="18.75" hidden="1">
      <c r="A788" s="592"/>
      <c r="B788" s="600"/>
      <c r="C788" s="600"/>
      <c r="D788" s="609"/>
      <c r="E788" s="750" t="s">
        <v>185</v>
      </c>
      <c r="F788" s="750"/>
      <c r="G788" s="596"/>
      <c r="H788" s="165" t="s">
        <v>12</v>
      </c>
      <c r="I788" s="610"/>
      <c r="J788" s="610"/>
      <c r="K788" s="93"/>
      <c r="L788" s="93">
        <f t="shared" ca="1" si="322"/>
        <v>0</v>
      </c>
      <c r="M788" s="93">
        <f t="shared" si="322"/>
        <v>0</v>
      </c>
      <c r="N788" s="93">
        <f t="shared" si="322"/>
        <v>0</v>
      </c>
      <c r="O788" s="93">
        <f t="shared" ca="1" si="320"/>
        <v>0</v>
      </c>
      <c r="P788" s="93">
        <f t="shared" si="321"/>
        <v>0</v>
      </c>
      <c r="Q788" s="597"/>
      <c r="R788" s="597"/>
      <c r="S788" s="597"/>
      <c r="T788" s="597"/>
      <c r="U788" s="597"/>
      <c r="V788" s="597"/>
      <c r="W788" s="597"/>
      <c r="X788" s="597"/>
      <c r="Y788" s="597"/>
      <c r="Z788" s="597"/>
    </row>
    <row r="789" spans="1:26" ht="18.75" hidden="1">
      <c r="A789" s="590"/>
      <c r="B789" s="568"/>
      <c r="C789" s="568"/>
      <c r="D789" s="599" t="s">
        <v>20</v>
      </c>
      <c r="E789" s="754"/>
      <c r="F789" s="754"/>
      <c r="G789" s="189"/>
      <c r="H789" s="161" t="s">
        <v>12</v>
      </c>
      <c r="I789" s="184"/>
      <c r="J789" s="184"/>
      <c r="K789" s="163"/>
      <c r="L789" s="496">
        <f t="shared" ref="L789:N789" ca="1" si="323">L790+L791</f>
        <v>0</v>
      </c>
      <c r="M789" s="496">
        <f t="shared" si="323"/>
        <v>0</v>
      </c>
      <c r="N789" s="496">
        <f t="shared" si="323"/>
        <v>0</v>
      </c>
      <c r="O789" s="496">
        <f t="shared" ca="1" si="320"/>
        <v>0</v>
      </c>
      <c r="P789" s="496">
        <f t="shared" si="321"/>
        <v>0</v>
      </c>
      <c r="Q789" s="571"/>
      <c r="R789" s="571"/>
      <c r="S789" s="571"/>
      <c r="T789" s="571"/>
      <c r="U789" s="571"/>
      <c r="V789" s="571"/>
      <c r="W789" s="571"/>
      <c r="X789" s="571"/>
      <c r="Y789" s="571"/>
      <c r="Z789" s="571"/>
    </row>
    <row r="790" spans="1:26" ht="18.75" hidden="1">
      <c r="A790" s="592"/>
      <c r="B790" s="600"/>
      <c r="C790" s="600"/>
      <c r="D790" s="609"/>
      <c r="E790" s="750" t="s">
        <v>184</v>
      </c>
      <c r="F790" s="750"/>
      <c r="G790" s="596"/>
      <c r="H790" s="165" t="s">
        <v>12</v>
      </c>
      <c r="I790" s="610"/>
      <c r="J790" s="610"/>
      <c r="K790" s="93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597"/>
      <c r="R790" s="597"/>
      <c r="S790" s="597"/>
      <c r="T790" s="597"/>
      <c r="U790" s="597"/>
      <c r="V790" s="597"/>
      <c r="W790" s="597"/>
      <c r="X790" s="597"/>
      <c r="Y790" s="597"/>
      <c r="Z790" s="597"/>
    </row>
    <row r="791" spans="1:26" ht="18.75" hidden="1">
      <c r="A791" s="592"/>
      <c r="B791" s="600"/>
      <c r="C791" s="600"/>
      <c r="D791" s="609"/>
      <c r="E791" s="750" t="s">
        <v>185</v>
      </c>
      <c r="F791" s="750"/>
      <c r="G791" s="596"/>
      <c r="H791" s="165" t="s">
        <v>12</v>
      </c>
      <c r="I791" s="610"/>
      <c r="J791" s="610"/>
      <c r="K791" s="93"/>
      <c r="L791" s="93">
        <f ca="1">IFERROR(__xludf.DUMMYFUNCTION("IMPORTRANGE(""https://docs.google.com/spreadsheets/d/1QqKyyYR6Q21VydFLVH3TRQUabQu_ym0Zz7PgGX0-kHA/edit?usp=sharing"",""แผน!JJ56"")"),0)</f>
        <v>0</v>
      </c>
      <c r="M791" s="93">
        <v>0</v>
      </c>
      <c r="N791" s="93">
        <f>N792+N793+N794+N795</f>
        <v>0</v>
      </c>
      <c r="O791" s="93">
        <f t="shared" ca="1" si="320"/>
        <v>0</v>
      </c>
      <c r="P791" s="93">
        <f t="shared" si="321"/>
        <v>0</v>
      </c>
      <c r="Q791" s="597"/>
      <c r="R791" s="597"/>
      <c r="S791" s="597"/>
      <c r="T791" s="597"/>
      <c r="U791" s="597"/>
      <c r="V791" s="597"/>
      <c r="W791" s="597"/>
      <c r="X791" s="597"/>
      <c r="Y791" s="597"/>
      <c r="Z791" s="597"/>
    </row>
    <row r="792" spans="1:26" ht="18.75" hidden="1">
      <c r="A792" s="567"/>
      <c r="B792" s="568"/>
      <c r="C792" s="754"/>
      <c r="D792" s="754"/>
      <c r="E792" s="754"/>
      <c r="F792" s="754" t="s">
        <v>186</v>
      </c>
      <c r="G792" s="189"/>
      <c r="H792" s="161" t="s">
        <v>12</v>
      </c>
      <c r="I792" s="269"/>
      <c r="J792" s="269"/>
      <c r="K792" s="496"/>
      <c r="L792" s="496"/>
      <c r="M792" s="496"/>
      <c r="N792" s="817">
        <v>0</v>
      </c>
      <c r="O792" s="496"/>
      <c r="P792" s="496"/>
      <c r="Q792" s="571"/>
      <c r="R792" s="571"/>
      <c r="S792" s="571"/>
      <c r="T792" s="571"/>
      <c r="U792" s="571"/>
      <c r="V792" s="571"/>
      <c r="W792" s="571"/>
      <c r="X792" s="571"/>
      <c r="Y792" s="571"/>
      <c r="Z792" s="571"/>
    </row>
    <row r="793" spans="1:26" ht="18.75" hidden="1">
      <c r="A793" s="567"/>
      <c r="B793" s="568"/>
      <c r="C793" s="754"/>
      <c r="D793" s="754"/>
      <c r="E793" s="754"/>
      <c r="F793" s="754" t="s">
        <v>187</v>
      </c>
      <c r="G793" s="189"/>
      <c r="H793" s="161" t="s">
        <v>12</v>
      </c>
      <c r="I793" s="269"/>
      <c r="J793" s="269"/>
      <c r="K793" s="496"/>
      <c r="L793" s="496"/>
      <c r="M793" s="496"/>
      <c r="N793" s="817">
        <v>0</v>
      </c>
      <c r="O793" s="496"/>
      <c r="P793" s="496"/>
      <c r="Q793" s="571"/>
      <c r="R793" s="571"/>
      <c r="S793" s="571"/>
      <c r="T793" s="571"/>
      <c r="U793" s="571"/>
      <c r="V793" s="571"/>
      <c r="W793" s="571"/>
      <c r="X793" s="571"/>
      <c r="Y793" s="571"/>
      <c r="Z793" s="571"/>
    </row>
    <row r="794" spans="1:26" ht="18.75" hidden="1">
      <c r="A794" s="567"/>
      <c r="B794" s="568"/>
      <c r="C794" s="754"/>
      <c r="D794" s="754"/>
      <c r="E794" s="754"/>
      <c r="F794" s="754" t="s">
        <v>188</v>
      </c>
      <c r="G794" s="189"/>
      <c r="H794" s="161" t="s">
        <v>12</v>
      </c>
      <c r="I794" s="269"/>
      <c r="J794" s="269"/>
      <c r="K794" s="496"/>
      <c r="L794" s="496"/>
      <c r="M794" s="496"/>
      <c r="N794" s="817">
        <v>0</v>
      </c>
      <c r="O794" s="496"/>
      <c r="P794" s="496"/>
      <c r="Q794" s="571"/>
      <c r="R794" s="571"/>
      <c r="S794" s="571"/>
      <c r="T794" s="571"/>
      <c r="U794" s="571"/>
      <c r="V794" s="571"/>
      <c r="W794" s="571"/>
      <c r="X794" s="571"/>
      <c r="Y794" s="571"/>
      <c r="Z794" s="571"/>
    </row>
    <row r="795" spans="1:26" ht="18.75" hidden="1">
      <c r="A795" s="567"/>
      <c r="B795" s="568"/>
      <c r="C795" s="754"/>
      <c r="D795" s="754"/>
      <c r="E795" s="754"/>
      <c r="F795" s="754" t="s">
        <v>189</v>
      </c>
      <c r="G795" s="189"/>
      <c r="H795" s="161" t="s">
        <v>12</v>
      </c>
      <c r="I795" s="269"/>
      <c r="J795" s="269"/>
      <c r="K795" s="496"/>
      <c r="L795" s="496"/>
      <c r="M795" s="496"/>
      <c r="N795" s="817">
        <v>0</v>
      </c>
      <c r="O795" s="496"/>
      <c r="P795" s="496"/>
      <c r="Q795" s="571"/>
      <c r="R795" s="571"/>
      <c r="S795" s="571"/>
      <c r="T795" s="571"/>
      <c r="U795" s="571"/>
      <c r="V795" s="571"/>
      <c r="W795" s="571"/>
      <c r="X795" s="571"/>
      <c r="Y795" s="571"/>
      <c r="Z795" s="571"/>
    </row>
    <row r="796" spans="1:26" ht="18.75" hidden="1">
      <c r="A796" s="590"/>
      <c r="B796" s="568"/>
      <c r="C796" s="754"/>
      <c r="D796" s="599" t="s">
        <v>21</v>
      </c>
      <c r="E796" s="754"/>
      <c r="F796" s="754"/>
      <c r="G796" s="189"/>
      <c r="H796" s="168" t="s">
        <v>12</v>
      </c>
      <c r="I796" s="184"/>
      <c r="J796" s="184"/>
      <c r="K796" s="163"/>
      <c r="L796" s="496">
        <f t="shared" ref="L796:N796" si="324">L797+L798</f>
        <v>0</v>
      </c>
      <c r="M796" s="496">
        <f t="shared" si="324"/>
        <v>0</v>
      </c>
      <c r="N796" s="496">
        <f t="shared" si="324"/>
        <v>0</v>
      </c>
      <c r="O796" s="496">
        <f t="shared" ref="O796:O798" si="325">IF(L796&gt;0,N796*100/L796,0)</f>
        <v>0</v>
      </c>
      <c r="P796" s="496">
        <f t="shared" ref="P796:P798" si="326">IF(M796&gt;0,N796*100/M796,0)</f>
        <v>0</v>
      </c>
      <c r="Q796" s="571"/>
      <c r="R796" s="571"/>
      <c r="S796" s="571"/>
      <c r="T796" s="571"/>
      <c r="U796" s="571"/>
      <c r="V796" s="571"/>
      <c r="W796" s="571"/>
      <c r="X796" s="571"/>
      <c r="Y796" s="571"/>
      <c r="Z796" s="571"/>
    </row>
    <row r="797" spans="1:26" ht="18.75" hidden="1">
      <c r="A797" s="592"/>
      <c r="B797" s="600"/>
      <c r="C797" s="750"/>
      <c r="D797" s="750"/>
      <c r="E797" s="750" t="s">
        <v>18</v>
      </c>
      <c r="F797" s="750"/>
      <c r="G797" s="596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597"/>
      <c r="R797" s="597"/>
      <c r="S797" s="597"/>
      <c r="T797" s="597"/>
      <c r="U797" s="597"/>
      <c r="V797" s="597"/>
      <c r="W797" s="597"/>
      <c r="X797" s="597"/>
      <c r="Y797" s="597"/>
      <c r="Z797" s="597"/>
    </row>
    <row r="798" spans="1:26" ht="18.75" hidden="1">
      <c r="A798" s="592"/>
      <c r="B798" s="600"/>
      <c r="C798" s="750"/>
      <c r="D798" s="750"/>
      <c r="E798" s="750" t="s">
        <v>19</v>
      </c>
      <c r="F798" s="750"/>
      <c r="G798" s="596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597"/>
      <c r="R798" s="597"/>
      <c r="S798" s="597"/>
      <c r="T798" s="597"/>
      <c r="U798" s="597"/>
      <c r="V798" s="597"/>
      <c r="W798" s="597"/>
      <c r="X798" s="597"/>
      <c r="Y798" s="597"/>
      <c r="Z798" s="597"/>
    </row>
    <row r="799" spans="1:26" ht="19.5" hidden="1">
      <c r="A799" s="601"/>
      <c r="B799" s="611"/>
      <c r="C799" s="754" t="s">
        <v>16</v>
      </c>
      <c r="D799" s="840" t="s">
        <v>38</v>
      </c>
      <c r="E799" s="752"/>
      <c r="F799" s="752"/>
      <c r="G799" s="606"/>
      <c r="H799" s="802"/>
      <c r="I799" s="184"/>
      <c r="J799" s="184"/>
      <c r="K799" s="163"/>
      <c r="L799" s="163"/>
      <c r="M799" s="163"/>
      <c r="N799" s="163"/>
      <c r="O799" s="163"/>
      <c r="P799" s="163"/>
      <c r="Q799" s="571"/>
      <c r="R799" s="571"/>
      <c r="S799" s="571"/>
      <c r="T799" s="571"/>
      <c r="U799" s="571"/>
      <c r="V799" s="571"/>
      <c r="W799" s="571"/>
      <c r="X799" s="571"/>
      <c r="Y799" s="571"/>
      <c r="Z799" s="571"/>
    </row>
    <row r="800" spans="1:26" ht="18.75" hidden="1">
      <c r="A800" s="601"/>
      <c r="B800" s="611"/>
      <c r="C800" s="611"/>
      <c r="D800" s="611"/>
      <c r="E800" s="619"/>
      <c r="F800" s="619" t="s">
        <v>320</v>
      </c>
      <c r="G800" s="753"/>
      <c r="H800" s="185" t="s">
        <v>46</v>
      </c>
      <c r="I800" s="184">
        <f ca="1">IFERROR(__xludf.DUMMYFUNCTION("IMPORTRANGE(""https://docs.google.com/spreadsheets/d/1QqKyyYR6Q21VydFLVH3TRQUabQu_ym0Zz7PgGX0-kHA/edit?usp=sharing"",""แผน!JN56"")"),0)</f>
        <v>0</v>
      </c>
      <c r="J800" s="184">
        <f ca="1">IFERROR(__xludf.DUMMYFUNCTION("IMPORTRANGE(""https://docs.google.com/spreadsheets/d/1MaWodYyGHDf7siQLGxnXhG4mBNTNIuy296niS2xXulU/edit?usp=sharing"",""RTK!H56"")"),0)</f>
        <v>0</v>
      </c>
      <c r="K800" s="496">
        <f ca="1">IF(I800&gt;0,J800*100/I800,0)</f>
        <v>0</v>
      </c>
      <c r="L800" s="496"/>
      <c r="M800" s="496"/>
      <c r="N800" s="496"/>
      <c r="O800" s="163"/>
      <c r="P800" s="163"/>
      <c r="Q800" s="571"/>
      <c r="R800" s="571"/>
      <c r="S800" s="571"/>
      <c r="T800" s="571"/>
      <c r="U800" s="571"/>
      <c r="V800" s="571"/>
      <c r="W800" s="571"/>
      <c r="X800" s="571"/>
      <c r="Y800" s="571"/>
      <c r="Z800" s="571"/>
    </row>
    <row r="801" spans="1:26" ht="18.75" hidden="1">
      <c r="A801" s="601"/>
      <c r="B801" s="611"/>
      <c r="C801" s="611"/>
      <c r="D801" s="611"/>
      <c r="E801" s="619"/>
      <c r="F801" s="619"/>
      <c r="G801" s="753"/>
      <c r="H801" s="161" t="s">
        <v>34</v>
      </c>
      <c r="I801" s="184"/>
      <c r="J801" s="269">
        <f ca="1">IFERROR(__xludf.DUMMYFUNCTION("IMPORTRANGE(""https://docs.google.com/spreadsheets/d/1MaWodYyGHDf7siQLGxnXhG4mBNTNIuy296niS2xXulU/edit?usp=sharing"",""RTK!I56"")"),0)</f>
        <v>0</v>
      </c>
      <c r="K801" s="496"/>
      <c r="L801" s="496"/>
      <c r="M801" s="496"/>
      <c r="N801" s="496"/>
      <c r="O801" s="163"/>
      <c r="P801" s="163"/>
      <c r="Q801" s="571"/>
      <c r="R801" s="571"/>
      <c r="S801" s="571"/>
      <c r="T801" s="571"/>
      <c r="U801" s="571"/>
      <c r="V801" s="571"/>
      <c r="W801" s="571"/>
      <c r="X801" s="571"/>
      <c r="Y801" s="571"/>
      <c r="Z801" s="571"/>
    </row>
    <row r="802" spans="1:26" ht="18.75" hidden="1">
      <c r="A802" s="607"/>
      <c r="B802" s="609"/>
      <c r="C802" s="609"/>
      <c r="D802" s="609"/>
      <c r="E802" s="711"/>
      <c r="F802" s="711" t="s">
        <v>321</v>
      </c>
      <c r="G802" s="365"/>
      <c r="H802" s="646" t="s">
        <v>46</v>
      </c>
      <c r="I802" s="166"/>
      <c r="J802" s="610"/>
      <c r="K802" s="167">
        <f>IF(I802&gt;0,J802*100/I802,0)</f>
        <v>0</v>
      </c>
      <c r="L802" s="167"/>
      <c r="M802" s="167"/>
      <c r="N802" s="167"/>
      <c r="O802" s="167"/>
      <c r="P802" s="167"/>
      <c r="Q802" s="597"/>
      <c r="R802" s="597"/>
      <c r="S802" s="597"/>
      <c r="T802" s="597"/>
      <c r="U802" s="597"/>
      <c r="V802" s="597"/>
      <c r="W802" s="597"/>
      <c r="X802" s="597"/>
      <c r="Y802" s="597"/>
      <c r="Z802" s="597"/>
    </row>
    <row r="803" spans="1:26" ht="18.75" hidden="1">
      <c r="A803" s="607"/>
      <c r="B803" s="609"/>
      <c r="C803" s="609"/>
      <c r="D803" s="609"/>
      <c r="E803" s="711"/>
      <c r="F803" s="711"/>
      <c r="G803" s="365"/>
      <c r="H803" s="646" t="s">
        <v>34</v>
      </c>
      <c r="I803" s="166"/>
      <c r="J803" s="610"/>
      <c r="K803" s="167"/>
      <c r="L803" s="167"/>
      <c r="M803" s="167"/>
      <c r="N803" s="167"/>
      <c r="O803" s="167"/>
      <c r="P803" s="167"/>
      <c r="Q803" s="597"/>
      <c r="R803" s="597"/>
      <c r="S803" s="597"/>
      <c r="T803" s="597"/>
      <c r="U803" s="597"/>
      <c r="V803" s="597"/>
      <c r="W803" s="597"/>
      <c r="X803" s="597"/>
      <c r="Y803" s="597"/>
      <c r="Z803" s="597"/>
    </row>
    <row r="804" spans="1:26" ht="19.5" hidden="1">
      <c r="A804" s="784">
        <v>13</v>
      </c>
      <c r="B804" s="785" t="s">
        <v>322</v>
      </c>
      <c r="C804" s="786"/>
      <c r="D804" s="803"/>
      <c r="E804" s="786"/>
      <c r="F804" s="786"/>
      <c r="G804" s="787"/>
      <c r="H804" s="788" t="s">
        <v>46</v>
      </c>
      <c r="I804" s="789"/>
      <c r="J804" s="789">
        <f>J819</f>
        <v>0</v>
      </c>
      <c r="K804" s="790">
        <f>IF(I804&gt;0,J804*100/I804,0)</f>
        <v>0</v>
      </c>
      <c r="L804" s="791"/>
      <c r="M804" s="791"/>
      <c r="N804" s="791"/>
      <c r="O804" s="791"/>
      <c r="P804" s="791"/>
      <c r="Q804" s="597"/>
      <c r="R804" s="597"/>
      <c r="S804" s="597"/>
      <c r="T804" s="597"/>
      <c r="U804" s="597"/>
      <c r="V804" s="597"/>
      <c r="W804" s="597"/>
      <c r="X804" s="597"/>
      <c r="Y804" s="597"/>
      <c r="Z804" s="597"/>
    </row>
    <row r="805" spans="1:26" ht="19.5" hidden="1">
      <c r="A805" s="592"/>
      <c r="B805" s="750"/>
      <c r="C805" s="750" t="s">
        <v>16</v>
      </c>
      <c r="D805" s="864" t="s">
        <v>17</v>
      </c>
      <c r="E805" s="857"/>
      <c r="F805" s="857"/>
      <c r="G805" s="596"/>
      <c r="H805" s="639" t="s">
        <v>12</v>
      </c>
      <c r="I805" s="610"/>
      <c r="J805" s="610"/>
      <c r="K805" s="93"/>
      <c r="L805" s="640">
        <f t="shared" ref="L805:N805" si="327">L806+L807</f>
        <v>0</v>
      </c>
      <c r="M805" s="640">
        <f t="shared" si="327"/>
        <v>0</v>
      </c>
      <c r="N805" s="640">
        <f t="shared" si="327"/>
        <v>0</v>
      </c>
      <c r="O805" s="640">
        <f t="shared" ref="O805:O810" si="328">IF(L805&gt;0,N805*100/L805,0)</f>
        <v>0</v>
      </c>
      <c r="P805" s="640">
        <f t="shared" ref="P805:P810" si="329">IF(M805&gt;0,N805*100/M805,0)</f>
        <v>0</v>
      </c>
      <c r="Q805" s="597"/>
      <c r="R805" s="597"/>
      <c r="S805" s="597"/>
      <c r="T805" s="597"/>
      <c r="U805" s="597"/>
      <c r="V805" s="597"/>
      <c r="W805" s="597"/>
      <c r="X805" s="597"/>
      <c r="Y805" s="597"/>
      <c r="Z805" s="597"/>
    </row>
    <row r="806" spans="1:26" ht="18.75" hidden="1">
      <c r="A806" s="592"/>
      <c r="B806" s="750"/>
      <c r="C806" s="750"/>
      <c r="D806" s="609"/>
      <c r="E806" s="750" t="s">
        <v>184</v>
      </c>
      <c r="F806" s="750"/>
      <c r="G806" s="596"/>
      <c r="H806" s="165" t="s">
        <v>12</v>
      </c>
      <c r="I806" s="610"/>
      <c r="J806" s="610"/>
      <c r="K806" s="93"/>
      <c r="L806" s="93">
        <f t="shared" ref="L806:N807" si="330">L809+L816</f>
        <v>0</v>
      </c>
      <c r="M806" s="93">
        <f t="shared" si="330"/>
        <v>0</v>
      </c>
      <c r="N806" s="93">
        <f t="shared" si="330"/>
        <v>0</v>
      </c>
      <c r="O806" s="93">
        <f t="shared" si="328"/>
        <v>0</v>
      </c>
      <c r="P806" s="93">
        <f t="shared" si="329"/>
        <v>0</v>
      </c>
      <c r="Q806" s="597"/>
      <c r="R806" s="597"/>
      <c r="S806" s="597"/>
      <c r="T806" s="597"/>
      <c r="U806" s="597"/>
      <c r="V806" s="597"/>
      <c r="W806" s="597"/>
      <c r="X806" s="597"/>
      <c r="Y806" s="597"/>
      <c r="Z806" s="597"/>
    </row>
    <row r="807" spans="1:26" ht="18.75" hidden="1">
      <c r="A807" s="592"/>
      <c r="B807" s="750"/>
      <c r="C807" s="750"/>
      <c r="D807" s="609"/>
      <c r="E807" s="750" t="s">
        <v>185</v>
      </c>
      <c r="F807" s="750"/>
      <c r="G807" s="596"/>
      <c r="H807" s="165" t="s">
        <v>12</v>
      </c>
      <c r="I807" s="610"/>
      <c r="J807" s="610"/>
      <c r="K807" s="93"/>
      <c r="L807" s="93">
        <f t="shared" si="330"/>
        <v>0</v>
      </c>
      <c r="M807" s="93">
        <f t="shared" si="330"/>
        <v>0</v>
      </c>
      <c r="N807" s="93">
        <f t="shared" si="330"/>
        <v>0</v>
      </c>
      <c r="O807" s="93">
        <f t="shared" si="328"/>
        <v>0</v>
      </c>
      <c r="P807" s="93">
        <f t="shared" si="329"/>
        <v>0</v>
      </c>
      <c r="Q807" s="597"/>
      <c r="R807" s="597"/>
      <c r="S807" s="597"/>
      <c r="T807" s="597"/>
      <c r="U807" s="597"/>
      <c r="V807" s="597"/>
      <c r="W807" s="597"/>
      <c r="X807" s="597"/>
      <c r="Y807" s="597"/>
      <c r="Z807" s="597"/>
    </row>
    <row r="808" spans="1:26" ht="19.5" hidden="1">
      <c r="A808" s="592"/>
      <c r="B808" s="600"/>
      <c r="C808" s="750"/>
      <c r="D808" s="869" t="s">
        <v>20</v>
      </c>
      <c r="E808" s="857"/>
      <c r="F808" s="857"/>
      <c r="G808" s="596"/>
      <c r="H808" s="639" t="s">
        <v>12</v>
      </c>
      <c r="I808" s="166"/>
      <c r="J808" s="166"/>
      <c r="K808" s="167"/>
      <c r="L808" s="640">
        <f t="shared" ref="L808:N808" si="331">L809+L810</f>
        <v>0</v>
      </c>
      <c r="M808" s="640">
        <f t="shared" si="331"/>
        <v>0</v>
      </c>
      <c r="N808" s="640">
        <f t="shared" si="331"/>
        <v>0</v>
      </c>
      <c r="O808" s="640">
        <f t="shared" si="328"/>
        <v>0</v>
      </c>
      <c r="P808" s="640">
        <f t="shared" si="329"/>
        <v>0</v>
      </c>
      <c r="Q808" s="597"/>
      <c r="R808" s="597"/>
      <c r="S808" s="597"/>
      <c r="T808" s="597"/>
      <c r="U808" s="597"/>
      <c r="V808" s="597"/>
      <c r="W808" s="597"/>
      <c r="X808" s="597"/>
      <c r="Y808" s="597"/>
      <c r="Z808" s="597"/>
    </row>
    <row r="809" spans="1:26" ht="18.75" hidden="1">
      <c r="A809" s="592"/>
      <c r="B809" s="750"/>
      <c r="C809" s="750"/>
      <c r="D809" s="609"/>
      <c r="E809" s="750" t="s">
        <v>184</v>
      </c>
      <c r="F809" s="750"/>
      <c r="G809" s="596"/>
      <c r="H809" s="165" t="s">
        <v>12</v>
      </c>
      <c r="I809" s="610"/>
      <c r="J809" s="610"/>
      <c r="K809" s="93"/>
      <c r="L809" s="93">
        <v>0</v>
      </c>
      <c r="M809" s="93">
        <v>0</v>
      </c>
      <c r="N809" s="93">
        <v>0</v>
      </c>
      <c r="O809" s="93">
        <f t="shared" si="328"/>
        <v>0</v>
      </c>
      <c r="P809" s="93">
        <f t="shared" si="329"/>
        <v>0</v>
      </c>
      <c r="Q809" s="597"/>
      <c r="R809" s="597"/>
      <c r="S809" s="597"/>
      <c r="T809" s="597"/>
      <c r="U809" s="597"/>
      <c r="V809" s="597"/>
      <c r="W809" s="597"/>
      <c r="X809" s="597"/>
      <c r="Y809" s="597"/>
      <c r="Z809" s="597"/>
    </row>
    <row r="810" spans="1:26" ht="18.75" hidden="1">
      <c r="A810" s="592"/>
      <c r="B810" s="750"/>
      <c r="C810" s="750"/>
      <c r="D810" s="609"/>
      <c r="E810" s="750" t="s">
        <v>185</v>
      </c>
      <c r="F810" s="750"/>
      <c r="G810" s="596"/>
      <c r="H810" s="165" t="s">
        <v>12</v>
      </c>
      <c r="I810" s="610"/>
      <c r="J810" s="610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8"/>
        <v>0</v>
      </c>
      <c r="P810" s="93">
        <f t="shared" si="329"/>
        <v>0</v>
      </c>
      <c r="Q810" s="597"/>
      <c r="R810" s="597"/>
      <c r="S810" s="597"/>
      <c r="T810" s="597"/>
      <c r="U810" s="597"/>
      <c r="V810" s="597"/>
      <c r="W810" s="597"/>
      <c r="X810" s="597"/>
      <c r="Y810" s="597"/>
      <c r="Z810" s="597"/>
    </row>
    <row r="811" spans="1:26" ht="18.75" hidden="1">
      <c r="A811" s="642"/>
      <c r="B811" s="600"/>
      <c r="C811" s="750"/>
      <c r="D811" s="600"/>
      <c r="E811" s="750"/>
      <c r="F811" s="750" t="s">
        <v>186</v>
      </c>
      <c r="G811" s="596"/>
      <c r="H811" s="165" t="s">
        <v>12</v>
      </c>
      <c r="I811" s="610"/>
      <c r="J811" s="610"/>
      <c r="K811" s="93"/>
      <c r="L811" s="93"/>
      <c r="M811" s="93"/>
      <c r="N811" s="93"/>
      <c r="O811" s="93"/>
      <c r="P811" s="93"/>
      <c r="Q811" s="597"/>
      <c r="R811" s="597"/>
      <c r="S811" s="597"/>
      <c r="T811" s="597"/>
      <c r="U811" s="597"/>
      <c r="V811" s="597"/>
      <c r="W811" s="597"/>
      <c r="X811" s="597"/>
      <c r="Y811" s="597"/>
      <c r="Z811" s="597"/>
    </row>
    <row r="812" spans="1:26" ht="18.75" hidden="1">
      <c r="A812" s="642"/>
      <c r="B812" s="600"/>
      <c r="C812" s="750"/>
      <c r="D812" s="600"/>
      <c r="E812" s="750"/>
      <c r="F812" s="750" t="s">
        <v>187</v>
      </c>
      <c r="G812" s="596"/>
      <c r="H812" s="165" t="s">
        <v>12</v>
      </c>
      <c r="I812" s="610"/>
      <c r="J812" s="610"/>
      <c r="K812" s="93"/>
      <c r="L812" s="93"/>
      <c r="M812" s="93"/>
      <c r="N812" s="93"/>
      <c r="O812" s="93"/>
      <c r="P812" s="93"/>
      <c r="Q812" s="597"/>
      <c r="R812" s="597"/>
      <c r="S812" s="597"/>
      <c r="T812" s="597"/>
      <c r="U812" s="597"/>
      <c r="V812" s="597"/>
      <c r="W812" s="597"/>
      <c r="X812" s="597"/>
      <c r="Y812" s="597"/>
      <c r="Z812" s="597"/>
    </row>
    <row r="813" spans="1:26" ht="18.75" hidden="1">
      <c r="A813" s="642"/>
      <c r="B813" s="600"/>
      <c r="C813" s="750"/>
      <c r="D813" s="600"/>
      <c r="E813" s="750"/>
      <c r="F813" s="750" t="s">
        <v>188</v>
      </c>
      <c r="G813" s="596"/>
      <c r="H813" s="165" t="s">
        <v>12</v>
      </c>
      <c r="I813" s="610"/>
      <c r="J813" s="610"/>
      <c r="K813" s="93"/>
      <c r="L813" s="93"/>
      <c r="M813" s="93"/>
      <c r="N813" s="93"/>
      <c r="O813" s="93"/>
      <c r="P813" s="93"/>
      <c r="Q813" s="597"/>
      <c r="R813" s="597"/>
      <c r="S813" s="597"/>
      <c r="T813" s="597"/>
      <c r="U813" s="597"/>
      <c r="V813" s="597"/>
      <c r="W813" s="597"/>
      <c r="X813" s="597"/>
      <c r="Y813" s="597"/>
      <c r="Z813" s="597"/>
    </row>
    <row r="814" spans="1:26" ht="18.75" hidden="1">
      <c r="A814" s="642"/>
      <c r="B814" s="600"/>
      <c r="C814" s="750"/>
      <c r="D814" s="600"/>
      <c r="E814" s="750"/>
      <c r="F814" s="750" t="s">
        <v>189</v>
      </c>
      <c r="G814" s="596"/>
      <c r="H814" s="165" t="s">
        <v>12</v>
      </c>
      <c r="I814" s="610"/>
      <c r="J814" s="610"/>
      <c r="K814" s="93"/>
      <c r="L814" s="93"/>
      <c r="M814" s="93"/>
      <c r="N814" s="93"/>
      <c r="O814" s="93"/>
      <c r="P814" s="93"/>
      <c r="Q814" s="597"/>
      <c r="R814" s="597"/>
      <c r="S814" s="597"/>
      <c r="T814" s="597"/>
      <c r="U814" s="597"/>
      <c r="V814" s="597"/>
      <c r="W814" s="597"/>
      <c r="X814" s="597"/>
      <c r="Y814" s="597"/>
      <c r="Z814" s="597"/>
    </row>
    <row r="815" spans="1:26" ht="19.5" hidden="1">
      <c r="A815" s="592"/>
      <c r="B815" s="600"/>
      <c r="C815" s="750"/>
      <c r="D815" s="869" t="s">
        <v>21</v>
      </c>
      <c r="E815" s="857"/>
      <c r="F815" s="857"/>
      <c r="G815" s="596"/>
      <c r="H815" s="774" t="s">
        <v>12</v>
      </c>
      <c r="I815" s="166"/>
      <c r="J815" s="166"/>
      <c r="K815" s="167"/>
      <c r="L815" s="640">
        <f t="shared" ref="L815:N815" si="332">L816+L817</f>
        <v>0</v>
      </c>
      <c r="M815" s="640">
        <f t="shared" si="332"/>
        <v>0</v>
      </c>
      <c r="N815" s="640">
        <f t="shared" si="332"/>
        <v>0</v>
      </c>
      <c r="O815" s="640">
        <f t="shared" ref="O815:O817" si="333">IF(L815&gt;0,N815*100/L815,0)</f>
        <v>0</v>
      </c>
      <c r="P815" s="640">
        <f t="shared" ref="P815:P817" si="334">IF(M815&gt;0,N815*100/M815,0)</f>
        <v>0</v>
      </c>
      <c r="Q815" s="597"/>
      <c r="R815" s="597"/>
      <c r="S815" s="597"/>
      <c r="T815" s="597"/>
      <c r="U815" s="597"/>
      <c r="V815" s="597"/>
      <c r="W815" s="597"/>
      <c r="X815" s="597"/>
      <c r="Y815" s="597"/>
      <c r="Z815" s="597"/>
    </row>
    <row r="816" spans="1:26" ht="18.75" hidden="1">
      <c r="A816" s="592"/>
      <c r="B816" s="600"/>
      <c r="C816" s="750"/>
      <c r="D816" s="600"/>
      <c r="E816" s="750" t="s">
        <v>18</v>
      </c>
      <c r="F816" s="750"/>
      <c r="G816" s="596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3"/>
        <v>0</v>
      </c>
      <c r="P816" s="93">
        <f t="shared" si="334"/>
        <v>0</v>
      </c>
      <c r="Q816" s="597"/>
      <c r="R816" s="597"/>
      <c r="S816" s="597"/>
      <c r="T816" s="597"/>
      <c r="U816" s="597"/>
      <c r="V816" s="597"/>
      <c r="W816" s="597"/>
      <c r="X816" s="597"/>
      <c r="Y816" s="597"/>
      <c r="Z816" s="597"/>
    </row>
    <row r="817" spans="1:26" ht="18.75" hidden="1">
      <c r="A817" s="592"/>
      <c r="B817" s="600"/>
      <c r="C817" s="750"/>
      <c r="D817" s="600"/>
      <c r="E817" s="750" t="s">
        <v>19</v>
      </c>
      <c r="F817" s="750"/>
      <c r="G817" s="596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3"/>
        <v>0</v>
      </c>
      <c r="P817" s="93">
        <f t="shared" si="334"/>
        <v>0</v>
      </c>
      <c r="Q817" s="597"/>
      <c r="R817" s="597"/>
      <c r="S817" s="597"/>
      <c r="T817" s="597"/>
      <c r="U817" s="597"/>
      <c r="V817" s="597"/>
      <c r="W817" s="597"/>
      <c r="X817" s="597"/>
      <c r="Y817" s="597"/>
      <c r="Z817" s="597"/>
    </row>
    <row r="818" spans="1:26" ht="19.5" hidden="1">
      <c r="A818" s="607"/>
      <c r="B818" s="609"/>
      <c r="C818" s="750" t="s">
        <v>16</v>
      </c>
      <c r="D818" s="842" t="s">
        <v>38</v>
      </c>
      <c r="E818" s="644"/>
      <c r="F818" s="644"/>
      <c r="G818" s="645"/>
      <c r="H818" s="365"/>
      <c r="I818" s="166"/>
      <c r="J818" s="166"/>
      <c r="K818" s="167"/>
      <c r="L818" s="167"/>
      <c r="M818" s="167"/>
      <c r="N818" s="167"/>
      <c r="O818" s="167"/>
      <c r="P818" s="167"/>
      <c r="Q818" s="597"/>
      <c r="R818" s="597"/>
      <c r="S818" s="597"/>
      <c r="T818" s="597"/>
      <c r="U818" s="597"/>
      <c r="V818" s="597"/>
      <c r="W818" s="597"/>
      <c r="X818" s="597"/>
      <c r="Y818" s="597"/>
      <c r="Z818" s="597"/>
    </row>
    <row r="819" spans="1:26" ht="19.5" hidden="1" thickBot="1">
      <c r="A819" s="805"/>
      <c r="B819" s="806"/>
      <c r="C819" s="808"/>
      <c r="D819" s="806"/>
      <c r="E819" s="808" t="s">
        <v>323</v>
      </c>
      <c r="F819" s="808"/>
      <c r="G819" s="809"/>
      <c r="H819" s="810" t="s">
        <v>46</v>
      </c>
      <c r="I819" s="811"/>
      <c r="J819" s="811"/>
      <c r="K819" s="812"/>
      <c r="L819" s="812"/>
      <c r="M819" s="812"/>
      <c r="N819" s="812"/>
      <c r="O819" s="812"/>
      <c r="P819" s="812"/>
      <c r="Q819" s="597"/>
      <c r="R819" s="597"/>
      <c r="S819" s="597"/>
      <c r="T819" s="597"/>
      <c r="U819" s="597"/>
      <c r="V819" s="597"/>
      <c r="W819" s="597"/>
      <c r="X819" s="597"/>
      <c r="Y819" s="597"/>
      <c r="Z819" s="597"/>
    </row>
    <row r="820" spans="1:26" ht="19.5">
      <c r="A820" s="813" t="s">
        <v>331</v>
      </c>
      <c r="B820" s="814"/>
      <c r="C820" s="814"/>
      <c r="D820" s="815"/>
      <c r="E820" s="814"/>
      <c r="F820" s="814"/>
      <c r="G820" s="816"/>
      <c r="H820" s="816"/>
      <c r="I820" s="214"/>
      <c r="J820" s="214"/>
      <c r="K820" s="817"/>
      <c r="L820" s="817"/>
      <c r="M820" s="817"/>
      <c r="N820" s="817"/>
      <c r="O820" s="817"/>
      <c r="P820" s="817"/>
      <c r="Q820" s="571"/>
      <c r="R820" s="571"/>
      <c r="S820" s="571"/>
      <c r="T820" s="571"/>
      <c r="U820" s="571"/>
      <c r="V820" s="571"/>
      <c r="W820" s="571"/>
      <c r="X820" s="571"/>
      <c r="Y820" s="571"/>
      <c r="Z820" s="571"/>
    </row>
    <row r="821" spans="1:26" ht="18.75">
      <c r="A821" s="735"/>
      <c r="B821" s="754" t="s">
        <v>325</v>
      </c>
      <c r="C821" s="754"/>
      <c r="D821" s="568"/>
      <c r="E821" s="754"/>
      <c r="F821" s="754"/>
      <c r="G821" s="189"/>
      <c r="H821" s="616" t="s">
        <v>12</v>
      </c>
      <c r="I821" s="269">
        <f ca="1">IFERROR(__xludf.DUMMYFUNCTION("IMPORTRANGE(""https://docs.google.com/spreadsheets/d/19vJNZY_5yjcGF2XGBMNZRCAIB0Kwfpjp8YEOfu-bneM/edit?usp=sharing"",""งานกองทุน!D56"")"),11570000)</f>
        <v>11570000</v>
      </c>
      <c r="J821" s="269">
        <f ca="1">IFERROR(__xludf.DUMMYFUNCTION("IMPORTRANGE(""https://docs.google.com/spreadsheets/d/19vJNZY_5yjcGF2XGBMNZRCAIB0Kwfpjp8YEOfu-bneM/edit?usp=sharing"",""งานกองทุน!F56"")"),460000)</f>
        <v>460000</v>
      </c>
      <c r="K821" s="496">
        <f t="shared" ref="K821:K828" ca="1" si="335">IF(I821&gt;0,J821*100/I821,0)</f>
        <v>3.9757994814174591</v>
      </c>
      <c r="L821" s="496"/>
      <c r="M821" s="496"/>
      <c r="N821" s="496"/>
      <c r="O821" s="496"/>
      <c r="P821" s="496"/>
      <c r="Q821" s="571"/>
      <c r="R821" s="571"/>
      <c r="S821" s="571"/>
      <c r="T821" s="571"/>
      <c r="U821" s="571"/>
      <c r="V821" s="571"/>
      <c r="W821" s="571"/>
      <c r="X821" s="571"/>
      <c r="Y821" s="571"/>
      <c r="Z821" s="571"/>
    </row>
    <row r="822" spans="1:26" ht="18.75">
      <c r="A822" s="735"/>
      <c r="B822" s="754"/>
      <c r="C822" s="754"/>
      <c r="D822" s="568"/>
      <c r="E822" s="754"/>
      <c r="F822" s="754"/>
      <c r="G822" s="189"/>
      <c r="H822" s="616" t="s">
        <v>35</v>
      </c>
      <c r="I822" s="269">
        <f ca="1">IFERROR(__xludf.DUMMYFUNCTION("IMPORTRANGE(""https://docs.google.com/spreadsheets/d/19vJNZY_5yjcGF2XGBMNZRCAIB0Kwfpjp8YEOfu-bneM/edit?usp=sharing"",""งานกองทุน!C56"")"),237)</f>
        <v>237</v>
      </c>
      <c r="J822" s="269">
        <f ca="1">IFERROR(__xludf.DUMMYFUNCTION("IMPORTRANGE(""https://docs.google.com/spreadsheets/d/19vJNZY_5yjcGF2XGBMNZRCAIB0Kwfpjp8YEOfu-bneM/edit?usp=sharing"",""งานกองทุน!E56"")"),10)</f>
        <v>10</v>
      </c>
      <c r="K822" s="496">
        <f t="shared" ca="1" si="335"/>
        <v>4.2194092827004219</v>
      </c>
      <c r="L822" s="496"/>
      <c r="M822" s="496"/>
      <c r="N822" s="496"/>
      <c r="O822" s="496"/>
      <c r="P822" s="496"/>
      <c r="Q822" s="571"/>
      <c r="R822" s="571"/>
      <c r="S822" s="571"/>
      <c r="T822" s="571"/>
      <c r="U822" s="571"/>
      <c r="V822" s="571"/>
      <c r="W822" s="571"/>
      <c r="X822" s="571"/>
      <c r="Y822" s="571"/>
      <c r="Z822" s="571"/>
    </row>
    <row r="823" spans="1:26" ht="18.75">
      <c r="A823" s="735"/>
      <c r="B823" s="754" t="s">
        <v>326</v>
      </c>
      <c r="C823" s="754"/>
      <c r="D823" s="568"/>
      <c r="E823" s="754"/>
      <c r="F823" s="754"/>
      <c r="G823" s="189"/>
      <c r="H823" s="616" t="s">
        <v>12</v>
      </c>
      <c r="I823" s="269">
        <f ca="1">IFERROR(__xludf.DUMMYFUNCTION("IMPORTRANGE(""https://docs.google.com/spreadsheets/d/19vJNZY_5yjcGF2XGBMNZRCAIB0Kwfpjp8YEOfu-bneM/edit?usp=sharing"",""งานกองทุน!I56"")"),0)</f>
        <v>0</v>
      </c>
      <c r="J823" s="269">
        <f ca="1">IFERROR(__xludf.DUMMYFUNCTION("IMPORTRANGE(""https://docs.google.com/spreadsheets/d/19vJNZY_5yjcGF2XGBMNZRCAIB0Kwfpjp8YEOfu-bneM/edit?usp=sharing"",""งานกองทุน!K56"")"),0)</f>
        <v>0</v>
      </c>
      <c r="K823" s="496">
        <f t="shared" ca="1" si="335"/>
        <v>0</v>
      </c>
      <c r="L823" s="496"/>
      <c r="M823" s="496"/>
      <c r="N823" s="496"/>
      <c r="O823" s="496"/>
      <c r="P823" s="496"/>
      <c r="Q823" s="571"/>
      <c r="R823" s="571"/>
      <c r="S823" s="571"/>
      <c r="T823" s="571"/>
      <c r="U823" s="571"/>
      <c r="V823" s="571"/>
      <c r="W823" s="571"/>
      <c r="X823" s="571"/>
      <c r="Y823" s="571"/>
      <c r="Z823" s="571"/>
    </row>
    <row r="824" spans="1:26" ht="18.75">
      <c r="A824" s="735"/>
      <c r="B824" s="754"/>
      <c r="C824" s="754"/>
      <c r="D824" s="568"/>
      <c r="E824" s="754"/>
      <c r="F824" s="754"/>
      <c r="G824" s="189"/>
      <c r="H824" s="616" t="s">
        <v>35</v>
      </c>
      <c r="I824" s="269">
        <f ca="1">IFERROR(__xludf.DUMMYFUNCTION("IMPORTRANGE(""https://docs.google.com/spreadsheets/d/19vJNZY_5yjcGF2XGBMNZRCAIB0Kwfpjp8YEOfu-bneM/edit?usp=sharing"",""งานกองทุน!H56"")"),0)</f>
        <v>0</v>
      </c>
      <c r="J824" s="269">
        <f ca="1">IFERROR(__xludf.DUMMYFUNCTION("IMPORTRANGE(""https://docs.google.com/spreadsheets/d/19vJNZY_5yjcGF2XGBMNZRCAIB0Kwfpjp8YEOfu-bneM/edit?usp=sharing"",""งานกองทุน!J56"")"),0)</f>
        <v>0</v>
      </c>
      <c r="K824" s="496">
        <f t="shared" ca="1" si="335"/>
        <v>0</v>
      </c>
      <c r="L824" s="496"/>
      <c r="M824" s="496"/>
      <c r="N824" s="496"/>
      <c r="O824" s="496"/>
      <c r="P824" s="496"/>
      <c r="Q824" s="571"/>
      <c r="R824" s="571"/>
      <c r="S824" s="571"/>
      <c r="T824" s="571"/>
      <c r="U824" s="571"/>
      <c r="V824" s="571"/>
      <c r="W824" s="571"/>
      <c r="X824" s="571"/>
      <c r="Y824" s="571"/>
      <c r="Z824" s="571"/>
    </row>
    <row r="825" spans="1:26" ht="18.75">
      <c r="A825" s="735"/>
      <c r="B825" s="754" t="s">
        <v>327</v>
      </c>
      <c r="C825" s="754"/>
      <c r="D825" s="568"/>
      <c r="E825" s="754"/>
      <c r="F825" s="754"/>
      <c r="G825" s="189"/>
      <c r="H825" s="616" t="s">
        <v>12</v>
      </c>
      <c r="I825" s="269">
        <f ca="1">IFERROR(__xludf.DUMMYFUNCTION("IMPORTRANGE(""https://docs.google.com/spreadsheets/d/19vJNZY_5yjcGF2XGBMNZRCAIB0Kwfpjp8YEOfu-bneM/edit?usp=sharing"",""งานกองทุน!N56"")"),0)</f>
        <v>0</v>
      </c>
      <c r="J825" s="269">
        <f ca="1">IFERROR(__xludf.DUMMYFUNCTION("IMPORTRANGE(""https://docs.google.com/spreadsheets/d/19vJNZY_5yjcGF2XGBMNZRCAIB0Kwfpjp8YEOfu-bneM/edit?usp=sharing"",""งานกองทุน!P56"")"),0)</f>
        <v>0</v>
      </c>
      <c r="K825" s="496">
        <f t="shared" ca="1" si="335"/>
        <v>0</v>
      </c>
      <c r="L825" s="496"/>
      <c r="M825" s="496"/>
      <c r="N825" s="496"/>
      <c r="O825" s="496"/>
      <c r="P825" s="496"/>
      <c r="Q825" s="571"/>
      <c r="R825" s="571"/>
      <c r="S825" s="571"/>
      <c r="T825" s="571"/>
      <c r="U825" s="571"/>
      <c r="V825" s="571"/>
      <c r="W825" s="571"/>
      <c r="X825" s="571"/>
      <c r="Y825" s="571"/>
      <c r="Z825" s="571"/>
    </row>
    <row r="826" spans="1:26" ht="18.75">
      <c r="A826" s="735"/>
      <c r="B826" s="754"/>
      <c r="C826" s="754"/>
      <c r="D826" s="568"/>
      <c r="E826" s="754"/>
      <c r="F826" s="754"/>
      <c r="G826" s="189"/>
      <c r="H826" s="616" t="s">
        <v>35</v>
      </c>
      <c r="I826" s="269">
        <f ca="1">IFERROR(__xludf.DUMMYFUNCTION("IMPORTRANGE(""https://docs.google.com/spreadsheets/d/19vJNZY_5yjcGF2XGBMNZRCAIB0Kwfpjp8YEOfu-bneM/edit?usp=sharing"",""งานกองทุน!M56"")"),0)</f>
        <v>0</v>
      </c>
      <c r="J826" s="269">
        <f ca="1">IFERROR(__xludf.DUMMYFUNCTION("IMPORTRANGE(""https://docs.google.com/spreadsheets/d/19vJNZY_5yjcGF2XGBMNZRCAIB0Kwfpjp8YEOfu-bneM/edit?usp=sharing"",""งานกองทุน!O56"")"),0)</f>
        <v>0</v>
      </c>
      <c r="K826" s="496">
        <f t="shared" ca="1" si="335"/>
        <v>0</v>
      </c>
      <c r="L826" s="496"/>
      <c r="M826" s="496"/>
      <c r="N826" s="496"/>
      <c r="O826" s="496"/>
      <c r="P826" s="496"/>
      <c r="Q826" s="571"/>
      <c r="R826" s="571"/>
      <c r="S826" s="571"/>
      <c r="T826" s="571"/>
      <c r="U826" s="571"/>
      <c r="V826" s="571"/>
      <c r="W826" s="571"/>
      <c r="X826" s="571"/>
      <c r="Y826" s="571"/>
      <c r="Z826" s="571"/>
    </row>
    <row r="827" spans="1:26" ht="18.75">
      <c r="A827" s="735"/>
      <c r="B827" s="754" t="s">
        <v>328</v>
      </c>
      <c r="C827" s="754"/>
      <c r="D827" s="568"/>
      <c r="E827" s="754"/>
      <c r="F827" s="754"/>
      <c r="G827" s="189"/>
      <c r="H827" s="616" t="s">
        <v>12</v>
      </c>
      <c r="I827" s="269">
        <f ca="1">IFERROR(__xludf.DUMMYFUNCTION("IMPORTRANGE(""https://docs.google.com/spreadsheets/d/19vJNZY_5yjcGF2XGBMNZRCAIB0Kwfpjp8YEOfu-bneM/edit?usp=sharing"",""งานกองทุน!S56"")"),10120000)</f>
        <v>10120000</v>
      </c>
      <c r="J827" s="269">
        <f ca="1">IFERROR(__xludf.DUMMYFUNCTION("IMPORTRANGE(""https://docs.google.com/spreadsheets/d/19vJNZY_5yjcGF2XGBMNZRCAIB0Kwfpjp8YEOfu-bneM/edit?usp=sharing"",""งานกองทุน!U56"")"),200000)</f>
        <v>200000</v>
      </c>
      <c r="K827" s="496">
        <f t="shared" ca="1" si="335"/>
        <v>1.9762845849802371</v>
      </c>
      <c r="L827" s="496"/>
      <c r="M827" s="496"/>
      <c r="N827" s="496"/>
      <c r="O827" s="496"/>
      <c r="P827" s="496"/>
      <c r="Q827" s="571"/>
      <c r="R827" s="571"/>
      <c r="S827" s="571"/>
      <c r="T827" s="571"/>
      <c r="U827" s="571"/>
      <c r="V827" s="571"/>
      <c r="W827" s="571"/>
      <c r="X827" s="571"/>
      <c r="Y827" s="571"/>
      <c r="Z827" s="571"/>
    </row>
    <row r="828" spans="1:26" ht="18.75">
      <c r="A828" s="738"/>
      <c r="B828" s="740"/>
      <c r="C828" s="740"/>
      <c r="D828" s="739"/>
      <c r="E828" s="740"/>
      <c r="F828" s="740"/>
      <c r="G828" s="818"/>
      <c r="H828" s="819" t="s">
        <v>35</v>
      </c>
      <c r="I828" s="499">
        <f ca="1">IFERROR(__xludf.DUMMYFUNCTION("IMPORTRANGE(""https://docs.google.com/spreadsheets/d/19vJNZY_5yjcGF2XGBMNZRCAIB0Kwfpjp8YEOfu-bneM/edit?usp=sharing"",""งานกองทุน!R56"")"),249)</f>
        <v>249</v>
      </c>
      <c r="J828" s="499">
        <f ca="1">IFERROR(__xludf.DUMMYFUNCTION("IMPORTRANGE(""https://docs.google.com/spreadsheets/d/19vJNZY_5yjcGF2XGBMNZRCAIB0Kwfpjp8YEOfu-bneM/edit?usp=sharing"",""งานกองทุน!T56"")"),4)</f>
        <v>4</v>
      </c>
      <c r="K828" s="500">
        <f t="shared" ca="1" si="335"/>
        <v>1.606425702811245</v>
      </c>
      <c r="L828" s="500"/>
      <c r="M828" s="500"/>
      <c r="N828" s="500"/>
      <c r="O828" s="500"/>
      <c r="P828" s="500"/>
      <c r="Q828" s="571"/>
      <c r="R828" s="571"/>
      <c r="S828" s="571"/>
      <c r="T828" s="571"/>
      <c r="U828" s="571"/>
      <c r="V828" s="571"/>
      <c r="W828" s="571"/>
      <c r="X828" s="571"/>
      <c r="Y828" s="571"/>
      <c r="Z828" s="571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544:F544"/>
    <mergeCell ref="A7:G7"/>
    <mergeCell ref="A17:G17"/>
    <mergeCell ref="A27:G27"/>
    <mergeCell ref="B40:G40"/>
    <mergeCell ref="A50:G50"/>
    <mergeCell ref="B51:G51"/>
    <mergeCell ref="D419:F419"/>
    <mergeCell ref="D444:F444"/>
    <mergeCell ref="D467:F467"/>
    <mergeCell ref="D502:F502"/>
    <mergeCell ref="D523:F523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 gridLines="1"/>
  <pageMargins left="0.23622047244094491" right="0.23622047244094491" top="0.74803149606299213" bottom="0.74803149606299213" header="0" footer="0"/>
  <pageSetup paperSize="9" scale="43" fitToHeight="0" pageOrder="overThenDown" orientation="portrait" cellComments="atEnd" r:id="rId1"/>
  <headerFooter>
    <oddFooter>&amp;Cหน้า &amp;P/&amp;N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046ECE-A0DD-442D-AA27-49607445EF16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activeCell="A2" sqref="A2:P2"/>
      <selection pane="bottomLeft" activeCell="A2" sqref="A2:P2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9" width="16.85546875" bestFit="1" customWidth="1"/>
    <col min="10" max="10" width="14.42578125" bestFit="1" customWidth="1"/>
    <col min="11" max="11" width="12.5703125" customWidth="1"/>
    <col min="12" max="14" width="21.28515625" bestFit="1" customWidth="1"/>
    <col min="15" max="16" width="17.5703125" customWidth="1"/>
  </cols>
  <sheetData>
    <row r="1" spans="1:26" ht="19.5">
      <c r="A1" s="844" t="s">
        <v>0</v>
      </c>
      <c r="B1" s="845"/>
      <c r="C1" s="845"/>
      <c r="D1" s="845"/>
      <c r="E1" s="845"/>
      <c r="F1" s="845"/>
      <c r="G1" s="845"/>
      <c r="H1" s="845"/>
      <c r="I1" s="845"/>
      <c r="J1" s="845"/>
      <c r="K1" s="845"/>
      <c r="L1" s="845"/>
      <c r="M1" s="845"/>
      <c r="N1" s="845"/>
      <c r="O1" s="845"/>
      <c r="P1" s="845"/>
    </row>
    <row r="2" spans="1:26" ht="19.5">
      <c r="A2" s="844" t="s">
        <v>338</v>
      </c>
      <c r="B2" s="845"/>
      <c r="C2" s="845"/>
      <c r="D2" s="845"/>
      <c r="E2" s="845"/>
      <c r="F2" s="845"/>
      <c r="G2" s="845"/>
      <c r="H2" s="845"/>
      <c r="I2" s="845"/>
      <c r="J2" s="845"/>
      <c r="K2" s="845"/>
      <c r="L2" s="845"/>
      <c r="M2" s="845"/>
      <c r="N2" s="845"/>
      <c r="O2" s="845"/>
      <c r="P2" s="845"/>
    </row>
    <row r="3" spans="1:26" ht="19.5">
      <c r="A3" s="844" t="s">
        <v>347</v>
      </c>
      <c r="B3" s="845"/>
      <c r="C3" s="845"/>
      <c r="D3" s="845"/>
      <c r="E3" s="845"/>
      <c r="F3" s="845"/>
      <c r="G3" s="845"/>
      <c r="H3" s="845"/>
      <c r="I3" s="845"/>
      <c r="J3" s="845"/>
      <c r="K3" s="845"/>
      <c r="L3" s="845"/>
      <c r="M3" s="845"/>
      <c r="N3" s="845"/>
      <c r="O3" s="845"/>
      <c r="P3" s="845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52" t="s">
        <v>2</v>
      </c>
      <c r="B5" s="845"/>
      <c r="C5" s="845"/>
      <c r="D5" s="845"/>
      <c r="E5" s="845"/>
      <c r="F5" s="845"/>
      <c r="G5" s="853"/>
      <c r="H5" s="846" t="s">
        <v>3</v>
      </c>
      <c r="I5" s="848" t="s">
        <v>4</v>
      </c>
      <c r="J5" s="849"/>
      <c r="K5" s="847"/>
      <c r="L5" s="850" t="s">
        <v>5</v>
      </c>
      <c r="M5" s="847"/>
      <c r="N5" s="851" t="s">
        <v>6</v>
      </c>
      <c r="O5" s="849"/>
      <c r="P5" s="847"/>
    </row>
    <row r="6" spans="1:26" ht="19.5">
      <c r="A6" s="854"/>
      <c r="B6" s="849"/>
      <c r="C6" s="849"/>
      <c r="D6" s="849"/>
      <c r="E6" s="849"/>
      <c r="F6" s="849"/>
      <c r="G6" s="847"/>
      <c r="H6" s="847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55" t="s">
        <v>15</v>
      </c>
      <c r="B7" s="849"/>
      <c r="C7" s="849"/>
      <c r="D7" s="849"/>
      <c r="E7" s="849"/>
      <c r="F7" s="849"/>
      <c r="G7" s="847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6792414</v>
      </c>
      <c r="M8" s="22">
        <f t="shared" ca="1" si="0"/>
        <v>4708173</v>
      </c>
      <c r="N8" s="22">
        <f t="shared" ca="1" si="0"/>
        <v>3792534.38</v>
      </c>
      <c r="O8" s="22">
        <f t="shared" ref="O8:O16" ca="1" si="1">IF(L8&gt;0,N8*100/L8,0)</f>
        <v>55.834853117021432</v>
      </c>
      <c r="P8" s="22">
        <f t="shared" ref="P8:P16" ca="1" si="2">IF(M8&gt;0,N8*100/M8,0)</f>
        <v>80.552145811124618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6792414</v>
      </c>
      <c r="M10" s="30">
        <f t="shared" ca="1" si="3"/>
        <v>4708173</v>
      </c>
      <c r="N10" s="30">
        <f t="shared" ca="1" si="3"/>
        <v>3792534.38</v>
      </c>
      <c r="O10" s="30">
        <f t="shared" ca="1" si="1"/>
        <v>55.834853117021432</v>
      </c>
      <c r="P10" s="30">
        <f t="shared" ca="1" si="2"/>
        <v>80.552145811124618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16" t="s">
        <v>12</v>
      </c>
      <c r="I11" s="269"/>
      <c r="J11" s="269"/>
      <c r="K11" s="496"/>
      <c r="L11" s="496">
        <f t="shared" ref="L11:N11" ca="1" si="4">L12+L13</f>
        <v>3518314</v>
      </c>
      <c r="M11" s="496">
        <f t="shared" ca="1" si="4"/>
        <v>1434073</v>
      </c>
      <c r="N11" s="496">
        <f t="shared" ca="1" si="4"/>
        <v>878434.38</v>
      </c>
      <c r="O11" s="496">
        <f t="shared" ca="1" si="1"/>
        <v>24.967481015054371</v>
      </c>
      <c r="P11" s="496">
        <f t="shared" ca="1" si="2"/>
        <v>61.254509359007528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2" t="s">
        <v>18</v>
      </c>
      <c r="F12" s="40"/>
      <c r="G12" s="42"/>
      <c r="H12" s="43" t="s">
        <v>12</v>
      </c>
      <c r="I12" s="610"/>
      <c r="J12" s="610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2" t="s">
        <v>19</v>
      </c>
      <c r="F13" s="40"/>
      <c r="G13" s="42"/>
      <c r="H13" s="43" t="s">
        <v>12</v>
      </c>
      <c r="I13" s="610"/>
      <c r="J13" s="610"/>
      <c r="K13" s="93"/>
      <c r="L13" s="93">
        <f t="shared" ca="1" si="5"/>
        <v>3518314</v>
      </c>
      <c r="M13" s="93">
        <f t="shared" ca="1" si="5"/>
        <v>1434073</v>
      </c>
      <c r="N13" s="93">
        <f t="shared" ca="1" si="5"/>
        <v>878434.38</v>
      </c>
      <c r="O13" s="93">
        <f t="shared" ca="1" si="1"/>
        <v>24.967481015054371</v>
      </c>
      <c r="P13" s="93">
        <f t="shared" ca="1" si="2"/>
        <v>61.254509359007528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16" t="s">
        <v>12</v>
      </c>
      <c r="I14" s="269"/>
      <c r="J14" s="269"/>
      <c r="K14" s="496"/>
      <c r="L14" s="496">
        <f t="shared" ref="L14:N14" ca="1" si="6">L15+L16</f>
        <v>3274100</v>
      </c>
      <c r="M14" s="496">
        <f t="shared" ca="1" si="6"/>
        <v>3274100</v>
      </c>
      <c r="N14" s="496">
        <f t="shared" ca="1" si="6"/>
        <v>2914100</v>
      </c>
      <c r="O14" s="496">
        <f t="shared" ca="1" si="1"/>
        <v>89.004611954430231</v>
      </c>
      <c r="P14" s="496">
        <f t="shared" ca="1" si="2"/>
        <v>89.004611954430231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2" t="s">
        <v>18</v>
      </c>
      <c r="F15" s="40"/>
      <c r="G15" s="42"/>
      <c r="H15" s="43" t="s">
        <v>12</v>
      </c>
      <c r="I15" s="610"/>
      <c r="J15" s="610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3274100</v>
      </c>
      <c r="M16" s="52">
        <f t="shared" ca="1" si="7"/>
        <v>3274100</v>
      </c>
      <c r="N16" s="52">
        <f t="shared" ca="1" si="7"/>
        <v>2914100</v>
      </c>
      <c r="O16" s="52">
        <f t="shared" ca="1" si="1"/>
        <v>89.004611954430231</v>
      </c>
      <c r="P16" s="52">
        <f t="shared" ca="1" si="2"/>
        <v>89.004611954430231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55" t="s">
        <v>22</v>
      </c>
      <c r="B17" s="849"/>
      <c r="C17" s="849"/>
      <c r="D17" s="849"/>
      <c r="E17" s="849"/>
      <c r="F17" s="849"/>
      <c r="G17" s="847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6154866</v>
      </c>
      <c r="M18" s="22">
        <f t="shared" ca="1" si="8"/>
        <v>4708173</v>
      </c>
      <c r="N18" s="22">
        <f t="shared" ca="1" si="8"/>
        <v>3735024.38</v>
      </c>
      <c r="O18" s="22">
        <f t="shared" ref="O18:O26" ca="1" si="9">IF(L18&gt;0,N18*100/L18,0)</f>
        <v>60.684089304300045</v>
      </c>
      <c r="P18" s="22">
        <f t="shared" ref="P18:P26" ca="1" si="10">IF(M18&gt;0,N18*100/M18,0)</f>
        <v>79.330652888073573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6154866</v>
      </c>
      <c r="M20" s="30">
        <f t="shared" ca="1" si="11"/>
        <v>4708173</v>
      </c>
      <c r="N20" s="30">
        <f t="shared" ca="1" si="11"/>
        <v>3735024.38</v>
      </c>
      <c r="O20" s="30">
        <f t="shared" ca="1" si="9"/>
        <v>60.684089304300045</v>
      </c>
      <c r="P20" s="30">
        <f t="shared" ca="1" si="10"/>
        <v>79.330652888073573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16" t="s">
        <v>12</v>
      </c>
      <c r="I21" s="269"/>
      <c r="J21" s="269"/>
      <c r="K21" s="496"/>
      <c r="L21" s="496">
        <f t="shared" ref="L21:N21" ca="1" si="12">L22+L23</f>
        <v>2880766</v>
      </c>
      <c r="M21" s="496">
        <f t="shared" ca="1" si="12"/>
        <v>1434073</v>
      </c>
      <c r="N21" s="496">
        <f t="shared" ca="1" si="12"/>
        <v>820924.38</v>
      </c>
      <c r="O21" s="496">
        <f t="shared" ca="1" si="9"/>
        <v>28.49673940889333</v>
      </c>
      <c r="P21" s="496">
        <f t="shared" ca="1" si="10"/>
        <v>57.244253256284722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2" t="s">
        <v>18</v>
      </c>
      <c r="F22" s="40"/>
      <c r="G22" s="42"/>
      <c r="H22" s="43" t="s">
        <v>12</v>
      </c>
      <c r="I22" s="610"/>
      <c r="J22" s="610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2" t="s">
        <v>19</v>
      </c>
      <c r="F23" s="40"/>
      <c r="G23" s="42"/>
      <c r="H23" s="43" t="s">
        <v>12</v>
      </c>
      <c r="I23" s="610"/>
      <c r="J23" s="610"/>
      <c r="K23" s="93"/>
      <c r="L23" s="93">
        <f t="shared" ca="1" si="13"/>
        <v>2880766</v>
      </c>
      <c r="M23" s="93">
        <f t="shared" ca="1" si="13"/>
        <v>1434073</v>
      </c>
      <c r="N23" s="93">
        <f t="shared" ca="1" si="13"/>
        <v>820924.38</v>
      </c>
      <c r="O23" s="93">
        <f t="shared" ca="1" si="9"/>
        <v>28.49673940889333</v>
      </c>
      <c r="P23" s="93">
        <f t="shared" ca="1" si="10"/>
        <v>57.244253256284722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16" t="s">
        <v>12</v>
      </c>
      <c r="I24" s="269"/>
      <c r="J24" s="269"/>
      <c r="K24" s="496"/>
      <c r="L24" s="496">
        <f t="shared" ref="L24:N24" ca="1" si="14">L25+L26</f>
        <v>3274100</v>
      </c>
      <c r="M24" s="496">
        <f t="shared" ca="1" si="14"/>
        <v>3274100</v>
      </c>
      <c r="N24" s="496">
        <f t="shared" ca="1" si="14"/>
        <v>2914100</v>
      </c>
      <c r="O24" s="496">
        <f t="shared" ca="1" si="9"/>
        <v>89.004611954430231</v>
      </c>
      <c r="P24" s="496">
        <f t="shared" ca="1" si="10"/>
        <v>89.004611954430231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2" t="s">
        <v>18</v>
      </c>
      <c r="F25" s="40"/>
      <c r="G25" s="42"/>
      <c r="H25" s="43" t="s">
        <v>12</v>
      </c>
      <c r="I25" s="610"/>
      <c r="J25" s="610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3274100</v>
      </c>
      <c r="M26" s="52">
        <f t="shared" ca="1" si="15"/>
        <v>3274100</v>
      </c>
      <c r="N26" s="52">
        <f t="shared" ca="1" si="15"/>
        <v>2914100</v>
      </c>
      <c r="O26" s="52">
        <f t="shared" ca="1" si="9"/>
        <v>89.004611954430231</v>
      </c>
      <c r="P26" s="52">
        <f t="shared" ca="1" si="10"/>
        <v>89.004611954430231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55" t="s">
        <v>23</v>
      </c>
      <c r="B27" s="849"/>
      <c r="C27" s="849"/>
      <c r="D27" s="849"/>
      <c r="E27" s="849"/>
      <c r="F27" s="849"/>
      <c r="G27" s="847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637548</v>
      </c>
      <c r="M28" s="22">
        <f t="shared" si="16"/>
        <v>0</v>
      </c>
      <c r="N28" s="22">
        <f t="shared" si="16"/>
        <v>57510</v>
      </c>
      <c r="O28" s="22">
        <f t="shared" ref="O28:O37" ca="1" si="17">IF(L28&gt;0,N28*100/L28,0)</f>
        <v>9.0204972802047845</v>
      </c>
      <c r="P28" s="22">
        <f t="shared" ref="P28:P37" si="18">IF(M28&gt;0,N28*100/M28,0)</f>
        <v>0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637548</v>
      </c>
      <c r="M30" s="30">
        <f t="shared" si="19"/>
        <v>0</v>
      </c>
      <c r="N30" s="30">
        <f t="shared" si="19"/>
        <v>57510</v>
      </c>
      <c r="O30" s="30">
        <f t="shared" ca="1" si="17"/>
        <v>9.0204972802047845</v>
      </c>
      <c r="P30" s="30">
        <f t="shared" si="18"/>
        <v>0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16" t="s">
        <v>12</v>
      </c>
      <c r="I31" s="269"/>
      <c r="J31" s="269"/>
      <c r="K31" s="496"/>
      <c r="L31" s="496">
        <f t="shared" ref="L31:N31" ca="1" si="20">L32+L33</f>
        <v>637548</v>
      </c>
      <c r="M31" s="496">
        <f t="shared" si="20"/>
        <v>0</v>
      </c>
      <c r="N31" s="496">
        <f t="shared" si="20"/>
        <v>57510</v>
      </c>
      <c r="O31" s="496">
        <f t="shared" ca="1" si="17"/>
        <v>9.0204972802047845</v>
      </c>
      <c r="P31" s="496">
        <f t="shared" si="18"/>
        <v>0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2" t="s">
        <v>18</v>
      </c>
      <c r="F32" s="40"/>
      <c r="G32" s="42"/>
      <c r="H32" s="43" t="s">
        <v>12</v>
      </c>
      <c r="I32" s="610"/>
      <c r="J32" s="610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2" t="s">
        <v>19</v>
      </c>
      <c r="F33" s="40"/>
      <c r="G33" s="42"/>
      <c r="H33" s="43" t="s">
        <v>12</v>
      </c>
      <c r="I33" s="610"/>
      <c r="J33" s="610"/>
      <c r="K33" s="93"/>
      <c r="L33" s="93">
        <f t="shared" ca="1" si="21"/>
        <v>637548</v>
      </c>
      <c r="M33" s="93">
        <f t="shared" si="21"/>
        <v>0</v>
      </c>
      <c r="N33" s="93">
        <f t="shared" si="21"/>
        <v>57510</v>
      </c>
      <c r="O33" s="93">
        <f t="shared" ca="1" si="17"/>
        <v>9.0204972802047845</v>
      </c>
      <c r="P33" s="93">
        <f t="shared" si="18"/>
        <v>0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16" t="s">
        <v>12</v>
      </c>
      <c r="I34" s="269"/>
      <c r="J34" s="269"/>
      <c r="K34" s="496"/>
      <c r="L34" s="496">
        <f t="shared" ref="L34:N34" ca="1" si="22">L35+L36</f>
        <v>0</v>
      </c>
      <c r="M34" s="496">
        <f t="shared" si="22"/>
        <v>0</v>
      </c>
      <c r="N34" s="496">
        <f t="shared" si="22"/>
        <v>0</v>
      </c>
      <c r="O34" s="496">
        <f t="shared" ca="1" si="17"/>
        <v>0</v>
      </c>
      <c r="P34" s="496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2" t="s">
        <v>18</v>
      </c>
      <c r="F35" s="40"/>
      <c r="G35" s="42"/>
      <c r="H35" s="43" t="s">
        <v>12</v>
      </c>
      <c r="I35" s="610"/>
      <c r="J35" s="610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53" t="s">
        <v>24</v>
      </c>
      <c r="B37" s="54"/>
      <c r="C37" s="54"/>
      <c r="D37" s="54"/>
      <c r="E37" s="54"/>
      <c r="F37" s="54"/>
      <c r="G37" s="55"/>
      <c r="H37" s="56"/>
      <c r="I37" s="423"/>
      <c r="J37" s="423"/>
      <c r="K37" s="58"/>
      <c r="L37" s="59">
        <f t="shared" ref="L37:N37" ca="1" si="24">L41+L53+L66+L88+L119+L132+L149+L165+L181+L261+L277+L298+L315+L328+L345+L389+L402</f>
        <v>6154866</v>
      </c>
      <c r="M37" s="59">
        <f t="shared" ca="1" si="24"/>
        <v>4708173</v>
      </c>
      <c r="N37" s="59">
        <f t="shared" ca="1" si="24"/>
        <v>3735024.38</v>
      </c>
      <c r="O37" s="59">
        <f t="shared" ca="1" si="17"/>
        <v>60.684089304300045</v>
      </c>
      <c r="P37" s="59">
        <f t="shared" ca="1" si="18"/>
        <v>79.330652888073573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56" t="s">
        <v>27</v>
      </c>
      <c r="C40" s="857"/>
      <c r="D40" s="857"/>
      <c r="E40" s="857"/>
      <c r="F40" s="857"/>
      <c r="G40" s="858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20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309946</v>
      </c>
      <c r="M41" s="85">
        <f t="shared" ca="1" si="25"/>
        <v>160503</v>
      </c>
      <c r="N41" s="85">
        <f t="shared" ca="1" si="25"/>
        <v>78195.39</v>
      </c>
      <c r="O41" s="85">
        <f t="shared" ref="O41:O49" ca="1" si="26">IF(L41&gt;0,N41*100/L41,0)</f>
        <v>25.228714034057546</v>
      </c>
      <c r="P41" s="85">
        <f t="shared" ref="P41:P49" ca="1" si="27">IF(M41&gt;0,N41*100/M41,0)</f>
        <v>48.718958524139737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309946</v>
      </c>
      <c r="M43" s="92">
        <f t="shared" ca="1" si="28"/>
        <v>160503</v>
      </c>
      <c r="N43" s="92">
        <f t="shared" ca="1" si="28"/>
        <v>78195.39</v>
      </c>
      <c r="O43" s="92">
        <f t="shared" ca="1" si="26"/>
        <v>25.228714034057546</v>
      </c>
      <c r="P43" s="92">
        <f t="shared" ca="1" si="27"/>
        <v>48.718958524139737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16" t="s">
        <v>12</v>
      </c>
      <c r="I44" s="269"/>
      <c r="J44" s="269"/>
      <c r="K44" s="496"/>
      <c r="L44" s="496">
        <f t="shared" ref="L44:N44" ca="1" si="29">L45+L46</f>
        <v>309946</v>
      </c>
      <c r="M44" s="496">
        <f t="shared" ca="1" si="29"/>
        <v>160503</v>
      </c>
      <c r="N44" s="496">
        <f t="shared" ca="1" si="29"/>
        <v>78195.39</v>
      </c>
      <c r="O44" s="496">
        <f t="shared" ca="1" si="26"/>
        <v>25.228714034057546</v>
      </c>
      <c r="P44" s="496">
        <f t="shared" ca="1" si="27"/>
        <v>48.718958524139737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2" t="s">
        <v>18</v>
      </c>
      <c r="F45" s="40"/>
      <c r="G45" s="42"/>
      <c r="H45" s="43" t="s">
        <v>12</v>
      </c>
      <c r="I45" s="610"/>
      <c r="J45" s="610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2" t="s">
        <v>19</v>
      </c>
      <c r="F46" s="40"/>
      <c r="G46" s="42"/>
      <c r="H46" s="43" t="s">
        <v>12</v>
      </c>
      <c r="I46" s="610"/>
      <c r="J46" s="610"/>
      <c r="K46" s="93"/>
      <c r="L46" s="93">
        <f ca="1">IFERROR(__xludf.DUMMYFUNCTION("IMPORTRANGE(""https://docs.google.com/spreadsheets/d/1MeEWN-I1oV_STSDYn1IFDPWt_1FKiwhDph83XaGc0o0/edit?usp=sharing"",""งบพรบ!M57"")"),309946)</f>
        <v>309946</v>
      </c>
      <c r="M46" s="93">
        <f ca="1">IFERROR(__xludf.DUMMYFUNCTION("IMPORTRANGE(""https://docs.google.com/spreadsheets/d/1MeEWN-I1oV_STSDYn1IFDPWt_1FKiwhDph83XaGc0o0/edit?usp=sharing"",""งบพรบ!R57"")"),160503)</f>
        <v>160503</v>
      </c>
      <c r="N46" s="93">
        <f ca="1">IFERROR(__xludf.DUMMYFUNCTION("IMPORTRANGE(""https://docs.google.com/spreadsheets/d/1MeEWN-I1oV_STSDYn1IFDPWt_1FKiwhDph83XaGc0o0/edit?usp=sharing"",""งบพรบ!T57"")"),78195.39)</f>
        <v>78195.39</v>
      </c>
      <c r="O46" s="93">
        <f t="shared" ca="1" si="26"/>
        <v>25.228714034057546</v>
      </c>
      <c r="P46" s="93">
        <f t="shared" ca="1" si="27"/>
        <v>48.718958524139737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16" t="s">
        <v>12</v>
      </c>
      <c r="I47" s="269"/>
      <c r="J47" s="269"/>
      <c r="K47" s="496"/>
      <c r="L47" s="496">
        <f t="shared" ref="L47:N47" ca="1" si="30">L48+L49</f>
        <v>0</v>
      </c>
      <c r="M47" s="496">
        <f t="shared" ca="1" si="30"/>
        <v>0</v>
      </c>
      <c r="N47" s="496">
        <f t="shared" ca="1" si="30"/>
        <v>0</v>
      </c>
      <c r="O47" s="496">
        <f t="shared" ca="1" si="26"/>
        <v>0</v>
      </c>
      <c r="P47" s="496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2" t="s">
        <v>18</v>
      </c>
      <c r="F48" s="40"/>
      <c r="G48" s="42"/>
      <c r="H48" s="43" t="s">
        <v>12</v>
      </c>
      <c r="I48" s="610"/>
      <c r="J48" s="610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IFERROR(__xludf.DUMMYFUNCTION("IMPORTRANGE(""https://docs.google.com/spreadsheets/d/1MeEWN-I1oV_STSDYn1IFDPWt_1FKiwhDph83XaGc0o0/edit?usp=sharing"",""งบพรบ!P57"")"),0)</f>
        <v>0</v>
      </c>
      <c r="M49" s="52">
        <f ca="1">IFERROR(__xludf.DUMMYFUNCTION("IMPORTRANGE(""https://docs.google.com/spreadsheets/d/1MeEWN-I1oV_STSDYn1IFDPWt_1FKiwhDph83XaGc0o0/edit?usp=sharing"",""งบพรบ!S57"")"),0)</f>
        <v>0</v>
      </c>
      <c r="N49" s="52">
        <f ca="1">IFERROR(__xludf.DUMMYFUNCTION("IMPORTRANGE(""https://docs.google.com/spreadsheets/d/1MeEWN-I1oV_STSDYn1IFDPWt_1FKiwhDph83XaGc0o0/edit?usp=sharing"",""งบพรบ!U57"")"),0)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59" t="s">
        <v>28</v>
      </c>
      <c r="B50" s="849"/>
      <c r="C50" s="849"/>
      <c r="D50" s="849"/>
      <c r="E50" s="849"/>
      <c r="F50" s="849"/>
      <c r="G50" s="847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60" t="s">
        <v>29</v>
      </c>
      <c r="C51" s="857"/>
      <c r="D51" s="857"/>
      <c r="E51" s="857"/>
      <c r="F51" s="857"/>
      <c r="G51" s="858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21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3823100</v>
      </c>
      <c r="M53" s="116">
        <f t="shared" ca="1" si="31"/>
        <v>3511550</v>
      </c>
      <c r="N53" s="116">
        <f t="shared" ca="1" si="31"/>
        <v>3071915.48</v>
      </c>
      <c r="O53" s="116">
        <f t="shared" ref="O53:O61" ca="1" si="32">IF(L53&gt;0,N53*100/L53,0)</f>
        <v>80.351428945096913</v>
      </c>
      <c r="P53" s="116">
        <f t="shared" ref="P53:P61" ca="1" si="33">IF(M53&gt;0,N53*100/M53,0)</f>
        <v>87.480328629807346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3823100</v>
      </c>
      <c r="M55" s="123">
        <f t="shared" ca="1" si="34"/>
        <v>3511550</v>
      </c>
      <c r="N55" s="123">
        <f t="shared" ca="1" si="34"/>
        <v>3071915.48</v>
      </c>
      <c r="O55" s="123">
        <f t="shared" ca="1" si="32"/>
        <v>80.351428945096913</v>
      </c>
      <c r="P55" s="123">
        <f t="shared" ca="1" si="33"/>
        <v>87.480328629807346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16" t="s">
        <v>12</v>
      </c>
      <c r="I56" s="269"/>
      <c r="J56" s="269"/>
      <c r="K56" s="496"/>
      <c r="L56" s="496">
        <f t="shared" ref="L56:N56" ca="1" si="35">L57+L58</f>
        <v>623100</v>
      </c>
      <c r="M56" s="496">
        <f t="shared" ca="1" si="35"/>
        <v>311550</v>
      </c>
      <c r="N56" s="496">
        <f t="shared" ca="1" si="35"/>
        <v>231915.48</v>
      </c>
      <c r="O56" s="496">
        <f t="shared" ca="1" si="32"/>
        <v>37.219624458353394</v>
      </c>
      <c r="P56" s="496">
        <f t="shared" ca="1" si="33"/>
        <v>74.439248916706788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2" t="s">
        <v>18</v>
      </c>
      <c r="F57" s="40"/>
      <c r="G57" s="42"/>
      <c r="H57" s="43" t="s">
        <v>12</v>
      </c>
      <c r="I57" s="610"/>
      <c r="J57" s="610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2" t="s">
        <v>19</v>
      </c>
      <c r="F58" s="40"/>
      <c r="G58" s="42"/>
      <c r="H58" s="43" t="s">
        <v>12</v>
      </c>
      <c r="I58" s="610"/>
      <c r="J58" s="610"/>
      <c r="K58" s="93"/>
      <c r="L58" s="93">
        <f ca="1">IFERROR(__xludf.DUMMYFUNCTION("IMPORTRANGE(""https://docs.google.com/spreadsheets/d/1MeEWN-I1oV_STSDYn1IFDPWt_1FKiwhDph83XaGc0o0/edit?usp=sharing"",""งบพรบ!W57"")"),623100)</f>
        <v>623100</v>
      </c>
      <c r="M58" s="93">
        <f ca="1">IFERROR(__xludf.DUMMYFUNCTION("IMPORTRANGE(""https://docs.google.com/spreadsheets/d/1MeEWN-I1oV_STSDYn1IFDPWt_1FKiwhDph83XaGc0o0/edit?usp=sharing"",""งบพรบ!AB57"")"),311550)</f>
        <v>311550</v>
      </c>
      <c r="N58" s="93">
        <f ca="1">IFERROR(__xludf.DUMMYFUNCTION("IMPORTRANGE(""https://docs.google.com/spreadsheets/d/1MeEWN-I1oV_STSDYn1IFDPWt_1FKiwhDph83XaGc0o0/edit?usp=sharing"",""งบพรบ!AD57"")"),231915.48)</f>
        <v>231915.48</v>
      </c>
      <c r="O58" s="93">
        <f t="shared" ca="1" si="32"/>
        <v>37.219624458353394</v>
      </c>
      <c r="P58" s="93">
        <f t="shared" ca="1" si="33"/>
        <v>74.439248916706788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16" t="s">
        <v>12</v>
      </c>
      <c r="I59" s="269"/>
      <c r="J59" s="269"/>
      <c r="K59" s="496"/>
      <c r="L59" s="496">
        <f t="shared" ref="L59:N59" ca="1" si="36">L60+L61</f>
        <v>3200000</v>
      </c>
      <c r="M59" s="496">
        <f t="shared" ca="1" si="36"/>
        <v>3200000</v>
      </c>
      <c r="N59" s="496">
        <f t="shared" ca="1" si="36"/>
        <v>2840000</v>
      </c>
      <c r="O59" s="496">
        <f t="shared" ca="1" si="32"/>
        <v>88.75</v>
      </c>
      <c r="P59" s="496">
        <f t="shared" ca="1" si="33"/>
        <v>88.75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2" t="s">
        <v>18</v>
      </c>
      <c r="F60" s="40"/>
      <c r="G60" s="42"/>
      <c r="H60" s="43" t="s">
        <v>12</v>
      </c>
      <c r="I60" s="610"/>
      <c r="J60" s="610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IFERROR(__xludf.DUMMYFUNCTION("IMPORTRANGE(""https://docs.google.com/spreadsheets/d/1MeEWN-I1oV_STSDYn1IFDPWt_1FKiwhDph83XaGc0o0/edit?usp=sharing"",""งบพรบ!Z57"")"),3200000)</f>
        <v>3200000</v>
      </c>
      <c r="M61" s="52">
        <f ca="1">IFERROR(__xludf.DUMMYFUNCTION("IMPORTRANGE(""https://docs.google.com/spreadsheets/d/1MeEWN-I1oV_STSDYn1IFDPWt_1FKiwhDph83XaGc0o0/edit?usp=sharing"",""งบพรบ!AC57"")"),3200000)</f>
        <v>3200000</v>
      </c>
      <c r="N61" s="52">
        <f ca="1">IFERROR(__xludf.DUMMYFUNCTION("IMPORTRANGE(""https://docs.google.com/spreadsheets/d/1MeEWN-I1oV_STSDYn1IFDPWt_1FKiwhDph83XaGc0o0/edit?usp=sharing"",""งบพรบ!AE57"")"),2840000)</f>
        <v>2840000</v>
      </c>
      <c r="O61" s="52">
        <f t="shared" ca="1" si="32"/>
        <v>88.75</v>
      </c>
      <c r="P61" s="52">
        <f t="shared" ca="1" si="33"/>
        <v>88.75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>
      <c r="A64" s="138"/>
      <c r="B64" s="208" t="s">
        <v>33</v>
      </c>
      <c r="C64" s="140"/>
      <c r="D64" s="141"/>
      <c r="E64" s="140"/>
      <c r="F64" s="140"/>
      <c r="G64" s="142"/>
      <c r="H64" s="143" t="s">
        <v>34</v>
      </c>
      <c r="I64" s="144">
        <f t="shared" ref="I64:J65" ca="1" si="37">I76</f>
        <v>2</v>
      </c>
      <c r="J64" s="144">
        <f t="shared" si="37"/>
        <v>0</v>
      </c>
      <c r="K64" s="145">
        <f t="shared" ref="K64:K65" ca="1" si="38">IF(I64&gt;0,J64*100/I64,0)</f>
        <v>0</v>
      </c>
      <c r="L64" s="146"/>
      <c r="M64" s="146"/>
      <c r="N64" s="146"/>
      <c r="O64" s="146"/>
      <c r="P64" s="146"/>
    </row>
    <row r="65" spans="1:26" ht="19.5">
      <c r="A65" s="138"/>
      <c r="B65" s="140"/>
      <c r="C65" s="140"/>
      <c r="D65" s="141"/>
      <c r="E65" s="140"/>
      <c r="F65" s="140"/>
      <c r="G65" s="142"/>
      <c r="H65" s="143" t="s">
        <v>35</v>
      </c>
      <c r="I65" s="144">
        <f t="shared" ca="1" si="37"/>
        <v>64</v>
      </c>
      <c r="J65" s="144">
        <f t="shared" si="37"/>
        <v>0</v>
      </c>
      <c r="K65" s="145">
        <f t="shared" ca="1" si="38"/>
        <v>0</v>
      </c>
      <c r="L65" s="146"/>
      <c r="M65" s="146"/>
      <c r="N65" s="146"/>
      <c r="O65" s="146"/>
      <c r="P65" s="146"/>
    </row>
    <row r="66" spans="1:26" ht="19.5">
      <c r="A66" s="147"/>
      <c r="B66" s="148"/>
      <c r="C66" s="149" t="s">
        <v>16</v>
      </c>
      <c r="D66" s="822" t="s">
        <v>17</v>
      </c>
      <c r="E66" s="148"/>
      <c r="F66" s="148"/>
      <c r="G66" s="151"/>
      <c r="H66" s="152" t="s">
        <v>12</v>
      </c>
      <c r="I66" s="419"/>
      <c r="J66" s="419"/>
      <c r="K66" s="154"/>
      <c r="L66" s="155">
        <f t="shared" ref="L66:N66" ca="1" si="39">L67+L68</f>
        <v>1150600</v>
      </c>
      <c r="M66" s="155">
        <f t="shared" ca="1" si="39"/>
        <v>554600</v>
      </c>
      <c r="N66" s="155">
        <f t="shared" ca="1" si="39"/>
        <v>330300.51</v>
      </c>
      <c r="O66" s="155">
        <f t="shared" ref="O66:O74" ca="1" si="40">IF(L66&gt;0,N66*100/L66,0)</f>
        <v>28.706806014253434</v>
      </c>
      <c r="P66" s="155">
        <f t="shared" ref="P66:P74" ca="1" si="41">IF(M66&gt;0,N66*100/M66,0)</f>
        <v>59.556529029931482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2" t="s">
        <v>18</v>
      </c>
      <c r="F67" s="40"/>
      <c r="G67" s="157"/>
      <c r="H67" s="158" t="s">
        <v>12</v>
      </c>
      <c r="I67" s="610"/>
      <c r="J67" s="610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2" t="s">
        <v>19</v>
      </c>
      <c r="F68" s="40"/>
      <c r="G68" s="157"/>
      <c r="H68" s="158" t="s">
        <v>12</v>
      </c>
      <c r="I68" s="610"/>
      <c r="J68" s="610"/>
      <c r="K68" s="93"/>
      <c r="L68" s="93">
        <f t="shared" ca="1" si="42"/>
        <v>1150600</v>
      </c>
      <c r="M68" s="93">
        <f t="shared" ca="1" si="42"/>
        <v>554600</v>
      </c>
      <c r="N68" s="93">
        <f t="shared" ca="1" si="42"/>
        <v>330300.51</v>
      </c>
      <c r="O68" s="93">
        <f t="shared" ca="1" si="40"/>
        <v>28.706806014253434</v>
      </c>
      <c r="P68" s="93">
        <f t="shared" ca="1" si="41"/>
        <v>59.556529029931482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>
      <c r="A69" s="159"/>
      <c r="B69" s="33"/>
      <c r="C69" s="281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6">
        <f t="shared" ref="L69:N69" ca="1" si="43">L70+L71</f>
        <v>1150600</v>
      </c>
      <c r="M69" s="496">
        <f t="shared" ca="1" si="43"/>
        <v>554600</v>
      </c>
      <c r="N69" s="496">
        <f t="shared" ca="1" si="43"/>
        <v>330300.51</v>
      </c>
      <c r="O69" s="496">
        <f t="shared" ca="1" si="40"/>
        <v>28.706806014253434</v>
      </c>
      <c r="P69" s="496">
        <f t="shared" ca="1" si="41"/>
        <v>59.556529029931482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2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2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IFERROR(__xludf.DUMMYFUNCTION("IMPORTRANGE(""https://docs.google.com/spreadsheets/d/1MeEWN-I1oV_STSDYn1IFDPWt_1FKiwhDph83XaGc0o0/edit?usp=sharing"",""งบพรบ!AG57"")"),1150600)</f>
        <v>1150600</v>
      </c>
      <c r="M71" s="93">
        <f ca="1">IFERROR(__xludf.DUMMYFUNCTION("IMPORTRANGE(""https://docs.google.com/spreadsheets/d/1MeEWN-I1oV_STSDYn1IFDPWt_1FKiwhDph83XaGc0o0/edit?usp=sharing"",""งบพรบ!AL57"")"),554600)</f>
        <v>554600</v>
      </c>
      <c r="N71" s="93">
        <f ca="1">IFERROR(__xludf.DUMMYFUNCTION("IMPORTRANGE(""https://docs.google.com/spreadsheets/d/1MeEWN-I1oV_STSDYn1IFDPWt_1FKiwhDph83XaGc0o0/edit?usp=sharing"",""งบพรบ!AN57"")"),330300.51)</f>
        <v>330300.51</v>
      </c>
      <c r="O71" s="93">
        <f t="shared" ca="1" si="40"/>
        <v>28.706806014253434</v>
      </c>
      <c r="P71" s="93">
        <f t="shared" ca="1" si="41"/>
        <v>59.556529029931482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>
      <c r="A72" s="159"/>
      <c r="B72" s="33"/>
      <c r="C72" s="281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6">
        <f t="shared" ref="L72:N72" ca="1" si="44">L73+L74</f>
        <v>0</v>
      </c>
      <c r="M72" s="496">
        <f t="shared" ca="1" si="44"/>
        <v>0</v>
      </c>
      <c r="N72" s="496">
        <f t="shared" ca="1" si="44"/>
        <v>0</v>
      </c>
      <c r="O72" s="496">
        <f t="shared" ca="1" si="40"/>
        <v>0</v>
      </c>
      <c r="P72" s="496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2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2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IFERROR(__xludf.DUMMYFUNCTION("IMPORTRANGE(""https://docs.google.com/spreadsheets/d/1MeEWN-I1oV_STSDYn1IFDPWt_1FKiwhDph83XaGc0o0/edit?usp=sharing"",""งบพรบ!AJ57"")"),0)</f>
        <v>0</v>
      </c>
      <c r="M74" s="93">
        <f ca="1">IFERROR(__xludf.DUMMYFUNCTION("IMPORTRANGE(""https://docs.google.com/spreadsheets/d/1MeEWN-I1oV_STSDYn1IFDPWt_1FKiwhDph83XaGc0o0/edit?usp=sharing"",""งบพรบ!AM57"")"),0)</f>
        <v>0</v>
      </c>
      <c r="N74" s="93">
        <f ca="1">IFERROR(__xludf.DUMMYFUNCTION("IMPORTRANGE(""https://docs.google.com/spreadsheets/d/1MeEWN-I1oV_STSDYn1IFDPWt_1FKiwhDph83XaGc0o0/edit?usp=sharing"",""งบพรบ!AO57"")"),0)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>
      <c r="A75" s="170"/>
      <c r="B75" s="171"/>
      <c r="C75" s="164" t="s">
        <v>16</v>
      </c>
      <c r="D75" s="823" t="s">
        <v>38</v>
      </c>
      <c r="E75" s="173"/>
      <c r="F75" s="173"/>
      <c r="G75" s="174"/>
      <c r="H75" s="753"/>
      <c r="I75" s="184"/>
      <c r="J75" s="184"/>
      <c r="K75" s="163"/>
      <c r="L75" s="163"/>
      <c r="M75" s="163"/>
      <c r="N75" s="163"/>
      <c r="O75" s="163"/>
      <c r="P75" s="163"/>
    </row>
    <row r="76" spans="1:26" ht="19.5">
      <c r="A76" s="170"/>
      <c r="B76" s="171"/>
      <c r="C76" s="171"/>
      <c r="D76" s="176" t="s">
        <v>39</v>
      </c>
      <c r="E76" s="446"/>
      <c r="F76" s="178"/>
      <c r="G76" s="179"/>
      <c r="H76" s="180" t="s">
        <v>34</v>
      </c>
      <c r="I76" s="269">
        <f t="shared" ref="I76:J77" ca="1" si="45">I78+I80+I82</f>
        <v>2</v>
      </c>
      <c r="J76" s="269">
        <f t="shared" si="45"/>
        <v>0</v>
      </c>
      <c r="K76" s="163">
        <f t="shared" ref="K76:K84" ca="1" si="46">IF(I76&gt;0,J76*100/I76,0)</f>
        <v>0</v>
      </c>
      <c r="L76" s="163"/>
      <c r="M76" s="163"/>
      <c r="N76" s="163"/>
      <c r="O76" s="163"/>
      <c r="P76" s="163"/>
    </row>
    <row r="77" spans="1:26" ht="19.5">
      <c r="A77" s="170"/>
      <c r="B77" s="171"/>
      <c r="C77" s="171"/>
      <c r="D77" s="171"/>
      <c r="E77" s="178"/>
      <c r="F77" s="178"/>
      <c r="G77" s="179"/>
      <c r="H77" s="180" t="s">
        <v>35</v>
      </c>
      <c r="I77" s="269">
        <f t="shared" ca="1" si="45"/>
        <v>64</v>
      </c>
      <c r="J77" s="269">
        <f t="shared" si="45"/>
        <v>0</v>
      </c>
      <c r="K77" s="163">
        <f t="shared" ca="1" si="46"/>
        <v>0</v>
      </c>
      <c r="L77" s="163"/>
      <c r="M77" s="163"/>
      <c r="N77" s="163"/>
      <c r="O77" s="163"/>
      <c r="P77" s="163"/>
    </row>
    <row r="78" spans="1:26" ht="18.75">
      <c r="A78" s="170"/>
      <c r="B78" s="171"/>
      <c r="C78" s="171"/>
      <c r="D78" s="171"/>
      <c r="E78" s="446" t="s">
        <v>40</v>
      </c>
      <c r="F78" s="446"/>
      <c r="G78" s="179"/>
      <c r="H78" s="755" t="s">
        <v>34</v>
      </c>
      <c r="I78" s="184">
        <f ca="1">IFERROR(__xludf.DUMMYFUNCTION("IMPORTRANGE(""https://docs.google.com/spreadsheets/d/1QqKyyYR6Q21VydFLVH3TRQUabQu_ym0Zz7PgGX0-kHA/edit?usp=sharing"",""แผน!H57"")"),1)</f>
        <v>1</v>
      </c>
      <c r="J78" s="214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>
      <c r="A79" s="170"/>
      <c r="B79" s="171"/>
      <c r="C79" s="171"/>
      <c r="D79" s="171"/>
      <c r="E79" s="178"/>
      <c r="F79" s="178"/>
      <c r="G79" s="179"/>
      <c r="H79" s="755" t="s">
        <v>35</v>
      </c>
      <c r="I79" s="184">
        <f ca="1">IFERROR(__xludf.DUMMYFUNCTION("IMPORTRANGE(""https://docs.google.com/spreadsheets/d/1QqKyyYR6Q21VydFLVH3TRQUabQu_ym0Zz7PgGX0-kHA/edit?usp=sharing"",""แผน!I57"")"),34)</f>
        <v>34</v>
      </c>
      <c r="J79" s="214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>
      <c r="A80" s="170"/>
      <c r="B80" s="171"/>
      <c r="C80" s="171"/>
      <c r="D80" s="171"/>
      <c r="E80" s="446" t="s">
        <v>41</v>
      </c>
      <c r="F80" s="446"/>
      <c r="G80" s="179"/>
      <c r="H80" s="755" t="s">
        <v>34</v>
      </c>
      <c r="I80" s="184">
        <f ca="1">IFERROR(__xludf.DUMMYFUNCTION("IMPORTRANGE(""https://docs.google.com/spreadsheets/d/1QqKyyYR6Q21VydFLVH3TRQUabQu_ym0Zz7PgGX0-kHA/edit?usp=sharing"",""แผน!F57"")"),0)</f>
        <v>0</v>
      </c>
      <c r="J80" s="214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>
      <c r="A81" s="170"/>
      <c r="B81" s="171"/>
      <c r="C81" s="171"/>
      <c r="D81" s="171"/>
      <c r="E81" s="178"/>
      <c r="F81" s="178"/>
      <c r="G81" s="179"/>
      <c r="H81" s="755" t="s">
        <v>35</v>
      </c>
      <c r="I81" s="184">
        <f ca="1">IFERROR(__xludf.DUMMYFUNCTION("IMPORTRANGE(""https://docs.google.com/spreadsheets/d/1QqKyyYR6Q21VydFLVH3TRQUabQu_ym0Zz7PgGX0-kHA/edit?usp=sharing"",""แผน!G57"")"),0)</f>
        <v>0</v>
      </c>
      <c r="J81" s="214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>
      <c r="A82" s="170"/>
      <c r="B82" s="171"/>
      <c r="C82" s="171"/>
      <c r="D82" s="171"/>
      <c r="E82" s="446" t="s">
        <v>42</v>
      </c>
      <c r="F82" s="446"/>
      <c r="G82" s="179"/>
      <c r="H82" s="755" t="s">
        <v>34</v>
      </c>
      <c r="I82" s="184">
        <f ca="1">IFERROR(__xludf.DUMMYFUNCTION("IMPORTRANGE(""https://docs.google.com/spreadsheets/d/1QqKyyYR6Q21VydFLVH3TRQUabQu_ym0Zz7PgGX0-kHA/edit?usp=sharing"",""แผน!D57"")"),1)</f>
        <v>1</v>
      </c>
      <c r="J82" s="214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>
      <c r="A83" s="170"/>
      <c r="B83" s="171"/>
      <c r="C83" s="171"/>
      <c r="D83" s="171"/>
      <c r="E83" s="178"/>
      <c r="F83" s="178"/>
      <c r="G83" s="179"/>
      <c r="H83" s="755" t="s">
        <v>35</v>
      </c>
      <c r="I83" s="184">
        <f ca="1">IFERROR(__xludf.DUMMYFUNCTION("IMPORTRANGE(""https://docs.google.com/spreadsheets/d/1QqKyyYR6Q21VydFLVH3TRQUabQu_ym0Zz7PgGX0-kHA/edit?usp=sharing"",""แผน!E57"")"),30)</f>
        <v>30</v>
      </c>
      <c r="J83" s="214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>
      <c r="A84" s="170"/>
      <c r="B84" s="171"/>
      <c r="C84" s="171"/>
      <c r="D84" s="176" t="s">
        <v>43</v>
      </c>
      <c r="E84" s="446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IFERROR(__xludf.DUMMYFUNCTION("IMPORTRANGE(""https://docs.google.com/spreadsheets/d/1QqKyyYR6Q21VydFLVH3TRQUabQu_ym0Zz7PgGX0-kHA/edit?usp=sharing"",""แผน!J57"")"),2)</f>
        <v>2</v>
      </c>
      <c r="J84" s="214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8" t="s">
        <v>45</v>
      </c>
      <c r="C86" s="140"/>
      <c r="D86" s="141"/>
      <c r="E86" s="140"/>
      <c r="F86" s="140"/>
      <c r="G86" s="142"/>
      <c r="H86" s="143" t="s">
        <v>46</v>
      </c>
      <c r="I86" s="144">
        <f t="shared" ref="I86:J87" ca="1" si="47">I98</f>
        <v>90</v>
      </c>
      <c r="J86" s="144">
        <f t="shared" si="47"/>
        <v>0</v>
      </c>
      <c r="K86" s="145">
        <f t="shared" ref="K86:K87" ca="1" si="48">IF(I86&gt;0,J86*100/I86,0)</f>
        <v>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143" t="s">
        <v>35</v>
      </c>
      <c r="I87" s="144">
        <f t="shared" ca="1" si="47"/>
        <v>30</v>
      </c>
      <c r="J87" s="144">
        <f t="shared" si="47"/>
        <v>0</v>
      </c>
      <c r="K87" s="145">
        <f t="shared" ca="1" si="48"/>
        <v>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22" t="s">
        <v>17</v>
      </c>
      <c r="E88" s="148"/>
      <c r="F88" s="148"/>
      <c r="G88" s="151"/>
      <c r="H88" s="152" t="s">
        <v>12</v>
      </c>
      <c r="I88" s="419"/>
      <c r="J88" s="419"/>
      <c r="K88" s="154"/>
      <c r="L88" s="155">
        <f t="shared" ref="L88:N88" ca="1" si="49">L89+L90</f>
        <v>136220</v>
      </c>
      <c r="M88" s="155">
        <f t="shared" ca="1" si="49"/>
        <v>65520</v>
      </c>
      <c r="N88" s="155">
        <f t="shared" ca="1" si="49"/>
        <v>65520</v>
      </c>
      <c r="O88" s="155">
        <f t="shared" ref="O88:O96" ca="1" si="50">IF(L88&gt;0,N88*100/L88,0)</f>
        <v>48.098663926002054</v>
      </c>
      <c r="P88" s="155">
        <f t="shared" ref="P88:P96" ca="1" si="51">IF(M88&gt;0,N88*100/M88,0)</f>
        <v>100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2" t="s">
        <v>18</v>
      </c>
      <c r="F89" s="40"/>
      <c r="G89" s="157"/>
      <c r="H89" s="158" t="s">
        <v>12</v>
      </c>
      <c r="I89" s="610"/>
      <c r="J89" s="610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2" t="s">
        <v>19</v>
      </c>
      <c r="F90" s="40"/>
      <c r="G90" s="157"/>
      <c r="H90" s="158" t="s">
        <v>12</v>
      </c>
      <c r="I90" s="610"/>
      <c r="J90" s="610"/>
      <c r="K90" s="93"/>
      <c r="L90" s="93">
        <f t="shared" ca="1" si="52"/>
        <v>136220</v>
      </c>
      <c r="M90" s="93">
        <f t="shared" ca="1" si="52"/>
        <v>65520</v>
      </c>
      <c r="N90" s="93">
        <f t="shared" ca="1" si="52"/>
        <v>65520</v>
      </c>
      <c r="O90" s="93">
        <f t="shared" ca="1" si="50"/>
        <v>48.098663926002054</v>
      </c>
      <c r="P90" s="93">
        <f t="shared" ca="1" si="51"/>
        <v>100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1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6">
        <f t="shared" ref="L91:N91" ca="1" si="53">L92+L93</f>
        <v>136220</v>
      </c>
      <c r="M91" s="496">
        <f t="shared" ca="1" si="53"/>
        <v>65520</v>
      </c>
      <c r="N91" s="496">
        <f t="shared" ca="1" si="53"/>
        <v>65520</v>
      </c>
      <c r="O91" s="496">
        <f t="shared" ca="1" si="50"/>
        <v>48.098663926002054</v>
      </c>
      <c r="P91" s="496">
        <f t="shared" ca="1" si="51"/>
        <v>100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2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2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IFERROR(__xludf.DUMMYFUNCTION("IMPORTRANGE(""https://docs.google.com/spreadsheets/d/1MeEWN-I1oV_STSDYn1IFDPWt_1FKiwhDph83XaGc0o0/edit?usp=sharing"",""งบพรบ!AQ57"")"),136220)</f>
        <v>136220</v>
      </c>
      <c r="M93" s="93">
        <f ca="1">IFERROR(__xludf.DUMMYFUNCTION("IMPORTRANGE(""https://docs.google.com/spreadsheets/d/1MeEWN-I1oV_STSDYn1IFDPWt_1FKiwhDph83XaGc0o0/edit?usp=sharing"",""งบพรบ!AV57"")"),65520)</f>
        <v>65520</v>
      </c>
      <c r="N93" s="93">
        <f ca="1">IFERROR(__xludf.DUMMYFUNCTION("IMPORTRANGE(""https://docs.google.com/spreadsheets/d/1MeEWN-I1oV_STSDYn1IFDPWt_1FKiwhDph83XaGc0o0/edit?usp=sharing"",""งบพรบ!AX57"")"),65520)</f>
        <v>65520</v>
      </c>
      <c r="O93" s="93">
        <f t="shared" ca="1" si="50"/>
        <v>48.098663926002054</v>
      </c>
      <c r="P93" s="93">
        <f t="shared" ca="1" si="51"/>
        <v>100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1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6">
        <f t="shared" ref="L94:N94" ca="1" si="54">L95+L96</f>
        <v>0</v>
      </c>
      <c r="M94" s="496">
        <f t="shared" ca="1" si="54"/>
        <v>0</v>
      </c>
      <c r="N94" s="496">
        <f t="shared" ca="1" si="54"/>
        <v>0</v>
      </c>
      <c r="O94" s="496">
        <f t="shared" ca="1" si="50"/>
        <v>0</v>
      </c>
      <c r="P94" s="496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2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2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IFERROR(__xludf.DUMMYFUNCTION("IMPORTRANGE(""https://docs.google.com/spreadsheets/d/1MeEWN-I1oV_STSDYn1IFDPWt_1FKiwhDph83XaGc0o0/edit?usp=sharing"",""งบพรบ!AT57"")"),0)</f>
        <v>0</v>
      </c>
      <c r="M96" s="93">
        <f ca="1">IFERROR(__xludf.DUMMYFUNCTION("IMPORTRANGE(""https://docs.google.com/spreadsheets/d/1MeEWN-I1oV_STSDYn1IFDPWt_1FKiwhDph83XaGc0o0/edit?usp=sharing"",""งบพรบ!AW57"")"),0)</f>
        <v>0</v>
      </c>
      <c r="N96" s="93">
        <f ca="1">IFERROR(__xludf.DUMMYFUNCTION("IMPORTRANGE(""https://docs.google.com/spreadsheets/d/1MeEWN-I1oV_STSDYn1IFDPWt_1FKiwhDph83XaGc0o0/edit?usp=sharing"",""งบพรบ!AY57"")"),0)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23" t="s">
        <v>38</v>
      </c>
      <c r="E97" s="173"/>
      <c r="F97" s="173"/>
      <c r="G97" s="174"/>
      <c r="H97" s="753"/>
      <c r="I97" s="184"/>
      <c r="J97" s="269"/>
      <c r="K97" s="496"/>
      <c r="L97" s="496"/>
      <c r="M97" s="496"/>
      <c r="N97" s="496"/>
      <c r="O97" s="163"/>
      <c r="P97" s="163"/>
    </row>
    <row r="98" spans="1:16" ht="18.75">
      <c r="A98" s="170"/>
      <c r="B98" s="171"/>
      <c r="C98" s="171"/>
      <c r="D98" s="446" t="s">
        <v>47</v>
      </c>
      <c r="E98" s="446"/>
      <c r="F98" s="178"/>
      <c r="G98" s="179"/>
      <c r="H98" s="616" t="s">
        <v>46</v>
      </c>
      <c r="I98" s="269">
        <f ca="1">IFERROR(__xludf.DUMMYFUNCTION("IMPORTRANGE(""https://docs.google.com/spreadsheets/d/1QqKyyYR6Q21VydFLVH3TRQUabQu_ym0Zz7PgGX0-kHA/edit?usp=sharing"",""แผน!K57"")"),90)</f>
        <v>90</v>
      </c>
      <c r="J98" s="269">
        <f>J102</f>
        <v>0</v>
      </c>
      <c r="K98" s="496">
        <f t="shared" ref="K98:K100" ca="1" si="55">IF(I98&gt;0,J98*100/I98,0)</f>
        <v>0</v>
      </c>
      <c r="L98" s="496"/>
      <c r="M98" s="496"/>
      <c r="N98" s="496"/>
      <c r="O98" s="163"/>
      <c r="P98" s="163"/>
    </row>
    <row r="99" spans="1:16" ht="18.75">
      <c r="A99" s="170"/>
      <c r="B99" s="171"/>
      <c r="C99" s="171"/>
      <c r="D99" s="446" t="s">
        <v>48</v>
      </c>
      <c r="E99" s="446"/>
      <c r="F99" s="178"/>
      <c r="G99" s="179"/>
      <c r="H99" s="616" t="s">
        <v>35</v>
      </c>
      <c r="I99" s="269">
        <f ca="1">IFERROR(__xludf.DUMMYFUNCTION("IMPORTRANGE(""https://docs.google.com/spreadsheets/d/1QqKyyYR6Q21VydFLVH3TRQUabQu_ym0Zz7PgGX0-kHA/edit?usp=sharing"",""แผน!L57"")"),30)</f>
        <v>30</v>
      </c>
      <c r="J99" s="269">
        <f>J104</f>
        <v>0</v>
      </c>
      <c r="K99" s="496">
        <f t="shared" ca="1" si="55"/>
        <v>0</v>
      </c>
      <c r="L99" s="496"/>
      <c r="M99" s="496"/>
      <c r="N99" s="496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16" t="s">
        <v>49</v>
      </c>
      <c r="I100" s="269">
        <f ca="1">IFERROR(__xludf.DUMMYFUNCTION("IMPORTRANGE(""https://docs.google.com/spreadsheets/d/1QqKyyYR6Q21VydFLVH3TRQUabQu_ym0Zz7PgGX0-kHA/edit?usp=sharing"",""แผน!M57"")"),2)</f>
        <v>2</v>
      </c>
      <c r="J100" s="269">
        <f>J107+J110</f>
        <v>0</v>
      </c>
      <c r="K100" s="496">
        <f t="shared" ca="1" si="55"/>
        <v>0</v>
      </c>
      <c r="L100" s="496"/>
      <c r="M100" s="496"/>
      <c r="N100" s="496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16"/>
      <c r="I101" s="269"/>
      <c r="J101" s="269"/>
      <c r="K101" s="496"/>
      <c r="L101" s="496"/>
      <c r="M101" s="496"/>
      <c r="N101" s="496"/>
      <c r="O101" s="163"/>
      <c r="P101" s="163"/>
    </row>
    <row r="102" spans="1:16" ht="18.75">
      <c r="A102" s="170"/>
      <c r="B102" s="171"/>
      <c r="C102" s="171"/>
      <c r="D102" s="178"/>
      <c r="E102" s="619" t="s">
        <v>47</v>
      </c>
      <c r="F102" s="178"/>
      <c r="G102" s="179"/>
      <c r="H102" s="616" t="s">
        <v>46</v>
      </c>
      <c r="I102" s="269">
        <f ca="1">IFERROR(__xludf.DUMMYFUNCTION("IMPORTRANGE(""https://docs.google.com/spreadsheets/d/1QqKyyYR6Q21VydFLVH3TRQUabQu_ym0Zz7PgGX0-kHA/edit?usp=sharing"",""แผน!N57"")"),90)</f>
        <v>90</v>
      </c>
      <c r="J102" s="214"/>
      <c r="K102" s="496">
        <f t="shared" ref="K102:K104" ca="1" si="56">IF(I102&gt;0,J102*100/I102,0)</f>
        <v>0</v>
      </c>
      <c r="L102" s="496"/>
      <c r="M102" s="496"/>
      <c r="N102" s="496"/>
      <c r="O102" s="163"/>
      <c r="P102" s="163"/>
    </row>
    <row r="103" spans="1:16" ht="19.5">
      <c r="A103" s="170"/>
      <c r="B103" s="171"/>
      <c r="C103" s="171"/>
      <c r="D103" s="178"/>
      <c r="E103" s="446" t="s">
        <v>51</v>
      </c>
      <c r="F103" s="178"/>
      <c r="G103" s="179"/>
      <c r="H103" s="616" t="s">
        <v>35</v>
      </c>
      <c r="I103" s="269">
        <f ca="1">IFERROR(__xludf.DUMMYFUNCTION("IMPORTRANGE(""https://docs.google.com/spreadsheets/d/1QqKyyYR6Q21VydFLVH3TRQUabQu_ym0Zz7PgGX0-kHA/edit?usp=sharing"",""แผน!O57"")"),30)</f>
        <v>30</v>
      </c>
      <c r="J103" s="214">
        <v>30</v>
      </c>
      <c r="K103" s="496">
        <f t="shared" ca="1" si="56"/>
        <v>100</v>
      </c>
      <c r="L103" s="496"/>
      <c r="M103" s="496"/>
      <c r="N103" s="496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16" t="s">
        <v>35</v>
      </c>
      <c r="I104" s="269">
        <f ca="1">IFERROR(__xludf.DUMMYFUNCTION("IMPORTRANGE(""https://docs.google.com/spreadsheets/d/1QqKyyYR6Q21VydFLVH3TRQUabQu_ym0Zz7PgGX0-kHA/edit?usp=sharing"",""แผน!O57"")"),30)</f>
        <v>30</v>
      </c>
      <c r="J104" s="214"/>
      <c r="K104" s="496">
        <f t="shared" ca="1" si="56"/>
        <v>0</v>
      </c>
      <c r="L104" s="496"/>
      <c r="M104" s="496"/>
      <c r="N104" s="496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69"/>
      <c r="J105" s="269"/>
      <c r="K105" s="496"/>
      <c r="L105" s="496"/>
      <c r="M105" s="496"/>
      <c r="N105" s="496"/>
      <c r="O105" s="163"/>
      <c r="P105" s="163"/>
    </row>
    <row r="106" spans="1:16" ht="19.5">
      <c r="A106" s="170"/>
      <c r="B106" s="171"/>
      <c r="C106" s="171"/>
      <c r="D106" s="178"/>
      <c r="E106" s="446" t="s">
        <v>54</v>
      </c>
      <c r="F106" s="178"/>
      <c r="G106" s="179"/>
      <c r="H106" s="616" t="s">
        <v>49</v>
      </c>
      <c r="I106" s="269">
        <f ca="1">IFERROR(__xludf.DUMMYFUNCTION("IMPORTRANGE(""https://docs.google.com/spreadsheets/d/1QqKyyYR6Q21VydFLVH3TRQUabQu_ym0Zz7PgGX0-kHA/edit?usp=sharing"",""แผน!P57"")"),1)</f>
        <v>1</v>
      </c>
      <c r="J106" s="214">
        <v>0</v>
      </c>
      <c r="K106" s="496">
        <f t="shared" ref="K106:K107" ca="1" si="57">IF(I106&gt;0,J106*100/I106,0)</f>
        <v>0</v>
      </c>
      <c r="L106" s="496"/>
      <c r="M106" s="496"/>
      <c r="N106" s="496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16" t="s">
        <v>49</v>
      </c>
      <c r="I107" s="269">
        <f ca="1">IFERROR(__xludf.DUMMYFUNCTION("IMPORTRANGE(""https://docs.google.com/spreadsheets/d/1QqKyyYR6Q21VydFLVH3TRQUabQu_ym0Zz7PgGX0-kHA/edit?usp=sharing"",""แผน!P57"")"),1)</f>
        <v>1</v>
      </c>
      <c r="J107" s="214">
        <v>0</v>
      </c>
      <c r="K107" s="496">
        <f t="shared" ca="1" si="57"/>
        <v>0</v>
      </c>
      <c r="L107" s="496"/>
      <c r="M107" s="496"/>
      <c r="N107" s="496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69"/>
      <c r="J108" s="269"/>
      <c r="K108" s="496"/>
      <c r="L108" s="496"/>
      <c r="M108" s="496"/>
      <c r="N108" s="496"/>
      <c r="O108" s="163"/>
      <c r="P108" s="163"/>
    </row>
    <row r="109" spans="1:16" ht="19.5">
      <c r="A109" s="170"/>
      <c r="B109" s="171"/>
      <c r="C109" s="171"/>
      <c r="D109" s="178"/>
      <c r="E109" s="446" t="s">
        <v>57</v>
      </c>
      <c r="F109" s="178"/>
      <c r="G109" s="179"/>
      <c r="H109" s="616" t="s">
        <v>49</v>
      </c>
      <c r="I109" s="269">
        <f ca="1">IFERROR(__xludf.DUMMYFUNCTION("IMPORTRANGE(""https://docs.google.com/spreadsheets/d/1QqKyyYR6Q21VydFLVH3TRQUabQu_ym0Zz7PgGX0-kHA/edit?usp=sharing"",""แผน!Q57"")"),1)</f>
        <v>1</v>
      </c>
      <c r="J109" s="214">
        <v>0</v>
      </c>
      <c r="K109" s="496">
        <f t="shared" ref="K109:K116" ca="1" si="58">IF(I109&gt;0,J109*100/I109,0)</f>
        <v>0</v>
      </c>
      <c r="L109" s="496"/>
      <c r="M109" s="496"/>
      <c r="N109" s="496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16" t="s">
        <v>49</v>
      </c>
      <c r="I110" s="269">
        <f ca="1">IFERROR(__xludf.DUMMYFUNCTION("IMPORTRANGE(""https://docs.google.com/spreadsheets/d/1QqKyyYR6Q21VydFLVH3TRQUabQu_ym0Zz7PgGX0-kHA/edit?usp=sharing"",""แผน!Q57"")"),1)</f>
        <v>1</v>
      </c>
      <c r="J110" s="214">
        <v>0</v>
      </c>
      <c r="K110" s="496">
        <f t="shared" ca="1" si="58"/>
        <v>0</v>
      </c>
      <c r="L110" s="496"/>
      <c r="M110" s="496"/>
      <c r="N110" s="496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58" t="s">
        <v>35</v>
      </c>
      <c r="I111" s="193">
        <f ca="1">IFERROR(__xludf.DUMMYFUNCTION("IMPORTRANGE(""https://docs.google.com/spreadsheets/d/1QqKyyYR6Q21VydFLVH3TRQUabQu_ym0Zz7PgGX0-kHA/edit?usp=sharing"",""แผน!R57"")"),30)</f>
        <v>30</v>
      </c>
      <c r="J111" s="674">
        <f>J114</f>
        <v>0</v>
      </c>
      <c r="K111" s="195">
        <f t="shared" ca="1" si="58"/>
        <v>0</v>
      </c>
      <c r="L111" s="496"/>
      <c r="M111" s="496"/>
      <c r="N111" s="496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2</v>
      </c>
      <c r="J112" s="674">
        <f t="shared" si="59"/>
        <v>0</v>
      </c>
      <c r="K112" s="195">
        <f t="shared" ca="1" si="58"/>
        <v>0</v>
      </c>
      <c r="L112" s="496"/>
      <c r="M112" s="496"/>
      <c r="N112" s="496"/>
      <c r="O112" s="163"/>
      <c r="P112" s="163"/>
    </row>
    <row r="113" spans="1:26" ht="19.5">
      <c r="A113" s="170"/>
      <c r="B113" s="171"/>
      <c r="C113" s="171"/>
      <c r="D113" s="171"/>
      <c r="E113" s="525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IFERROR(__xludf.DUMMYFUNCTION("IMPORTRANGE(""https://docs.google.com/spreadsheets/d/1QqKyyYR6Q21VydFLVH3TRQUabQu_ym0Zz7PgGX0-kHA/edit?usp=sharing"",""แผน!R57"")"),30)</f>
        <v>30</v>
      </c>
      <c r="J113" s="214">
        <v>0</v>
      </c>
      <c r="K113" s="496">
        <f t="shared" ca="1" si="58"/>
        <v>0</v>
      </c>
      <c r="L113" s="496"/>
      <c r="M113" s="496"/>
      <c r="N113" s="496"/>
      <c r="O113" s="163"/>
      <c r="P113" s="163"/>
    </row>
    <row r="114" spans="1:26" ht="19.5">
      <c r="A114" s="170"/>
      <c r="B114" s="171"/>
      <c r="C114" s="171"/>
      <c r="D114" s="171"/>
      <c r="E114" s="446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IFERROR(__xludf.DUMMYFUNCTION("IMPORTRANGE(""https://docs.google.com/spreadsheets/d/1QqKyyYR6Q21VydFLVH3TRQUabQu_ym0Zz7PgGX0-kHA/edit?usp=sharing"",""แผน!R57"")"),30)</f>
        <v>30</v>
      </c>
      <c r="J114" s="214">
        <v>0</v>
      </c>
      <c r="K114" s="496">
        <f t="shared" ca="1" si="58"/>
        <v>0</v>
      </c>
      <c r="L114" s="496"/>
      <c r="M114" s="496"/>
      <c r="N114" s="496"/>
      <c r="O114" s="163"/>
      <c r="P114" s="163"/>
    </row>
    <row r="115" spans="1:26" ht="18.75">
      <c r="A115" s="170"/>
      <c r="B115" s="171"/>
      <c r="C115" s="171"/>
      <c r="D115" s="171"/>
      <c r="E115" s="446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IFERROR(__xludf.DUMMYFUNCTION("IMPORTRANGE(""https://docs.google.com/spreadsheets/d/1QqKyyYR6Q21VydFLVH3TRQUabQu_ym0Zz7PgGX0-kHA/edit?usp=sharing"",""แผน!S57"")"),1)</f>
        <v>1</v>
      </c>
      <c r="J115" s="214">
        <v>0</v>
      </c>
      <c r="K115" s="496">
        <f t="shared" ca="1" si="58"/>
        <v>0</v>
      </c>
      <c r="L115" s="496"/>
      <c r="M115" s="496"/>
      <c r="N115" s="496"/>
      <c r="O115" s="163"/>
      <c r="P115" s="163"/>
    </row>
    <row r="116" spans="1:26" ht="18.75">
      <c r="A116" s="170"/>
      <c r="B116" s="171"/>
      <c r="C116" s="171"/>
      <c r="D116" s="171"/>
      <c r="E116" s="446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IFERROR(__xludf.DUMMYFUNCTION("IMPORTRANGE(""https://docs.google.com/spreadsheets/d/1QqKyyYR6Q21VydFLVH3TRQUabQu_ym0Zz7PgGX0-kHA/edit?usp=sharing"",""แผน!T57"")"),1)</f>
        <v>1</v>
      </c>
      <c r="J116" s="214">
        <v>0</v>
      </c>
      <c r="K116" s="496">
        <f t="shared" ca="1" si="58"/>
        <v>0</v>
      </c>
      <c r="L116" s="496"/>
      <c r="M116" s="496"/>
      <c r="N116" s="496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8" t="s">
        <v>65</v>
      </c>
      <c r="C118" s="204"/>
      <c r="D118" s="141"/>
      <c r="E118" s="140"/>
      <c r="F118" s="140"/>
      <c r="G118" s="142"/>
      <c r="H118" s="143"/>
      <c r="I118" s="205"/>
      <c r="J118" s="205"/>
      <c r="K118" s="146"/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22" t="s">
        <v>17</v>
      </c>
      <c r="E119" s="148"/>
      <c r="F119" s="148"/>
      <c r="G119" s="151"/>
      <c r="H119" s="152" t="s">
        <v>12</v>
      </c>
      <c r="I119" s="419"/>
      <c r="J119" s="419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2" t="s">
        <v>18</v>
      </c>
      <c r="F120" s="40"/>
      <c r="G120" s="157"/>
      <c r="H120" s="158" t="s">
        <v>12</v>
      </c>
      <c r="I120" s="610"/>
      <c r="J120" s="610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2" t="s">
        <v>19</v>
      </c>
      <c r="F121" s="40"/>
      <c r="G121" s="157"/>
      <c r="H121" s="158" t="s">
        <v>12</v>
      </c>
      <c r="I121" s="610"/>
      <c r="J121" s="610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1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6">
        <f t="shared" ref="L122:N122" ca="1" si="64">L123+L124</f>
        <v>0</v>
      </c>
      <c r="M122" s="496">
        <f t="shared" ca="1" si="64"/>
        <v>0</v>
      </c>
      <c r="N122" s="496">
        <f t="shared" ca="1" si="64"/>
        <v>0</v>
      </c>
      <c r="O122" s="496">
        <f t="shared" ca="1" si="61"/>
        <v>0</v>
      </c>
      <c r="P122" s="496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2"/>
      <c r="D123" s="40"/>
      <c r="E123" s="222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2"/>
      <c r="D124" s="40"/>
      <c r="E124" s="222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IFERROR(__xludf.DUMMYFUNCTION("IMPORTRANGE(""https://docs.google.com/spreadsheets/d/1MeEWN-I1oV_STSDYn1IFDPWt_1FKiwhDph83XaGc0o0/edit?usp=sharing"",""งบพรบ!BA57"")"),0)</f>
        <v>0</v>
      </c>
      <c r="M124" s="93">
        <f ca="1">IFERROR(__xludf.DUMMYFUNCTION("IMPORTRANGE(""https://docs.google.com/spreadsheets/d/1MeEWN-I1oV_STSDYn1IFDPWt_1FKiwhDph83XaGc0o0/edit?usp=sharing"",""งบพรบ!BF57"")"),0)</f>
        <v>0</v>
      </c>
      <c r="N124" s="93">
        <f ca="1">IFERROR(__xludf.DUMMYFUNCTION("IMPORTRANGE(""https://docs.google.com/spreadsheets/d/1MeEWN-I1oV_STSDYn1IFDPWt_1FKiwhDph83XaGc0o0/edit?usp=sharing"",""งบพรบ!BH57"")"),0)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1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6">
        <f t="shared" ref="L125:N125" ca="1" si="65">L126+L127</f>
        <v>0</v>
      </c>
      <c r="M125" s="496">
        <f t="shared" ca="1" si="65"/>
        <v>0</v>
      </c>
      <c r="N125" s="496">
        <f t="shared" ca="1" si="65"/>
        <v>0</v>
      </c>
      <c r="O125" s="496">
        <f t="shared" ca="1" si="61"/>
        <v>0</v>
      </c>
      <c r="P125" s="496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2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2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IFERROR(__xludf.DUMMYFUNCTION("IMPORTRANGE(""https://docs.google.com/spreadsheets/d/1MeEWN-I1oV_STSDYn1IFDPWt_1FKiwhDph83XaGc0o0/edit?usp=sharing"",""งบพรบ!BD57"")"),0)</f>
        <v>0</v>
      </c>
      <c r="M127" s="93">
        <f ca="1">IFERROR(__xludf.DUMMYFUNCTION("IMPORTRANGE(""https://docs.google.com/spreadsheets/d/1MeEWN-I1oV_STSDYn1IFDPWt_1FKiwhDph83XaGc0o0/edit?usp=sharing"",""งบพรบ!BG57"")"),0)</f>
        <v>0</v>
      </c>
      <c r="N127" s="93">
        <f ca="1">IFERROR(__xludf.DUMMYFUNCTION("IMPORTRANGE(""https://docs.google.com/spreadsheets/d/1MeEWN-I1oV_STSDYn1IFDPWt_1FKiwhDph83XaGc0o0/edit?usp=sharing"",""งบพรบ!BI57"")"),0)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66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8" t="s">
        <v>67</v>
      </c>
      <c r="C129" s="204"/>
      <c r="D129" s="141"/>
      <c r="E129" s="140"/>
      <c r="F129" s="140"/>
      <c r="G129" s="140"/>
      <c r="H129" s="207"/>
      <c r="I129" s="205"/>
      <c r="J129" s="205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8"/>
      <c r="C130" s="209" t="s">
        <v>68</v>
      </c>
      <c r="D130" s="141"/>
      <c r="E130" s="140"/>
      <c r="F130" s="140"/>
      <c r="G130" s="142"/>
      <c r="H130" s="143" t="s">
        <v>69</v>
      </c>
      <c r="I130" s="144">
        <f t="shared" ref="I130:J130" ca="1" si="66">I146</f>
        <v>0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8"/>
      <c r="C131" s="209" t="s">
        <v>70</v>
      </c>
      <c r="D131" s="141"/>
      <c r="E131" s="140"/>
      <c r="F131" s="140"/>
      <c r="G131" s="142"/>
      <c r="H131" s="143" t="s">
        <v>35</v>
      </c>
      <c r="I131" s="144">
        <f t="shared" ref="I131:J131" ca="1" si="68">I143</f>
        <v>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822" t="s">
        <v>17</v>
      </c>
      <c r="E132" s="148"/>
      <c r="F132" s="148"/>
      <c r="G132" s="151"/>
      <c r="H132" s="152" t="s">
        <v>12</v>
      </c>
      <c r="I132" s="419"/>
      <c r="J132" s="419"/>
      <c r="K132" s="154"/>
      <c r="L132" s="155">
        <f t="shared" ref="L132:N132" ca="1" si="69">L133+L134</f>
        <v>0</v>
      </c>
      <c r="M132" s="155">
        <f t="shared" ca="1" si="69"/>
        <v>0</v>
      </c>
      <c r="N132" s="155">
        <f t="shared" ca="1" si="69"/>
        <v>0</v>
      </c>
      <c r="O132" s="155">
        <f t="shared" ref="O132:O140" ca="1" si="70">IF(L132&gt;0,N132*100/L132,0)</f>
        <v>0</v>
      </c>
      <c r="P132" s="155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2" t="s">
        <v>18</v>
      </c>
      <c r="F133" s="40"/>
      <c r="G133" s="157"/>
      <c r="H133" s="158" t="s">
        <v>12</v>
      </c>
      <c r="I133" s="610"/>
      <c r="J133" s="610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2" t="s">
        <v>19</v>
      </c>
      <c r="F134" s="40"/>
      <c r="G134" s="157"/>
      <c r="H134" s="158" t="s">
        <v>12</v>
      </c>
      <c r="I134" s="610"/>
      <c r="J134" s="610"/>
      <c r="K134" s="93"/>
      <c r="L134" s="93">
        <f t="shared" ca="1" si="72"/>
        <v>0</v>
      </c>
      <c r="M134" s="93">
        <f t="shared" ca="1" si="72"/>
        <v>0</v>
      </c>
      <c r="N134" s="93">
        <f t="shared" ca="1" si="72"/>
        <v>0</v>
      </c>
      <c r="O134" s="93">
        <f t="shared" ca="1" si="70"/>
        <v>0</v>
      </c>
      <c r="P134" s="93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1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6">
        <f t="shared" ref="L135:N135" ca="1" si="73">L136+L137</f>
        <v>0</v>
      </c>
      <c r="M135" s="496">
        <f t="shared" ca="1" si="73"/>
        <v>0</v>
      </c>
      <c r="N135" s="496">
        <f t="shared" ca="1" si="73"/>
        <v>0</v>
      </c>
      <c r="O135" s="496">
        <f t="shared" ca="1" si="70"/>
        <v>0</v>
      </c>
      <c r="P135" s="496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2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2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IFERROR(__xludf.DUMMYFUNCTION("IMPORTRANGE(""https://docs.google.com/spreadsheets/d/1MeEWN-I1oV_STSDYn1IFDPWt_1FKiwhDph83XaGc0o0/edit?usp=sharing"",""งบพรบ!BK57"")"),0)</f>
        <v>0</v>
      </c>
      <c r="M137" s="93">
        <f ca="1">IFERROR(__xludf.DUMMYFUNCTION("IMPORTRANGE(""https://docs.google.com/spreadsheets/d/1MeEWN-I1oV_STSDYn1IFDPWt_1FKiwhDph83XaGc0o0/edit?usp=sharing"",""งบพรบ!BP57"")"),0)</f>
        <v>0</v>
      </c>
      <c r="N137" s="93">
        <f ca="1">IFERROR(__xludf.DUMMYFUNCTION("IMPORTRANGE(""https://docs.google.com/spreadsheets/d/1MeEWN-I1oV_STSDYn1IFDPWt_1FKiwhDph83XaGc0o0/edit?usp=sharing"",""งบพรบ!BR57"")"),0)</f>
        <v>0</v>
      </c>
      <c r="O137" s="93">
        <f t="shared" ca="1" si="70"/>
        <v>0</v>
      </c>
      <c r="P137" s="93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1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6">
        <f t="shared" ref="L138:N138" ca="1" si="74">L139+L140</f>
        <v>0</v>
      </c>
      <c r="M138" s="496">
        <f t="shared" ca="1" si="74"/>
        <v>0</v>
      </c>
      <c r="N138" s="496">
        <f t="shared" ca="1" si="74"/>
        <v>0</v>
      </c>
      <c r="O138" s="496">
        <f t="shared" ca="1" si="70"/>
        <v>0</v>
      </c>
      <c r="P138" s="496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2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2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IFERROR(__xludf.DUMMYFUNCTION("IMPORTRANGE(""https://docs.google.com/spreadsheets/d/1MeEWN-I1oV_STSDYn1IFDPWt_1FKiwhDph83XaGc0o0/edit?usp=sharing"",""งบพรบ!BN57"")"),0)</f>
        <v>0</v>
      </c>
      <c r="M140" s="93">
        <f ca="1">IFERROR(__xludf.DUMMYFUNCTION("IMPORTRANGE(""https://docs.google.com/spreadsheets/d/1MeEWN-I1oV_STSDYn1IFDPWt_1FKiwhDph83XaGc0o0/edit?usp=sharing"",""งบพรบ!BQ57"")"),0)</f>
        <v>0</v>
      </c>
      <c r="N140" s="93">
        <f ca="1">IFERROR(__xludf.DUMMYFUNCTION("IMPORTRANGE(""https://docs.google.com/spreadsheets/d/1MeEWN-I1oV_STSDYn1IFDPWt_1FKiwhDph83XaGc0o0/edit?usp=sharing"",""งบพรบ!BS57"")"),0)</f>
        <v>0</v>
      </c>
      <c r="O140" s="93">
        <f t="shared" ca="1" si="70"/>
        <v>0</v>
      </c>
      <c r="P140" s="93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823" t="s">
        <v>38</v>
      </c>
      <c r="E141" s="173"/>
      <c r="F141" s="173"/>
      <c r="G141" s="174"/>
      <c r="H141" s="168"/>
      <c r="I141" s="269"/>
      <c r="J141" s="269"/>
      <c r="K141" s="496"/>
      <c r="L141" s="496"/>
      <c r="M141" s="496"/>
      <c r="N141" s="496"/>
      <c r="O141" s="496"/>
      <c r="P141" s="496"/>
    </row>
    <row r="142" spans="1:26" ht="19.5" hidden="1">
      <c r="A142" s="159"/>
      <c r="B142" s="33"/>
      <c r="C142" s="210"/>
      <c r="D142" s="281" t="s">
        <v>71</v>
      </c>
      <c r="E142" s="34"/>
      <c r="F142" s="33"/>
      <c r="G142" s="213"/>
      <c r="H142" s="168"/>
      <c r="I142" s="269"/>
      <c r="J142" s="214">
        <v>0</v>
      </c>
      <c r="K142" s="496"/>
      <c r="L142" s="496"/>
      <c r="M142" s="496"/>
      <c r="N142" s="496"/>
      <c r="O142" s="496"/>
      <c r="P142" s="496"/>
    </row>
    <row r="143" spans="1:26" ht="19.5" hidden="1">
      <c r="A143" s="159"/>
      <c r="B143" s="33"/>
      <c r="C143" s="210"/>
      <c r="D143" s="281" t="s">
        <v>72</v>
      </c>
      <c r="E143" s="34"/>
      <c r="F143" s="33"/>
      <c r="G143" s="213"/>
      <c r="H143" s="168" t="s">
        <v>35</v>
      </c>
      <c r="I143" s="269">
        <f ca="1">I145</f>
        <v>0</v>
      </c>
      <c r="J143" s="269">
        <f ca="1">IF(AND(J144&gt;=I144,J145&gt;=I145),J145,0)</f>
        <v>0</v>
      </c>
      <c r="K143" s="496">
        <f t="shared" ref="K143:K146" ca="1" si="75">IF(I143&gt;0,J143*100/I143,0)</f>
        <v>0</v>
      </c>
      <c r="L143" s="496"/>
      <c r="M143" s="496"/>
      <c r="N143" s="496"/>
      <c r="O143" s="496"/>
      <c r="P143" s="496"/>
    </row>
    <row r="144" spans="1:26" ht="19.5" hidden="1">
      <c r="A144" s="159"/>
      <c r="B144" s="33"/>
      <c r="C144" s="210"/>
      <c r="D144" s="178"/>
      <c r="E144" s="281" t="s">
        <v>73</v>
      </c>
      <c r="F144" s="33"/>
      <c r="G144" s="213"/>
      <c r="H144" s="168" t="s">
        <v>35</v>
      </c>
      <c r="I144" s="269">
        <f ca="1">IFERROR(__xludf.DUMMYFUNCTION("IMPORTRANGE(""https://docs.google.com/spreadsheets/d/1QqKyyYR6Q21VydFLVH3TRQUabQu_ym0Zz7PgGX0-kHA/edit?usp=sharing"",""แผน!U57"")"),0)</f>
        <v>0</v>
      </c>
      <c r="J144" s="214">
        <v>0</v>
      </c>
      <c r="K144" s="496">
        <f t="shared" ca="1" si="75"/>
        <v>0</v>
      </c>
      <c r="L144" s="496"/>
      <c r="M144" s="496"/>
      <c r="N144" s="496"/>
      <c r="O144" s="496"/>
      <c r="P144" s="496"/>
    </row>
    <row r="145" spans="1:26" ht="19.5" hidden="1">
      <c r="A145" s="159"/>
      <c r="B145" s="33"/>
      <c r="C145" s="210"/>
      <c r="D145" s="178"/>
      <c r="E145" s="281" t="s">
        <v>74</v>
      </c>
      <c r="F145" s="33"/>
      <c r="G145" s="213"/>
      <c r="H145" s="168" t="s">
        <v>35</v>
      </c>
      <c r="I145" s="269">
        <f ca="1">IFERROR(__xludf.DUMMYFUNCTION("IMPORTRANGE(""https://docs.google.com/spreadsheets/d/1QqKyyYR6Q21VydFLVH3TRQUabQu_ym0Zz7PgGX0-kHA/edit?usp=sharing"",""แผน!V57"")"),0)</f>
        <v>0</v>
      </c>
      <c r="J145" s="214">
        <v>0</v>
      </c>
      <c r="K145" s="496">
        <f t="shared" ca="1" si="75"/>
        <v>0</v>
      </c>
      <c r="L145" s="496"/>
      <c r="M145" s="496"/>
      <c r="N145" s="496"/>
      <c r="O145" s="496"/>
      <c r="P145" s="496"/>
    </row>
    <row r="146" spans="1:26" ht="19.5" hidden="1">
      <c r="A146" s="159"/>
      <c r="B146" s="33"/>
      <c r="C146" s="210"/>
      <c r="D146" s="281" t="s">
        <v>75</v>
      </c>
      <c r="E146" s="34"/>
      <c r="F146" s="33"/>
      <c r="G146" s="213"/>
      <c r="H146" s="168" t="s">
        <v>69</v>
      </c>
      <c r="I146" s="269">
        <f ca="1">IFERROR(__xludf.DUMMYFUNCTION("IMPORTRANGE(""https://docs.google.com/spreadsheets/d/1QqKyyYR6Q21VydFLVH3TRQUabQu_ym0Zz7PgGX0-kHA/edit?usp=sharing"",""แผน!W57"")"),0)</f>
        <v>0</v>
      </c>
      <c r="J146" s="214">
        <v>0</v>
      </c>
      <c r="K146" s="496">
        <f t="shared" ca="1" si="75"/>
        <v>0</v>
      </c>
      <c r="L146" s="496"/>
      <c r="M146" s="496"/>
      <c r="N146" s="496"/>
      <c r="O146" s="496"/>
      <c r="P146" s="496"/>
    </row>
    <row r="147" spans="1:26" ht="19.5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>
      <c r="A148" s="216"/>
      <c r="B148" s="208" t="s">
        <v>77</v>
      </c>
      <c r="C148" s="208"/>
      <c r="D148" s="208"/>
      <c r="E148" s="824"/>
      <c r="F148" s="218"/>
      <c r="G148" s="219"/>
      <c r="H148" s="220" t="s">
        <v>35</v>
      </c>
      <c r="I148" s="144">
        <f t="shared" ref="I148:J148" ca="1" si="76">I159</f>
        <v>10</v>
      </c>
      <c r="J148" s="144">
        <f t="shared" si="76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1"/>
      <c r="R148" s="221"/>
      <c r="S148" s="221"/>
      <c r="T148" s="221"/>
      <c r="U148" s="221"/>
      <c r="V148" s="221"/>
      <c r="W148" s="221"/>
      <c r="X148" s="221"/>
      <c r="Y148" s="221"/>
      <c r="Z148" s="221"/>
    </row>
    <row r="149" spans="1:26" ht="19.5">
      <c r="A149" s="147"/>
      <c r="B149" s="148"/>
      <c r="C149" s="149" t="s">
        <v>16</v>
      </c>
      <c r="D149" s="822" t="s">
        <v>17</v>
      </c>
      <c r="E149" s="148"/>
      <c r="F149" s="148"/>
      <c r="G149" s="151"/>
      <c r="H149" s="152" t="s">
        <v>12</v>
      </c>
      <c r="I149" s="419"/>
      <c r="J149" s="419"/>
      <c r="K149" s="154"/>
      <c r="L149" s="155">
        <f t="shared" ref="L149:N149" ca="1" si="77">L150+L151</f>
        <v>5000</v>
      </c>
      <c r="M149" s="155">
        <f t="shared" ca="1" si="77"/>
        <v>5000</v>
      </c>
      <c r="N149" s="155">
        <f t="shared" ca="1" si="77"/>
        <v>0</v>
      </c>
      <c r="O149" s="155">
        <f t="shared" ref="O149:O157" ca="1" si="78">IF(L149&gt;0,N149*100/L149,0)</f>
        <v>0</v>
      </c>
      <c r="P149" s="155">
        <f t="shared" ref="P149:P157" ca="1" si="79">IF(M149&gt;0,N149*100/M149,0)</f>
        <v>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2" t="s">
        <v>18</v>
      </c>
      <c r="F150" s="40"/>
      <c r="G150" s="157"/>
      <c r="H150" s="158" t="s">
        <v>12</v>
      </c>
      <c r="I150" s="610"/>
      <c r="J150" s="610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2" t="s">
        <v>19</v>
      </c>
      <c r="F151" s="40"/>
      <c r="G151" s="157"/>
      <c r="H151" s="158" t="s">
        <v>12</v>
      </c>
      <c r="I151" s="610"/>
      <c r="J151" s="610"/>
      <c r="K151" s="93"/>
      <c r="L151" s="93">
        <f t="shared" ca="1" si="80"/>
        <v>5000</v>
      </c>
      <c r="M151" s="93">
        <f t="shared" ca="1" si="80"/>
        <v>5000</v>
      </c>
      <c r="N151" s="93">
        <f t="shared" ca="1" si="80"/>
        <v>0</v>
      </c>
      <c r="O151" s="93">
        <f t="shared" ca="1" si="78"/>
        <v>0</v>
      </c>
      <c r="P151" s="93">
        <f t="shared" ca="1" si="79"/>
        <v>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>
      <c r="A152" s="159"/>
      <c r="B152" s="33"/>
      <c r="C152" s="281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6">
        <f t="shared" ref="L152:N152" ca="1" si="81">L153+L154</f>
        <v>5000</v>
      </c>
      <c r="M152" s="496">
        <f t="shared" ca="1" si="81"/>
        <v>5000</v>
      </c>
      <c r="N152" s="496">
        <f t="shared" ca="1" si="81"/>
        <v>0</v>
      </c>
      <c r="O152" s="496">
        <f t="shared" ca="1" si="78"/>
        <v>0</v>
      </c>
      <c r="P152" s="496">
        <f t="shared" ca="1" si="79"/>
        <v>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2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2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IFERROR(__xludf.DUMMYFUNCTION("IMPORTRANGE(""https://docs.google.com/spreadsheets/d/1MeEWN-I1oV_STSDYn1IFDPWt_1FKiwhDph83XaGc0o0/edit?usp=sharing"",""งบพรบ!BU57"")"),5000)</f>
        <v>5000</v>
      </c>
      <c r="M154" s="93">
        <f ca="1">IFERROR(__xludf.DUMMYFUNCTION("IMPORTRANGE(""https://docs.google.com/spreadsheets/d/1MeEWN-I1oV_STSDYn1IFDPWt_1FKiwhDph83XaGc0o0/edit?usp=sharing"",""งบพรบ!BZ57"")"),5000)</f>
        <v>5000</v>
      </c>
      <c r="N154" s="93">
        <f ca="1">IFERROR(__xludf.DUMMYFUNCTION("IMPORTRANGE(""https://docs.google.com/spreadsheets/d/1MeEWN-I1oV_STSDYn1IFDPWt_1FKiwhDph83XaGc0o0/edit?usp=sharing"",""งบพรบ!CB57"")"),0)</f>
        <v>0</v>
      </c>
      <c r="O154" s="93">
        <f t="shared" ca="1" si="78"/>
        <v>0</v>
      </c>
      <c r="P154" s="93">
        <f t="shared" ca="1" si="79"/>
        <v>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>
      <c r="A155" s="159"/>
      <c r="B155" s="33"/>
      <c r="C155" s="281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6">
        <f t="shared" ref="L155:N155" ca="1" si="82">L156+L157</f>
        <v>0</v>
      </c>
      <c r="M155" s="496">
        <f t="shared" ca="1" si="82"/>
        <v>0</v>
      </c>
      <c r="N155" s="496">
        <f t="shared" ca="1" si="82"/>
        <v>0</v>
      </c>
      <c r="O155" s="496">
        <f t="shared" ca="1" si="78"/>
        <v>0</v>
      </c>
      <c r="P155" s="496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2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2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IFERROR(__xludf.DUMMYFUNCTION("IMPORTRANGE(""https://docs.google.com/spreadsheets/d/1MeEWN-I1oV_STSDYn1IFDPWt_1FKiwhDph83XaGc0o0/edit?usp=sharing"",""งบพรบ!BX57"")"),0)</f>
        <v>0</v>
      </c>
      <c r="M157" s="93">
        <f ca="1">IFERROR(__xludf.DUMMYFUNCTION("IMPORTRANGE(""https://docs.google.com/spreadsheets/d/1MeEWN-I1oV_STSDYn1IFDPWt_1FKiwhDph83XaGc0o0/edit?usp=sharing"",""งบพรบ!CA57"")"),0)</f>
        <v>0</v>
      </c>
      <c r="N157" s="93">
        <f ca="1">IFERROR(__xludf.DUMMYFUNCTION("IMPORTRANGE(""https://docs.google.com/spreadsheets/d/1MeEWN-I1oV_STSDYn1IFDPWt_1FKiwhDph83XaGc0o0/edit?usp=sharing"",""งบพรบ!CC57"")"),0)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>
      <c r="A158" s="170"/>
      <c r="B158" s="171"/>
      <c r="C158" s="164" t="s">
        <v>16</v>
      </c>
      <c r="D158" s="823" t="s">
        <v>38</v>
      </c>
      <c r="E158" s="173"/>
      <c r="F158" s="173"/>
      <c r="G158" s="174"/>
      <c r="H158" s="168"/>
      <c r="I158" s="269"/>
      <c r="J158" s="269"/>
      <c r="K158" s="496"/>
      <c r="L158" s="496"/>
      <c r="M158" s="496"/>
      <c r="N158" s="496"/>
      <c r="O158" s="496"/>
      <c r="P158" s="496"/>
    </row>
    <row r="159" spans="1:26" ht="19.5">
      <c r="A159" s="159"/>
      <c r="B159" s="33"/>
      <c r="C159" s="210"/>
      <c r="D159" s="281" t="s">
        <v>78</v>
      </c>
      <c r="E159" s="34"/>
      <c r="F159" s="33"/>
      <c r="G159" s="213"/>
      <c r="H159" s="168" t="s">
        <v>35</v>
      </c>
      <c r="I159" s="269">
        <f ca="1">IFERROR(__xludf.DUMMYFUNCTION("IMPORTRANGE(""https://docs.google.com/spreadsheets/d/1QqKyyYR6Q21VydFLVH3TRQUabQu_ym0Zz7PgGX0-kHA/edit?usp=sharing"",""แผน!X57"")"),10)</f>
        <v>10</v>
      </c>
      <c r="J159" s="214">
        <v>0</v>
      </c>
      <c r="K159" s="496">
        <f ca="1">IF(I159&gt;0,J159*100/I159,0)</f>
        <v>0</v>
      </c>
      <c r="L159" s="496"/>
      <c r="M159" s="496"/>
      <c r="N159" s="496"/>
      <c r="O159" s="496"/>
      <c r="P159" s="496"/>
    </row>
    <row r="160" spans="1:26" ht="19.5" hidden="1">
      <c r="A160" s="156"/>
      <c r="B160" s="40"/>
      <c r="C160" s="164"/>
      <c r="D160" s="222" t="s">
        <v>79</v>
      </c>
      <c r="E160" s="223"/>
      <c r="F160" s="40"/>
      <c r="G160" s="157"/>
      <c r="H160" s="169" t="s">
        <v>35</v>
      </c>
      <c r="I160" s="610"/>
      <c r="J160" s="610"/>
      <c r="K160" s="93"/>
      <c r="L160" s="93"/>
      <c r="M160" s="93"/>
      <c r="N160" s="93"/>
      <c r="O160" s="93"/>
      <c r="P160" s="93"/>
      <c r="Q160" s="224"/>
      <c r="R160" s="224"/>
      <c r="S160" s="224"/>
      <c r="T160" s="224"/>
      <c r="U160" s="224"/>
      <c r="V160" s="224"/>
      <c r="W160" s="224"/>
      <c r="X160" s="224"/>
      <c r="Y160" s="224"/>
      <c r="Z160" s="224"/>
    </row>
    <row r="161" spans="1:26" ht="19.5" hidden="1">
      <c r="A161" s="225"/>
      <c r="B161" s="226"/>
      <c r="C161" s="227"/>
      <c r="D161" s="228" t="s">
        <v>80</v>
      </c>
      <c r="E161" s="825"/>
      <c r="F161" s="226"/>
      <c r="G161" s="230"/>
      <c r="H161" s="231" t="s">
        <v>35</v>
      </c>
      <c r="I161" s="232"/>
      <c r="J161" s="232"/>
      <c r="K161" s="233"/>
      <c r="L161" s="233"/>
      <c r="M161" s="233"/>
      <c r="N161" s="233"/>
      <c r="O161" s="233"/>
      <c r="P161" s="233"/>
      <c r="Q161" s="224"/>
      <c r="R161" s="224"/>
      <c r="S161" s="224"/>
      <c r="T161" s="224"/>
      <c r="U161" s="224"/>
      <c r="V161" s="224"/>
      <c r="W161" s="224"/>
      <c r="X161" s="224"/>
      <c r="Y161" s="224"/>
      <c r="Z161" s="224"/>
    </row>
    <row r="162" spans="1:26" ht="19.5">
      <c r="A162" s="234" t="s">
        <v>81</v>
      </c>
      <c r="B162" s="235"/>
      <c r="C162" s="235"/>
      <c r="D162" s="235"/>
      <c r="E162" s="236"/>
      <c r="F162" s="236"/>
      <c r="G162" s="237"/>
      <c r="H162" s="238"/>
      <c r="I162" s="239"/>
      <c r="J162" s="239"/>
      <c r="K162" s="240"/>
      <c r="L162" s="240"/>
      <c r="M162" s="240"/>
      <c r="N162" s="240"/>
      <c r="O162" s="240"/>
      <c r="P162" s="240"/>
    </row>
    <row r="163" spans="1:26" ht="19.5">
      <c r="A163" s="241" t="s">
        <v>82</v>
      </c>
      <c r="B163" s="242"/>
      <c r="C163" s="242"/>
      <c r="D163" s="243"/>
      <c r="E163" s="243"/>
      <c r="F163" s="243"/>
      <c r="G163" s="244"/>
      <c r="H163" s="245"/>
      <c r="I163" s="246"/>
      <c r="J163" s="246"/>
      <c r="K163" s="247"/>
      <c r="L163" s="247"/>
      <c r="M163" s="247"/>
      <c r="N163" s="247"/>
      <c r="O163" s="247"/>
      <c r="P163" s="247"/>
    </row>
    <row r="164" spans="1:26" ht="19.5">
      <c r="A164" s="248"/>
      <c r="B164" s="249" t="s">
        <v>83</v>
      </c>
      <c r="C164" s="250"/>
      <c r="D164" s="173"/>
      <c r="E164" s="173"/>
      <c r="F164" s="173"/>
      <c r="G164" s="174"/>
      <c r="H164" s="251" t="s">
        <v>35</v>
      </c>
      <c r="I164" s="252">
        <f t="shared" ref="I164:J164" ca="1" si="83">I174+I177</f>
        <v>10</v>
      </c>
      <c r="J164" s="252">
        <f t="shared" si="83"/>
        <v>10</v>
      </c>
      <c r="K164" s="253">
        <f ca="1">IF(I164&gt;0,J164*100/I164,0)</f>
        <v>100</v>
      </c>
      <c r="L164" s="254"/>
      <c r="M164" s="254"/>
      <c r="N164" s="254"/>
      <c r="O164" s="254"/>
      <c r="P164" s="254"/>
    </row>
    <row r="165" spans="1:26" ht="19.5">
      <c r="A165" s="147"/>
      <c r="B165" s="148"/>
      <c r="C165" s="149" t="s">
        <v>16</v>
      </c>
      <c r="D165" s="822" t="s">
        <v>17</v>
      </c>
      <c r="E165" s="148"/>
      <c r="F165" s="148"/>
      <c r="G165" s="151"/>
      <c r="H165" s="152" t="s">
        <v>12</v>
      </c>
      <c r="I165" s="419"/>
      <c r="J165" s="419"/>
      <c r="K165" s="154"/>
      <c r="L165" s="155">
        <f t="shared" ref="L165:N165" ca="1" si="84">L166+L167</f>
        <v>21050</v>
      </c>
      <c r="M165" s="155">
        <f t="shared" ca="1" si="84"/>
        <v>21050</v>
      </c>
      <c r="N165" s="155">
        <f t="shared" ca="1" si="84"/>
        <v>21050</v>
      </c>
      <c r="O165" s="155">
        <f t="shared" ref="O165:O173" ca="1" si="85">IF(L165&gt;0,N165*100/L165,0)</f>
        <v>100</v>
      </c>
      <c r="P165" s="155">
        <f t="shared" ref="P165:P173" ca="1" si="86">IF(M165&gt;0,N165*100/M165,0)</f>
        <v>100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2" t="s">
        <v>18</v>
      </c>
      <c r="F166" s="40"/>
      <c r="G166" s="157"/>
      <c r="H166" s="158" t="s">
        <v>12</v>
      </c>
      <c r="I166" s="610"/>
      <c r="J166" s="610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2" t="s">
        <v>19</v>
      </c>
      <c r="F167" s="40"/>
      <c r="G167" s="157"/>
      <c r="H167" s="158" t="s">
        <v>12</v>
      </c>
      <c r="I167" s="610"/>
      <c r="J167" s="610"/>
      <c r="K167" s="93"/>
      <c r="L167" s="93">
        <f t="shared" ca="1" si="87"/>
        <v>21050</v>
      </c>
      <c r="M167" s="93">
        <f t="shared" ca="1" si="87"/>
        <v>21050</v>
      </c>
      <c r="N167" s="93">
        <f t="shared" ca="1" si="87"/>
        <v>21050</v>
      </c>
      <c r="O167" s="93">
        <f t="shared" ca="1" si="85"/>
        <v>100</v>
      </c>
      <c r="P167" s="93">
        <f t="shared" ca="1" si="86"/>
        <v>100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1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6">
        <f t="shared" ref="L168:N168" ca="1" si="88">L169+L170</f>
        <v>21050</v>
      </c>
      <c r="M168" s="496">
        <f t="shared" ca="1" si="88"/>
        <v>21050</v>
      </c>
      <c r="N168" s="496">
        <f t="shared" ca="1" si="88"/>
        <v>21050</v>
      </c>
      <c r="O168" s="496">
        <f t="shared" ca="1" si="85"/>
        <v>100</v>
      </c>
      <c r="P168" s="496">
        <f t="shared" ca="1" si="86"/>
        <v>100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2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2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IFERROR(__xludf.DUMMYFUNCTION("IMPORTRANGE(""https://docs.google.com/spreadsheets/d/1MeEWN-I1oV_STSDYn1IFDPWt_1FKiwhDph83XaGc0o0/edit?usp=sharing"",""งบพรบ!CE57"")"),21050)</f>
        <v>21050</v>
      </c>
      <c r="M170" s="93">
        <f ca="1">IFERROR(__xludf.DUMMYFUNCTION("IMPORTRANGE(""https://docs.google.com/spreadsheets/d/1MeEWN-I1oV_STSDYn1IFDPWt_1FKiwhDph83XaGc0o0/edit?usp=sharing"",""งบพรบ!CJ57"")"),21050)</f>
        <v>21050</v>
      </c>
      <c r="N170" s="93">
        <f ca="1">IFERROR(__xludf.DUMMYFUNCTION("IMPORTRANGE(""https://docs.google.com/spreadsheets/d/1MeEWN-I1oV_STSDYn1IFDPWt_1FKiwhDph83XaGc0o0/edit?usp=sharing"",""งบพรบ!CL57"")"),21050)</f>
        <v>21050</v>
      </c>
      <c r="O170" s="93">
        <f t="shared" ca="1" si="85"/>
        <v>100</v>
      </c>
      <c r="P170" s="93">
        <f t="shared" ca="1" si="86"/>
        <v>100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1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6">
        <f t="shared" ref="L171:N171" ca="1" si="89">L172+L173</f>
        <v>0</v>
      </c>
      <c r="M171" s="496">
        <f t="shared" ca="1" si="89"/>
        <v>0</v>
      </c>
      <c r="N171" s="496">
        <f t="shared" ca="1" si="89"/>
        <v>0</v>
      </c>
      <c r="O171" s="496">
        <f t="shared" ca="1" si="85"/>
        <v>0</v>
      </c>
      <c r="P171" s="496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2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2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IFERROR(__xludf.DUMMYFUNCTION("IMPORTRANGE(""https://docs.google.com/spreadsheets/d/1MeEWN-I1oV_STSDYn1IFDPWt_1FKiwhDph83XaGc0o0/edit?usp=sharing"",""งบพรบ!CH57"")"),0)</f>
        <v>0</v>
      </c>
      <c r="M173" s="93">
        <f ca="1">IFERROR(__xludf.DUMMYFUNCTION("IMPORTRANGE(""https://docs.google.com/spreadsheets/d/1MeEWN-I1oV_STSDYn1IFDPWt_1FKiwhDph83XaGc0o0/edit?usp=sharing"",""งบพรบ!CK57"")"),0)</f>
        <v>0</v>
      </c>
      <c r="N173" s="93">
        <f ca="1">IFERROR(__xludf.DUMMYFUNCTION("IMPORTRANGE(""https://docs.google.com/spreadsheets/d/1MeEWN-I1oV_STSDYn1IFDPWt_1FKiwhDph83XaGc0o0/edit?usp=sharing"",""งบพรบ!CM57"")"),0)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5"/>
      <c r="B174" s="256"/>
      <c r="C174" s="257" t="s">
        <v>84</v>
      </c>
      <c r="D174" s="256"/>
      <c r="E174" s="256"/>
      <c r="F174" s="256"/>
      <c r="G174" s="258"/>
      <c r="H174" s="259" t="s">
        <v>35</v>
      </c>
      <c r="I174" s="260">
        <f t="shared" ref="I174:J174" ca="1" si="90">I176</f>
        <v>10</v>
      </c>
      <c r="J174" s="260">
        <f t="shared" si="90"/>
        <v>10</v>
      </c>
      <c r="K174" s="261">
        <f ca="1">IF(I174&gt;0,J174*100/I174,0)</f>
        <v>100</v>
      </c>
      <c r="L174" s="261"/>
      <c r="M174" s="261"/>
      <c r="N174" s="261"/>
      <c r="O174" s="261"/>
      <c r="P174" s="261"/>
    </row>
    <row r="175" spans="1:26" ht="19.5">
      <c r="A175" s="170"/>
      <c r="B175" s="171"/>
      <c r="C175" s="164" t="s">
        <v>16</v>
      </c>
      <c r="D175" s="823" t="s">
        <v>38</v>
      </c>
      <c r="E175" s="173"/>
      <c r="F175" s="173"/>
      <c r="G175" s="174"/>
      <c r="H175" s="753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37" t="s">
        <v>85</v>
      </c>
      <c r="E176" s="178"/>
      <c r="F176" s="178"/>
      <c r="G176" s="179"/>
      <c r="H176" s="616" t="s">
        <v>35</v>
      </c>
      <c r="I176" s="269">
        <f ca="1">IFERROR(__xludf.DUMMYFUNCTION("IMPORTRANGE(""https://docs.google.com/spreadsheets/d/1QqKyyYR6Q21VydFLVH3TRQUabQu_ym0Zz7PgGX0-kHA/edit?usp=sharing"",""แผน!Y57"")"),10)</f>
        <v>10</v>
      </c>
      <c r="J176" s="214">
        <v>10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5"/>
      <c r="B177" s="263"/>
      <c r="C177" s="264" t="s">
        <v>86</v>
      </c>
      <c r="D177" s="263"/>
      <c r="E177" s="256"/>
      <c r="F177" s="256"/>
      <c r="G177" s="258"/>
      <c r="H177" s="265" t="s">
        <v>35</v>
      </c>
      <c r="I177" s="260"/>
      <c r="J177" s="260">
        <f>J179</f>
        <v>0</v>
      </c>
      <c r="K177" s="261"/>
      <c r="L177" s="261"/>
      <c r="M177" s="261"/>
      <c r="N177" s="261"/>
      <c r="O177" s="261"/>
      <c r="P177" s="261"/>
    </row>
    <row r="178" spans="1:26" ht="19.5" hidden="1">
      <c r="A178" s="170"/>
      <c r="B178" s="171"/>
      <c r="C178" s="164" t="s">
        <v>16</v>
      </c>
      <c r="D178" s="266" t="s">
        <v>38</v>
      </c>
      <c r="E178" s="173"/>
      <c r="F178" s="173"/>
      <c r="G178" s="174"/>
      <c r="H178" s="753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3" t="s">
        <v>87</v>
      </c>
      <c r="E179" s="178"/>
      <c r="F179" s="366"/>
      <c r="G179" s="179"/>
      <c r="H179" s="43" t="s">
        <v>35</v>
      </c>
      <c r="I179" s="269"/>
      <c r="J179" s="269"/>
      <c r="K179" s="163"/>
      <c r="L179" s="163"/>
      <c r="M179" s="163"/>
      <c r="N179" s="163"/>
      <c r="O179" s="163"/>
      <c r="P179" s="163"/>
    </row>
    <row r="180" spans="1:26" ht="19.5">
      <c r="A180" s="248"/>
      <c r="B180" s="249" t="s">
        <v>88</v>
      </c>
      <c r="C180" s="250"/>
      <c r="D180" s="173"/>
      <c r="E180" s="173"/>
      <c r="F180" s="173"/>
      <c r="G180" s="174"/>
      <c r="H180" s="251" t="s">
        <v>35</v>
      </c>
      <c r="I180" s="252">
        <f t="shared" ref="I180:J180" ca="1" si="91">I225+I226</f>
        <v>10</v>
      </c>
      <c r="J180" s="252">
        <f t="shared" si="91"/>
        <v>0</v>
      </c>
      <c r="K180" s="253">
        <f ca="1">IF(I180&gt;0,J180*100/I180,0)</f>
        <v>0</v>
      </c>
      <c r="L180" s="254"/>
      <c r="M180" s="254"/>
      <c r="N180" s="254"/>
      <c r="O180" s="254"/>
      <c r="P180" s="254"/>
    </row>
    <row r="181" spans="1:26" ht="19.5">
      <c r="A181" s="147"/>
      <c r="B181" s="148"/>
      <c r="C181" s="149" t="s">
        <v>16</v>
      </c>
      <c r="D181" s="822" t="s">
        <v>17</v>
      </c>
      <c r="E181" s="148"/>
      <c r="F181" s="148"/>
      <c r="G181" s="151"/>
      <c r="H181" s="152" t="s">
        <v>12</v>
      </c>
      <c r="I181" s="419"/>
      <c r="J181" s="419"/>
      <c r="K181" s="154"/>
      <c r="L181" s="155">
        <f t="shared" ref="L181:N181" ca="1" si="92">L182+L183</f>
        <v>36100</v>
      </c>
      <c r="M181" s="155">
        <f t="shared" ca="1" si="92"/>
        <v>22000</v>
      </c>
      <c r="N181" s="155">
        <f t="shared" ca="1" si="92"/>
        <v>0</v>
      </c>
      <c r="O181" s="155">
        <f t="shared" ref="O181:O189" ca="1" si="93">IF(L181&gt;0,N181*100/L181,0)</f>
        <v>0</v>
      </c>
      <c r="P181" s="155">
        <f t="shared" ref="P181:P189" ca="1" si="94">IF(M181&gt;0,N181*100/M181,0)</f>
        <v>0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2" t="s">
        <v>18</v>
      </c>
      <c r="F182" s="40"/>
      <c r="G182" s="157"/>
      <c r="H182" s="158" t="s">
        <v>12</v>
      </c>
      <c r="I182" s="610"/>
      <c r="J182" s="610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2" t="s">
        <v>19</v>
      </c>
      <c r="F183" s="40"/>
      <c r="G183" s="157"/>
      <c r="H183" s="158" t="s">
        <v>12</v>
      </c>
      <c r="I183" s="610"/>
      <c r="J183" s="610"/>
      <c r="K183" s="93"/>
      <c r="L183" s="93">
        <f t="shared" ca="1" si="95"/>
        <v>36100</v>
      </c>
      <c r="M183" s="93">
        <f t="shared" ca="1" si="95"/>
        <v>22000</v>
      </c>
      <c r="N183" s="93">
        <f t="shared" ca="1" si="95"/>
        <v>0</v>
      </c>
      <c r="O183" s="93">
        <f t="shared" ca="1" si="93"/>
        <v>0</v>
      </c>
      <c r="P183" s="93">
        <f t="shared" ca="1" si="94"/>
        <v>0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1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6">
        <f t="shared" ref="L184:N184" ca="1" si="96">L185+L186</f>
        <v>36100</v>
      </c>
      <c r="M184" s="496">
        <f t="shared" ca="1" si="96"/>
        <v>22000</v>
      </c>
      <c r="N184" s="496">
        <f t="shared" ca="1" si="96"/>
        <v>0</v>
      </c>
      <c r="O184" s="496">
        <f t="shared" ca="1" si="93"/>
        <v>0</v>
      </c>
      <c r="P184" s="496">
        <f t="shared" ca="1" si="94"/>
        <v>0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2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2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IFERROR(__xludf.DUMMYFUNCTION("IMPORTRANGE(""https://docs.google.com/spreadsheets/d/1MeEWN-I1oV_STSDYn1IFDPWt_1FKiwhDph83XaGc0o0/edit?usp=sharing"",""งบพรบ!CO57"")"),36100)</f>
        <v>36100</v>
      </c>
      <c r="M186" s="93">
        <f ca="1">IFERROR(__xludf.DUMMYFUNCTION("IMPORTRANGE(""https://docs.google.com/spreadsheets/d/1MeEWN-I1oV_STSDYn1IFDPWt_1FKiwhDph83XaGc0o0/edit?usp=sharing"",""งบพรบ!CT57"")"),22000)</f>
        <v>22000</v>
      </c>
      <c r="N186" s="93">
        <f ca="1">IFERROR(__xludf.DUMMYFUNCTION("IMPORTRANGE(""https://docs.google.com/spreadsheets/d/1MeEWN-I1oV_STSDYn1IFDPWt_1FKiwhDph83XaGc0o0/edit?usp=sharing"",""งบพรบ!CV57"")"),0)</f>
        <v>0</v>
      </c>
      <c r="O186" s="93">
        <f t="shared" ca="1" si="93"/>
        <v>0</v>
      </c>
      <c r="P186" s="93">
        <f t="shared" ca="1" si="94"/>
        <v>0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1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6">
        <f t="shared" ref="L187:N187" ca="1" si="97">L188+L189</f>
        <v>0</v>
      </c>
      <c r="M187" s="496">
        <f t="shared" ca="1" si="97"/>
        <v>0</v>
      </c>
      <c r="N187" s="496">
        <f t="shared" ca="1" si="97"/>
        <v>0</v>
      </c>
      <c r="O187" s="496">
        <f t="shared" ca="1" si="93"/>
        <v>0</v>
      </c>
      <c r="P187" s="496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2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2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IFERROR(__xludf.DUMMYFUNCTION("IMPORTRANGE(""https://docs.google.com/spreadsheets/d/1MeEWN-I1oV_STSDYn1IFDPWt_1FKiwhDph83XaGc0o0/edit?usp=sharing"",""งบพรบ!CR57"")"),0)</f>
        <v>0</v>
      </c>
      <c r="M189" s="93">
        <f ca="1">IFERROR(__xludf.DUMMYFUNCTION("IMPORTRANGE(""https://docs.google.com/spreadsheets/d/1MeEWN-I1oV_STSDYn1IFDPWt_1FKiwhDph83XaGc0o0/edit?usp=sharing"",""งบพรบ!CU57"")"),0)</f>
        <v>0</v>
      </c>
      <c r="N189" s="93">
        <f ca="1">IFERROR(__xludf.DUMMYFUNCTION("IMPORTRANGE(""https://docs.google.com/spreadsheets/d/1MeEWN-I1oV_STSDYn1IFDPWt_1FKiwhDph83XaGc0o0/edit?usp=sharing"",""งบพรบ!CW57"")"),0)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5"/>
      <c r="B190" s="263"/>
      <c r="C190" s="270" t="s">
        <v>89</v>
      </c>
      <c r="D190" s="256"/>
      <c r="E190" s="256"/>
      <c r="F190" s="256"/>
      <c r="G190" s="258"/>
      <c r="H190" s="259" t="s">
        <v>90</v>
      </c>
      <c r="I190" s="271">
        <f t="shared" ref="I190:J190" ca="1" si="98">I193</f>
        <v>4</v>
      </c>
      <c r="J190" s="271">
        <f t="shared" si="98"/>
        <v>0</v>
      </c>
      <c r="K190" s="272">
        <f ca="1">IF(I190&gt;0,J190*100/I190,0)</f>
        <v>0</v>
      </c>
      <c r="L190" s="261"/>
      <c r="M190" s="261"/>
      <c r="N190" s="261"/>
      <c r="O190" s="261"/>
      <c r="P190" s="261"/>
    </row>
    <row r="191" spans="1:26" ht="19.5">
      <c r="A191" s="147"/>
      <c r="B191" s="148"/>
      <c r="C191" s="149" t="s">
        <v>16</v>
      </c>
      <c r="D191" s="826" t="s">
        <v>17</v>
      </c>
      <c r="E191" s="148"/>
      <c r="F191" s="148"/>
      <c r="G191" s="151"/>
      <c r="H191" s="274" t="s">
        <v>12</v>
      </c>
      <c r="I191" s="419"/>
      <c r="J191" s="419"/>
      <c r="K191" s="154"/>
      <c r="L191" s="155">
        <f ca="1">IFERROR(__xludf.DUMMYFUNCTION("IMPORTRANGE(""https://docs.google.com/spreadsheets/d/1QqKyyYR6Q21VydFLVH3TRQUabQu_ym0Zz7PgGX0-kHA/edit?usp=sharing"",""แผน!Z57"")"),6000)</f>
        <v>6000</v>
      </c>
      <c r="M191" s="155"/>
      <c r="N191" s="275">
        <v>0</v>
      </c>
      <c r="O191" s="155">
        <f ca="1">IF(L191&gt;0,N191*100/L191,0)</f>
        <v>0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0" t="s">
        <v>16</v>
      </c>
      <c r="D192" s="823" t="s">
        <v>38</v>
      </c>
      <c r="E192" s="173"/>
      <c r="F192" s="173"/>
      <c r="G192" s="174"/>
      <c r="H192" s="753"/>
      <c r="I192" s="269"/>
      <c r="J192" s="269"/>
      <c r="K192" s="496"/>
      <c r="L192" s="496"/>
      <c r="M192" s="496"/>
      <c r="N192" s="496"/>
      <c r="O192" s="496"/>
      <c r="P192" s="496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6" t="s">
        <v>91</v>
      </c>
      <c r="E193" s="178"/>
      <c r="F193" s="178"/>
      <c r="G193" s="179"/>
      <c r="H193" s="755" t="s">
        <v>90</v>
      </c>
      <c r="I193" s="269">
        <f ca="1">IFERROR(__xludf.DUMMYFUNCTION("IMPORTRANGE(""https://docs.google.com/spreadsheets/d/1QqKyyYR6Q21VydFLVH3TRQUabQu_ym0Zz7PgGX0-kHA/edit?usp=sharing"",""แผน!AC57"")"),4)</f>
        <v>4</v>
      </c>
      <c r="J193" s="214">
        <v>0</v>
      </c>
      <c r="K193" s="496">
        <f ca="1">IF(I193&gt;0,J193*100/I193,0)</f>
        <v>0</v>
      </c>
      <c r="L193" s="496"/>
      <c r="M193" s="496"/>
      <c r="N193" s="496"/>
      <c r="O193" s="496"/>
      <c r="P193" s="496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6" t="s">
        <v>92</v>
      </c>
      <c r="E194" s="178"/>
      <c r="F194" s="178"/>
      <c r="G194" s="179"/>
      <c r="H194" s="276" t="s">
        <v>35</v>
      </c>
      <c r="I194" s="269"/>
      <c r="J194" s="269">
        <f>J195+J196</f>
        <v>0</v>
      </c>
      <c r="K194" s="496"/>
      <c r="L194" s="496"/>
      <c r="M194" s="496"/>
      <c r="N194" s="496"/>
      <c r="O194" s="496"/>
      <c r="P194" s="496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6" t="s">
        <v>93</v>
      </c>
      <c r="F195" s="178"/>
      <c r="G195" s="179"/>
      <c r="H195" s="276" t="s">
        <v>35</v>
      </c>
      <c r="I195" s="269"/>
      <c r="J195" s="214">
        <v>0</v>
      </c>
      <c r="K195" s="496"/>
      <c r="L195" s="496"/>
      <c r="M195" s="496"/>
      <c r="N195" s="496"/>
      <c r="O195" s="496"/>
      <c r="P195" s="496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6" t="s">
        <v>94</v>
      </c>
      <c r="F196" s="178"/>
      <c r="G196" s="179"/>
      <c r="H196" s="276" t="s">
        <v>35</v>
      </c>
      <c r="I196" s="269"/>
      <c r="J196" s="214">
        <v>0</v>
      </c>
      <c r="K196" s="496"/>
      <c r="L196" s="496"/>
      <c r="M196" s="496"/>
      <c r="N196" s="496"/>
      <c r="O196" s="496"/>
      <c r="P196" s="496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5"/>
      <c r="B197" s="263"/>
      <c r="C197" s="270" t="s">
        <v>95</v>
      </c>
      <c r="D197" s="256"/>
      <c r="E197" s="256"/>
      <c r="F197" s="256"/>
      <c r="G197" s="258"/>
      <c r="H197" s="277" t="s">
        <v>96</v>
      </c>
      <c r="I197" s="271">
        <f t="shared" ref="I197:J197" ca="1" si="99">I204</f>
        <v>1</v>
      </c>
      <c r="J197" s="271">
        <f t="shared" si="99"/>
        <v>0</v>
      </c>
      <c r="K197" s="272">
        <f ca="1">IF(I197&gt;0,J197*100/I197,0)</f>
        <v>0</v>
      </c>
      <c r="L197" s="261"/>
      <c r="M197" s="261"/>
      <c r="N197" s="261"/>
      <c r="O197" s="261"/>
      <c r="P197" s="261"/>
    </row>
    <row r="198" spans="1:26" ht="19.5">
      <c r="A198" s="147"/>
      <c r="B198" s="148"/>
      <c r="C198" s="149" t="s">
        <v>16</v>
      </c>
      <c r="D198" s="826" t="s">
        <v>17</v>
      </c>
      <c r="E198" s="148"/>
      <c r="F198" s="148"/>
      <c r="G198" s="151"/>
      <c r="H198" s="274" t="s">
        <v>12</v>
      </c>
      <c r="I198" s="418"/>
      <c r="J198" s="418"/>
      <c r="K198" s="279"/>
      <c r="L198" s="155">
        <f ca="1">L199+L200+L201+L202</f>
        <v>13000</v>
      </c>
      <c r="M198" s="155"/>
      <c r="N198" s="155">
        <f>N199+N200+N201+N202</f>
        <v>0</v>
      </c>
      <c r="O198" s="155">
        <f ca="1">IF(L198&gt;0,N198*100/L198,0)</f>
        <v>0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0"/>
      <c r="C199" s="33"/>
      <c r="D199" s="281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6">
        <f ca="1">IFERROR(__xludf.DUMMYFUNCTION("IMPORTRANGE(""https://docs.google.com/spreadsheets/d/1QqKyyYR6Q21VydFLVH3TRQUabQu_ym0Zz7PgGX0-kHA/edit?usp=sharing"",""แผน!AE57"")"),1000)</f>
        <v>1000</v>
      </c>
      <c r="M199" s="496"/>
      <c r="N199" s="817">
        <v>0</v>
      </c>
      <c r="O199" s="496"/>
      <c r="P199" s="496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4"/>
      <c r="B200" s="280"/>
      <c r="C200" s="210"/>
      <c r="D200" s="281" t="s">
        <v>98</v>
      </c>
      <c r="E200" s="33"/>
      <c r="F200" s="33"/>
      <c r="G200" s="35"/>
      <c r="H200" s="616" t="s">
        <v>12</v>
      </c>
      <c r="I200" s="269"/>
      <c r="J200" s="269"/>
      <c r="K200" s="496"/>
      <c r="L200" s="496">
        <f ca="1">IFERROR(__xludf.DUMMYFUNCTION("IMPORTRANGE(""https://docs.google.com/spreadsheets/d/1QqKyyYR6Q21VydFLVH3TRQUabQu_ym0Zz7PgGX0-kHA/edit?usp=sharing"",""แผน!AF57"")"),8000)</f>
        <v>8000</v>
      </c>
      <c r="M200" s="496"/>
      <c r="N200" s="817">
        <v>0</v>
      </c>
      <c r="O200" s="496"/>
      <c r="P200" s="496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>
      <c r="A201" s="284"/>
      <c r="B201" s="280"/>
      <c r="C201" s="210"/>
      <c r="D201" s="281" t="s">
        <v>99</v>
      </c>
      <c r="E201" s="33"/>
      <c r="F201" s="33"/>
      <c r="G201" s="35"/>
      <c r="H201" s="616" t="s">
        <v>12</v>
      </c>
      <c r="I201" s="269"/>
      <c r="J201" s="269"/>
      <c r="K201" s="496"/>
      <c r="L201" s="496">
        <f ca="1">IFERROR(__xludf.DUMMYFUNCTION("IMPORTRANGE(""https://docs.google.com/spreadsheets/d/1QqKyyYR6Q21VydFLVH3TRQUabQu_ym0Zz7PgGX0-kHA/edit?usp=sharing"",""แผน!AG57"")"),4000)</f>
        <v>4000</v>
      </c>
      <c r="M201" s="496"/>
      <c r="N201" s="817">
        <v>0</v>
      </c>
      <c r="O201" s="496"/>
      <c r="P201" s="496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>
      <c r="A202" s="284"/>
      <c r="B202" s="280"/>
      <c r="C202" s="210"/>
      <c r="D202" s="281" t="s">
        <v>100</v>
      </c>
      <c r="E202" s="33"/>
      <c r="F202" s="33"/>
      <c r="G202" s="35"/>
      <c r="H202" s="616" t="s">
        <v>12</v>
      </c>
      <c r="I202" s="269"/>
      <c r="J202" s="269"/>
      <c r="K202" s="496"/>
      <c r="L202" s="496">
        <f ca="1">IFERROR(__xludf.DUMMYFUNCTION("IMPORTRANGE(""https://docs.google.com/spreadsheets/d/1QqKyyYR6Q21VydFLVH3TRQUabQu_ym0Zz7PgGX0-kHA/edit?usp=sharing"",""แผน!AH57"")"),0)</f>
        <v>0</v>
      </c>
      <c r="M202" s="496"/>
      <c r="N202" s="817">
        <v>0</v>
      </c>
      <c r="O202" s="496"/>
      <c r="P202" s="496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>
      <c r="A203" s="170"/>
      <c r="B203" s="171"/>
      <c r="C203" s="210" t="s">
        <v>16</v>
      </c>
      <c r="D203" s="823" t="s">
        <v>38</v>
      </c>
      <c r="E203" s="173"/>
      <c r="F203" s="173"/>
      <c r="G203" s="174"/>
      <c r="H203" s="753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53" t="s">
        <v>96</v>
      </c>
      <c r="I204" s="269">
        <f ca="1">IFERROR(__xludf.DUMMYFUNCTION("IMPORTRANGE(""https://docs.google.com/spreadsheets/d/1QqKyyYR6Q21VydFLVH3TRQUabQu_ym0Zz7PgGX0-kHA/edit?usp=sharing"",""แผน!AI57"")"),1)</f>
        <v>1</v>
      </c>
      <c r="J204" s="214">
        <v>0</v>
      </c>
      <c r="K204" s="163">
        <f ca="1">IF(I204&gt;0,J204*100/I204,0)</f>
        <v>0</v>
      </c>
      <c r="L204" s="496"/>
      <c r="M204" s="496"/>
      <c r="N204" s="496"/>
      <c r="O204" s="496"/>
      <c r="P204" s="496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6" t="s">
        <v>59</v>
      </c>
      <c r="E205" s="178"/>
      <c r="F205" s="178"/>
      <c r="G205" s="179"/>
      <c r="H205" s="753"/>
      <c r="I205" s="269"/>
      <c r="J205" s="269"/>
      <c r="K205" s="163"/>
      <c r="L205" s="496"/>
      <c r="M205" s="496"/>
      <c r="N205" s="496"/>
      <c r="O205" s="496"/>
      <c r="P205" s="496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25" t="s">
        <v>102</v>
      </c>
      <c r="F206" s="287"/>
      <c r="G206" s="288"/>
      <c r="H206" s="289" t="s">
        <v>96</v>
      </c>
      <c r="I206" s="269">
        <v>1</v>
      </c>
      <c r="J206" s="214">
        <v>0</v>
      </c>
      <c r="K206" s="163">
        <f t="shared" ref="K206:K208" si="100">IF(I206&gt;0,J206*100/I206,0)</f>
        <v>0</v>
      </c>
      <c r="L206" s="496"/>
      <c r="M206" s="496"/>
      <c r="N206" s="496"/>
      <c r="O206" s="496"/>
      <c r="P206" s="496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6"/>
      <c r="E207" s="446" t="s">
        <v>103</v>
      </c>
      <c r="F207" s="178"/>
      <c r="G207" s="178"/>
      <c r="H207" s="290" t="s">
        <v>104</v>
      </c>
      <c r="I207" s="269">
        <v>0</v>
      </c>
      <c r="J207" s="214">
        <v>0</v>
      </c>
      <c r="K207" s="163">
        <f t="shared" si="100"/>
        <v>0</v>
      </c>
      <c r="L207" s="496"/>
      <c r="M207" s="496"/>
      <c r="N207" s="496"/>
      <c r="O207" s="496"/>
      <c r="P207" s="496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 hidden="1">
      <c r="A208" s="255"/>
      <c r="B208" s="263"/>
      <c r="C208" s="270" t="s">
        <v>105</v>
      </c>
      <c r="D208" s="256"/>
      <c r="E208" s="256"/>
      <c r="F208" s="291"/>
      <c r="G208" s="258"/>
      <c r="H208" s="277" t="s">
        <v>96</v>
      </c>
      <c r="I208" s="271">
        <f t="shared" ref="I208:J208" ca="1" si="101">I215</f>
        <v>0</v>
      </c>
      <c r="J208" s="271">
        <f t="shared" si="101"/>
        <v>0</v>
      </c>
      <c r="K208" s="272">
        <f t="shared" ca="1" si="100"/>
        <v>0</v>
      </c>
      <c r="L208" s="261"/>
      <c r="M208" s="261"/>
      <c r="N208" s="261"/>
      <c r="O208" s="261"/>
      <c r="P208" s="261"/>
    </row>
    <row r="209" spans="1:26" ht="19.5" hidden="1">
      <c r="A209" s="147"/>
      <c r="B209" s="148"/>
      <c r="C209" s="149" t="s">
        <v>16</v>
      </c>
      <c r="D209" s="826" t="s">
        <v>17</v>
      </c>
      <c r="E209" s="148"/>
      <c r="F209" s="148"/>
      <c r="G209" s="151"/>
      <c r="H209" s="274" t="s">
        <v>12</v>
      </c>
      <c r="I209" s="418"/>
      <c r="J209" s="418"/>
      <c r="K209" s="279"/>
      <c r="L209" s="155">
        <f ca="1">L210+L211+L212</f>
        <v>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 hidden="1">
      <c r="A210" s="159"/>
      <c r="B210" s="280"/>
      <c r="C210" s="33"/>
      <c r="D210" s="281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6">
        <f ca="1">IFERROR(__xludf.DUMMYFUNCTION("IMPORTRANGE(""https://docs.google.com/spreadsheets/d/1QqKyyYR6Q21VydFLVH3TRQUabQu_ym0Zz7PgGX0-kHA/edit?usp=sharing"",""แผน!AK57"")"),0)</f>
        <v>0</v>
      </c>
      <c r="M210" s="496"/>
      <c r="N210" s="817">
        <v>0</v>
      </c>
      <c r="O210" s="496"/>
      <c r="P210" s="496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 hidden="1">
      <c r="A211" s="284"/>
      <c r="B211" s="280"/>
      <c r="C211" s="292"/>
      <c r="D211" s="281" t="s">
        <v>99</v>
      </c>
      <c r="E211" s="33"/>
      <c r="F211" s="33"/>
      <c r="G211" s="35"/>
      <c r="H211" s="161" t="s">
        <v>12</v>
      </c>
      <c r="I211" s="269"/>
      <c r="J211" s="269"/>
      <c r="K211" s="496"/>
      <c r="L211" s="496">
        <f ca="1">IFERROR(__xludf.DUMMYFUNCTION("IMPORTRANGE(""https://docs.google.com/spreadsheets/d/1QqKyyYR6Q21VydFLVH3TRQUabQu_ym0Zz7PgGX0-kHA/edit?usp=sharing"",""แผน!AL57"")"),0)</f>
        <v>0</v>
      </c>
      <c r="M211" s="496"/>
      <c r="N211" s="817">
        <v>0</v>
      </c>
      <c r="O211" s="496"/>
      <c r="P211" s="496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 hidden="1">
      <c r="A212" s="284"/>
      <c r="B212" s="280"/>
      <c r="C212" s="292"/>
      <c r="D212" s="281" t="s">
        <v>98</v>
      </c>
      <c r="E212" s="33"/>
      <c r="F212" s="33"/>
      <c r="G212" s="35"/>
      <c r="H212" s="161" t="s">
        <v>12</v>
      </c>
      <c r="I212" s="269"/>
      <c r="J212" s="269"/>
      <c r="K212" s="496"/>
      <c r="L212" s="496">
        <f ca="1">IFERROR(__xludf.DUMMYFUNCTION("IMPORTRANGE(""https://docs.google.com/spreadsheets/d/1QqKyyYR6Q21VydFLVH3TRQUabQu_ym0Zz7PgGX0-kHA/edit?usp=sharing"",""แผน!AM57"")"),0)</f>
        <v>0</v>
      </c>
      <c r="M212" s="496"/>
      <c r="N212" s="817">
        <v>0</v>
      </c>
      <c r="O212" s="496"/>
      <c r="P212" s="496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 hidden="1">
      <c r="A213" s="170"/>
      <c r="B213" s="171"/>
      <c r="C213" s="292" t="s">
        <v>16</v>
      </c>
      <c r="D213" s="823" t="s">
        <v>38</v>
      </c>
      <c r="E213" s="173"/>
      <c r="F213" s="173"/>
      <c r="G213" s="174"/>
      <c r="H213" s="753"/>
      <c r="I213" s="184"/>
      <c r="J213" s="269"/>
      <c r="K213" s="496"/>
      <c r="L213" s="496"/>
      <c r="M213" s="496"/>
      <c r="N213" s="496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 hidden="1">
      <c r="A214" s="170"/>
      <c r="B214" s="171"/>
      <c r="C214" s="171"/>
      <c r="D214" s="176" t="s">
        <v>106</v>
      </c>
      <c r="E214" s="178"/>
      <c r="F214" s="178"/>
      <c r="G214" s="179"/>
      <c r="H214" s="753" t="s">
        <v>96</v>
      </c>
      <c r="I214" s="269">
        <f ca="1">IFERROR(__xludf.DUMMYFUNCTION("IMPORTRANGE(""https://docs.google.com/spreadsheets/d/1QqKyyYR6Q21VydFLVH3TRQUabQu_ym0Zz7PgGX0-kHA/edit?usp=sharing"",""แผน!AN57"")"),0)</f>
        <v>0</v>
      </c>
      <c r="J214" s="214">
        <v>0</v>
      </c>
      <c r="K214" s="496">
        <f t="shared" ref="K214:K216" ca="1" si="102">IF(I214&gt;0,J214*100/I214,0)</f>
        <v>0</v>
      </c>
      <c r="L214" s="496"/>
      <c r="M214" s="496"/>
      <c r="N214" s="496"/>
      <c r="O214" s="496"/>
      <c r="P214" s="496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 hidden="1">
      <c r="A215" s="170"/>
      <c r="B215" s="171"/>
      <c r="C215" s="171"/>
      <c r="D215" s="176" t="s">
        <v>107</v>
      </c>
      <c r="E215" s="178"/>
      <c r="F215" s="178"/>
      <c r="G215" s="179"/>
      <c r="H215" s="753" t="s">
        <v>96</v>
      </c>
      <c r="I215" s="269">
        <f ca="1">IFERROR(__xludf.DUMMYFUNCTION("IMPORTRANGE(""https://docs.google.com/spreadsheets/d/1QqKyyYR6Q21VydFLVH3TRQUabQu_ym0Zz7PgGX0-kHA/edit?usp=sharing"",""แผน!AN57"")"),0)</f>
        <v>0</v>
      </c>
      <c r="J215" s="214">
        <v>0</v>
      </c>
      <c r="K215" s="496">
        <f t="shared" ca="1" si="102"/>
        <v>0</v>
      </c>
      <c r="L215" s="496"/>
      <c r="M215" s="496"/>
      <c r="N215" s="496"/>
      <c r="O215" s="496"/>
      <c r="P215" s="496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5"/>
      <c r="B216" s="263"/>
      <c r="C216" s="270" t="s">
        <v>108</v>
      </c>
      <c r="D216" s="256"/>
      <c r="E216" s="256"/>
      <c r="F216" s="291"/>
      <c r="G216" s="258"/>
      <c r="H216" s="259" t="s">
        <v>109</v>
      </c>
      <c r="I216" s="271">
        <f t="shared" ref="I216:J216" ca="1" si="103">I224</f>
        <v>12800</v>
      </c>
      <c r="J216" s="271">
        <f t="shared" si="103"/>
        <v>0</v>
      </c>
      <c r="K216" s="272">
        <f t="shared" ca="1" si="102"/>
        <v>0</v>
      </c>
      <c r="L216" s="261"/>
      <c r="M216" s="261"/>
      <c r="N216" s="261"/>
      <c r="O216" s="261"/>
      <c r="P216" s="261"/>
    </row>
    <row r="217" spans="1:26" ht="19.5">
      <c r="A217" s="147"/>
      <c r="B217" s="148"/>
      <c r="C217" s="149" t="s">
        <v>16</v>
      </c>
      <c r="D217" s="826" t="s">
        <v>17</v>
      </c>
      <c r="E217" s="148"/>
      <c r="F217" s="148"/>
      <c r="G217" s="151"/>
      <c r="H217" s="274" t="s">
        <v>12</v>
      </c>
      <c r="I217" s="418"/>
      <c r="J217" s="418"/>
      <c r="K217" s="279"/>
      <c r="L217" s="155">
        <f ca="1">L218+L219+L220</f>
        <v>17100</v>
      </c>
      <c r="M217" s="155"/>
      <c r="N217" s="155">
        <f>N218+N219+N220</f>
        <v>0</v>
      </c>
      <c r="O217" s="155">
        <f ca="1">IF(L217&gt;0,N217*100/L217,0)</f>
        <v>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0"/>
      <c r="C218" s="33"/>
      <c r="D218" s="281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6">
        <f ca="1">IFERROR(__xludf.DUMMYFUNCTION("IMPORTRANGE(""https://docs.google.com/spreadsheets/d/1QqKyyYR6Q21VydFLVH3TRQUabQu_ym0Zz7PgGX0-kHA/edit?usp=sharing"",""แผน!AP57"")"),3000)</f>
        <v>3000</v>
      </c>
      <c r="M218" s="496"/>
      <c r="N218" s="817">
        <v>0</v>
      </c>
      <c r="O218" s="496"/>
      <c r="P218" s="496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4"/>
      <c r="B219" s="280"/>
      <c r="C219" s="292"/>
      <c r="D219" s="281" t="s">
        <v>110</v>
      </c>
      <c r="E219" s="33"/>
      <c r="F219" s="33"/>
      <c r="G219" s="35"/>
      <c r="H219" s="161" t="s">
        <v>12</v>
      </c>
      <c r="I219" s="269"/>
      <c r="J219" s="269"/>
      <c r="K219" s="496"/>
      <c r="L219" s="496">
        <f ca="1">IFERROR(__xludf.DUMMYFUNCTION("IMPORTRANGE(""https://docs.google.com/spreadsheets/d/1QqKyyYR6Q21VydFLVH3TRQUabQu_ym0Zz7PgGX0-kHA/edit?usp=sharing"",""แผน!AQ57"")"),4100)</f>
        <v>4100</v>
      </c>
      <c r="M219" s="496"/>
      <c r="N219" s="817">
        <v>0</v>
      </c>
      <c r="O219" s="496"/>
      <c r="P219" s="496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0"/>
      <c r="C220" s="292"/>
      <c r="D220" s="281" t="s">
        <v>98</v>
      </c>
      <c r="E220" s="33"/>
      <c r="F220" s="33"/>
      <c r="G220" s="35"/>
      <c r="H220" s="161" t="s">
        <v>12</v>
      </c>
      <c r="I220" s="269"/>
      <c r="J220" s="269"/>
      <c r="K220" s="496"/>
      <c r="L220" s="496">
        <f ca="1">IFERROR(__xludf.DUMMYFUNCTION("IMPORTRANGE(""https://docs.google.com/spreadsheets/d/1QqKyyYR6Q21VydFLVH3TRQUabQu_ym0Zz7PgGX0-kHA/edit?usp=sharing"",""แผน!AR57"")"),10000)</f>
        <v>10000</v>
      </c>
      <c r="M220" s="496"/>
      <c r="N220" s="817">
        <v>0</v>
      </c>
      <c r="O220" s="496"/>
      <c r="P220" s="496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70"/>
      <c r="B221" s="171"/>
      <c r="C221" s="292" t="s">
        <v>16</v>
      </c>
      <c r="D221" s="823" t="s">
        <v>38</v>
      </c>
      <c r="E221" s="173"/>
      <c r="F221" s="173"/>
      <c r="G221" s="174"/>
      <c r="H221" s="753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1" t="s">
        <v>111</v>
      </c>
      <c r="E222" s="178"/>
      <c r="F222" s="178"/>
      <c r="G222" s="179"/>
      <c r="H222" s="753"/>
      <c r="I222" s="269"/>
      <c r="J222" s="269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55" t="s">
        <v>109</v>
      </c>
      <c r="I223" s="269">
        <f ca="1">IFERROR(__xludf.DUMMYFUNCTION("IMPORTRANGE(""https://docs.google.com/spreadsheets/d/1QqKyyYR6Q21VydFLVH3TRQUabQu_ym0Zz7PgGX0-kHA/edit?usp=sharing"",""แผน!AT57"")"),12800)</f>
        <v>12800</v>
      </c>
      <c r="J223" s="214">
        <v>0</v>
      </c>
      <c r="K223" s="163">
        <f t="shared" ref="K223:K226" ca="1" si="104">IF(I223&gt;0,J223*100/I223,0)</f>
        <v>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55" t="s">
        <v>109</v>
      </c>
      <c r="I224" s="269">
        <f ca="1">IFERROR(__xludf.DUMMYFUNCTION("IMPORTRANGE(""https://docs.google.com/spreadsheets/d/1QqKyyYR6Q21VydFLVH3TRQUabQu_ym0Zz7PgGX0-kHA/edit?usp=sharing"",""แผน!AT57"")"),12800)</f>
        <v>12800</v>
      </c>
      <c r="J224" s="214">
        <v>0</v>
      </c>
      <c r="K224" s="163">
        <f t="shared" ca="1" si="104"/>
        <v>0</v>
      </c>
      <c r="L224" s="496"/>
      <c r="M224" s="496"/>
      <c r="N224" s="496"/>
      <c r="O224" s="496"/>
      <c r="P224" s="496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1" t="s">
        <v>114</v>
      </c>
      <c r="E225" s="178"/>
      <c r="F225" s="178"/>
      <c r="G225" s="179"/>
      <c r="H225" s="755" t="s">
        <v>35</v>
      </c>
      <c r="I225" s="269">
        <f ca="1">IFERROR(__xludf.DUMMYFUNCTION("IMPORTRANGE(""https://docs.google.com/spreadsheets/d/1QqKyyYR6Q21VydFLVH3TRQUabQu_ym0Zz7PgGX0-kHA/edit?usp=sharing"",""แผน!AS57"")"),10)</f>
        <v>10</v>
      </c>
      <c r="J225" s="214">
        <v>0</v>
      </c>
      <c r="K225" s="163">
        <f t="shared" ca="1" si="104"/>
        <v>0</v>
      </c>
      <c r="L225" s="496"/>
      <c r="M225" s="496"/>
      <c r="N225" s="496"/>
      <c r="O225" s="496"/>
      <c r="P225" s="496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5"/>
      <c r="B226" s="263"/>
      <c r="C226" s="341" t="s">
        <v>115</v>
      </c>
      <c r="D226" s="256"/>
      <c r="E226" s="256"/>
      <c r="F226" s="256"/>
      <c r="G226" s="258"/>
      <c r="H226" s="265" t="s">
        <v>35</v>
      </c>
      <c r="I226" s="344">
        <f t="shared" ref="I226:J226" ca="1" si="105">I237+I248</f>
        <v>0</v>
      </c>
      <c r="J226" s="344">
        <f t="shared" si="105"/>
        <v>0</v>
      </c>
      <c r="K226" s="345">
        <f t="shared" ca="1" si="104"/>
        <v>0</v>
      </c>
      <c r="L226" s="261"/>
      <c r="M226" s="261"/>
      <c r="N226" s="261"/>
      <c r="O226" s="261"/>
      <c r="P226" s="261"/>
    </row>
    <row r="227" spans="1:26" ht="19.5" hidden="1">
      <c r="A227" s="347"/>
      <c r="B227" s="348"/>
      <c r="C227" s="349" t="s">
        <v>16</v>
      </c>
      <c r="D227" s="827" t="s">
        <v>17</v>
      </c>
      <c r="E227" s="348"/>
      <c r="F227" s="348"/>
      <c r="G227" s="351"/>
      <c r="H227" s="352" t="s">
        <v>12</v>
      </c>
      <c r="I227" s="353"/>
      <c r="J227" s="353"/>
      <c r="K227" s="354"/>
      <c r="L227" s="355">
        <f t="shared" ref="L227:L231" ca="1" si="106">L238+L249</f>
        <v>0</v>
      </c>
      <c r="M227" s="355"/>
      <c r="N227" s="355">
        <f t="shared" ref="N227:N231" si="107">N238+N249</f>
        <v>0</v>
      </c>
      <c r="O227" s="828"/>
      <c r="P227" s="828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6"/>
      <c r="C228" s="40"/>
      <c r="D228" s="222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0</v>
      </c>
      <c r="M228" s="93"/>
      <c r="N228" s="93">
        <f t="shared" si="107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8"/>
      <c r="B229" s="356"/>
      <c r="C229" s="359"/>
      <c r="D229" s="222" t="s">
        <v>98</v>
      </c>
      <c r="E229" s="40"/>
      <c r="F229" s="40"/>
      <c r="G229" s="42"/>
      <c r="H229" s="165" t="s">
        <v>12</v>
      </c>
      <c r="I229" s="610"/>
      <c r="J229" s="610"/>
      <c r="K229" s="93"/>
      <c r="L229" s="93">
        <f t="shared" ca="1" si="106"/>
        <v>0</v>
      </c>
      <c r="M229" s="93"/>
      <c r="N229" s="93">
        <f t="shared" si="107"/>
        <v>0</v>
      </c>
      <c r="O229" s="93"/>
      <c r="P229" s="93"/>
      <c r="Q229" s="360"/>
      <c r="R229" s="360"/>
      <c r="S229" s="360"/>
      <c r="T229" s="360"/>
      <c r="U229" s="360"/>
      <c r="V229" s="360"/>
      <c r="W229" s="360"/>
      <c r="X229" s="360"/>
      <c r="Y229" s="360"/>
      <c r="Z229" s="360"/>
    </row>
    <row r="230" spans="1:26" ht="19.5" hidden="1">
      <c r="A230" s="358"/>
      <c r="B230" s="356"/>
      <c r="C230" s="359"/>
      <c r="D230" s="222" t="s">
        <v>116</v>
      </c>
      <c r="E230" s="40"/>
      <c r="F230" s="40"/>
      <c r="G230" s="42"/>
      <c r="H230" s="165" t="s">
        <v>12</v>
      </c>
      <c r="I230" s="610"/>
      <c r="J230" s="610"/>
      <c r="K230" s="93"/>
      <c r="L230" s="93">
        <f t="shared" ca="1" si="106"/>
        <v>0</v>
      </c>
      <c r="M230" s="93"/>
      <c r="N230" s="93">
        <f t="shared" si="107"/>
        <v>0</v>
      </c>
      <c r="O230" s="93"/>
      <c r="P230" s="93"/>
      <c r="Q230" s="360"/>
      <c r="R230" s="360"/>
      <c r="S230" s="360"/>
      <c r="T230" s="360"/>
      <c r="U230" s="360"/>
      <c r="V230" s="360"/>
      <c r="W230" s="360"/>
      <c r="X230" s="360"/>
      <c r="Y230" s="360"/>
      <c r="Z230" s="360"/>
    </row>
    <row r="231" spans="1:26" ht="19.5" hidden="1">
      <c r="A231" s="358"/>
      <c r="B231" s="356"/>
      <c r="C231" s="359"/>
      <c r="D231" s="222" t="s">
        <v>100</v>
      </c>
      <c r="E231" s="40"/>
      <c r="F231" s="40"/>
      <c r="G231" s="42"/>
      <c r="H231" s="165" t="s">
        <v>12</v>
      </c>
      <c r="I231" s="610"/>
      <c r="J231" s="610"/>
      <c r="K231" s="93"/>
      <c r="L231" s="93">
        <f t="shared" ca="1" si="106"/>
        <v>0</v>
      </c>
      <c r="M231" s="93"/>
      <c r="N231" s="93">
        <f t="shared" si="107"/>
        <v>0</v>
      </c>
      <c r="O231" s="93"/>
      <c r="P231" s="93"/>
      <c r="Q231" s="360"/>
      <c r="R231" s="360"/>
      <c r="S231" s="360"/>
      <c r="T231" s="360"/>
      <c r="U231" s="360"/>
      <c r="V231" s="360"/>
      <c r="W231" s="360"/>
      <c r="X231" s="360"/>
      <c r="Y231" s="360"/>
      <c r="Z231" s="360"/>
    </row>
    <row r="232" spans="1:26" ht="19.5" hidden="1">
      <c r="A232" s="361"/>
      <c r="B232" s="362"/>
      <c r="C232" s="359" t="s">
        <v>16</v>
      </c>
      <c r="D232" s="266" t="s">
        <v>38</v>
      </c>
      <c r="E232" s="363"/>
      <c r="F232" s="363"/>
      <c r="G232" s="364"/>
      <c r="H232" s="365"/>
      <c r="I232" s="166"/>
      <c r="J232" s="610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1"/>
      <c r="B233" s="362"/>
      <c r="C233" s="362"/>
      <c r="D233" s="366" t="s">
        <v>117</v>
      </c>
      <c r="E233" s="372"/>
      <c r="F233" s="372"/>
      <c r="G233" s="368"/>
      <c r="H233" s="369" t="s">
        <v>35</v>
      </c>
      <c r="I233" s="610">
        <f t="shared" ref="I233:J233" ca="1" si="108">I244+I255</f>
        <v>0</v>
      </c>
      <c r="J233" s="610">
        <f t="shared" si="108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1"/>
      <c r="B234" s="362"/>
      <c r="C234" s="362"/>
      <c r="D234" s="371" t="s">
        <v>43</v>
      </c>
      <c r="E234" s="372"/>
      <c r="F234" s="372"/>
      <c r="G234" s="368"/>
      <c r="H234" s="369"/>
      <c r="I234" s="610"/>
      <c r="J234" s="610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1"/>
      <c r="B235" s="362"/>
      <c r="C235" s="362"/>
      <c r="D235" s="362"/>
      <c r="E235" s="373" t="s">
        <v>118</v>
      </c>
      <c r="F235" s="372"/>
      <c r="G235" s="368"/>
      <c r="H235" s="369" t="s">
        <v>35</v>
      </c>
      <c r="I235" s="610">
        <f t="shared" ref="I235:J236" si="109">I246+I257</f>
        <v>0</v>
      </c>
      <c r="J235" s="610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1"/>
      <c r="B236" s="362"/>
      <c r="C236" s="362"/>
      <c r="D236" s="362"/>
      <c r="E236" s="373" t="s">
        <v>119</v>
      </c>
      <c r="F236" s="372"/>
      <c r="G236" s="368"/>
      <c r="H236" s="369" t="s">
        <v>69</v>
      </c>
      <c r="I236" s="610">
        <f t="shared" si="109"/>
        <v>0</v>
      </c>
      <c r="J236" s="610">
        <f t="shared" si="109"/>
        <v>0</v>
      </c>
      <c r="K236" s="93">
        <f t="shared" si="110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5"/>
      <c r="B237" s="263"/>
      <c r="C237" s="270" t="s">
        <v>120</v>
      </c>
      <c r="D237" s="256"/>
      <c r="E237" s="256"/>
      <c r="F237" s="256"/>
      <c r="G237" s="258"/>
      <c r="H237" s="259" t="s">
        <v>35</v>
      </c>
      <c r="I237" s="271">
        <f t="shared" ref="I237:J237" ca="1" si="111">I244</f>
        <v>0</v>
      </c>
      <c r="J237" s="271">
        <f t="shared" si="111"/>
        <v>0</v>
      </c>
      <c r="K237" s="272">
        <f t="shared" ca="1" si="110"/>
        <v>0</v>
      </c>
      <c r="L237" s="261"/>
      <c r="M237" s="261"/>
      <c r="N237" s="261"/>
      <c r="O237" s="261"/>
      <c r="P237" s="261"/>
    </row>
    <row r="238" spans="1:26" ht="19.5" hidden="1">
      <c r="A238" s="147"/>
      <c r="B238" s="148"/>
      <c r="C238" s="149" t="s">
        <v>16</v>
      </c>
      <c r="D238" s="822" t="s">
        <v>17</v>
      </c>
      <c r="E238" s="148"/>
      <c r="F238" s="148"/>
      <c r="G238" s="151"/>
      <c r="H238" s="274" t="s">
        <v>12</v>
      </c>
      <c r="I238" s="418"/>
      <c r="J238" s="418"/>
      <c r="K238" s="279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4"/>
      <c r="B239" s="315"/>
      <c r="C239" s="316"/>
      <c r="D239" s="324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282">
        <f ca="1">IFERROR(__xludf.DUMMYFUNCTION("IMPORTRANGE(""https://docs.google.com/spreadsheets/d/1QqKyyYR6Q21VydFLVH3TRQUabQu_ym0Zz7PgGX0-kHA/edit?usp=sharing"",""แผน!AV57"")"),0)</f>
        <v>0</v>
      </c>
      <c r="M239" s="282"/>
      <c r="N239" s="829">
        <v>0</v>
      </c>
      <c r="O239" s="282"/>
      <c r="P239" s="28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 hidden="1">
      <c r="A240" s="322"/>
      <c r="B240" s="315"/>
      <c r="C240" s="323"/>
      <c r="D240" s="324" t="s">
        <v>98</v>
      </c>
      <c r="E240" s="316"/>
      <c r="F240" s="316"/>
      <c r="G240" s="318"/>
      <c r="H240" s="319" t="s">
        <v>12</v>
      </c>
      <c r="I240" s="325"/>
      <c r="J240" s="325"/>
      <c r="K240" s="282"/>
      <c r="L240" s="282">
        <f ca="1">IFERROR(__xludf.DUMMYFUNCTION("IMPORTRANGE(""https://docs.google.com/spreadsheets/d/1QqKyyYR6Q21VydFLVH3TRQUabQu_ym0Zz7PgGX0-kHA/edit?usp=sharing"",""แผน!AW57"")"),0)</f>
        <v>0</v>
      </c>
      <c r="M240" s="282"/>
      <c r="N240" s="829">
        <v>0</v>
      </c>
      <c r="O240" s="282"/>
      <c r="P240" s="282"/>
      <c r="Q240" s="326"/>
      <c r="R240" s="326"/>
      <c r="S240" s="326"/>
      <c r="T240" s="326"/>
      <c r="U240" s="326"/>
      <c r="V240" s="326"/>
      <c r="W240" s="326"/>
      <c r="X240" s="326"/>
      <c r="Y240" s="326"/>
      <c r="Z240" s="326"/>
    </row>
    <row r="241" spans="1:26" ht="19.5" hidden="1">
      <c r="A241" s="322"/>
      <c r="B241" s="315"/>
      <c r="C241" s="323"/>
      <c r="D241" s="324" t="s">
        <v>116</v>
      </c>
      <c r="E241" s="316"/>
      <c r="F241" s="316"/>
      <c r="G241" s="318"/>
      <c r="H241" s="319" t="s">
        <v>12</v>
      </c>
      <c r="I241" s="325"/>
      <c r="J241" s="325"/>
      <c r="K241" s="282"/>
      <c r="L241" s="282">
        <f ca="1">IFERROR(__xludf.DUMMYFUNCTION("IMPORTRANGE(""https://docs.google.com/spreadsheets/d/1QqKyyYR6Q21VydFLVH3TRQUabQu_ym0Zz7PgGX0-kHA/edit?usp=sharing"",""แผน!AX57"")"),0)</f>
        <v>0</v>
      </c>
      <c r="M241" s="282"/>
      <c r="N241" s="829">
        <v>0</v>
      </c>
      <c r="O241" s="282"/>
      <c r="P241" s="282"/>
      <c r="Q241" s="326"/>
      <c r="R241" s="326"/>
      <c r="S241" s="326"/>
      <c r="T241" s="326"/>
      <c r="U241" s="326"/>
      <c r="V241" s="326"/>
      <c r="W241" s="326"/>
      <c r="X241" s="326"/>
      <c r="Y241" s="326"/>
      <c r="Z241" s="326"/>
    </row>
    <row r="242" spans="1:26" ht="19.5" hidden="1">
      <c r="A242" s="322"/>
      <c r="B242" s="315"/>
      <c r="C242" s="323"/>
      <c r="D242" s="324" t="s">
        <v>100</v>
      </c>
      <c r="E242" s="316"/>
      <c r="F242" s="316"/>
      <c r="G242" s="318"/>
      <c r="H242" s="319" t="s">
        <v>12</v>
      </c>
      <c r="I242" s="325"/>
      <c r="J242" s="325"/>
      <c r="K242" s="282"/>
      <c r="L242" s="282">
        <f ca="1">IFERROR(__xludf.DUMMYFUNCTION("IMPORTRANGE(""https://docs.google.com/spreadsheets/d/1QqKyyYR6Q21VydFLVH3TRQUabQu_ym0Zz7PgGX0-kHA/edit?usp=sharing"",""แผน!AY57"")"),0)</f>
        <v>0</v>
      </c>
      <c r="M242" s="282"/>
      <c r="N242" s="829">
        <v>0</v>
      </c>
      <c r="O242" s="282"/>
      <c r="P242" s="282"/>
      <c r="Q242" s="326"/>
      <c r="R242" s="326"/>
      <c r="S242" s="326"/>
      <c r="T242" s="326"/>
      <c r="U242" s="326"/>
      <c r="V242" s="326"/>
      <c r="W242" s="326"/>
      <c r="X242" s="326"/>
      <c r="Y242" s="326"/>
      <c r="Z242" s="326"/>
    </row>
    <row r="243" spans="1:26" ht="19.5" hidden="1">
      <c r="A243" s="170"/>
      <c r="B243" s="171"/>
      <c r="C243" s="292" t="s">
        <v>16</v>
      </c>
      <c r="D243" s="823" t="s">
        <v>38</v>
      </c>
      <c r="E243" s="173"/>
      <c r="F243" s="173"/>
      <c r="G243" s="174"/>
      <c r="H243" s="753"/>
      <c r="I243" s="184"/>
      <c r="J243" s="269"/>
      <c r="K243" s="496"/>
      <c r="L243" s="496"/>
      <c r="M243" s="496"/>
      <c r="N243" s="496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46" t="s">
        <v>117</v>
      </c>
      <c r="E244" s="178"/>
      <c r="F244" s="178"/>
      <c r="G244" s="179"/>
      <c r="H244" s="755" t="s">
        <v>35</v>
      </c>
      <c r="I244" s="269">
        <f ca="1">IFERROR(__xludf.DUMMYFUNCTION("IMPORTRANGE(""https://docs.google.com/spreadsheets/d/1QqKyyYR6Q21VydFLVH3TRQUabQu_ym0Zz7PgGX0-kHA/edit?usp=sharing"",""แผน!BE57"")"),0)</f>
        <v>0</v>
      </c>
      <c r="J244" s="214">
        <v>0</v>
      </c>
      <c r="K244" s="496">
        <f ca="1">IF(I244&gt;0,J244*100/I244,0)</f>
        <v>0</v>
      </c>
      <c r="L244" s="496"/>
      <c r="M244" s="496"/>
      <c r="N244" s="496"/>
      <c r="O244" s="496"/>
      <c r="P244" s="496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830" t="s">
        <v>43</v>
      </c>
      <c r="E245" s="178"/>
      <c r="F245" s="178"/>
      <c r="G245" s="179"/>
      <c r="H245" s="755"/>
      <c r="I245" s="269"/>
      <c r="J245" s="269"/>
      <c r="K245" s="496"/>
      <c r="L245" s="496"/>
      <c r="M245" s="496"/>
      <c r="N245" s="496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176" t="s">
        <v>118</v>
      </c>
      <c r="F246" s="178"/>
      <c r="G246" s="179"/>
      <c r="H246" s="755" t="s">
        <v>35</v>
      </c>
      <c r="I246" s="269"/>
      <c r="J246" s="214">
        <v>0</v>
      </c>
      <c r="K246" s="496">
        <f t="shared" ref="K246:K248" si="112">IF(I246&gt;0,J246*100/I246,0)</f>
        <v>0</v>
      </c>
      <c r="L246" s="496"/>
      <c r="M246" s="496"/>
      <c r="N246" s="496"/>
      <c r="O246" s="496"/>
      <c r="P246" s="496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176" t="s">
        <v>119</v>
      </c>
      <c r="F247" s="178"/>
      <c r="G247" s="179"/>
      <c r="H247" s="755" t="s">
        <v>69</v>
      </c>
      <c r="I247" s="269"/>
      <c r="J247" s="214">
        <v>0</v>
      </c>
      <c r="K247" s="496">
        <f t="shared" si="112"/>
        <v>0</v>
      </c>
      <c r="L247" s="496"/>
      <c r="M247" s="496"/>
      <c r="N247" s="496"/>
      <c r="O247" s="496"/>
      <c r="P247" s="496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5"/>
      <c r="B248" s="263"/>
      <c r="C248" s="270" t="s">
        <v>121</v>
      </c>
      <c r="D248" s="256"/>
      <c r="E248" s="256"/>
      <c r="F248" s="256"/>
      <c r="G248" s="258"/>
      <c r="H248" s="259" t="s">
        <v>35</v>
      </c>
      <c r="I248" s="271">
        <f t="shared" ref="I248:J248" ca="1" si="113">I255</f>
        <v>0</v>
      </c>
      <c r="J248" s="271">
        <f t="shared" si="113"/>
        <v>0</v>
      </c>
      <c r="K248" s="272">
        <f t="shared" ca="1" si="112"/>
        <v>0</v>
      </c>
      <c r="L248" s="261"/>
      <c r="M248" s="261"/>
      <c r="N248" s="261"/>
      <c r="O248" s="261"/>
      <c r="P248" s="261"/>
    </row>
    <row r="249" spans="1:26" ht="19.5" hidden="1">
      <c r="A249" s="147"/>
      <c r="B249" s="148"/>
      <c r="C249" s="149" t="s">
        <v>16</v>
      </c>
      <c r="D249" s="826" t="s">
        <v>17</v>
      </c>
      <c r="E249" s="148"/>
      <c r="F249" s="148"/>
      <c r="G249" s="151"/>
      <c r="H249" s="274" t="s">
        <v>12</v>
      </c>
      <c r="I249" s="418"/>
      <c r="J249" s="418"/>
      <c r="K249" s="279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4"/>
      <c r="B250" s="315"/>
      <c r="C250" s="316"/>
      <c r="D250" s="324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282">
        <f ca="1">IFERROR(__xludf.DUMMYFUNCTION("IMPORTRANGE(""https://docs.google.com/spreadsheets/d/1QqKyyYR6Q21VydFLVH3TRQUabQu_ym0Zz7PgGX0-kHA/edit?usp=sharing"",""แผน!AZ57"")"),0)</f>
        <v>0</v>
      </c>
      <c r="M250" s="282"/>
      <c r="N250" s="829">
        <v>0</v>
      </c>
      <c r="O250" s="282"/>
      <c r="P250" s="282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9.5" hidden="1">
      <c r="A251" s="322"/>
      <c r="B251" s="315"/>
      <c r="C251" s="323"/>
      <c r="D251" s="324" t="s">
        <v>98</v>
      </c>
      <c r="E251" s="316"/>
      <c r="F251" s="316"/>
      <c r="G251" s="318"/>
      <c r="H251" s="319" t="s">
        <v>12</v>
      </c>
      <c r="I251" s="325"/>
      <c r="J251" s="325"/>
      <c r="K251" s="282"/>
      <c r="L251" s="282">
        <f ca="1">IFERROR(__xludf.DUMMYFUNCTION("IMPORTRANGE(""https://docs.google.com/spreadsheets/d/1QqKyyYR6Q21VydFLVH3TRQUabQu_ym0Zz7PgGX0-kHA/edit?usp=sharing"",""แผน!BA57"")"),0)</f>
        <v>0</v>
      </c>
      <c r="M251" s="282"/>
      <c r="N251" s="829">
        <v>0</v>
      </c>
      <c r="O251" s="282"/>
      <c r="P251" s="282"/>
      <c r="Q251" s="326"/>
      <c r="R251" s="326"/>
      <c r="S251" s="326"/>
      <c r="T251" s="326"/>
      <c r="U251" s="326"/>
      <c r="V251" s="326"/>
      <c r="W251" s="326"/>
      <c r="X251" s="326"/>
      <c r="Y251" s="326"/>
      <c r="Z251" s="326"/>
    </row>
    <row r="252" spans="1:26" ht="19.5" hidden="1">
      <c r="A252" s="322"/>
      <c r="B252" s="315"/>
      <c r="C252" s="323"/>
      <c r="D252" s="324" t="s">
        <v>116</v>
      </c>
      <c r="E252" s="316"/>
      <c r="F252" s="316"/>
      <c r="G252" s="318"/>
      <c r="H252" s="319" t="s">
        <v>12</v>
      </c>
      <c r="I252" s="325"/>
      <c r="J252" s="325"/>
      <c r="K252" s="282"/>
      <c r="L252" s="282">
        <f ca="1">IFERROR(__xludf.DUMMYFUNCTION("IMPORTRANGE(""https://docs.google.com/spreadsheets/d/1QqKyyYR6Q21VydFLVH3TRQUabQu_ym0Zz7PgGX0-kHA/edit?usp=sharing"",""แผน!BB57"")"),0)</f>
        <v>0</v>
      </c>
      <c r="M252" s="282"/>
      <c r="N252" s="829">
        <v>0</v>
      </c>
      <c r="O252" s="282"/>
      <c r="P252" s="282"/>
      <c r="Q252" s="326"/>
      <c r="R252" s="326"/>
      <c r="S252" s="326"/>
      <c r="T252" s="326"/>
      <c r="U252" s="326"/>
      <c r="V252" s="326"/>
      <c r="W252" s="326"/>
      <c r="X252" s="326"/>
      <c r="Y252" s="326"/>
      <c r="Z252" s="326"/>
    </row>
    <row r="253" spans="1:26" ht="19.5" hidden="1">
      <c r="A253" s="322"/>
      <c r="B253" s="315"/>
      <c r="C253" s="323"/>
      <c r="D253" s="324" t="s">
        <v>100</v>
      </c>
      <c r="E253" s="316"/>
      <c r="F253" s="316"/>
      <c r="G253" s="318"/>
      <c r="H253" s="319" t="s">
        <v>12</v>
      </c>
      <c r="I253" s="325"/>
      <c r="J253" s="325"/>
      <c r="K253" s="282"/>
      <c r="L253" s="282">
        <f ca="1">IFERROR(__xludf.DUMMYFUNCTION("IMPORTRANGE(""https://docs.google.com/spreadsheets/d/1QqKyyYR6Q21VydFLVH3TRQUabQu_ym0Zz7PgGX0-kHA/edit?usp=sharing"",""แผน!BC57"")"),0)</f>
        <v>0</v>
      </c>
      <c r="M253" s="282"/>
      <c r="N253" s="829">
        <v>0</v>
      </c>
      <c r="O253" s="282"/>
      <c r="P253" s="282"/>
      <c r="Q253" s="326"/>
      <c r="R253" s="326"/>
      <c r="S253" s="326"/>
      <c r="T253" s="326"/>
      <c r="U253" s="326"/>
      <c r="V253" s="326"/>
      <c r="W253" s="326"/>
      <c r="X253" s="326"/>
      <c r="Y253" s="326"/>
      <c r="Z253" s="326"/>
    </row>
    <row r="254" spans="1:26" ht="19.5" hidden="1">
      <c r="A254" s="170"/>
      <c r="B254" s="171"/>
      <c r="C254" s="292" t="s">
        <v>16</v>
      </c>
      <c r="D254" s="823" t="s">
        <v>38</v>
      </c>
      <c r="E254" s="173"/>
      <c r="F254" s="173"/>
      <c r="G254" s="174"/>
      <c r="H254" s="753"/>
      <c r="I254" s="184"/>
      <c r="J254" s="269"/>
      <c r="K254" s="496"/>
      <c r="L254" s="496"/>
      <c r="M254" s="496"/>
      <c r="N254" s="496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6" t="s">
        <v>117</v>
      </c>
      <c r="E255" s="178"/>
      <c r="F255" s="178"/>
      <c r="G255" s="179"/>
      <c r="H255" s="755" t="s">
        <v>35</v>
      </c>
      <c r="I255" s="269">
        <f ca="1">IFERROR(__xludf.DUMMYFUNCTION("IMPORTRANGE(""https://docs.google.com/spreadsheets/d/1QqKyyYR6Q21VydFLVH3TRQUabQu_ym0Zz7PgGX0-kHA/edit?usp=sharing"",""แผน!BF57"")"),0)</f>
        <v>0</v>
      </c>
      <c r="J255" s="214">
        <v>0</v>
      </c>
      <c r="K255" s="496">
        <f ca="1">IF(I255&gt;0,J255*100/I255,0)</f>
        <v>0</v>
      </c>
      <c r="L255" s="496"/>
      <c r="M255" s="496"/>
      <c r="N255" s="496"/>
      <c r="O255" s="496"/>
      <c r="P255" s="496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30" t="s">
        <v>43</v>
      </c>
      <c r="E256" s="178"/>
      <c r="F256" s="178"/>
      <c r="G256" s="179"/>
      <c r="H256" s="755"/>
      <c r="I256" s="269"/>
      <c r="J256" s="269"/>
      <c r="K256" s="496"/>
      <c r="L256" s="496"/>
      <c r="M256" s="496"/>
      <c r="N256" s="496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55" t="s">
        <v>35</v>
      </c>
      <c r="I257" s="269"/>
      <c r="J257" s="214">
        <v>0</v>
      </c>
      <c r="K257" s="496">
        <f t="shared" ref="K257:K258" si="114">IF(I257&gt;0,J257*100/I257,0)</f>
        <v>0</v>
      </c>
      <c r="L257" s="496"/>
      <c r="M257" s="496"/>
      <c r="N257" s="496"/>
      <c r="O257" s="496"/>
      <c r="P257" s="496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55" t="s">
        <v>69</v>
      </c>
      <c r="I258" s="269"/>
      <c r="J258" s="214">
        <v>0</v>
      </c>
      <c r="K258" s="496">
        <f t="shared" si="114"/>
        <v>0</v>
      </c>
      <c r="L258" s="496"/>
      <c r="M258" s="496"/>
      <c r="N258" s="496"/>
      <c r="O258" s="496"/>
      <c r="P258" s="496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1" t="s">
        <v>122</v>
      </c>
      <c r="B259" s="242"/>
      <c r="C259" s="242"/>
      <c r="D259" s="243"/>
      <c r="E259" s="243"/>
      <c r="F259" s="243"/>
      <c r="G259" s="244"/>
      <c r="H259" s="245"/>
      <c r="I259" s="246"/>
      <c r="J259" s="246"/>
      <c r="K259" s="247"/>
      <c r="L259" s="247"/>
      <c r="M259" s="247"/>
      <c r="N259" s="247"/>
      <c r="O259" s="247"/>
      <c r="P259" s="247"/>
    </row>
    <row r="260" spans="1:26" ht="19.5">
      <c r="A260" s="248"/>
      <c r="B260" s="249" t="s">
        <v>123</v>
      </c>
      <c r="C260" s="250"/>
      <c r="D260" s="173"/>
      <c r="E260" s="173"/>
      <c r="F260" s="173"/>
      <c r="G260" s="174"/>
      <c r="H260" s="251" t="s">
        <v>35</v>
      </c>
      <c r="I260" s="252">
        <f t="shared" ref="I260:J260" ca="1" si="115">I271</f>
        <v>22</v>
      </c>
      <c r="J260" s="252">
        <f t="shared" si="115"/>
        <v>0</v>
      </c>
      <c r="K260" s="253">
        <f ca="1">IF(I260&gt;0,J260*100/I260,0)</f>
        <v>0</v>
      </c>
      <c r="L260" s="254"/>
      <c r="M260" s="254"/>
      <c r="N260" s="254"/>
      <c r="O260" s="254"/>
      <c r="P260" s="254"/>
    </row>
    <row r="261" spans="1:26" ht="19.5">
      <c r="A261" s="147"/>
      <c r="B261" s="148"/>
      <c r="C261" s="149" t="s">
        <v>16</v>
      </c>
      <c r="D261" s="822" t="s">
        <v>17</v>
      </c>
      <c r="E261" s="148"/>
      <c r="F261" s="148"/>
      <c r="G261" s="151"/>
      <c r="H261" s="152" t="s">
        <v>12</v>
      </c>
      <c r="I261" s="419"/>
      <c r="J261" s="419"/>
      <c r="K261" s="154"/>
      <c r="L261" s="155">
        <f t="shared" ref="L261:N261" ca="1" si="116">L262+L263</f>
        <v>26900</v>
      </c>
      <c r="M261" s="155">
        <f t="shared" ca="1" si="116"/>
        <v>0</v>
      </c>
      <c r="N261" s="155">
        <f t="shared" ca="1" si="116"/>
        <v>0</v>
      </c>
      <c r="O261" s="155">
        <f t="shared" ref="O261:O269" ca="1" si="117">IF(L261&gt;0,N261*100/L261,0)</f>
        <v>0</v>
      </c>
      <c r="P261" s="155">
        <f t="shared" ref="P261:P269" ca="1" si="118">IF(M261&gt;0,N261*100/M261,0)</f>
        <v>0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2" t="s">
        <v>18</v>
      </c>
      <c r="F262" s="40"/>
      <c r="G262" s="157"/>
      <c r="H262" s="158" t="s">
        <v>12</v>
      </c>
      <c r="I262" s="610"/>
      <c r="J262" s="610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2" t="s">
        <v>19</v>
      </c>
      <c r="F263" s="40"/>
      <c r="G263" s="157"/>
      <c r="H263" s="158" t="s">
        <v>12</v>
      </c>
      <c r="I263" s="610"/>
      <c r="J263" s="610"/>
      <c r="K263" s="93"/>
      <c r="L263" s="93">
        <f t="shared" ca="1" si="119"/>
        <v>26900</v>
      </c>
      <c r="M263" s="93">
        <f t="shared" ca="1" si="119"/>
        <v>0</v>
      </c>
      <c r="N263" s="93">
        <f t="shared" ca="1" si="119"/>
        <v>0</v>
      </c>
      <c r="O263" s="93">
        <f t="shared" ca="1" si="117"/>
        <v>0</v>
      </c>
      <c r="P263" s="93">
        <f t="shared" ca="1" si="118"/>
        <v>0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1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6">
        <f t="shared" ref="L264:N264" ca="1" si="120">L265+L266</f>
        <v>26900</v>
      </c>
      <c r="M264" s="496">
        <f t="shared" ca="1" si="120"/>
        <v>0</v>
      </c>
      <c r="N264" s="496">
        <f t="shared" ca="1" si="120"/>
        <v>0</v>
      </c>
      <c r="O264" s="496">
        <f t="shared" ca="1" si="117"/>
        <v>0</v>
      </c>
      <c r="P264" s="496">
        <f t="shared" ca="1" si="118"/>
        <v>0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2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2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IFERROR(__xludf.DUMMYFUNCTION("IMPORTRANGE(""https://docs.google.com/spreadsheets/d/1MeEWN-I1oV_STSDYn1IFDPWt_1FKiwhDph83XaGc0o0/edit?usp=sharing"",""งบพรบ!CY57"")"),26900)</f>
        <v>26900</v>
      </c>
      <c r="M266" s="93">
        <f ca="1">IFERROR(__xludf.DUMMYFUNCTION("IMPORTRANGE(""https://docs.google.com/spreadsheets/d/1MeEWN-I1oV_STSDYn1IFDPWt_1FKiwhDph83XaGc0o0/edit?usp=sharing"",""งบพรบ!DD57"")"),0)</f>
        <v>0</v>
      </c>
      <c r="N266" s="93">
        <f ca="1">IFERROR(__xludf.DUMMYFUNCTION("IMPORTRANGE(""https://docs.google.com/spreadsheets/d/1MeEWN-I1oV_STSDYn1IFDPWt_1FKiwhDph83XaGc0o0/edit?usp=sharing"",""งบพรบ!DF57"")"),0)</f>
        <v>0</v>
      </c>
      <c r="O266" s="93">
        <f t="shared" ca="1" si="117"/>
        <v>0</v>
      </c>
      <c r="P266" s="93">
        <f t="shared" ca="1" si="118"/>
        <v>0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1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6">
        <f t="shared" ref="L267:N267" ca="1" si="121">L268+L269</f>
        <v>0</v>
      </c>
      <c r="M267" s="496">
        <f t="shared" ca="1" si="121"/>
        <v>0</v>
      </c>
      <c r="N267" s="496">
        <f t="shared" ca="1" si="121"/>
        <v>0</v>
      </c>
      <c r="O267" s="496">
        <f t="shared" ca="1" si="117"/>
        <v>0</v>
      </c>
      <c r="P267" s="496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2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2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IFERROR(__xludf.DUMMYFUNCTION("IMPORTRANGE(""https://docs.google.com/spreadsheets/d/1MeEWN-I1oV_STSDYn1IFDPWt_1FKiwhDph83XaGc0o0/edit?usp=sharing"",""งบพรบ!DB57"")"),0)</f>
        <v>0</v>
      </c>
      <c r="M269" s="93">
        <f ca="1">IFERROR(__xludf.DUMMYFUNCTION("IMPORTRANGE(""https://docs.google.com/spreadsheets/d/1MeEWN-I1oV_STSDYn1IFDPWt_1FKiwhDph83XaGc0o0/edit?usp=sharing"",""งบพรบ!DE57"")"),0)</f>
        <v>0</v>
      </c>
      <c r="N269" s="93">
        <f ca="1">IFERROR(__xludf.DUMMYFUNCTION("IMPORTRANGE(""https://docs.google.com/spreadsheets/d/1MeEWN-I1oV_STSDYn1IFDPWt_1FKiwhDph83XaGc0o0/edit?usp=sharing"",""งบพรบ!DG57"")"),0)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1" t="s">
        <v>16</v>
      </c>
      <c r="D270" s="823" t="s">
        <v>38</v>
      </c>
      <c r="E270" s="173"/>
      <c r="F270" s="173"/>
      <c r="G270" s="174"/>
      <c r="H270" s="753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5" t="s">
        <v>124</v>
      </c>
      <c r="E271" s="178"/>
      <c r="F271" s="366"/>
      <c r="G271" s="179"/>
      <c r="H271" s="376" t="s">
        <v>35</v>
      </c>
      <c r="I271" s="269">
        <f ca="1">IFERROR(__xludf.DUMMYFUNCTION("IMPORTRANGE(""https://docs.google.com/spreadsheets/d/1QqKyyYR6Q21VydFLVH3TRQUabQu_ym0Zz7PgGX0-kHA/edit?usp=sharing"",""แผน!EA57"")"),22)</f>
        <v>22</v>
      </c>
      <c r="J271" s="214">
        <v>0</v>
      </c>
      <c r="K271" s="163">
        <f ca="1">IF(I271&gt;0,J271*100/I271,0)</f>
        <v>0</v>
      </c>
      <c r="L271" s="163"/>
      <c r="M271" s="163"/>
      <c r="N271" s="163"/>
      <c r="O271" s="163"/>
      <c r="P271" s="163"/>
    </row>
    <row r="272" spans="1:26" ht="18.75" hidden="1">
      <c r="A272" s="377"/>
      <c r="B272" s="378"/>
      <c r="C272" s="378"/>
      <c r="D272" s="379" t="s">
        <v>125</v>
      </c>
      <c r="E272" s="380"/>
      <c r="F272" s="380"/>
      <c r="G272" s="381"/>
      <c r="H272" s="50" t="s">
        <v>35</v>
      </c>
      <c r="I272" s="499">
        <v>0</v>
      </c>
      <c r="J272" s="499">
        <v>0</v>
      </c>
      <c r="K272" s="384">
        <v>0</v>
      </c>
      <c r="L272" s="384"/>
      <c r="M272" s="384"/>
      <c r="N272" s="384"/>
      <c r="O272" s="384"/>
      <c r="P272" s="384"/>
    </row>
    <row r="273" spans="1:26" ht="19.5">
      <c r="A273" s="385" t="s">
        <v>126</v>
      </c>
      <c r="B273" s="386"/>
      <c r="C273" s="386"/>
      <c r="D273" s="386"/>
      <c r="E273" s="387"/>
      <c r="F273" s="387"/>
      <c r="G273" s="388"/>
      <c r="H273" s="389"/>
      <c r="I273" s="390"/>
      <c r="J273" s="390"/>
      <c r="K273" s="391"/>
      <c r="L273" s="391"/>
      <c r="M273" s="391"/>
      <c r="N273" s="391"/>
      <c r="O273" s="391"/>
      <c r="P273" s="391"/>
    </row>
    <row r="274" spans="1:26" ht="19.5" hidden="1">
      <c r="A274" s="392" t="s">
        <v>127</v>
      </c>
      <c r="B274" s="393"/>
      <c r="C274" s="394"/>
      <c r="D274" s="393"/>
      <c r="E274" s="393"/>
      <c r="F274" s="393"/>
      <c r="G274" s="393"/>
      <c r="H274" s="395"/>
      <c r="I274" s="396"/>
      <c r="J274" s="397"/>
      <c r="K274" s="398"/>
      <c r="L274" s="398"/>
      <c r="M274" s="398"/>
      <c r="N274" s="398"/>
      <c r="O274" s="398"/>
      <c r="P274" s="398"/>
    </row>
    <row r="275" spans="1:26" ht="19.5" hidden="1">
      <c r="A275" s="399"/>
      <c r="B275" s="408" t="s">
        <v>128</v>
      </c>
      <c r="C275" s="401"/>
      <c r="D275" s="402"/>
      <c r="E275" s="401"/>
      <c r="F275" s="401"/>
      <c r="G275" s="403"/>
      <c r="H275" s="404" t="s">
        <v>35</v>
      </c>
      <c r="I275" s="405">
        <f t="shared" ref="I275:J275" ca="1" si="122">I288</f>
        <v>0</v>
      </c>
      <c r="J275" s="405">
        <f t="shared" ca="1" si="122"/>
        <v>0</v>
      </c>
      <c r="K275" s="406">
        <f t="shared" ref="K275:K276" ca="1" si="123">IF(I275&gt;0,J275*100/I275,0)</f>
        <v>0</v>
      </c>
      <c r="L275" s="407"/>
      <c r="M275" s="407"/>
      <c r="N275" s="407"/>
      <c r="O275" s="407"/>
      <c r="P275" s="407"/>
    </row>
    <row r="276" spans="1:26" ht="19.5" hidden="1">
      <c r="A276" s="399"/>
      <c r="B276" s="408"/>
      <c r="C276" s="401"/>
      <c r="D276" s="402"/>
      <c r="E276" s="401"/>
      <c r="F276" s="401"/>
      <c r="G276" s="403"/>
      <c r="H276" s="404" t="s">
        <v>46</v>
      </c>
      <c r="I276" s="831">
        <f t="shared" ref="I276:J276" ca="1" si="124">I287</f>
        <v>0</v>
      </c>
      <c r="J276" s="831">
        <f t="shared" si="124"/>
        <v>0</v>
      </c>
      <c r="K276" s="407">
        <f t="shared" ca="1" si="123"/>
        <v>0</v>
      </c>
      <c r="L276" s="407"/>
      <c r="M276" s="407"/>
      <c r="N276" s="407"/>
      <c r="O276" s="407"/>
      <c r="P276" s="407"/>
    </row>
    <row r="277" spans="1:26" ht="19.5" hidden="1">
      <c r="A277" s="147"/>
      <c r="B277" s="148"/>
      <c r="C277" s="149" t="s">
        <v>16</v>
      </c>
      <c r="D277" s="822" t="s">
        <v>17</v>
      </c>
      <c r="E277" s="148"/>
      <c r="F277" s="148"/>
      <c r="G277" s="151"/>
      <c r="H277" s="152" t="s">
        <v>12</v>
      </c>
      <c r="I277" s="419"/>
      <c r="J277" s="419"/>
      <c r="K277" s="154"/>
      <c r="L277" s="155">
        <f t="shared" ref="L277:N277" ca="1" si="125">L278+L279</f>
        <v>0</v>
      </c>
      <c r="M277" s="155">
        <f t="shared" ca="1" si="125"/>
        <v>0</v>
      </c>
      <c r="N277" s="155">
        <f t="shared" ca="1" si="125"/>
        <v>0</v>
      </c>
      <c r="O277" s="155">
        <f t="shared" ref="O277:O285" ca="1" si="126">IF(L277&gt;0,N277*100/L277,0)</f>
        <v>0</v>
      </c>
      <c r="P277" s="155">
        <f t="shared" ref="P277:P285" ca="1" si="127">IF(M277&gt;0,N277*100/M277,0)</f>
        <v>0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2" t="s">
        <v>18</v>
      </c>
      <c r="F278" s="40"/>
      <c r="G278" s="157"/>
      <c r="H278" s="158" t="s">
        <v>12</v>
      </c>
      <c r="I278" s="610"/>
      <c r="J278" s="610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2" t="s">
        <v>19</v>
      </c>
      <c r="F279" s="40"/>
      <c r="G279" s="157"/>
      <c r="H279" s="158" t="s">
        <v>12</v>
      </c>
      <c r="I279" s="610"/>
      <c r="J279" s="610"/>
      <c r="K279" s="93"/>
      <c r="L279" s="93">
        <f t="shared" ca="1" si="128"/>
        <v>0</v>
      </c>
      <c r="M279" s="93">
        <f t="shared" ca="1" si="128"/>
        <v>0</v>
      </c>
      <c r="N279" s="93">
        <f t="shared" ca="1" si="128"/>
        <v>0</v>
      </c>
      <c r="O279" s="93">
        <f t="shared" ca="1" si="126"/>
        <v>0</v>
      </c>
      <c r="P279" s="93">
        <f t="shared" ca="1" si="127"/>
        <v>0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 hidden="1">
      <c r="A280" s="159"/>
      <c r="B280" s="33"/>
      <c r="C280" s="281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6">
        <f t="shared" ref="L280:N280" ca="1" si="129">L281+L282</f>
        <v>0</v>
      </c>
      <c r="M280" s="496">
        <f t="shared" ca="1" si="129"/>
        <v>0</v>
      </c>
      <c r="N280" s="496">
        <f t="shared" ca="1" si="129"/>
        <v>0</v>
      </c>
      <c r="O280" s="496">
        <f t="shared" ca="1" si="126"/>
        <v>0</v>
      </c>
      <c r="P280" s="496">
        <f t="shared" ca="1" si="127"/>
        <v>0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2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2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IFERROR(__xludf.DUMMYFUNCTION("IMPORTRANGE(""https://docs.google.com/spreadsheets/d/1MeEWN-I1oV_STSDYn1IFDPWt_1FKiwhDph83XaGc0o0/edit?usp=sharing"",""งบพรบ!DI57"")"),0)</f>
        <v>0</v>
      </c>
      <c r="M282" s="93">
        <f ca="1">IFERROR(__xludf.DUMMYFUNCTION("IMPORTRANGE(""https://docs.google.com/spreadsheets/d/1MeEWN-I1oV_STSDYn1IFDPWt_1FKiwhDph83XaGc0o0/edit?usp=sharing"",""งบพรบ!DN57"")"),0)</f>
        <v>0</v>
      </c>
      <c r="N282" s="93">
        <f ca="1">IFERROR(__xludf.DUMMYFUNCTION("IMPORTRANGE(""https://docs.google.com/spreadsheets/d/1MeEWN-I1oV_STSDYn1IFDPWt_1FKiwhDph83XaGc0o0/edit?usp=sharing"",""งบพรบ!DP57"")"),0)</f>
        <v>0</v>
      </c>
      <c r="O282" s="93">
        <f t="shared" ca="1" si="126"/>
        <v>0</v>
      </c>
      <c r="P282" s="93">
        <f t="shared" ca="1" si="127"/>
        <v>0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 hidden="1">
      <c r="A283" s="159"/>
      <c r="B283" s="33"/>
      <c r="C283" s="281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6">
        <f t="shared" ref="L283:N283" ca="1" si="130">L284+L285</f>
        <v>0</v>
      </c>
      <c r="M283" s="496">
        <f t="shared" ca="1" si="130"/>
        <v>0</v>
      </c>
      <c r="N283" s="496">
        <f t="shared" ca="1" si="130"/>
        <v>0</v>
      </c>
      <c r="O283" s="496">
        <f t="shared" ca="1" si="126"/>
        <v>0</v>
      </c>
      <c r="P283" s="496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2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2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IFERROR(__xludf.DUMMYFUNCTION("IMPORTRANGE(""https://docs.google.com/spreadsheets/d/1MeEWN-I1oV_STSDYn1IFDPWt_1FKiwhDph83XaGc0o0/edit?usp=sharing"",""งบพรบ!DL57"")"),0)</f>
        <v>0</v>
      </c>
      <c r="M285" s="93">
        <f ca="1">IFERROR(__xludf.DUMMYFUNCTION("IMPORTRANGE(""https://docs.google.com/spreadsheets/d/1MeEWN-I1oV_STSDYn1IFDPWt_1FKiwhDph83XaGc0o0/edit?usp=sharing"",""งบพรบ!DO57"")"),0)</f>
        <v>0</v>
      </c>
      <c r="N285" s="93">
        <f ca="1">IFERROR(__xludf.DUMMYFUNCTION("IMPORTRANGE(""https://docs.google.com/spreadsheets/d/1MeEWN-I1oV_STSDYn1IFDPWt_1FKiwhDph83XaGc0o0/edit?usp=sharing"",""งบพรบ!DQ57"")"),0)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 hidden="1">
      <c r="A286" s="170"/>
      <c r="B286" s="171"/>
      <c r="C286" s="164" t="s">
        <v>16</v>
      </c>
      <c r="D286" s="823" t="s">
        <v>38</v>
      </c>
      <c r="E286" s="173"/>
      <c r="F286" s="173"/>
      <c r="G286" s="174"/>
      <c r="H286" s="753"/>
      <c r="I286" s="184"/>
      <c r="J286" s="184"/>
      <c r="K286" s="163"/>
      <c r="L286" s="163"/>
      <c r="M286" s="163"/>
      <c r="N286" s="163"/>
      <c r="O286" s="163"/>
      <c r="P286" s="163"/>
    </row>
    <row r="287" spans="1:26" ht="18.75" hidden="1">
      <c r="A287" s="170"/>
      <c r="B287" s="171"/>
      <c r="C287" s="171"/>
      <c r="D287" s="619" t="s">
        <v>129</v>
      </c>
      <c r="E287" s="171"/>
      <c r="F287" s="178"/>
      <c r="G287" s="179"/>
      <c r="H287" s="185" t="s">
        <v>46</v>
      </c>
      <c r="I287" s="269">
        <f ca="1">IFERROR(__xludf.DUMMYFUNCTION("IMPORTRANGE(""https://docs.google.com/spreadsheets/d/1QqKyyYR6Q21VydFLVH3TRQUabQu_ym0Zz7PgGX0-kHA/edit?usp=sharing"",""แผน!EC57"")"),0)</f>
        <v>0</v>
      </c>
      <c r="J287" s="269">
        <v>0</v>
      </c>
      <c r="K287" s="163">
        <f t="shared" ref="K287:K288" ca="1" si="131">IF(I287&gt;0,J287*100/I287,0)</f>
        <v>0</v>
      </c>
      <c r="L287" s="163"/>
      <c r="M287" s="163"/>
      <c r="N287" s="163"/>
      <c r="O287" s="163"/>
      <c r="P287" s="163"/>
    </row>
    <row r="288" spans="1:26" ht="19.5" hidden="1">
      <c r="A288" s="170"/>
      <c r="B288" s="171"/>
      <c r="C288" s="171"/>
      <c r="D288" s="619" t="s">
        <v>130</v>
      </c>
      <c r="E288" s="171"/>
      <c r="F288" s="178"/>
      <c r="G288" s="179"/>
      <c r="H288" s="180" t="s">
        <v>35</v>
      </c>
      <c r="I288" s="674">
        <f ca="1">IFERROR(__xludf.DUMMYFUNCTION("IMPORTRANGE(""https://docs.google.com/spreadsheets/d/1QqKyyYR6Q21VydFLVH3TRQUabQu_ym0Zz7PgGX0-kHA/edit?usp=sharing"",""แผน!EB57"")"),0)</f>
        <v>0</v>
      </c>
      <c r="J288" s="674">
        <f ca="1">IF(AND(J291&gt;=I288,J294&gt;=I288),J294,0)</f>
        <v>0</v>
      </c>
      <c r="K288" s="410">
        <f t="shared" ca="1" si="131"/>
        <v>0</v>
      </c>
      <c r="L288" s="163"/>
      <c r="M288" s="163"/>
      <c r="N288" s="163"/>
      <c r="O288" s="163"/>
      <c r="P288" s="163"/>
    </row>
    <row r="289" spans="1:26" ht="19.5" hidden="1">
      <c r="A289" s="170"/>
      <c r="B289" s="171"/>
      <c r="C289" s="171"/>
      <c r="D289" s="411"/>
      <c r="E289" s="412" t="s">
        <v>131</v>
      </c>
      <c r="F289" s="178"/>
      <c r="G289" s="179"/>
      <c r="H289" s="755"/>
      <c r="I289" s="184"/>
      <c r="J289" s="269"/>
      <c r="K289" s="163"/>
      <c r="L289" s="163"/>
      <c r="M289" s="163"/>
      <c r="N289" s="163"/>
      <c r="O289" s="163"/>
      <c r="P289" s="163"/>
    </row>
    <row r="290" spans="1:26" ht="19.5" hidden="1">
      <c r="A290" s="170"/>
      <c r="B290" s="171"/>
      <c r="C290" s="171"/>
      <c r="D290" s="411"/>
      <c r="E290" s="619" t="s">
        <v>132</v>
      </c>
      <c r="F290" s="178"/>
      <c r="G290" s="179"/>
      <c r="H290" s="755" t="s">
        <v>35</v>
      </c>
      <c r="I290" s="184">
        <f ca="1">IFERROR(__xludf.DUMMYFUNCTION("IMPORTRANGE(""https://docs.google.com/spreadsheets/d/1QqKyyYR6Q21VydFLVH3TRQUabQu_ym0Zz7PgGX0-kHA/edit?usp=sharing"",""แผน!EB57"")"),0)</f>
        <v>0</v>
      </c>
      <c r="J290" s="214">
        <v>0</v>
      </c>
      <c r="K290" s="163">
        <f t="shared" ref="K290:K291" ca="1" si="132">IF(I290&gt;0,J290*100/I290,0)</f>
        <v>0</v>
      </c>
      <c r="L290" s="163"/>
      <c r="M290" s="163"/>
      <c r="N290" s="163"/>
      <c r="O290" s="163"/>
      <c r="P290" s="163"/>
    </row>
    <row r="291" spans="1:26" ht="19.5" hidden="1">
      <c r="A291" s="170"/>
      <c r="B291" s="171"/>
      <c r="C291" s="171"/>
      <c r="D291" s="178"/>
      <c r="E291" s="619" t="s">
        <v>333</v>
      </c>
      <c r="F291" s="178"/>
      <c r="G291" s="179"/>
      <c r="H291" s="755" t="s">
        <v>35</v>
      </c>
      <c r="I291" s="184">
        <f ca="1">IFERROR(__xludf.DUMMYFUNCTION("IMPORTRANGE(""https://docs.google.com/spreadsheets/d/1QqKyyYR6Q21VydFLVH3TRQUabQu_ym0Zz7PgGX0-kHA/edit?usp=sharing"",""แผน!EB57"")"),0)</f>
        <v>0</v>
      </c>
      <c r="J291" s="214">
        <v>0</v>
      </c>
      <c r="K291" s="163">
        <f t="shared" ca="1" si="132"/>
        <v>0</v>
      </c>
      <c r="L291" s="163"/>
      <c r="M291" s="163"/>
      <c r="N291" s="163"/>
      <c r="O291" s="163"/>
      <c r="P291" s="163"/>
    </row>
    <row r="292" spans="1:26" ht="19.5" hidden="1">
      <c r="A292" s="413"/>
      <c r="B292" s="414"/>
      <c r="C292" s="414"/>
      <c r="D292" s="415"/>
      <c r="E292" s="416" t="s">
        <v>134</v>
      </c>
      <c r="F292" s="287"/>
      <c r="G292" s="288"/>
      <c r="H292" s="417"/>
      <c r="I292" s="418"/>
      <c r="J292" s="419"/>
      <c r="K292" s="279"/>
      <c r="L292" s="279"/>
      <c r="M292" s="279"/>
      <c r="N292" s="279"/>
      <c r="O292" s="279"/>
      <c r="P292" s="279"/>
    </row>
    <row r="293" spans="1:26" ht="19.5" hidden="1">
      <c r="A293" s="170"/>
      <c r="B293" s="171"/>
      <c r="C293" s="171"/>
      <c r="D293" s="411"/>
      <c r="E293" s="619" t="s">
        <v>132</v>
      </c>
      <c r="F293" s="178"/>
      <c r="G293" s="179"/>
      <c r="H293" s="755" t="s">
        <v>35</v>
      </c>
      <c r="I293" s="184">
        <f ca="1">IFERROR(__xludf.DUMMYFUNCTION("IMPORTRANGE(""https://docs.google.com/spreadsheets/d/1QqKyyYR6Q21VydFLVH3TRQUabQu_ym0Zz7PgGX0-kHA/edit?usp=sharing"",""แผน!EB57"")"),0)</f>
        <v>0</v>
      </c>
      <c r="J293" s="214">
        <v>0</v>
      </c>
      <c r="K293" s="163">
        <f t="shared" ref="K293:K294" ca="1" si="133">IF(I293&gt;0,J293*100/I293,0)</f>
        <v>0</v>
      </c>
      <c r="L293" s="163"/>
      <c r="M293" s="163"/>
      <c r="N293" s="163"/>
      <c r="O293" s="163"/>
      <c r="P293" s="163"/>
    </row>
    <row r="294" spans="1:26" ht="19.5" hidden="1">
      <c r="A294" s="377"/>
      <c r="B294" s="378"/>
      <c r="C294" s="378"/>
      <c r="D294" s="380"/>
      <c r="E294" s="725" t="s">
        <v>333</v>
      </c>
      <c r="F294" s="380"/>
      <c r="G294" s="381"/>
      <c r="H294" s="421" t="s">
        <v>35</v>
      </c>
      <c r="I294" s="422">
        <f ca="1">IFERROR(__xludf.DUMMYFUNCTION("IMPORTRANGE(""https://docs.google.com/spreadsheets/d/1QqKyyYR6Q21VydFLVH3TRQUabQu_ym0Zz7PgGX0-kHA/edit?usp=sharing"",""แผน!EB57"")"),0)</f>
        <v>0</v>
      </c>
      <c r="J294" s="423">
        <v>0</v>
      </c>
      <c r="K294" s="384">
        <f t="shared" ca="1" si="133"/>
        <v>0</v>
      </c>
      <c r="L294" s="384"/>
      <c r="M294" s="384"/>
      <c r="N294" s="384"/>
      <c r="O294" s="384"/>
      <c r="P294" s="384"/>
    </row>
    <row r="295" spans="1:26" ht="19.5">
      <c r="A295" s="424" t="s">
        <v>137</v>
      </c>
      <c r="B295" s="425"/>
      <c r="C295" s="425"/>
      <c r="D295" s="425"/>
      <c r="E295" s="426"/>
      <c r="F295" s="426"/>
      <c r="G295" s="427"/>
      <c r="H295" s="428"/>
      <c r="I295" s="429"/>
      <c r="J295" s="429"/>
      <c r="K295" s="430"/>
      <c r="L295" s="430"/>
      <c r="M295" s="430"/>
      <c r="N295" s="430"/>
      <c r="O295" s="430"/>
      <c r="P295" s="430"/>
    </row>
    <row r="296" spans="1:26" ht="19.5">
      <c r="A296" s="431" t="s">
        <v>138</v>
      </c>
      <c r="B296" s="432"/>
      <c r="C296" s="432"/>
      <c r="D296" s="433"/>
      <c r="E296" s="433"/>
      <c r="F296" s="433"/>
      <c r="G296" s="434"/>
      <c r="H296" s="435"/>
      <c r="I296" s="436"/>
      <c r="J296" s="436"/>
      <c r="K296" s="437"/>
      <c r="L296" s="437"/>
      <c r="M296" s="437"/>
      <c r="N296" s="437"/>
      <c r="O296" s="437"/>
      <c r="P296" s="437"/>
    </row>
    <row r="297" spans="1:26" ht="19.5">
      <c r="A297" s="438"/>
      <c r="B297" s="439" t="s">
        <v>139</v>
      </c>
      <c r="C297" s="440"/>
      <c r="D297" s="440"/>
      <c r="E297" s="440"/>
      <c r="F297" s="440"/>
      <c r="G297" s="441"/>
      <c r="H297" s="442" t="s">
        <v>35</v>
      </c>
      <c r="I297" s="443">
        <f t="shared" ref="I297:J297" ca="1" si="134">I309</f>
        <v>20</v>
      </c>
      <c r="J297" s="443">
        <f t="shared" si="134"/>
        <v>0</v>
      </c>
      <c r="K297" s="444">
        <f ca="1">IF(I297&gt;0,J297*100/I297,0)</f>
        <v>0</v>
      </c>
      <c r="L297" s="445"/>
      <c r="M297" s="445"/>
      <c r="N297" s="445"/>
      <c r="O297" s="445"/>
      <c r="P297" s="445"/>
    </row>
    <row r="298" spans="1:26" ht="19.5">
      <c r="A298" s="147"/>
      <c r="B298" s="148"/>
      <c r="C298" s="149" t="s">
        <v>16</v>
      </c>
      <c r="D298" s="822" t="s">
        <v>17</v>
      </c>
      <c r="E298" s="148"/>
      <c r="F298" s="148"/>
      <c r="G298" s="151"/>
      <c r="H298" s="152" t="s">
        <v>12</v>
      </c>
      <c r="I298" s="419"/>
      <c r="J298" s="419"/>
      <c r="K298" s="154"/>
      <c r="L298" s="155">
        <f t="shared" ref="L298:N298" ca="1" si="135">L299+L300</f>
        <v>82400</v>
      </c>
      <c r="M298" s="155">
        <f t="shared" ca="1" si="135"/>
        <v>49120</v>
      </c>
      <c r="N298" s="155">
        <f t="shared" ca="1" si="135"/>
        <v>0</v>
      </c>
      <c r="O298" s="155">
        <f t="shared" ref="O298:O306" ca="1" si="136">IF(L298&gt;0,N298*100/L298,0)</f>
        <v>0</v>
      </c>
      <c r="P298" s="155">
        <f t="shared" ref="P298:P306" ca="1" si="137">IF(M298&gt;0,N298*100/M298,0)</f>
        <v>0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2" t="s">
        <v>18</v>
      </c>
      <c r="F299" s="40"/>
      <c r="G299" s="157"/>
      <c r="H299" s="158" t="s">
        <v>12</v>
      </c>
      <c r="I299" s="610"/>
      <c r="J299" s="610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2" t="s">
        <v>19</v>
      </c>
      <c r="F300" s="40"/>
      <c r="G300" s="157"/>
      <c r="H300" s="158" t="s">
        <v>12</v>
      </c>
      <c r="I300" s="610"/>
      <c r="J300" s="610"/>
      <c r="K300" s="93"/>
      <c r="L300" s="93">
        <f t="shared" ca="1" si="138"/>
        <v>82400</v>
      </c>
      <c r="M300" s="93">
        <f t="shared" ca="1" si="138"/>
        <v>49120</v>
      </c>
      <c r="N300" s="93">
        <f t="shared" ca="1" si="138"/>
        <v>0</v>
      </c>
      <c r="O300" s="93">
        <f t="shared" ca="1" si="136"/>
        <v>0</v>
      </c>
      <c r="P300" s="93">
        <f t="shared" ca="1" si="137"/>
        <v>0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>
      <c r="A301" s="159"/>
      <c r="B301" s="33"/>
      <c r="C301" s="281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6">
        <f t="shared" ref="L301:N301" ca="1" si="139">L302+L303</f>
        <v>82400</v>
      </c>
      <c r="M301" s="496">
        <f t="shared" ca="1" si="139"/>
        <v>49120</v>
      </c>
      <c r="N301" s="496">
        <f t="shared" ca="1" si="139"/>
        <v>0</v>
      </c>
      <c r="O301" s="496">
        <f t="shared" ca="1" si="136"/>
        <v>0</v>
      </c>
      <c r="P301" s="496">
        <f t="shared" ca="1" si="137"/>
        <v>0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2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2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IFERROR(__xludf.DUMMYFUNCTION("IMPORTRANGE(""https://docs.google.com/spreadsheets/d/1MeEWN-I1oV_STSDYn1IFDPWt_1FKiwhDph83XaGc0o0/edit?usp=sharing"",""งบพรบ!DS57"")"),82400)</f>
        <v>82400</v>
      </c>
      <c r="M303" s="93">
        <f ca="1">IFERROR(__xludf.DUMMYFUNCTION("IMPORTRANGE(""https://docs.google.com/spreadsheets/d/1MeEWN-I1oV_STSDYn1IFDPWt_1FKiwhDph83XaGc0o0/edit?usp=sharing"",""งบพรบ!DX57"")"),49120)</f>
        <v>49120</v>
      </c>
      <c r="N303" s="93">
        <f ca="1">IFERROR(__xludf.DUMMYFUNCTION("IMPORTRANGE(""https://docs.google.com/spreadsheets/d/1MeEWN-I1oV_STSDYn1IFDPWt_1FKiwhDph83XaGc0o0/edit?usp=sharing"",""งบพรบ!DZ57"")"),0)</f>
        <v>0</v>
      </c>
      <c r="O303" s="93">
        <f t="shared" ca="1" si="136"/>
        <v>0</v>
      </c>
      <c r="P303" s="93">
        <f t="shared" ca="1" si="137"/>
        <v>0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>
      <c r="A304" s="159"/>
      <c r="B304" s="33"/>
      <c r="C304" s="281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6">
        <f t="shared" ref="L304:N304" ca="1" si="140">L305+L306</f>
        <v>0</v>
      </c>
      <c r="M304" s="496">
        <f t="shared" ca="1" si="140"/>
        <v>0</v>
      </c>
      <c r="N304" s="496">
        <f t="shared" ca="1" si="140"/>
        <v>0</v>
      </c>
      <c r="O304" s="496">
        <f t="shared" ca="1" si="136"/>
        <v>0</v>
      </c>
      <c r="P304" s="496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2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2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IFERROR(__xludf.DUMMYFUNCTION("IMPORTRANGE(""https://docs.google.com/spreadsheets/d/1MeEWN-I1oV_STSDYn1IFDPWt_1FKiwhDph83XaGc0o0/edit?usp=sharing"",""งบพรบ!DV57"")"),0)</f>
        <v>0</v>
      </c>
      <c r="M306" s="93">
        <f ca="1">IFERROR(__xludf.DUMMYFUNCTION("IMPORTRANGE(""https://docs.google.com/spreadsheets/d/1MeEWN-I1oV_STSDYn1IFDPWt_1FKiwhDph83XaGc0o0/edit?usp=sharing"",""งบพรบ!DY57"")"),0)</f>
        <v>0</v>
      </c>
      <c r="N306" s="93">
        <f ca="1">IFERROR(__xludf.DUMMYFUNCTION("IMPORTRANGE(""https://docs.google.com/spreadsheets/d/1MeEWN-I1oV_STSDYn1IFDPWt_1FKiwhDph83XaGc0o0/edit?usp=sharing"",""งบพรบ!EA57"")"),0)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>
      <c r="A307" s="170"/>
      <c r="B307" s="171"/>
      <c r="C307" s="164" t="s">
        <v>16</v>
      </c>
      <c r="D307" s="823" t="s">
        <v>38</v>
      </c>
      <c r="E307" s="173"/>
      <c r="F307" s="173"/>
      <c r="G307" s="174"/>
      <c r="H307" s="753"/>
      <c r="I307" s="269"/>
      <c r="J307" s="269"/>
      <c r="K307" s="496"/>
      <c r="L307" s="496"/>
      <c r="M307" s="496"/>
      <c r="N307" s="496"/>
      <c r="O307" s="496"/>
      <c r="P307" s="496"/>
    </row>
    <row r="308" spans="1:26" ht="18.75">
      <c r="A308" s="170"/>
      <c r="B308" s="171"/>
      <c r="C308" s="171"/>
      <c r="D308" s="446" t="s">
        <v>140</v>
      </c>
      <c r="E308" s="446"/>
      <c r="F308" s="446"/>
      <c r="G308" s="179"/>
      <c r="H308" s="755"/>
      <c r="I308" s="269"/>
      <c r="J308" s="214">
        <v>0</v>
      </c>
      <c r="K308" s="496"/>
      <c r="L308" s="496"/>
      <c r="M308" s="496"/>
      <c r="N308" s="496"/>
      <c r="O308" s="496"/>
      <c r="P308" s="496"/>
    </row>
    <row r="309" spans="1:26" ht="18.75">
      <c r="A309" s="170"/>
      <c r="B309" s="171"/>
      <c r="C309" s="171"/>
      <c r="D309" s="446" t="s">
        <v>141</v>
      </c>
      <c r="E309" s="446"/>
      <c r="F309" s="446"/>
      <c r="G309" s="179"/>
      <c r="H309" s="755" t="s">
        <v>35</v>
      </c>
      <c r="I309" s="269">
        <f ca="1">IFERROR(__xludf.DUMMYFUNCTION("IMPORTRANGE(""https://docs.google.com/spreadsheets/d/1QqKyyYR6Q21VydFLVH3TRQUabQu_ym0Zz7PgGX0-kHA/edit?usp=sharing"",""แผน!ED57"")"),20)</f>
        <v>20</v>
      </c>
      <c r="J309" s="214">
        <v>0</v>
      </c>
      <c r="K309" s="496">
        <f t="shared" ref="K309:K312" ca="1" si="141">IF(I309&gt;0,J309*100/I309,0)</f>
        <v>0</v>
      </c>
      <c r="L309" s="496"/>
      <c r="M309" s="496"/>
      <c r="N309" s="496"/>
      <c r="O309" s="496"/>
      <c r="P309" s="496"/>
    </row>
    <row r="310" spans="1:26" ht="18.75">
      <c r="A310" s="170"/>
      <c r="B310" s="171"/>
      <c r="C310" s="171"/>
      <c r="D310" s="446" t="s">
        <v>142</v>
      </c>
      <c r="E310" s="446"/>
      <c r="F310" s="446"/>
      <c r="G310" s="179"/>
      <c r="H310" s="755" t="s">
        <v>35</v>
      </c>
      <c r="I310" s="269">
        <f ca="1">IFERROR(__xludf.DUMMYFUNCTION("IMPORTRANGE(""https://docs.google.com/spreadsheets/d/1QqKyyYR6Q21VydFLVH3TRQUabQu_ym0Zz7PgGX0-kHA/edit?usp=sharing"",""แผน!ED57"")"),20)</f>
        <v>20</v>
      </c>
      <c r="J310" s="214">
        <v>0</v>
      </c>
      <c r="K310" s="496">
        <f t="shared" ca="1" si="141"/>
        <v>0</v>
      </c>
      <c r="L310" s="496"/>
      <c r="M310" s="496"/>
      <c r="N310" s="496"/>
      <c r="O310" s="496"/>
      <c r="P310" s="496"/>
    </row>
    <row r="311" spans="1:26" ht="18.75">
      <c r="A311" s="170"/>
      <c r="B311" s="171"/>
      <c r="C311" s="171"/>
      <c r="D311" s="446" t="s">
        <v>59</v>
      </c>
      <c r="E311" s="446"/>
      <c r="F311" s="446"/>
      <c r="G311" s="179"/>
      <c r="H311" s="755" t="s">
        <v>35</v>
      </c>
      <c r="I311" s="269">
        <f ca="1">IFERROR(__xludf.DUMMYFUNCTION("IMPORTRANGE(""https://docs.google.com/spreadsheets/d/1QqKyyYR6Q21VydFLVH3TRQUabQu_ym0Zz7PgGX0-kHA/edit?usp=sharing"",""แผน!ED57"")"),20)</f>
        <v>20</v>
      </c>
      <c r="J311" s="214">
        <v>0</v>
      </c>
      <c r="K311" s="496">
        <f t="shared" ca="1" si="141"/>
        <v>0</v>
      </c>
      <c r="L311" s="496"/>
      <c r="M311" s="496"/>
      <c r="N311" s="496"/>
      <c r="O311" s="496"/>
      <c r="P311" s="496"/>
    </row>
    <row r="312" spans="1:26" ht="18.75">
      <c r="A312" s="170"/>
      <c r="B312" s="171"/>
      <c r="C312" s="171"/>
      <c r="D312" s="446" t="s">
        <v>143</v>
      </c>
      <c r="E312" s="446"/>
      <c r="F312" s="446"/>
      <c r="G312" s="179"/>
      <c r="H312" s="755" t="s">
        <v>35</v>
      </c>
      <c r="I312" s="269">
        <f ca="1">IFERROR(__xludf.DUMMYFUNCTION("IMPORTRANGE(""https://docs.google.com/spreadsheets/d/1QqKyyYR6Q21VydFLVH3TRQUabQu_ym0Zz7PgGX0-kHA/edit?usp=sharing"",""แผน!EE57"")"),4)</f>
        <v>4</v>
      </c>
      <c r="J312" s="214">
        <v>0</v>
      </c>
      <c r="K312" s="496">
        <f t="shared" ca="1" si="141"/>
        <v>0</v>
      </c>
      <c r="L312" s="496"/>
      <c r="M312" s="496"/>
      <c r="N312" s="496"/>
      <c r="O312" s="496"/>
      <c r="P312" s="496"/>
    </row>
    <row r="313" spans="1:26" ht="19.5">
      <c r="A313" s="431" t="s">
        <v>144</v>
      </c>
      <c r="B313" s="432"/>
      <c r="C313" s="432"/>
      <c r="D313" s="433"/>
      <c r="E313" s="432"/>
      <c r="F313" s="432"/>
      <c r="G313" s="432"/>
      <c r="H313" s="448"/>
      <c r="I313" s="436"/>
      <c r="J313" s="436"/>
      <c r="K313" s="437"/>
      <c r="L313" s="437"/>
      <c r="M313" s="437"/>
      <c r="N313" s="437"/>
      <c r="O313" s="437"/>
      <c r="P313" s="437"/>
    </row>
    <row r="314" spans="1:26" ht="19.5" hidden="1">
      <c r="A314" s="449"/>
      <c r="B314" s="439" t="s">
        <v>145</v>
      </c>
      <c r="C314" s="450"/>
      <c r="D314" s="451"/>
      <c r="E314" s="440"/>
      <c r="F314" s="440"/>
      <c r="G314" s="441"/>
      <c r="H314" s="442" t="s">
        <v>146</v>
      </c>
      <c r="I314" s="443">
        <f t="shared" ref="I314:J314" ca="1" si="142">I325</f>
        <v>0</v>
      </c>
      <c r="J314" s="443">
        <f t="shared" si="142"/>
        <v>0</v>
      </c>
      <c r="K314" s="444">
        <f ca="1">IF(I314&gt;0,J314*100/I314,0)</f>
        <v>0</v>
      </c>
      <c r="L314" s="445"/>
      <c r="M314" s="445"/>
      <c r="N314" s="445"/>
      <c r="O314" s="445"/>
      <c r="P314" s="445"/>
    </row>
    <row r="315" spans="1:26" ht="19.5" hidden="1">
      <c r="A315" s="147"/>
      <c r="B315" s="148"/>
      <c r="C315" s="149" t="s">
        <v>16</v>
      </c>
      <c r="D315" s="822" t="s">
        <v>17</v>
      </c>
      <c r="E315" s="148"/>
      <c r="F315" s="148"/>
      <c r="G315" s="151"/>
      <c r="H315" s="152" t="s">
        <v>12</v>
      </c>
      <c r="I315" s="419"/>
      <c r="J315" s="419"/>
      <c r="K315" s="154"/>
      <c r="L315" s="155">
        <f t="shared" ref="L315:N315" ca="1" si="143">L316+L317</f>
        <v>0</v>
      </c>
      <c r="M315" s="155">
        <f t="shared" ca="1" si="143"/>
        <v>0</v>
      </c>
      <c r="N315" s="155">
        <f t="shared" ca="1" si="143"/>
        <v>0</v>
      </c>
      <c r="O315" s="155">
        <f t="shared" ref="O315:O323" ca="1" si="144">IF(L315&gt;0,N315*100/L315,0)</f>
        <v>0</v>
      </c>
      <c r="P315" s="155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2" t="s">
        <v>18</v>
      </c>
      <c r="F316" s="40"/>
      <c r="G316" s="157"/>
      <c r="H316" s="158" t="s">
        <v>12</v>
      </c>
      <c r="I316" s="610"/>
      <c r="J316" s="610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2" t="s">
        <v>19</v>
      </c>
      <c r="F317" s="40"/>
      <c r="G317" s="157"/>
      <c r="H317" s="158" t="s">
        <v>12</v>
      </c>
      <c r="I317" s="610"/>
      <c r="J317" s="610"/>
      <c r="K317" s="93"/>
      <c r="L317" s="93">
        <f t="shared" ca="1" si="146"/>
        <v>0</v>
      </c>
      <c r="M317" s="93">
        <f t="shared" ca="1" si="146"/>
        <v>0</v>
      </c>
      <c r="N317" s="93">
        <f t="shared" ca="1" si="146"/>
        <v>0</v>
      </c>
      <c r="O317" s="93">
        <f t="shared" ca="1" si="144"/>
        <v>0</v>
      </c>
      <c r="P317" s="93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1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6">
        <f t="shared" ref="L318:N318" ca="1" si="147">L319+L320</f>
        <v>0</v>
      </c>
      <c r="M318" s="496">
        <f t="shared" ca="1" si="147"/>
        <v>0</v>
      </c>
      <c r="N318" s="496">
        <f t="shared" ca="1" si="147"/>
        <v>0</v>
      </c>
      <c r="O318" s="496">
        <f t="shared" ca="1" si="144"/>
        <v>0</v>
      </c>
      <c r="P318" s="496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2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2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IFERROR(__xludf.DUMMYFUNCTION("IMPORTRANGE(""https://docs.google.com/spreadsheets/d/1MeEWN-I1oV_STSDYn1IFDPWt_1FKiwhDph83XaGc0o0/edit?usp=sharing"",""งบพรบ!EC57"")"),0)</f>
        <v>0</v>
      </c>
      <c r="M320" s="93">
        <f ca="1">IFERROR(__xludf.DUMMYFUNCTION("IMPORTRANGE(""https://docs.google.com/spreadsheets/d/1MeEWN-I1oV_STSDYn1IFDPWt_1FKiwhDph83XaGc0o0/edit?usp=sharing"",""งบพรบ!EH57"")"),0)</f>
        <v>0</v>
      </c>
      <c r="N320" s="93">
        <f ca="1">IFERROR(__xludf.DUMMYFUNCTION("IMPORTRANGE(""https://docs.google.com/spreadsheets/d/1MeEWN-I1oV_STSDYn1IFDPWt_1FKiwhDph83XaGc0o0/edit?usp=sharing"",""งบพรบ!EJ57"")"),0)</f>
        <v>0</v>
      </c>
      <c r="O320" s="93">
        <f t="shared" ca="1" si="144"/>
        <v>0</v>
      </c>
      <c r="P320" s="93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1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6">
        <f t="shared" ref="L321:N321" ca="1" si="148">L322+L323</f>
        <v>0</v>
      </c>
      <c r="M321" s="496">
        <f t="shared" ca="1" si="148"/>
        <v>0</v>
      </c>
      <c r="N321" s="496">
        <f t="shared" ca="1" si="148"/>
        <v>0</v>
      </c>
      <c r="O321" s="496">
        <f t="shared" ca="1" si="144"/>
        <v>0</v>
      </c>
      <c r="P321" s="496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2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2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IFERROR(__xludf.DUMMYFUNCTION("IMPORTRANGE(""https://docs.google.com/spreadsheets/d/1MeEWN-I1oV_STSDYn1IFDPWt_1FKiwhDph83XaGc0o0/edit?usp=sharing"",""งบพรบ!EF57"")"),0)</f>
        <v>0</v>
      </c>
      <c r="M323" s="93">
        <f ca="1">IFERROR(__xludf.DUMMYFUNCTION("IMPORTRANGE(""https://docs.google.com/spreadsheets/d/1MeEWN-I1oV_STSDYn1IFDPWt_1FKiwhDph83XaGc0o0/edit?usp=sharing"",""งบพรบ!EI57"")"),0)</f>
        <v>0</v>
      </c>
      <c r="N323" s="93">
        <f ca="1">IFERROR(__xludf.DUMMYFUNCTION("IMPORTRANGE(""https://docs.google.com/spreadsheets/d/1MeEWN-I1oV_STSDYn1IFDPWt_1FKiwhDph83XaGc0o0/edit?usp=sharing"",""งบพรบ!EK57"")"),0)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23" t="s">
        <v>38</v>
      </c>
      <c r="E324" s="173"/>
      <c r="F324" s="173"/>
      <c r="G324" s="174"/>
      <c r="H324" s="753"/>
      <c r="I324" s="184"/>
      <c r="J324" s="269"/>
      <c r="K324" s="496"/>
      <c r="L324" s="496"/>
      <c r="M324" s="496"/>
      <c r="N324" s="496"/>
      <c r="O324" s="163"/>
      <c r="P324" s="163"/>
    </row>
    <row r="325" spans="1:26" ht="18.75" hidden="1">
      <c r="A325" s="170"/>
      <c r="B325" s="171"/>
      <c r="C325" s="171"/>
      <c r="D325" s="176" t="s">
        <v>147</v>
      </c>
      <c r="E325" s="178"/>
      <c r="F325" s="446"/>
      <c r="G325" s="179"/>
      <c r="H325" s="616" t="s">
        <v>146</v>
      </c>
      <c r="I325" s="269">
        <f ca="1">IFERROR(__xludf.DUMMYFUNCTION("IMPORTRANGE(""https://docs.google.com/spreadsheets/d/1QqKyyYR6Q21VydFLVH3TRQUabQu_ym0Zz7PgGX0-kHA/edit?usp=sharing"",""แผน!EF57"")"),0)</f>
        <v>0</v>
      </c>
      <c r="J325" s="214">
        <v>0</v>
      </c>
      <c r="K325" s="496">
        <f ca="1">IF(I325&gt;0,J325*100/I325,0)</f>
        <v>0</v>
      </c>
      <c r="L325" s="496"/>
      <c r="M325" s="496"/>
      <c r="N325" s="496"/>
      <c r="O325" s="163"/>
      <c r="P325" s="163"/>
    </row>
    <row r="326" spans="1:26" ht="19.5">
      <c r="A326" s="431" t="s">
        <v>148</v>
      </c>
      <c r="B326" s="432"/>
      <c r="C326" s="432"/>
      <c r="D326" s="433"/>
      <c r="E326" s="432"/>
      <c r="F326" s="432"/>
      <c r="G326" s="432"/>
      <c r="H326" s="448"/>
      <c r="I326" s="436"/>
      <c r="J326" s="436"/>
      <c r="K326" s="437"/>
      <c r="L326" s="437"/>
      <c r="M326" s="437"/>
      <c r="N326" s="437"/>
      <c r="O326" s="437"/>
      <c r="P326" s="437"/>
    </row>
    <row r="327" spans="1:26" ht="19.5">
      <c r="A327" s="438"/>
      <c r="B327" s="439" t="s">
        <v>149</v>
      </c>
      <c r="C327" s="451"/>
      <c r="D327" s="440"/>
      <c r="E327" s="440"/>
      <c r="F327" s="440"/>
      <c r="G327" s="441"/>
      <c r="H327" s="442" t="s">
        <v>35</v>
      </c>
      <c r="I327" s="443">
        <f ca="1">IFERROR(__xludf.DUMMYFUNCTION("IMPORTRANGE(""https://docs.google.com/spreadsheets/d/1QqKyyYR6Q21VydFLVH3TRQUabQu_ym0Zz7PgGX0-kHA/edit?usp=sharing"",""แผน!EG57"")"),800)</f>
        <v>800</v>
      </c>
      <c r="J327" s="443">
        <f ca="1">J338+J341+J342+J343</f>
        <v>246</v>
      </c>
      <c r="K327" s="444">
        <f ca="1">IF(I327&gt;0,J327*100/I327,0)</f>
        <v>30.75</v>
      </c>
      <c r="L327" s="445"/>
      <c r="M327" s="445"/>
      <c r="N327" s="445"/>
      <c r="O327" s="445"/>
      <c r="P327" s="445"/>
    </row>
    <row r="328" spans="1:26" ht="19.5">
      <c r="A328" s="147"/>
      <c r="B328" s="148"/>
      <c r="C328" s="149" t="s">
        <v>16</v>
      </c>
      <c r="D328" s="822" t="s">
        <v>17</v>
      </c>
      <c r="E328" s="148"/>
      <c r="F328" s="148"/>
      <c r="G328" s="151"/>
      <c r="H328" s="152" t="s">
        <v>12</v>
      </c>
      <c r="I328" s="419"/>
      <c r="J328" s="419"/>
      <c r="K328" s="154"/>
      <c r="L328" s="155">
        <f t="shared" ref="L328:N328" ca="1" si="149">L329+L330</f>
        <v>163000</v>
      </c>
      <c r="M328" s="155">
        <f t="shared" ca="1" si="149"/>
        <v>81500</v>
      </c>
      <c r="N328" s="155">
        <f t="shared" ca="1" si="149"/>
        <v>24000</v>
      </c>
      <c r="O328" s="155">
        <f t="shared" ref="O328:O336" ca="1" si="150">IF(L328&gt;0,N328*100/L328,0)</f>
        <v>14.723926380368098</v>
      </c>
      <c r="P328" s="155">
        <f t="shared" ref="P328:P336" ca="1" si="151">IF(M328&gt;0,N328*100/M328,0)</f>
        <v>29.447852760736197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2" t="s">
        <v>18</v>
      </c>
      <c r="F329" s="40"/>
      <c r="G329" s="157"/>
      <c r="H329" s="158" t="s">
        <v>12</v>
      </c>
      <c r="I329" s="610"/>
      <c r="J329" s="610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2" t="s">
        <v>19</v>
      </c>
      <c r="F330" s="40"/>
      <c r="G330" s="157"/>
      <c r="H330" s="158" t="s">
        <v>12</v>
      </c>
      <c r="I330" s="610"/>
      <c r="J330" s="610"/>
      <c r="K330" s="93"/>
      <c r="L330" s="93">
        <f t="shared" ca="1" si="152"/>
        <v>163000</v>
      </c>
      <c r="M330" s="93">
        <f t="shared" ca="1" si="152"/>
        <v>81500</v>
      </c>
      <c r="N330" s="93">
        <f t="shared" ca="1" si="152"/>
        <v>24000</v>
      </c>
      <c r="O330" s="93">
        <f t="shared" ca="1" si="150"/>
        <v>14.723926380368098</v>
      </c>
      <c r="P330" s="93">
        <f t="shared" ca="1" si="151"/>
        <v>29.447852760736197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1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6">
        <f t="shared" ref="L331:N331" ca="1" si="153">L332+L333</f>
        <v>163000</v>
      </c>
      <c r="M331" s="496">
        <f t="shared" ca="1" si="153"/>
        <v>81500</v>
      </c>
      <c r="N331" s="496">
        <f t="shared" ca="1" si="153"/>
        <v>24000</v>
      </c>
      <c r="O331" s="496">
        <f t="shared" ca="1" si="150"/>
        <v>14.723926380368098</v>
      </c>
      <c r="P331" s="496">
        <f t="shared" ca="1" si="151"/>
        <v>29.447852760736197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2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2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IFERROR(__xludf.DUMMYFUNCTION("IMPORTRANGE(""https://docs.google.com/spreadsheets/d/1MeEWN-I1oV_STSDYn1IFDPWt_1FKiwhDph83XaGc0o0/edit?usp=sharing"",""งบพรบ!EM57"")"),163000)</f>
        <v>163000</v>
      </c>
      <c r="M333" s="93">
        <f ca="1">IFERROR(__xludf.DUMMYFUNCTION("IMPORTRANGE(""https://docs.google.com/spreadsheets/d/1MeEWN-I1oV_STSDYn1IFDPWt_1FKiwhDph83XaGc0o0/edit?usp=sharing"",""งบพรบ!ER57"")"),81500)</f>
        <v>81500</v>
      </c>
      <c r="N333" s="93">
        <f ca="1">IFERROR(__xludf.DUMMYFUNCTION("IMPORTRANGE(""https://docs.google.com/spreadsheets/d/1MeEWN-I1oV_STSDYn1IFDPWt_1FKiwhDph83XaGc0o0/edit?usp=sharing"",""งบพรบ!ET57"")"),24000)</f>
        <v>24000</v>
      </c>
      <c r="O333" s="93">
        <f t="shared" ca="1" si="150"/>
        <v>14.723926380368098</v>
      </c>
      <c r="P333" s="93">
        <f t="shared" ca="1" si="151"/>
        <v>29.447852760736197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1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6">
        <f t="shared" ref="L334:N334" ca="1" si="154">L335+L336</f>
        <v>0</v>
      </c>
      <c r="M334" s="496">
        <f t="shared" ca="1" si="154"/>
        <v>0</v>
      </c>
      <c r="N334" s="496">
        <f t="shared" ca="1" si="154"/>
        <v>0</v>
      </c>
      <c r="O334" s="496">
        <f t="shared" ca="1" si="150"/>
        <v>0</v>
      </c>
      <c r="P334" s="496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2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2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IFERROR(__xludf.DUMMYFUNCTION("IMPORTRANGE(""https://docs.google.com/spreadsheets/d/1MeEWN-I1oV_STSDYn1IFDPWt_1FKiwhDph83XaGc0o0/edit?usp=sharing"",""งบพรบ!EP57"")"),0)</f>
        <v>0</v>
      </c>
      <c r="M336" s="93">
        <f ca="1">IFERROR(__xludf.DUMMYFUNCTION("IMPORTRANGE(""https://docs.google.com/spreadsheets/d/1MeEWN-I1oV_STSDYn1IFDPWt_1FKiwhDph83XaGc0o0/edit?usp=sharing"",""งบพรบ!ES57"")"),0)</f>
        <v>0</v>
      </c>
      <c r="N336" s="93">
        <f ca="1">IFERROR(__xludf.DUMMYFUNCTION("IMPORTRANGE(""https://docs.google.com/spreadsheets/d/1MeEWN-I1oV_STSDYn1IFDPWt_1FKiwhDph83XaGc0o0/edit?usp=sharing"",""งบพรบ!EU57"")"),0)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23" t="s">
        <v>38</v>
      </c>
      <c r="E337" s="173"/>
      <c r="F337" s="173"/>
      <c r="G337" s="174"/>
      <c r="H337" s="753"/>
      <c r="I337" s="184"/>
      <c r="J337" s="269"/>
      <c r="K337" s="496"/>
      <c r="L337" s="496"/>
      <c r="M337" s="496"/>
      <c r="N337" s="496"/>
      <c r="O337" s="163"/>
      <c r="P337" s="163"/>
    </row>
    <row r="338" spans="1:26" ht="18.75">
      <c r="A338" s="284"/>
      <c r="B338" s="33"/>
      <c r="C338" s="280"/>
      <c r="D338" s="446" t="s">
        <v>150</v>
      </c>
      <c r="E338" s="171"/>
      <c r="F338" s="33"/>
      <c r="G338" s="35"/>
      <c r="H338" s="276" t="s">
        <v>35</v>
      </c>
      <c r="I338" s="269">
        <f ca="1">IFERROR(__xludf.DUMMYFUNCTION("IMPORTRANGE(""https://docs.google.com/spreadsheets/d/1QqKyyYR6Q21VydFLVH3TRQUabQu_ym0Zz7PgGX0-kHA/edit?usp=sharing"",""แผน!EG57"")"),800)</f>
        <v>800</v>
      </c>
      <c r="J338" s="269">
        <f ca="1">IFERROR(__xludf.DUMMYFUNCTION("IMPORTRANGE(""https://docs.google.com/spreadsheets/d/1kVcqe37tkHyjCSG3S0O1AXqVkqjo8mSIZil3BcpIysc/edit?usp=sharing"",""ศูนย์!D57"")"),246)</f>
        <v>246</v>
      </c>
      <c r="K338" s="496">
        <f ca="1">IF(I338&gt;0,J338*100/I338,0)</f>
        <v>30.75</v>
      </c>
      <c r="L338" s="496"/>
      <c r="M338" s="496"/>
      <c r="N338" s="496"/>
      <c r="O338" s="496"/>
      <c r="P338" s="496"/>
    </row>
    <row r="339" spans="1:26" ht="18.75">
      <c r="A339" s="284"/>
      <c r="B339" s="33"/>
      <c r="C339" s="280"/>
      <c r="D339" s="446" t="s">
        <v>151</v>
      </c>
      <c r="E339" s="171"/>
      <c r="F339" s="33"/>
      <c r="G339" s="35"/>
      <c r="H339" s="276"/>
      <c r="I339" s="269"/>
      <c r="J339" s="269"/>
      <c r="K339" s="496"/>
      <c r="L339" s="496"/>
      <c r="M339" s="496"/>
      <c r="N339" s="496"/>
      <c r="O339" s="496"/>
      <c r="P339" s="496"/>
    </row>
    <row r="340" spans="1:26" ht="18.75">
      <c r="A340" s="284"/>
      <c r="B340" s="33"/>
      <c r="C340" s="280"/>
      <c r="D340" s="178"/>
      <c r="E340" s="446" t="s">
        <v>152</v>
      </c>
      <c r="F340" s="33"/>
      <c r="G340" s="35"/>
      <c r="H340" s="276" t="s">
        <v>153</v>
      </c>
      <c r="I340" s="269">
        <f ca="1">IFERROR(__xludf.DUMMYFUNCTION("IMPORTRANGE(""https://docs.google.com/spreadsheets/d/1QqKyyYR6Q21VydFLVH3TRQUabQu_ym0Zz7PgGX0-kHA/edit?usp=sharing"",""แผน!EH57"")"),5)</f>
        <v>5</v>
      </c>
      <c r="J340" s="269">
        <f ca="1">IFERROR(__xludf.DUMMYFUNCTION("IMPORTRANGE(""https://docs.google.com/spreadsheets/d/1kVcqe37tkHyjCSG3S0O1AXqVkqjo8mSIZil3BcpIysc/edit?usp=sharing"",""ศูนย์!E57"")"),0)</f>
        <v>0</v>
      </c>
      <c r="K340" s="496">
        <f ca="1">IF(I340&gt;0,J340*100/I340,0)</f>
        <v>0</v>
      </c>
      <c r="L340" s="496"/>
      <c r="M340" s="496"/>
      <c r="N340" s="496"/>
      <c r="O340" s="496"/>
      <c r="P340" s="496"/>
    </row>
    <row r="341" spans="1:26" ht="18.75">
      <c r="A341" s="284"/>
      <c r="B341" s="33"/>
      <c r="C341" s="280"/>
      <c r="D341" s="178"/>
      <c r="E341" s="446" t="s">
        <v>154</v>
      </c>
      <c r="F341" s="33"/>
      <c r="G341" s="35"/>
      <c r="H341" s="276" t="s">
        <v>35</v>
      </c>
      <c r="I341" s="269"/>
      <c r="J341" s="269">
        <f ca="1">IFERROR(__xludf.DUMMYFUNCTION("IMPORTRANGE(""https://docs.google.com/spreadsheets/d/1kVcqe37tkHyjCSG3S0O1AXqVkqjo8mSIZil3BcpIysc/edit?usp=sharing"",""ศูนย์!F57"")"),0)</f>
        <v>0</v>
      </c>
      <c r="K341" s="496"/>
      <c r="L341" s="496"/>
      <c r="M341" s="496"/>
      <c r="N341" s="496"/>
      <c r="O341" s="496"/>
      <c r="P341" s="496"/>
    </row>
    <row r="342" spans="1:26" ht="18.75">
      <c r="A342" s="284"/>
      <c r="B342" s="33"/>
      <c r="C342" s="280"/>
      <c r="D342" s="446" t="s">
        <v>155</v>
      </c>
      <c r="E342" s="178"/>
      <c r="F342" s="178"/>
      <c r="G342" s="35"/>
      <c r="H342" s="276" t="s">
        <v>35</v>
      </c>
      <c r="I342" s="269"/>
      <c r="J342" s="269">
        <f ca="1">IFERROR(__xludf.DUMMYFUNCTION("IMPORTRANGE(""https://docs.google.com/spreadsheets/d/1kVcqe37tkHyjCSG3S0O1AXqVkqjo8mSIZil3BcpIysc/edit?usp=sharing"",""ศูนย์!G57"")"),0)</f>
        <v>0</v>
      </c>
      <c r="K342" s="496"/>
      <c r="L342" s="496"/>
      <c r="M342" s="496"/>
      <c r="N342" s="496"/>
      <c r="O342" s="496"/>
      <c r="P342" s="496"/>
    </row>
    <row r="343" spans="1:26" ht="18.75">
      <c r="A343" s="284"/>
      <c r="B343" s="33"/>
      <c r="C343" s="280"/>
      <c r="D343" s="446" t="s">
        <v>156</v>
      </c>
      <c r="E343" s="178"/>
      <c r="F343" s="178"/>
      <c r="G343" s="35"/>
      <c r="H343" s="276" t="s">
        <v>35</v>
      </c>
      <c r="I343" s="269"/>
      <c r="J343" s="269">
        <f ca="1">IFERROR(__xludf.DUMMYFUNCTION("IMPORTRANGE(""https://docs.google.com/spreadsheets/d/1kVcqe37tkHyjCSG3S0O1AXqVkqjo8mSIZil3BcpIysc/edit?usp=sharing"",""ศูนย์!H57"")"),0)</f>
        <v>0</v>
      </c>
      <c r="K343" s="496"/>
      <c r="L343" s="496"/>
      <c r="M343" s="496"/>
      <c r="N343" s="496"/>
      <c r="O343" s="496"/>
      <c r="P343" s="496"/>
    </row>
    <row r="344" spans="1:26" ht="19.5">
      <c r="A344" s="438"/>
      <c r="B344" s="439" t="s">
        <v>157</v>
      </c>
      <c r="C344" s="451"/>
      <c r="D344" s="440"/>
      <c r="E344" s="440"/>
      <c r="F344" s="440"/>
      <c r="G344" s="441"/>
      <c r="H344" s="442"/>
      <c r="I344" s="452"/>
      <c r="J344" s="452"/>
      <c r="K344" s="445"/>
      <c r="L344" s="445"/>
      <c r="M344" s="445"/>
      <c r="N344" s="445"/>
      <c r="O344" s="445"/>
      <c r="P344" s="445"/>
    </row>
    <row r="345" spans="1:26" ht="19.5">
      <c r="A345" s="147"/>
      <c r="B345" s="148"/>
      <c r="C345" s="149" t="s">
        <v>16</v>
      </c>
      <c r="D345" s="822" t="s">
        <v>17</v>
      </c>
      <c r="E345" s="148"/>
      <c r="F345" s="148"/>
      <c r="G345" s="151"/>
      <c r="H345" s="152" t="s">
        <v>12</v>
      </c>
      <c r="I345" s="419"/>
      <c r="J345" s="419"/>
      <c r="K345" s="154"/>
      <c r="L345" s="155">
        <f t="shared" ref="L345:N345" ca="1" si="155">L346+L347</f>
        <v>400550</v>
      </c>
      <c r="M345" s="155">
        <f t="shared" ca="1" si="155"/>
        <v>237330</v>
      </c>
      <c r="N345" s="155">
        <f t="shared" ca="1" si="155"/>
        <v>144043</v>
      </c>
      <c r="O345" s="155">
        <f t="shared" ref="O345:O353" ca="1" si="156">IF(L345&gt;0,N345*100/L345,0)</f>
        <v>35.961303208088879</v>
      </c>
      <c r="P345" s="155">
        <f t="shared" ref="P345:P353" ca="1" si="157">IF(M345&gt;0,N345*100/M345,0)</f>
        <v>60.69312771246787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2" t="s">
        <v>18</v>
      </c>
      <c r="F346" s="40"/>
      <c r="G346" s="157"/>
      <c r="H346" s="158" t="s">
        <v>12</v>
      </c>
      <c r="I346" s="610"/>
      <c r="J346" s="610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2" t="s">
        <v>19</v>
      </c>
      <c r="F347" s="40"/>
      <c r="G347" s="157"/>
      <c r="H347" s="158" t="s">
        <v>12</v>
      </c>
      <c r="I347" s="610"/>
      <c r="J347" s="610"/>
      <c r="K347" s="93"/>
      <c r="L347" s="93">
        <f t="shared" ca="1" si="158"/>
        <v>400550</v>
      </c>
      <c r="M347" s="93">
        <f t="shared" ca="1" si="158"/>
        <v>237330</v>
      </c>
      <c r="N347" s="93">
        <f t="shared" ca="1" si="158"/>
        <v>144043</v>
      </c>
      <c r="O347" s="93">
        <f t="shared" ca="1" si="156"/>
        <v>35.961303208088879</v>
      </c>
      <c r="P347" s="93">
        <f t="shared" ca="1" si="157"/>
        <v>60.69312771246787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1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6">
        <f t="shared" ref="L348:N348" ca="1" si="159">L349+L350</f>
        <v>326450</v>
      </c>
      <c r="M348" s="496">
        <f t="shared" ca="1" si="159"/>
        <v>163230</v>
      </c>
      <c r="N348" s="496">
        <f t="shared" ca="1" si="159"/>
        <v>69943</v>
      </c>
      <c r="O348" s="496">
        <f t="shared" ca="1" si="156"/>
        <v>21.42533312911625</v>
      </c>
      <c r="P348" s="496">
        <f t="shared" ca="1" si="157"/>
        <v>42.849353672731731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2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2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IFERROR(__xludf.DUMMYFUNCTION("IMPORTRANGE(""https://docs.google.com/spreadsheets/d/1MeEWN-I1oV_STSDYn1IFDPWt_1FKiwhDph83XaGc0o0/edit?usp=sharing"",""งบพรบ!EW57"")"),326450)</f>
        <v>326450</v>
      </c>
      <c r="M350" s="93">
        <f ca="1">IFERROR(__xludf.DUMMYFUNCTION("IMPORTRANGE(""https://docs.google.com/spreadsheets/d/1MeEWN-I1oV_STSDYn1IFDPWt_1FKiwhDph83XaGc0o0/edit?usp=sharing"",""งบพรบ!FB57"")"),163230)</f>
        <v>163230</v>
      </c>
      <c r="N350" s="93">
        <f ca="1">IFERROR(__xludf.DUMMYFUNCTION("IMPORTRANGE(""https://docs.google.com/spreadsheets/d/1MeEWN-I1oV_STSDYn1IFDPWt_1FKiwhDph83XaGc0o0/edit?usp=sharing"",""งบพรบ!FD57"")"),69943)</f>
        <v>69943</v>
      </c>
      <c r="O350" s="93">
        <f t="shared" ca="1" si="156"/>
        <v>21.42533312911625</v>
      </c>
      <c r="P350" s="93">
        <f t="shared" ca="1" si="157"/>
        <v>42.849353672731731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1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6">
        <f t="shared" ref="L351:N351" ca="1" si="160">L352+L353</f>
        <v>74100</v>
      </c>
      <c r="M351" s="496">
        <f t="shared" ca="1" si="160"/>
        <v>74100</v>
      </c>
      <c r="N351" s="496">
        <f t="shared" ca="1" si="160"/>
        <v>74100</v>
      </c>
      <c r="O351" s="496">
        <f t="shared" ca="1" si="156"/>
        <v>100</v>
      </c>
      <c r="P351" s="496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2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2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IFERROR(__xludf.DUMMYFUNCTION("IMPORTRANGE(""https://docs.google.com/spreadsheets/d/1MeEWN-I1oV_STSDYn1IFDPWt_1FKiwhDph83XaGc0o0/edit?usp=sharing"",""งบพรบ!EZ57"")"),74100)</f>
        <v>74100</v>
      </c>
      <c r="M353" s="93">
        <f ca="1">IFERROR(__xludf.DUMMYFUNCTION("IMPORTRANGE(""https://docs.google.com/spreadsheets/d/1MeEWN-I1oV_STSDYn1IFDPWt_1FKiwhDph83XaGc0o0/edit?usp=sharing"",""งบพรบ!FC57"")"),74100)</f>
        <v>74100</v>
      </c>
      <c r="N353" s="93">
        <f ca="1">IFERROR(__xludf.DUMMYFUNCTION("IMPORTRANGE(""https://docs.google.com/spreadsheets/d/1MeEWN-I1oV_STSDYn1IFDPWt_1FKiwhDph83XaGc0o0/edit?usp=sharing"",""งบพรบ!FE57"")"),74100)</f>
        <v>74100</v>
      </c>
      <c r="O353" s="93">
        <f t="shared" ca="1" si="156"/>
        <v>100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5"/>
      <c r="B354" s="263"/>
      <c r="C354" s="256"/>
      <c r="D354" s="832" t="s">
        <v>158</v>
      </c>
      <c r="E354" s="256"/>
      <c r="F354" s="256"/>
      <c r="G354" s="258"/>
      <c r="H354" s="454"/>
      <c r="I354" s="260"/>
      <c r="J354" s="260"/>
      <c r="K354" s="261"/>
      <c r="L354" s="261"/>
      <c r="M354" s="261"/>
      <c r="N354" s="261"/>
      <c r="O354" s="261"/>
      <c r="P354" s="261"/>
    </row>
    <row r="355" spans="1:26" ht="19.5">
      <c r="A355" s="455"/>
      <c r="B355" s="456"/>
      <c r="C355" s="457"/>
      <c r="D355" s="833" t="s">
        <v>159</v>
      </c>
      <c r="E355" s="459"/>
      <c r="F355" s="459"/>
      <c r="G355" s="460"/>
      <c r="H355" s="461" t="s">
        <v>35</v>
      </c>
      <c r="I355" s="463">
        <f ca="1">IFERROR(__xludf.DUMMYFUNCTION("IMPORTRANGE(""https://docs.google.com/spreadsheets/d/1QqKyyYR6Q21VydFLVH3TRQUabQu_ym0Zz7PgGX0-kHA/edit?usp=sharing"",""แผน!EP57"")"),32)</f>
        <v>32</v>
      </c>
      <c r="J355" s="463">
        <f ca="1">J362</f>
        <v>0</v>
      </c>
      <c r="K355" s="464">
        <f ca="1">IF(I355&gt;0,J355*100/I355,0)</f>
        <v>0</v>
      </c>
      <c r="L355" s="465"/>
      <c r="M355" s="465"/>
      <c r="N355" s="465"/>
      <c r="O355" s="465"/>
      <c r="P355" s="465"/>
    </row>
    <row r="356" spans="1:26" ht="19.5">
      <c r="A356" s="455"/>
      <c r="B356" s="456"/>
      <c r="C356" s="457"/>
      <c r="D356" s="466" t="s">
        <v>160</v>
      </c>
      <c r="E356" s="459"/>
      <c r="F356" s="459"/>
      <c r="G356" s="460"/>
      <c r="H356" s="467"/>
      <c r="I356" s="468"/>
      <c r="J356" s="468"/>
      <c r="K356" s="465"/>
      <c r="L356" s="465"/>
      <c r="M356" s="465"/>
      <c r="N356" s="465"/>
      <c r="O356" s="465"/>
      <c r="P356" s="465"/>
    </row>
    <row r="357" spans="1:26" ht="19.5">
      <c r="A357" s="170"/>
      <c r="B357" s="171"/>
      <c r="C357" s="164" t="s">
        <v>16</v>
      </c>
      <c r="D357" s="823" t="s">
        <v>38</v>
      </c>
      <c r="E357" s="173"/>
      <c r="F357" s="173"/>
      <c r="G357" s="174"/>
      <c r="H357" s="753"/>
      <c r="I357" s="269"/>
      <c r="J357" s="269"/>
      <c r="K357" s="496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69">
        <v>0</v>
      </c>
      <c r="J358" s="269">
        <f ca="1">IFERROR(__xludf.DUMMYFUNCTION("IMPORTRANGE(""https://docs.google.com/spreadsheets/d/1XWAQStnk-4SwqDmLtmXYiTMKHgktTP8We1SCoS47DrQ/edit?usp=sharing"",""จัดที่ดิน!W57"")"),0)</f>
        <v>0</v>
      </c>
      <c r="K358" s="496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69">
        <f ca="1">IFERROR(__xludf.DUMMYFUNCTION("IMPORTRANGE(""https://docs.google.com/spreadsheets/d/1QqKyyYR6Q21VydFLVH3TRQUabQu_ym0Zz7PgGX0-kHA/edit?usp=sharing"",""แผน!EO57"")"),320)</f>
        <v>320</v>
      </c>
      <c r="J359" s="269">
        <f ca="1">IFERROR(__xludf.DUMMYFUNCTION("IMPORTRANGE(""https://docs.google.com/spreadsheets/d/1XWAQStnk-4SwqDmLtmXYiTMKHgktTP8We1SCoS47DrQ/edit?usp=sharing"",""จัดที่ดิน!X57"")"),0)</f>
        <v>0</v>
      </c>
      <c r="K359" s="496">
        <f t="shared" ca="1" si="161"/>
        <v>0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755" t="s">
        <v>35</v>
      </c>
      <c r="I360" s="269">
        <f ca="1">IFERROR(__xludf.DUMMYFUNCTION("IMPORTRANGE(""https://docs.google.com/spreadsheets/d/1QqKyyYR6Q21VydFLVH3TRQUabQu_ym0Zz7PgGX0-kHA/edit?usp=sharing"",""แผน!EP57"")"),32)</f>
        <v>32</v>
      </c>
      <c r="J360" s="269">
        <f ca="1">IFERROR(__xludf.DUMMYFUNCTION("IMPORTRANGE(""https://docs.google.com/spreadsheets/d/1XWAQStnk-4SwqDmLtmXYiTMKHgktTP8We1SCoS47DrQ/edit?usp=sharing"",""จัดที่ดิน!Y57"")"),0)</f>
        <v>0</v>
      </c>
      <c r="K360" s="496">
        <f t="shared" ca="1" si="161"/>
        <v>0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755" t="s">
        <v>46</v>
      </c>
      <c r="I361" s="269">
        <v>0</v>
      </c>
      <c r="J361" s="269">
        <f ca="1">IFERROR(__xludf.DUMMYFUNCTION("IMPORTRANGE(""https://docs.google.com/spreadsheets/d/1XWAQStnk-4SwqDmLtmXYiTMKHgktTP8We1SCoS47DrQ/edit?usp=sharing"",""จัดที่ดิน!Z57"")"),0)</f>
        <v>0</v>
      </c>
      <c r="K361" s="496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755" t="s">
        <v>35</v>
      </c>
      <c r="I362" s="269">
        <f ca="1">IFERROR(__xludf.DUMMYFUNCTION("IMPORTRANGE(""https://docs.google.com/spreadsheets/d/1QqKyyYR6Q21VydFLVH3TRQUabQu_ym0Zz7PgGX0-kHA/edit?usp=sharing"",""แผน!EP57"")"),32)</f>
        <v>32</v>
      </c>
      <c r="J362" s="269">
        <f ca="1">IFERROR(__xludf.DUMMYFUNCTION("IMPORTRANGE(""https://docs.google.com/spreadsheets/d/1XWAQStnk-4SwqDmLtmXYiTMKHgktTP8We1SCoS47DrQ/edit?usp=sharing"",""จัดที่ดิน!AA57"")"),0)</f>
        <v>0</v>
      </c>
      <c r="K362" s="496">
        <f t="shared" ca="1" si="161"/>
        <v>0</v>
      </c>
      <c r="L362" s="163"/>
      <c r="M362" s="163"/>
      <c r="N362" s="163"/>
      <c r="O362" s="163"/>
      <c r="P362" s="163"/>
    </row>
    <row r="363" spans="1:26" ht="18.75">
      <c r="A363" s="469" t="s">
        <v>164</v>
      </c>
      <c r="B363" s="178"/>
      <c r="C363" s="171"/>
      <c r="D363" s="178"/>
      <c r="E363" s="446"/>
      <c r="F363" s="178"/>
      <c r="G363" s="179"/>
      <c r="H363" s="755" t="s">
        <v>46</v>
      </c>
      <c r="I363" s="269">
        <v>0</v>
      </c>
      <c r="J363" s="269">
        <f ca="1">IFERROR(__xludf.DUMMYFUNCTION("IMPORTRANGE(""https://docs.google.com/spreadsheets/d/1XWAQStnk-4SwqDmLtmXYiTMKHgktTP8We1SCoS47DrQ/edit?usp=sharing"",""จัดที่ดิน!AB57"")"),0)</f>
        <v>0</v>
      </c>
      <c r="K363" s="496">
        <f t="shared" si="161"/>
        <v>0</v>
      </c>
      <c r="L363" s="163"/>
      <c r="M363" s="163"/>
      <c r="N363" s="163"/>
      <c r="O363" s="163"/>
      <c r="P363" s="163"/>
    </row>
    <row r="364" spans="1:26" ht="19.5">
      <c r="A364" s="470"/>
      <c r="B364" s="471"/>
      <c r="C364" s="472"/>
      <c r="D364" s="473" t="s">
        <v>165</v>
      </c>
      <c r="E364" s="474"/>
      <c r="F364" s="474"/>
      <c r="G364" s="475"/>
      <c r="H364" s="476" t="s">
        <v>35</v>
      </c>
      <c r="I364" s="477">
        <f t="shared" ref="I364:J364" ca="1" si="162">I365+I374</f>
        <v>142</v>
      </c>
      <c r="J364" s="477">
        <f t="shared" ca="1" si="162"/>
        <v>0</v>
      </c>
      <c r="K364" s="478">
        <f t="shared" ca="1" si="161"/>
        <v>0</v>
      </c>
      <c r="L364" s="479"/>
      <c r="M364" s="479"/>
      <c r="N364" s="479"/>
      <c r="O364" s="479"/>
      <c r="P364" s="479"/>
      <c r="Q364" s="480"/>
      <c r="R364" s="480"/>
      <c r="S364" s="480"/>
      <c r="T364" s="480"/>
      <c r="U364" s="480"/>
      <c r="V364" s="480"/>
      <c r="W364" s="480"/>
      <c r="X364" s="480"/>
      <c r="Y364" s="480"/>
      <c r="Z364" s="480"/>
    </row>
    <row r="365" spans="1:26" ht="19.5">
      <c r="A365" s="481"/>
      <c r="B365" s="482"/>
      <c r="C365" s="484"/>
      <c r="D365" s="484" t="s">
        <v>166</v>
      </c>
      <c r="E365" s="485"/>
      <c r="F365" s="485"/>
      <c r="G365" s="486"/>
      <c r="H365" s="487" t="s">
        <v>35</v>
      </c>
      <c r="I365" s="489">
        <f ca="1">IFERROR(__xludf.DUMMYFUNCTION("IMPORTRANGE(""https://docs.google.com/spreadsheets/d/1QqKyyYR6Q21VydFLVH3TRQUabQu_ym0Zz7PgGX0-kHA/edit?usp=sharing"",""แผน!EJ57"")"),2)</f>
        <v>2</v>
      </c>
      <c r="J365" s="489">
        <f ca="1">J372</f>
        <v>0</v>
      </c>
      <c r="K365" s="490">
        <f t="shared" ca="1" si="161"/>
        <v>0</v>
      </c>
      <c r="L365" s="491"/>
      <c r="M365" s="491"/>
      <c r="N365" s="491"/>
      <c r="O365" s="491"/>
      <c r="P365" s="491"/>
      <c r="Q365" s="480"/>
      <c r="R365" s="480"/>
      <c r="S365" s="480"/>
      <c r="T365" s="480"/>
      <c r="U365" s="480"/>
      <c r="V365" s="480"/>
      <c r="W365" s="480"/>
      <c r="X365" s="480"/>
      <c r="Y365" s="480"/>
      <c r="Z365" s="480"/>
    </row>
    <row r="366" spans="1:26" ht="19.5">
      <c r="A366" s="481"/>
      <c r="B366" s="482"/>
      <c r="C366" s="484"/>
      <c r="D366" s="492" t="s">
        <v>167</v>
      </c>
      <c r="E366" s="485"/>
      <c r="F366" s="485"/>
      <c r="G366" s="486"/>
      <c r="H366" s="493"/>
      <c r="I366" s="494"/>
      <c r="J366" s="494"/>
      <c r="K366" s="491"/>
      <c r="L366" s="491"/>
      <c r="M366" s="491"/>
      <c r="N366" s="491"/>
      <c r="O366" s="491"/>
      <c r="P366" s="491"/>
      <c r="Q366" s="480"/>
      <c r="R366" s="480"/>
      <c r="S366" s="480"/>
      <c r="T366" s="480"/>
      <c r="U366" s="480"/>
      <c r="V366" s="480"/>
      <c r="W366" s="480"/>
      <c r="X366" s="480"/>
      <c r="Y366" s="480"/>
      <c r="Z366" s="480"/>
    </row>
    <row r="367" spans="1:26" ht="19.5">
      <c r="A367" s="170"/>
      <c r="B367" s="171"/>
      <c r="C367" s="164" t="s">
        <v>16</v>
      </c>
      <c r="D367" s="823" t="s">
        <v>38</v>
      </c>
      <c r="E367" s="173"/>
      <c r="F367" s="173"/>
      <c r="G367" s="174"/>
      <c r="H367" s="753"/>
      <c r="I367" s="269"/>
      <c r="J367" s="269"/>
      <c r="K367" s="496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69">
        <v>0</v>
      </c>
      <c r="J368" s="269">
        <f ca="1">IFERROR(__xludf.DUMMYFUNCTION("IMPORTRANGE(""https://docs.google.com/spreadsheets/d/1XWAQStnk-4SwqDmLtmXYiTMKHgktTP8We1SCoS47DrQ/edit?usp=sharing"",""จัดที่ดิน!E57"")"),0)</f>
        <v>0</v>
      </c>
      <c r="K368" s="496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69">
        <f ca="1">IFERROR(__xludf.DUMMYFUNCTION("IMPORTRANGE(""https://docs.google.com/spreadsheets/d/1QqKyyYR6Q21VydFLVH3TRQUabQu_ym0Zz7PgGX0-kHA/edit?usp=sharing"",""แผน!EI57"")"),20)</f>
        <v>20</v>
      </c>
      <c r="J369" s="269">
        <f ca="1">IFERROR(__xludf.DUMMYFUNCTION("IMPORTRANGE(""https://docs.google.com/spreadsheets/d/1XWAQStnk-4SwqDmLtmXYiTMKHgktTP8We1SCoS47DrQ/edit?usp=sharing"",""จัดที่ดิน!F57"")"),0)</f>
        <v>0</v>
      </c>
      <c r="K369" s="496">
        <f t="shared" ca="1" si="163"/>
        <v>0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55" t="s">
        <v>35</v>
      </c>
      <c r="I370" s="269">
        <f ca="1">IFERROR(__xludf.DUMMYFUNCTION("IMPORTRANGE(""https://docs.google.com/spreadsheets/d/1QqKyyYR6Q21VydFLVH3TRQUabQu_ym0Zz7PgGX0-kHA/edit?usp=sharing"",""แผน!EJ57"")"),2)</f>
        <v>2</v>
      </c>
      <c r="J370" s="269">
        <f ca="1">IFERROR(__xludf.DUMMYFUNCTION("IMPORTRANGE(""https://docs.google.com/spreadsheets/d/1XWAQStnk-4SwqDmLtmXYiTMKHgktTP8We1SCoS47DrQ/edit?usp=sharing"",""จัดที่ดิน!G57"")"),0)</f>
        <v>0</v>
      </c>
      <c r="K370" s="496">
        <f t="shared" ca="1" si="163"/>
        <v>0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55" t="s">
        <v>46</v>
      </c>
      <c r="I371" s="269">
        <v>0</v>
      </c>
      <c r="J371" s="269">
        <f ca="1">IFERROR(__xludf.DUMMYFUNCTION("IMPORTRANGE(""https://docs.google.com/spreadsheets/d/1XWAQStnk-4SwqDmLtmXYiTMKHgktTP8We1SCoS47DrQ/edit?usp=sharing"",""จัดที่ดิน!H57"")"),0)</f>
        <v>0</v>
      </c>
      <c r="K371" s="496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55" t="s">
        <v>35</v>
      </c>
      <c r="I372" s="269">
        <f ca="1">IFERROR(__xludf.DUMMYFUNCTION("IMPORTRANGE(""https://docs.google.com/spreadsheets/d/1QqKyyYR6Q21VydFLVH3TRQUabQu_ym0Zz7PgGX0-kHA/edit?usp=sharing"",""แผน!EJ57"")"),2)</f>
        <v>2</v>
      </c>
      <c r="J372" s="269">
        <f ca="1">IFERROR(__xludf.DUMMYFUNCTION("IMPORTRANGE(""https://docs.google.com/spreadsheets/d/1XWAQStnk-4SwqDmLtmXYiTMKHgktTP8We1SCoS47DrQ/edit?usp=sharing"",""จัดที่ดิน!I57"")"),0)</f>
        <v>0</v>
      </c>
      <c r="K372" s="496">
        <f t="shared" ca="1" si="163"/>
        <v>0</v>
      </c>
      <c r="L372" s="163"/>
      <c r="M372" s="163"/>
      <c r="N372" s="163"/>
      <c r="O372" s="163"/>
      <c r="P372" s="163"/>
    </row>
    <row r="373" spans="1:26" ht="18.75">
      <c r="A373" s="469" t="s">
        <v>164</v>
      </c>
      <c r="B373" s="178"/>
      <c r="C373" s="171"/>
      <c r="D373" s="178"/>
      <c r="E373" s="446"/>
      <c r="F373" s="178"/>
      <c r="G373" s="179"/>
      <c r="H373" s="755" t="s">
        <v>46</v>
      </c>
      <c r="I373" s="269">
        <v>0</v>
      </c>
      <c r="J373" s="269">
        <f ca="1">IFERROR(__xludf.DUMMYFUNCTION("IMPORTRANGE(""https://docs.google.com/spreadsheets/d/1XWAQStnk-4SwqDmLtmXYiTMKHgktTP8We1SCoS47DrQ/edit?usp=sharing"",""จัดที่ดิน!J57"")"),0)</f>
        <v>0</v>
      </c>
      <c r="K373" s="496">
        <f t="shared" si="163"/>
        <v>0</v>
      </c>
      <c r="L373" s="163"/>
      <c r="M373" s="163"/>
      <c r="N373" s="163"/>
      <c r="O373" s="163"/>
      <c r="P373" s="163"/>
    </row>
    <row r="374" spans="1:26" ht="19.5">
      <c r="A374" s="481"/>
      <c r="B374" s="482"/>
      <c r="C374" s="484"/>
      <c r="D374" s="484" t="s">
        <v>168</v>
      </c>
      <c r="E374" s="485"/>
      <c r="F374" s="485"/>
      <c r="G374" s="486"/>
      <c r="H374" s="487" t="s">
        <v>35</v>
      </c>
      <c r="I374" s="495">
        <f ca="1">IFERROR(__xludf.DUMMYFUNCTION("IMPORTRANGE(""https://docs.google.com/spreadsheets/d/1QqKyyYR6Q21VydFLVH3TRQUabQu_ym0Zz7PgGX0-kHA/edit?usp=sharing"",""แผน!EU57"")"),140)</f>
        <v>140</v>
      </c>
      <c r="J374" s="489">
        <f ca="1">J381</f>
        <v>0</v>
      </c>
      <c r="K374" s="490">
        <f t="shared" ca="1" si="163"/>
        <v>0</v>
      </c>
      <c r="L374" s="491"/>
      <c r="M374" s="491"/>
      <c r="N374" s="491"/>
      <c r="O374" s="491"/>
      <c r="P374" s="491"/>
      <c r="Q374" s="480"/>
      <c r="R374" s="480"/>
      <c r="S374" s="480"/>
      <c r="T374" s="480"/>
      <c r="U374" s="480"/>
      <c r="V374" s="480"/>
      <c r="W374" s="480"/>
      <c r="X374" s="480"/>
      <c r="Y374" s="480"/>
      <c r="Z374" s="480"/>
    </row>
    <row r="375" spans="1:26" ht="19.5">
      <c r="A375" s="481"/>
      <c r="B375" s="482"/>
      <c r="C375" s="484"/>
      <c r="D375" s="492" t="s">
        <v>169</v>
      </c>
      <c r="E375" s="485"/>
      <c r="F375" s="485"/>
      <c r="G375" s="486"/>
      <c r="H375" s="493"/>
      <c r="I375" s="494"/>
      <c r="J375" s="494"/>
      <c r="K375" s="491"/>
      <c r="L375" s="491"/>
      <c r="M375" s="491"/>
      <c r="N375" s="491"/>
      <c r="O375" s="491"/>
      <c r="P375" s="491"/>
      <c r="Q375" s="480"/>
      <c r="R375" s="480"/>
      <c r="S375" s="480"/>
      <c r="T375" s="480"/>
      <c r="U375" s="480"/>
      <c r="V375" s="480"/>
      <c r="W375" s="480"/>
      <c r="X375" s="480"/>
      <c r="Y375" s="480"/>
      <c r="Z375" s="480"/>
    </row>
    <row r="376" spans="1:26" ht="19.5">
      <c r="A376" s="170"/>
      <c r="B376" s="171"/>
      <c r="C376" s="164" t="s">
        <v>16</v>
      </c>
      <c r="D376" s="823" t="s">
        <v>38</v>
      </c>
      <c r="E376" s="173"/>
      <c r="F376" s="173"/>
      <c r="G376" s="174"/>
      <c r="H376" s="753"/>
      <c r="I376" s="269"/>
      <c r="J376" s="269"/>
      <c r="K376" s="496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69">
        <v>0</v>
      </c>
      <c r="J377" s="269">
        <f ca="1">IFERROR(__xludf.DUMMYFUNCTION("IMPORTRANGE(""https://docs.google.com/spreadsheets/d/1XWAQStnk-4SwqDmLtmXYiTMKHgktTP8We1SCoS47DrQ/edit?usp=sharing"",""จัดที่ดิน!AH57"")"),0)</f>
        <v>0</v>
      </c>
      <c r="K377" s="496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69">
        <f ca="1">IFERROR(__xludf.DUMMYFUNCTION("IMPORTRANGE(""https://docs.google.com/spreadsheets/d/1QqKyyYR6Q21VydFLVH3TRQUabQu_ym0Zz7PgGX0-kHA/edit?usp=sharing"",""แผน!ET57"")"),300)</f>
        <v>300</v>
      </c>
      <c r="J378" s="269">
        <f ca="1">IFERROR(__xludf.DUMMYFUNCTION("IMPORTRANGE(""https://docs.google.com/spreadsheets/d/1XWAQStnk-4SwqDmLtmXYiTMKHgktTP8We1SCoS47DrQ/edit?usp=sharing"",""จัดที่ดิน!AI57"")"),0)</f>
        <v>0</v>
      </c>
      <c r="K378" s="496">
        <f t="shared" ca="1" si="164"/>
        <v>0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55" t="s">
        <v>35</v>
      </c>
      <c r="I379" s="269">
        <f ca="1">IFERROR(__xludf.DUMMYFUNCTION("IMPORTRANGE(""https://docs.google.com/spreadsheets/d/1QqKyyYR6Q21VydFLVH3TRQUabQu_ym0Zz7PgGX0-kHA/edit?usp=sharing"",""แผน!EU57"")"),140)</f>
        <v>140</v>
      </c>
      <c r="J379" s="269">
        <f ca="1">IFERROR(__xludf.DUMMYFUNCTION("IMPORTRANGE(""https://docs.google.com/spreadsheets/d/1XWAQStnk-4SwqDmLtmXYiTMKHgktTP8We1SCoS47DrQ/edit?usp=sharing"",""จัดที่ดิน!AJ57"")"),0)</f>
        <v>0</v>
      </c>
      <c r="K379" s="496">
        <f t="shared" ca="1" si="164"/>
        <v>0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55" t="s">
        <v>46</v>
      </c>
      <c r="I380" s="269">
        <v>0</v>
      </c>
      <c r="J380" s="269">
        <f ca="1">IFERROR(__xludf.DUMMYFUNCTION("IMPORTRANGE(""https://docs.google.com/spreadsheets/d/1XWAQStnk-4SwqDmLtmXYiTMKHgktTP8We1SCoS47DrQ/edit?usp=sharing"",""จัดที่ดิน!AK57"")"),0)</f>
        <v>0</v>
      </c>
      <c r="K380" s="496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55" t="s">
        <v>35</v>
      </c>
      <c r="I381" s="269">
        <f ca="1">IFERROR(__xludf.DUMMYFUNCTION("IMPORTRANGE(""https://docs.google.com/spreadsheets/d/1QqKyyYR6Q21VydFLVH3TRQUabQu_ym0Zz7PgGX0-kHA/edit?usp=sharing"",""แผน!EU57"")"),140)</f>
        <v>140</v>
      </c>
      <c r="J381" s="269">
        <f ca="1">IFERROR(__xludf.DUMMYFUNCTION("IMPORTRANGE(""https://docs.google.com/spreadsheets/d/1XWAQStnk-4SwqDmLtmXYiTMKHgktTP8We1SCoS47DrQ/edit?usp=sharing"",""จัดที่ดิน!AL57"")"),0)</f>
        <v>0</v>
      </c>
      <c r="K381" s="496">
        <f t="shared" ca="1" si="164"/>
        <v>0</v>
      </c>
      <c r="L381" s="163"/>
      <c r="M381" s="163"/>
      <c r="N381" s="163"/>
      <c r="O381" s="163"/>
      <c r="P381" s="163"/>
    </row>
    <row r="382" spans="1:26" ht="18.75">
      <c r="A382" s="469" t="s">
        <v>164</v>
      </c>
      <c r="B382" s="178"/>
      <c r="C382" s="171"/>
      <c r="D382" s="178"/>
      <c r="E382" s="446"/>
      <c r="F382" s="178"/>
      <c r="G382" s="179"/>
      <c r="H382" s="755" t="s">
        <v>46</v>
      </c>
      <c r="I382" s="269">
        <v>0</v>
      </c>
      <c r="J382" s="269">
        <f ca="1">IFERROR(__xludf.DUMMYFUNCTION("IMPORTRANGE(""https://docs.google.com/spreadsheets/d/1XWAQStnk-4SwqDmLtmXYiTMKHgktTP8We1SCoS47DrQ/edit?usp=sharing"",""จัดที่ดิน!AM57"")"),0)</f>
        <v>0</v>
      </c>
      <c r="K382" s="496">
        <f t="shared" si="164"/>
        <v>0</v>
      </c>
      <c r="L382" s="163"/>
      <c r="M382" s="163"/>
      <c r="N382" s="163"/>
      <c r="O382" s="163"/>
      <c r="P382" s="163"/>
    </row>
    <row r="383" spans="1:26" ht="19.5">
      <c r="A383" s="255"/>
      <c r="B383" s="263"/>
      <c r="C383" s="256"/>
      <c r="D383" s="832" t="s">
        <v>170</v>
      </c>
      <c r="E383" s="256"/>
      <c r="F383" s="256"/>
      <c r="G383" s="258"/>
      <c r="H383" s="454"/>
      <c r="I383" s="260"/>
      <c r="J383" s="260"/>
      <c r="K383" s="261"/>
      <c r="L383" s="261"/>
      <c r="M383" s="261"/>
      <c r="N383" s="261"/>
      <c r="O383" s="261"/>
      <c r="P383" s="261"/>
    </row>
    <row r="384" spans="1:26" ht="19.5">
      <c r="A384" s="170"/>
      <c r="B384" s="171"/>
      <c r="C384" s="33" t="s">
        <v>16</v>
      </c>
      <c r="D384" s="823" t="s">
        <v>38</v>
      </c>
      <c r="E384" s="173"/>
      <c r="F384" s="173"/>
      <c r="G384" s="174"/>
      <c r="H384" s="753"/>
      <c r="I384" s="269"/>
      <c r="J384" s="269"/>
      <c r="K384" s="496"/>
      <c r="L384" s="163"/>
      <c r="M384" s="163"/>
      <c r="N384" s="163"/>
      <c r="O384" s="163"/>
      <c r="P384" s="163"/>
    </row>
    <row r="385" spans="1:26" ht="18.75">
      <c r="A385" s="377"/>
      <c r="B385" s="380"/>
      <c r="C385" s="378"/>
      <c r="D385" s="380"/>
      <c r="E385" s="497" t="s">
        <v>163</v>
      </c>
      <c r="F385" s="380"/>
      <c r="G385" s="381"/>
      <c r="H385" s="498" t="s">
        <v>35</v>
      </c>
      <c r="I385" s="499">
        <f ca="1">IFERROR(__xludf.DUMMYFUNCTION("IMPORTRANGE(""https://docs.google.com/spreadsheets/d/1QqKyyYR6Q21VydFLVH3TRQUabQu_ym0Zz7PgGX0-kHA/edit?usp=sharing"",""แผน!EW57"")"),7)</f>
        <v>7</v>
      </c>
      <c r="J385" s="499">
        <f ca="1">IFERROR(__xludf.DUMMYFUNCTION("IMPORTRANGE(""https://docs.google.com/spreadsheets/d/1XWAQStnk-4SwqDmLtmXYiTMKHgktTP8We1SCoS47DrQ/edit?usp=sharing"",""จัดที่ดิน!AP57"")"),0)</f>
        <v>0</v>
      </c>
      <c r="K385" s="500">
        <f ca="1">IF(I385&gt;0,J385*100/I385,0)</f>
        <v>0</v>
      </c>
      <c r="L385" s="384"/>
      <c r="M385" s="384"/>
      <c r="N385" s="384"/>
      <c r="O385" s="384"/>
      <c r="P385" s="384"/>
    </row>
    <row r="386" spans="1:26" ht="19.5">
      <c r="A386" s="501" t="s">
        <v>171</v>
      </c>
      <c r="B386" s="502"/>
      <c r="C386" s="502"/>
      <c r="D386" s="502"/>
      <c r="E386" s="503"/>
      <c r="F386" s="503"/>
      <c r="G386" s="504"/>
      <c r="H386" s="505"/>
      <c r="I386" s="506"/>
      <c r="J386" s="506"/>
      <c r="K386" s="507"/>
      <c r="L386" s="507"/>
      <c r="M386" s="507"/>
      <c r="N386" s="507"/>
      <c r="O386" s="507"/>
      <c r="P386" s="507"/>
    </row>
    <row r="387" spans="1:26" ht="19.5" hidden="1">
      <c r="A387" s="508" t="s">
        <v>172</v>
      </c>
      <c r="B387" s="509"/>
      <c r="C387" s="509"/>
      <c r="D387" s="510"/>
      <c r="E387" s="509"/>
      <c r="F387" s="509"/>
      <c r="G387" s="509"/>
      <c r="H387" s="511"/>
      <c r="I387" s="512"/>
      <c r="J387" s="512"/>
      <c r="K387" s="513"/>
      <c r="L387" s="513"/>
      <c r="M387" s="513"/>
      <c r="N387" s="513"/>
      <c r="O387" s="513"/>
      <c r="P387" s="513"/>
    </row>
    <row r="388" spans="1:26" ht="19.5" hidden="1">
      <c r="A388" s="514"/>
      <c r="B388" s="515" t="s">
        <v>173</v>
      </c>
      <c r="C388" s="516"/>
      <c r="D388" s="517"/>
      <c r="E388" s="517"/>
      <c r="F388" s="517"/>
      <c r="G388" s="518"/>
      <c r="H388" s="519" t="s">
        <v>69</v>
      </c>
      <c r="I388" s="520">
        <f t="shared" ref="I388:J388" si="165">I400</f>
        <v>0</v>
      </c>
      <c r="J388" s="520">
        <f t="shared" si="165"/>
        <v>0</v>
      </c>
      <c r="K388" s="521">
        <f>IF(I388&gt;0,J388*100/I388,0)</f>
        <v>0</v>
      </c>
      <c r="L388" s="522"/>
      <c r="M388" s="522"/>
      <c r="N388" s="522"/>
      <c r="O388" s="522"/>
      <c r="P388" s="522"/>
    </row>
    <row r="389" spans="1:26" ht="19.5" hidden="1">
      <c r="A389" s="147"/>
      <c r="B389" s="148"/>
      <c r="C389" s="149" t="s">
        <v>16</v>
      </c>
      <c r="D389" s="822" t="s">
        <v>17</v>
      </c>
      <c r="E389" s="148"/>
      <c r="F389" s="148"/>
      <c r="G389" s="151"/>
      <c r="H389" s="152" t="s">
        <v>12</v>
      </c>
      <c r="I389" s="419"/>
      <c r="J389" s="419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2" t="s">
        <v>18</v>
      </c>
      <c r="F390" s="40"/>
      <c r="G390" s="157"/>
      <c r="H390" s="158" t="s">
        <v>12</v>
      </c>
      <c r="I390" s="610"/>
      <c r="J390" s="610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2" t="s">
        <v>19</v>
      </c>
      <c r="F391" s="40"/>
      <c r="G391" s="157"/>
      <c r="H391" s="158" t="s">
        <v>12</v>
      </c>
      <c r="I391" s="610"/>
      <c r="J391" s="610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1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6">
        <f t="shared" ref="L392:N392" ca="1" si="170">L393+L394</f>
        <v>0</v>
      </c>
      <c r="M392" s="496">
        <f t="shared" ca="1" si="170"/>
        <v>0</v>
      </c>
      <c r="N392" s="496">
        <f t="shared" ca="1" si="170"/>
        <v>0</v>
      </c>
      <c r="O392" s="496">
        <f t="shared" ca="1" si="167"/>
        <v>0</v>
      </c>
      <c r="P392" s="496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2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2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IFERROR(__xludf.DUMMYFUNCTION("IMPORTRANGE(""https://docs.google.com/spreadsheets/d/1MeEWN-I1oV_STSDYn1IFDPWt_1FKiwhDph83XaGc0o0/edit?usp=sharing"",""งบพรบ!FG57"")"),0)</f>
        <v>0</v>
      </c>
      <c r="M394" s="93">
        <f ca="1">IFERROR(__xludf.DUMMYFUNCTION("IMPORTRANGE(""https://docs.google.com/spreadsheets/d/1MeEWN-I1oV_STSDYn1IFDPWt_1FKiwhDph83XaGc0o0/edit?usp=sharing"",""งบพรบ!FL57"")"),0)</f>
        <v>0</v>
      </c>
      <c r="N394" s="93">
        <f ca="1">IFERROR(__xludf.DUMMYFUNCTION("IMPORTRANGE(""https://docs.google.com/spreadsheets/d/1MeEWN-I1oV_STSDYn1IFDPWt_1FKiwhDph83XaGc0o0/edit?usp=sharing"",""งบพรบ!FN57"")"),0)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1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6">
        <f t="shared" ref="L395:N395" ca="1" si="171">L396+L397</f>
        <v>0</v>
      </c>
      <c r="M395" s="496">
        <f t="shared" ca="1" si="171"/>
        <v>0</v>
      </c>
      <c r="N395" s="496">
        <f t="shared" ca="1" si="171"/>
        <v>0</v>
      </c>
      <c r="O395" s="496">
        <f t="shared" ca="1" si="167"/>
        <v>0</v>
      </c>
      <c r="P395" s="496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2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2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IFERROR(__xludf.DUMMYFUNCTION("IMPORTRANGE(""https://docs.google.com/spreadsheets/d/1MeEWN-I1oV_STSDYn1IFDPWt_1FKiwhDph83XaGc0o0/edit?usp=sharing"",""งบพรบ!FJ57"")"),0)</f>
        <v>0</v>
      </c>
      <c r="M397" s="93">
        <f ca="1">IFERROR(__xludf.DUMMYFUNCTION("IMPORTRANGE(""https://docs.google.com/spreadsheets/d/1MeEWN-I1oV_STSDYn1IFDPWt_1FKiwhDph83XaGc0o0/edit?usp=sharing"",""งบพรบ!FM57"")"),0)</f>
        <v>0</v>
      </c>
      <c r="N397" s="93">
        <f ca="1">IFERROR(__xludf.DUMMYFUNCTION("IMPORTRANGE(""https://docs.google.com/spreadsheets/d/1MeEWN-I1oV_STSDYn1IFDPWt_1FKiwhDph83XaGc0o0/edit?usp=sharing"",""งบพรบ!FO57"")"),0)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23" t="s">
        <v>38</v>
      </c>
      <c r="E398" s="173"/>
      <c r="F398" s="173"/>
      <c r="G398" s="174"/>
      <c r="H398" s="753"/>
      <c r="I398" s="184"/>
      <c r="J398" s="269"/>
      <c r="K398" s="496"/>
      <c r="L398" s="496"/>
      <c r="M398" s="496"/>
      <c r="N398" s="496"/>
      <c r="O398" s="163"/>
      <c r="P398" s="163"/>
    </row>
    <row r="399" spans="1:26" ht="18.75" hidden="1">
      <c r="A399" s="523"/>
      <c r="B399" s="148"/>
      <c r="C399" s="524"/>
      <c r="D399" s="525" t="s">
        <v>174</v>
      </c>
      <c r="E399" s="414"/>
      <c r="F399" s="148"/>
      <c r="G399" s="151"/>
      <c r="H399" s="526" t="s">
        <v>9</v>
      </c>
      <c r="I399" s="269">
        <v>0</v>
      </c>
      <c r="J399" s="214">
        <v>0</v>
      </c>
      <c r="K399" s="496">
        <f t="shared" ref="K399:K401" si="172">IF(I399&gt;0,J399*100/I399,0)</f>
        <v>0</v>
      </c>
      <c r="L399" s="527"/>
      <c r="M399" s="527"/>
      <c r="N399" s="527"/>
      <c r="O399" s="527"/>
      <c r="P399" s="527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4"/>
      <c r="B400" s="33"/>
      <c r="C400" s="280"/>
      <c r="D400" s="446" t="s">
        <v>175</v>
      </c>
      <c r="E400" s="171"/>
      <c r="F400" s="33"/>
      <c r="G400" s="35"/>
      <c r="H400" s="276" t="s">
        <v>69</v>
      </c>
      <c r="I400" s="269">
        <v>0</v>
      </c>
      <c r="J400" s="214">
        <v>0</v>
      </c>
      <c r="K400" s="496">
        <f t="shared" si="172"/>
        <v>0</v>
      </c>
      <c r="L400" s="496"/>
      <c r="M400" s="496"/>
      <c r="N400" s="496"/>
      <c r="O400" s="496"/>
      <c r="P400" s="496"/>
    </row>
    <row r="401" spans="1:26" ht="19.5" hidden="1">
      <c r="A401" s="514"/>
      <c r="B401" s="515" t="s">
        <v>176</v>
      </c>
      <c r="C401" s="516"/>
      <c r="D401" s="517"/>
      <c r="E401" s="517"/>
      <c r="F401" s="517"/>
      <c r="G401" s="518"/>
      <c r="H401" s="519" t="s">
        <v>69</v>
      </c>
      <c r="I401" s="520">
        <f t="shared" ref="I401:J401" si="173">I412</f>
        <v>0</v>
      </c>
      <c r="J401" s="520">
        <f t="shared" si="173"/>
        <v>0</v>
      </c>
      <c r="K401" s="521">
        <f t="shared" si="172"/>
        <v>0</v>
      </c>
      <c r="L401" s="522"/>
      <c r="M401" s="522"/>
      <c r="N401" s="522"/>
      <c r="O401" s="522"/>
      <c r="P401" s="522"/>
    </row>
    <row r="402" spans="1:26" ht="19.5" hidden="1">
      <c r="A402" s="147"/>
      <c r="B402" s="148"/>
      <c r="C402" s="149" t="s">
        <v>16</v>
      </c>
      <c r="D402" s="822" t="s">
        <v>17</v>
      </c>
      <c r="E402" s="148"/>
      <c r="F402" s="148"/>
      <c r="G402" s="151"/>
      <c r="H402" s="152" t="s">
        <v>12</v>
      </c>
      <c r="I402" s="419"/>
      <c r="J402" s="419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2" t="s">
        <v>18</v>
      </c>
      <c r="F403" s="40"/>
      <c r="G403" s="157"/>
      <c r="H403" s="158" t="s">
        <v>12</v>
      </c>
      <c r="I403" s="610"/>
      <c r="J403" s="610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2" t="s">
        <v>19</v>
      </c>
      <c r="F404" s="40"/>
      <c r="G404" s="157"/>
      <c r="H404" s="158" t="s">
        <v>12</v>
      </c>
      <c r="I404" s="610"/>
      <c r="J404" s="610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1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6">
        <f t="shared" ref="L405:N405" ca="1" si="178">L406+L407</f>
        <v>0</v>
      </c>
      <c r="M405" s="496">
        <f t="shared" ca="1" si="178"/>
        <v>0</v>
      </c>
      <c r="N405" s="496">
        <f t="shared" ca="1" si="178"/>
        <v>0</v>
      </c>
      <c r="O405" s="496">
        <f t="shared" ca="1" si="175"/>
        <v>0</v>
      </c>
      <c r="P405" s="496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2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2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IFERROR(__xludf.DUMMYFUNCTION("IMPORTRANGE(""https://docs.google.com/spreadsheets/d/1MeEWN-I1oV_STSDYn1IFDPWt_1FKiwhDph83XaGc0o0/edit?usp=sharing"",""งบพรบ!FQ57"")"),0)</f>
        <v>0</v>
      </c>
      <c r="M407" s="93">
        <f ca="1">IFERROR(__xludf.DUMMYFUNCTION("IMPORTRANGE(""https://docs.google.com/spreadsheets/d/1MeEWN-I1oV_STSDYn1IFDPWt_1FKiwhDph83XaGc0o0/edit?usp=sharing"",""งบพรบ!FV57"")"),0)</f>
        <v>0</v>
      </c>
      <c r="N407" s="93">
        <f ca="1">IFERROR(__xludf.DUMMYFUNCTION("IMPORTRANGE(""https://docs.google.com/spreadsheets/d/1MeEWN-I1oV_STSDYn1IFDPWt_1FKiwhDph83XaGc0o0/edit?usp=sharing"",""งบพรบ!FX57"")"),0)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1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6">
        <f t="shared" ref="L408:N408" ca="1" si="179">L409+L410</f>
        <v>0</v>
      </c>
      <c r="M408" s="496">
        <f t="shared" ca="1" si="179"/>
        <v>0</v>
      </c>
      <c r="N408" s="496">
        <f t="shared" ca="1" si="179"/>
        <v>0</v>
      </c>
      <c r="O408" s="496">
        <f t="shared" ca="1" si="175"/>
        <v>0</v>
      </c>
      <c r="P408" s="496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2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2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IFERROR(__xludf.DUMMYFUNCTION("IMPORTRANGE(""https://docs.google.com/spreadsheets/d/1MeEWN-I1oV_STSDYn1IFDPWt_1FKiwhDph83XaGc0o0/edit?usp=sharing"",""งบพรบ!FT57"")"),0)</f>
        <v>0</v>
      </c>
      <c r="M410" s="93">
        <f ca="1">IFERROR(__xludf.DUMMYFUNCTION("IMPORTRANGE(""https://docs.google.com/spreadsheets/d/1MeEWN-I1oV_STSDYn1IFDPWt_1FKiwhDph83XaGc0o0/edit?usp=sharing"",""งบพรบ!FW57"")"),0)</f>
        <v>0</v>
      </c>
      <c r="N410" s="93">
        <f ca="1">IFERROR(__xludf.DUMMYFUNCTION("IMPORTRANGE(""https://docs.google.com/spreadsheets/d/1MeEWN-I1oV_STSDYn1IFDPWt_1FKiwhDph83XaGc0o0/edit?usp=sharing"",""งบพรบ!FY57"")"),0)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34" t="s">
        <v>38</v>
      </c>
      <c r="E411" s="529"/>
      <c r="F411" s="529"/>
      <c r="G411" s="530"/>
      <c r="H411" s="753"/>
      <c r="I411" s="269"/>
      <c r="J411" s="269"/>
      <c r="K411" s="496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6" t="s">
        <v>177</v>
      </c>
      <c r="E412" s="178"/>
      <c r="F412" s="178"/>
      <c r="G412" s="179"/>
      <c r="H412" s="531" t="s">
        <v>69</v>
      </c>
      <c r="I412" s="269">
        <v>0</v>
      </c>
      <c r="J412" s="214">
        <v>0</v>
      </c>
      <c r="K412" s="496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2"/>
      <c r="B413" s="533"/>
      <c r="C413" s="533"/>
      <c r="D413" s="534" t="s">
        <v>178</v>
      </c>
      <c r="E413" s="533"/>
      <c r="F413" s="533"/>
      <c r="G413" s="535"/>
      <c r="H413" s="536" t="s">
        <v>179</v>
      </c>
      <c r="I413" s="537">
        <v>0</v>
      </c>
      <c r="J413" s="538">
        <v>0</v>
      </c>
      <c r="K413" s="539">
        <f t="shared" si="180"/>
        <v>0</v>
      </c>
      <c r="L413" s="540"/>
      <c r="M413" s="540"/>
      <c r="N413" s="540"/>
      <c r="O413" s="540"/>
      <c r="P413" s="540"/>
    </row>
    <row r="414" spans="1:26" ht="19.5">
      <c r="A414" s="541" t="s">
        <v>180</v>
      </c>
      <c r="B414" s="542"/>
      <c r="C414" s="542"/>
      <c r="D414" s="542"/>
      <c r="E414" s="542"/>
      <c r="F414" s="542"/>
      <c r="G414" s="543"/>
      <c r="H414" s="544"/>
      <c r="I414" s="545"/>
      <c r="J414" s="545"/>
      <c r="K414" s="546"/>
      <c r="L414" s="547">
        <f t="shared" ref="L414:N414" ca="1" si="181">L419+L444+L467+L502+L523+L544+L629+L655+L685+L737+L754+L770+L786+L805</f>
        <v>637548</v>
      </c>
      <c r="M414" s="547">
        <f t="shared" si="181"/>
        <v>0</v>
      </c>
      <c r="N414" s="547">
        <f t="shared" si="181"/>
        <v>57510</v>
      </c>
      <c r="O414" s="547">
        <f ca="1">IF(L414&gt;0,N414*100/L414,0)</f>
        <v>9.0204972802047845</v>
      </c>
      <c r="P414" s="547">
        <f>IF(M414&gt;0,N414*100/M414,0)</f>
        <v>0</v>
      </c>
    </row>
    <row r="415" spans="1:26" ht="19.5">
      <c r="A415" s="548" t="s">
        <v>181</v>
      </c>
      <c r="B415" s="549"/>
      <c r="C415" s="549"/>
      <c r="D415" s="549"/>
      <c r="E415" s="549"/>
      <c r="F415" s="549"/>
      <c r="G415" s="549"/>
      <c r="H415" s="550"/>
      <c r="I415" s="551"/>
      <c r="J415" s="551"/>
      <c r="K415" s="552"/>
      <c r="L415" s="553"/>
      <c r="M415" s="553"/>
      <c r="N415" s="553"/>
      <c r="O415" s="553"/>
      <c r="P415" s="553"/>
    </row>
    <row r="416" spans="1:26" ht="19.5">
      <c r="A416" s="548" t="s">
        <v>182</v>
      </c>
      <c r="B416" s="549"/>
      <c r="C416" s="549"/>
      <c r="D416" s="549"/>
      <c r="E416" s="549"/>
      <c r="F416" s="549"/>
      <c r="G416" s="554"/>
      <c r="H416" s="555"/>
      <c r="I416" s="556"/>
      <c r="J416" s="556"/>
      <c r="K416" s="553"/>
      <c r="L416" s="553"/>
      <c r="M416" s="553"/>
      <c r="N416" s="553"/>
      <c r="O416" s="553"/>
      <c r="P416" s="553"/>
    </row>
    <row r="417" spans="1:26" ht="39">
      <c r="A417" s="557">
        <v>1</v>
      </c>
      <c r="B417" s="559" t="s">
        <v>183</v>
      </c>
      <c r="C417" s="559"/>
      <c r="D417" s="560"/>
      <c r="E417" s="560"/>
      <c r="F417" s="560"/>
      <c r="G417" s="561"/>
      <c r="H417" s="562" t="s">
        <v>35</v>
      </c>
      <c r="I417" s="563">
        <f t="shared" ref="I417:J418" ca="1" si="182">I433</f>
        <v>20</v>
      </c>
      <c r="J417" s="563">
        <f t="shared" ca="1" si="182"/>
        <v>0</v>
      </c>
      <c r="K417" s="564">
        <f t="shared" ref="K417:K418" ca="1" si="183">IF(I417&gt;0,J417*100/I417,0)</f>
        <v>0</v>
      </c>
      <c r="L417" s="565"/>
      <c r="M417" s="565"/>
      <c r="N417" s="565"/>
      <c r="O417" s="565"/>
      <c r="P417" s="565"/>
    </row>
    <row r="418" spans="1:26" ht="19.5">
      <c r="A418" s="566"/>
      <c r="B418" s="557"/>
      <c r="C418" s="559"/>
      <c r="D418" s="560"/>
      <c r="E418" s="560"/>
      <c r="F418" s="560"/>
      <c r="G418" s="561"/>
      <c r="H418" s="562" t="s">
        <v>49</v>
      </c>
      <c r="I418" s="563">
        <f t="shared" ca="1" si="182"/>
        <v>1</v>
      </c>
      <c r="J418" s="563">
        <f t="shared" si="182"/>
        <v>0</v>
      </c>
      <c r="K418" s="564">
        <f t="shared" ca="1" si="183"/>
        <v>0</v>
      </c>
      <c r="L418" s="565"/>
      <c r="M418" s="565"/>
      <c r="N418" s="565"/>
      <c r="O418" s="565"/>
      <c r="P418" s="565"/>
    </row>
    <row r="419" spans="1:26" ht="19.5">
      <c r="A419" s="147"/>
      <c r="B419" s="148"/>
      <c r="C419" s="148" t="s">
        <v>16</v>
      </c>
      <c r="D419" s="868" t="s">
        <v>17</v>
      </c>
      <c r="E419" s="862"/>
      <c r="F419" s="862"/>
      <c r="G419" s="151"/>
      <c r="H419" s="274" t="s">
        <v>12</v>
      </c>
      <c r="I419" s="419"/>
      <c r="J419" s="419"/>
      <c r="K419" s="154"/>
      <c r="L419" s="155">
        <f t="shared" ref="L419:N419" ca="1" si="184">L420+L421</f>
        <v>78660</v>
      </c>
      <c r="M419" s="155">
        <f t="shared" si="184"/>
        <v>0</v>
      </c>
      <c r="N419" s="155">
        <f t="shared" si="184"/>
        <v>57510</v>
      </c>
      <c r="O419" s="155">
        <f t="shared" ref="O419:O424" ca="1" si="185">IF(L419&gt;0,N419*100/L419,0)</f>
        <v>73.112128146453088</v>
      </c>
      <c r="P419" s="155">
        <f t="shared" ref="P419:P424" si="186">IF(M419&gt;0,N419*100/M419,0)</f>
        <v>0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2"/>
      <c r="E420" s="222" t="s">
        <v>184</v>
      </c>
      <c r="F420" s="40"/>
      <c r="G420" s="157"/>
      <c r="H420" s="165" t="s">
        <v>12</v>
      </c>
      <c r="I420" s="610"/>
      <c r="J420" s="610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2"/>
      <c r="E421" s="222" t="s">
        <v>185</v>
      </c>
      <c r="F421" s="40"/>
      <c r="G421" s="157"/>
      <c r="H421" s="165" t="s">
        <v>12</v>
      </c>
      <c r="I421" s="610"/>
      <c r="J421" s="610"/>
      <c r="K421" s="93"/>
      <c r="L421" s="93">
        <f t="shared" ca="1" si="187"/>
        <v>78660</v>
      </c>
      <c r="M421" s="93">
        <f t="shared" si="187"/>
        <v>0</v>
      </c>
      <c r="N421" s="93">
        <f t="shared" si="187"/>
        <v>57510</v>
      </c>
      <c r="O421" s="93">
        <f t="shared" ca="1" si="185"/>
        <v>73.112128146453088</v>
      </c>
      <c r="P421" s="93">
        <f t="shared" si="186"/>
        <v>0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0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6">
        <f t="shared" ref="L422:N422" ca="1" si="188">L423+L424</f>
        <v>78660</v>
      </c>
      <c r="M422" s="496">
        <f t="shared" si="188"/>
        <v>0</v>
      </c>
      <c r="N422" s="496">
        <f t="shared" si="188"/>
        <v>57510</v>
      </c>
      <c r="O422" s="496">
        <f t="shared" ca="1" si="185"/>
        <v>73.112128146453088</v>
      </c>
      <c r="P422" s="496">
        <f t="shared" si="186"/>
        <v>0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2"/>
      <c r="E423" s="222" t="s">
        <v>184</v>
      </c>
      <c r="F423" s="40"/>
      <c r="G423" s="157"/>
      <c r="H423" s="165" t="s">
        <v>12</v>
      </c>
      <c r="I423" s="610"/>
      <c r="J423" s="610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2"/>
      <c r="E424" s="222" t="s">
        <v>185</v>
      </c>
      <c r="F424" s="40"/>
      <c r="G424" s="157"/>
      <c r="H424" s="165" t="s">
        <v>12</v>
      </c>
      <c r="I424" s="610"/>
      <c r="J424" s="610"/>
      <c r="K424" s="93"/>
      <c r="L424" s="93">
        <f ca="1">IFERROR(__xludf.DUMMYFUNCTION("IMPORTRANGE(""https://docs.google.com/spreadsheets/d/1QqKyyYR6Q21VydFLVH3TRQUabQu_ym0Zz7PgGX0-kHA/edit?usp=sharing"",""แผน!EY57"")"),78660)</f>
        <v>78660</v>
      </c>
      <c r="M424" s="93">
        <v>0</v>
      </c>
      <c r="N424" s="93">
        <f>N425+N426+N427+N428</f>
        <v>57510</v>
      </c>
      <c r="O424" s="93">
        <f t="shared" ca="1" si="185"/>
        <v>73.112128146453088</v>
      </c>
      <c r="P424" s="93">
        <f t="shared" si="186"/>
        <v>0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67"/>
      <c r="B425" s="568"/>
      <c r="C425" s="754"/>
      <c r="D425" s="754"/>
      <c r="E425" s="754"/>
      <c r="F425" s="754" t="s">
        <v>186</v>
      </c>
      <c r="G425" s="189"/>
      <c r="H425" s="161" t="s">
        <v>12</v>
      </c>
      <c r="I425" s="269"/>
      <c r="J425" s="269"/>
      <c r="K425" s="496"/>
      <c r="L425" s="496"/>
      <c r="M425" s="496"/>
      <c r="N425" s="817">
        <v>48400</v>
      </c>
      <c r="O425" s="496"/>
      <c r="P425" s="496"/>
      <c r="Q425" s="571"/>
      <c r="R425" s="571"/>
      <c r="S425" s="571"/>
      <c r="T425" s="571"/>
      <c r="U425" s="571"/>
      <c r="V425" s="571"/>
      <c r="W425" s="571"/>
      <c r="X425" s="571"/>
      <c r="Y425" s="571"/>
      <c r="Z425" s="571"/>
    </row>
    <row r="426" spans="1:26" ht="18.75">
      <c r="A426" s="567"/>
      <c r="B426" s="568"/>
      <c r="C426" s="754"/>
      <c r="D426" s="754"/>
      <c r="E426" s="754"/>
      <c r="F426" s="754" t="s">
        <v>187</v>
      </c>
      <c r="G426" s="189"/>
      <c r="H426" s="161" t="s">
        <v>12</v>
      </c>
      <c r="I426" s="269"/>
      <c r="J426" s="269"/>
      <c r="K426" s="496"/>
      <c r="L426" s="496"/>
      <c r="M426" s="496"/>
      <c r="N426" s="817">
        <v>500</v>
      </c>
      <c r="O426" s="496"/>
      <c r="P426" s="496"/>
      <c r="Q426" s="571"/>
      <c r="R426" s="571"/>
      <c r="S426" s="571"/>
      <c r="T426" s="571"/>
      <c r="U426" s="571"/>
      <c r="V426" s="571"/>
      <c r="W426" s="571"/>
      <c r="X426" s="571"/>
      <c r="Y426" s="571"/>
      <c r="Z426" s="571"/>
    </row>
    <row r="427" spans="1:26" ht="18.75">
      <c r="A427" s="567"/>
      <c r="B427" s="568"/>
      <c r="C427" s="754"/>
      <c r="D427" s="754"/>
      <c r="E427" s="754"/>
      <c r="F427" s="754" t="s">
        <v>188</v>
      </c>
      <c r="G427" s="189"/>
      <c r="H427" s="161" t="s">
        <v>12</v>
      </c>
      <c r="I427" s="269"/>
      <c r="J427" s="269"/>
      <c r="K427" s="496"/>
      <c r="L427" s="496"/>
      <c r="M427" s="496"/>
      <c r="N427" s="817">
        <v>0</v>
      </c>
      <c r="O427" s="496"/>
      <c r="P427" s="496"/>
      <c r="Q427" s="571"/>
      <c r="R427" s="571"/>
      <c r="S427" s="571"/>
      <c r="T427" s="571"/>
      <c r="U427" s="571"/>
      <c r="V427" s="571"/>
      <c r="W427" s="571"/>
      <c r="X427" s="571"/>
      <c r="Y427" s="571"/>
      <c r="Z427" s="571"/>
    </row>
    <row r="428" spans="1:26" ht="18.75">
      <c r="A428" s="284"/>
      <c r="B428" s="280"/>
      <c r="C428" s="33"/>
      <c r="D428" s="33"/>
      <c r="E428" s="33"/>
      <c r="F428" s="281" t="s">
        <v>189</v>
      </c>
      <c r="G428" s="213"/>
      <c r="H428" s="161" t="s">
        <v>12</v>
      </c>
      <c r="I428" s="269"/>
      <c r="J428" s="269"/>
      <c r="K428" s="496"/>
      <c r="L428" s="496"/>
      <c r="M428" s="496"/>
      <c r="N428" s="817">
        <v>8610</v>
      </c>
      <c r="O428" s="496"/>
      <c r="P428" s="496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0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6">
        <f t="shared" ref="L429:N429" ca="1" si="189">L430+L431</f>
        <v>0</v>
      </c>
      <c r="M429" s="496">
        <f t="shared" si="189"/>
        <v>0</v>
      </c>
      <c r="N429" s="496">
        <f t="shared" si="189"/>
        <v>0</v>
      </c>
      <c r="O429" s="496">
        <f t="shared" ref="O429:O431" ca="1" si="190">IF(L429&gt;0,N429*100/L429,0)</f>
        <v>0</v>
      </c>
      <c r="P429" s="496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6"/>
      <c r="C430" s="40"/>
      <c r="D430" s="40"/>
      <c r="E430" s="222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6"/>
      <c r="C431" s="40"/>
      <c r="D431" s="40"/>
      <c r="E431" s="222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IFERROR(__xludf.DUMMYFUNCTION("IMPORTRANGE(""https://docs.google.com/spreadsheets/d/1QqKyyYR6Q21VydFLVH3TRQUabQu_ym0Zz7PgGX0-kHA/edit?usp=sharing"",""แผน!FB57"")"),0)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3"/>
      <c r="B432" s="414"/>
      <c r="C432" s="148" t="s">
        <v>16</v>
      </c>
      <c r="D432" s="835" t="s">
        <v>38</v>
      </c>
      <c r="E432" s="573"/>
      <c r="F432" s="573"/>
      <c r="G432" s="574"/>
      <c r="H432" s="575"/>
      <c r="I432" s="419"/>
      <c r="J432" s="419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190</v>
      </c>
      <c r="E433" s="178"/>
      <c r="F433" s="178"/>
      <c r="G433" s="179"/>
      <c r="H433" s="196" t="s">
        <v>35</v>
      </c>
      <c r="I433" s="674">
        <f ca="1">I435</f>
        <v>20</v>
      </c>
      <c r="J433" s="674">
        <f ca="1">IF(AND(J435=I435,J437=I437,J439=I439),I437+I439,IF(AND(J435=I437,J437=I437),I437,IF(AND(J435=I439,J439=I439),I439,0)))</f>
        <v>0</v>
      </c>
      <c r="K433" s="195">
        <f t="shared" ref="K433:K435" ca="1" si="192">IF(I433&gt;0,J433*100/I433,0)</f>
        <v>0</v>
      </c>
      <c r="L433" s="496"/>
      <c r="M433" s="496"/>
      <c r="N433" s="496"/>
      <c r="O433" s="496"/>
      <c r="P433" s="496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191</v>
      </c>
      <c r="E434" s="178"/>
      <c r="F434" s="178"/>
      <c r="G434" s="179"/>
      <c r="H434" s="196" t="s">
        <v>49</v>
      </c>
      <c r="I434" s="674">
        <f t="shared" ref="I434:J434" ca="1" si="193">I438+I440</f>
        <v>1</v>
      </c>
      <c r="J434" s="674">
        <f t="shared" si="193"/>
        <v>0</v>
      </c>
      <c r="K434" s="195">
        <f t="shared" ca="1" si="192"/>
        <v>0</v>
      </c>
      <c r="L434" s="496"/>
      <c r="M434" s="496"/>
      <c r="N434" s="496"/>
      <c r="O434" s="496"/>
      <c r="P434" s="496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6" t="s">
        <v>192</v>
      </c>
      <c r="E435" s="178"/>
      <c r="F435" s="178"/>
      <c r="G435" s="179"/>
      <c r="H435" s="616" t="s">
        <v>35</v>
      </c>
      <c r="I435" s="576">
        <f ca="1">IFERROR(__xludf.DUMMYFUNCTION("IMPORTRANGE(""https://docs.google.com/spreadsheets/d/1QqKyyYR6Q21VydFLVH3TRQUabQu_ym0Zz7PgGX0-kHA/edit?usp=sharing"",""แผน!FC57"")"),20)</f>
        <v>20</v>
      </c>
      <c r="J435" s="577">
        <v>0</v>
      </c>
      <c r="K435" s="496">
        <f t="shared" ca="1" si="192"/>
        <v>0</v>
      </c>
      <c r="L435" s="496"/>
      <c r="M435" s="496"/>
      <c r="N435" s="496"/>
      <c r="O435" s="496"/>
      <c r="P435" s="496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6" t="s">
        <v>193</v>
      </c>
      <c r="E436" s="178"/>
      <c r="F436" s="178"/>
      <c r="G436" s="179"/>
      <c r="H436" s="616"/>
      <c r="I436" s="269"/>
      <c r="J436" s="269"/>
      <c r="K436" s="496"/>
      <c r="L436" s="496"/>
      <c r="M436" s="496"/>
      <c r="N436" s="496"/>
      <c r="O436" s="496"/>
      <c r="P436" s="496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6" t="s">
        <v>194</v>
      </c>
      <c r="E437" s="178"/>
      <c r="F437" s="178"/>
      <c r="G437" s="179"/>
      <c r="H437" s="616" t="s">
        <v>35</v>
      </c>
      <c r="I437" s="576">
        <f ca="1">IFERROR(__xludf.DUMMYFUNCTION("IMPORTRANGE(""https://docs.google.com/spreadsheets/d/1QqKyyYR6Q21VydFLVH3TRQUabQu_ym0Zz7PgGX0-kHA/edit?usp=sharing"",""แผน!FD57"")"),0)</f>
        <v>0</v>
      </c>
      <c r="J437" s="577">
        <v>0</v>
      </c>
      <c r="K437" s="496">
        <f t="shared" ref="K437:K443" ca="1" si="194">IF(I437&gt;0,J437*100/I437,0)</f>
        <v>0</v>
      </c>
      <c r="L437" s="496"/>
      <c r="M437" s="496"/>
      <c r="N437" s="496"/>
      <c r="O437" s="496"/>
      <c r="P437" s="496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6" t="s">
        <v>195</v>
      </c>
      <c r="E438" s="178"/>
      <c r="F438" s="178"/>
      <c r="G438" s="179"/>
      <c r="H438" s="616" t="s">
        <v>49</v>
      </c>
      <c r="I438" s="269">
        <f ca="1">IFERROR(__xludf.DUMMYFUNCTION("IMPORTRANGE(""https://docs.google.com/spreadsheets/d/1QqKyyYR6Q21VydFLVH3TRQUabQu_ym0Zz7PgGX0-kHA/edit?usp=sharing"",""แผน!FE57"")"),0)</f>
        <v>0</v>
      </c>
      <c r="J438" s="214">
        <v>0</v>
      </c>
      <c r="K438" s="496">
        <f t="shared" ca="1" si="194"/>
        <v>0</v>
      </c>
      <c r="L438" s="496"/>
      <c r="M438" s="496"/>
      <c r="N438" s="496"/>
      <c r="O438" s="496"/>
      <c r="P438" s="496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6" t="s">
        <v>196</v>
      </c>
      <c r="E439" s="178"/>
      <c r="F439" s="178"/>
      <c r="G439" s="179"/>
      <c r="H439" s="616" t="s">
        <v>35</v>
      </c>
      <c r="I439" s="576">
        <f ca="1">IFERROR(__xludf.DUMMYFUNCTION("IMPORTRANGE(""https://docs.google.com/spreadsheets/d/1QqKyyYR6Q21VydFLVH3TRQUabQu_ym0Zz7PgGX0-kHA/edit?usp=sharing"",""แผน!FF57"")"),20)</f>
        <v>20</v>
      </c>
      <c r="J439" s="577">
        <v>0</v>
      </c>
      <c r="K439" s="496">
        <f t="shared" ca="1" si="194"/>
        <v>0</v>
      </c>
      <c r="L439" s="496"/>
      <c r="M439" s="496"/>
      <c r="N439" s="496"/>
      <c r="O439" s="496"/>
      <c r="P439" s="496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6" t="s">
        <v>197</v>
      </c>
      <c r="E440" s="178"/>
      <c r="F440" s="178"/>
      <c r="G440" s="179"/>
      <c r="H440" s="616" t="s">
        <v>49</v>
      </c>
      <c r="I440" s="269">
        <f ca="1">IFERROR(__xludf.DUMMYFUNCTION("IMPORTRANGE(""https://docs.google.com/spreadsheets/d/1QqKyyYR6Q21VydFLVH3TRQUabQu_ym0Zz7PgGX0-kHA/edit?usp=sharing"",""แผน!FG57"")"),1)</f>
        <v>1</v>
      </c>
      <c r="J440" s="214">
        <v>0</v>
      </c>
      <c r="K440" s="496">
        <f t="shared" ca="1" si="194"/>
        <v>0</v>
      </c>
      <c r="L440" s="496"/>
      <c r="M440" s="496"/>
      <c r="N440" s="496"/>
      <c r="O440" s="496"/>
      <c r="P440" s="496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>
      <c r="A441" s="170"/>
      <c r="B441" s="171"/>
      <c r="C441" s="171"/>
      <c r="D441" s="446" t="s">
        <v>198</v>
      </c>
      <c r="E441" s="178"/>
      <c r="F441" s="178"/>
      <c r="G441" s="179"/>
      <c r="H441" s="616" t="s">
        <v>35</v>
      </c>
      <c r="I441" s="269">
        <f ca="1">IFERROR(__xludf.DUMMYFUNCTION("IMPORTRANGE(""https://docs.google.com/spreadsheets/d/1QqKyyYR6Q21VydFLVH3TRQUabQu_ym0Zz7PgGX0-kHA/edit?usp=sharing"",""แผน!FH57"")"),0)</f>
        <v>0</v>
      </c>
      <c r="J441" s="269">
        <v>0</v>
      </c>
      <c r="K441" s="496">
        <f t="shared" ca="1" si="194"/>
        <v>0</v>
      </c>
      <c r="L441" s="496"/>
      <c r="M441" s="496"/>
      <c r="N441" s="496"/>
      <c r="O441" s="496"/>
      <c r="P441" s="496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 hidden="1">
      <c r="A442" s="578">
        <v>2</v>
      </c>
      <c r="B442" s="579" t="s">
        <v>199</v>
      </c>
      <c r="C442" s="580"/>
      <c r="D442" s="580"/>
      <c r="E442" s="580"/>
      <c r="F442" s="580"/>
      <c r="G442" s="581"/>
      <c r="H442" s="582" t="s">
        <v>35</v>
      </c>
      <c r="I442" s="583">
        <f t="shared" ref="I442:J442" ca="1" si="195">I460</f>
        <v>0</v>
      </c>
      <c r="J442" s="583">
        <f t="shared" si="195"/>
        <v>0</v>
      </c>
      <c r="K442" s="584">
        <f t="shared" ca="1" si="194"/>
        <v>0</v>
      </c>
      <c r="L442" s="585"/>
      <c r="M442" s="585"/>
      <c r="N442" s="585"/>
      <c r="O442" s="585"/>
      <c r="P442" s="585"/>
      <c r="Q442" s="571"/>
      <c r="R442" s="571"/>
      <c r="S442" s="571"/>
      <c r="T442" s="571"/>
      <c r="U442" s="571"/>
      <c r="V442" s="571"/>
      <c r="W442" s="571"/>
      <c r="X442" s="571"/>
      <c r="Y442" s="571"/>
      <c r="Z442" s="571"/>
    </row>
    <row r="443" spans="1:26" ht="19.5" hidden="1">
      <c r="A443" s="586"/>
      <c r="B443" s="587"/>
      <c r="C443" s="588"/>
      <c r="D443" s="588"/>
      <c r="E443" s="588"/>
      <c r="F443" s="588"/>
      <c r="G443" s="589"/>
      <c r="H443" s="562" t="s">
        <v>46</v>
      </c>
      <c r="I443" s="563">
        <f t="shared" ref="I443:J443" ca="1" si="196">I462</f>
        <v>0</v>
      </c>
      <c r="J443" s="563">
        <f t="shared" si="196"/>
        <v>0</v>
      </c>
      <c r="K443" s="564">
        <f t="shared" ca="1" si="194"/>
        <v>0</v>
      </c>
      <c r="L443" s="565"/>
      <c r="M443" s="565"/>
      <c r="N443" s="565"/>
      <c r="O443" s="565"/>
      <c r="P443" s="565"/>
      <c r="Q443" s="571"/>
      <c r="R443" s="571"/>
      <c r="S443" s="571"/>
      <c r="T443" s="571"/>
      <c r="U443" s="571"/>
      <c r="V443" s="571"/>
      <c r="W443" s="571"/>
      <c r="X443" s="571"/>
      <c r="Y443" s="571"/>
      <c r="Z443" s="571"/>
    </row>
    <row r="444" spans="1:26" ht="19.5" hidden="1">
      <c r="A444" s="590"/>
      <c r="B444" s="754"/>
      <c r="C444" s="754" t="s">
        <v>16</v>
      </c>
      <c r="D444" s="863" t="s">
        <v>17</v>
      </c>
      <c r="E444" s="857"/>
      <c r="F444" s="857"/>
      <c r="G444" s="189"/>
      <c r="H444" s="591" t="s">
        <v>12</v>
      </c>
      <c r="I444" s="269"/>
      <c r="J444" s="269"/>
      <c r="K444" s="496"/>
      <c r="L444" s="195">
        <f t="shared" ref="L444:N444" ca="1" si="197">L445+L446</f>
        <v>0</v>
      </c>
      <c r="M444" s="195">
        <f t="shared" si="197"/>
        <v>0</v>
      </c>
      <c r="N444" s="195">
        <f t="shared" si="197"/>
        <v>0</v>
      </c>
      <c r="O444" s="195">
        <f t="shared" ref="O444:O449" ca="1" si="198">IF(L444&gt;0,N444*100/L444,0)</f>
        <v>0</v>
      </c>
      <c r="P444" s="195">
        <f t="shared" ref="P444:P449" si="199">IF(M444&gt;0,N444*100/M444,0)</f>
        <v>0</v>
      </c>
      <c r="Q444" s="571"/>
      <c r="R444" s="571"/>
      <c r="S444" s="571"/>
      <c r="T444" s="571"/>
      <c r="U444" s="571"/>
      <c r="V444" s="571"/>
      <c r="W444" s="571"/>
      <c r="X444" s="571"/>
      <c r="Y444" s="571"/>
      <c r="Z444" s="571"/>
    </row>
    <row r="445" spans="1:26" ht="18.75" hidden="1">
      <c r="A445" s="592"/>
      <c r="B445" s="750"/>
      <c r="C445" s="750"/>
      <c r="D445" s="711"/>
      <c r="E445" s="750" t="s">
        <v>184</v>
      </c>
      <c r="F445" s="750"/>
      <c r="G445" s="596"/>
      <c r="H445" s="165" t="s">
        <v>12</v>
      </c>
      <c r="I445" s="610"/>
      <c r="J445" s="610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597"/>
      <c r="R445" s="597"/>
      <c r="S445" s="597"/>
      <c r="T445" s="597"/>
      <c r="U445" s="597"/>
      <c r="V445" s="597"/>
      <c r="W445" s="597"/>
      <c r="X445" s="597"/>
      <c r="Y445" s="597"/>
      <c r="Z445" s="597"/>
    </row>
    <row r="446" spans="1:26" ht="18.75" hidden="1">
      <c r="A446" s="592"/>
      <c r="B446" s="600"/>
      <c r="C446" s="750"/>
      <c r="D446" s="711"/>
      <c r="E446" s="750" t="s">
        <v>185</v>
      </c>
      <c r="F446" s="750"/>
      <c r="G446" s="596"/>
      <c r="H446" s="165" t="s">
        <v>12</v>
      </c>
      <c r="I446" s="610"/>
      <c r="J446" s="610"/>
      <c r="K446" s="93"/>
      <c r="L446" s="93">
        <f t="shared" ca="1" si="200"/>
        <v>0</v>
      </c>
      <c r="M446" s="93">
        <f t="shared" si="200"/>
        <v>0</v>
      </c>
      <c r="N446" s="93">
        <f t="shared" si="200"/>
        <v>0</v>
      </c>
      <c r="O446" s="93">
        <f t="shared" ca="1" si="198"/>
        <v>0</v>
      </c>
      <c r="P446" s="93">
        <f t="shared" si="199"/>
        <v>0</v>
      </c>
      <c r="Q446" s="597"/>
      <c r="R446" s="597"/>
      <c r="S446" s="597"/>
      <c r="T446" s="597"/>
      <c r="U446" s="597"/>
      <c r="V446" s="597"/>
      <c r="W446" s="597"/>
      <c r="X446" s="597"/>
      <c r="Y446" s="597"/>
      <c r="Z446" s="597"/>
    </row>
    <row r="447" spans="1:26" ht="18.75" hidden="1">
      <c r="A447" s="590"/>
      <c r="B447" s="568"/>
      <c r="C447" s="754"/>
      <c r="D447" s="599" t="s">
        <v>20</v>
      </c>
      <c r="E447" s="754"/>
      <c r="F447" s="754"/>
      <c r="G447" s="189"/>
      <c r="H447" s="161" t="s">
        <v>12</v>
      </c>
      <c r="I447" s="184"/>
      <c r="J447" s="184"/>
      <c r="K447" s="163"/>
      <c r="L447" s="496">
        <f t="shared" ref="L447:N447" ca="1" si="201">L448+L449</f>
        <v>0</v>
      </c>
      <c r="M447" s="496">
        <f t="shared" si="201"/>
        <v>0</v>
      </c>
      <c r="N447" s="496">
        <f t="shared" si="201"/>
        <v>0</v>
      </c>
      <c r="O447" s="496">
        <f t="shared" ca="1" si="198"/>
        <v>0</v>
      </c>
      <c r="P447" s="496">
        <f t="shared" si="199"/>
        <v>0</v>
      </c>
      <c r="Q447" s="571"/>
      <c r="R447" s="571"/>
      <c r="S447" s="571"/>
      <c r="T447" s="571"/>
      <c r="U447" s="571"/>
      <c r="V447" s="571"/>
      <c r="W447" s="571"/>
      <c r="X447" s="571"/>
      <c r="Y447" s="571"/>
      <c r="Z447" s="571"/>
    </row>
    <row r="448" spans="1:26" ht="18.75" hidden="1">
      <c r="A448" s="592"/>
      <c r="B448" s="600"/>
      <c r="C448" s="750"/>
      <c r="D448" s="711"/>
      <c r="E448" s="750" t="s">
        <v>184</v>
      </c>
      <c r="F448" s="750"/>
      <c r="G448" s="596"/>
      <c r="H448" s="165" t="s">
        <v>12</v>
      </c>
      <c r="I448" s="610"/>
      <c r="J448" s="610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597"/>
      <c r="R448" s="597"/>
      <c r="S448" s="597"/>
      <c r="T448" s="597"/>
      <c r="U448" s="597"/>
      <c r="V448" s="597"/>
      <c r="W448" s="597"/>
      <c r="X448" s="597"/>
      <c r="Y448" s="597"/>
      <c r="Z448" s="597"/>
    </row>
    <row r="449" spans="1:26" ht="18.75" hidden="1">
      <c r="A449" s="592"/>
      <c r="B449" s="600"/>
      <c r="C449" s="750"/>
      <c r="D449" s="711"/>
      <c r="E449" s="750" t="s">
        <v>185</v>
      </c>
      <c r="F449" s="750"/>
      <c r="G449" s="596"/>
      <c r="H449" s="165" t="s">
        <v>12</v>
      </c>
      <c r="I449" s="610"/>
      <c r="J449" s="610"/>
      <c r="K449" s="93"/>
      <c r="L449" s="93">
        <f ca="1">IFERROR(__xludf.DUMMYFUNCTION("IMPORTRANGE(""https://docs.google.com/spreadsheets/d/1QqKyyYR6Q21VydFLVH3TRQUabQu_ym0Zz7PgGX0-kHA/edit?usp=sharing"",""แผน!FJ57"")"),0)</f>
        <v>0</v>
      </c>
      <c r="M449" s="93">
        <v>0</v>
      </c>
      <c r="N449" s="93">
        <f>N450+N451+N452+N453</f>
        <v>0</v>
      </c>
      <c r="O449" s="93">
        <f t="shared" ca="1" si="198"/>
        <v>0</v>
      </c>
      <c r="P449" s="93">
        <f t="shared" si="199"/>
        <v>0</v>
      </c>
      <c r="Q449" s="597"/>
      <c r="R449" s="597"/>
      <c r="S449" s="597"/>
      <c r="T449" s="597"/>
      <c r="U449" s="597"/>
      <c r="V449" s="597"/>
      <c r="W449" s="597"/>
      <c r="X449" s="597"/>
      <c r="Y449" s="597"/>
      <c r="Z449" s="597"/>
    </row>
    <row r="450" spans="1:26" ht="18.75" hidden="1">
      <c r="A450" s="567"/>
      <c r="B450" s="568"/>
      <c r="C450" s="754"/>
      <c r="D450" s="754"/>
      <c r="E450" s="754"/>
      <c r="F450" s="754" t="s">
        <v>186</v>
      </c>
      <c r="G450" s="189"/>
      <c r="H450" s="161" t="s">
        <v>12</v>
      </c>
      <c r="I450" s="269"/>
      <c r="J450" s="269"/>
      <c r="K450" s="496"/>
      <c r="L450" s="496"/>
      <c r="M450" s="496"/>
      <c r="N450" s="817">
        <v>0</v>
      </c>
      <c r="O450" s="496"/>
      <c r="P450" s="496"/>
      <c r="Q450" s="571"/>
      <c r="R450" s="571"/>
      <c r="S450" s="571"/>
      <c r="T450" s="571"/>
      <c r="U450" s="571"/>
      <c r="V450" s="571"/>
      <c r="W450" s="571"/>
      <c r="X450" s="571"/>
      <c r="Y450" s="571"/>
      <c r="Z450" s="571"/>
    </row>
    <row r="451" spans="1:26" ht="18.75" hidden="1">
      <c r="A451" s="567"/>
      <c r="B451" s="568"/>
      <c r="C451" s="754"/>
      <c r="D451" s="754"/>
      <c r="E451" s="754"/>
      <c r="F451" s="754" t="s">
        <v>187</v>
      </c>
      <c r="G451" s="189"/>
      <c r="H451" s="161" t="s">
        <v>12</v>
      </c>
      <c r="I451" s="269"/>
      <c r="J451" s="269"/>
      <c r="K451" s="496"/>
      <c r="L451" s="496"/>
      <c r="M451" s="496"/>
      <c r="N451" s="817">
        <v>0</v>
      </c>
      <c r="O451" s="496"/>
      <c r="P451" s="496"/>
      <c r="Q451" s="571"/>
      <c r="R451" s="571"/>
      <c r="S451" s="571"/>
      <c r="T451" s="571"/>
      <c r="U451" s="571"/>
      <c r="V451" s="571"/>
      <c r="W451" s="571"/>
      <c r="X451" s="571"/>
      <c r="Y451" s="571"/>
      <c r="Z451" s="571"/>
    </row>
    <row r="452" spans="1:26" ht="18.75" hidden="1">
      <c r="A452" s="567"/>
      <c r="B452" s="568"/>
      <c r="C452" s="568"/>
      <c r="D452" s="568"/>
      <c r="E452" s="568"/>
      <c r="F452" s="754" t="s">
        <v>188</v>
      </c>
      <c r="G452" s="189"/>
      <c r="H452" s="161" t="s">
        <v>12</v>
      </c>
      <c r="I452" s="269"/>
      <c r="J452" s="269"/>
      <c r="K452" s="496"/>
      <c r="L452" s="496"/>
      <c r="M452" s="496"/>
      <c r="N452" s="817">
        <v>0</v>
      </c>
      <c r="O452" s="496"/>
      <c r="P452" s="496"/>
      <c r="Q452" s="571"/>
      <c r="R452" s="571"/>
      <c r="S452" s="571"/>
      <c r="T452" s="571"/>
      <c r="U452" s="571"/>
      <c r="V452" s="571"/>
      <c r="W452" s="571"/>
      <c r="X452" s="571"/>
      <c r="Y452" s="571"/>
      <c r="Z452" s="571"/>
    </row>
    <row r="453" spans="1:26" ht="18.75" hidden="1">
      <c r="A453" s="567"/>
      <c r="B453" s="568"/>
      <c r="C453" s="568"/>
      <c r="D453" s="568"/>
      <c r="E453" s="568"/>
      <c r="F453" s="754" t="s">
        <v>189</v>
      </c>
      <c r="G453" s="189"/>
      <c r="H453" s="161" t="s">
        <v>12</v>
      </c>
      <c r="I453" s="269"/>
      <c r="J453" s="269"/>
      <c r="K453" s="496"/>
      <c r="L453" s="496"/>
      <c r="M453" s="496"/>
      <c r="N453" s="817">
        <v>0</v>
      </c>
      <c r="O453" s="496"/>
      <c r="P453" s="496"/>
      <c r="Q453" s="571"/>
      <c r="R453" s="571"/>
      <c r="S453" s="571"/>
      <c r="T453" s="571"/>
      <c r="U453" s="571"/>
      <c r="V453" s="571"/>
      <c r="W453" s="571"/>
      <c r="X453" s="571"/>
      <c r="Y453" s="571"/>
      <c r="Z453" s="571"/>
    </row>
    <row r="454" spans="1:26" ht="18.75" hidden="1">
      <c r="A454" s="590"/>
      <c r="B454" s="568"/>
      <c r="C454" s="568"/>
      <c r="D454" s="599" t="s">
        <v>21</v>
      </c>
      <c r="E454" s="568"/>
      <c r="F454" s="754"/>
      <c r="G454" s="189"/>
      <c r="H454" s="168" t="s">
        <v>12</v>
      </c>
      <c r="I454" s="184"/>
      <c r="J454" s="184"/>
      <c r="K454" s="163"/>
      <c r="L454" s="496">
        <f t="shared" ref="L454:N454" ca="1" si="202">L455+L456</f>
        <v>0</v>
      </c>
      <c r="M454" s="496">
        <f t="shared" si="202"/>
        <v>0</v>
      </c>
      <c r="N454" s="496">
        <f t="shared" si="202"/>
        <v>0</v>
      </c>
      <c r="O454" s="496">
        <f t="shared" ref="O454:O456" ca="1" si="203">IF(L454&gt;0,N454*100/L454,0)</f>
        <v>0</v>
      </c>
      <c r="P454" s="496">
        <f t="shared" ref="P454:P456" si="204">IF(M454&gt;0,N454*100/M454,0)</f>
        <v>0</v>
      </c>
      <c r="Q454" s="571"/>
      <c r="R454" s="571"/>
      <c r="S454" s="571"/>
      <c r="T454" s="571"/>
      <c r="U454" s="571"/>
      <c r="V454" s="571"/>
      <c r="W454" s="571"/>
      <c r="X454" s="571"/>
      <c r="Y454" s="571"/>
      <c r="Z454" s="571"/>
    </row>
    <row r="455" spans="1:26" ht="18.75" hidden="1">
      <c r="A455" s="592"/>
      <c r="B455" s="600"/>
      <c r="C455" s="600"/>
      <c r="D455" s="600"/>
      <c r="E455" s="600" t="s">
        <v>18</v>
      </c>
      <c r="F455" s="750"/>
      <c r="G455" s="596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597"/>
      <c r="R455" s="597"/>
      <c r="S455" s="597"/>
      <c r="T455" s="597"/>
      <c r="U455" s="597"/>
      <c r="V455" s="597"/>
      <c r="W455" s="597"/>
      <c r="X455" s="597"/>
      <c r="Y455" s="597"/>
      <c r="Z455" s="597"/>
    </row>
    <row r="456" spans="1:26" ht="18.75" hidden="1">
      <c r="A456" s="592"/>
      <c r="B456" s="600"/>
      <c r="C456" s="600"/>
      <c r="D456" s="600"/>
      <c r="E456" s="600" t="s">
        <v>19</v>
      </c>
      <c r="F456" s="750"/>
      <c r="G456" s="596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IFERROR(__xludf.DUMMYFUNCTION("IMPORTRANGE(""https://docs.google.com/spreadsheets/d/1QqKyyYR6Q21VydFLVH3TRQUabQu_ym0Zz7PgGX0-kHA/edit?usp=sharing"",""แผน!FM57"")"),0)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597"/>
      <c r="R456" s="597"/>
      <c r="S456" s="597"/>
      <c r="T456" s="597"/>
      <c r="U456" s="597"/>
      <c r="V456" s="597"/>
      <c r="W456" s="597"/>
      <c r="X456" s="597"/>
      <c r="Y456" s="597"/>
      <c r="Z456" s="597"/>
    </row>
    <row r="457" spans="1:26" ht="19.5" hidden="1">
      <c r="A457" s="601"/>
      <c r="B457" s="611"/>
      <c r="C457" s="568" t="s">
        <v>16</v>
      </c>
      <c r="D457" s="836" t="s">
        <v>38</v>
      </c>
      <c r="E457" s="604"/>
      <c r="F457" s="752"/>
      <c r="G457" s="606"/>
      <c r="H457" s="753"/>
      <c r="I457" s="269"/>
      <c r="J457" s="269"/>
      <c r="K457" s="496"/>
      <c r="L457" s="496"/>
      <c r="M457" s="496"/>
      <c r="N457" s="496"/>
      <c r="O457" s="496"/>
      <c r="P457" s="496"/>
      <c r="Q457" s="571"/>
      <c r="R457" s="571"/>
      <c r="S457" s="571"/>
      <c r="T457" s="571"/>
      <c r="U457" s="571"/>
      <c r="V457" s="571"/>
      <c r="W457" s="571"/>
      <c r="X457" s="571"/>
      <c r="Y457" s="571"/>
      <c r="Z457" s="571"/>
    </row>
    <row r="458" spans="1:26" ht="18.75" hidden="1">
      <c r="A458" s="607"/>
      <c r="B458" s="609"/>
      <c r="C458" s="609"/>
      <c r="D458" s="609" t="s">
        <v>200</v>
      </c>
      <c r="E458" s="609"/>
      <c r="F458" s="711"/>
      <c r="G458" s="365"/>
      <c r="H458" s="369" t="s">
        <v>35</v>
      </c>
      <c r="I458" s="610">
        <v>0</v>
      </c>
      <c r="J458" s="610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597"/>
      <c r="R458" s="597"/>
      <c r="S458" s="597"/>
      <c r="T458" s="597"/>
      <c r="U458" s="597"/>
      <c r="V458" s="597"/>
      <c r="W458" s="597"/>
      <c r="X458" s="597"/>
      <c r="Y458" s="597"/>
      <c r="Z458" s="597"/>
    </row>
    <row r="459" spans="1:26" ht="18.75" hidden="1">
      <c r="A459" s="607"/>
      <c r="B459" s="609"/>
      <c r="C459" s="609"/>
      <c r="D459" s="609" t="s">
        <v>201</v>
      </c>
      <c r="E459" s="609"/>
      <c r="F459" s="711"/>
      <c r="G459" s="365"/>
      <c r="H459" s="369"/>
      <c r="I459" s="610"/>
      <c r="J459" s="610"/>
      <c r="K459" s="93"/>
      <c r="L459" s="93"/>
      <c r="M459" s="93"/>
      <c r="N459" s="93"/>
      <c r="O459" s="93"/>
      <c r="P459" s="93"/>
      <c r="Q459" s="597"/>
      <c r="R459" s="597"/>
      <c r="S459" s="597"/>
      <c r="T459" s="597"/>
      <c r="U459" s="597"/>
      <c r="V459" s="597"/>
      <c r="W459" s="597"/>
      <c r="X459" s="597"/>
      <c r="Y459" s="597"/>
      <c r="Z459" s="597"/>
    </row>
    <row r="460" spans="1:26" ht="18.75" hidden="1">
      <c r="A460" s="601"/>
      <c r="B460" s="611"/>
      <c r="C460" s="611"/>
      <c r="D460" s="611" t="s">
        <v>202</v>
      </c>
      <c r="E460" s="611"/>
      <c r="F460" s="619"/>
      <c r="G460" s="753"/>
      <c r="H460" s="755" t="s">
        <v>35</v>
      </c>
      <c r="I460" s="269">
        <f ca="1">IFERROR(__xludf.DUMMYFUNCTION("IMPORTRANGE(""https://docs.google.com/spreadsheets/d/1QqKyyYR6Q21VydFLVH3TRQUabQu_ym0Zz7PgGX0-kHA/edit?usp=sharing"",""แผน!FN57"")"),0)</f>
        <v>0</v>
      </c>
      <c r="J460" s="214">
        <v>0</v>
      </c>
      <c r="K460" s="496">
        <f ca="1">IF(I460&gt;0,J460*100/I460,0)</f>
        <v>0</v>
      </c>
      <c r="L460" s="496"/>
      <c r="M460" s="496"/>
      <c r="N460" s="496"/>
      <c r="O460" s="496"/>
      <c r="P460" s="496"/>
      <c r="Q460" s="571"/>
      <c r="R460" s="571"/>
      <c r="S460" s="571"/>
      <c r="T460" s="571"/>
      <c r="U460" s="571"/>
      <c r="V460" s="571"/>
      <c r="W460" s="571"/>
      <c r="X460" s="571"/>
      <c r="Y460" s="571"/>
      <c r="Z460" s="571"/>
    </row>
    <row r="461" spans="1:26" ht="18.75" hidden="1">
      <c r="A461" s="601"/>
      <c r="B461" s="611"/>
      <c r="C461" s="611"/>
      <c r="D461" s="611" t="s">
        <v>203</v>
      </c>
      <c r="E461" s="619"/>
      <c r="F461" s="619"/>
      <c r="G461" s="753"/>
      <c r="H461" s="755"/>
      <c r="I461" s="269"/>
      <c r="J461" s="269"/>
      <c r="K461" s="496"/>
      <c r="L461" s="496"/>
      <c r="M461" s="496"/>
      <c r="N461" s="496"/>
      <c r="O461" s="496"/>
      <c r="P461" s="496"/>
      <c r="Q461" s="571"/>
      <c r="R461" s="571"/>
      <c r="S461" s="571"/>
      <c r="T461" s="571"/>
      <c r="U461" s="571"/>
      <c r="V461" s="571"/>
      <c r="W461" s="571"/>
      <c r="X461" s="571"/>
      <c r="Y461" s="571"/>
      <c r="Z461" s="571"/>
    </row>
    <row r="462" spans="1:26" ht="18.75" hidden="1">
      <c r="A462" s="601"/>
      <c r="B462" s="611"/>
      <c r="C462" s="611"/>
      <c r="D462" s="611" t="s">
        <v>204</v>
      </c>
      <c r="E462" s="619"/>
      <c r="F462" s="619"/>
      <c r="G462" s="753"/>
      <c r="H462" s="755" t="s">
        <v>46</v>
      </c>
      <c r="I462" s="269">
        <f ca="1">IFERROR(__xludf.DUMMYFUNCTION("IMPORTRANGE(""https://docs.google.com/spreadsheets/d/1QqKyyYR6Q21VydFLVH3TRQUabQu_ym0Zz7PgGX0-kHA/edit?usp=sharing"",""แผน!FO57"")"),0)</f>
        <v>0</v>
      </c>
      <c r="J462" s="214">
        <v>0</v>
      </c>
      <c r="K462" s="496">
        <f ca="1">IF(I462&gt;0,J462*100/I462,0)</f>
        <v>0</v>
      </c>
      <c r="L462" s="496"/>
      <c r="M462" s="496"/>
      <c r="N462" s="496"/>
      <c r="O462" s="496"/>
      <c r="P462" s="496"/>
      <c r="Q462" s="571"/>
      <c r="R462" s="571"/>
      <c r="S462" s="571"/>
      <c r="T462" s="571"/>
      <c r="U462" s="571"/>
      <c r="V462" s="571"/>
      <c r="W462" s="571"/>
      <c r="X462" s="571"/>
      <c r="Y462" s="571"/>
      <c r="Z462" s="571"/>
    </row>
    <row r="463" spans="1:26" ht="18.75" hidden="1">
      <c r="A463" s="601"/>
      <c r="B463" s="611"/>
      <c r="C463" s="611"/>
      <c r="D463" s="611" t="s">
        <v>59</v>
      </c>
      <c r="E463" s="619"/>
      <c r="F463" s="754"/>
      <c r="G463" s="189"/>
      <c r="H463" s="755" t="s">
        <v>46</v>
      </c>
      <c r="I463" s="269">
        <f ca="1">IFERROR(__xludf.DUMMYFUNCTION("IMPORTRANGE(""https://docs.google.com/spreadsheets/d/1QqKyyYR6Q21VydFLVH3TRQUabQu_ym0Zz7PgGX0-kHA/edit?usp=sharing"",""แผน!FO57"")"),0)</f>
        <v>0</v>
      </c>
      <c r="J463" s="214">
        <v>0</v>
      </c>
      <c r="K463" s="496"/>
      <c r="L463" s="496"/>
      <c r="M463" s="496"/>
      <c r="N463" s="496"/>
      <c r="O463" s="496"/>
      <c r="P463" s="496"/>
      <c r="Q463" s="571"/>
      <c r="R463" s="571"/>
      <c r="S463" s="571"/>
      <c r="T463" s="571"/>
      <c r="U463" s="571"/>
      <c r="V463" s="571"/>
      <c r="W463" s="571"/>
      <c r="X463" s="571"/>
      <c r="Y463" s="571"/>
      <c r="Z463" s="571"/>
    </row>
    <row r="464" spans="1:26" ht="19.5" hidden="1">
      <c r="A464" s="601"/>
      <c r="B464" s="611"/>
      <c r="C464" s="611"/>
      <c r="D464" s="611"/>
      <c r="E464" s="619"/>
      <c r="F464" s="619"/>
      <c r="G464" s="613"/>
      <c r="H464" s="755" t="s">
        <v>35</v>
      </c>
      <c r="I464" s="269">
        <f ca="1">IFERROR(__xludf.DUMMYFUNCTION("IMPORTRANGE(""https://docs.google.com/spreadsheets/d/1QqKyyYR6Q21VydFLVH3TRQUabQu_ym0Zz7PgGX0-kHA/edit?usp=sharing"",""แผน!FN57"")"),0)</f>
        <v>0</v>
      </c>
      <c r="J464" s="214">
        <v>0</v>
      </c>
      <c r="K464" s="496"/>
      <c r="L464" s="496"/>
      <c r="M464" s="496"/>
      <c r="N464" s="496"/>
      <c r="O464" s="496"/>
      <c r="P464" s="496"/>
      <c r="Q464" s="571"/>
      <c r="R464" s="571"/>
      <c r="S464" s="571"/>
      <c r="T464" s="571"/>
      <c r="U464" s="571"/>
      <c r="V464" s="571"/>
      <c r="W464" s="571"/>
      <c r="X464" s="571"/>
      <c r="Y464" s="571"/>
      <c r="Z464" s="571"/>
    </row>
    <row r="465" spans="1:26" ht="19.5">
      <c r="A465" s="578">
        <v>3</v>
      </c>
      <c r="B465" s="579" t="s">
        <v>205</v>
      </c>
      <c r="C465" s="580"/>
      <c r="D465" s="580"/>
      <c r="E465" s="580"/>
      <c r="F465" s="580"/>
      <c r="G465" s="581"/>
      <c r="H465" s="582" t="s">
        <v>35</v>
      </c>
      <c r="I465" s="583">
        <f ca="1">IFERROR(__xludf.DUMMYFUNCTION("IMPORTRANGE(""https://docs.google.com/spreadsheets/d/1QqKyyYR6Q21VydFLVH3TRQUabQu_ym0Zz7PgGX0-kHA/edit?usp=sharing"",""แผน!FX57"")"),21)</f>
        <v>21</v>
      </c>
      <c r="J465" s="583">
        <f>J485+J489+J492</f>
        <v>0</v>
      </c>
      <c r="K465" s="584">
        <f t="shared" ref="K465:K466" ca="1" si="205">IF(I465&gt;0,J465*100/I465,0)</f>
        <v>0</v>
      </c>
      <c r="L465" s="585"/>
      <c r="M465" s="585"/>
      <c r="N465" s="585"/>
      <c r="O465" s="585"/>
      <c r="P465" s="585"/>
      <c r="Q465" s="571"/>
      <c r="R465" s="571"/>
      <c r="S465" s="571"/>
      <c r="T465" s="571"/>
      <c r="U465" s="571"/>
      <c r="V465" s="571"/>
      <c r="W465" s="571"/>
      <c r="X465" s="571"/>
      <c r="Y465" s="571"/>
      <c r="Z465" s="571"/>
    </row>
    <row r="466" spans="1:26" ht="19.5">
      <c r="A466" s="586"/>
      <c r="B466" s="587"/>
      <c r="C466" s="588"/>
      <c r="D466" s="588"/>
      <c r="E466" s="588"/>
      <c r="F466" s="588"/>
      <c r="G466" s="589"/>
      <c r="H466" s="562" t="s">
        <v>46</v>
      </c>
      <c r="I466" s="563">
        <f ca="1">IFERROR(__xludf.DUMMYFUNCTION("IMPORTRANGE(""https://docs.google.com/spreadsheets/d/1QqKyyYR6Q21VydFLVH3TRQUabQu_ym0Zz7PgGX0-kHA/edit?usp=sharing"",""แผน!FW57"")"),200)</f>
        <v>200</v>
      </c>
      <c r="J466" s="563">
        <f>J483+J487</f>
        <v>0</v>
      </c>
      <c r="K466" s="564">
        <f t="shared" ca="1" si="205"/>
        <v>0</v>
      </c>
      <c r="L466" s="565"/>
      <c r="M466" s="565"/>
      <c r="N466" s="565"/>
      <c r="O466" s="565"/>
      <c r="P466" s="565"/>
      <c r="Q466" s="571"/>
      <c r="R466" s="571"/>
      <c r="S466" s="571"/>
      <c r="T466" s="571"/>
      <c r="U466" s="571"/>
      <c r="V466" s="571"/>
      <c r="W466" s="571"/>
      <c r="X466" s="571"/>
      <c r="Y466" s="571"/>
      <c r="Z466" s="571"/>
    </row>
    <row r="467" spans="1:26" ht="19.5">
      <c r="A467" s="590"/>
      <c r="B467" s="754"/>
      <c r="C467" s="754" t="s">
        <v>16</v>
      </c>
      <c r="D467" s="863" t="s">
        <v>17</v>
      </c>
      <c r="E467" s="857"/>
      <c r="F467" s="857"/>
      <c r="G467" s="189"/>
      <c r="H467" s="591" t="s">
        <v>12</v>
      </c>
      <c r="I467" s="269"/>
      <c r="J467" s="269"/>
      <c r="K467" s="496"/>
      <c r="L467" s="195">
        <f t="shared" ref="L467:N467" ca="1" si="206">L468+L469</f>
        <v>174403</v>
      </c>
      <c r="M467" s="195">
        <f t="shared" si="206"/>
        <v>0</v>
      </c>
      <c r="N467" s="195">
        <f t="shared" si="206"/>
        <v>0</v>
      </c>
      <c r="O467" s="195">
        <f t="shared" ref="O467:O472" ca="1" si="207">IF(L467&gt;0,N467*100/L467,0)</f>
        <v>0</v>
      </c>
      <c r="P467" s="195">
        <f t="shared" ref="P467:P472" si="208">IF(M467&gt;0,N467*100/M467,0)</f>
        <v>0</v>
      </c>
      <c r="Q467" s="571"/>
      <c r="R467" s="571"/>
      <c r="S467" s="571"/>
      <c r="T467" s="571"/>
      <c r="U467" s="571"/>
      <c r="V467" s="571"/>
      <c r="W467" s="571"/>
      <c r="X467" s="571"/>
      <c r="Y467" s="571"/>
      <c r="Z467" s="571"/>
    </row>
    <row r="468" spans="1:26" ht="18.75" hidden="1">
      <c r="A468" s="592"/>
      <c r="B468" s="750"/>
      <c r="C468" s="750"/>
      <c r="D468" s="711"/>
      <c r="E468" s="750" t="s">
        <v>184</v>
      </c>
      <c r="F468" s="750"/>
      <c r="G468" s="596"/>
      <c r="H468" s="165" t="s">
        <v>12</v>
      </c>
      <c r="I468" s="610"/>
      <c r="J468" s="610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597"/>
      <c r="R468" s="597"/>
      <c r="S468" s="597"/>
      <c r="T468" s="597"/>
      <c r="U468" s="597"/>
      <c r="V468" s="597"/>
      <c r="W468" s="597"/>
      <c r="X468" s="597"/>
      <c r="Y468" s="597"/>
      <c r="Z468" s="597"/>
    </row>
    <row r="469" spans="1:26" ht="18.75" hidden="1">
      <c r="A469" s="592"/>
      <c r="B469" s="600"/>
      <c r="C469" s="750"/>
      <c r="D469" s="711"/>
      <c r="E469" s="750" t="s">
        <v>185</v>
      </c>
      <c r="F469" s="750"/>
      <c r="G469" s="596"/>
      <c r="H469" s="165" t="s">
        <v>12</v>
      </c>
      <c r="I469" s="610"/>
      <c r="J469" s="610"/>
      <c r="K469" s="93"/>
      <c r="L469" s="93">
        <f t="shared" ca="1" si="209"/>
        <v>174403</v>
      </c>
      <c r="M469" s="93">
        <f t="shared" si="209"/>
        <v>0</v>
      </c>
      <c r="N469" s="93">
        <f t="shared" si="209"/>
        <v>0</v>
      </c>
      <c r="O469" s="93">
        <f t="shared" ca="1" si="207"/>
        <v>0</v>
      </c>
      <c r="P469" s="93">
        <f t="shared" si="208"/>
        <v>0</v>
      </c>
      <c r="Q469" s="597"/>
      <c r="R469" s="597"/>
      <c r="S469" s="597"/>
      <c r="T469" s="597"/>
      <c r="U469" s="597"/>
      <c r="V469" s="597"/>
      <c r="W469" s="597"/>
      <c r="X469" s="597"/>
      <c r="Y469" s="597"/>
      <c r="Z469" s="597"/>
    </row>
    <row r="470" spans="1:26" ht="18.75">
      <c r="A470" s="590"/>
      <c r="B470" s="568"/>
      <c r="C470" s="754"/>
      <c r="D470" s="599" t="s">
        <v>20</v>
      </c>
      <c r="E470" s="754"/>
      <c r="F470" s="754"/>
      <c r="G470" s="189"/>
      <c r="H470" s="161" t="s">
        <v>12</v>
      </c>
      <c r="I470" s="184"/>
      <c r="J470" s="184"/>
      <c r="K470" s="163"/>
      <c r="L470" s="496">
        <f t="shared" ref="L470:N470" ca="1" si="210">L471+L472</f>
        <v>174403</v>
      </c>
      <c r="M470" s="496">
        <f t="shared" si="210"/>
        <v>0</v>
      </c>
      <c r="N470" s="496">
        <f t="shared" si="210"/>
        <v>0</v>
      </c>
      <c r="O470" s="496">
        <f t="shared" ca="1" si="207"/>
        <v>0</v>
      </c>
      <c r="P470" s="496">
        <f t="shared" si="208"/>
        <v>0</v>
      </c>
      <c r="Q470" s="571"/>
      <c r="R470" s="571"/>
      <c r="S470" s="571"/>
      <c r="T470" s="571"/>
      <c r="U470" s="571"/>
      <c r="V470" s="571"/>
      <c r="W470" s="571"/>
      <c r="X470" s="571"/>
      <c r="Y470" s="571"/>
      <c r="Z470" s="571"/>
    </row>
    <row r="471" spans="1:26" ht="18.75" hidden="1">
      <c r="A471" s="592"/>
      <c r="B471" s="600"/>
      <c r="C471" s="750"/>
      <c r="D471" s="711"/>
      <c r="E471" s="750" t="s">
        <v>184</v>
      </c>
      <c r="F471" s="750"/>
      <c r="G471" s="596"/>
      <c r="H471" s="165" t="s">
        <v>12</v>
      </c>
      <c r="I471" s="610"/>
      <c r="J471" s="610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597"/>
      <c r="R471" s="597"/>
      <c r="S471" s="597"/>
      <c r="T471" s="597"/>
      <c r="U471" s="597"/>
      <c r="V471" s="597"/>
      <c r="W471" s="597"/>
      <c r="X471" s="597"/>
      <c r="Y471" s="597"/>
      <c r="Z471" s="597"/>
    </row>
    <row r="472" spans="1:26" ht="18.75" hidden="1">
      <c r="A472" s="592"/>
      <c r="B472" s="600"/>
      <c r="C472" s="750"/>
      <c r="D472" s="711"/>
      <c r="E472" s="750" t="s">
        <v>185</v>
      </c>
      <c r="F472" s="750"/>
      <c r="G472" s="596"/>
      <c r="H472" s="165" t="s">
        <v>12</v>
      </c>
      <c r="I472" s="610"/>
      <c r="J472" s="610"/>
      <c r="K472" s="93"/>
      <c r="L472" s="93">
        <f ca="1">IFERROR(__xludf.DUMMYFUNCTION("IMPORTRANGE(""https://docs.google.com/spreadsheets/d/1QqKyyYR6Q21VydFLVH3TRQUabQu_ym0Zz7PgGX0-kHA/edit?usp=sharing"",""แผน!FS57"")"),174403)</f>
        <v>174403</v>
      </c>
      <c r="M472" s="93">
        <v>0</v>
      </c>
      <c r="N472" s="93">
        <f>N473+N474+N475+N476</f>
        <v>0</v>
      </c>
      <c r="O472" s="93">
        <f t="shared" ca="1" si="207"/>
        <v>0</v>
      </c>
      <c r="P472" s="93">
        <f t="shared" si="208"/>
        <v>0</v>
      </c>
      <c r="Q472" s="597"/>
      <c r="R472" s="597"/>
      <c r="S472" s="597"/>
      <c r="T472" s="597"/>
      <c r="U472" s="597"/>
      <c r="V472" s="597"/>
      <c r="W472" s="597"/>
      <c r="X472" s="597"/>
      <c r="Y472" s="597"/>
      <c r="Z472" s="597"/>
    </row>
    <row r="473" spans="1:26" ht="18.75">
      <c r="A473" s="567"/>
      <c r="B473" s="568"/>
      <c r="C473" s="754"/>
      <c r="D473" s="754"/>
      <c r="E473" s="754"/>
      <c r="F473" s="754" t="s">
        <v>186</v>
      </c>
      <c r="G473" s="189"/>
      <c r="H473" s="161" t="s">
        <v>12</v>
      </c>
      <c r="I473" s="269"/>
      <c r="J473" s="269"/>
      <c r="K473" s="496"/>
      <c r="L473" s="496"/>
      <c r="M473" s="496"/>
      <c r="N473" s="817">
        <v>0</v>
      </c>
      <c r="O473" s="496"/>
      <c r="P473" s="496"/>
      <c r="Q473" s="571"/>
      <c r="R473" s="571"/>
      <c r="S473" s="571"/>
      <c r="T473" s="571"/>
      <c r="U473" s="571"/>
      <c r="V473" s="571"/>
      <c r="W473" s="571"/>
      <c r="X473" s="571"/>
      <c r="Y473" s="571"/>
      <c r="Z473" s="571"/>
    </row>
    <row r="474" spans="1:26" ht="18.75">
      <c r="A474" s="567"/>
      <c r="B474" s="568"/>
      <c r="C474" s="754"/>
      <c r="D474" s="754"/>
      <c r="E474" s="754"/>
      <c r="F474" s="754" t="s">
        <v>187</v>
      </c>
      <c r="G474" s="189"/>
      <c r="H474" s="161" t="s">
        <v>12</v>
      </c>
      <c r="I474" s="269"/>
      <c r="J474" s="269"/>
      <c r="K474" s="496"/>
      <c r="L474" s="496"/>
      <c r="M474" s="496"/>
      <c r="N474" s="817">
        <v>0</v>
      </c>
      <c r="O474" s="496"/>
      <c r="P474" s="496"/>
      <c r="Q474" s="571"/>
      <c r="R474" s="571"/>
      <c r="S474" s="571"/>
      <c r="T474" s="571"/>
      <c r="U474" s="571"/>
      <c r="V474" s="571"/>
      <c r="W474" s="571"/>
      <c r="X474" s="571"/>
      <c r="Y474" s="571"/>
      <c r="Z474" s="571"/>
    </row>
    <row r="475" spans="1:26" ht="18.75">
      <c r="A475" s="567"/>
      <c r="B475" s="568"/>
      <c r="C475" s="568"/>
      <c r="D475" s="568"/>
      <c r="E475" s="568"/>
      <c r="F475" s="754" t="s">
        <v>188</v>
      </c>
      <c r="G475" s="189"/>
      <c r="H475" s="161" t="s">
        <v>12</v>
      </c>
      <c r="I475" s="269"/>
      <c r="J475" s="269"/>
      <c r="K475" s="496"/>
      <c r="L475" s="496"/>
      <c r="M475" s="496"/>
      <c r="N475" s="817">
        <v>0</v>
      </c>
      <c r="O475" s="496"/>
      <c r="P475" s="496"/>
      <c r="Q475" s="571"/>
      <c r="R475" s="571"/>
      <c r="S475" s="571"/>
      <c r="T475" s="571"/>
      <c r="U475" s="571"/>
      <c r="V475" s="571"/>
      <c r="W475" s="571"/>
      <c r="X475" s="571"/>
      <c r="Y475" s="571"/>
      <c r="Z475" s="571"/>
    </row>
    <row r="476" spans="1:26" ht="18.75">
      <c r="A476" s="567"/>
      <c r="B476" s="568"/>
      <c r="C476" s="568"/>
      <c r="D476" s="568"/>
      <c r="E476" s="568"/>
      <c r="F476" s="754" t="s">
        <v>189</v>
      </c>
      <c r="G476" s="189"/>
      <c r="H476" s="161" t="s">
        <v>12</v>
      </c>
      <c r="I476" s="269"/>
      <c r="J476" s="269"/>
      <c r="K476" s="496"/>
      <c r="L476" s="496"/>
      <c r="M476" s="496"/>
      <c r="N476" s="817">
        <v>0</v>
      </c>
      <c r="O476" s="496"/>
      <c r="P476" s="496"/>
      <c r="Q476" s="571"/>
      <c r="R476" s="571"/>
      <c r="S476" s="571"/>
      <c r="T476" s="571"/>
      <c r="U476" s="571"/>
      <c r="V476" s="571"/>
      <c r="W476" s="571"/>
      <c r="X476" s="571"/>
      <c r="Y476" s="571"/>
      <c r="Z476" s="571"/>
    </row>
    <row r="477" spans="1:26" ht="18.75">
      <c r="A477" s="590"/>
      <c r="B477" s="568"/>
      <c r="C477" s="568"/>
      <c r="D477" s="599" t="s">
        <v>21</v>
      </c>
      <c r="E477" s="568"/>
      <c r="F477" s="568"/>
      <c r="G477" s="189"/>
      <c r="H477" s="168" t="s">
        <v>12</v>
      </c>
      <c r="I477" s="184"/>
      <c r="J477" s="184"/>
      <c r="K477" s="163"/>
      <c r="L477" s="496">
        <f t="shared" ref="L477:N477" ca="1" si="211">L478+L479</f>
        <v>0</v>
      </c>
      <c r="M477" s="496">
        <f t="shared" si="211"/>
        <v>0</v>
      </c>
      <c r="N477" s="496">
        <f t="shared" si="211"/>
        <v>0</v>
      </c>
      <c r="O477" s="496">
        <f t="shared" ref="O477:O479" ca="1" si="212">IF(L477&gt;0,N477*100/L477,0)</f>
        <v>0</v>
      </c>
      <c r="P477" s="496">
        <f t="shared" ref="P477:P479" si="213">IF(M477&gt;0,N477*100/M477,0)</f>
        <v>0</v>
      </c>
      <c r="Q477" s="571"/>
      <c r="R477" s="571"/>
      <c r="S477" s="571"/>
      <c r="T477" s="571"/>
      <c r="U477" s="571"/>
      <c r="V477" s="571"/>
      <c r="W477" s="571"/>
      <c r="X477" s="571"/>
      <c r="Y477" s="571"/>
      <c r="Z477" s="571"/>
    </row>
    <row r="478" spans="1:26" ht="18.75" hidden="1">
      <c r="A478" s="592"/>
      <c r="B478" s="600"/>
      <c r="C478" s="600"/>
      <c r="D478" s="600"/>
      <c r="E478" s="600" t="s">
        <v>18</v>
      </c>
      <c r="F478" s="600"/>
      <c r="G478" s="596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597"/>
      <c r="R478" s="597"/>
      <c r="S478" s="597"/>
      <c r="T478" s="597"/>
      <c r="U478" s="597"/>
      <c r="V478" s="597"/>
      <c r="W478" s="597"/>
      <c r="X478" s="597"/>
      <c r="Y478" s="597"/>
      <c r="Z478" s="597"/>
    </row>
    <row r="479" spans="1:26" ht="18.75" hidden="1">
      <c r="A479" s="592"/>
      <c r="B479" s="600"/>
      <c r="C479" s="600"/>
      <c r="D479" s="600"/>
      <c r="E479" s="600" t="s">
        <v>19</v>
      </c>
      <c r="F479" s="600"/>
      <c r="G479" s="596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IFERROR(__xludf.DUMMYFUNCTION("IMPORTRANGE(""https://docs.google.com/spreadsheets/d/1QqKyyYR6Q21VydFLVH3TRQUabQu_ym0Zz7PgGX0-kHA/edit?usp=sharing"",""แผน!FV57"")"),0)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597"/>
      <c r="R479" s="597"/>
      <c r="S479" s="597"/>
      <c r="T479" s="597"/>
      <c r="U479" s="597"/>
      <c r="V479" s="597"/>
      <c r="W479" s="597"/>
      <c r="X479" s="597"/>
      <c r="Y479" s="597"/>
      <c r="Z479" s="597"/>
    </row>
    <row r="480" spans="1:26" ht="19.5">
      <c r="A480" s="601"/>
      <c r="B480" s="611"/>
      <c r="C480" s="568" t="s">
        <v>16</v>
      </c>
      <c r="D480" s="837" t="s">
        <v>38</v>
      </c>
      <c r="E480" s="604"/>
      <c r="F480" s="752"/>
      <c r="G480" s="606"/>
      <c r="H480" s="753"/>
      <c r="I480" s="269"/>
      <c r="J480" s="269"/>
      <c r="K480" s="496"/>
      <c r="L480" s="496"/>
      <c r="M480" s="496"/>
      <c r="N480" s="496"/>
      <c r="O480" s="496"/>
      <c r="P480" s="496"/>
      <c r="Q480" s="571"/>
      <c r="R480" s="571"/>
      <c r="S480" s="571"/>
      <c r="T480" s="571"/>
      <c r="U480" s="571"/>
      <c r="V480" s="571"/>
      <c r="W480" s="571"/>
      <c r="X480" s="571"/>
      <c r="Y480" s="571"/>
      <c r="Z480" s="571"/>
    </row>
    <row r="481" spans="1:26" ht="19.5">
      <c r="A481" s="601"/>
      <c r="B481" s="611"/>
      <c r="C481" s="611"/>
      <c r="D481" s="618" t="s">
        <v>206</v>
      </c>
      <c r="E481" s="611"/>
      <c r="F481" s="611"/>
      <c r="G481" s="753"/>
      <c r="H481" s="189"/>
      <c r="I481" s="269"/>
      <c r="J481" s="269"/>
      <c r="K481" s="496"/>
      <c r="L481" s="496"/>
      <c r="M481" s="496"/>
      <c r="N481" s="496"/>
      <c r="O481" s="496"/>
      <c r="P481" s="496"/>
      <c r="Q481" s="571"/>
      <c r="R481" s="571"/>
      <c r="S481" s="571"/>
      <c r="T481" s="571"/>
      <c r="U481" s="571"/>
      <c r="V481" s="571"/>
      <c r="W481" s="571"/>
      <c r="X481" s="571"/>
      <c r="Y481" s="571"/>
      <c r="Z481" s="571"/>
    </row>
    <row r="482" spans="1:26" ht="18.75">
      <c r="A482" s="601"/>
      <c r="B482" s="611"/>
      <c r="C482" s="611"/>
      <c r="D482" s="611"/>
      <c r="E482" s="611" t="s">
        <v>207</v>
      </c>
      <c r="F482" s="611"/>
      <c r="G482" s="753"/>
      <c r="H482" s="189"/>
      <c r="I482" s="269"/>
      <c r="J482" s="269"/>
      <c r="K482" s="496"/>
      <c r="L482" s="496"/>
      <c r="M482" s="496"/>
      <c r="N482" s="496"/>
      <c r="O482" s="496"/>
      <c r="P482" s="496"/>
      <c r="Q482" s="571"/>
      <c r="R482" s="571"/>
      <c r="S482" s="571"/>
      <c r="T482" s="571"/>
      <c r="U482" s="571"/>
      <c r="V482" s="571"/>
      <c r="W482" s="571"/>
      <c r="X482" s="571"/>
      <c r="Y482" s="571"/>
      <c r="Z482" s="571"/>
    </row>
    <row r="483" spans="1:26" ht="18.75">
      <c r="A483" s="601"/>
      <c r="B483" s="611"/>
      <c r="C483" s="611"/>
      <c r="D483" s="611"/>
      <c r="E483" s="611"/>
      <c r="F483" s="611" t="s">
        <v>208</v>
      </c>
      <c r="G483" s="753"/>
      <c r="H483" s="616" t="s">
        <v>46</v>
      </c>
      <c r="I483" s="269">
        <f ca="1">IFERROR(__xludf.DUMMYFUNCTION("IMPORTRANGE(""https://docs.google.com/spreadsheets/d/1QqKyyYR6Q21VydFLVH3TRQUabQu_ym0Zz7PgGX0-kHA/edit?usp=sharing"",""แผน!FY57"")"),180)</f>
        <v>180</v>
      </c>
      <c r="J483" s="214">
        <v>0</v>
      </c>
      <c r="K483" s="496">
        <f ca="1">IF(I483&gt;0,J483*100/I483,0)</f>
        <v>0</v>
      </c>
      <c r="L483" s="496"/>
      <c r="M483" s="496"/>
      <c r="N483" s="496"/>
      <c r="O483" s="496"/>
      <c r="P483" s="496"/>
      <c r="Q483" s="571"/>
      <c r="R483" s="571"/>
      <c r="S483" s="571"/>
      <c r="T483" s="571"/>
      <c r="U483" s="571"/>
      <c r="V483" s="571"/>
      <c r="W483" s="571"/>
      <c r="X483" s="571"/>
      <c r="Y483" s="571"/>
      <c r="Z483" s="571"/>
    </row>
    <row r="484" spans="1:26" ht="18.75">
      <c r="A484" s="601"/>
      <c r="B484" s="611"/>
      <c r="C484" s="611"/>
      <c r="D484" s="611"/>
      <c r="E484" s="611"/>
      <c r="F484" s="611" t="s">
        <v>209</v>
      </c>
      <c r="G484" s="753"/>
      <c r="H484" s="616" t="s">
        <v>35</v>
      </c>
      <c r="I484" s="269"/>
      <c r="J484" s="214">
        <v>0</v>
      </c>
      <c r="K484" s="496"/>
      <c r="L484" s="496"/>
      <c r="M484" s="496"/>
      <c r="N484" s="496"/>
      <c r="O484" s="496"/>
      <c r="P484" s="496"/>
      <c r="Q484" s="571"/>
      <c r="R484" s="571"/>
      <c r="S484" s="571"/>
      <c r="T484" s="571"/>
      <c r="U484" s="571"/>
      <c r="V484" s="571"/>
      <c r="W484" s="571"/>
      <c r="X484" s="571"/>
      <c r="Y484" s="571"/>
      <c r="Z484" s="571"/>
    </row>
    <row r="485" spans="1:26" ht="18.75">
      <c r="A485" s="601"/>
      <c r="B485" s="611"/>
      <c r="C485" s="611"/>
      <c r="D485" s="611"/>
      <c r="E485" s="611"/>
      <c r="F485" s="611" t="s">
        <v>210</v>
      </c>
      <c r="G485" s="753"/>
      <c r="H485" s="616" t="s">
        <v>35</v>
      </c>
      <c r="I485" s="269">
        <f ca="1">IFERROR(__xludf.DUMMYFUNCTION("IMPORTRANGE(""https://docs.google.com/spreadsheets/d/1QqKyyYR6Q21VydFLVH3TRQUabQu_ym0Zz7PgGX0-kHA/edit?usp=sharing"",""แผน!FZ57"")"),18)</f>
        <v>18</v>
      </c>
      <c r="J485" s="214">
        <v>0</v>
      </c>
      <c r="K485" s="496">
        <f ca="1">IF(I485&gt;0,J485*100/I485,0)</f>
        <v>0</v>
      </c>
      <c r="L485" s="496"/>
      <c r="M485" s="496"/>
      <c r="N485" s="496"/>
      <c r="O485" s="496"/>
      <c r="P485" s="496"/>
      <c r="Q485" s="571"/>
      <c r="R485" s="571"/>
      <c r="S485" s="571"/>
      <c r="T485" s="571"/>
      <c r="U485" s="571"/>
      <c r="V485" s="571"/>
      <c r="W485" s="571"/>
      <c r="X485" s="571"/>
      <c r="Y485" s="571"/>
      <c r="Z485" s="571"/>
    </row>
    <row r="486" spans="1:26" ht="18.75">
      <c r="A486" s="601"/>
      <c r="B486" s="611"/>
      <c r="C486" s="611"/>
      <c r="D486" s="611"/>
      <c r="E486" s="611" t="s">
        <v>62</v>
      </c>
      <c r="F486" s="611"/>
      <c r="G486" s="753"/>
      <c r="H486" s="616"/>
      <c r="I486" s="269"/>
      <c r="J486" s="269"/>
      <c r="K486" s="496"/>
      <c r="L486" s="496"/>
      <c r="M486" s="496"/>
      <c r="N486" s="496"/>
      <c r="O486" s="496"/>
      <c r="P486" s="496"/>
      <c r="Q486" s="571"/>
      <c r="R486" s="571"/>
      <c r="S486" s="571"/>
      <c r="T486" s="571"/>
      <c r="U486" s="571"/>
      <c r="V486" s="571"/>
      <c r="W486" s="571"/>
      <c r="X486" s="571"/>
      <c r="Y486" s="571"/>
      <c r="Z486" s="571"/>
    </row>
    <row r="487" spans="1:26" ht="18.75">
      <c r="A487" s="601"/>
      <c r="B487" s="611"/>
      <c r="C487" s="611"/>
      <c r="D487" s="611"/>
      <c r="E487" s="611"/>
      <c r="F487" s="611" t="s">
        <v>208</v>
      </c>
      <c r="G487" s="753"/>
      <c r="H487" s="616" t="s">
        <v>46</v>
      </c>
      <c r="I487" s="269">
        <f ca="1">IFERROR(__xludf.DUMMYFUNCTION("IMPORTRANGE(""https://docs.google.com/spreadsheets/d/1QqKyyYR6Q21VydFLVH3TRQUabQu_ym0Zz7PgGX0-kHA/edit?usp=sharing"",""แผน!GA57"")"),20)</f>
        <v>20</v>
      </c>
      <c r="J487" s="214">
        <v>0</v>
      </c>
      <c r="K487" s="496">
        <f ca="1">IF(I487&gt;0,J487*100/I487,0)</f>
        <v>0</v>
      </c>
      <c r="L487" s="496"/>
      <c r="M487" s="496"/>
      <c r="N487" s="496"/>
      <c r="O487" s="496"/>
      <c r="P487" s="496"/>
      <c r="Q487" s="571"/>
      <c r="R487" s="571"/>
      <c r="S487" s="571"/>
      <c r="T487" s="571"/>
      <c r="U487" s="571"/>
      <c r="V487" s="571"/>
      <c r="W487" s="571"/>
      <c r="X487" s="571"/>
      <c r="Y487" s="571"/>
      <c r="Z487" s="571"/>
    </row>
    <row r="488" spans="1:26" ht="18.75">
      <c r="A488" s="601"/>
      <c r="B488" s="611"/>
      <c r="C488" s="611"/>
      <c r="D488" s="611"/>
      <c r="E488" s="611"/>
      <c r="F488" s="611" t="s">
        <v>211</v>
      </c>
      <c r="G488" s="753"/>
      <c r="H488" s="616" t="s">
        <v>35</v>
      </c>
      <c r="I488" s="269"/>
      <c r="J488" s="214">
        <v>0</v>
      </c>
      <c r="K488" s="496"/>
      <c r="L488" s="496"/>
      <c r="M488" s="496"/>
      <c r="N488" s="496"/>
      <c r="O488" s="496"/>
      <c r="P488" s="496"/>
      <c r="Q488" s="571"/>
      <c r="R488" s="571"/>
      <c r="S488" s="571"/>
      <c r="T488" s="571"/>
      <c r="U488" s="571"/>
      <c r="V488" s="571"/>
      <c r="W488" s="571"/>
      <c r="X488" s="571"/>
      <c r="Y488" s="571"/>
      <c r="Z488" s="571"/>
    </row>
    <row r="489" spans="1:26" ht="18.75">
      <c r="A489" s="601"/>
      <c r="B489" s="611"/>
      <c r="C489" s="611"/>
      <c r="D489" s="611"/>
      <c r="E489" s="611"/>
      <c r="F489" s="611" t="s">
        <v>212</v>
      </c>
      <c r="G489" s="753"/>
      <c r="H489" s="616" t="s">
        <v>35</v>
      </c>
      <c r="I489" s="269">
        <f ca="1">IFERROR(__xludf.DUMMYFUNCTION("IMPORTRANGE(""https://docs.google.com/spreadsheets/d/1QqKyyYR6Q21VydFLVH3TRQUabQu_ym0Zz7PgGX0-kHA/edit?usp=sharing"",""แผน!GB57"")"),2)</f>
        <v>2</v>
      </c>
      <c r="J489" s="214">
        <v>0</v>
      </c>
      <c r="K489" s="496">
        <f ca="1">IF(I489&gt;0,J489*100/I489,0)</f>
        <v>0</v>
      </c>
      <c r="L489" s="496"/>
      <c r="M489" s="496"/>
      <c r="N489" s="496"/>
      <c r="O489" s="496"/>
      <c r="P489" s="496"/>
      <c r="Q489" s="571"/>
      <c r="R489" s="571"/>
      <c r="S489" s="571"/>
      <c r="T489" s="571"/>
      <c r="U489" s="571"/>
      <c r="V489" s="571"/>
      <c r="W489" s="571"/>
      <c r="X489" s="571"/>
      <c r="Y489" s="571"/>
      <c r="Z489" s="571"/>
    </row>
    <row r="490" spans="1:26" ht="18.75">
      <c r="A490" s="601"/>
      <c r="B490" s="611"/>
      <c r="C490" s="611"/>
      <c r="D490" s="611"/>
      <c r="E490" s="611" t="s">
        <v>63</v>
      </c>
      <c r="F490" s="619"/>
      <c r="G490" s="753"/>
      <c r="H490" s="616"/>
      <c r="I490" s="269"/>
      <c r="J490" s="269"/>
      <c r="K490" s="496"/>
      <c r="L490" s="496"/>
      <c r="M490" s="496"/>
      <c r="N490" s="496"/>
      <c r="O490" s="496"/>
      <c r="P490" s="496"/>
      <c r="Q490" s="571"/>
      <c r="R490" s="571"/>
      <c r="S490" s="571"/>
      <c r="T490" s="571"/>
      <c r="U490" s="571"/>
      <c r="V490" s="571"/>
      <c r="W490" s="571"/>
      <c r="X490" s="571"/>
      <c r="Y490" s="571"/>
      <c r="Z490" s="571"/>
    </row>
    <row r="491" spans="1:26" ht="18.75">
      <c r="A491" s="601"/>
      <c r="B491" s="611"/>
      <c r="C491" s="611"/>
      <c r="D491" s="611"/>
      <c r="E491" s="611"/>
      <c r="F491" s="611" t="s">
        <v>213</v>
      </c>
      <c r="G491" s="753"/>
      <c r="H491" s="616" t="s">
        <v>35</v>
      </c>
      <c r="I491" s="269"/>
      <c r="J491" s="214">
        <v>0</v>
      </c>
      <c r="K491" s="496"/>
      <c r="L491" s="496"/>
      <c r="M491" s="496"/>
      <c r="N491" s="496"/>
      <c r="O491" s="496"/>
      <c r="P491" s="496"/>
      <c r="Q491" s="571"/>
      <c r="R491" s="571"/>
      <c r="S491" s="571"/>
      <c r="T491" s="571"/>
      <c r="U491" s="571"/>
      <c r="V491" s="571"/>
      <c r="W491" s="571"/>
      <c r="X491" s="571"/>
      <c r="Y491" s="571"/>
      <c r="Z491" s="571"/>
    </row>
    <row r="492" spans="1:26" ht="18.75">
      <c r="A492" s="601"/>
      <c r="B492" s="611"/>
      <c r="C492" s="611"/>
      <c r="D492" s="611"/>
      <c r="E492" s="611"/>
      <c r="F492" s="611" t="s">
        <v>214</v>
      </c>
      <c r="G492" s="753"/>
      <c r="H492" s="616" t="s">
        <v>35</v>
      </c>
      <c r="I492" s="269">
        <f ca="1">IFERROR(__xludf.DUMMYFUNCTION("IMPORTRANGE(""https://docs.google.com/spreadsheets/d/1QqKyyYR6Q21VydFLVH3TRQUabQu_ym0Zz7PgGX0-kHA/edit?usp=sharing"",""แผน!GC57"")"),1)</f>
        <v>1</v>
      </c>
      <c r="J492" s="214">
        <v>0</v>
      </c>
      <c r="K492" s="496">
        <f ca="1">IF(I492&gt;0,J492*100/I492,0)</f>
        <v>0</v>
      </c>
      <c r="L492" s="496"/>
      <c r="M492" s="496"/>
      <c r="N492" s="496"/>
      <c r="O492" s="496"/>
      <c r="P492" s="496"/>
      <c r="Q492" s="571"/>
      <c r="R492" s="571"/>
      <c r="S492" s="571"/>
      <c r="T492" s="571"/>
      <c r="U492" s="571"/>
      <c r="V492" s="571"/>
      <c r="W492" s="571"/>
      <c r="X492" s="571"/>
      <c r="Y492" s="571"/>
      <c r="Z492" s="571"/>
    </row>
    <row r="493" spans="1:26" ht="19.5">
      <c r="A493" s="601"/>
      <c r="B493" s="611"/>
      <c r="C493" s="611"/>
      <c r="D493" s="618" t="s">
        <v>59</v>
      </c>
      <c r="E493" s="611"/>
      <c r="F493" s="619"/>
      <c r="G493" s="753"/>
      <c r="H493" s="189"/>
      <c r="I493" s="269"/>
      <c r="J493" s="269"/>
      <c r="K493" s="496"/>
      <c r="L493" s="496"/>
      <c r="M493" s="496"/>
      <c r="N493" s="496"/>
      <c r="O493" s="496"/>
      <c r="P493" s="496"/>
      <c r="Q493" s="571"/>
      <c r="R493" s="571"/>
      <c r="S493" s="571"/>
      <c r="T493" s="571"/>
      <c r="U493" s="571"/>
      <c r="V493" s="571"/>
      <c r="W493" s="571"/>
      <c r="X493" s="571"/>
      <c r="Y493" s="571"/>
      <c r="Z493" s="571"/>
    </row>
    <row r="494" spans="1:26" ht="18.75">
      <c r="A494" s="601"/>
      <c r="B494" s="611"/>
      <c r="C494" s="611"/>
      <c r="D494" s="611"/>
      <c r="E494" s="611" t="s">
        <v>207</v>
      </c>
      <c r="F494" s="619"/>
      <c r="G494" s="753"/>
      <c r="H494" s="189"/>
      <c r="I494" s="269"/>
      <c r="J494" s="269"/>
      <c r="K494" s="496"/>
      <c r="L494" s="496"/>
      <c r="M494" s="496"/>
      <c r="N494" s="496"/>
      <c r="O494" s="496"/>
      <c r="P494" s="496"/>
      <c r="Q494" s="571"/>
      <c r="R494" s="571"/>
      <c r="S494" s="571"/>
      <c r="T494" s="571"/>
      <c r="U494" s="571"/>
      <c r="V494" s="571"/>
      <c r="W494" s="571"/>
      <c r="X494" s="571"/>
      <c r="Y494" s="571"/>
      <c r="Z494" s="571"/>
    </row>
    <row r="495" spans="1:26" ht="18.75">
      <c r="A495" s="601"/>
      <c r="B495" s="611"/>
      <c r="C495" s="611"/>
      <c r="D495" s="611"/>
      <c r="E495" s="611"/>
      <c r="F495" s="619" t="s">
        <v>215</v>
      </c>
      <c r="G495" s="753"/>
      <c r="H495" s="616" t="s">
        <v>46</v>
      </c>
      <c r="I495" s="269">
        <f ca="1">IFERROR(__xludf.DUMMYFUNCTION("IMPORTRANGE(""https://docs.google.com/spreadsheets/d/1QqKyyYR6Q21VydFLVH3TRQUabQu_ym0Zz7PgGX0-kHA/edit?usp=sharing"",""แผน!FY57"")"),180)</f>
        <v>180</v>
      </c>
      <c r="J495" s="214">
        <v>0</v>
      </c>
      <c r="K495" s="496">
        <f ca="1">IF(I495&gt;0,J495*100/I495,0)</f>
        <v>0</v>
      </c>
      <c r="L495" s="496"/>
      <c r="M495" s="496"/>
      <c r="N495" s="496"/>
      <c r="O495" s="496"/>
      <c r="P495" s="496"/>
      <c r="Q495" s="571"/>
      <c r="R495" s="571"/>
      <c r="S495" s="571"/>
      <c r="T495" s="571"/>
      <c r="U495" s="571"/>
      <c r="V495" s="571"/>
      <c r="W495" s="571"/>
      <c r="X495" s="571"/>
      <c r="Y495" s="571"/>
      <c r="Z495" s="571"/>
    </row>
    <row r="496" spans="1:26" ht="18.75">
      <c r="A496" s="601"/>
      <c r="B496" s="611"/>
      <c r="C496" s="611"/>
      <c r="D496" s="611"/>
      <c r="E496" s="611"/>
      <c r="F496" s="619" t="s">
        <v>216</v>
      </c>
      <c r="G496" s="753"/>
      <c r="H496" s="616" t="s">
        <v>46</v>
      </c>
      <c r="I496" s="269"/>
      <c r="J496" s="214">
        <v>0</v>
      </c>
      <c r="K496" s="496"/>
      <c r="L496" s="496"/>
      <c r="M496" s="496"/>
      <c r="N496" s="496"/>
      <c r="O496" s="496"/>
      <c r="P496" s="496"/>
      <c r="Q496" s="571"/>
      <c r="R496" s="571"/>
      <c r="S496" s="571"/>
      <c r="T496" s="571"/>
      <c r="U496" s="571"/>
      <c r="V496" s="571"/>
      <c r="W496" s="571"/>
      <c r="X496" s="571"/>
      <c r="Y496" s="571"/>
      <c r="Z496" s="571"/>
    </row>
    <row r="497" spans="1:26" ht="18.75">
      <c r="A497" s="601"/>
      <c r="B497" s="611"/>
      <c r="C497" s="611"/>
      <c r="D497" s="611"/>
      <c r="E497" s="611" t="s">
        <v>62</v>
      </c>
      <c r="F497" s="619"/>
      <c r="G497" s="753"/>
      <c r="H497" s="189"/>
      <c r="I497" s="269"/>
      <c r="J497" s="269"/>
      <c r="K497" s="496"/>
      <c r="L497" s="496"/>
      <c r="M497" s="496"/>
      <c r="N497" s="496"/>
      <c r="O497" s="496"/>
      <c r="P497" s="496"/>
      <c r="Q497" s="571"/>
      <c r="R497" s="571"/>
      <c r="S497" s="571"/>
      <c r="T497" s="571"/>
      <c r="U497" s="571"/>
      <c r="V497" s="571"/>
      <c r="W497" s="571"/>
      <c r="X497" s="571"/>
      <c r="Y497" s="571"/>
      <c r="Z497" s="571"/>
    </row>
    <row r="498" spans="1:26" ht="18.75">
      <c r="A498" s="601"/>
      <c r="B498" s="611"/>
      <c r="C498" s="611"/>
      <c r="D498" s="611"/>
      <c r="E498" s="619"/>
      <c r="F498" s="619" t="s">
        <v>217</v>
      </c>
      <c r="G498" s="753"/>
      <c r="H498" s="616" t="s">
        <v>46</v>
      </c>
      <c r="I498" s="269">
        <f ca="1">IFERROR(__xludf.DUMMYFUNCTION("IMPORTRANGE(""https://docs.google.com/spreadsheets/d/1QqKyyYR6Q21VydFLVH3TRQUabQu_ym0Zz7PgGX0-kHA/edit?usp=sharing"",""แผน!GA57"")"),20)</f>
        <v>20</v>
      </c>
      <c r="J498" s="214">
        <v>0</v>
      </c>
      <c r="K498" s="496">
        <f ca="1">IF(I498&gt;0,J498*100/I498,0)</f>
        <v>0</v>
      </c>
      <c r="L498" s="496"/>
      <c r="M498" s="496"/>
      <c r="N498" s="496"/>
      <c r="O498" s="496"/>
      <c r="P498" s="496"/>
      <c r="Q498" s="571"/>
      <c r="R498" s="571"/>
      <c r="S498" s="571"/>
      <c r="T498" s="571"/>
      <c r="U498" s="571"/>
      <c r="V498" s="571"/>
      <c r="W498" s="571"/>
      <c r="X498" s="571"/>
      <c r="Y498" s="571"/>
      <c r="Z498" s="571"/>
    </row>
    <row r="499" spans="1:26" ht="18.75">
      <c r="A499" s="601"/>
      <c r="B499" s="611"/>
      <c r="C499" s="611"/>
      <c r="D499" s="611"/>
      <c r="E499" s="619"/>
      <c r="F499" s="619" t="s">
        <v>218</v>
      </c>
      <c r="G499" s="753"/>
      <c r="H499" s="616" t="s">
        <v>46</v>
      </c>
      <c r="I499" s="269"/>
      <c r="J499" s="214">
        <v>0</v>
      </c>
      <c r="K499" s="496"/>
      <c r="L499" s="496"/>
      <c r="M499" s="496"/>
      <c r="N499" s="496"/>
      <c r="O499" s="496"/>
      <c r="P499" s="496"/>
      <c r="Q499" s="571"/>
      <c r="R499" s="571"/>
      <c r="S499" s="571"/>
      <c r="T499" s="571"/>
      <c r="U499" s="571"/>
      <c r="V499" s="571"/>
      <c r="W499" s="571"/>
      <c r="X499" s="571"/>
      <c r="Y499" s="571"/>
      <c r="Z499" s="571"/>
    </row>
    <row r="500" spans="1:26" ht="19.5" hidden="1">
      <c r="A500" s="620">
        <v>4</v>
      </c>
      <c r="B500" s="621" t="s">
        <v>219</v>
      </c>
      <c r="C500" s="622"/>
      <c r="D500" s="623"/>
      <c r="E500" s="623"/>
      <c r="F500" s="623"/>
      <c r="G500" s="624"/>
      <c r="H500" s="625" t="s">
        <v>109</v>
      </c>
      <c r="I500" s="626"/>
      <c r="J500" s="626">
        <f t="shared" ref="J500:J501" si="214">J516</f>
        <v>0</v>
      </c>
      <c r="K500" s="627">
        <f t="shared" ref="K500:K501" si="215">IF(I500&gt;0,J500*100/I500,0)</f>
        <v>0</v>
      </c>
      <c r="L500" s="628"/>
      <c r="M500" s="628"/>
      <c r="N500" s="628"/>
      <c r="O500" s="628"/>
      <c r="P500" s="628"/>
      <c r="Q500" s="597"/>
      <c r="R500" s="597"/>
      <c r="S500" s="597"/>
      <c r="T500" s="597"/>
      <c r="U500" s="597"/>
      <c r="V500" s="597"/>
      <c r="W500" s="597"/>
      <c r="X500" s="597"/>
      <c r="Y500" s="597"/>
      <c r="Z500" s="597"/>
    </row>
    <row r="501" spans="1:26" ht="19.5" hidden="1">
      <c r="A501" s="629"/>
      <c r="B501" s="631" t="s">
        <v>220</v>
      </c>
      <c r="C501" s="631"/>
      <c r="D501" s="632"/>
      <c r="E501" s="632"/>
      <c r="F501" s="632"/>
      <c r="G501" s="633"/>
      <c r="H501" s="634" t="s">
        <v>35</v>
      </c>
      <c r="I501" s="635"/>
      <c r="J501" s="635">
        <f t="shared" si="214"/>
        <v>0</v>
      </c>
      <c r="K501" s="636">
        <f t="shared" si="215"/>
        <v>0</v>
      </c>
      <c r="L501" s="637"/>
      <c r="M501" s="637"/>
      <c r="N501" s="637"/>
      <c r="O501" s="637"/>
      <c r="P501" s="637"/>
      <c r="Q501" s="597"/>
      <c r="R501" s="597"/>
      <c r="S501" s="597"/>
      <c r="T501" s="597"/>
      <c r="U501" s="597"/>
      <c r="V501" s="597"/>
      <c r="W501" s="597"/>
      <c r="X501" s="597"/>
      <c r="Y501" s="597"/>
      <c r="Z501" s="597"/>
    </row>
    <row r="502" spans="1:26" ht="19.5" hidden="1">
      <c r="A502" s="592"/>
      <c r="B502" s="750"/>
      <c r="C502" s="750" t="s">
        <v>16</v>
      </c>
      <c r="D502" s="864" t="s">
        <v>17</v>
      </c>
      <c r="E502" s="857"/>
      <c r="F502" s="857"/>
      <c r="G502" s="596"/>
      <c r="H502" s="639" t="s">
        <v>12</v>
      </c>
      <c r="I502" s="610"/>
      <c r="J502" s="610"/>
      <c r="K502" s="93"/>
      <c r="L502" s="640">
        <f t="shared" ref="L502:N502" si="216">L503+L504</f>
        <v>0</v>
      </c>
      <c r="M502" s="640">
        <f t="shared" si="216"/>
        <v>0</v>
      </c>
      <c r="N502" s="640">
        <f t="shared" si="216"/>
        <v>0</v>
      </c>
      <c r="O502" s="640">
        <f t="shared" ref="O502:O507" si="217">IF(L502&gt;0,N502*100/L502,0)</f>
        <v>0</v>
      </c>
      <c r="P502" s="640">
        <f t="shared" ref="P502:P507" si="218">IF(M502&gt;0,N502*100/M502,0)</f>
        <v>0</v>
      </c>
      <c r="Q502" s="597"/>
      <c r="R502" s="597"/>
      <c r="S502" s="597"/>
      <c r="T502" s="597"/>
      <c r="U502" s="597"/>
      <c r="V502" s="597"/>
      <c r="W502" s="597"/>
      <c r="X502" s="597"/>
      <c r="Y502" s="597"/>
      <c r="Z502" s="597"/>
    </row>
    <row r="503" spans="1:26" ht="18.75" hidden="1">
      <c r="A503" s="592"/>
      <c r="B503" s="750"/>
      <c r="C503" s="750"/>
      <c r="D503" s="711"/>
      <c r="E503" s="750" t="s">
        <v>184</v>
      </c>
      <c r="F503" s="750"/>
      <c r="G503" s="596"/>
      <c r="H503" s="165" t="s">
        <v>12</v>
      </c>
      <c r="I503" s="610"/>
      <c r="J503" s="610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597"/>
      <c r="R503" s="597"/>
      <c r="S503" s="597"/>
      <c r="T503" s="597"/>
      <c r="U503" s="597"/>
      <c r="V503" s="597"/>
      <c r="W503" s="597"/>
      <c r="X503" s="597"/>
      <c r="Y503" s="597"/>
      <c r="Z503" s="597"/>
    </row>
    <row r="504" spans="1:26" ht="18.75" hidden="1">
      <c r="A504" s="592"/>
      <c r="B504" s="600"/>
      <c r="C504" s="750"/>
      <c r="D504" s="711"/>
      <c r="E504" s="750" t="s">
        <v>185</v>
      </c>
      <c r="F504" s="750"/>
      <c r="G504" s="596"/>
      <c r="H504" s="165" t="s">
        <v>12</v>
      </c>
      <c r="I504" s="610"/>
      <c r="J504" s="610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597"/>
      <c r="R504" s="597"/>
      <c r="S504" s="597"/>
      <c r="T504" s="597"/>
      <c r="U504" s="597"/>
      <c r="V504" s="597"/>
      <c r="W504" s="597"/>
      <c r="X504" s="597"/>
      <c r="Y504" s="597"/>
      <c r="Z504" s="597"/>
    </row>
    <row r="505" spans="1:26" ht="18.75" hidden="1">
      <c r="A505" s="592"/>
      <c r="B505" s="600"/>
      <c r="C505" s="750"/>
      <c r="D505" s="641" t="s">
        <v>20</v>
      </c>
      <c r="E505" s="750"/>
      <c r="F505" s="750"/>
      <c r="G505" s="596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597"/>
      <c r="R505" s="597"/>
      <c r="S505" s="597"/>
      <c r="T505" s="597"/>
      <c r="U505" s="597"/>
      <c r="V505" s="597"/>
      <c r="W505" s="597"/>
      <c r="X505" s="597"/>
      <c r="Y505" s="597"/>
      <c r="Z505" s="597"/>
    </row>
    <row r="506" spans="1:26" ht="18.75" hidden="1">
      <c r="A506" s="592"/>
      <c r="B506" s="600"/>
      <c r="C506" s="750"/>
      <c r="D506" s="711"/>
      <c r="E506" s="750" t="s">
        <v>184</v>
      </c>
      <c r="F506" s="750"/>
      <c r="G506" s="596"/>
      <c r="H506" s="165" t="s">
        <v>12</v>
      </c>
      <c r="I506" s="610"/>
      <c r="J506" s="610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597"/>
      <c r="R506" s="597"/>
      <c r="S506" s="597"/>
      <c r="T506" s="597"/>
      <c r="U506" s="597"/>
      <c r="V506" s="597"/>
      <c r="W506" s="597"/>
      <c r="X506" s="597"/>
      <c r="Y506" s="597"/>
      <c r="Z506" s="597"/>
    </row>
    <row r="507" spans="1:26" ht="18.75" hidden="1">
      <c r="A507" s="592"/>
      <c r="B507" s="600"/>
      <c r="C507" s="750"/>
      <c r="D507" s="711"/>
      <c r="E507" s="750" t="s">
        <v>185</v>
      </c>
      <c r="F507" s="750"/>
      <c r="G507" s="596"/>
      <c r="H507" s="165" t="s">
        <v>12</v>
      </c>
      <c r="I507" s="610"/>
      <c r="J507" s="610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597"/>
      <c r="R507" s="597"/>
      <c r="S507" s="597"/>
      <c r="T507" s="597"/>
      <c r="U507" s="597"/>
      <c r="V507" s="597"/>
      <c r="W507" s="597"/>
      <c r="X507" s="597"/>
      <c r="Y507" s="597"/>
      <c r="Z507" s="597"/>
    </row>
    <row r="508" spans="1:26" ht="18.75" hidden="1">
      <c r="A508" s="642"/>
      <c r="B508" s="600"/>
      <c r="C508" s="750"/>
      <c r="D508" s="750"/>
      <c r="E508" s="750"/>
      <c r="F508" s="750" t="s">
        <v>186</v>
      </c>
      <c r="G508" s="596"/>
      <c r="H508" s="165" t="s">
        <v>12</v>
      </c>
      <c r="I508" s="610"/>
      <c r="J508" s="610"/>
      <c r="K508" s="93"/>
      <c r="L508" s="93"/>
      <c r="M508" s="93"/>
      <c r="N508" s="93">
        <v>0</v>
      </c>
      <c r="O508" s="93"/>
      <c r="P508" s="93"/>
      <c r="Q508" s="597"/>
      <c r="R508" s="597"/>
      <c r="S508" s="597"/>
      <c r="T508" s="597"/>
      <c r="U508" s="597"/>
      <c r="V508" s="597"/>
      <c r="W508" s="597"/>
      <c r="X508" s="597"/>
      <c r="Y508" s="597"/>
      <c r="Z508" s="597"/>
    </row>
    <row r="509" spans="1:26" ht="18.75" hidden="1">
      <c r="A509" s="642"/>
      <c r="B509" s="600"/>
      <c r="C509" s="750"/>
      <c r="D509" s="750"/>
      <c r="E509" s="750"/>
      <c r="F509" s="750" t="s">
        <v>187</v>
      </c>
      <c r="G509" s="596"/>
      <c r="H509" s="165" t="s">
        <v>12</v>
      </c>
      <c r="I509" s="610"/>
      <c r="J509" s="610"/>
      <c r="K509" s="93"/>
      <c r="L509" s="93"/>
      <c r="M509" s="93"/>
      <c r="N509" s="93">
        <v>0</v>
      </c>
      <c r="O509" s="93"/>
      <c r="P509" s="93"/>
      <c r="Q509" s="597"/>
      <c r="R509" s="597"/>
      <c r="S509" s="597"/>
      <c r="T509" s="597"/>
      <c r="U509" s="597"/>
      <c r="V509" s="597"/>
      <c r="W509" s="597"/>
      <c r="X509" s="597"/>
      <c r="Y509" s="597"/>
      <c r="Z509" s="597"/>
    </row>
    <row r="510" spans="1:26" ht="18.75" hidden="1">
      <c r="A510" s="642"/>
      <c r="B510" s="600"/>
      <c r="C510" s="600"/>
      <c r="D510" s="600"/>
      <c r="E510" s="750"/>
      <c r="F510" s="750" t="s">
        <v>188</v>
      </c>
      <c r="G510" s="596"/>
      <c r="H510" s="165" t="s">
        <v>12</v>
      </c>
      <c r="I510" s="610"/>
      <c r="J510" s="610"/>
      <c r="K510" s="93"/>
      <c r="L510" s="93"/>
      <c r="M510" s="93"/>
      <c r="N510" s="93">
        <v>0</v>
      </c>
      <c r="O510" s="93"/>
      <c r="P510" s="93"/>
      <c r="Q510" s="597"/>
      <c r="R510" s="597"/>
      <c r="S510" s="597"/>
      <c r="T510" s="597"/>
      <c r="U510" s="597"/>
      <c r="V510" s="597"/>
      <c r="W510" s="597"/>
      <c r="X510" s="597"/>
      <c r="Y510" s="597"/>
      <c r="Z510" s="597"/>
    </row>
    <row r="511" spans="1:26" ht="18.75" hidden="1">
      <c r="A511" s="642"/>
      <c r="B511" s="600"/>
      <c r="C511" s="600"/>
      <c r="D511" s="600"/>
      <c r="E511" s="750"/>
      <c r="F511" s="750" t="s">
        <v>189</v>
      </c>
      <c r="G511" s="596"/>
      <c r="H511" s="165" t="s">
        <v>12</v>
      </c>
      <c r="I511" s="610"/>
      <c r="J511" s="610"/>
      <c r="K511" s="93"/>
      <c r="L511" s="93"/>
      <c r="M511" s="93"/>
      <c r="N511" s="93">
        <v>0</v>
      </c>
      <c r="O511" s="93"/>
      <c r="P511" s="93"/>
      <c r="Q511" s="597"/>
      <c r="R511" s="597"/>
      <c r="S511" s="597"/>
      <c r="T511" s="597"/>
      <c r="U511" s="597"/>
      <c r="V511" s="597"/>
      <c r="W511" s="597"/>
      <c r="X511" s="597"/>
      <c r="Y511" s="597"/>
      <c r="Z511" s="597"/>
    </row>
    <row r="512" spans="1:26" ht="18.75" hidden="1">
      <c r="A512" s="592"/>
      <c r="B512" s="600"/>
      <c r="C512" s="600"/>
      <c r="D512" s="641" t="s">
        <v>21</v>
      </c>
      <c r="E512" s="600"/>
      <c r="F512" s="750"/>
      <c r="G512" s="596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597"/>
      <c r="R512" s="597"/>
      <c r="S512" s="597"/>
      <c r="T512" s="597"/>
      <c r="U512" s="597"/>
      <c r="V512" s="597"/>
      <c r="W512" s="597"/>
      <c r="X512" s="597"/>
      <c r="Y512" s="597"/>
      <c r="Z512" s="597"/>
    </row>
    <row r="513" spans="1:26" ht="18.75" hidden="1">
      <c r="A513" s="592"/>
      <c r="B513" s="600"/>
      <c r="C513" s="600"/>
      <c r="D513" s="600"/>
      <c r="E513" s="600" t="s">
        <v>18</v>
      </c>
      <c r="F513" s="750"/>
      <c r="G513" s="596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597"/>
      <c r="R513" s="597"/>
      <c r="S513" s="597"/>
      <c r="T513" s="597"/>
      <c r="U513" s="597"/>
      <c r="V513" s="597"/>
      <c r="W513" s="597"/>
      <c r="X513" s="597"/>
      <c r="Y513" s="597"/>
      <c r="Z513" s="597"/>
    </row>
    <row r="514" spans="1:26" ht="18.75" hidden="1">
      <c r="A514" s="592"/>
      <c r="B514" s="600"/>
      <c r="C514" s="600"/>
      <c r="D514" s="750"/>
      <c r="E514" s="600" t="s">
        <v>19</v>
      </c>
      <c r="F514" s="750"/>
      <c r="G514" s="596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597"/>
      <c r="R514" s="597"/>
      <c r="S514" s="597"/>
      <c r="T514" s="597"/>
      <c r="U514" s="597"/>
      <c r="V514" s="597"/>
      <c r="W514" s="597"/>
      <c r="X514" s="597"/>
      <c r="Y514" s="597"/>
      <c r="Z514" s="597"/>
    </row>
    <row r="515" spans="1:26" ht="19.5" hidden="1">
      <c r="A515" s="607"/>
      <c r="B515" s="609"/>
      <c r="C515" s="600" t="s">
        <v>16</v>
      </c>
      <c r="D515" s="838" t="s">
        <v>38</v>
      </c>
      <c r="E515" s="644"/>
      <c r="F515" s="644"/>
      <c r="G515" s="645"/>
      <c r="H515" s="365"/>
      <c r="I515" s="166"/>
      <c r="J515" s="166"/>
      <c r="K515" s="167"/>
      <c r="L515" s="167"/>
      <c r="M515" s="167"/>
      <c r="N515" s="167"/>
      <c r="O515" s="167"/>
      <c r="P515" s="167"/>
      <c r="Q515" s="597"/>
      <c r="R515" s="597"/>
      <c r="S515" s="597"/>
      <c r="T515" s="597"/>
      <c r="U515" s="597"/>
      <c r="V515" s="597"/>
      <c r="W515" s="597"/>
      <c r="X515" s="597"/>
      <c r="Y515" s="597"/>
      <c r="Z515" s="597"/>
    </row>
    <row r="516" spans="1:26" ht="18.75" hidden="1">
      <c r="A516" s="607"/>
      <c r="B516" s="609"/>
      <c r="C516" s="609"/>
      <c r="D516" s="609" t="s">
        <v>221</v>
      </c>
      <c r="E516" s="711"/>
      <c r="F516" s="711"/>
      <c r="G516" s="365"/>
      <c r="H516" s="646" t="s">
        <v>109</v>
      </c>
      <c r="I516" s="610"/>
      <c r="J516" s="610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597"/>
      <c r="R516" s="597"/>
      <c r="S516" s="597"/>
      <c r="T516" s="597"/>
      <c r="U516" s="597"/>
      <c r="V516" s="597"/>
      <c r="W516" s="597"/>
      <c r="X516" s="597"/>
      <c r="Y516" s="597"/>
      <c r="Z516" s="597"/>
    </row>
    <row r="517" spans="1:26" ht="19.5" hidden="1">
      <c r="A517" s="607"/>
      <c r="B517" s="609"/>
      <c r="C517" s="609"/>
      <c r="D517" s="609" t="s">
        <v>222</v>
      </c>
      <c r="E517" s="711"/>
      <c r="F517" s="711"/>
      <c r="G517" s="365"/>
      <c r="H517" s="647" t="s">
        <v>35</v>
      </c>
      <c r="I517" s="648"/>
      <c r="J517" s="648">
        <f>J518+J519</f>
        <v>0</v>
      </c>
      <c r="K517" s="649">
        <f t="shared" si="224"/>
        <v>0</v>
      </c>
      <c r="L517" s="167"/>
      <c r="M517" s="167"/>
      <c r="N517" s="167"/>
      <c r="O517" s="167"/>
      <c r="P517" s="167"/>
      <c r="Q517" s="597"/>
      <c r="R517" s="597"/>
      <c r="S517" s="597"/>
      <c r="T517" s="597"/>
      <c r="U517" s="597"/>
      <c r="V517" s="597"/>
      <c r="W517" s="597"/>
      <c r="X517" s="597"/>
      <c r="Y517" s="597"/>
      <c r="Z517" s="597"/>
    </row>
    <row r="518" spans="1:26" ht="18.75" hidden="1">
      <c r="A518" s="607"/>
      <c r="B518" s="609"/>
      <c r="C518" s="609"/>
      <c r="D518" s="609"/>
      <c r="E518" s="609" t="s">
        <v>223</v>
      </c>
      <c r="F518" s="711"/>
      <c r="G518" s="365"/>
      <c r="H518" s="369" t="s">
        <v>35</v>
      </c>
      <c r="I518" s="610"/>
      <c r="J518" s="610"/>
      <c r="K518" s="167"/>
      <c r="L518" s="167"/>
      <c r="M518" s="167"/>
      <c r="N518" s="167"/>
      <c r="O518" s="167"/>
      <c r="P518" s="167"/>
      <c r="Q518" s="597"/>
      <c r="R518" s="597"/>
      <c r="S518" s="597"/>
      <c r="T518" s="597"/>
      <c r="U518" s="597"/>
      <c r="V518" s="597"/>
      <c r="W518" s="597"/>
      <c r="X518" s="597"/>
      <c r="Y518" s="597"/>
      <c r="Z518" s="597"/>
    </row>
    <row r="519" spans="1:26" ht="18.75" hidden="1">
      <c r="A519" s="607"/>
      <c r="B519" s="609"/>
      <c r="C519" s="609"/>
      <c r="D519" s="609"/>
      <c r="E519" s="609" t="s">
        <v>224</v>
      </c>
      <c r="F519" s="711"/>
      <c r="G519" s="365"/>
      <c r="H519" s="646" t="s">
        <v>35</v>
      </c>
      <c r="I519" s="610"/>
      <c r="J519" s="610"/>
      <c r="K519" s="167"/>
      <c r="L519" s="167"/>
      <c r="M519" s="167"/>
      <c r="N519" s="167"/>
      <c r="O519" s="167"/>
      <c r="P519" s="167"/>
      <c r="Q519" s="597"/>
      <c r="R519" s="597"/>
      <c r="S519" s="597"/>
      <c r="T519" s="597"/>
      <c r="U519" s="597"/>
      <c r="V519" s="597"/>
      <c r="W519" s="597"/>
      <c r="X519" s="597"/>
      <c r="Y519" s="597"/>
      <c r="Z519" s="597"/>
    </row>
    <row r="520" spans="1:26" ht="19.5">
      <c r="A520" s="650" t="s">
        <v>137</v>
      </c>
      <c r="B520" s="651"/>
      <c r="C520" s="651"/>
      <c r="D520" s="652"/>
      <c r="E520" s="652"/>
      <c r="F520" s="652"/>
      <c r="G520" s="653"/>
      <c r="H520" s="654"/>
      <c r="I520" s="655"/>
      <c r="J520" s="655"/>
      <c r="K520" s="656"/>
      <c r="L520" s="656"/>
      <c r="M520" s="656"/>
      <c r="N520" s="656"/>
      <c r="O520" s="656"/>
      <c r="P520" s="656"/>
    </row>
    <row r="521" spans="1:26" ht="19.5" hidden="1">
      <c r="A521" s="657">
        <v>5</v>
      </c>
      <c r="B521" s="658" t="s">
        <v>225</v>
      </c>
      <c r="C521" s="659"/>
      <c r="D521" s="660"/>
      <c r="E521" s="660"/>
      <c r="F521" s="660"/>
      <c r="G521" s="660"/>
      <c r="H521" s="661"/>
      <c r="I521" s="662"/>
      <c r="J521" s="662"/>
      <c r="K521" s="663"/>
      <c r="L521" s="663"/>
      <c r="M521" s="663"/>
      <c r="N521" s="663"/>
      <c r="O521" s="663"/>
      <c r="P521" s="663"/>
      <c r="Q521" s="571"/>
      <c r="R521" s="571"/>
      <c r="S521" s="571"/>
      <c r="T521" s="571"/>
      <c r="U521" s="571"/>
      <c r="V521" s="571"/>
      <c r="W521" s="571"/>
      <c r="X521" s="571"/>
      <c r="Y521" s="571"/>
      <c r="Z521" s="571"/>
    </row>
    <row r="522" spans="1:26" ht="19.5" hidden="1">
      <c r="A522" s="664"/>
      <c r="B522" s="665" t="s">
        <v>226</v>
      </c>
      <c r="C522" s="666"/>
      <c r="D522" s="666"/>
      <c r="E522" s="666"/>
      <c r="F522" s="666"/>
      <c r="G522" s="667"/>
      <c r="H522" s="668" t="s">
        <v>35</v>
      </c>
      <c r="I522" s="699">
        <f t="shared" ref="I522:J522" ca="1" si="225">I537</f>
        <v>0</v>
      </c>
      <c r="J522" s="699">
        <f t="shared" ca="1" si="225"/>
        <v>0</v>
      </c>
      <c r="K522" s="670">
        <f ca="1">IF(I522&gt;0,J522*100/I522,0)</f>
        <v>0</v>
      </c>
      <c r="L522" s="671"/>
      <c r="M522" s="671"/>
      <c r="N522" s="671"/>
      <c r="O522" s="671"/>
      <c r="P522" s="671"/>
      <c r="Q522" s="571"/>
      <c r="R522" s="571"/>
      <c r="S522" s="571"/>
      <c r="T522" s="571"/>
      <c r="U522" s="571"/>
      <c r="V522" s="571"/>
      <c r="W522" s="571"/>
      <c r="X522" s="571"/>
      <c r="Y522" s="571"/>
      <c r="Z522" s="571"/>
    </row>
    <row r="523" spans="1:26" ht="19.5" hidden="1">
      <c r="A523" s="590"/>
      <c r="B523" s="754"/>
      <c r="C523" s="754" t="s">
        <v>16</v>
      </c>
      <c r="D523" s="863" t="s">
        <v>17</v>
      </c>
      <c r="E523" s="857"/>
      <c r="F523" s="857"/>
      <c r="G523" s="189"/>
      <c r="H523" s="591" t="s">
        <v>12</v>
      </c>
      <c r="I523" s="269"/>
      <c r="J523" s="269"/>
      <c r="K523" s="496"/>
      <c r="L523" s="195">
        <f t="shared" ref="L523:N523" ca="1" si="226">L524+L525</f>
        <v>0</v>
      </c>
      <c r="M523" s="195">
        <f t="shared" si="226"/>
        <v>0</v>
      </c>
      <c r="N523" s="195">
        <f t="shared" si="226"/>
        <v>0</v>
      </c>
      <c r="O523" s="195">
        <f t="shared" ref="O523:O528" ca="1" si="227">IF(L523&gt;0,N523*100/L523,0)</f>
        <v>0</v>
      </c>
      <c r="P523" s="195">
        <f t="shared" ref="P523:P528" si="228">IF(M523&gt;0,N523*100/M523,0)</f>
        <v>0</v>
      </c>
      <c r="Q523" s="571"/>
      <c r="R523" s="571"/>
      <c r="S523" s="571"/>
      <c r="T523" s="571"/>
      <c r="U523" s="571"/>
      <c r="V523" s="571"/>
      <c r="W523" s="571"/>
      <c r="X523" s="571"/>
      <c r="Y523" s="571"/>
      <c r="Z523" s="571"/>
    </row>
    <row r="524" spans="1:26" ht="18.75" hidden="1">
      <c r="A524" s="592"/>
      <c r="B524" s="750"/>
      <c r="C524" s="750"/>
      <c r="D524" s="711"/>
      <c r="E524" s="750" t="s">
        <v>184</v>
      </c>
      <c r="F524" s="750"/>
      <c r="G524" s="596"/>
      <c r="H524" s="165" t="s">
        <v>12</v>
      </c>
      <c r="I524" s="610"/>
      <c r="J524" s="610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597"/>
      <c r="R524" s="597"/>
      <c r="S524" s="597"/>
      <c r="T524" s="597"/>
      <c r="U524" s="597"/>
      <c r="V524" s="597"/>
      <c r="W524" s="597"/>
      <c r="X524" s="597"/>
      <c r="Y524" s="597"/>
      <c r="Z524" s="597"/>
    </row>
    <row r="525" spans="1:26" ht="18.75" hidden="1">
      <c r="A525" s="592"/>
      <c r="B525" s="600"/>
      <c r="C525" s="750"/>
      <c r="D525" s="711"/>
      <c r="E525" s="750" t="s">
        <v>185</v>
      </c>
      <c r="F525" s="750"/>
      <c r="G525" s="596"/>
      <c r="H525" s="165" t="s">
        <v>12</v>
      </c>
      <c r="I525" s="610"/>
      <c r="J525" s="610"/>
      <c r="K525" s="93"/>
      <c r="L525" s="93">
        <f t="shared" ca="1" si="229"/>
        <v>0</v>
      </c>
      <c r="M525" s="93">
        <f t="shared" si="229"/>
        <v>0</v>
      </c>
      <c r="N525" s="93">
        <f t="shared" si="229"/>
        <v>0</v>
      </c>
      <c r="O525" s="93">
        <f t="shared" ca="1" si="227"/>
        <v>0</v>
      </c>
      <c r="P525" s="93">
        <f t="shared" si="228"/>
        <v>0</v>
      </c>
      <c r="Q525" s="597"/>
      <c r="R525" s="597"/>
      <c r="S525" s="597"/>
      <c r="T525" s="597"/>
      <c r="U525" s="597"/>
      <c r="V525" s="597"/>
      <c r="W525" s="597"/>
      <c r="X525" s="597"/>
      <c r="Y525" s="597"/>
      <c r="Z525" s="597"/>
    </row>
    <row r="526" spans="1:26" ht="18.75" hidden="1">
      <c r="A526" s="590"/>
      <c r="B526" s="568"/>
      <c r="C526" s="754"/>
      <c r="D526" s="599" t="s">
        <v>20</v>
      </c>
      <c r="E526" s="754"/>
      <c r="F526" s="754"/>
      <c r="G526" s="189"/>
      <c r="H526" s="161" t="s">
        <v>12</v>
      </c>
      <c r="I526" s="184"/>
      <c r="J526" s="184"/>
      <c r="K526" s="163"/>
      <c r="L526" s="496">
        <f t="shared" ref="L526:N526" ca="1" si="230">L527+L528</f>
        <v>0</v>
      </c>
      <c r="M526" s="496">
        <f t="shared" si="230"/>
        <v>0</v>
      </c>
      <c r="N526" s="496">
        <f t="shared" si="230"/>
        <v>0</v>
      </c>
      <c r="O526" s="496">
        <f t="shared" ca="1" si="227"/>
        <v>0</v>
      </c>
      <c r="P526" s="496">
        <f t="shared" si="228"/>
        <v>0</v>
      </c>
      <c r="Q526" s="571"/>
      <c r="R526" s="571"/>
      <c r="S526" s="571"/>
      <c r="T526" s="571"/>
      <c r="U526" s="571"/>
      <c r="V526" s="571"/>
      <c r="W526" s="571"/>
      <c r="X526" s="571"/>
      <c r="Y526" s="571"/>
      <c r="Z526" s="571"/>
    </row>
    <row r="527" spans="1:26" ht="18.75" hidden="1">
      <c r="A527" s="592"/>
      <c r="B527" s="600"/>
      <c r="C527" s="750"/>
      <c r="D527" s="711"/>
      <c r="E527" s="750" t="s">
        <v>184</v>
      </c>
      <c r="F527" s="750"/>
      <c r="G527" s="596"/>
      <c r="H527" s="165" t="s">
        <v>12</v>
      </c>
      <c r="I527" s="610"/>
      <c r="J527" s="610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597"/>
      <c r="R527" s="597"/>
      <c r="S527" s="597"/>
      <c r="T527" s="597"/>
      <c r="U527" s="597"/>
      <c r="V527" s="597"/>
      <c r="W527" s="597"/>
      <c r="X527" s="597"/>
      <c r="Y527" s="597"/>
      <c r="Z527" s="597"/>
    </row>
    <row r="528" spans="1:26" ht="18.75" hidden="1">
      <c r="A528" s="592"/>
      <c r="B528" s="600"/>
      <c r="C528" s="750"/>
      <c r="D528" s="711"/>
      <c r="E528" s="750" t="s">
        <v>185</v>
      </c>
      <c r="F528" s="750"/>
      <c r="G528" s="596"/>
      <c r="H528" s="165" t="s">
        <v>12</v>
      </c>
      <c r="I528" s="610"/>
      <c r="J528" s="610"/>
      <c r="K528" s="93"/>
      <c r="L528" s="93">
        <f ca="1">IFERROR(__xludf.DUMMYFUNCTION("IMPORTRANGE(""https://docs.google.com/spreadsheets/d/1QqKyyYR6Q21VydFLVH3TRQUabQu_ym0Zz7PgGX0-kHA/edit?usp=sharing"",""แผน!GQ57"")"),0)</f>
        <v>0</v>
      </c>
      <c r="M528" s="93">
        <v>0</v>
      </c>
      <c r="N528" s="93">
        <f>N529+N530+N531+N532</f>
        <v>0</v>
      </c>
      <c r="O528" s="93">
        <f t="shared" ca="1" si="227"/>
        <v>0</v>
      </c>
      <c r="P528" s="93">
        <f t="shared" si="228"/>
        <v>0</v>
      </c>
      <c r="Q528" s="597"/>
      <c r="R528" s="597"/>
      <c r="S528" s="597"/>
      <c r="T528" s="597"/>
      <c r="U528" s="597"/>
      <c r="V528" s="597"/>
      <c r="W528" s="597"/>
      <c r="X528" s="597"/>
      <c r="Y528" s="597"/>
      <c r="Z528" s="597"/>
    </row>
    <row r="529" spans="1:26" ht="18.75" hidden="1">
      <c r="A529" s="567"/>
      <c r="B529" s="568"/>
      <c r="C529" s="754"/>
      <c r="D529" s="754"/>
      <c r="E529" s="754"/>
      <c r="F529" s="754" t="s">
        <v>186</v>
      </c>
      <c r="G529" s="189"/>
      <c r="H529" s="161" t="s">
        <v>12</v>
      </c>
      <c r="I529" s="269"/>
      <c r="J529" s="269"/>
      <c r="K529" s="496"/>
      <c r="L529" s="496"/>
      <c r="M529" s="496"/>
      <c r="N529" s="817">
        <v>0</v>
      </c>
      <c r="O529" s="496"/>
      <c r="P529" s="496"/>
      <c r="Q529" s="571"/>
      <c r="R529" s="571"/>
      <c r="S529" s="571"/>
      <c r="T529" s="571"/>
      <c r="U529" s="571"/>
      <c r="V529" s="571"/>
      <c r="W529" s="571"/>
      <c r="X529" s="571"/>
      <c r="Y529" s="571"/>
      <c r="Z529" s="571"/>
    </row>
    <row r="530" spans="1:26" ht="18.75" hidden="1">
      <c r="A530" s="567"/>
      <c r="B530" s="568"/>
      <c r="C530" s="754"/>
      <c r="D530" s="754"/>
      <c r="E530" s="754"/>
      <c r="F530" s="754" t="s">
        <v>187</v>
      </c>
      <c r="G530" s="189"/>
      <c r="H530" s="161" t="s">
        <v>12</v>
      </c>
      <c r="I530" s="269"/>
      <c r="J530" s="269"/>
      <c r="K530" s="496"/>
      <c r="L530" s="496"/>
      <c r="M530" s="496"/>
      <c r="N530" s="817">
        <v>0</v>
      </c>
      <c r="O530" s="496"/>
      <c r="P530" s="496"/>
      <c r="Q530" s="571"/>
      <c r="R530" s="571"/>
      <c r="S530" s="571"/>
      <c r="T530" s="571"/>
      <c r="U530" s="571"/>
      <c r="V530" s="571"/>
      <c r="W530" s="571"/>
      <c r="X530" s="571"/>
      <c r="Y530" s="571"/>
      <c r="Z530" s="571"/>
    </row>
    <row r="531" spans="1:26" ht="18.75" hidden="1">
      <c r="A531" s="567"/>
      <c r="B531" s="568"/>
      <c r="C531" s="754"/>
      <c r="D531" s="754"/>
      <c r="E531" s="754"/>
      <c r="F531" s="754" t="s">
        <v>188</v>
      </c>
      <c r="G531" s="189"/>
      <c r="H531" s="161" t="s">
        <v>12</v>
      </c>
      <c r="I531" s="269"/>
      <c r="J531" s="269"/>
      <c r="K531" s="496"/>
      <c r="L531" s="496"/>
      <c r="M531" s="496"/>
      <c r="N531" s="817">
        <v>0</v>
      </c>
      <c r="O531" s="496"/>
      <c r="P531" s="496"/>
      <c r="Q531" s="571"/>
      <c r="R531" s="571"/>
      <c r="S531" s="571"/>
      <c r="T531" s="571"/>
      <c r="U531" s="571"/>
      <c r="V531" s="571"/>
      <c r="W531" s="571"/>
      <c r="X531" s="571"/>
      <c r="Y531" s="571"/>
      <c r="Z531" s="571"/>
    </row>
    <row r="532" spans="1:26" ht="18.75" hidden="1">
      <c r="A532" s="567"/>
      <c r="B532" s="568"/>
      <c r="C532" s="754"/>
      <c r="D532" s="754"/>
      <c r="E532" s="754"/>
      <c r="F532" s="754" t="s">
        <v>189</v>
      </c>
      <c r="G532" s="189"/>
      <c r="H532" s="161" t="s">
        <v>12</v>
      </c>
      <c r="I532" s="269"/>
      <c r="J532" s="269"/>
      <c r="K532" s="496"/>
      <c r="L532" s="496"/>
      <c r="M532" s="496"/>
      <c r="N532" s="817">
        <v>0</v>
      </c>
      <c r="O532" s="496"/>
      <c r="P532" s="496"/>
      <c r="Q532" s="571"/>
      <c r="R532" s="571"/>
      <c r="S532" s="571"/>
      <c r="T532" s="571"/>
      <c r="U532" s="571"/>
      <c r="V532" s="571"/>
      <c r="W532" s="571"/>
      <c r="X532" s="571"/>
      <c r="Y532" s="571"/>
      <c r="Z532" s="571"/>
    </row>
    <row r="533" spans="1:26" ht="18.75" hidden="1">
      <c r="A533" s="590"/>
      <c r="B533" s="568"/>
      <c r="C533" s="754"/>
      <c r="D533" s="599" t="s">
        <v>21</v>
      </c>
      <c r="E533" s="754"/>
      <c r="F533" s="754"/>
      <c r="G533" s="189"/>
      <c r="H533" s="168" t="s">
        <v>12</v>
      </c>
      <c r="I533" s="184"/>
      <c r="J533" s="184"/>
      <c r="K533" s="163"/>
      <c r="L533" s="496">
        <f t="shared" ref="L533:N533" ca="1" si="231">L534+L535</f>
        <v>0</v>
      </c>
      <c r="M533" s="496">
        <f t="shared" si="231"/>
        <v>0</v>
      </c>
      <c r="N533" s="496">
        <f t="shared" si="231"/>
        <v>0</v>
      </c>
      <c r="O533" s="496">
        <f t="shared" ref="O533:O535" ca="1" si="232">IF(L533&gt;0,N533*100/L533,0)</f>
        <v>0</v>
      </c>
      <c r="P533" s="496">
        <f t="shared" ref="P533:P535" si="233">IF(M533&gt;0,N533*100/M533,0)</f>
        <v>0</v>
      </c>
      <c r="Q533" s="571"/>
      <c r="R533" s="571"/>
      <c r="S533" s="571"/>
      <c r="T533" s="571"/>
      <c r="U533" s="571"/>
      <c r="V533" s="571"/>
      <c r="W533" s="571"/>
      <c r="X533" s="571"/>
      <c r="Y533" s="571"/>
      <c r="Z533" s="571"/>
    </row>
    <row r="534" spans="1:26" ht="18.75" hidden="1">
      <c r="A534" s="592"/>
      <c r="B534" s="600"/>
      <c r="C534" s="750"/>
      <c r="D534" s="750"/>
      <c r="E534" s="750" t="s">
        <v>18</v>
      </c>
      <c r="F534" s="750"/>
      <c r="G534" s="596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597"/>
      <c r="R534" s="597"/>
      <c r="S534" s="597"/>
      <c r="T534" s="597"/>
      <c r="U534" s="597"/>
      <c r="V534" s="597"/>
      <c r="W534" s="597"/>
      <c r="X534" s="597"/>
      <c r="Y534" s="597"/>
      <c r="Z534" s="597"/>
    </row>
    <row r="535" spans="1:26" ht="18.75" hidden="1">
      <c r="A535" s="592"/>
      <c r="B535" s="600"/>
      <c r="C535" s="750"/>
      <c r="D535" s="750"/>
      <c r="E535" s="750" t="s">
        <v>19</v>
      </c>
      <c r="F535" s="750"/>
      <c r="G535" s="596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IFERROR(__xludf.DUMMYFUNCTION("IMPORTRANGE(""https://docs.google.com/spreadsheets/d/1QqKyyYR6Q21VydFLVH3TRQUabQu_ym0Zz7PgGX0-kHA/edit?usp=sharing"",""แผน!GT57"")"),0)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597"/>
      <c r="R535" s="597"/>
      <c r="S535" s="597"/>
      <c r="T535" s="597"/>
      <c r="U535" s="597"/>
      <c r="V535" s="597"/>
      <c r="W535" s="597"/>
      <c r="X535" s="597"/>
      <c r="Y535" s="597"/>
      <c r="Z535" s="597"/>
    </row>
    <row r="536" spans="1:26" ht="19.5" hidden="1">
      <c r="A536" s="601"/>
      <c r="B536" s="611"/>
      <c r="C536" s="754" t="s">
        <v>16</v>
      </c>
      <c r="D536" s="839" t="s">
        <v>38</v>
      </c>
      <c r="E536" s="752"/>
      <c r="F536" s="752"/>
      <c r="G536" s="606"/>
      <c r="H536" s="753"/>
      <c r="I536" s="184"/>
      <c r="J536" s="184"/>
      <c r="K536" s="163"/>
      <c r="L536" s="163"/>
      <c r="M536" s="163"/>
      <c r="N536" s="163"/>
      <c r="O536" s="163"/>
      <c r="P536" s="163"/>
      <c r="Q536" s="571"/>
      <c r="R536" s="571"/>
      <c r="S536" s="571"/>
      <c r="T536" s="571"/>
      <c r="U536" s="571"/>
      <c r="V536" s="571"/>
      <c r="W536" s="571"/>
      <c r="X536" s="571"/>
      <c r="Y536" s="571"/>
      <c r="Z536" s="571"/>
    </row>
    <row r="537" spans="1:26" ht="19.5" hidden="1">
      <c r="A537" s="567"/>
      <c r="B537" s="568"/>
      <c r="C537" s="754"/>
      <c r="D537" s="754" t="s">
        <v>227</v>
      </c>
      <c r="E537" s="754"/>
      <c r="F537" s="754"/>
      <c r="G537" s="189"/>
      <c r="H537" s="616" t="s">
        <v>35</v>
      </c>
      <c r="I537" s="674">
        <f ca="1">IFERROR(__xludf.DUMMYFUNCTION("IMPORTRANGE(""https://docs.google.com/spreadsheets/d/1QqKyyYR6Q21VydFLVH3TRQUabQu_ym0Zz7PgGX0-kHA/edit?usp=sharing"",""แผน!GU57"")"),0)</f>
        <v>0</v>
      </c>
      <c r="J537" s="674">
        <f ca="1">IF(AND(J538=I538,J539=I539,J540=I540,J541=I541),I537,0)</f>
        <v>0</v>
      </c>
      <c r="K537" s="496">
        <f t="shared" ref="K537:K543" ca="1" si="234">IF(I537&gt;0,J537*100/I537,0)</f>
        <v>0</v>
      </c>
      <c r="L537" s="496"/>
      <c r="M537" s="496"/>
      <c r="N537" s="496"/>
      <c r="O537" s="496"/>
      <c r="P537" s="496"/>
      <c r="Q537" s="675"/>
      <c r="R537" s="675"/>
      <c r="S537" s="675"/>
      <c r="T537" s="675"/>
      <c r="U537" s="675"/>
      <c r="V537" s="675"/>
      <c r="W537" s="675"/>
      <c r="X537" s="675"/>
      <c r="Y537" s="675"/>
      <c r="Z537" s="675"/>
    </row>
    <row r="538" spans="1:26" ht="18.75" hidden="1">
      <c r="A538" s="567"/>
      <c r="B538" s="568"/>
      <c r="C538" s="754"/>
      <c r="D538" s="754"/>
      <c r="E538" s="754" t="s">
        <v>228</v>
      </c>
      <c r="F538" s="754"/>
      <c r="G538" s="189"/>
      <c r="H538" s="616" t="s">
        <v>35</v>
      </c>
      <c r="I538" s="269">
        <f ca="1">IFERROR(__xludf.DUMMYFUNCTION("IMPORTRANGE(""https://docs.google.com/spreadsheets/d/1QqKyyYR6Q21VydFLVH3TRQUabQu_ym0Zz7PgGX0-kHA/edit?usp=sharing"",""แผน!GV57"")"),0)</f>
        <v>0</v>
      </c>
      <c r="J538" s="214">
        <v>0</v>
      </c>
      <c r="K538" s="496">
        <f t="shared" ca="1" si="234"/>
        <v>0</v>
      </c>
      <c r="L538" s="496"/>
      <c r="M538" s="496"/>
      <c r="N538" s="496"/>
      <c r="O538" s="496"/>
      <c r="P538" s="496"/>
      <c r="Q538" s="675"/>
      <c r="R538" s="675"/>
      <c r="S538" s="675"/>
      <c r="T538" s="675"/>
      <c r="U538" s="675"/>
      <c r="V538" s="675"/>
      <c r="W538" s="675"/>
      <c r="X538" s="675"/>
      <c r="Y538" s="675"/>
      <c r="Z538" s="675"/>
    </row>
    <row r="539" spans="1:26" ht="18.75" hidden="1">
      <c r="A539" s="567"/>
      <c r="B539" s="568"/>
      <c r="C539" s="754"/>
      <c r="D539" s="754"/>
      <c r="E539" s="754" t="s">
        <v>229</v>
      </c>
      <c r="F539" s="754"/>
      <c r="G539" s="189"/>
      <c r="H539" s="616" t="s">
        <v>35</v>
      </c>
      <c r="I539" s="269">
        <f ca="1">IFERROR(__xludf.DUMMYFUNCTION("IMPORTRANGE(""https://docs.google.com/spreadsheets/d/1QqKyyYR6Q21VydFLVH3TRQUabQu_ym0Zz7PgGX0-kHA/edit?usp=sharing"",""แผน!GW57"")"),0)</f>
        <v>0</v>
      </c>
      <c r="J539" s="214">
        <v>0</v>
      </c>
      <c r="K539" s="496">
        <f t="shared" ca="1" si="234"/>
        <v>0</v>
      </c>
      <c r="L539" s="496"/>
      <c r="M539" s="496"/>
      <c r="N539" s="496"/>
      <c r="O539" s="496"/>
      <c r="P539" s="496"/>
      <c r="Q539" s="675"/>
      <c r="R539" s="675"/>
      <c r="S539" s="675"/>
      <c r="T539" s="675"/>
      <c r="U539" s="675"/>
      <c r="V539" s="675"/>
      <c r="W539" s="675"/>
      <c r="X539" s="675"/>
      <c r="Y539" s="675"/>
      <c r="Z539" s="675"/>
    </row>
    <row r="540" spans="1:26" ht="18.75" hidden="1">
      <c r="A540" s="567"/>
      <c r="B540" s="568"/>
      <c r="C540" s="754"/>
      <c r="D540" s="754"/>
      <c r="E540" s="754" t="s">
        <v>230</v>
      </c>
      <c r="F540" s="754"/>
      <c r="G540" s="189"/>
      <c r="H540" s="616" t="s">
        <v>35</v>
      </c>
      <c r="I540" s="269">
        <f ca="1">IFERROR(__xludf.DUMMYFUNCTION("IMPORTRANGE(""https://docs.google.com/spreadsheets/d/1QqKyyYR6Q21VydFLVH3TRQUabQu_ym0Zz7PgGX0-kHA/edit?usp=sharing"",""แผน!GX57"")"),0)</f>
        <v>0</v>
      </c>
      <c r="J540" s="214">
        <v>0</v>
      </c>
      <c r="K540" s="496">
        <f t="shared" ca="1" si="234"/>
        <v>0</v>
      </c>
      <c r="L540" s="496"/>
      <c r="M540" s="496"/>
      <c r="N540" s="496"/>
      <c r="O540" s="496"/>
      <c r="P540" s="496"/>
      <c r="Q540" s="675"/>
      <c r="R540" s="675"/>
      <c r="S540" s="675"/>
      <c r="T540" s="675"/>
      <c r="U540" s="675"/>
      <c r="V540" s="675"/>
      <c r="W540" s="675"/>
      <c r="X540" s="675"/>
      <c r="Y540" s="675"/>
      <c r="Z540" s="675"/>
    </row>
    <row r="541" spans="1:26" ht="18.75" hidden="1">
      <c r="A541" s="567"/>
      <c r="B541" s="568"/>
      <c r="C541" s="754"/>
      <c r="D541" s="754"/>
      <c r="E541" s="760" t="s">
        <v>231</v>
      </c>
      <c r="F541" s="754"/>
      <c r="G541" s="189"/>
      <c r="H541" s="616" t="s">
        <v>35</v>
      </c>
      <c r="I541" s="269">
        <f ca="1">IFERROR(__xludf.DUMMYFUNCTION("IMPORTRANGE(""https://docs.google.com/spreadsheets/d/1QqKyyYR6Q21VydFLVH3TRQUabQu_ym0Zz7PgGX0-kHA/edit?usp=sharing"",""แผน!GY57"")"),0)</f>
        <v>0</v>
      </c>
      <c r="J541" s="214">
        <v>0</v>
      </c>
      <c r="K541" s="496">
        <f t="shared" ca="1" si="234"/>
        <v>0</v>
      </c>
      <c r="L541" s="496"/>
      <c r="M541" s="496"/>
      <c r="N541" s="496"/>
      <c r="O541" s="496"/>
      <c r="P541" s="496"/>
      <c r="Q541" s="675"/>
      <c r="R541" s="675"/>
      <c r="S541" s="675"/>
      <c r="T541" s="675"/>
      <c r="U541" s="675"/>
      <c r="V541" s="675"/>
      <c r="W541" s="675"/>
      <c r="X541" s="675"/>
      <c r="Y541" s="675"/>
      <c r="Z541" s="675"/>
    </row>
    <row r="542" spans="1:26" ht="18.75" hidden="1">
      <c r="A542" s="567"/>
      <c r="B542" s="568"/>
      <c r="C542" s="754"/>
      <c r="D542" s="754" t="s">
        <v>59</v>
      </c>
      <c r="E542" s="754"/>
      <c r="F542" s="754"/>
      <c r="G542" s="189"/>
      <c r="H542" s="616" t="s">
        <v>35</v>
      </c>
      <c r="I542" s="269">
        <f ca="1">IFERROR(__xludf.DUMMYFUNCTION("IMPORTRANGE(""https://docs.google.com/spreadsheets/d/1QqKyyYR6Q21VydFLVH3TRQUabQu_ym0Zz7PgGX0-kHA/edit?usp=sharing"",""แผน!GZ57"")"),0)</f>
        <v>0</v>
      </c>
      <c r="J542" s="214">
        <v>0</v>
      </c>
      <c r="K542" s="496">
        <f t="shared" ca="1" si="234"/>
        <v>0</v>
      </c>
      <c r="L542" s="496"/>
      <c r="M542" s="496"/>
      <c r="N542" s="496"/>
      <c r="O542" s="496"/>
      <c r="P542" s="496"/>
      <c r="Q542" s="675"/>
      <c r="R542" s="675"/>
      <c r="S542" s="675"/>
      <c r="T542" s="675"/>
      <c r="U542" s="675"/>
      <c r="V542" s="675"/>
      <c r="W542" s="675"/>
      <c r="X542" s="675"/>
      <c r="Y542" s="675"/>
      <c r="Z542" s="675"/>
    </row>
    <row r="543" spans="1:26" ht="19.5">
      <c r="A543" s="657">
        <v>6</v>
      </c>
      <c r="B543" s="678" t="s">
        <v>232</v>
      </c>
      <c r="C543" s="660"/>
      <c r="D543" s="660"/>
      <c r="E543" s="660"/>
      <c r="F543" s="660"/>
      <c r="G543" s="661"/>
      <c r="H543" s="679" t="s">
        <v>46</v>
      </c>
      <c r="I543" s="680">
        <f t="shared" ref="I543:J543" ca="1" si="235">I559</f>
        <v>0</v>
      </c>
      <c r="J543" s="680">
        <f t="shared" si="235"/>
        <v>0</v>
      </c>
      <c r="K543" s="681">
        <f t="shared" ca="1" si="234"/>
        <v>0</v>
      </c>
      <c r="L543" s="663"/>
      <c r="M543" s="663"/>
      <c r="N543" s="663"/>
      <c r="O543" s="663"/>
      <c r="P543" s="663"/>
      <c r="Q543" s="571"/>
      <c r="R543" s="571"/>
      <c r="S543" s="571"/>
      <c r="T543" s="571"/>
      <c r="U543" s="571"/>
      <c r="V543" s="571"/>
      <c r="W543" s="571"/>
      <c r="X543" s="571"/>
      <c r="Y543" s="571"/>
      <c r="Z543" s="571"/>
    </row>
    <row r="544" spans="1:26" ht="19.5">
      <c r="A544" s="682"/>
      <c r="B544" s="683"/>
      <c r="C544" s="683" t="s">
        <v>16</v>
      </c>
      <c r="D544" s="867" t="s">
        <v>17</v>
      </c>
      <c r="E544" s="862"/>
      <c r="F544" s="862"/>
      <c r="G544" s="684"/>
      <c r="H544" s="274" t="s">
        <v>12</v>
      </c>
      <c r="I544" s="419"/>
      <c r="J544" s="419"/>
      <c r="K544" s="154"/>
      <c r="L544" s="155">
        <f t="shared" ref="L544:N544" ca="1" si="236">L545+L546</f>
        <v>217100</v>
      </c>
      <c r="M544" s="155">
        <f t="shared" si="236"/>
        <v>0</v>
      </c>
      <c r="N544" s="155">
        <f t="shared" si="236"/>
        <v>0</v>
      </c>
      <c r="O544" s="155">
        <f t="shared" ref="O544:O549" ca="1" si="237">IF(L544&gt;0,N544*100/L544,0)</f>
        <v>0</v>
      </c>
      <c r="P544" s="155">
        <f t="shared" ref="P544:P549" si="238">IF(M544&gt;0,N544*100/M544,0)</f>
        <v>0</v>
      </c>
      <c r="Q544" s="571"/>
      <c r="R544" s="571"/>
      <c r="S544" s="571"/>
      <c r="T544" s="571"/>
      <c r="U544" s="571"/>
      <c r="V544" s="571"/>
      <c r="W544" s="571"/>
      <c r="X544" s="571"/>
      <c r="Y544" s="571"/>
      <c r="Z544" s="571"/>
    </row>
    <row r="545" spans="1:26" ht="18.75" hidden="1">
      <c r="A545" s="592"/>
      <c r="B545" s="750"/>
      <c r="C545" s="750"/>
      <c r="D545" s="750"/>
      <c r="E545" s="750" t="s">
        <v>184</v>
      </c>
      <c r="F545" s="750"/>
      <c r="G545" s="596"/>
      <c r="H545" s="165" t="s">
        <v>12</v>
      </c>
      <c r="I545" s="610"/>
      <c r="J545" s="610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597"/>
      <c r="R545" s="597"/>
      <c r="S545" s="597"/>
      <c r="T545" s="597"/>
      <c r="U545" s="597"/>
      <c r="V545" s="597"/>
      <c r="W545" s="597"/>
      <c r="X545" s="597"/>
      <c r="Y545" s="597"/>
      <c r="Z545" s="597"/>
    </row>
    <row r="546" spans="1:26" ht="18.75" hidden="1">
      <c r="A546" s="592"/>
      <c r="B546" s="600"/>
      <c r="C546" s="750"/>
      <c r="D546" s="750"/>
      <c r="E546" s="750" t="s">
        <v>185</v>
      </c>
      <c r="F546" s="750"/>
      <c r="G546" s="596"/>
      <c r="H546" s="165" t="s">
        <v>12</v>
      </c>
      <c r="I546" s="610"/>
      <c r="J546" s="610"/>
      <c r="K546" s="93"/>
      <c r="L546" s="93">
        <f t="shared" ca="1" si="239"/>
        <v>217100</v>
      </c>
      <c r="M546" s="93">
        <f t="shared" si="240"/>
        <v>0</v>
      </c>
      <c r="N546" s="93">
        <f t="shared" si="240"/>
        <v>0</v>
      </c>
      <c r="O546" s="93">
        <f t="shared" ca="1" si="237"/>
        <v>0</v>
      </c>
      <c r="P546" s="93">
        <f t="shared" si="238"/>
        <v>0</v>
      </c>
      <c r="Q546" s="597"/>
      <c r="R546" s="597"/>
      <c r="S546" s="597"/>
      <c r="T546" s="597"/>
      <c r="U546" s="597"/>
      <c r="V546" s="597"/>
      <c r="W546" s="597"/>
      <c r="X546" s="597"/>
      <c r="Y546" s="597"/>
      <c r="Z546" s="597"/>
    </row>
    <row r="547" spans="1:26" ht="18.75">
      <c r="A547" s="590"/>
      <c r="B547" s="568"/>
      <c r="C547" s="754"/>
      <c r="D547" s="599" t="s">
        <v>20</v>
      </c>
      <c r="E547" s="754"/>
      <c r="F547" s="754"/>
      <c r="G547" s="189"/>
      <c r="H547" s="161" t="s">
        <v>12</v>
      </c>
      <c r="I547" s="184"/>
      <c r="J547" s="184"/>
      <c r="K547" s="163"/>
      <c r="L547" s="496">
        <f t="shared" ref="L547:N547" ca="1" si="241">L548+L549</f>
        <v>217100</v>
      </c>
      <c r="M547" s="496">
        <f t="shared" si="241"/>
        <v>0</v>
      </c>
      <c r="N547" s="496">
        <f t="shared" si="241"/>
        <v>0</v>
      </c>
      <c r="O547" s="496">
        <f t="shared" ca="1" si="237"/>
        <v>0</v>
      </c>
      <c r="P547" s="496">
        <f t="shared" si="238"/>
        <v>0</v>
      </c>
      <c r="Q547" s="571"/>
      <c r="R547" s="571"/>
      <c r="S547" s="571"/>
      <c r="T547" s="571"/>
      <c r="U547" s="571"/>
      <c r="V547" s="571"/>
      <c r="W547" s="571"/>
      <c r="X547" s="571"/>
      <c r="Y547" s="571"/>
      <c r="Z547" s="571"/>
    </row>
    <row r="548" spans="1:26" ht="18.75" hidden="1">
      <c r="A548" s="592"/>
      <c r="B548" s="600"/>
      <c r="C548" s="750"/>
      <c r="D548" s="711"/>
      <c r="E548" s="750" t="s">
        <v>184</v>
      </c>
      <c r="F548" s="750"/>
      <c r="G548" s="596"/>
      <c r="H548" s="165" t="s">
        <v>12</v>
      </c>
      <c r="I548" s="610"/>
      <c r="J548" s="610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597"/>
      <c r="R548" s="597"/>
      <c r="S548" s="597"/>
      <c r="T548" s="597"/>
      <c r="U548" s="597"/>
      <c r="V548" s="597"/>
      <c r="W548" s="597"/>
      <c r="X548" s="597"/>
      <c r="Y548" s="597"/>
      <c r="Z548" s="597"/>
    </row>
    <row r="549" spans="1:26" ht="18.75" hidden="1">
      <c r="A549" s="592"/>
      <c r="B549" s="600"/>
      <c r="C549" s="750"/>
      <c r="D549" s="711"/>
      <c r="E549" s="750" t="s">
        <v>185</v>
      </c>
      <c r="F549" s="750"/>
      <c r="G549" s="596"/>
      <c r="H549" s="165" t="s">
        <v>12</v>
      </c>
      <c r="I549" s="610"/>
      <c r="J549" s="610"/>
      <c r="K549" s="93"/>
      <c r="L549" s="93">
        <f ca="1">IFERROR(__xludf.DUMMYFUNCTION("IMPORTRANGE(""https://docs.google.com/spreadsheets/d/1QqKyyYR6Q21VydFLVH3TRQUabQu_ym0Zz7PgGX0-kHA/edit?usp=sharing"",""แผน!HB57"")"),217100)</f>
        <v>217100</v>
      </c>
      <c r="M549" s="93">
        <v>0</v>
      </c>
      <c r="N549" s="93">
        <f>N550+N551+N552+N553+N554</f>
        <v>0</v>
      </c>
      <c r="O549" s="93">
        <f t="shared" ca="1" si="237"/>
        <v>0</v>
      </c>
      <c r="P549" s="93">
        <f t="shared" si="238"/>
        <v>0</v>
      </c>
      <c r="Q549" s="597"/>
      <c r="R549" s="597"/>
      <c r="S549" s="597"/>
      <c r="T549" s="597"/>
      <c r="U549" s="597"/>
      <c r="V549" s="597"/>
      <c r="W549" s="597"/>
      <c r="X549" s="597"/>
      <c r="Y549" s="597"/>
      <c r="Z549" s="597"/>
    </row>
    <row r="550" spans="1:26" ht="18.75">
      <c r="A550" s="567"/>
      <c r="B550" s="568"/>
      <c r="C550" s="754"/>
      <c r="D550" s="754"/>
      <c r="E550" s="754"/>
      <c r="F550" s="754" t="s">
        <v>186</v>
      </c>
      <c r="G550" s="189"/>
      <c r="H550" s="161" t="s">
        <v>12</v>
      </c>
      <c r="I550" s="269"/>
      <c r="J550" s="269"/>
      <c r="K550" s="496"/>
      <c r="L550" s="496"/>
      <c r="M550" s="496"/>
      <c r="N550" s="817">
        <v>0</v>
      </c>
      <c r="O550" s="496"/>
      <c r="P550" s="496"/>
      <c r="Q550" s="571"/>
      <c r="R550" s="571"/>
      <c r="S550" s="571"/>
      <c r="T550" s="571"/>
      <c r="U550" s="571"/>
      <c r="V550" s="571"/>
      <c r="W550" s="571"/>
      <c r="X550" s="571"/>
      <c r="Y550" s="571"/>
      <c r="Z550" s="571"/>
    </row>
    <row r="551" spans="1:26" ht="18.75">
      <c r="A551" s="567"/>
      <c r="B551" s="568"/>
      <c r="C551" s="568"/>
      <c r="D551" s="568"/>
      <c r="E551" s="754"/>
      <c r="F551" s="754" t="s">
        <v>187</v>
      </c>
      <c r="G551" s="189"/>
      <c r="H551" s="161" t="s">
        <v>12</v>
      </c>
      <c r="I551" s="269"/>
      <c r="J551" s="269"/>
      <c r="K551" s="496"/>
      <c r="L551" s="496"/>
      <c r="M551" s="496"/>
      <c r="N551" s="817">
        <v>0</v>
      </c>
      <c r="O551" s="496"/>
      <c r="P551" s="496"/>
      <c r="Q551" s="571"/>
      <c r="R551" s="571"/>
      <c r="S551" s="571"/>
      <c r="T551" s="571"/>
      <c r="U551" s="571"/>
      <c r="V551" s="571"/>
      <c r="W551" s="571"/>
      <c r="X551" s="571"/>
      <c r="Y551" s="571"/>
      <c r="Z551" s="571"/>
    </row>
    <row r="552" spans="1:26" ht="18.75">
      <c r="A552" s="567"/>
      <c r="B552" s="568"/>
      <c r="C552" s="754"/>
      <c r="D552" s="754"/>
      <c r="E552" s="754"/>
      <c r="F552" s="754" t="s">
        <v>188</v>
      </c>
      <c r="G552" s="189"/>
      <c r="H552" s="161" t="s">
        <v>12</v>
      </c>
      <c r="I552" s="269"/>
      <c r="J552" s="269"/>
      <c r="K552" s="496"/>
      <c r="L552" s="496"/>
      <c r="M552" s="496"/>
      <c r="N552" s="817">
        <v>0</v>
      </c>
      <c r="O552" s="496"/>
      <c r="P552" s="496"/>
      <c r="Q552" s="571"/>
      <c r="R552" s="571"/>
      <c r="S552" s="571"/>
      <c r="T552" s="571"/>
      <c r="U552" s="571"/>
      <c r="V552" s="571"/>
      <c r="W552" s="571"/>
      <c r="X552" s="571"/>
      <c r="Y552" s="571"/>
      <c r="Z552" s="571"/>
    </row>
    <row r="553" spans="1:26" ht="18.75">
      <c r="A553" s="567"/>
      <c r="B553" s="568"/>
      <c r="C553" s="568"/>
      <c r="D553" s="568"/>
      <c r="E553" s="754"/>
      <c r="F553" s="754" t="s">
        <v>189</v>
      </c>
      <c r="G553" s="189"/>
      <c r="H553" s="161" t="s">
        <v>12</v>
      </c>
      <c r="I553" s="269"/>
      <c r="J553" s="269"/>
      <c r="K553" s="496"/>
      <c r="L553" s="496"/>
      <c r="M553" s="496"/>
      <c r="N553" s="817">
        <v>0</v>
      </c>
      <c r="O553" s="496"/>
      <c r="P553" s="496"/>
      <c r="Q553" s="571"/>
      <c r="R553" s="571"/>
      <c r="S553" s="571"/>
      <c r="T553" s="571"/>
      <c r="U553" s="571"/>
      <c r="V553" s="571"/>
      <c r="W553" s="571"/>
      <c r="X553" s="571"/>
      <c r="Y553" s="571"/>
      <c r="Z553" s="571"/>
    </row>
    <row r="554" spans="1:26" ht="18.75">
      <c r="A554" s="567"/>
      <c r="B554" s="568"/>
      <c r="C554" s="568"/>
      <c r="D554" s="568"/>
      <c r="E554" s="754"/>
      <c r="F554" s="754" t="s">
        <v>233</v>
      </c>
      <c r="G554" s="189"/>
      <c r="H554" s="161" t="s">
        <v>12</v>
      </c>
      <c r="I554" s="269"/>
      <c r="J554" s="269"/>
      <c r="K554" s="496"/>
      <c r="L554" s="496"/>
      <c r="M554" s="496"/>
      <c r="N554" s="817">
        <v>0</v>
      </c>
      <c r="O554" s="496"/>
      <c r="P554" s="496"/>
      <c r="Q554" s="571"/>
      <c r="R554" s="571"/>
      <c r="S554" s="571"/>
      <c r="T554" s="571"/>
      <c r="U554" s="571"/>
      <c r="V554" s="571"/>
      <c r="W554" s="571"/>
      <c r="X554" s="571"/>
      <c r="Y554" s="571"/>
      <c r="Z554" s="571"/>
    </row>
    <row r="555" spans="1:26" ht="18.75">
      <c r="A555" s="590"/>
      <c r="B555" s="568"/>
      <c r="C555" s="568"/>
      <c r="D555" s="599" t="s">
        <v>21</v>
      </c>
      <c r="E555" s="754"/>
      <c r="F555" s="754"/>
      <c r="G555" s="189"/>
      <c r="H555" s="168" t="s">
        <v>12</v>
      </c>
      <c r="I555" s="184"/>
      <c r="J555" s="184"/>
      <c r="K555" s="163"/>
      <c r="L555" s="496">
        <f t="shared" ref="L555:N555" ca="1" si="242">L556+L557</f>
        <v>0</v>
      </c>
      <c r="M555" s="496">
        <f t="shared" si="242"/>
        <v>0</v>
      </c>
      <c r="N555" s="496">
        <f t="shared" si="242"/>
        <v>0</v>
      </c>
      <c r="O555" s="496">
        <f t="shared" ref="O555:O557" ca="1" si="243">IF(L555&gt;0,N555*100/L555,0)</f>
        <v>0</v>
      </c>
      <c r="P555" s="496">
        <f t="shared" ref="P555:P557" si="244">IF(M555&gt;0,N555*100/M555,0)</f>
        <v>0</v>
      </c>
      <c r="Q555" s="571"/>
      <c r="R555" s="571"/>
      <c r="S555" s="571"/>
      <c r="T555" s="571"/>
      <c r="U555" s="571"/>
      <c r="V555" s="571"/>
      <c r="W555" s="571"/>
      <c r="X555" s="571"/>
      <c r="Y555" s="571"/>
      <c r="Z555" s="571"/>
    </row>
    <row r="556" spans="1:26" ht="18.75" hidden="1">
      <c r="A556" s="592"/>
      <c r="B556" s="600"/>
      <c r="C556" s="600"/>
      <c r="D556" s="750"/>
      <c r="E556" s="750" t="s">
        <v>18</v>
      </c>
      <c r="F556" s="750"/>
      <c r="G556" s="596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597"/>
      <c r="R556" s="597"/>
      <c r="S556" s="597"/>
      <c r="T556" s="597"/>
      <c r="U556" s="597"/>
      <c r="V556" s="597"/>
      <c r="W556" s="597"/>
      <c r="X556" s="597"/>
      <c r="Y556" s="597"/>
      <c r="Z556" s="597"/>
    </row>
    <row r="557" spans="1:26" ht="18.75" hidden="1">
      <c r="A557" s="592"/>
      <c r="B557" s="600"/>
      <c r="C557" s="600"/>
      <c r="D557" s="750"/>
      <c r="E557" s="750" t="s">
        <v>19</v>
      </c>
      <c r="F557" s="750"/>
      <c r="G557" s="596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IFERROR(__xludf.DUMMYFUNCTION("IMPORTRANGE(""https://docs.google.com/spreadsheets/d/1QqKyyYR6Q21VydFLVH3TRQUabQu_ym0Zz7PgGX0-kHA/edit?usp=sharing"",""แผน!HF57"")"),0)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597"/>
      <c r="R557" s="597"/>
      <c r="S557" s="597"/>
      <c r="T557" s="597"/>
      <c r="U557" s="597"/>
      <c r="V557" s="597"/>
      <c r="W557" s="597"/>
      <c r="X557" s="597"/>
      <c r="Y557" s="597"/>
      <c r="Z557" s="597"/>
    </row>
    <row r="558" spans="1:26" ht="19.5">
      <c r="A558" s="601"/>
      <c r="B558" s="611"/>
      <c r="C558" s="568" t="s">
        <v>16</v>
      </c>
      <c r="D558" s="839" t="s">
        <v>38</v>
      </c>
      <c r="E558" s="752"/>
      <c r="F558" s="752"/>
      <c r="G558" s="606"/>
      <c r="H558" s="753"/>
      <c r="I558" s="184"/>
      <c r="J558" s="184"/>
      <c r="K558" s="163"/>
      <c r="L558" s="163"/>
      <c r="M558" s="163"/>
      <c r="N558" s="163"/>
      <c r="O558" s="163"/>
      <c r="P558" s="163"/>
      <c r="Q558" s="571"/>
      <c r="R558" s="571"/>
      <c r="S558" s="571"/>
      <c r="T558" s="571"/>
      <c r="U558" s="571"/>
      <c r="V558" s="571"/>
      <c r="W558" s="571"/>
      <c r="X558" s="571"/>
      <c r="Y558" s="571"/>
      <c r="Z558" s="571"/>
    </row>
    <row r="559" spans="1:26" ht="19.5" hidden="1">
      <c r="A559" s="685"/>
      <c r="B559" s="686" t="s">
        <v>234</v>
      </c>
      <c r="C559" s="687"/>
      <c r="D559" s="687"/>
      <c r="E559" s="666"/>
      <c r="F559" s="666"/>
      <c r="G559" s="667"/>
      <c r="H559" s="688" t="s">
        <v>46</v>
      </c>
      <c r="I559" s="699">
        <f t="shared" ref="I559:J559" ca="1" si="245">I576</f>
        <v>0</v>
      </c>
      <c r="J559" s="699">
        <f t="shared" si="245"/>
        <v>0</v>
      </c>
      <c r="K559" s="670">
        <f t="shared" ref="K559:K561" ca="1" si="246">IF(I559&gt;0,J559*100/I559,0)</f>
        <v>0</v>
      </c>
      <c r="L559" s="671"/>
      <c r="M559" s="671"/>
      <c r="N559" s="671"/>
      <c r="O559" s="671"/>
      <c r="P559" s="671"/>
      <c r="Q559" s="571"/>
      <c r="R559" s="571"/>
      <c r="S559" s="571"/>
      <c r="T559" s="571"/>
      <c r="U559" s="571"/>
      <c r="V559" s="571"/>
      <c r="W559" s="571"/>
      <c r="X559" s="571"/>
      <c r="Y559" s="571"/>
      <c r="Z559" s="571"/>
    </row>
    <row r="560" spans="1:26" ht="19.5" hidden="1">
      <c r="A560" s="601"/>
      <c r="B560" s="611"/>
      <c r="C560" s="618" t="s">
        <v>235</v>
      </c>
      <c r="D560" s="611"/>
      <c r="E560" s="619"/>
      <c r="F560" s="619"/>
      <c r="G560" s="753"/>
      <c r="H560" s="758" t="s">
        <v>46</v>
      </c>
      <c r="I560" s="193">
        <f ca="1">IFERROR(__xludf.DUMMYFUNCTION("IMPORTRANGE(""https://docs.google.com/spreadsheets/d/1QqKyyYR6Q21VydFLVH3TRQUabQu_ym0Zz7PgGX0-kHA/edit?usp=sharing"",""แผน!HH57"")"),0)</f>
        <v>0</v>
      </c>
      <c r="J560" s="193">
        <f t="shared" ref="J560:J561" si="247">J562+J564+J566</f>
        <v>0</v>
      </c>
      <c r="K560" s="410">
        <f t="shared" ca="1" si="246"/>
        <v>0</v>
      </c>
      <c r="L560" s="163"/>
      <c r="M560" s="163"/>
      <c r="N560" s="163"/>
      <c r="O560" s="163"/>
      <c r="P560" s="163"/>
      <c r="Q560" s="571"/>
      <c r="R560" s="571"/>
      <c r="S560" s="571"/>
      <c r="T560" s="571"/>
      <c r="U560" s="571"/>
      <c r="V560" s="571"/>
      <c r="W560" s="571"/>
      <c r="X560" s="571"/>
      <c r="Y560" s="571"/>
      <c r="Z560" s="571"/>
    </row>
    <row r="561" spans="1:26" ht="19.5" hidden="1">
      <c r="A561" s="601"/>
      <c r="B561" s="611"/>
      <c r="C561" s="611"/>
      <c r="D561" s="619"/>
      <c r="E561" s="619"/>
      <c r="F561" s="619"/>
      <c r="G561" s="753"/>
      <c r="H561" s="758" t="s">
        <v>34</v>
      </c>
      <c r="I561" s="193">
        <f ca="1">IFERROR(__xludf.DUMMYFUNCTION("IMPORTRANGE(""https://docs.google.com/spreadsheets/d/1QqKyyYR6Q21VydFLVH3TRQUabQu_ym0Zz7PgGX0-kHA/edit?usp=sharing"",""แผน!HG57"")"),0)</f>
        <v>0</v>
      </c>
      <c r="J561" s="193">
        <f t="shared" si="247"/>
        <v>0</v>
      </c>
      <c r="K561" s="410">
        <f t="shared" ca="1" si="246"/>
        <v>0</v>
      </c>
      <c r="L561" s="163"/>
      <c r="M561" s="163"/>
      <c r="N561" s="163"/>
      <c r="O561" s="163"/>
      <c r="P561" s="163"/>
      <c r="Q561" s="571"/>
      <c r="R561" s="571"/>
      <c r="S561" s="571"/>
      <c r="T561" s="571"/>
      <c r="U561" s="571"/>
      <c r="V561" s="571"/>
      <c r="W561" s="571"/>
      <c r="X561" s="571"/>
      <c r="Y561" s="571"/>
      <c r="Z561" s="571"/>
    </row>
    <row r="562" spans="1:26" ht="18.75" hidden="1">
      <c r="A562" s="601"/>
      <c r="B562" s="611"/>
      <c r="C562" s="611"/>
      <c r="D562" s="619" t="s">
        <v>236</v>
      </c>
      <c r="E562" s="619"/>
      <c r="F562" s="619"/>
      <c r="G562" s="753"/>
      <c r="H562" s="755" t="s">
        <v>46</v>
      </c>
      <c r="I562" s="184"/>
      <c r="J562" s="214">
        <v>0</v>
      </c>
      <c r="K562" s="163"/>
      <c r="L562" s="163"/>
      <c r="M562" s="163"/>
      <c r="N562" s="163"/>
      <c r="O562" s="163"/>
      <c r="P562" s="163"/>
      <c r="Q562" s="571"/>
      <c r="R562" s="571"/>
      <c r="S562" s="571"/>
      <c r="T562" s="571"/>
      <c r="U562" s="571"/>
      <c r="V562" s="571"/>
      <c r="W562" s="571"/>
      <c r="X562" s="571"/>
      <c r="Y562" s="571"/>
      <c r="Z562" s="571"/>
    </row>
    <row r="563" spans="1:26" ht="18.75" hidden="1">
      <c r="A563" s="601"/>
      <c r="B563" s="611"/>
      <c r="C563" s="611"/>
      <c r="D563" s="611"/>
      <c r="E563" s="619"/>
      <c r="F563" s="619"/>
      <c r="G563" s="753"/>
      <c r="H563" s="755" t="s">
        <v>34</v>
      </c>
      <c r="I563" s="184"/>
      <c r="J563" s="214">
        <v>0</v>
      </c>
      <c r="K563" s="163"/>
      <c r="L563" s="163"/>
      <c r="M563" s="163"/>
      <c r="N563" s="163"/>
      <c r="O563" s="163"/>
      <c r="P563" s="163"/>
      <c r="Q563" s="571"/>
      <c r="R563" s="571"/>
      <c r="S563" s="571"/>
      <c r="T563" s="571"/>
      <c r="U563" s="571"/>
      <c r="V563" s="571"/>
      <c r="W563" s="571"/>
      <c r="X563" s="571"/>
      <c r="Y563" s="571"/>
      <c r="Z563" s="571"/>
    </row>
    <row r="564" spans="1:26" ht="18.75" hidden="1">
      <c r="A564" s="601"/>
      <c r="B564" s="611"/>
      <c r="C564" s="611"/>
      <c r="D564" s="619" t="s">
        <v>237</v>
      </c>
      <c r="E564" s="619"/>
      <c r="F564" s="619"/>
      <c r="G564" s="753"/>
      <c r="H564" s="755" t="s">
        <v>46</v>
      </c>
      <c r="I564" s="184"/>
      <c r="J564" s="214">
        <v>0</v>
      </c>
      <c r="K564" s="163"/>
      <c r="L564" s="163"/>
      <c r="M564" s="163"/>
      <c r="N564" s="163"/>
      <c r="O564" s="163"/>
      <c r="P564" s="163"/>
      <c r="Q564" s="571"/>
      <c r="R564" s="571"/>
      <c r="S564" s="571"/>
      <c r="T564" s="571"/>
      <c r="U564" s="571"/>
      <c r="V564" s="571"/>
      <c r="W564" s="571"/>
      <c r="X564" s="571"/>
      <c r="Y564" s="571"/>
      <c r="Z564" s="571"/>
    </row>
    <row r="565" spans="1:26" ht="18.75" hidden="1">
      <c r="A565" s="601"/>
      <c r="B565" s="611"/>
      <c r="C565" s="611"/>
      <c r="D565" s="619"/>
      <c r="E565" s="619"/>
      <c r="F565" s="619"/>
      <c r="G565" s="753"/>
      <c r="H565" s="755" t="s">
        <v>34</v>
      </c>
      <c r="I565" s="184"/>
      <c r="J565" s="214">
        <v>0</v>
      </c>
      <c r="K565" s="163"/>
      <c r="L565" s="163"/>
      <c r="M565" s="163"/>
      <c r="N565" s="163"/>
      <c r="O565" s="163"/>
      <c r="P565" s="163"/>
      <c r="Q565" s="571"/>
      <c r="R565" s="571"/>
      <c r="S565" s="571"/>
      <c r="T565" s="571"/>
      <c r="U565" s="571"/>
      <c r="V565" s="571"/>
      <c r="W565" s="571"/>
      <c r="X565" s="571"/>
      <c r="Y565" s="571"/>
      <c r="Z565" s="571"/>
    </row>
    <row r="566" spans="1:26" ht="18.75" hidden="1">
      <c r="A566" s="601"/>
      <c r="B566" s="611"/>
      <c r="C566" s="611"/>
      <c r="D566" s="619" t="s">
        <v>238</v>
      </c>
      <c r="E566" s="619"/>
      <c r="F566" s="619"/>
      <c r="G566" s="753"/>
      <c r="H566" s="755" t="s">
        <v>46</v>
      </c>
      <c r="I566" s="184"/>
      <c r="J566" s="214">
        <v>0</v>
      </c>
      <c r="K566" s="163"/>
      <c r="L566" s="163"/>
      <c r="M566" s="163"/>
      <c r="N566" s="163"/>
      <c r="O566" s="163"/>
      <c r="P566" s="163"/>
      <c r="Q566" s="571"/>
      <c r="R566" s="571"/>
      <c r="S566" s="571"/>
      <c r="T566" s="571"/>
      <c r="U566" s="571"/>
      <c r="V566" s="571"/>
      <c r="W566" s="571"/>
      <c r="X566" s="571"/>
      <c r="Y566" s="571"/>
      <c r="Z566" s="571"/>
    </row>
    <row r="567" spans="1:26" ht="18.75" hidden="1">
      <c r="A567" s="601"/>
      <c r="B567" s="611"/>
      <c r="C567" s="611"/>
      <c r="D567" s="619"/>
      <c r="E567" s="619"/>
      <c r="F567" s="619"/>
      <c r="G567" s="753"/>
      <c r="H567" s="755" t="s">
        <v>34</v>
      </c>
      <c r="I567" s="184"/>
      <c r="J567" s="214">
        <v>0</v>
      </c>
      <c r="K567" s="163"/>
      <c r="L567" s="163"/>
      <c r="M567" s="163"/>
      <c r="N567" s="163"/>
      <c r="O567" s="163"/>
      <c r="P567" s="163"/>
      <c r="Q567" s="571"/>
      <c r="R567" s="571"/>
      <c r="S567" s="571"/>
      <c r="T567" s="571"/>
      <c r="U567" s="571"/>
      <c r="V567" s="571"/>
      <c r="W567" s="571"/>
      <c r="X567" s="571"/>
      <c r="Y567" s="571"/>
      <c r="Z567" s="571"/>
    </row>
    <row r="568" spans="1:26" ht="19.5" hidden="1">
      <c r="A568" s="601"/>
      <c r="B568" s="611"/>
      <c r="C568" s="618" t="s">
        <v>239</v>
      </c>
      <c r="D568" s="619"/>
      <c r="E568" s="619"/>
      <c r="F568" s="619"/>
      <c r="G568" s="753"/>
      <c r="H568" s="758" t="s">
        <v>46</v>
      </c>
      <c r="I568" s="193">
        <f ca="1">IFERROR(__xludf.DUMMYFUNCTION("IMPORTRANGE(""https://docs.google.com/spreadsheets/d/1QqKyyYR6Q21VydFLVH3TRQUabQu_ym0Zz7PgGX0-kHA/edit?usp=sharing"",""แผน!HH57"")"),0)</f>
        <v>0</v>
      </c>
      <c r="J568" s="674">
        <f t="shared" ref="J568:J569" si="248">J570+J572+J574</f>
        <v>0</v>
      </c>
      <c r="K568" s="410">
        <f t="shared" ref="K568:K569" ca="1" si="249">IF(I568&gt;0,J568*100/I568,0)</f>
        <v>0</v>
      </c>
      <c r="L568" s="163"/>
      <c r="M568" s="163"/>
      <c r="N568" s="163"/>
      <c r="O568" s="163"/>
      <c r="P568" s="163"/>
      <c r="Q568" s="571"/>
      <c r="R568" s="571"/>
      <c r="S568" s="571"/>
      <c r="T568" s="571"/>
      <c r="U568" s="571"/>
      <c r="V568" s="571"/>
      <c r="W568" s="571"/>
      <c r="X568" s="571"/>
      <c r="Y568" s="571"/>
      <c r="Z568" s="571"/>
    </row>
    <row r="569" spans="1:26" ht="19.5" hidden="1">
      <c r="A569" s="601"/>
      <c r="B569" s="611"/>
      <c r="C569" s="611"/>
      <c r="D569" s="611"/>
      <c r="E569" s="619"/>
      <c r="F569" s="619"/>
      <c r="G569" s="753"/>
      <c r="H569" s="758" t="s">
        <v>34</v>
      </c>
      <c r="I569" s="193">
        <f ca="1">IFERROR(__xludf.DUMMYFUNCTION("IMPORTRANGE(""https://docs.google.com/spreadsheets/d/1QqKyyYR6Q21VydFLVH3TRQUabQu_ym0Zz7PgGX0-kHA/edit?usp=sharing"",""แผน!HG57"")"),0)</f>
        <v>0</v>
      </c>
      <c r="J569" s="674">
        <f t="shared" si="248"/>
        <v>0</v>
      </c>
      <c r="K569" s="410">
        <f t="shared" ca="1" si="249"/>
        <v>0</v>
      </c>
      <c r="L569" s="163"/>
      <c r="M569" s="163"/>
      <c r="N569" s="163"/>
      <c r="O569" s="163"/>
      <c r="P569" s="163"/>
      <c r="Q569" s="571"/>
      <c r="R569" s="571"/>
      <c r="S569" s="571"/>
      <c r="T569" s="571"/>
      <c r="U569" s="571"/>
      <c r="V569" s="571"/>
      <c r="W569" s="571"/>
      <c r="X569" s="571"/>
      <c r="Y569" s="571"/>
      <c r="Z569" s="571"/>
    </row>
    <row r="570" spans="1:26" ht="18.75" hidden="1">
      <c r="A570" s="601"/>
      <c r="B570" s="611"/>
      <c r="C570" s="611"/>
      <c r="D570" s="619" t="s">
        <v>240</v>
      </c>
      <c r="E570" s="611"/>
      <c r="F570" s="619"/>
      <c r="G570" s="753"/>
      <c r="H570" s="755" t="s">
        <v>46</v>
      </c>
      <c r="I570" s="184"/>
      <c r="J570" s="214">
        <v>0</v>
      </c>
      <c r="K570" s="163"/>
      <c r="L570" s="163"/>
      <c r="M570" s="163"/>
      <c r="N570" s="163"/>
      <c r="O570" s="163"/>
      <c r="P570" s="163"/>
      <c r="Q570" s="571"/>
      <c r="R570" s="571"/>
      <c r="S570" s="571"/>
      <c r="T570" s="571"/>
      <c r="U570" s="571"/>
      <c r="V570" s="571"/>
      <c r="W570" s="571"/>
      <c r="X570" s="571"/>
      <c r="Y570" s="571"/>
      <c r="Z570" s="571"/>
    </row>
    <row r="571" spans="1:26" ht="18.75" hidden="1">
      <c r="A571" s="601"/>
      <c r="B571" s="611"/>
      <c r="C571" s="611"/>
      <c r="D571" s="611"/>
      <c r="E571" s="619"/>
      <c r="F571" s="619"/>
      <c r="G571" s="753"/>
      <c r="H571" s="755" t="s">
        <v>34</v>
      </c>
      <c r="I571" s="184"/>
      <c r="J571" s="214">
        <v>0</v>
      </c>
      <c r="K571" s="163"/>
      <c r="L571" s="163"/>
      <c r="M571" s="163"/>
      <c r="N571" s="163"/>
      <c r="O571" s="163"/>
      <c r="P571" s="163"/>
      <c r="Q571" s="571"/>
      <c r="R571" s="571"/>
      <c r="S571" s="571"/>
      <c r="T571" s="571"/>
      <c r="U571" s="571"/>
      <c r="V571" s="571"/>
      <c r="W571" s="571"/>
      <c r="X571" s="571"/>
      <c r="Y571" s="571"/>
      <c r="Z571" s="571"/>
    </row>
    <row r="572" spans="1:26" ht="18.75" hidden="1">
      <c r="A572" s="601"/>
      <c r="B572" s="611"/>
      <c r="C572" s="611"/>
      <c r="D572" s="619" t="s">
        <v>241</v>
      </c>
      <c r="E572" s="619"/>
      <c r="F572" s="619"/>
      <c r="G572" s="753"/>
      <c r="H572" s="755" t="s">
        <v>46</v>
      </c>
      <c r="I572" s="184"/>
      <c r="J572" s="214">
        <v>0</v>
      </c>
      <c r="K572" s="163"/>
      <c r="L572" s="163"/>
      <c r="M572" s="163"/>
      <c r="N572" s="163"/>
      <c r="O572" s="163"/>
      <c r="P572" s="163"/>
      <c r="Q572" s="571"/>
      <c r="R572" s="571"/>
      <c r="S572" s="571"/>
      <c r="T572" s="571"/>
      <c r="U572" s="571"/>
      <c r="V572" s="571"/>
      <c r="W572" s="571"/>
      <c r="X572" s="571"/>
      <c r="Y572" s="571"/>
      <c r="Z572" s="571"/>
    </row>
    <row r="573" spans="1:26" ht="18.75" hidden="1">
      <c r="A573" s="601"/>
      <c r="B573" s="611"/>
      <c r="C573" s="611"/>
      <c r="D573" s="619"/>
      <c r="E573" s="619"/>
      <c r="F573" s="619"/>
      <c r="G573" s="753"/>
      <c r="H573" s="755" t="s">
        <v>34</v>
      </c>
      <c r="I573" s="184"/>
      <c r="J573" s="214">
        <v>0</v>
      </c>
      <c r="K573" s="163"/>
      <c r="L573" s="163"/>
      <c r="M573" s="163"/>
      <c r="N573" s="163"/>
      <c r="O573" s="163"/>
      <c r="P573" s="163"/>
      <c r="Q573" s="571"/>
      <c r="R573" s="571"/>
      <c r="S573" s="571"/>
      <c r="T573" s="571"/>
      <c r="U573" s="571"/>
      <c r="V573" s="571"/>
      <c r="W573" s="571"/>
      <c r="X573" s="571"/>
      <c r="Y573" s="571"/>
      <c r="Z573" s="571"/>
    </row>
    <row r="574" spans="1:26" ht="18.75" hidden="1">
      <c r="A574" s="601"/>
      <c r="B574" s="611"/>
      <c r="C574" s="611"/>
      <c r="D574" s="619" t="s">
        <v>242</v>
      </c>
      <c r="E574" s="619"/>
      <c r="F574" s="619"/>
      <c r="G574" s="753"/>
      <c r="H574" s="755" t="s">
        <v>46</v>
      </c>
      <c r="I574" s="184"/>
      <c r="J574" s="214">
        <v>0</v>
      </c>
      <c r="K574" s="163"/>
      <c r="L574" s="163"/>
      <c r="M574" s="163"/>
      <c r="N574" s="163"/>
      <c r="O574" s="163"/>
      <c r="P574" s="163"/>
      <c r="Q574" s="571"/>
      <c r="R574" s="571"/>
      <c r="S574" s="571"/>
      <c r="T574" s="571"/>
      <c r="U574" s="571"/>
      <c r="V574" s="571"/>
      <c r="W574" s="571"/>
      <c r="X574" s="571"/>
      <c r="Y574" s="571"/>
      <c r="Z574" s="571"/>
    </row>
    <row r="575" spans="1:26" ht="18.75" hidden="1">
      <c r="A575" s="601"/>
      <c r="B575" s="611"/>
      <c r="C575" s="611"/>
      <c r="D575" s="611"/>
      <c r="E575" s="619"/>
      <c r="F575" s="619"/>
      <c r="G575" s="753"/>
      <c r="H575" s="755" t="s">
        <v>34</v>
      </c>
      <c r="I575" s="184"/>
      <c r="J575" s="214">
        <v>0</v>
      </c>
      <c r="K575" s="163"/>
      <c r="L575" s="163"/>
      <c r="M575" s="163"/>
      <c r="N575" s="163"/>
      <c r="O575" s="163"/>
      <c r="P575" s="163"/>
      <c r="Q575" s="571"/>
      <c r="R575" s="571"/>
      <c r="S575" s="571"/>
      <c r="T575" s="571"/>
      <c r="U575" s="571"/>
      <c r="V575" s="571"/>
      <c r="W575" s="571"/>
      <c r="X575" s="571"/>
      <c r="Y575" s="571"/>
      <c r="Z575" s="571"/>
    </row>
    <row r="576" spans="1:26" ht="19.5" hidden="1">
      <c r="A576" s="601"/>
      <c r="B576" s="611"/>
      <c r="C576" s="618" t="s">
        <v>243</v>
      </c>
      <c r="D576" s="611"/>
      <c r="E576" s="611"/>
      <c r="F576" s="619"/>
      <c r="G576" s="753"/>
      <c r="H576" s="758" t="s">
        <v>46</v>
      </c>
      <c r="I576" s="193">
        <f ca="1">IFERROR(__xludf.DUMMYFUNCTION("IMPORTRANGE(""https://docs.google.com/spreadsheets/d/1QqKyyYR6Q21VydFLVH3TRQUabQu_ym0Zz7PgGX0-kHA/edit?usp=sharing"",""แผน!HH57"")"),0)</f>
        <v>0</v>
      </c>
      <c r="J576" s="674">
        <f t="shared" ref="J576:J577" si="250">J578+J580+J582+J588+J590</f>
        <v>0</v>
      </c>
      <c r="K576" s="410">
        <f t="shared" ref="K576:K577" ca="1" si="251">IF(I576&gt;0,J576*100/I576,0)</f>
        <v>0</v>
      </c>
      <c r="L576" s="163"/>
      <c r="M576" s="163"/>
      <c r="N576" s="163"/>
      <c r="O576" s="163"/>
      <c r="P576" s="163"/>
      <c r="Q576" s="571"/>
      <c r="R576" s="571"/>
      <c r="S576" s="571"/>
      <c r="T576" s="571"/>
      <c r="U576" s="571"/>
      <c r="V576" s="571"/>
      <c r="W576" s="571"/>
      <c r="X576" s="571"/>
      <c r="Y576" s="571"/>
      <c r="Z576" s="571"/>
    </row>
    <row r="577" spans="1:26" ht="19.5" hidden="1">
      <c r="A577" s="601"/>
      <c r="B577" s="611"/>
      <c r="C577" s="611"/>
      <c r="D577" s="611"/>
      <c r="E577" s="619"/>
      <c r="F577" s="619"/>
      <c r="G577" s="753"/>
      <c r="H577" s="758" t="s">
        <v>34</v>
      </c>
      <c r="I577" s="193">
        <f ca="1">IFERROR(__xludf.DUMMYFUNCTION("IMPORTRANGE(""https://docs.google.com/spreadsheets/d/1QqKyyYR6Q21VydFLVH3TRQUabQu_ym0Zz7PgGX0-kHA/edit?usp=sharing"",""แผน!HG57"")"),0)</f>
        <v>0</v>
      </c>
      <c r="J577" s="674">
        <f t="shared" si="250"/>
        <v>0</v>
      </c>
      <c r="K577" s="410">
        <f t="shared" ca="1" si="251"/>
        <v>0</v>
      </c>
      <c r="L577" s="163"/>
      <c r="M577" s="163"/>
      <c r="N577" s="163"/>
      <c r="O577" s="163"/>
      <c r="P577" s="163"/>
      <c r="Q577" s="571"/>
      <c r="R577" s="571"/>
      <c r="S577" s="571"/>
      <c r="T577" s="571"/>
      <c r="U577" s="571"/>
      <c r="V577" s="571"/>
      <c r="W577" s="571"/>
      <c r="X577" s="571"/>
      <c r="Y577" s="571"/>
      <c r="Z577" s="571"/>
    </row>
    <row r="578" spans="1:26" ht="18.75" hidden="1">
      <c r="A578" s="601"/>
      <c r="B578" s="611"/>
      <c r="C578" s="611"/>
      <c r="D578" s="619" t="s">
        <v>244</v>
      </c>
      <c r="E578" s="619"/>
      <c r="F578" s="619"/>
      <c r="G578" s="753"/>
      <c r="H578" s="755" t="s">
        <v>46</v>
      </c>
      <c r="I578" s="184"/>
      <c r="J578" s="214">
        <v>0</v>
      </c>
      <c r="K578" s="163"/>
      <c r="L578" s="163"/>
      <c r="M578" s="163"/>
      <c r="N578" s="163"/>
      <c r="O578" s="163"/>
      <c r="P578" s="163"/>
      <c r="Q578" s="571"/>
      <c r="R578" s="571"/>
      <c r="S578" s="571"/>
      <c r="T578" s="571"/>
      <c r="U578" s="571"/>
      <c r="V578" s="571"/>
      <c r="W578" s="571"/>
      <c r="X578" s="571"/>
      <c r="Y578" s="571"/>
      <c r="Z578" s="571"/>
    </row>
    <row r="579" spans="1:26" ht="18.75" hidden="1">
      <c r="A579" s="601"/>
      <c r="B579" s="611"/>
      <c r="C579" s="611"/>
      <c r="D579" s="611"/>
      <c r="E579" s="619"/>
      <c r="F579" s="619"/>
      <c r="G579" s="753"/>
      <c r="H579" s="755" t="s">
        <v>34</v>
      </c>
      <c r="I579" s="184"/>
      <c r="J579" s="214">
        <v>0</v>
      </c>
      <c r="K579" s="163"/>
      <c r="L579" s="163"/>
      <c r="M579" s="163"/>
      <c r="N579" s="163"/>
      <c r="O579" s="163"/>
      <c r="P579" s="163"/>
      <c r="Q579" s="571"/>
      <c r="R579" s="571"/>
      <c r="S579" s="571"/>
      <c r="T579" s="571"/>
      <c r="U579" s="571"/>
      <c r="V579" s="571"/>
      <c r="W579" s="571"/>
      <c r="X579" s="571"/>
      <c r="Y579" s="571"/>
      <c r="Z579" s="571"/>
    </row>
    <row r="580" spans="1:26" ht="18.75" hidden="1">
      <c r="A580" s="601"/>
      <c r="B580" s="611"/>
      <c r="C580" s="611"/>
      <c r="D580" s="619" t="s">
        <v>245</v>
      </c>
      <c r="E580" s="619"/>
      <c r="F580" s="619"/>
      <c r="G580" s="753"/>
      <c r="H580" s="755" t="s">
        <v>46</v>
      </c>
      <c r="I580" s="184"/>
      <c r="J580" s="214">
        <v>0</v>
      </c>
      <c r="K580" s="163"/>
      <c r="L580" s="163"/>
      <c r="M580" s="163"/>
      <c r="N580" s="163"/>
      <c r="O580" s="163"/>
      <c r="P580" s="163"/>
      <c r="Q580" s="571"/>
      <c r="R580" s="571"/>
      <c r="S580" s="571"/>
      <c r="T580" s="571"/>
      <c r="U580" s="571"/>
      <c r="V580" s="571"/>
      <c r="W580" s="571"/>
      <c r="X580" s="571"/>
      <c r="Y580" s="571"/>
      <c r="Z580" s="571"/>
    </row>
    <row r="581" spans="1:26" ht="18.75" hidden="1">
      <c r="A581" s="601"/>
      <c r="B581" s="611"/>
      <c r="C581" s="611"/>
      <c r="D581" s="611"/>
      <c r="E581" s="619"/>
      <c r="F581" s="619"/>
      <c r="G581" s="753"/>
      <c r="H581" s="755" t="s">
        <v>34</v>
      </c>
      <c r="I581" s="184"/>
      <c r="J581" s="214">
        <v>0</v>
      </c>
      <c r="K581" s="163"/>
      <c r="L581" s="163"/>
      <c r="M581" s="163"/>
      <c r="N581" s="163"/>
      <c r="O581" s="163"/>
      <c r="P581" s="163"/>
      <c r="Q581" s="571"/>
      <c r="R581" s="571"/>
      <c r="S581" s="571"/>
      <c r="T581" s="571"/>
      <c r="U581" s="571"/>
      <c r="V581" s="571"/>
      <c r="W581" s="571"/>
      <c r="X581" s="571"/>
      <c r="Y581" s="571"/>
      <c r="Z581" s="571"/>
    </row>
    <row r="582" spans="1:26" ht="19.5" hidden="1">
      <c r="A582" s="601"/>
      <c r="B582" s="611"/>
      <c r="C582" s="611"/>
      <c r="D582" s="619" t="s">
        <v>246</v>
      </c>
      <c r="E582" s="619"/>
      <c r="F582" s="619"/>
      <c r="G582" s="753"/>
      <c r="H582" s="755" t="s">
        <v>46</v>
      </c>
      <c r="I582" s="184"/>
      <c r="J582" s="674">
        <f t="shared" ref="J582:J583" si="252">J584+J586</f>
        <v>0</v>
      </c>
      <c r="K582" s="410"/>
      <c r="L582" s="163"/>
      <c r="M582" s="163"/>
      <c r="N582" s="163"/>
      <c r="O582" s="163"/>
      <c r="P582" s="163"/>
      <c r="Q582" s="571"/>
      <c r="R582" s="571"/>
      <c r="S582" s="571"/>
      <c r="T582" s="571"/>
      <c r="U582" s="571"/>
      <c r="V582" s="571"/>
      <c r="W582" s="571"/>
      <c r="X582" s="571"/>
      <c r="Y582" s="571"/>
      <c r="Z582" s="571"/>
    </row>
    <row r="583" spans="1:26" ht="19.5" hidden="1">
      <c r="A583" s="601"/>
      <c r="B583" s="611"/>
      <c r="C583" s="611"/>
      <c r="D583" s="611"/>
      <c r="E583" s="619"/>
      <c r="F583" s="619"/>
      <c r="G583" s="753"/>
      <c r="H583" s="755" t="s">
        <v>34</v>
      </c>
      <c r="I583" s="184"/>
      <c r="J583" s="674">
        <f t="shared" si="252"/>
        <v>0</v>
      </c>
      <c r="K583" s="410"/>
      <c r="L583" s="163"/>
      <c r="M583" s="163"/>
      <c r="N583" s="163"/>
      <c r="O583" s="163"/>
      <c r="P583" s="163"/>
      <c r="Q583" s="571"/>
      <c r="R583" s="571"/>
      <c r="S583" s="571"/>
      <c r="T583" s="571"/>
      <c r="U583" s="571"/>
      <c r="V583" s="571"/>
      <c r="W583" s="571"/>
      <c r="X583" s="571"/>
      <c r="Y583" s="571"/>
      <c r="Z583" s="571"/>
    </row>
    <row r="584" spans="1:26" ht="18.75" hidden="1">
      <c r="A584" s="601"/>
      <c r="B584" s="611"/>
      <c r="C584" s="611"/>
      <c r="D584" s="611"/>
      <c r="E584" s="619" t="s">
        <v>247</v>
      </c>
      <c r="F584" s="619"/>
      <c r="G584" s="753"/>
      <c r="H584" s="755" t="s">
        <v>46</v>
      </c>
      <c r="I584" s="184"/>
      <c r="J584" s="214">
        <v>0</v>
      </c>
      <c r="K584" s="163"/>
      <c r="L584" s="163"/>
      <c r="M584" s="163"/>
      <c r="N584" s="163"/>
      <c r="O584" s="163"/>
      <c r="P584" s="163"/>
      <c r="Q584" s="571"/>
      <c r="R584" s="571"/>
      <c r="S584" s="571"/>
      <c r="T584" s="571"/>
      <c r="U584" s="571"/>
      <c r="V584" s="571"/>
      <c r="W584" s="571"/>
      <c r="X584" s="571"/>
      <c r="Y584" s="571"/>
      <c r="Z584" s="571"/>
    </row>
    <row r="585" spans="1:26" ht="18.75" hidden="1">
      <c r="A585" s="601"/>
      <c r="B585" s="611"/>
      <c r="C585" s="611"/>
      <c r="D585" s="611"/>
      <c r="E585" s="619"/>
      <c r="F585" s="619"/>
      <c r="G585" s="753"/>
      <c r="H585" s="755" t="s">
        <v>34</v>
      </c>
      <c r="I585" s="184"/>
      <c r="J585" s="214">
        <v>0</v>
      </c>
      <c r="K585" s="163"/>
      <c r="L585" s="163"/>
      <c r="M585" s="163"/>
      <c r="N585" s="163"/>
      <c r="O585" s="163"/>
      <c r="P585" s="163"/>
      <c r="Q585" s="571"/>
      <c r="R585" s="571"/>
      <c r="S585" s="571"/>
      <c r="T585" s="571"/>
      <c r="U585" s="571"/>
      <c r="V585" s="571"/>
      <c r="W585" s="571"/>
      <c r="X585" s="571"/>
      <c r="Y585" s="571"/>
      <c r="Z585" s="571"/>
    </row>
    <row r="586" spans="1:26" ht="18.75" hidden="1">
      <c r="A586" s="601"/>
      <c r="B586" s="611"/>
      <c r="C586" s="611"/>
      <c r="D586" s="611"/>
      <c r="E586" s="619" t="s">
        <v>248</v>
      </c>
      <c r="F586" s="619"/>
      <c r="G586" s="753"/>
      <c r="H586" s="755" t="s">
        <v>46</v>
      </c>
      <c r="I586" s="184"/>
      <c r="J586" s="214">
        <v>0</v>
      </c>
      <c r="K586" s="163"/>
      <c r="L586" s="163"/>
      <c r="M586" s="163"/>
      <c r="N586" s="163"/>
      <c r="O586" s="163"/>
      <c r="P586" s="163"/>
      <c r="Q586" s="571"/>
      <c r="R586" s="571"/>
      <c r="S586" s="571"/>
      <c r="T586" s="571"/>
      <c r="U586" s="571"/>
      <c r="V586" s="571"/>
      <c r="W586" s="571"/>
      <c r="X586" s="571"/>
      <c r="Y586" s="571"/>
      <c r="Z586" s="571"/>
    </row>
    <row r="587" spans="1:26" ht="18.75" hidden="1">
      <c r="A587" s="601"/>
      <c r="B587" s="611"/>
      <c r="C587" s="611"/>
      <c r="D587" s="611"/>
      <c r="E587" s="611"/>
      <c r="F587" s="619"/>
      <c r="G587" s="753"/>
      <c r="H587" s="755" t="s">
        <v>34</v>
      </c>
      <c r="I587" s="184"/>
      <c r="J587" s="214">
        <v>0</v>
      </c>
      <c r="K587" s="163"/>
      <c r="L587" s="163"/>
      <c r="M587" s="163"/>
      <c r="N587" s="163"/>
      <c r="O587" s="163"/>
      <c r="P587" s="163"/>
      <c r="Q587" s="571"/>
      <c r="R587" s="571"/>
      <c r="S587" s="571"/>
      <c r="T587" s="571"/>
      <c r="U587" s="571"/>
      <c r="V587" s="571"/>
      <c r="W587" s="571"/>
      <c r="X587" s="571"/>
      <c r="Y587" s="571"/>
      <c r="Z587" s="571"/>
    </row>
    <row r="588" spans="1:26" ht="18.75" hidden="1">
      <c r="A588" s="601"/>
      <c r="B588" s="611"/>
      <c r="C588" s="611"/>
      <c r="D588" s="619" t="s">
        <v>249</v>
      </c>
      <c r="E588" s="619"/>
      <c r="F588" s="619"/>
      <c r="G588" s="753"/>
      <c r="H588" s="755" t="s">
        <v>46</v>
      </c>
      <c r="I588" s="184"/>
      <c r="J588" s="214">
        <v>0</v>
      </c>
      <c r="K588" s="163"/>
      <c r="L588" s="163"/>
      <c r="M588" s="163"/>
      <c r="N588" s="163"/>
      <c r="O588" s="163"/>
      <c r="P588" s="163"/>
      <c r="Q588" s="571"/>
      <c r="R588" s="571"/>
      <c r="S588" s="571"/>
      <c r="T588" s="571"/>
      <c r="U588" s="571"/>
      <c r="V588" s="571"/>
      <c r="W588" s="571"/>
      <c r="X588" s="571"/>
      <c r="Y588" s="571"/>
      <c r="Z588" s="571"/>
    </row>
    <row r="589" spans="1:26" ht="18.75" hidden="1">
      <c r="A589" s="601"/>
      <c r="B589" s="611"/>
      <c r="C589" s="611"/>
      <c r="D589" s="611"/>
      <c r="E589" s="611"/>
      <c r="F589" s="619"/>
      <c r="G589" s="753"/>
      <c r="H589" s="755" t="s">
        <v>34</v>
      </c>
      <c r="I589" s="184"/>
      <c r="J589" s="214">
        <v>0</v>
      </c>
      <c r="K589" s="163"/>
      <c r="L589" s="163"/>
      <c r="M589" s="163"/>
      <c r="N589" s="163"/>
      <c r="O589" s="163"/>
      <c r="P589" s="163"/>
      <c r="Q589" s="571"/>
      <c r="R589" s="571"/>
      <c r="S589" s="571"/>
      <c r="T589" s="571"/>
      <c r="U589" s="571"/>
      <c r="V589" s="571"/>
      <c r="W589" s="571"/>
      <c r="X589" s="571"/>
      <c r="Y589" s="571"/>
      <c r="Z589" s="571"/>
    </row>
    <row r="590" spans="1:26" ht="18.75" hidden="1">
      <c r="A590" s="601"/>
      <c r="B590" s="611"/>
      <c r="C590" s="611"/>
      <c r="D590" s="619" t="s">
        <v>250</v>
      </c>
      <c r="E590" s="619"/>
      <c r="F590" s="619"/>
      <c r="G590" s="753"/>
      <c r="H590" s="755" t="s">
        <v>46</v>
      </c>
      <c r="I590" s="184"/>
      <c r="J590" s="214">
        <v>0</v>
      </c>
      <c r="K590" s="163"/>
      <c r="L590" s="163"/>
      <c r="M590" s="163"/>
      <c r="N590" s="163"/>
      <c r="O590" s="163"/>
      <c r="P590" s="163"/>
      <c r="Q590" s="571"/>
      <c r="R590" s="571"/>
      <c r="S590" s="571"/>
      <c r="T590" s="571"/>
      <c r="U590" s="571"/>
      <c r="V590" s="571"/>
      <c r="W590" s="571"/>
      <c r="X590" s="571"/>
      <c r="Y590" s="571"/>
      <c r="Z590" s="571"/>
    </row>
    <row r="591" spans="1:26" ht="18.75" hidden="1">
      <c r="A591" s="689"/>
      <c r="B591" s="690"/>
      <c r="C591" s="690"/>
      <c r="D591" s="690"/>
      <c r="E591" s="571"/>
      <c r="F591" s="571"/>
      <c r="G591" s="691"/>
      <c r="H591" s="692" t="s">
        <v>34</v>
      </c>
      <c r="I591" s="693"/>
      <c r="J591" s="694">
        <v>0</v>
      </c>
      <c r="K591" s="695"/>
      <c r="L591" s="695"/>
      <c r="M591" s="695"/>
      <c r="N591" s="695"/>
      <c r="O591" s="695"/>
      <c r="P591" s="695"/>
      <c r="Q591" s="571"/>
      <c r="R591" s="571"/>
      <c r="S591" s="571"/>
      <c r="T591" s="571"/>
      <c r="U591" s="571"/>
      <c r="V591" s="571"/>
      <c r="W591" s="571"/>
      <c r="X591" s="571"/>
      <c r="Y591" s="571"/>
      <c r="Z591" s="571"/>
    </row>
    <row r="592" spans="1:26" ht="19.5">
      <c r="A592" s="685"/>
      <c r="B592" s="686" t="s">
        <v>251</v>
      </c>
      <c r="C592" s="687"/>
      <c r="D592" s="687"/>
      <c r="E592" s="666"/>
      <c r="F592" s="666"/>
      <c r="G592" s="667"/>
      <c r="H592" s="688" t="s">
        <v>46</v>
      </c>
      <c r="I592" s="699">
        <f t="shared" ref="I592:J592" ca="1" si="253">I593</f>
        <v>180</v>
      </c>
      <c r="J592" s="699">
        <f t="shared" si="253"/>
        <v>0</v>
      </c>
      <c r="K592" s="670">
        <f t="shared" ref="K592:K594" ca="1" si="254">IF(I592&gt;0,J592*100/I592,0)</f>
        <v>0</v>
      </c>
      <c r="L592" s="671"/>
      <c r="M592" s="671"/>
      <c r="N592" s="671"/>
      <c r="O592" s="671"/>
      <c r="P592" s="671"/>
      <c r="Q592" s="571"/>
      <c r="R592" s="571"/>
      <c r="S592" s="571"/>
      <c r="T592" s="571"/>
      <c r="U592" s="571"/>
      <c r="V592" s="571"/>
      <c r="W592" s="571"/>
      <c r="X592" s="571"/>
      <c r="Y592" s="571"/>
      <c r="Z592" s="571"/>
    </row>
    <row r="593" spans="1:26" ht="19.5">
      <c r="A593" s="601"/>
      <c r="B593" s="611"/>
      <c r="C593" s="618" t="s">
        <v>252</v>
      </c>
      <c r="D593" s="611"/>
      <c r="E593" s="611"/>
      <c r="F593" s="619"/>
      <c r="G593" s="753"/>
      <c r="H593" s="758" t="s">
        <v>46</v>
      </c>
      <c r="I593" s="193">
        <f ca="1">IFERROR(__xludf.DUMMYFUNCTION("IMPORTRANGE(""https://docs.google.com/spreadsheets/d/1QqKyyYR6Q21VydFLVH3TRQUabQu_ym0Zz7PgGX0-kHA/edit?usp=sharing"",""แผน!HJ57"")"),180)</f>
        <v>180</v>
      </c>
      <c r="J593" s="193">
        <f t="shared" ref="J593:J594" si="255">J595+J603+J609</f>
        <v>0</v>
      </c>
      <c r="K593" s="410">
        <f t="shared" ca="1" si="254"/>
        <v>0</v>
      </c>
      <c r="L593" s="163"/>
      <c r="M593" s="163"/>
      <c r="N593" s="163"/>
      <c r="O593" s="163"/>
      <c r="P593" s="163"/>
      <c r="Q593" s="571"/>
      <c r="R593" s="571"/>
      <c r="S593" s="571"/>
      <c r="T593" s="571"/>
      <c r="U593" s="571"/>
      <c r="V593" s="571"/>
      <c r="W593" s="571"/>
      <c r="X593" s="571"/>
      <c r="Y593" s="571"/>
      <c r="Z593" s="571"/>
    </row>
    <row r="594" spans="1:26" ht="19.5">
      <c r="A594" s="601"/>
      <c r="B594" s="611"/>
      <c r="C594" s="611"/>
      <c r="D594" s="611"/>
      <c r="E594" s="619"/>
      <c r="F594" s="619"/>
      <c r="G594" s="753"/>
      <c r="H594" s="758" t="s">
        <v>34</v>
      </c>
      <c r="I594" s="193">
        <f ca="1">IFERROR(__xludf.DUMMYFUNCTION("IMPORTRANGE(""https://docs.google.com/spreadsheets/d/1QqKyyYR6Q21VydFLVH3TRQUabQu_ym0Zz7PgGX0-kHA/edit?usp=sharing"",""แผน!HI57"")"),17)</f>
        <v>17</v>
      </c>
      <c r="J594" s="193">
        <f t="shared" si="255"/>
        <v>0</v>
      </c>
      <c r="K594" s="410">
        <f t="shared" ca="1" si="254"/>
        <v>0</v>
      </c>
      <c r="L594" s="163"/>
      <c r="M594" s="163"/>
      <c r="N594" s="163"/>
      <c r="O594" s="163"/>
      <c r="P594" s="163"/>
      <c r="Q594" s="571"/>
      <c r="R594" s="571"/>
      <c r="S594" s="571"/>
      <c r="T594" s="571"/>
      <c r="U594" s="571"/>
      <c r="V594" s="571"/>
      <c r="W594" s="571"/>
      <c r="X594" s="571"/>
      <c r="Y594" s="571"/>
      <c r="Z594" s="571"/>
    </row>
    <row r="595" spans="1:26" ht="18.75">
      <c r="A595" s="601"/>
      <c r="B595" s="611"/>
      <c r="C595" s="611" t="s">
        <v>253</v>
      </c>
      <c r="D595" s="611"/>
      <c r="E595" s="611"/>
      <c r="F595" s="619"/>
      <c r="G595" s="753"/>
      <c r="H595" s="755" t="s">
        <v>46</v>
      </c>
      <c r="I595" s="184"/>
      <c r="J595" s="184">
        <f t="shared" ref="J595:J596" si="256">J597+J599</f>
        <v>0</v>
      </c>
      <c r="K595" s="163"/>
      <c r="L595" s="163"/>
      <c r="M595" s="163"/>
      <c r="N595" s="163"/>
      <c r="O595" s="163"/>
      <c r="P595" s="163"/>
      <c r="Q595" s="571"/>
      <c r="R595" s="571"/>
      <c r="S595" s="571"/>
      <c r="T595" s="571"/>
      <c r="U595" s="571"/>
      <c r="V595" s="571"/>
      <c r="W595" s="571"/>
      <c r="X595" s="571"/>
      <c r="Y595" s="571"/>
      <c r="Z595" s="571"/>
    </row>
    <row r="596" spans="1:26" ht="18.75">
      <c r="A596" s="601"/>
      <c r="B596" s="611"/>
      <c r="C596" s="611"/>
      <c r="D596" s="611"/>
      <c r="E596" s="619"/>
      <c r="F596" s="619"/>
      <c r="G596" s="753"/>
      <c r="H596" s="755" t="s">
        <v>34</v>
      </c>
      <c r="I596" s="184"/>
      <c r="J596" s="184">
        <f t="shared" si="256"/>
        <v>0</v>
      </c>
      <c r="K596" s="163"/>
      <c r="L596" s="163"/>
      <c r="M596" s="163"/>
      <c r="N596" s="163"/>
      <c r="O596" s="163"/>
      <c r="P596" s="163"/>
      <c r="Q596" s="571"/>
      <c r="R596" s="571"/>
      <c r="S596" s="571"/>
      <c r="T596" s="571"/>
      <c r="U596" s="571"/>
      <c r="V596" s="571"/>
      <c r="W596" s="571"/>
      <c r="X596" s="571"/>
      <c r="Y596" s="571"/>
      <c r="Z596" s="571"/>
    </row>
    <row r="597" spans="1:26" ht="18.75">
      <c r="A597" s="601"/>
      <c r="B597" s="611"/>
      <c r="C597" s="611"/>
      <c r="D597" s="737" t="s">
        <v>254</v>
      </c>
      <c r="E597" s="619"/>
      <c r="F597" s="619"/>
      <c r="G597" s="753"/>
      <c r="H597" s="755" t="s">
        <v>46</v>
      </c>
      <c r="I597" s="184"/>
      <c r="J597" s="214">
        <v>0</v>
      </c>
      <c r="K597" s="163"/>
      <c r="L597" s="163"/>
      <c r="M597" s="163"/>
      <c r="N597" s="163"/>
      <c r="O597" s="163"/>
      <c r="P597" s="163"/>
      <c r="Q597" s="571"/>
      <c r="R597" s="571"/>
      <c r="S597" s="571"/>
      <c r="T597" s="571"/>
      <c r="U597" s="571"/>
      <c r="V597" s="571"/>
      <c r="W597" s="571"/>
      <c r="X597" s="571"/>
      <c r="Y597" s="571"/>
      <c r="Z597" s="571"/>
    </row>
    <row r="598" spans="1:26" ht="18.75">
      <c r="A598" s="601"/>
      <c r="B598" s="611"/>
      <c r="C598" s="611"/>
      <c r="D598" s="611"/>
      <c r="E598" s="619"/>
      <c r="F598" s="619"/>
      <c r="G598" s="753"/>
      <c r="H598" s="755" t="s">
        <v>34</v>
      </c>
      <c r="I598" s="269"/>
      <c r="J598" s="214">
        <v>0</v>
      </c>
      <c r="K598" s="163"/>
      <c r="L598" s="163"/>
      <c r="M598" s="163"/>
      <c r="N598" s="163"/>
      <c r="O598" s="163"/>
      <c r="P598" s="163"/>
      <c r="Q598" s="571"/>
      <c r="R598" s="571"/>
      <c r="S598" s="571"/>
      <c r="T598" s="571"/>
      <c r="U598" s="571"/>
      <c r="V598" s="571"/>
      <c r="W598" s="571"/>
      <c r="X598" s="571"/>
      <c r="Y598" s="571"/>
      <c r="Z598" s="571"/>
    </row>
    <row r="599" spans="1:26" ht="18.75">
      <c r="A599" s="601"/>
      <c r="B599" s="611"/>
      <c r="C599" s="611"/>
      <c r="D599" s="737" t="s">
        <v>255</v>
      </c>
      <c r="E599" s="619"/>
      <c r="F599" s="619"/>
      <c r="G599" s="753"/>
      <c r="H599" s="755" t="s">
        <v>46</v>
      </c>
      <c r="I599" s="269"/>
      <c r="J599" s="214">
        <v>0</v>
      </c>
      <c r="K599" s="163"/>
      <c r="L599" s="163"/>
      <c r="M599" s="163"/>
      <c r="N599" s="163"/>
      <c r="O599" s="163"/>
      <c r="P599" s="163"/>
      <c r="Q599" s="571"/>
      <c r="R599" s="571"/>
      <c r="S599" s="571"/>
      <c r="T599" s="571"/>
      <c r="U599" s="571"/>
      <c r="V599" s="571"/>
      <c r="W599" s="571"/>
      <c r="X599" s="571"/>
      <c r="Y599" s="571"/>
      <c r="Z599" s="571"/>
    </row>
    <row r="600" spans="1:26" ht="18.75">
      <c r="A600" s="601"/>
      <c r="B600" s="611"/>
      <c r="C600" s="611"/>
      <c r="D600" s="611"/>
      <c r="E600" s="619"/>
      <c r="F600" s="619"/>
      <c r="G600" s="753"/>
      <c r="H600" s="755" t="s">
        <v>34</v>
      </c>
      <c r="I600" s="269"/>
      <c r="J600" s="214">
        <v>0</v>
      </c>
      <c r="K600" s="163"/>
      <c r="L600" s="163"/>
      <c r="M600" s="163"/>
      <c r="N600" s="163"/>
      <c r="O600" s="163"/>
      <c r="P600" s="163"/>
      <c r="Q600" s="571"/>
      <c r="R600" s="571"/>
      <c r="S600" s="571"/>
      <c r="T600" s="571"/>
      <c r="U600" s="571"/>
      <c r="V600" s="571"/>
      <c r="W600" s="571"/>
      <c r="X600" s="571"/>
      <c r="Y600" s="571"/>
      <c r="Z600" s="571"/>
    </row>
    <row r="601" spans="1:26" ht="18.75">
      <c r="A601" s="601"/>
      <c r="B601" s="611"/>
      <c r="C601" s="611"/>
      <c r="D601" s="737" t="s">
        <v>256</v>
      </c>
      <c r="E601" s="619"/>
      <c r="F601" s="619"/>
      <c r="G601" s="753"/>
      <c r="H601" s="755" t="s">
        <v>46</v>
      </c>
      <c r="I601" s="269"/>
      <c r="J601" s="214">
        <v>0</v>
      </c>
      <c r="K601" s="163"/>
      <c r="L601" s="163"/>
      <c r="M601" s="163"/>
      <c r="N601" s="163"/>
      <c r="O601" s="163"/>
      <c r="P601" s="163"/>
      <c r="Q601" s="571"/>
      <c r="R601" s="571"/>
      <c r="S601" s="571"/>
      <c r="T601" s="571"/>
      <c r="U601" s="571"/>
      <c r="V601" s="571"/>
      <c r="W601" s="571"/>
      <c r="X601" s="571"/>
      <c r="Y601" s="571"/>
      <c r="Z601" s="571"/>
    </row>
    <row r="602" spans="1:26" ht="18.75">
      <c r="A602" s="601"/>
      <c r="B602" s="611"/>
      <c r="C602" s="611"/>
      <c r="D602" s="611"/>
      <c r="E602" s="619"/>
      <c r="F602" s="619"/>
      <c r="G602" s="753"/>
      <c r="H602" s="755" t="s">
        <v>34</v>
      </c>
      <c r="I602" s="269"/>
      <c r="J602" s="214">
        <v>0</v>
      </c>
      <c r="K602" s="163"/>
      <c r="L602" s="163"/>
      <c r="M602" s="163"/>
      <c r="N602" s="163"/>
      <c r="O602" s="163"/>
      <c r="P602" s="163"/>
      <c r="Q602" s="571"/>
      <c r="R602" s="571"/>
      <c r="S602" s="571"/>
      <c r="T602" s="571"/>
      <c r="U602" s="571"/>
      <c r="V602" s="571"/>
      <c r="W602" s="571"/>
      <c r="X602" s="571"/>
      <c r="Y602" s="571"/>
      <c r="Z602" s="571"/>
    </row>
    <row r="603" spans="1:26" ht="18.75">
      <c r="A603" s="601"/>
      <c r="B603" s="611"/>
      <c r="C603" s="696" t="s">
        <v>257</v>
      </c>
      <c r="D603" s="611"/>
      <c r="E603" s="611"/>
      <c r="F603" s="619"/>
      <c r="G603" s="753"/>
      <c r="H603" s="755" t="s">
        <v>46</v>
      </c>
      <c r="I603" s="269"/>
      <c r="J603" s="269">
        <f t="shared" ref="J603:J604" si="257">J605+J607</f>
        <v>0</v>
      </c>
      <c r="K603" s="163"/>
      <c r="L603" s="163"/>
      <c r="M603" s="163"/>
      <c r="N603" s="163"/>
      <c r="O603" s="163"/>
      <c r="P603" s="163"/>
      <c r="Q603" s="571"/>
      <c r="R603" s="571"/>
      <c r="S603" s="571"/>
      <c r="T603" s="571"/>
      <c r="U603" s="571"/>
      <c r="V603" s="571"/>
      <c r="W603" s="571"/>
      <c r="X603" s="571"/>
      <c r="Y603" s="571"/>
      <c r="Z603" s="571"/>
    </row>
    <row r="604" spans="1:26" ht="18.75">
      <c r="A604" s="601"/>
      <c r="B604" s="611"/>
      <c r="C604" s="611"/>
      <c r="D604" s="611"/>
      <c r="E604" s="619"/>
      <c r="F604" s="619"/>
      <c r="G604" s="753"/>
      <c r="H604" s="755" t="s">
        <v>34</v>
      </c>
      <c r="I604" s="269"/>
      <c r="J604" s="269">
        <f t="shared" si="257"/>
        <v>0</v>
      </c>
      <c r="K604" s="163"/>
      <c r="L604" s="163"/>
      <c r="M604" s="163"/>
      <c r="N604" s="163"/>
      <c r="O604" s="163"/>
      <c r="P604" s="163"/>
      <c r="Q604" s="571"/>
      <c r="R604" s="571"/>
      <c r="S604" s="571"/>
      <c r="T604" s="571"/>
      <c r="U604" s="571"/>
      <c r="V604" s="571"/>
      <c r="W604" s="571"/>
      <c r="X604" s="571"/>
      <c r="Y604" s="571"/>
      <c r="Z604" s="571"/>
    </row>
    <row r="605" spans="1:26" ht="18.75">
      <c r="A605" s="601"/>
      <c r="B605" s="611"/>
      <c r="C605" s="611"/>
      <c r="D605" s="696" t="s">
        <v>258</v>
      </c>
      <c r="E605" s="619"/>
      <c r="F605" s="619"/>
      <c r="G605" s="753"/>
      <c r="H605" s="755" t="s">
        <v>46</v>
      </c>
      <c r="I605" s="269"/>
      <c r="J605" s="214">
        <v>0</v>
      </c>
      <c r="K605" s="163"/>
      <c r="L605" s="163"/>
      <c r="M605" s="163"/>
      <c r="N605" s="163"/>
      <c r="O605" s="163"/>
      <c r="P605" s="163"/>
      <c r="Q605" s="571"/>
      <c r="R605" s="571"/>
      <c r="S605" s="571"/>
      <c r="T605" s="571"/>
      <c r="U605" s="571"/>
      <c r="V605" s="571"/>
      <c r="W605" s="571"/>
      <c r="X605" s="571"/>
      <c r="Y605" s="571"/>
      <c r="Z605" s="571"/>
    </row>
    <row r="606" spans="1:26" ht="18.75">
      <c r="A606" s="601"/>
      <c r="B606" s="611"/>
      <c r="C606" s="611"/>
      <c r="D606" s="611"/>
      <c r="E606" s="611"/>
      <c r="F606" s="619"/>
      <c r="G606" s="753"/>
      <c r="H606" s="755" t="s">
        <v>34</v>
      </c>
      <c r="I606" s="269"/>
      <c r="J606" s="214">
        <v>0</v>
      </c>
      <c r="K606" s="163"/>
      <c r="L606" s="163"/>
      <c r="M606" s="163"/>
      <c r="N606" s="163"/>
      <c r="O606" s="163"/>
      <c r="P606" s="163"/>
      <c r="Q606" s="571"/>
      <c r="R606" s="571"/>
      <c r="S606" s="571"/>
      <c r="T606" s="571"/>
      <c r="U606" s="571"/>
      <c r="V606" s="571"/>
      <c r="W606" s="571"/>
      <c r="X606" s="571"/>
      <c r="Y606" s="571"/>
      <c r="Z606" s="571"/>
    </row>
    <row r="607" spans="1:26" ht="18.75">
      <c r="A607" s="601"/>
      <c r="B607" s="611"/>
      <c r="C607" s="611"/>
      <c r="D607" s="696" t="s">
        <v>259</v>
      </c>
      <c r="E607" s="611"/>
      <c r="F607" s="619"/>
      <c r="G607" s="753"/>
      <c r="H607" s="755" t="s">
        <v>46</v>
      </c>
      <c r="I607" s="269"/>
      <c r="J607" s="214">
        <v>0</v>
      </c>
      <c r="K607" s="163"/>
      <c r="L607" s="163"/>
      <c r="M607" s="163"/>
      <c r="N607" s="163"/>
      <c r="O607" s="163"/>
      <c r="P607" s="163"/>
      <c r="Q607" s="571"/>
      <c r="R607" s="571"/>
      <c r="S607" s="571"/>
      <c r="T607" s="571"/>
      <c r="U607" s="571"/>
      <c r="V607" s="571"/>
      <c r="W607" s="571"/>
      <c r="X607" s="571"/>
      <c r="Y607" s="571"/>
      <c r="Z607" s="571"/>
    </row>
    <row r="608" spans="1:26" ht="18.75">
      <c r="A608" s="601"/>
      <c r="B608" s="611"/>
      <c r="C608" s="611"/>
      <c r="D608" s="611"/>
      <c r="E608" s="619"/>
      <c r="F608" s="619"/>
      <c r="G608" s="753"/>
      <c r="H608" s="755" t="s">
        <v>34</v>
      </c>
      <c r="I608" s="269"/>
      <c r="J608" s="214">
        <v>0</v>
      </c>
      <c r="K608" s="163"/>
      <c r="L608" s="163"/>
      <c r="M608" s="163"/>
      <c r="N608" s="163"/>
      <c r="O608" s="163"/>
      <c r="P608" s="163"/>
      <c r="Q608" s="571"/>
      <c r="R608" s="571"/>
      <c r="S608" s="571"/>
      <c r="T608" s="571"/>
      <c r="U608" s="571"/>
      <c r="V608" s="571"/>
      <c r="W608" s="571"/>
      <c r="X608" s="571"/>
      <c r="Y608" s="571"/>
      <c r="Z608" s="571"/>
    </row>
    <row r="609" spans="1:26" ht="18.75">
      <c r="A609" s="601"/>
      <c r="B609" s="611"/>
      <c r="C609" s="611" t="s">
        <v>260</v>
      </c>
      <c r="D609" s="611"/>
      <c r="E609" s="611"/>
      <c r="F609" s="619"/>
      <c r="G609" s="753"/>
      <c r="H609" s="755" t="s">
        <v>46</v>
      </c>
      <c r="I609" s="269"/>
      <c r="J609" s="214">
        <v>0</v>
      </c>
      <c r="K609" s="163"/>
      <c r="L609" s="163"/>
      <c r="M609" s="163"/>
      <c r="N609" s="163"/>
      <c r="O609" s="163"/>
      <c r="P609" s="163"/>
      <c r="Q609" s="571"/>
      <c r="R609" s="571"/>
      <c r="S609" s="571"/>
      <c r="T609" s="571"/>
      <c r="U609" s="571"/>
      <c r="V609" s="571"/>
      <c r="W609" s="571"/>
      <c r="X609" s="571"/>
      <c r="Y609" s="571"/>
      <c r="Z609" s="571"/>
    </row>
    <row r="610" spans="1:26" ht="18.75">
      <c r="A610" s="601"/>
      <c r="B610" s="611"/>
      <c r="C610" s="611"/>
      <c r="D610" s="611"/>
      <c r="E610" s="619"/>
      <c r="F610" s="619"/>
      <c r="G610" s="753"/>
      <c r="H610" s="755" t="s">
        <v>34</v>
      </c>
      <c r="I610" s="269"/>
      <c r="J610" s="214">
        <v>0</v>
      </c>
      <c r="K610" s="163"/>
      <c r="L610" s="163"/>
      <c r="M610" s="163"/>
      <c r="N610" s="163"/>
      <c r="O610" s="163"/>
      <c r="P610" s="163"/>
      <c r="Q610" s="571"/>
      <c r="R610" s="571"/>
      <c r="S610" s="571"/>
      <c r="T610" s="571"/>
      <c r="U610" s="571"/>
      <c r="V610" s="571"/>
      <c r="W610" s="571"/>
      <c r="X610" s="571"/>
      <c r="Y610" s="571"/>
      <c r="Z610" s="571"/>
    </row>
    <row r="611" spans="1:26" ht="19.5" hidden="1">
      <c r="A611" s="685"/>
      <c r="B611" s="697" t="s">
        <v>261</v>
      </c>
      <c r="C611" s="687"/>
      <c r="D611" s="687"/>
      <c r="E611" s="666"/>
      <c r="F611" s="666"/>
      <c r="G611" s="667"/>
      <c r="H611" s="698" t="s">
        <v>46</v>
      </c>
      <c r="I611" s="699">
        <v>0</v>
      </c>
      <c r="J611" s="699">
        <f>J614+J616</f>
        <v>0</v>
      </c>
      <c r="K611" s="670">
        <f t="shared" ref="K611:K613" si="258">IF(I611&gt;0,J611*100/I611,0)</f>
        <v>0</v>
      </c>
      <c r="L611" s="671"/>
      <c r="M611" s="671"/>
      <c r="N611" s="671"/>
      <c r="O611" s="671"/>
      <c r="P611" s="671"/>
      <c r="Q611" s="571"/>
      <c r="R611" s="571"/>
      <c r="S611" s="571"/>
      <c r="T611" s="571"/>
      <c r="U611" s="571"/>
      <c r="V611" s="571"/>
      <c r="W611" s="571"/>
      <c r="X611" s="571"/>
      <c r="Y611" s="571"/>
      <c r="Z611" s="571"/>
    </row>
    <row r="612" spans="1:26" ht="19.5" hidden="1">
      <c r="A612" s="700"/>
      <c r="B612" s="710"/>
      <c r="C612" s="702" t="s">
        <v>262</v>
      </c>
      <c r="D612" s="710"/>
      <c r="E612" s="710"/>
      <c r="F612" s="703"/>
      <c r="G612" s="704"/>
      <c r="H612" s="705" t="s">
        <v>46</v>
      </c>
      <c r="I612" s="707">
        <v>0</v>
      </c>
      <c r="J612" s="707">
        <f t="shared" ref="J612:J613" si="259">J614+J616</f>
        <v>0</v>
      </c>
      <c r="K612" s="708">
        <f t="shared" si="258"/>
        <v>0</v>
      </c>
      <c r="L612" s="709"/>
      <c r="M612" s="709"/>
      <c r="N612" s="709"/>
      <c r="O612" s="709"/>
      <c r="P612" s="709"/>
      <c r="Q612" s="597"/>
      <c r="R612" s="597"/>
      <c r="S612" s="597"/>
      <c r="T612" s="597"/>
      <c r="U612" s="597"/>
      <c r="V612" s="597"/>
      <c r="W612" s="597"/>
      <c r="X612" s="597"/>
      <c r="Y612" s="597"/>
      <c r="Z612" s="597"/>
    </row>
    <row r="613" spans="1:26" ht="19.5" hidden="1">
      <c r="A613" s="700"/>
      <c r="B613" s="710"/>
      <c r="C613" s="710" t="s">
        <v>263</v>
      </c>
      <c r="D613" s="710"/>
      <c r="E613" s="710"/>
      <c r="F613" s="703"/>
      <c r="G613" s="704"/>
      <c r="H613" s="705" t="s">
        <v>34</v>
      </c>
      <c r="I613" s="707">
        <v>0</v>
      </c>
      <c r="J613" s="707">
        <f t="shared" si="259"/>
        <v>0</v>
      </c>
      <c r="K613" s="708">
        <f t="shared" si="258"/>
        <v>0</v>
      </c>
      <c r="L613" s="709"/>
      <c r="M613" s="709"/>
      <c r="N613" s="709"/>
      <c r="O613" s="709"/>
      <c r="P613" s="709"/>
      <c r="Q613" s="597"/>
      <c r="R613" s="597"/>
      <c r="S613" s="597"/>
      <c r="T613" s="597"/>
      <c r="U613" s="597"/>
      <c r="V613" s="597"/>
      <c r="W613" s="597"/>
      <c r="X613" s="597"/>
      <c r="Y613" s="597"/>
      <c r="Z613" s="597"/>
    </row>
    <row r="614" spans="1:26" ht="18.75" hidden="1">
      <c r="A614" s="607"/>
      <c r="B614" s="609"/>
      <c r="C614" s="609"/>
      <c r="D614" s="711" t="s">
        <v>264</v>
      </c>
      <c r="E614" s="609"/>
      <c r="F614" s="711"/>
      <c r="G614" s="365"/>
      <c r="H614" s="369" t="s">
        <v>46</v>
      </c>
      <c r="I614" s="610"/>
      <c r="J614" s="610">
        <v>0</v>
      </c>
      <c r="K614" s="167"/>
      <c r="L614" s="167"/>
      <c r="M614" s="167"/>
      <c r="N614" s="167"/>
      <c r="O614" s="167"/>
      <c r="P614" s="167"/>
      <c r="Q614" s="597"/>
      <c r="R614" s="597"/>
      <c r="S614" s="597"/>
      <c r="T614" s="597"/>
      <c r="U614" s="597"/>
      <c r="V614" s="597"/>
      <c r="W614" s="597"/>
      <c r="X614" s="597"/>
      <c r="Y614" s="597"/>
      <c r="Z614" s="597"/>
    </row>
    <row r="615" spans="1:26" ht="18.75" hidden="1">
      <c r="A615" s="607"/>
      <c r="B615" s="609"/>
      <c r="C615" s="609"/>
      <c r="D615" s="609"/>
      <c r="E615" s="609"/>
      <c r="F615" s="711"/>
      <c r="G615" s="365"/>
      <c r="H615" s="369" t="s">
        <v>34</v>
      </c>
      <c r="I615" s="610"/>
      <c r="J615" s="610">
        <v>0</v>
      </c>
      <c r="K615" s="167"/>
      <c r="L615" s="167"/>
      <c r="M615" s="167"/>
      <c r="N615" s="167"/>
      <c r="O615" s="167"/>
      <c r="P615" s="167"/>
      <c r="Q615" s="597"/>
      <c r="R615" s="597"/>
      <c r="S615" s="597"/>
      <c r="T615" s="597"/>
      <c r="U615" s="597"/>
      <c r="V615" s="597"/>
      <c r="W615" s="597"/>
      <c r="X615" s="597"/>
      <c r="Y615" s="597"/>
      <c r="Z615" s="597"/>
    </row>
    <row r="616" spans="1:26" ht="18.75" hidden="1">
      <c r="A616" s="607"/>
      <c r="B616" s="609"/>
      <c r="C616" s="609"/>
      <c r="D616" s="712" t="s">
        <v>264</v>
      </c>
      <c r="E616" s="711"/>
      <c r="F616" s="711"/>
      <c r="G616" s="365"/>
      <c r="H616" s="369" t="s">
        <v>46</v>
      </c>
      <c r="I616" s="610"/>
      <c r="J616" s="610">
        <v>0</v>
      </c>
      <c r="K616" s="167"/>
      <c r="L616" s="167"/>
      <c r="M616" s="167"/>
      <c r="N616" s="167"/>
      <c r="O616" s="167"/>
      <c r="P616" s="167"/>
      <c r="Q616" s="597"/>
      <c r="R616" s="597"/>
      <c r="S616" s="597"/>
      <c r="T616" s="597"/>
      <c r="U616" s="597"/>
      <c r="V616" s="597"/>
      <c r="W616" s="597"/>
      <c r="X616" s="597"/>
      <c r="Y616" s="597"/>
      <c r="Z616" s="597"/>
    </row>
    <row r="617" spans="1:26" ht="18.75" hidden="1">
      <c r="A617" s="607"/>
      <c r="B617" s="609"/>
      <c r="C617" s="609"/>
      <c r="D617" s="609"/>
      <c r="E617" s="711"/>
      <c r="F617" s="711"/>
      <c r="G617" s="365"/>
      <c r="H617" s="369" t="s">
        <v>34</v>
      </c>
      <c r="I617" s="610"/>
      <c r="J617" s="610">
        <v>0</v>
      </c>
      <c r="K617" s="167"/>
      <c r="L617" s="167"/>
      <c r="M617" s="167"/>
      <c r="N617" s="167"/>
      <c r="O617" s="167"/>
      <c r="P617" s="167"/>
      <c r="Q617" s="597"/>
      <c r="R617" s="597"/>
      <c r="S617" s="597"/>
      <c r="T617" s="597"/>
      <c r="U617" s="597"/>
      <c r="V617" s="597"/>
      <c r="W617" s="597"/>
      <c r="X617" s="597"/>
      <c r="Y617" s="597"/>
      <c r="Z617" s="597"/>
    </row>
    <row r="618" spans="1:26" ht="18.75" hidden="1">
      <c r="A618" s="607"/>
      <c r="B618" s="609"/>
      <c r="C618" s="609"/>
      <c r="D618" s="712" t="s">
        <v>265</v>
      </c>
      <c r="E618" s="711"/>
      <c r="F618" s="711"/>
      <c r="G618" s="365"/>
      <c r="H618" s="369" t="s">
        <v>46</v>
      </c>
      <c r="I618" s="610"/>
      <c r="J618" s="610">
        <v>0</v>
      </c>
      <c r="K618" s="167"/>
      <c r="L618" s="167"/>
      <c r="M618" s="167"/>
      <c r="N618" s="167"/>
      <c r="O618" s="167"/>
      <c r="P618" s="167"/>
      <c r="Q618" s="597"/>
      <c r="R618" s="597"/>
      <c r="S618" s="597"/>
      <c r="T618" s="597"/>
      <c r="U618" s="597"/>
      <c r="V618" s="597"/>
      <c r="W618" s="597"/>
      <c r="X618" s="597"/>
      <c r="Y618" s="597"/>
      <c r="Z618" s="597"/>
    </row>
    <row r="619" spans="1:26" ht="18.75" hidden="1">
      <c r="A619" s="607"/>
      <c r="B619" s="609"/>
      <c r="C619" s="609"/>
      <c r="D619" s="609"/>
      <c r="E619" s="711"/>
      <c r="F619" s="711"/>
      <c r="G619" s="365"/>
      <c r="H619" s="369" t="s">
        <v>34</v>
      </c>
      <c r="I619" s="610"/>
      <c r="J619" s="610">
        <v>0</v>
      </c>
      <c r="K619" s="167"/>
      <c r="L619" s="167"/>
      <c r="M619" s="167"/>
      <c r="N619" s="167"/>
      <c r="O619" s="167"/>
      <c r="P619" s="167"/>
      <c r="Q619" s="597"/>
      <c r="R619" s="597"/>
      <c r="S619" s="597"/>
      <c r="T619" s="597"/>
      <c r="U619" s="597"/>
      <c r="V619" s="597"/>
      <c r="W619" s="597"/>
      <c r="X619" s="597"/>
      <c r="Y619" s="597"/>
      <c r="Z619" s="597"/>
    </row>
    <row r="620" spans="1:26" ht="19.5" hidden="1">
      <c r="A620" s="713"/>
      <c r="B620" s="722"/>
      <c r="C620" s="715" t="s">
        <v>266</v>
      </c>
      <c r="D620" s="722"/>
      <c r="E620" s="722"/>
      <c r="F620" s="716"/>
      <c r="G620" s="717"/>
      <c r="H620" s="718" t="s">
        <v>46</v>
      </c>
      <c r="I620" s="719">
        <f ca="1">IFERROR(__xludf.DUMMYFUNCTION("IMPORTRANGE(""https://docs.google.com/spreadsheets/d/1QqKyyYR6Q21VydFLVH3TRQUabQu_ym0Zz7PgGX0-kHA/edit?usp=sharing"",""แผน!HL57"")"),0)</f>
        <v>0</v>
      </c>
      <c r="J620" s="719">
        <f t="shared" ref="J620:J621" si="260">J622+J624+J626</f>
        <v>0</v>
      </c>
      <c r="K620" s="720">
        <f t="shared" ref="K620:K621" ca="1" si="261">IF(I620&gt;0,J620*100/I620,0)</f>
        <v>0</v>
      </c>
      <c r="L620" s="721"/>
      <c r="M620" s="721"/>
      <c r="N620" s="721"/>
      <c r="O620" s="721"/>
      <c r="P620" s="721"/>
      <c r="Q620" s="571"/>
      <c r="R620" s="571"/>
      <c r="S620" s="571"/>
      <c r="T620" s="571"/>
      <c r="U620" s="571"/>
      <c r="V620" s="571"/>
      <c r="W620" s="571"/>
      <c r="X620" s="571"/>
      <c r="Y620" s="571"/>
      <c r="Z620" s="571"/>
    </row>
    <row r="621" spans="1:26" ht="19.5" hidden="1">
      <c r="A621" s="713"/>
      <c r="B621" s="722"/>
      <c r="C621" s="722" t="s">
        <v>267</v>
      </c>
      <c r="D621" s="722"/>
      <c r="E621" s="722"/>
      <c r="F621" s="716"/>
      <c r="G621" s="717"/>
      <c r="H621" s="718" t="s">
        <v>34</v>
      </c>
      <c r="I621" s="719">
        <f ca="1">IFERROR(__xludf.DUMMYFUNCTION("IMPORTRANGE(""https://docs.google.com/spreadsheets/d/1QqKyyYR6Q21VydFLVH3TRQUabQu_ym0Zz7PgGX0-kHA/edit?usp=sharing"",""แผน!HK57"")"),0)</f>
        <v>0</v>
      </c>
      <c r="J621" s="719">
        <f t="shared" si="260"/>
        <v>0</v>
      </c>
      <c r="K621" s="720">
        <f t="shared" ca="1" si="261"/>
        <v>0</v>
      </c>
      <c r="L621" s="721"/>
      <c r="M621" s="721"/>
      <c r="N621" s="721"/>
      <c r="O621" s="721"/>
      <c r="P621" s="721"/>
      <c r="Q621" s="571"/>
      <c r="R621" s="571"/>
      <c r="S621" s="571"/>
      <c r="T621" s="571"/>
      <c r="U621" s="571"/>
      <c r="V621" s="571"/>
      <c r="W621" s="571"/>
      <c r="X621" s="571"/>
      <c r="Y621" s="571"/>
      <c r="Z621" s="571"/>
    </row>
    <row r="622" spans="1:26" ht="18.75" hidden="1">
      <c r="A622" s="601"/>
      <c r="B622" s="611"/>
      <c r="C622" s="611"/>
      <c r="D622" s="737" t="s">
        <v>268</v>
      </c>
      <c r="E622" s="619"/>
      <c r="F622" s="619"/>
      <c r="G622" s="753"/>
      <c r="H622" s="755" t="s">
        <v>46</v>
      </c>
      <c r="I622" s="269"/>
      <c r="J622" s="214">
        <v>0</v>
      </c>
      <c r="K622" s="163"/>
      <c r="L622" s="163"/>
      <c r="M622" s="163"/>
      <c r="N622" s="163"/>
      <c r="O622" s="163"/>
      <c r="P622" s="163"/>
      <c r="Q622" s="571"/>
      <c r="R622" s="571"/>
      <c r="S622" s="571"/>
      <c r="T622" s="571"/>
      <c r="U622" s="571"/>
      <c r="V622" s="571"/>
      <c r="W622" s="571"/>
      <c r="X622" s="571"/>
      <c r="Y622" s="571"/>
      <c r="Z622" s="571"/>
    </row>
    <row r="623" spans="1:26" ht="18.75" hidden="1">
      <c r="A623" s="601"/>
      <c r="B623" s="611"/>
      <c r="C623" s="611"/>
      <c r="D623" s="611"/>
      <c r="E623" s="619"/>
      <c r="F623" s="619"/>
      <c r="G623" s="753"/>
      <c r="H623" s="755" t="s">
        <v>34</v>
      </c>
      <c r="I623" s="269"/>
      <c r="J623" s="214">
        <v>0</v>
      </c>
      <c r="K623" s="163"/>
      <c r="L623" s="163"/>
      <c r="M623" s="163"/>
      <c r="N623" s="163"/>
      <c r="O623" s="163"/>
      <c r="P623" s="163"/>
      <c r="Q623" s="571"/>
      <c r="R623" s="571"/>
      <c r="S623" s="571"/>
      <c r="T623" s="571"/>
      <c r="U623" s="571"/>
      <c r="V623" s="571"/>
      <c r="W623" s="571"/>
      <c r="X623" s="571"/>
      <c r="Y623" s="571"/>
      <c r="Z623" s="571"/>
    </row>
    <row r="624" spans="1:26" ht="18.75" hidden="1">
      <c r="A624" s="601"/>
      <c r="B624" s="611"/>
      <c r="C624" s="611"/>
      <c r="D624" s="737" t="s">
        <v>264</v>
      </c>
      <c r="E624" s="619"/>
      <c r="F624" s="619"/>
      <c r="G624" s="753"/>
      <c r="H624" s="755" t="s">
        <v>46</v>
      </c>
      <c r="I624" s="269"/>
      <c r="J624" s="214">
        <v>0</v>
      </c>
      <c r="K624" s="163"/>
      <c r="L624" s="163"/>
      <c r="M624" s="163"/>
      <c r="N624" s="163"/>
      <c r="O624" s="163"/>
      <c r="P624" s="163"/>
      <c r="Q624" s="571"/>
      <c r="R624" s="571"/>
      <c r="S624" s="571"/>
      <c r="T624" s="571"/>
      <c r="U624" s="571"/>
      <c r="V624" s="571"/>
      <c r="W624" s="571"/>
      <c r="X624" s="571"/>
      <c r="Y624" s="571"/>
      <c r="Z624" s="571"/>
    </row>
    <row r="625" spans="1:26" ht="18.75" hidden="1">
      <c r="A625" s="601"/>
      <c r="B625" s="611"/>
      <c r="C625" s="611"/>
      <c r="D625" s="611"/>
      <c r="E625" s="619"/>
      <c r="F625" s="619"/>
      <c r="G625" s="753"/>
      <c r="H625" s="755" t="s">
        <v>34</v>
      </c>
      <c r="I625" s="269"/>
      <c r="J625" s="214">
        <v>0</v>
      </c>
      <c r="K625" s="163"/>
      <c r="L625" s="163"/>
      <c r="M625" s="163"/>
      <c r="N625" s="163"/>
      <c r="O625" s="163"/>
      <c r="P625" s="163"/>
      <c r="Q625" s="571"/>
      <c r="R625" s="571"/>
      <c r="S625" s="571"/>
      <c r="T625" s="571"/>
      <c r="U625" s="571"/>
      <c r="V625" s="571"/>
      <c r="W625" s="571"/>
      <c r="X625" s="571"/>
      <c r="Y625" s="571"/>
      <c r="Z625" s="571"/>
    </row>
    <row r="626" spans="1:26" ht="18.75" hidden="1">
      <c r="A626" s="601"/>
      <c r="B626" s="611"/>
      <c r="C626" s="611"/>
      <c r="D626" s="737" t="s">
        <v>269</v>
      </c>
      <c r="E626" s="619"/>
      <c r="F626" s="619"/>
      <c r="G626" s="753"/>
      <c r="H626" s="755" t="s">
        <v>46</v>
      </c>
      <c r="I626" s="269"/>
      <c r="J626" s="214">
        <v>0</v>
      </c>
      <c r="K626" s="163"/>
      <c r="L626" s="163"/>
      <c r="M626" s="163"/>
      <c r="N626" s="163"/>
      <c r="O626" s="163"/>
      <c r="P626" s="163"/>
      <c r="Q626" s="571"/>
      <c r="R626" s="571"/>
      <c r="S626" s="571"/>
      <c r="T626" s="571"/>
      <c r="U626" s="571"/>
      <c r="V626" s="571"/>
      <c r="W626" s="571"/>
      <c r="X626" s="571"/>
      <c r="Y626" s="571"/>
      <c r="Z626" s="571"/>
    </row>
    <row r="627" spans="1:26" ht="18.75" hidden="1">
      <c r="A627" s="723"/>
      <c r="B627" s="724"/>
      <c r="C627" s="724"/>
      <c r="D627" s="724"/>
      <c r="E627" s="725"/>
      <c r="F627" s="725"/>
      <c r="G627" s="726"/>
      <c r="H627" s="421" t="s">
        <v>34</v>
      </c>
      <c r="I627" s="499"/>
      <c r="J627" s="423">
        <v>0</v>
      </c>
      <c r="K627" s="384"/>
      <c r="L627" s="384"/>
      <c r="M627" s="384"/>
      <c r="N627" s="384"/>
      <c r="O627" s="384"/>
      <c r="P627" s="384"/>
      <c r="Q627" s="571"/>
      <c r="R627" s="571"/>
      <c r="S627" s="571"/>
      <c r="T627" s="571"/>
      <c r="U627" s="571"/>
      <c r="V627" s="571"/>
      <c r="W627" s="571"/>
      <c r="X627" s="571"/>
      <c r="Y627" s="571"/>
      <c r="Z627" s="571"/>
    </row>
    <row r="628" spans="1:26" ht="19.5">
      <c r="A628" s="727">
        <v>7</v>
      </c>
      <c r="B628" s="728" t="s">
        <v>270</v>
      </c>
      <c r="C628" s="729"/>
      <c r="D628" s="729"/>
      <c r="E628" s="729"/>
      <c r="F628" s="729"/>
      <c r="G628" s="730"/>
      <c r="H628" s="731" t="s">
        <v>35</v>
      </c>
      <c r="I628" s="732">
        <f t="shared" ref="I628:J628" ca="1" si="262">I651</f>
        <v>6</v>
      </c>
      <c r="J628" s="732">
        <f t="shared" ca="1" si="262"/>
        <v>0</v>
      </c>
      <c r="K628" s="733">
        <f ca="1">IF(I628&gt;0,J628*100/I628,0)</f>
        <v>0</v>
      </c>
      <c r="L628" s="734"/>
      <c r="M628" s="734"/>
      <c r="N628" s="734"/>
      <c r="O628" s="734"/>
      <c r="P628" s="734"/>
      <c r="Q628" s="571"/>
      <c r="R628" s="571"/>
      <c r="S628" s="571"/>
      <c r="T628" s="571"/>
      <c r="U628" s="571"/>
      <c r="V628" s="571"/>
      <c r="W628" s="571"/>
      <c r="X628" s="571"/>
      <c r="Y628" s="571"/>
      <c r="Z628" s="571"/>
    </row>
    <row r="629" spans="1:26" ht="19.5">
      <c r="A629" s="590"/>
      <c r="B629" s="754"/>
      <c r="C629" s="754" t="s">
        <v>16</v>
      </c>
      <c r="D629" s="863" t="s">
        <v>17</v>
      </c>
      <c r="E629" s="857"/>
      <c r="F629" s="857"/>
      <c r="G629" s="189"/>
      <c r="H629" s="591" t="s">
        <v>12</v>
      </c>
      <c r="I629" s="269"/>
      <c r="J629" s="269"/>
      <c r="K629" s="496"/>
      <c r="L629" s="195">
        <f t="shared" ref="L629:N629" ca="1" si="263">L630+L631</f>
        <v>146945</v>
      </c>
      <c r="M629" s="195">
        <f t="shared" si="263"/>
        <v>0</v>
      </c>
      <c r="N629" s="195">
        <f t="shared" si="263"/>
        <v>0</v>
      </c>
      <c r="O629" s="195">
        <f t="shared" ref="O629:O634" ca="1" si="264">IF(L629&gt;0,N629*100/L629,0)</f>
        <v>0</v>
      </c>
      <c r="P629" s="195">
        <f t="shared" ref="P629:P634" si="265">IF(M629&gt;0,N629*100/M629,0)</f>
        <v>0</v>
      </c>
      <c r="Q629" s="571"/>
      <c r="R629" s="571"/>
      <c r="S629" s="571"/>
      <c r="T629" s="571"/>
      <c r="U629" s="571"/>
      <c r="V629" s="571"/>
      <c r="W629" s="571"/>
      <c r="X629" s="571"/>
      <c r="Y629" s="571"/>
      <c r="Z629" s="571"/>
    </row>
    <row r="630" spans="1:26" ht="18.75" hidden="1">
      <c r="A630" s="592"/>
      <c r="B630" s="750"/>
      <c r="C630" s="750"/>
      <c r="D630" s="711"/>
      <c r="E630" s="750" t="s">
        <v>184</v>
      </c>
      <c r="F630" s="750"/>
      <c r="G630" s="596"/>
      <c r="H630" s="165" t="s">
        <v>12</v>
      </c>
      <c r="I630" s="610"/>
      <c r="J630" s="610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597"/>
      <c r="R630" s="597"/>
      <c r="S630" s="597"/>
      <c r="T630" s="597"/>
      <c r="U630" s="597"/>
      <c r="V630" s="597"/>
      <c r="W630" s="597"/>
      <c r="X630" s="597"/>
      <c r="Y630" s="597"/>
      <c r="Z630" s="597"/>
    </row>
    <row r="631" spans="1:26" ht="18.75" hidden="1">
      <c r="A631" s="592"/>
      <c r="B631" s="600"/>
      <c r="C631" s="750"/>
      <c r="D631" s="711"/>
      <c r="E631" s="750" t="s">
        <v>185</v>
      </c>
      <c r="F631" s="750"/>
      <c r="G631" s="596"/>
      <c r="H631" s="165" t="s">
        <v>12</v>
      </c>
      <c r="I631" s="610"/>
      <c r="J631" s="610"/>
      <c r="K631" s="93"/>
      <c r="L631" s="93">
        <f t="shared" ca="1" si="266"/>
        <v>146945</v>
      </c>
      <c r="M631" s="93">
        <f t="shared" si="266"/>
        <v>0</v>
      </c>
      <c r="N631" s="93">
        <f t="shared" si="266"/>
        <v>0</v>
      </c>
      <c r="O631" s="93">
        <f t="shared" ca="1" si="264"/>
        <v>0</v>
      </c>
      <c r="P631" s="93">
        <f t="shared" si="265"/>
        <v>0</v>
      </c>
      <c r="Q631" s="597"/>
      <c r="R631" s="597"/>
      <c r="S631" s="597"/>
      <c r="T631" s="597"/>
      <c r="U631" s="597"/>
      <c r="V631" s="597"/>
      <c r="W631" s="597"/>
      <c r="X631" s="597"/>
      <c r="Y631" s="597"/>
      <c r="Z631" s="597"/>
    </row>
    <row r="632" spans="1:26" ht="18.75">
      <c r="A632" s="590"/>
      <c r="B632" s="568"/>
      <c r="C632" s="754"/>
      <c r="D632" s="599" t="s">
        <v>20</v>
      </c>
      <c r="E632" s="754"/>
      <c r="F632" s="754"/>
      <c r="G632" s="189"/>
      <c r="H632" s="161" t="s">
        <v>12</v>
      </c>
      <c r="I632" s="184"/>
      <c r="J632" s="184"/>
      <c r="K632" s="163"/>
      <c r="L632" s="496">
        <f t="shared" ref="L632:N632" ca="1" si="267">L633+L634</f>
        <v>146945</v>
      </c>
      <c r="M632" s="496">
        <f t="shared" si="267"/>
        <v>0</v>
      </c>
      <c r="N632" s="496">
        <f t="shared" si="267"/>
        <v>0</v>
      </c>
      <c r="O632" s="496">
        <f t="shared" ca="1" si="264"/>
        <v>0</v>
      </c>
      <c r="P632" s="496">
        <f t="shared" si="265"/>
        <v>0</v>
      </c>
      <c r="Q632" s="571"/>
      <c r="R632" s="571"/>
      <c r="S632" s="571"/>
      <c r="T632" s="571"/>
      <c r="U632" s="571"/>
      <c r="V632" s="571"/>
      <c r="W632" s="571"/>
      <c r="X632" s="571"/>
      <c r="Y632" s="571"/>
      <c r="Z632" s="571"/>
    </row>
    <row r="633" spans="1:26" ht="18.75" hidden="1">
      <c r="A633" s="592"/>
      <c r="B633" s="600"/>
      <c r="C633" s="750"/>
      <c r="D633" s="711"/>
      <c r="E633" s="750" t="s">
        <v>184</v>
      </c>
      <c r="F633" s="750"/>
      <c r="G633" s="596"/>
      <c r="H633" s="165" t="s">
        <v>12</v>
      </c>
      <c r="I633" s="610"/>
      <c r="J633" s="610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597"/>
      <c r="R633" s="597"/>
      <c r="S633" s="597"/>
      <c r="T633" s="597"/>
      <c r="U633" s="597"/>
      <c r="V633" s="597"/>
      <c r="W633" s="597"/>
      <c r="X633" s="597"/>
      <c r="Y633" s="597"/>
      <c r="Z633" s="597"/>
    </row>
    <row r="634" spans="1:26" ht="18.75" hidden="1">
      <c r="A634" s="592"/>
      <c r="B634" s="600"/>
      <c r="C634" s="750"/>
      <c r="D634" s="711"/>
      <c r="E634" s="750" t="s">
        <v>185</v>
      </c>
      <c r="F634" s="750"/>
      <c r="G634" s="596"/>
      <c r="H634" s="165" t="s">
        <v>12</v>
      </c>
      <c r="I634" s="610"/>
      <c r="J634" s="610"/>
      <c r="K634" s="93"/>
      <c r="L634" s="93">
        <f ca="1">IFERROR(__xludf.DUMMYFUNCTION("IMPORTRANGE(""https://docs.google.com/spreadsheets/d/1QqKyyYR6Q21VydFLVH3TRQUabQu_ym0Zz7PgGX0-kHA/edit?usp=sharing"",""แผน!HN57"")"),146945)</f>
        <v>146945</v>
      </c>
      <c r="M634" s="93">
        <v>0</v>
      </c>
      <c r="N634" s="93">
        <f>N635+N636+N637+N638</f>
        <v>0</v>
      </c>
      <c r="O634" s="93">
        <f t="shared" ca="1" si="264"/>
        <v>0</v>
      </c>
      <c r="P634" s="93">
        <f t="shared" si="265"/>
        <v>0</v>
      </c>
      <c r="Q634" s="597"/>
      <c r="R634" s="597"/>
      <c r="S634" s="597"/>
      <c r="T634" s="597"/>
      <c r="U634" s="597"/>
      <c r="V634" s="597"/>
      <c r="W634" s="597"/>
      <c r="X634" s="597"/>
      <c r="Y634" s="597"/>
      <c r="Z634" s="597"/>
    </row>
    <row r="635" spans="1:26" ht="18.75">
      <c r="A635" s="567"/>
      <c r="B635" s="568"/>
      <c r="C635" s="754"/>
      <c r="D635" s="754"/>
      <c r="E635" s="754"/>
      <c r="F635" s="754" t="s">
        <v>186</v>
      </c>
      <c r="G635" s="189"/>
      <c r="H635" s="161" t="s">
        <v>12</v>
      </c>
      <c r="I635" s="269"/>
      <c r="J635" s="269"/>
      <c r="K635" s="496"/>
      <c r="L635" s="496"/>
      <c r="M635" s="496"/>
      <c r="N635" s="817">
        <v>0</v>
      </c>
      <c r="O635" s="496"/>
      <c r="P635" s="496"/>
      <c r="Q635" s="571"/>
      <c r="R635" s="571"/>
      <c r="S635" s="571"/>
      <c r="T635" s="571"/>
      <c r="U635" s="571"/>
      <c r="V635" s="571"/>
      <c r="W635" s="571"/>
      <c r="X635" s="571"/>
      <c r="Y635" s="571"/>
      <c r="Z635" s="571"/>
    </row>
    <row r="636" spans="1:26" ht="18.75">
      <c r="A636" s="567"/>
      <c r="B636" s="568"/>
      <c r="C636" s="754"/>
      <c r="D636" s="754"/>
      <c r="E636" s="754"/>
      <c r="F636" s="754" t="s">
        <v>187</v>
      </c>
      <c r="G636" s="189"/>
      <c r="H636" s="161" t="s">
        <v>12</v>
      </c>
      <c r="I636" s="269"/>
      <c r="J636" s="269"/>
      <c r="K636" s="496"/>
      <c r="L636" s="496"/>
      <c r="M636" s="496"/>
      <c r="N636" s="817">
        <v>0</v>
      </c>
      <c r="O636" s="496"/>
      <c r="P636" s="496"/>
      <c r="Q636" s="571"/>
      <c r="R636" s="571"/>
      <c r="S636" s="571"/>
      <c r="T636" s="571"/>
      <c r="U636" s="571"/>
      <c r="V636" s="571"/>
      <c r="W636" s="571"/>
      <c r="X636" s="571"/>
      <c r="Y636" s="571"/>
      <c r="Z636" s="571"/>
    </row>
    <row r="637" spans="1:26" ht="18.75">
      <c r="A637" s="567"/>
      <c r="B637" s="568"/>
      <c r="C637" s="754"/>
      <c r="D637" s="754"/>
      <c r="E637" s="754"/>
      <c r="F637" s="754" t="s">
        <v>188</v>
      </c>
      <c r="G637" s="189"/>
      <c r="H637" s="161" t="s">
        <v>12</v>
      </c>
      <c r="I637" s="269"/>
      <c r="J637" s="269"/>
      <c r="K637" s="496"/>
      <c r="L637" s="496"/>
      <c r="M637" s="496"/>
      <c r="N637" s="817">
        <v>0</v>
      </c>
      <c r="O637" s="496"/>
      <c r="P637" s="496"/>
      <c r="Q637" s="571"/>
      <c r="R637" s="571"/>
      <c r="S637" s="571"/>
      <c r="T637" s="571"/>
      <c r="U637" s="571"/>
      <c r="V637" s="571"/>
      <c r="W637" s="571"/>
      <c r="X637" s="571"/>
      <c r="Y637" s="571"/>
      <c r="Z637" s="571"/>
    </row>
    <row r="638" spans="1:26" ht="18.75">
      <c r="A638" s="567"/>
      <c r="B638" s="568"/>
      <c r="C638" s="754"/>
      <c r="D638" s="754"/>
      <c r="E638" s="754"/>
      <c r="F638" s="754" t="s">
        <v>189</v>
      </c>
      <c r="G638" s="189"/>
      <c r="H638" s="161" t="s">
        <v>12</v>
      </c>
      <c r="I638" s="269"/>
      <c r="J638" s="269"/>
      <c r="K638" s="496"/>
      <c r="L638" s="496"/>
      <c r="M638" s="496"/>
      <c r="N638" s="817">
        <v>0</v>
      </c>
      <c r="O638" s="496"/>
      <c r="P638" s="496"/>
      <c r="Q638" s="571"/>
      <c r="R638" s="571"/>
      <c r="S638" s="571"/>
      <c r="T638" s="571"/>
      <c r="U638" s="571"/>
      <c r="V638" s="571"/>
      <c r="W638" s="571"/>
      <c r="X638" s="571"/>
      <c r="Y638" s="571"/>
      <c r="Z638" s="571"/>
    </row>
    <row r="639" spans="1:26" ht="18.75">
      <c r="A639" s="590"/>
      <c r="B639" s="568"/>
      <c r="C639" s="754"/>
      <c r="D639" s="599" t="s">
        <v>21</v>
      </c>
      <c r="E639" s="754"/>
      <c r="F639" s="754"/>
      <c r="G639" s="189"/>
      <c r="H639" s="168" t="s">
        <v>12</v>
      </c>
      <c r="I639" s="184"/>
      <c r="J639" s="184"/>
      <c r="K639" s="163"/>
      <c r="L639" s="496">
        <f t="shared" ref="L639:N639" ca="1" si="268">L640+L641</f>
        <v>0</v>
      </c>
      <c r="M639" s="496">
        <f t="shared" si="268"/>
        <v>0</v>
      </c>
      <c r="N639" s="496">
        <f t="shared" si="268"/>
        <v>0</v>
      </c>
      <c r="O639" s="496">
        <f t="shared" ref="O639:O641" ca="1" si="269">IF(L639&gt;0,N639*100/L639,0)</f>
        <v>0</v>
      </c>
      <c r="P639" s="496">
        <f t="shared" ref="P639:P641" si="270">IF(M639&gt;0,N639*100/M639,0)</f>
        <v>0</v>
      </c>
      <c r="Q639" s="571"/>
      <c r="R639" s="571"/>
      <c r="S639" s="571"/>
      <c r="T639" s="571"/>
      <c r="U639" s="571"/>
      <c r="V639" s="571"/>
      <c r="W639" s="571"/>
      <c r="X639" s="571"/>
      <c r="Y639" s="571"/>
      <c r="Z639" s="571"/>
    </row>
    <row r="640" spans="1:26" ht="18.75" hidden="1">
      <c r="A640" s="592"/>
      <c r="B640" s="600"/>
      <c r="C640" s="750"/>
      <c r="D640" s="750"/>
      <c r="E640" s="750" t="s">
        <v>18</v>
      </c>
      <c r="F640" s="750"/>
      <c r="G640" s="596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597"/>
      <c r="R640" s="597"/>
      <c r="S640" s="597"/>
      <c r="T640" s="597"/>
      <c r="U640" s="597"/>
      <c r="V640" s="597"/>
      <c r="W640" s="597"/>
      <c r="X640" s="597"/>
      <c r="Y640" s="597"/>
      <c r="Z640" s="597"/>
    </row>
    <row r="641" spans="1:26" ht="18.75" hidden="1">
      <c r="A641" s="592"/>
      <c r="B641" s="600"/>
      <c r="C641" s="750"/>
      <c r="D641" s="750"/>
      <c r="E641" s="750" t="s">
        <v>19</v>
      </c>
      <c r="F641" s="750"/>
      <c r="G641" s="596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IFERROR(__xludf.DUMMYFUNCTION("IMPORTRANGE(""https://docs.google.com/spreadsheets/d/1QqKyyYR6Q21VydFLVH3TRQUabQu_ym0Zz7PgGX0-kHA/edit?usp=sharing"",""แผน!HQ57"")"),0)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597"/>
      <c r="R641" s="597"/>
      <c r="S641" s="597"/>
      <c r="T641" s="597"/>
      <c r="U641" s="597"/>
      <c r="V641" s="597"/>
      <c r="W641" s="597"/>
      <c r="X641" s="597"/>
      <c r="Y641" s="597"/>
      <c r="Z641" s="597"/>
    </row>
    <row r="642" spans="1:26" ht="19.5">
      <c r="A642" s="601"/>
      <c r="B642" s="611"/>
      <c r="C642" s="754" t="s">
        <v>16</v>
      </c>
      <c r="D642" s="839" t="s">
        <v>38</v>
      </c>
      <c r="E642" s="752"/>
      <c r="F642" s="752"/>
      <c r="G642" s="606"/>
      <c r="H642" s="753"/>
      <c r="I642" s="184"/>
      <c r="J642" s="184"/>
      <c r="K642" s="163"/>
      <c r="L642" s="163"/>
      <c r="M642" s="163"/>
      <c r="N642" s="163"/>
      <c r="O642" s="163"/>
      <c r="P642" s="163"/>
      <c r="Q642" s="571"/>
      <c r="R642" s="571"/>
      <c r="S642" s="571"/>
      <c r="T642" s="571"/>
      <c r="U642" s="571"/>
      <c r="V642" s="571"/>
      <c r="W642" s="571"/>
      <c r="X642" s="571"/>
      <c r="Y642" s="571"/>
      <c r="Z642" s="571"/>
    </row>
    <row r="643" spans="1:26" ht="18.75">
      <c r="A643" s="735"/>
      <c r="B643" s="568"/>
      <c r="C643" s="754"/>
      <c r="D643" s="619"/>
      <c r="E643" s="737" t="s">
        <v>271</v>
      </c>
      <c r="F643" s="619"/>
      <c r="G643" s="753"/>
      <c r="H643" s="755" t="s">
        <v>272</v>
      </c>
      <c r="I643" s="269">
        <f ca="1">IFERROR(__xludf.DUMMYFUNCTION("IMPORTRANGE(""https://docs.google.com/spreadsheets/d/1QqKyyYR6Q21VydFLVH3TRQUabQu_ym0Zz7PgGX0-kHA/edit?usp=sharing"",""แผน!HR57"")"),0)</f>
        <v>0</v>
      </c>
      <c r="J643" s="214">
        <v>0</v>
      </c>
      <c r="K643" s="163">
        <f t="shared" ref="K643:K652" ca="1" si="271">IF(I643&gt;0,J643*100/I643,0)</f>
        <v>0</v>
      </c>
      <c r="L643" s="163"/>
      <c r="M643" s="163"/>
      <c r="N643" s="496"/>
      <c r="O643" s="163"/>
      <c r="P643" s="163"/>
      <c r="Q643" s="571"/>
      <c r="R643" s="571"/>
      <c r="S643" s="571"/>
      <c r="T643" s="571"/>
      <c r="U643" s="571"/>
      <c r="V643" s="571"/>
      <c r="W643" s="571"/>
      <c r="X643" s="571"/>
      <c r="Y643" s="571"/>
      <c r="Z643" s="571"/>
    </row>
    <row r="644" spans="1:26" ht="18.75">
      <c r="A644" s="735"/>
      <c r="B644" s="568"/>
      <c r="C644" s="754"/>
      <c r="D644" s="619"/>
      <c r="E644" s="737" t="s">
        <v>273</v>
      </c>
      <c r="F644" s="619"/>
      <c r="G644" s="753"/>
      <c r="H644" s="755" t="s">
        <v>274</v>
      </c>
      <c r="I644" s="269">
        <f ca="1">IFERROR(__xludf.DUMMYFUNCTION("IMPORTRANGE(""https://docs.google.com/spreadsheets/d/1QqKyyYR6Q21VydFLVH3TRQUabQu_ym0Zz7PgGX0-kHA/edit?usp=sharing"",""แผน!HR57"")"),0)</f>
        <v>0</v>
      </c>
      <c r="J644" s="214">
        <v>0</v>
      </c>
      <c r="K644" s="163">
        <f t="shared" ca="1" si="271"/>
        <v>0</v>
      </c>
      <c r="L644" s="163"/>
      <c r="M644" s="163"/>
      <c r="N644" s="496"/>
      <c r="O644" s="163"/>
      <c r="P644" s="163"/>
      <c r="Q644" s="571"/>
      <c r="R644" s="571"/>
      <c r="S644" s="571"/>
      <c r="T644" s="571"/>
      <c r="U644" s="571"/>
      <c r="V644" s="571"/>
      <c r="W644" s="571"/>
      <c r="X644" s="571"/>
      <c r="Y644" s="571"/>
      <c r="Z644" s="571"/>
    </row>
    <row r="645" spans="1:26" ht="18.75">
      <c r="A645" s="735"/>
      <c r="B645" s="568"/>
      <c r="C645" s="754"/>
      <c r="D645" s="619"/>
      <c r="E645" s="737" t="s">
        <v>275</v>
      </c>
      <c r="F645" s="619"/>
      <c r="G645" s="753"/>
      <c r="H645" s="755" t="s">
        <v>34</v>
      </c>
      <c r="I645" s="269">
        <v>0</v>
      </c>
      <c r="J645" s="269">
        <f ca="1">IFERROR(__xludf.DUMMYFUNCTION("IMPORTRANGE(""https://docs.google.com/spreadsheets/d/1XWAQStnk-4SwqDmLtmXYiTMKHgktTP8We1SCoS47DrQ/edit?usp=sharing"",""จัดที่ดิน!AS57"")"),0)</f>
        <v>0</v>
      </c>
      <c r="K645" s="163">
        <f t="shared" si="271"/>
        <v>0</v>
      </c>
      <c r="L645" s="163"/>
      <c r="M645" s="163"/>
      <c r="N645" s="496"/>
      <c r="O645" s="163"/>
      <c r="P645" s="163"/>
      <c r="Q645" s="571"/>
      <c r="R645" s="571"/>
      <c r="S645" s="571"/>
      <c r="T645" s="571"/>
      <c r="U645" s="571"/>
      <c r="V645" s="571"/>
      <c r="W645" s="571"/>
      <c r="X645" s="571"/>
      <c r="Y645" s="571"/>
      <c r="Z645" s="571"/>
    </row>
    <row r="646" spans="1:26" ht="18.75">
      <c r="A646" s="735"/>
      <c r="B646" s="568"/>
      <c r="C646" s="754"/>
      <c r="D646" s="619"/>
      <c r="E646" s="619"/>
      <c r="F646" s="619"/>
      <c r="G646" s="753"/>
      <c r="H646" s="755" t="s">
        <v>46</v>
      </c>
      <c r="I646" s="269">
        <v>0</v>
      </c>
      <c r="J646" s="269">
        <f ca="1">IFERROR(__xludf.DUMMYFUNCTION("IMPORTRANGE(""https://docs.google.com/spreadsheets/d/1XWAQStnk-4SwqDmLtmXYiTMKHgktTP8We1SCoS47DrQ/edit?usp=sharing"",""จัดที่ดิน!AT57"")"),0)</f>
        <v>0</v>
      </c>
      <c r="K646" s="496">
        <f t="shared" si="271"/>
        <v>0</v>
      </c>
      <c r="L646" s="163"/>
      <c r="M646" s="163"/>
      <c r="N646" s="496"/>
      <c r="O646" s="163"/>
      <c r="P646" s="163"/>
      <c r="Q646" s="571"/>
      <c r="R646" s="571"/>
      <c r="S646" s="571"/>
      <c r="T646" s="571"/>
      <c r="U646" s="571"/>
      <c r="V646" s="571"/>
      <c r="W646" s="571"/>
      <c r="X646" s="571"/>
      <c r="Y646" s="571"/>
      <c r="Z646" s="571"/>
    </row>
    <row r="647" spans="1:26" ht="18.75">
      <c r="A647" s="735"/>
      <c r="B647" s="568"/>
      <c r="C647" s="754"/>
      <c r="D647" s="619"/>
      <c r="E647" s="737" t="s">
        <v>162</v>
      </c>
      <c r="F647" s="619"/>
      <c r="G647" s="753"/>
      <c r="H647" s="755" t="s">
        <v>35</v>
      </c>
      <c r="I647" s="269">
        <f ca="1">IFERROR(__xludf.DUMMYFUNCTION("IMPORTRANGE(""https://docs.google.com/spreadsheets/d/1QqKyyYR6Q21VydFLVH3TRQUabQu_ym0Zz7PgGX0-kHA/edit?usp=sharing"",""แผน!HS57"")"),6)</f>
        <v>6</v>
      </c>
      <c r="J647" s="269">
        <f ca="1">IFERROR(__xludf.DUMMYFUNCTION("IMPORTRANGE(""https://docs.google.com/spreadsheets/d/1XWAQStnk-4SwqDmLtmXYiTMKHgktTP8We1SCoS47DrQ/edit?usp=sharing"",""จัดที่ดิน!AU57"")"),0)</f>
        <v>0</v>
      </c>
      <c r="K647" s="163">
        <f t="shared" ca="1" si="271"/>
        <v>0</v>
      </c>
      <c r="L647" s="163"/>
      <c r="M647" s="163"/>
      <c r="N647" s="163"/>
      <c r="O647" s="163"/>
      <c r="P647" s="163"/>
      <c r="Q647" s="571"/>
      <c r="R647" s="571"/>
      <c r="S647" s="571"/>
      <c r="T647" s="571"/>
      <c r="U647" s="571"/>
      <c r="V647" s="571"/>
      <c r="W647" s="571"/>
      <c r="X647" s="571"/>
      <c r="Y647" s="571"/>
      <c r="Z647" s="571"/>
    </row>
    <row r="648" spans="1:26" ht="18.75">
      <c r="A648" s="735"/>
      <c r="B648" s="568"/>
      <c r="C648" s="754"/>
      <c r="D648" s="619"/>
      <c r="E648" s="619"/>
      <c r="F648" s="619"/>
      <c r="G648" s="753"/>
      <c r="H648" s="755" t="s">
        <v>46</v>
      </c>
      <c r="I648" s="269">
        <v>0</v>
      </c>
      <c r="J648" s="269">
        <f ca="1">IFERROR(__xludf.DUMMYFUNCTION("IMPORTRANGE(""https://docs.google.com/spreadsheets/d/1XWAQStnk-4SwqDmLtmXYiTMKHgktTP8We1SCoS47DrQ/edit?usp=sharing"",""จัดที่ดิน!AV57"")"),0)</f>
        <v>0</v>
      </c>
      <c r="K648" s="496">
        <f t="shared" si="271"/>
        <v>0</v>
      </c>
      <c r="L648" s="163"/>
      <c r="M648" s="163"/>
      <c r="N648" s="163"/>
      <c r="O648" s="163"/>
      <c r="P648" s="163"/>
      <c r="Q648" s="571"/>
      <c r="R648" s="571"/>
      <c r="S648" s="571"/>
      <c r="T648" s="571"/>
      <c r="U648" s="571"/>
      <c r="V648" s="571"/>
      <c r="W648" s="571"/>
      <c r="X648" s="571"/>
      <c r="Y648" s="571"/>
      <c r="Z648" s="571"/>
    </row>
    <row r="649" spans="1:26" ht="18.75">
      <c r="A649" s="735"/>
      <c r="B649" s="568"/>
      <c r="C649" s="754"/>
      <c r="D649" s="619"/>
      <c r="E649" s="737" t="s">
        <v>276</v>
      </c>
      <c r="F649" s="619"/>
      <c r="G649" s="753"/>
      <c r="H649" s="755" t="s">
        <v>35</v>
      </c>
      <c r="I649" s="269">
        <f ca="1">IFERROR(__xludf.DUMMYFUNCTION("IMPORTRANGE(""https://docs.google.com/spreadsheets/d/1QqKyyYR6Q21VydFLVH3TRQUabQu_ym0Zz7PgGX0-kHA/edit?usp=sharing"",""แผน!HS57"")"),6)</f>
        <v>6</v>
      </c>
      <c r="J649" s="269">
        <f ca="1">IFERROR(__xludf.DUMMYFUNCTION("IMPORTRANGE(""https://docs.google.com/spreadsheets/d/1XWAQStnk-4SwqDmLtmXYiTMKHgktTP8We1SCoS47DrQ/edit?usp=sharing"",""จัดที่ดิน!AW57"")"),0)</f>
        <v>0</v>
      </c>
      <c r="K649" s="163">
        <f t="shared" ca="1" si="271"/>
        <v>0</v>
      </c>
      <c r="L649" s="163"/>
      <c r="M649" s="163"/>
      <c r="N649" s="163"/>
      <c r="O649" s="163"/>
      <c r="P649" s="163"/>
      <c r="Q649" s="571"/>
      <c r="R649" s="571"/>
      <c r="S649" s="571"/>
      <c r="T649" s="571"/>
      <c r="U649" s="571"/>
      <c r="V649" s="571"/>
      <c r="W649" s="571"/>
      <c r="X649" s="571"/>
      <c r="Y649" s="571"/>
      <c r="Z649" s="571"/>
    </row>
    <row r="650" spans="1:26" ht="18.75">
      <c r="A650" s="735"/>
      <c r="B650" s="568"/>
      <c r="C650" s="754"/>
      <c r="D650" s="619"/>
      <c r="E650" s="619"/>
      <c r="F650" s="619"/>
      <c r="G650" s="753"/>
      <c r="H650" s="755" t="s">
        <v>46</v>
      </c>
      <c r="I650" s="269">
        <v>0</v>
      </c>
      <c r="J650" s="269">
        <f ca="1">IFERROR(__xludf.DUMMYFUNCTION("IMPORTRANGE(""https://docs.google.com/spreadsheets/d/1XWAQStnk-4SwqDmLtmXYiTMKHgktTP8We1SCoS47DrQ/edit?usp=sharing"",""จัดที่ดิน!AX57"")"),0)</f>
        <v>0</v>
      </c>
      <c r="K650" s="496">
        <f t="shared" si="271"/>
        <v>0</v>
      </c>
      <c r="L650" s="163"/>
      <c r="M650" s="163"/>
      <c r="N650" s="163"/>
      <c r="O650" s="163"/>
      <c r="P650" s="163"/>
      <c r="Q650" s="571"/>
      <c r="R650" s="571"/>
      <c r="S650" s="571"/>
      <c r="T650" s="571"/>
      <c r="U650" s="571"/>
      <c r="V650" s="571"/>
      <c r="W650" s="571"/>
      <c r="X650" s="571"/>
      <c r="Y650" s="571"/>
      <c r="Z650" s="571"/>
    </row>
    <row r="651" spans="1:26" ht="18.75">
      <c r="A651" s="735"/>
      <c r="B651" s="568"/>
      <c r="C651" s="754"/>
      <c r="D651" s="619"/>
      <c r="E651" s="737" t="s">
        <v>277</v>
      </c>
      <c r="F651" s="619"/>
      <c r="G651" s="753"/>
      <c r="H651" s="755" t="s">
        <v>35</v>
      </c>
      <c r="I651" s="269">
        <f ca="1">IFERROR(__xludf.DUMMYFUNCTION("IMPORTRANGE(""https://docs.google.com/spreadsheets/d/1QqKyyYR6Q21VydFLVH3TRQUabQu_ym0Zz7PgGX0-kHA/edit?usp=sharing"",""แผน!HS57"")"),6)</f>
        <v>6</v>
      </c>
      <c r="J651" s="269">
        <f ca="1">IFERROR(__xludf.DUMMYFUNCTION("IMPORTRANGE(""https://docs.google.com/spreadsheets/d/1XWAQStnk-4SwqDmLtmXYiTMKHgktTP8We1SCoS47DrQ/edit?usp=sharing"",""จัดที่ดิน!AY57"")"),0)</f>
        <v>0</v>
      </c>
      <c r="K651" s="163">
        <f t="shared" ca="1" si="271"/>
        <v>0</v>
      </c>
      <c r="L651" s="163"/>
      <c r="M651" s="163"/>
      <c r="N651" s="163"/>
      <c r="O651" s="163"/>
      <c r="P651" s="163"/>
      <c r="Q651" s="571"/>
      <c r="R651" s="571"/>
      <c r="S651" s="571"/>
      <c r="T651" s="571"/>
      <c r="U651" s="571"/>
      <c r="V651" s="571"/>
      <c r="W651" s="571"/>
      <c r="X651" s="571"/>
      <c r="Y651" s="571"/>
      <c r="Z651" s="571"/>
    </row>
    <row r="652" spans="1:26" ht="18.75">
      <c r="A652" s="738"/>
      <c r="B652" s="739"/>
      <c r="C652" s="740"/>
      <c r="D652" s="725"/>
      <c r="E652" s="725"/>
      <c r="F652" s="725"/>
      <c r="G652" s="726"/>
      <c r="H652" s="498" t="s">
        <v>46</v>
      </c>
      <c r="I652" s="499">
        <v>0</v>
      </c>
      <c r="J652" s="499">
        <f ca="1">IFERROR(__xludf.DUMMYFUNCTION("IMPORTRANGE(""https://docs.google.com/spreadsheets/d/1XWAQStnk-4SwqDmLtmXYiTMKHgktTP8We1SCoS47DrQ/edit?usp=sharing"",""จัดที่ดิน!AZ57"")"),0)</f>
        <v>0</v>
      </c>
      <c r="K652" s="500">
        <f t="shared" si="271"/>
        <v>0</v>
      </c>
      <c r="L652" s="384"/>
      <c r="M652" s="384"/>
      <c r="N652" s="384"/>
      <c r="O652" s="384"/>
      <c r="P652" s="384"/>
      <c r="Q652" s="571"/>
      <c r="R652" s="571"/>
      <c r="S652" s="571"/>
      <c r="T652" s="571"/>
      <c r="U652" s="571"/>
      <c r="V652" s="571"/>
      <c r="W652" s="571"/>
      <c r="X652" s="571"/>
      <c r="Y652" s="571"/>
      <c r="Z652" s="571"/>
    </row>
    <row r="653" spans="1:26" ht="19.5">
      <c r="A653" s="741">
        <v>8</v>
      </c>
      <c r="B653" s="728" t="s">
        <v>278</v>
      </c>
      <c r="C653" s="729"/>
      <c r="D653" s="729"/>
      <c r="E653" s="729"/>
      <c r="F653" s="729"/>
      <c r="G653" s="730"/>
      <c r="H653" s="730"/>
      <c r="I653" s="742"/>
      <c r="J653" s="742"/>
      <c r="K653" s="734"/>
      <c r="L653" s="734"/>
      <c r="M653" s="734"/>
      <c r="N653" s="734"/>
      <c r="O653" s="734"/>
      <c r="P653" s="734"/>
      <c r="Q653" s="571"/>
      <c r="R653" s="571"/>
      <c r="S653" s="571"/>
      <c r="T653" s="571"/>
      <c r="U653" s="571"/>
      <c r="V653" s="571"/>
      <c r="W653" s="571"/>
      <c r="X653" s="571"/>
      <c r="Y653" s="571"/>
      <c r="Z653" s="571"/>
    </row>
    <row r="654" spans="1:26" ht="19.5">
      <c r="A654" s="666"/>
      <c r="B654" s="665" t="s">
        <v>279</v>
      </c>
      <c r="C654" s="666"/>
      <c r="D654" s="666"/>
      <c r="E654" s="666"/>
      <c r="F654" s="666"/>
      <c r="G654" s="667"/>
      <c r="H654" s="698" t="s">
        <v>46</v>
      </c>
      <c r="I654" s="699">
        <f t="shared" ref="I654:J654" ca="1" si="272">I669</f>
        <v>50</v>
      </c>
      <c r="J654" s="699">
        <f t="shared" si="272"/>
        <v>0</v>
      </c>
      <c r="K654" s="670">
        <f ca="1">IF(I654&gt;0,J654*100/I654,0)</f>
        <v>0</v>
      </c>
      <c r="L654" s="671"/>
      <c r="M654" s="671"/>
      <c r="N654" s="671"/>
      <c r="O654" s="671"/>
      <c r="P654" s="671"/>
      <c r="Q654" s="571"/>
      <c r="R654" s="571"/>
      <c r="S654" s="571"/>
      <c r="T654" s="571"/>
      <c r="U654" s="571"/>
      <c r="V654" s="571"/>
      <c r="W654" s="571"/>
      <c r="X654" s="571"/>
      <c r="Y654" s="571"/>
      <c r="Z654" s="571"/>
    </row>
    <row r="655" spans="1:26" ht="19.5">
      <c r="A655" s="590"/>
      <c r="B655" s="754"/>
      <c r="C655" s="754" t="s">
        <v>16</v>
      </c>
      <c r="D655" s="863" t="s">
        <v>17</v>
      </c>
      <c r="E655" s="857"/>
      <c r="F655" s="857"/>
      <c r="G655" s="189"/>
      <c r="H655" s="591" t="s">
        <v>12</v>
      </c>
      <c r="I655" s="269"/>
      <c r="J655" s="269"/>
      <c r="K655" s="496"/>
      <c r="L655" s="195">
        <f t="shared" ref="L655:N655" ca="1" si="273">L656+L657</f>
        <v>9400</v>
      </c>
      <c r="M655" s="195">
        <f t="shared" si="273"/>
        <v>0</v>
      </c>
      <c r="N655" s="195">
        <f t="shared" si="273"/>
        <v>0</v>
      </c>
      <c r="O655" s="195">
        <f t="shared" ref="O655:O660" ca="1" si="274">IF(L655&gt;0,N655*100/L655,0)</f>
        <v>0</v>
      </c>
      <c r="P655" s="195">
        <f t="shared" ref="P655:P660" si="275">IF(M655&gt;0,N655*100/M655,0)</f>
        <v>0</v>
      </c>
      <c r="Q655" s="571"/>
      <c r="R655" s="571"/>
      <c r="S655" s="571"/>
      <c r="T655" s="571"/>
      <c r="U655" s="571"/>
      <c r="V655" s="571"/>
      <c r="W655" s="571"/>
      <c r="X655" s="571"/>
      <c r="Y655" s="571"/>
      <c r="Z655" s="571"/>
    </row>
    <row r="656" spans="1:26" ht="18.75" hidden="1">
      <c r="A656" s="592"/>
      <c r="B656" s="750"/>
      <c r="C656" s="750"/>
      <c r="D656" s="711"/>
      <c r="E656" s="750" t="s">
        <v>184</v>
      </c>
      <c r="F656" s="750"/>
      <c r="G656" s="596"/>
      <c r="H656" s="165" t="s">
        <v>12</v>
      </c>
      <c r="I656" s="610"/>
      <c r="J656" s="610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597"/>
      <c r="R656" s="597"/>
      <c r="S656" s="597"/>
      <c r="T656" s="597"/>
      <c r="U656" s="597"/>
      <c r="V656" s="597"/>
      <c r="W656" s="597"/>
      <c r="X656" s="597"/>
      <c r="Y656" s="597"/>
      <c r="Z656" s="597"/>
    </row>
    <row r="657" spans="1:26" ht="18.75" hidden="1">
      <c r="A657" s="592"/>
      <c r="B657" s="600"/>
      <c r="C657" s="750"/>
      <c r="D657" s="711"/>
      <c r="E657" s="750" t="s">
        <v>185</v>
      </c>
      <c r="F657" s="750"/>
      <c r="G657" s="596"/>
      <c r="H657" s="165" t="s">
        <v>12</v>
      </c>
      <c r="I657" s="610"/>
      <c r="J657" s="610"/>
      <c r="K657" s="93"/>
      <c r="L657" s="93">
        <f t="shared" ca="1" si="276"/>
        <v>9400</v>
      </c>
      <c r="M657" s="93">
        <f t="shared" si="276"/>
        <v>0</v>
      </c>
      <c r="N657" s="93">
        <f t="shared" si="276"/>
        <v>0</v>
      </c>
      <c r="O657" s="93">
        <f t="shared" ca="1" si="274"/>
        <v>0</v>
      </c>
      <c r="P657" s="93">
        <f t="shared" si="275"/>
        <v>0</v>
      </c>
      <c r="Q657" s="597"/>
      <c r="R657" s="597"/>
      <c r="S657" s="597"/>
      <c r="T657" s="597"/>
      <c r="U657" s="597"/>
      <c r="V657" s="597"/>
      <c r="W657" s="597"/>
      <c r="X657" s="597"/>
      <c r="Y657" s="597"/>
      <c r="Z657" s="597"/>
    </row>
    <row r="658" spans="1:26" ht="18.75">
      <c r="A658" s="590"/>
      <c r="B658" s="568"/>
      <c r="C658" s="754"/>
      <c r="D658" s="599" t="s">
        <v>20</v>
      </c>
      <c r="E658" s="754"/>
      <c r="F658" s="754"/>
      <c r="G658" s="189"/>
      <c r="H658" s="161" t="s">
        <v>12</v>
      </c>
      <c r="I658" s="184"/>
      <c r="J658" s="184"/>
      <c r="K658" s="163"/>
      <c r="L658" s="496">
        <f t="shared" ref="L658:N658" ca="1" si="277">L659+L660</f>
        <v>9400</v>
      </c>
      <c r="M658" s="496">
        <f t="shared" si="277"/>
        <v>0</v>
      </c>
      <c r="N658" s="496">
        <f t="shared" si="277"/>
        <v>0</v>
      </c>
      <c r="O658" s="496">
        <f t="shared" ca="1" si="274"/>
        <v>0</v>
      </c>
      <c r="P658" s="496">
        <f t="shared" si="275"/>
        <v>0</v>
      </c>
      <c r="Q658" s="571"/>
      <c r="R658" s="571"/>
      <c r="S658" s="571"/>
      <c r="T658" s="571"/>
      <c r="U658" s="571"/>
      <c r="V658" s="571"/>
      <c r="W658" s="571"/>
      <c r="X658" s="571"/>
      <c r="Y658" s="571"/>
      <c r="Z658" s="571"/>
    </row>
    <row r="659" spans="1:26" ht="18.75" hidden="1">
      <c r="A659" s="592"/>
      <c r="B659" s="600"/>
      <c r="C659" s="750"/>
      <c r="D659" s="711"/>
      <c r="E659" s="750" t="s">
        <v>184</v>
      </c>
      <c r="F659" s="750"/>
      <c r="G659" s="596"/>
      <c r="H659" s="165" t="s">
        <v>12</v>
      </c>
      <c r="I659" s="610"/>
      <c r="J659" s="610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597"/>
      <c r="R659" s="597"/>
      <c r="S659" s="597"/>
      <c r="T659" s="597"/>
      <c r="U659" s="597"/>
      <c r="V659" s="597"/>
      <c r="W659" s="597"/>
      <c r="X659" s="597"/>
      <c r="Y659" s="597"/>
      <c r="Z659" s="597"/>
    </row>
    <row r="660" spans="1:26" ht="18.75" hidden="1">
      <c r="A660" s="592"/>
      <c r="B660" s="600"/>
      <c r="C660" s="750"/>
      <c r="D660" s="711"/>
      <c r="E660" s="750" t="s">
        <v>185</v>
      </c>
      <c r="F660" s="750"/>
      <c r="G660" s="596"/>
      <c r="H660" s="165" t="s">
        <v>12</v>
      </c>
      <c r="I660" s="610"/>
      <c r="J660" s="610"/>
      <c r="K660" s="93"/>
      <c r="L660" s="93">
        <f ca="1">IFERROR(__xludf.DUMMYFUNCTION("IMPORTRANGE(""https://docs.google.com/spreadsheets/d/1QqKyyYR6Q21VydFLVH3TRQUabQu_ym0Zz7PgGX0-kHA/edit?usp=sharing"",""แผน!HV57"")"),9400)</f>
        <v>9400</v>
      </c>
      <c r="M660" s="93">
        <v>0</v>
      </c>
      <c r="N660" s="93">
        <f>N661+N662+N663+N664</f>
        <v>0</v>
      </c>
      <c r="O660" s="93">
        <f t="shared" ca="1" si="274"/>
        <v>0</v>
      </c>
      <c r="P660" s="93">
        <f t="shared" si="275"/>
        <v>0</v>
      </c>
      <c r="Q660" s="597"/>
      <c r="R660" s="597"/>
      <c r="S660" s="597"/>
      <c r="T660" s="597"/>
      <c r="U660" s="597"/>
      <c r="V660" s="597"/>
      <c r="W660" s="597"/>
      <c r="X660" s="597"/>
      <c r="Y660" s="597"/>
      <c r="Z660" s="597"/>
    </row>
    <row r="661" spans="1:26" ht="18.75">
      <c r="A661" s="567"/>
      <c r="B661" s="568"/>
      <c r="C661" s="754"/>
      <c r="D661" s="754"/>
      <c r="E661" s="754"/>
      <c r="F661" s="754" t="s">
        <v>186</v>
      </c>
      <c r="G661" s="189"/>
      <c r="H661" s="161" t="s">
        <v>12</v>
      </c>
      <c r="I661" s="269"/>
      <c r="J661" s="269"/>
      <c r="K661" s="496"/>
      <c r="L661" s="496"/>
      <c r="M661" s="496"/>
      <c r="N661" s="817">
        <v>0</v>
      </c>
      <c r="O661" s="496"/>
      <c r="P661" s="496"/>
      <c r="Q661" s="571"/>
      <c r="R661" s="571"/>
      <c r="S661" s="571"/>
      <c r="T661" s="571"/>
      <c r="U661" s="571"/>
      <c r="V661" s="571"/>
      <c r="W661" s="571"/>
      <c r="X661" s="571"/>
      <c r="Y661" s="571"/>
      <c r="Z661" s="571"/>
    </row>
    <row r="662" spans="1:26" ht="18.75">
      <c r="A662" s="567"/>
      <c r="B662" s="568"/>
      <c r="C662" s="754"/>
      <c r="D662" s="754"/>
      <c r="E662" s="754"/>
      <c r="F662" s="754" t="s">
        <v>187</v>
      </c>
      <c r="G662" s="189"/>
      <c r="H662" s="161" t="s">
        <v>12</v>
      </c>
      <c r="I662" s="269"/>
      <c r="J662" s="269"/>
      <c r="K662" s="496"/>
      <c r="L662" s="496"/>
      <c r="M662" s="496"/>
      <c r="N662" s="817">
        <v>0</v>
      </c>
      <c r="O662" s="496"/>
      <c r="P662" s="496"/>
      <c r="Q662" s="571"/>
      <c r="R662" s="571"/>
      <c r="S662" s="571"/>
      <c r="T662" s="571"/>
      <c r="U662" s="571"/>
      <c r="V662" s="571"/>
      <c r="W662" s="571"/>
      <c r="X662" s="571"/>
      <c r="Y662" s="571"/>
      <c r="Z662" s="571"/>
    </row>
    <row r="663" spans="1:26" ht="18.75">
      <c r="A663" s="567"/>
      <c r="B663" s="568"/>
      <c r="C663" s="568"/>
      <c r="D663" s="754"/>
      <c r="E663" s="754"/>
      <c r="F663" s="754" t="s">
        <v>188</v>
      </c>
      <c r="G663" s="189"/>
      <c r="H663" s="161" t="s">
        <v>12</v>
      </c>
      <c r="I663" s="269"/>
      <c r="J663" s="269"/>
      <c r="K663" s="496"/>
      <c r="L663" s="496"/>
      <c r="M663" s="496"/>
      <c r="N663" s="817">
        <v>0</v>
      </c>
      <c r="O663" s="496"/>
      <c r="P663" s="496"/>
      <c r="Q663" s="571"/>
      <c r="R663" s="571"/>
      <c r="S663" s="571"/>
      <c r="T663" s="571"/>
      <c r="U663" s="571"/>
      <c r="V663" s="571"/>
      <c r="W663" s="571"/>
      <c r="X663" s="571"/>
      <c r="Y663" s="571"/>
      <c r="Z663" s="571"/>
    </row>
    <row r="664" spans="1:26" ht="18.75">
      <c r="A664" s="567"/>
      <c r="B664" s="568"/>
      <c r="C664" s="568"/>
      <c r="D664" s="568"/>
      <c r="E664" s="754"/>
      <c r="F664" s="754" t="s">
        <v>189</v>
      </c>
      <c r="G664" s="189"/>
      <c r="H664" s="161" t="s">
        <v>12</v>
      </c>
      <c r="I664" s="269"/>
      <c r="J664" s="269"/>
      <c r="K664" s="496"/>
      <c r="L664" s="496"/>
      <c r="M664" s="496"/>
      <c r="N664" s="817">
        <v>0</v>
      </c>
      <c r="O664" s="496"/>
      <c r="P664" s="496"/>
      <c r="Q664" s="571"/>
      <c r="R664" s="571"/>
      <c r="S664" s="571"/>
      <c r="T664" s="571"/>
      <c r="U664" s="571"/>
      <c r="V664" s="571"/>
      <c r="W664" s="571"/>
      <c r="X664" s="571"/>
      <c r="Y664" s="571"/>
      <c r="Z664" s="571"/>
    </row>
    <row r="665" spans="1:26" ht="18.75">
      <c r="A665" s="590"/>
      <c r="B665" s="568"/>
      <c r="C665" s="568"/>
      <c r="D665" s="599" t="s">
        <v>21</v>
      </c>
      <c r="E665" s="754"/>
      <c r="F665" s="754"/>
      <c r="G665" s="189"/>
      <c r="H665" s="168" t="s">
        <v>12</v>
      </c>
      <c r="I665" s="184"/>
      <c r="J665" s="184"/>
      <c r="K665" s="163"/>
      <c r="L665" s="496">
        <f t="shared" ref="L665:N665" si="278">L666+L667</f>
        <v>0</v>
      </c>
      <c r="M665" s="496">
        <f t="shared" si="278"/>
        <v>0</v>
      </c>
      <c r="N665" s="496">
        <f t="shared" si="278"/>
        <v>0</v>
      </c>
      <c r="O665" s="496">
        <f t="shared" ref="O665:O667" si="279">IF(L665&gt;0,N665*100/L665,0)</f>
        <v>0</v>
      </c>
      <c r="P665" s="496">
        <f t="shared" ref="P665:P667" si="280">IF(M665&gt;0,N665*100/M665,0)</f>
        <v>0</v>
      </c>
      <c r="Q665" s="571"/>
      <c r="R665" s="571"/>
      <c r="S665" s="571"/>
      <c r="T665" s="571"/>
      <c r="U665" s="571"/>
      <c r="V665" s="571"/>
      <c r="W665" s="571"/>
      <c r="X665" s="571"/>
      <c r="Y665" s="571"/>
      <c r="Z665" s="571"/>
    </row>
    <row r="666" spans="1:26" ht="18.75" hidden="1">
      <c r="A666" s="592"/>
      <c r="B666" s="600"/>
      <c r="C666" s="600"/>
      <c r="D666" s="600"/>
      <c r="E666" s="750" t="s">
        <v>18</v>
      </c>
      <c r="F666" s="750"/>
      <c r="G666" s="596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597"/>
      <c r="R666" s="597"/>
      <c r="S666" s="597"/>
      <c r="T666" s="597"/>
      <c r="U666" s="597"/>
      <c r="V666" s="597"/>
      <c r="W666" s="597"/>
      <c r="X666" s="597"/>
      <c r="Y666" s="597"/>
      <c r="Z666" s="597"/>
    </row>
    <row r="667" spans="1:26" ht="18.75" hidden="1">
      <c r="A667" s="592"/>
      <c r="B667" s="600"/>
      <c r="C667" s="600"/>
      <c r="D667" s="600"/>
      <c r="E667" s="750" t="s">
        <v>19</v>
      </c>
      <c r="F667" s="750"/>
      <c r="G667" s="596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597"/>
      <c r="R667" s="597"/>
      <c r="S667" s="597"/>
      <c r="T667" s="597"/>
      <c r="U667" s="597"/>
      <c r="V667" s="597"/>
      <c r="W667" s="597"/>
      <c r="X667" s="597"/>
      <c r="Y667" s="597"/>
      <c r="Z667" s="597"/>
    </row>
    <row r="668" spans="1:26" ht="19.5">
      <c r="A668" s="601"/>
      <c r="B668" s="611"/>
      <c r="C668" s="568" t="s">
        <v>16</v>
      </c>
      <c r="D668" s="836" t="s">
        <v>38</v>
      </c>
      <c r="E668" s="752"/>
      <c r="F668" s="752"/>
      <c r="G668" s="606"/>
      <c r="H668" s="753"/>
      <c r="I668" s="184"/>
      <c r="J668" s="184"/>
      <c r="K668" s="163"/>
      <c r="L668" s="163"/>
      <c r="M668" s="163"/>
      <c r="N668" s="163"/>
      <c r="O668" s="163"/>
      <c r="P668" s="163"/>
      <c r="Q668" s="571"/>
      <c r="R668" s="571"/>
      <c r="S668" s="571"/>
      <c r="T668" s="571"/>
      <c r="U668" s="571"/>
      <c r="V668" s="571"/>
      <c r="W668" s="571"/>
      <c r="X668" s="571"/>
      <c r="Y668" s="571"/>
      <c r="Z668" s="571"/>
    </row>
    <row r="669" spans="1:26" ht="19.5">
      <c r="A669" s="601"/>
      <c r="B669" s="611"/>
      <c r="C669" s="611"/>
      <c r="D669" s="611" t="s">
        <v>280</v>
      </c>
      <c r="E669" s="619"/>
      <c r="F669" s="619"/>
      <c r="G669" s="753"/>
      <c r="H669" s="758" t="s">
        <v>46</v>
      </c>
      <c r="I669" s="674">
        <f ca="1">IFERROR(__xludf.DUMMYFUNCTION("IMPORTRANGE(""https://docs.google.com/spreadsheets/d/1QqKyyYR6Q21VydFLVH3TRQUabQu_ym0Zz7PgGX0-kHA/edit?usp=sharing"",""แผน!IA57"")"),50)</f>
        <v>50</v>
      </c>
      <c r="J669" s="674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1"/>
      <c r="R669" s="571"/>
      <c r="S669" s="571"/>
      <c r="T669" s="571"/>
      <c r="U669" s="571"/>
      <c r="V669" s="571"/>
      <c r="W669" s="571"/>
      <c r="X669" s="571"/>
      <c r="Y669" s="571"/>
      <c r="Z669" s="571"/>
    </row>
    <row r="670" spans="1:26" ht="18.75">
      <c r="A670" s="601"/>
      <c r="B670" s="611"/>
      <c r="C670" s="611"/>
      <c r="D670" s="611"/>
      <c r="E670" s="619" t="s">
        <v>281</v>
      </c>
      <c r="F670" s="619"/>
      <c r="G670" s="753"/>
      <c r="H670" s="755" t="s">
        <v>69</v>
      </c>
      <c r="I670" s="269">
        <f ca="1">IFERROR(__xludf.DUMMYFUNCTION("IMPORTRANGE(""https://docs.google.com/spreadsheets/d/1QqKyyYR6Q21VydFLVH3TRQUabQu_ym0Zz7PgGX0-kHA/edit?usp=sharing"",""แผน!HZ57"")"),4)</f>
        <v>4</v>
      </c>
      <c r="J670" s="214">
        <v>0</v>
      </c>
      <c r="K670" s="496">
        <f ca="1">IF(I670&gt;0,(J670*100)/I670,0)</f>
        <v>0</v>
      </c>
      <c r="L670" s="163"/>
      <c r="M670" s="163"/>
      <c r="N670" s="163"/>
      <c r="O670" s="163"/>
      <c r="P670" s="163"/>
      <c r="Q670" s="571"/>
      <c r="R670" s="571"/>
      <c r="S670" s="571"/>
      <c r="T670" s="571"/>
      <c r="U670" s="571"/>
      <c r="V670" s="571"/>
      <c r="W670" s="571"/>
      <c r="X670" s="571"/>
      <c r="Y670" s="571"/>
      <c r="Z670" s="571"/>
    </row>
    <row r="671" spans="1:26" ht="18.75">
      <c r="A671" s="601"/>
      <c r="B671" s="611"/>
      <c r="C671" s="611"/>
      <c r="D671" s="611"/>
      <c r="E671" s="619" t="s">
        <v>282</v>
      </c>
      <c r="F671" s="619"/>
      <c r="G671" s="753"/>
      <c r="H671" s="755" t="s">
        <v>69</v>
      </c>
      <c r="I671" s="269">
        <f ca="1">IFERROR(__xludf.DUMMYFUNCTION("IMPORTRANGE(""https://docs.google.com/spreadsheets/d/1QqKyyYR6Q21VydFLVH3TRQUabQu_ym0Zz7PgGX0-kHA/edit?usp=sharing"",""แผน!HZ57"")"),4)</f>
        <v>4</v>
      </c>
      <c r="J671" s="214">
        <v>0</v>
      </c>
      <c r="K671" s="496">
        <f ca="1">IF(I$671&gt;0,J671*100/I$671,0)</f>
        <v>0</v>
      </c>
      <c r="L671" s="163"/>
      <c r="M671" s="163"/>
      <c r="N671" s="163"/>
      <c r="O671" s="163"/>
      <c r="P671" s="163"/>
      <c r="Q671" s="571"/>
      <c r="R671" s="571"/>
      <c r="S671" s="571"/>
      <c r="T671" s="571"/>
      <c r="U671" s="571"/>
      <c r="V671" s="571"/>
      <c r="W671" s="571"/>
      <c r="X671" s="571"/>
      <c r="Y671" s="571"/>
      <c r="Z671" s="571"/>
    </row>
    <row r="672" spans="1:26" ht="18.75">
      <c r="A672" s="601"/>
      <c r="B672" s="611"/>
      <c r="C672" s="611"/>
      <c r="D672" s="611"/>
      <c r="E672" s="619" t="s">
        <v>283</v>
      </c>
      <c r="F672" s="619"/>
      <c r="G672" s="753"/>
      <c r="H672" s="755" t="s">
        <v>46</v>
      </c>
      <c r="I672" s="269"/>
      <c r="J672" s="214">
        <v>0</v>
      </c>
      <c r="K672" s="496">
        <f t="shared" ref="K672:K675" ca="1" si="281">IF(I$669&gt;0,J672*100/I$669,0)</f>
        <v>0</v>
      </c>
      <c r="L672" s="163"/>
      <c r="M672" s="163"/>
      <c r="N672" s="163"/>
      <c r="O672" s="163"/>
      <c r="P672" s="163"/>
      <c r="Q672" s="571"/>
      <c r="R672" s="571"/>
      <c r="S672" s="571"/>
      <c r="T672" s="571"/>
      <c r="U672" s="571"/>
      <c r="V672" s="571"/>
      <c r="W672" s="571"/>
      <c r="X672" s="571"/>
      <c r="Y672" s="571"/>
      <c r="Z672" s="571"/>
    </row>
    <row r="673" spans="1:26" ht="18.75">
      <c r="A673" s="601"/>
      <c r="B673" s="611"/>
      <c r="C673" s="611"/>
      <c r="D673" s="611"/>
      <c r="E673" s="619" t="s">
        <v>284</v>
      </c>
      <c r="F673" s="619"/>
      <c r="G673" s="753"/>
      <c r="H673" s="755" t="s">
        <v>46</v>
      </c>
      <c r="I673" s="269"/>
      <c r="J673" s="214">
        <v>0</v>
      </c>
      <c r="K673" s="496">
        <f t="shared" ca="1" si="281"/>
        <v>0</v>
      </c>
      <c r="L673" s="163"/>
      <c r="M673" s="163"/>
      <c r="N673" s="163"/>
      <c r="O673" s="163"/>
      <c r="P673" s="163"/>
      <c r="Q673" s="571"/>
      <c r="R673" s="571"/>
      <c r="S673" s="571"/>
      <c r="T673" s="571"/>
      <c r="U673" s="571"/>
      <c r="V673" s="571"/>
      <c r="W673" s="571"/>
      <c r="X673" s="571"/>
      <c r="Y673" s="571"/>
      <c r="Z673" s="571"/>
    </row>
    <row r="674" spans="1:26" ht="18.75">
      <c r="A674" s="601"/>
      <c r="B674" s="611"/>
      <c r="C674" s="611"/>
      <c r="D674" s="611"/>
      <c r="E674" s="619" t="s">
        <v>285</v>
      </c>
      <c r="F674" s="619"/>
      <c r="G674" s="753"/>
      <c r="H674" s="755" t="s">
        <v>46</v>
      </c>
      <c r="I674" s="269"/>
      <c r="J674" s="214">
        <v>0</v>
      </c>
      <c r="K674" s="496">
        <f t="shared" ca="1" si="281"/>
        <v>0</v>
      </c>
      <c r="L674" s="163"/>
      <c r="M674" s="163"/>
      <c r="N674" s="163"/>
      <c r="O674" s="163"/>
      <c r="P674" s="163"/>
      <c r="Q674" s="571"/>
      <c r="R674" s="571"/>
      <c r="S674" s="571"/>
      <c r="T674" s="571"/>
      <c r="U674" s="571"/>
      <c r="V674" s="571"/>
      <c r="W674" s="571"/>
      <c r="X674" s="571"/>
      <c r="Y674" s="571"/>
      <c r="Z674" s="571"/>
    </row>
    <row r="675" spans="1:26" ht="19.5">
      <c r="A675" s="601"/>
      <c r="B675" s="611"/>
      <c r="C675" s="611"/>
      <c r="D675" s="611"/>
      <c r="E675" s="619" t="s">
        <v>286</v>
      </c>
      <c r="F675" s="619"/>
      <c r="G675" s="753"/>
      <c r="H675" s="755" t="s">
        <v>46</v>
      </c>
      <c r="I675" s="269"/>
      <c r="J675" s="674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71"/>
      <c r="R675" s="571"/>
      <c r="S675" s="571"/>
      <c r="T675" s="571"/>
      <c r="U675" s="571"/>
      <c r="V675" s="571"/>
      <c r="W675" s="571"/>
      <c r="X675" s="571"/>
      <c r="Y675" s="571"/>
      <c r="Z675" s="571"/>
    </row>
    <row r="676" spans="1:26" ht="18.75">
      <c r="A676" s="601"/>
      <c r="B676" s="611"/>
      <c r="C676" s="611"/>
      <c r="D676" s="611"/>
      <c r="E676" s="619"/>
      <c r="F676" s="619" t="s">
        <v>287</v>
      </c>
      <c r="G676" s="753"/>
      <c r="H676" s="755" t="s">
        <v>46</v>
      </c>
      <c r="I676" s="269"/>
      <c r="J676" s="214">
        <v>0</v>
      </c>
      <c r="K676" s="496"/>
      <c r="L676" s="163"/>
      <c r="M676" s="163"/>
      <c r="N676" s="163"/>
      <c r="O676" s="163"/>
      <c r="P676" s="163"/>
      <c r="Q676" s="571"/>
      <c r="R676" s="571"/>
      <c r="S676" s="571"/>
      <c r="T676" s="571"/>
      <c r="U676" s="571"/>
      <c r="V676" s="571"/>
      <c r="W676" s="571"/>
      <c r="X676" s="571"/>
      <c r="Y676" s="571"/>
      <c r="Z676" s="571"/>
    </row>
    <row r="677" spans="1:26" ht="18.75">
      <c r="A677" s="601"/>
      <c r="B677" s="611"/>
      <c r="C677" s="611"/>
      <c r="D677" s="611"/>
      <c r="E677" s="619"/>
      <c r="F677" s="619" t="s">
        <v>288</v>
      </c>
      <c r="G677" s="753"/>
      <c r="H677" s="755" t="s">
        <v>46</v>
      </c>
      <c r="I677" s="269"/>
      <c r="J677" s="214">
        <v>0</v>
      </c>
      <c r="K677" s="496"/>
      <c r="L677" s="163"/>
      <c r="M677" s="163"/>
      <c r="N677" s="163"/>
      <c r="O677" s="163"/>
      <c r="P677" s="163"/>
      <c r="Q677" s="571"/>
      <c r="R677" s="571"/>
      <c r="S677" s="571"/>
      <c r="T677" s="571"/>
      <c r="U677" s="571"/>
      <c r="V677" s="571"/>
      <c r="W677" s="571"/>
      <c r="X677" s="571"/>
      <c r="Y677" s="571"/>
      <c r="Z677" s="571"/>
    </row>
    <row r="678" spans="1:26" ht="19.5">
      <c r="A678" s="601"/>
      <c r="B678" s="611"/>
      <c r="C678" s="611"/>
      <c r="D678" s="611" t="s">
        <v>289</v>
      </c>
      <c r="E678" s="619"/>
      <c r="F678" s="619"/>
      <c r="G678" s="753"/>
      <c r="H678" s="755" t="s">
        <v>46</v>
      </c>
      <c r="I678" s="674">
        <f ca="1">IFERROR(__xludf.DUMMYFUNCTION("IMPORTRANGE(""https://docs.google.com/spreadsheets/d/1QqKyyYR6Q21VydFLVH3TRQUabQu_ym0Zz7PgGX0-kHA/edit?usp=sharing"",""แผน!IB57"")"),0)</f>
        <v>0</v>
      </c>
      <c r="J678" s="674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1"/>
      <c r="R678" s="571"/>
      <c r="S678" s="571"/>
      <c r="T678" s="571"/>
      <c r="U678" s="571"/>
      <c r="V678" s="571"/>
      <c r="W678" s="571"/>
      <c r="X678" s="571"/>
      <c r="Y678" s="571"/>
      <c r="Z678" s="571"/>
    </row>
    <row r="679" spans="1:26" ht="18.75">
      <c r="A679" s="601"/>
      <c r="B679" s="611"/>
      <c r="C679" s="611"/>
      <c r="D679" s="611"/>
      <c r="E679" s="619" t="s">
        <v>290</v>
      </c>
      <c r="F679" s="619"/>
      <c r="G679" s="753"/>
      <c r="H679" s="755" t="s">
        <v>46</v>
      </c>
      <c r="I679" s="269"/>
      <c r="J679" s="269">
        <f>J680+J681</f>
        <v>0</v>
      </c>
      <c r="K679" s="496"/>
      <c r="L679" s="163"/>
      <c r="M679" s="163"/>
      <c r="N679" s="163"/>
      <c r="O679" s="163"/>
      <c r="P679" s="163"/>
      <c r="Q679" s="571"/>
      <c r="R679" s="571"/>
      <c r="S679" s="571"/>
      <c r="T679" s="571"/>
      <c r="U679" s="571"/>
      <c r="V679" s="571"/>
      <c r="W679" s="571"/>
      <c r="X679" s="571"/>
      <c r="Y679" s="571"/>
      <c r="Z679" s="571"/>
    </row>
    <row r="680" spans="1:26" ht="18.75">
      <c r="A680" s="601"/>
      <c r="B680" s="611"/>
      <c r="C680" s="611"/>
      <c r="D680" s="611"/>
      <c r="E680" s="619"/>
      <c r="F680" s="619" t="s">
        <v>287</v>
      </c>
      <c r="G680" s="753"/>
      <c r="H680" s="755" t="s">
        <v>46</v>
      </c>
      <c r="I680" s="269"/>
      <c r="J680" s="214">
        <v>0</v>
      </c>
      <c r="K680" s="496"/>
      <c r="L680" s="163"/>
      <c r="M680" s="163"/>
      <c r="N680" s="163"/>
      <c r="O680" s="163"/>
      <c r="P680" s="163"/>
      <c r="Q680" s="571"/>
      <c r="R680" s="571"/>
      <c r="S680" s="571"/>
      <c r="T680" s="571"/>
      <c r="U680" s="571"/>
      <c r="V680" s="571"/>
      <c r="W680" s="571"/>
      <c r="X680" s="571"/>
      <c r="Y680" s="571"/>
      <c r="Z680" s="571"/>
    </row>
    <row r="681" spans="1:26" ht="18.75">
      <c r="A681" s="601"/>
      <c r="B681" s="611"/>
      <c r="C681" s="611"/>
      <c r="D681" s="611"/>
      <c r="E681" s="619"/>
      <c r="F681" s="619" t="s">
        <v>288</v>
      </c>
      <c r="G681" s="753"/>
      <c r="H681" s="755" t="s">
        <v>46</v>
      </c>
      <c r="I681" s="269"/>
      <c r="J681" s="214">
        <v>0</v>
      </c>
      <c r="K681" s="496"/>
      <c r="L681" s="163"/>
      <c r="M681" s="163"/>
      <c r="N681" s="163"/>
      <c r="O681" s="163"/>
      <c r="P681" s="163"/>
      <c r="Q681" s="571"/>
      <c r="R681" s="571"/>
      <c r="S681" s="571"/>
      <c r="T681" s="571"/>
      <c r="U681" s="571"/>
      <c r="V681" s="571"/>
      <c r="W681" s="571"/>
      <c r="X681" s="571"/>
      <c r="Y681" s="571"/>
      <c r="Z681" s="571"/>
    </row>
    <row r="682" spans="1:26" ht="18.75">
      <c r="A682" s="601"/>
      <c r="B682" s="611"/>
      <c r="C682" s="611"/>
      <c r="D682" s="611"/>
      <c r="E682" s="619" t="s">
        <v>291</v>
      </c>
      <c r="F682" s="619"/>
      <c r="G682" s="753"/>
      <c r="H682" s="755" t="s">
        <v>46</v>
      </c>
      <c r="I682" s="269"/>
      <c r="J682" s="214">
        <v>0</v>
      </c>
      <c r="K682" s="496"/>
      <c r="L682" s="163"/>
      <c r="M682" s="163"/>
      <c r="N682" s="163"/>
      <c r="O682" s="163"/>
      <c r="P682" s="163"/>
      <c r="Q682" s="571"/>
      <c r="R682" s="571"/>
      <c r="S682" s="571"/>
      <c r="T682" s="571"/>
      <c r="U682" s="571"/>
      <c r="V682" s="571"/>
      <c r="W682" s="571"/>
      <c r="X682" s="571"/>
      <c r="Y682" s="571"/>
      <c r="Z682" s="571"/>
    </row>
    <row r="683" spans="1:26" ht="18.75">
      <c r="A683" s="601"/>
      <c r="B683" s="611"/>
      <c r="C683" s="611"/>
      <c r="D683" s="611"/>
      <c r="E683" s="619"/>
      <c r="F683" s="619" t="s">
        <v>292</v>
      </c>
      <c r="G683" s="753"/>
      <c r="H683" s="755" t="s">
        <v>46</v>
      </c>
      <c r="I683" s="269"/>
      <c r="J683" s="214">
        <v>0</v>
      </c>
      <c r="K683" s="496"/>
      <c r="L683" s="163"/>
      <c r="M683" s="163"/>
      <c r="N683" s="163"/>
      <c r="O683" s="163"/>
      <c r="P683" s="163"/>
      <c r="Q683" s="571"/>
      <c r="R683" s="571"/>
      <c r="S683" s="571"/>
      <c r="T683" s="571"/>
      <c r="U683" s="571"/>
      <c r="V683" s="571"/>
      <c r="W683" s="571"/>
      <c r="X683" s="571"/>
      <c r="Y683" s="571"/>
      <c r="Z683" s="571"/>
    </row>
    <row r="684" spans="1:26" ht="19.5">
      <c r="A684" s="744"/>
      <c r="B684" s="745" t="s">
        <v>293</v>
      </c>
      <c r="C684" s="744"/>
      <c r="D684" s="744"/>
      <c r="E684" s="744"/>
      <c r="F684" s="744"/>
      <c r="G684" s="746"/>
      <c r="H684" s="746"/>
      <c r="I684" s="747"/>
      <c r="J684" s="747"/>
      <c r="K684" s="748"/>
      <c r="L684" s="748"/>
      <c r="M684" s="748"/>
      <c r="N684" s="748"/>
      <c r="O684" s="748"/>
      <c r="P684" s="748"/>
      <c r="Q684" s="571"/>
      <c r="R684" s="571"/>
      <c r="S684" s="571"/>
      <c r="T684" s="571"/>
      <c r="U684" s="571"/>
      <c r="V684" s="571"/>
      <c r="W684" s="571"/>
      <c r="X684" s="571"/>
      <c r="Y684" s="571"/>
      <c r="Z684" s="571"/>
    </row>
    <row r="685" spans="1:26" ht="19.5">
      <c r="A685" s="590"/>
      <c r="B685" s="754"/>
      <c r="C685" s="754" t="s">
        <v>16</v>
      </c>
      <c r="D685" s="863" t="s">
        <v>17</v>
      </c>
      <c r="E685" s="857"/>
      <c r="F685" s="857"/>
      <c r="G685" s="189"/>
      <c r="H685" s="591" t="s">
        <v>12</v>
      </c>
      <c r="I685" s="269"/>
      <c r="J685" s="269"/>
      <c r="K685" s="496"/>
      <c r="L685" s="195">
        <f t="shared" ref="L685:N685" ca="1" si="282">L686+L687</f>
        <v>11040</v>
      </c>
      <c r="M685" s="195">
        <f t="shared" si="282"/>
        <v>0</v>
      </c>
      <c r="N685" s="195">
        <f t="shared" si="282"/>
        <v>0</v>
      </c>
      <c r="O685" s="195">
        <f t="shared" ref="O685:O688" ca="1" si="283">IF(L685&gt;0,N685*100/L685,0)</f>
        <v>0</v>
      </c>
      <c r="P685" s="195">
        <f t="shared" ref="P685:P688" si="284">IF(M685&gt;0,N685*100/M685,0)</f>
        <v>0</v>
      </c>
      <c r="Q685" s="571"/>
      <c r="R685" s="571"/>
      <c r="S685" s="571"/>
      <c r="T685" s="571"/>
      <c r="U685" s="571"/>
      <c r="V685" s="571"/>
      <c r="W685" s="571"/>
      <c r="X685" s="571"/>
      <c r="Y685" s="571"/>
      <c r="Z685" s="571"/>
    </row>
    <row r="686" spans="1:26" ht="18.75" hidden="1">
      <c r="A686" s="592"/>
      <c r="B686" s="750"/>
      <c r="C686" s="750"/>
      <c r="D686" s="711"/>
      <c r="E686" s="750" t="s">
        <v>184</v>
      </c>
      <c r="F686" s="750"/>
      <c r="G686" s="596"/>
      <c r="H686" s="165" t="s">
        <v>12</v>
      </c>
      <c r="I686" s="610"/>
      <c r="J686" s="610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597"/>
      <c r="R686" s="597"/>
      <c r="S686" s="597"/>
      <c r="T686" s="597"/>
      <c r="U686" s="597"/>
      <c r="V686" s="597"/>
      <c r="W686" s="597"/>
      <c r="X686" s="597"/>
      <c r="Y686" s="597"/>
      <c r="Z686" s="597"/>
    </row>
    <row r="687" spans="1:26" ht="18.75" hidden="1">
      <c r="A687" s="592"/>
      <c r="B687" s="600"/>
      <c r="C687" s="750"/>
      <c r="D687" s="711"/>
      <c r="E687" s="750" t="s">
        <v>185</v>
      </c>
      <c r="F687" s="750"/>
      <c r="G687" s="596"/>
      <c r="H687" s="165" t="s">
        <v>12</v>
      </c>
      <c r="I687" s="610"/>
      <c r="J687" s="610"/>
      <c r="K687" s="93"/>
      <c r="L687" s="93">
        <f t="shared" ca="1" si="285"/>
        <v>11040</v>
      </c>
      <c r="M687" s="93">
        <f t="shared" si="285"/>
        <v>0</v>
      </c>
      <c r="N687" s="93">
        <f t="shared" si="285"/>
        <v>0</v>
      </c>
      <c r="O687" s="93">
        <f t="shared" ca="1" si="283"/>
        <v>0</v>
      </c>
      <c r="P687" s="93">
        <f t="shared" si="284"/>
        <v>0</v>
      </c>
      <c r="Q687" s="597"/>
      <c r="R687" s="597"/>
      <c r="S687" s="597"/>
      <c r="T687" s="597"/>
      <c r="U687" s="597"/>
      <c r="V687" s="597"/>
      <c r="W687" s="597"/>
      <c r="X687" s="597"/>
      <c r="Y687" s="597"/>
      <c r="Z687" s="597"/>
    </row>
    <row r="688" spans="1:26" ht="18.75">
      <c r="A688" s="590"/>
      <c r="B688" s="568"/>
      <c r="C688" s="754"/>
      <c r="D688" s="599" t="s">
        <v>20</v>
      </c>
      <c r="E688" s="754"/>
      <c r="F688" s="754"/>
      <c r="G688" s="189"/>
      <c r="H688" s="161" t="s">
        <v>12</v>
      </c>
      <c r="I688" s="184"/>
      <c r="J688" s="184"/>
      <c r="K688" s="163"/>
      <c r="L688" s="496">
        <f t="shared" ref="L688:N688" ca="1" si="286">L689+L690</f>
        <v>11040</v>
      </c>
      <c r="M688" s="496">
        <f t="shared" si="286"/>
        <v>0</v>
      </c>
      <c r="N688" s="496">
        <f t="shared" si="286"/>
        <v>0</v>
      </c>
      <c r="O688" s="496">
        <f t="shared" ca="1" si="283"/>
        <v>0</v>
      </c>
      <c r="P688" s="496">
        <f t="shared" si="284"/>
        <v>0</v>
      </c>
      <c r="Q688" s="571"/>
      <c r="R688" s="571"/>
      <c r="S688" s="571"/>
      <c r="T688" s="571"/>
      <c r="U688" s="571"/>
      <c r="V688" s="571"/>
      <c r="W688" s="571"/>
      <c r="X688" s="571"/>
      <c r="Y688" s="571"/>
      <c r="Z688" s="571"/>
    </row>
    <row r="689" spans="1:26" ht="18.75" hidden="1">
      <c r="A689" s="592"/>
      <c r="B689" s="600"/>
      <c r="C689" s="750"/>
      <c r="D689" s="711"/>
      <c r="E689" s="750" t="s">
        <v>184</v>
      </c>
      <c r="F689" s="750"/>
      <c r="G689" s="596"/>
      <c r="H689" s="165" t="s">
        <v>12</v>
      </c>
      <c r="I689" s="610"/>
      <c r="J689" s="610"/>
      <c r="K689" s="93"/>
      <c r="L689" s="93">
        <v>0</v>
      </c>
      <c r="M689" s="93">
        <v>0</v>
      </c>
      <c r="N689" s="93">
        <v>0</v>
      </c>
      <c r="O689" s="93"/>
      <c r="P689" s="93"/>
      <c r="Q689" s="597"/>
      <c r="R689" s="597"/>
      <c r="S689" s="597"/>
      <c r="T689" s="597"/>
      <c r="U689" s="597"/>
      <c r="V689" s="597"/>
      <c r="W689" s="597"/>
      <c r="X689" s="597"/>
      <c r="Y689" s="597"/>
      <c r="Z689" s="597"/>
    </row>
    <row r="690" spans="1:26" ht="18.75" hidden="1">
      <c r="A690" s="592"/>
      <c r="B690" s="600"/>
      <c r="C690" s="750"/>
      <c r="D690" s="711"/>
      <c r="E690" s="750" t="s">
        <v>185</v>
      </c>
      <c r="F690" s="750"/>
      <c r="G690" s="596"/>
      <c r="H690" s="165" t="s">
        <v>12</v>
      </c>
      <c r="I690" s="610"/>
      <c r="J690" s="610"/>
      <c r="K690" s="93"/>
      <c r="L690" s="93">
        <f ca="1">IFERROR(__xludf.DUMMYFUNCTION("IMPORTRANGE(""https://docs.google.com/spreadsheets/d/1QqKyyYR6Q21VydFLVH3TRQUabQu_ym0Zz7PgGX0-kHA/edit?usp=sharing"",""แผน!HW57"")"),11040)</f>
        <v>11040</v>
      </c>
      <c r="M690" s="93">
        <v>0</v>
      </c>
      <c r="N690" s="93">
        <f>N691+N692+N693+N694</f>
        <v>0</v>
      </c>
      <c r="O690" s="93">
        <f ca="1">IF(L690&gt;0,N690*100/L690,0)</f>
        <v>0</v>
      </c>
      <c r="P690" s="93">
        <f>IF(M690&gt;0,N690*100/M690,0)</f>
        <v>0</v>
      </c>
      <c r="Q690" s="597"/>
      <c r="R690" s="597"/>
      <c r="S690" s="597"/>
      <c r="T690" s="597"/>
      <c r="U690" s="597"/>
      <c r="V690" s="597"/>
      <c r="W690" s="597"/>
      <c r="X690" s="597"/>
      <c r="Y690" s="597"/>
      <c r="Z690" s="597"/>
    </row>
    <row r="691" spans="1:26" ht="18.75">
      <c r="A691" s="567"/>
      <c r="B691" s="568"/>
      <c r="C691" s="754"/>
      <c r="D691" s="754"/>
      <c r="E691" s="754"/>
      <c r="F691" s="754" t="s">
        <v>186</v>
      </c>
      <c r="G691" s="189"/>
      <c r="H691" s="161" t="s">
        <v>12</v>
      </c>
      <c r="I691" s="269"/>
      <c r="J691" s="269"/>
      <c r="K691" s="496"/>
      <c r="L691" s="496"/>
      <c r="M691" s="496"/>
      <c r="N691" s="817">
        <v>0</v>
      </c>
      <c r="O691" s="496"/>
      <c r="P691" s="496"/>
      <c r="Q691" s="571"/>
      <c r="R691" s="571"/>
      <c r="S691" s="571"/>
      <c r="T691" s="571"/>
      <c r="U691" s="571"/>
      <c r="V691" s="571"/>
      <c r="W691" s="571"/>
      <c r="X691" s="571"/>
      <c r="Y691" s="571"/>
      <c r="Z691" s="571"/>
    </row>
    <row r="692" spans="1:26" ht="18.75">
      <c r="A692" s="567"/>
      <c r="B692" s="568"/>
      <c r="C692" s="754"/>
      <c r="D692" s="754"/>
      <c r="E692" s="754"/>
      <c r="F692" s="754" t="s">
        <v>187</v>
      </c>
      <c r="G692" s="189"/>
      <c r="H692" s="161" t="s">
        <v>12</v>
      </c>
      <c r="I692" s="269"/>
      <c r="J692" s="269"/>
      <c r="K692" s="496"/>
      <c r="L692" s="496"/>
      <c r="M692" s="496"/>
      <c r="N692" s="817">
        <v>0</v>
      </c>
      <c r="O692" s="496"/>
      <c r="P692" s="496"/>
      <c r="Q692" s="571"/>
      <c r="R692" s="571"/>
      <c r="S692" s="571"/>
      <c r="T692" s="571"/>
      <c r="U692" s="571"/>
      <c r="V692" s="571"/>
      <c r="W692" s="571"/>
      <c r="X692" s="571"/>
      <c r="Y692" s="571"/>
      <c r="Z692" s="571"/>
    </row>
    <row r="693" spans="1:26" ht="18.75">
      <c r="A693" s="567"/>
      <c r="B693" s="568"/>
      <c r="C693" s="754"/>
      <c r="D693" s="754"/>
      <c r="E693" s="754"/>
      <c r="F693" s="754" t="s">
        <v>188</v>
      </c>
      <c r="G693" s="189"/>
      <c r="H693" s="161" t="s">
        <v>12</v>
      </c>
      <c r="I693" s="269"/>
      <c r="J693" s="269"/>
      <c r="K693" s="496"/>
      <c r="L693" s="496"/>
      <c r="M693" s="496"/>
      <c r="N693" s="817">
        <v>0</v>
      </c>
      <c r="O693" s="496"/>
      <c r="P693" s="496"/>
      <c r="Q693" s="571"/>
      <c r="R693" s="571"/>
      <c r="S693" s="571"/>
      <c r="T693" s="571"/>
      <c r="U693" s="571"/>
      <c r="V693" s="571"/>
      <c r="W693" s="571"/>
      <c r="X693" s="571"/>
      <c r="Y693" s="571"/>
      <c r="Z693" s="571"/>
    </row>
    <row r="694" spans="1:26" ht="18.75">
      <c r="A694" s="567"/>
      <c r="B694" s="568"/>
      <c r="C694" s="754"/>
      <c r="D694" s="754"/>
      <c r="E694" s="754"/>
      <c r="F694" s="754" t="s">
        <v>189</v>
      </c>
      <c r="G694" s="189"/>
      <c r="H694" s="161" t="s">
        <v>12</v>
      </c>
      <c r="I694" s="269"/>
      <c r="J694" s="269"/>
      <c r="K694" s="496"/>
      <c r="L694" s="496"/>
      <c r="M694" s="496"/>
      <c r="N694" s="817">
        <v>0</v>
      </c>
      <c r="O694" s="496"/>
      <c r="P694" s="496"/>
      <c r="Q694" s="571"/>
      <c r="R694" s="571"/>
      <c r="S694" s="571"/>
      <c r="T694" s="571"/>
      <c r="U694" s="571"/>
      <c r="V694" s="571"/>
      <c r="W694" s="571"/>
      <c r="X694" s="571"/>
      <c r="Y694" s="571"/>
      <c r="Z694" s="571"/>
    </row>
    <row r="695" spans="1:26" ht="18.75">
      <c r="A695" s="590"/>
      <c r="B695" s="568"/>
      <c r="C695" s="754"/>
      <c r="D695" s="599" t="s">
        <v>21</v>
      </c>
      <c r="E695" s="754"/>
      <c r="F695" s="754"/>
      <c r="G695" s="189"/>
      <c r="H695" s="168" t="s">
        <v>12</v>
      </c>
      <c r="I695" s="184"/>
      <c r="J695" s="184"/>
      <c r="K695" s="163"/>
      <c r="L695" s="496">
        <f t="shared" ref="L695:N695" si="287">L696+L697</f>
        <v>0</v>
      </c>
      <c r="M695" s="496">
        <f t="shared" si="287"/>
        <v>0</v>
      </c>
      <c r="N695" s="496">
        <f t="shared" si="287"/>
        <v>0</v>
      </c>
      <c r="O695" s="496">
        <f t="shared" ref="O695:O697" si="288">IF(L695&gt;0,N695*100/L695,0)</f>
        <v>0</v>
      </c>
      <c r="P695" s="496">
        <f t="shared" ref="P695:P697" si="289">IF(M695&gt;0,N695*100/M695,0)</f>
        <v>0</v>
      </c>
      <c r="Q695" s="571"/>
      <c r="R695" s="571"/>
      <c r="S695" s="571"/>
      <c r="T695" s="571"/>
      <c r="U695" s="571"/>
      <c r="V695" s="571"/>
      <c r="W695" s="571"/>
      <c r="X695" s="571"/>
      <c r="Y695" s="571"/>
      <c r="Z695" s="571"/>
    </row>
    <row r="696" spans="1:26" ht="18.75" hidden="1">
      <c r="A696" s="592"/>
      <c r="B696" s="600"/>
      <c r="C696" s="750"/>
      <c r="D696" s="750"/>
      <c r="E696" s="750" t="s">
        <v>18</v>
      </c>
      <c r="F696" s="750"/>
      <c r="G696" s="596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597"/>
      <c r="R696" s="597"/>
      <c r="S696" s="597"/>
      <c r="T696" s="597"/>
      <c r="U696" s="597"/>
      <c r="V696" s="597"/>
      <c r="W696" s="597"/>
      <c r="X696" s="597"/>
      <c r="Y696" s="597"/>
      <c r="Z696" s="597"/>
    </row>
    <row r="697" spans="1:26" ht="18.75" hidden="1">
      <c r="A697" s="592"/>
      <c r="B697" s="600"/>
      <c r="C697" s="750"/>
      <c r="D697" s="750"/>
      <c r="E697" s="750" t="s">
        <v>19</v>
      </c>
      <c r="F697" s="750"/>
      <c r="G697" s="596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597"/>
      <c r="R697" s="597"/>
      <c r="S697" s="597"/>
      <c r="T697" s="597"/>
      <c r="U697" s="597"/>
      <c r="V697" s="597"/>
      <c r="W697" s="597"/>
      <c r="X697" s="597"/>
      <c r="Y697" s="597"/>
      <c r="Z697" s="597"/>
    </row>
    <row r="698" spans="1:26" ht="19.5">
      <c r="A698" s="601"/>
      <c r="B698" s="611"/>
      <c r="C698" s="754" t="s">
        <v>16</v>
      </c>
      <c r="D698" s="840" t="s">
        <v>38</v>
      </c>
      <c r="E698" s="752"/>
      <c r="F698" s="752"/>
      <c r="G698" s="606"/>
      <c r="H698" s="753"/>
      <c r="I698" s="184"/>
      <c r="J698" s="184"/>
      <c r="K698" s="163"/>
      <c r="L698" s="163"/>
      <c r="M698" s="163"/>
      <c r="N698" s="163"/>
      <c r="O698" s="163"/>
      <c r="P698" s="163"/>
      <c r="Q698" s="571"/>
      <c r="R698" s="571"/>
      <c r="S698" s="571"/>
      <c r="T698" s="571"/>
      <c r="U698" s="571"/>
      <c r="V698" s="571"/>
      <c r="W698" s="571"/>
      <c r="X698" s="571"/>
      <c r="Y698" s="571"/>
      <c r="Z698" s="571"/>
    </row>
    <row r="699" spans="1:26" ht="18.75">
      <c r="A699" s="735"/>
      <c r="B699" s="754"/>
      <c r="C699" s="754"/>
      <c r="D699" s="754" t="s">
        <v>294</v>
      </c>
      <c r="E699" s="754"/>
      <c r="F699" s="754"/>
      <c r="G699" s="189"/>
      <c r="H699" s="755" t="s">
        <v>46</v>
      </c>
      <c r="I699" s="756">
        <f ca="1">IFERROR(__xludf.DUMMYFUNCTION("IMPORTRANGE(""https://docs.google.com/spreadsheets/d/1QqKyyYR6Q21VydFLVH3TRQUabQu_ym0Zz7PgGX0-kHA/edit?usp=sharing"",""แผน!IC57"")"),25)</f>
        <v>25</v>
      </c>
      <c r="J699" s="269">
        <f ca="1">IFERROR(__xludf.DUMMYFUNCTION("IMPORTRANGE(""https://docs.google.com/spreadsheets/d/1XWAQStnk-4SwqDmLtmXYiTMKHgktTP8We1SCoS47DrQ/edit?usp=sharing"",""จัดที่ดิน!BB57"")"),0)</f>
        <v>0</v>
      </c>
      <c r="K699" s="496">
        <f t="shared" ref="K699:K701" ca="1" si="290">IF(I699&gt;0,J699*100/I699,0)</f>
        <v>0</v>
      </c>
      <c r="L699" s="496"/>
      <c r="M699" s="189"/>
      <c r="N699" s="757"/>
      <c r="O699" s="496"/>
      <c r="P699" s="496"/>
      <c r="Q699" s="571"/>
      <c r="R699" s="571"/>
      <c r="S699" s="571"/>
      <c r="T699" s="571"/>
      <c r="U699" s="571"/>
      <c r="V699" s="571"/>
      <c r="W699" s="571"/>
      <c r="X699" s="571"/>
      <c r="Y699" s="571"/>
      <c r="Z699" s="571"/>
    </row>
    <row r="700" spans="1:26" ht="18.75">
      <c r="A700" s="735"/>
      <c r="B700" s="754"/>
      <c r="C700" s="754"/>
      <c r="D700" s="754" t="s">
        <v>295</v>
      </c>
      <c r="E700" s="754"/>
      <c r="F700" s="754"/>
      <c r="G700" s="189"/>
      <c r="H700" s="755" t="s">
        <v>35</v>
      </c>
      <c r="I700" s="756">
        <f ca="1">IFERROR(__xludf.DUMMYFUNCTION("IMPORTRANGE(""https://docs.google.com/spreadsheets/d/1QqKyyYR6Q21VydFLVH3TRQUabQu_ym0Zz7PgGX0-kHA/edit?usp=sharing"",""แผน!ID57"")"),5)</f>
        <v>5</v>
      </c>
      <c r="J700" s="269">
        <f ca="1">IFERROR(__xludf.DUMMYFUNCTION("IMPORTRANGE(""https://docs.google.com/spreadsheets/d/1XWAQStnk-4SwqDmLtmXYiTMKHgktTP8We1SCoS47DrQ/edit?usp=sharing"",""จัดที่ดิน!BD57"")"),0)</f>
        <v>0</v>
      </c>
      <c r="K700" s="496">
        <f t="shared" ca="1" si="290"/>
        <v>0</v>
      </c>
      <c r="L700" s="496"/>
      <c r="M700" s="189"/>
      <c r="N700" s="757"/>
      <c r="O700" s="496"/>
      <c r="P700" s="496"/>
      <c r="Q700" s="571"/>
      <c r="R700" s="571"/>
      <c r="S700" s="571"/>
      <c r="T700" s="571"/>
      <c r="U700" s="571"/>
      <c r="V700" s="571"/>
      <c r="W700" s="571"/>
      <c r="X700" s="571"/>
      <c r="Y700" s="571"/>
      <c r="Z700" s="571"/>
    </row>
    <row r="701" spans="1:26" ht="19.5">
      <c r="A701" s="735"/>
      <c r="B701" s="754"/>
      <c r="C701" s="754"/>
      <c r="D701" s="754" t="s">
        <v>296</v>
      </c>
      <c r="E701" s="754"/>
      <c r="F701" s="754"/>
      <c r="G701" s="189"/>
      <c r="H701" s="758" t="s">
        <v>46</v>
      </c>
      <c r="I701" s="759">
        <f ca="1">IFERROR(__xludf.DUMMYFUNCTION("IMPORTRANGE(""https://docs.google.com/spreadsheets/d/1QqKyyYR6Q21VydFLVH3TRQUabQu_ym0Zz7PgGX0-kHA/edit?usp=sharing"",""แผน!IE57"")"),70)</f>
        <v>70</v>
      </c>
      <c r="J701" s="674">
        <f>J704+J707</f>
        <v>0</v>
      </c>
      <c r="K701" s="195">
        <f t="shared" ca="1" si="290"/>
        <v>0</v>
      </c>
      <c r="L701" s="496"/>
      <c r="M701" s="189"/>
      <c r="N701" s="757"/>
      <c r="O701" s="496"/>
      <c r="P701" s="496"/>
      <c r="Q701" s="571"/>
      <c r="R701" s="571"/>
      <c r="S701" s="571"/>
      <c r="T701" s="571"/>
      <c r="U701" s="571"/>
      <c r="V701" s="571"/>
      <c r="W701" s="571"/>
      <c r="X701" s="571"/>
      <c r="Y701" s="571"/>
      <c r="Z701" s="571"/>
    </row>
    <row r="702" spans="1:26" ht="18.75">
      <c r="A702" s="735"/>
      <c r="B702" s="754"/>
      <c r="C702" s="754"/>
      <c r="D702" s="754"/>
      <c r="E702" s="754" t="s">
        <v>297</v>
      </c>
      <c r="F702" s="754"/>
      <c r="G702" s="189"/>
      <c r="H702" s="755" t="s">
        <v>35</v>
      </c>
      <c r="I702" s="756"/>
      <c r="J702" s="214">
        <v>0</v>
      </c>
      <c r="K702" s="496"/>
      <c r="L702" s="496"/>
      <c r="M702" s="189"/>
      <c r="N702" s="757"/>
      <c r="O702" s="496"/>
      <c r="P702" s="496"/>
      <c r="Q702" s="571"/>
      <c r="R702" s="571"/>
      <c r="S702" s="571"/>
      <c r="T702" s="571"/>
      <c r="U702" s="571"/>
      <c r="V702" s="571"/>
      <c r="W702" s="571"/>
      <c r="X702" s="571"/>
      <c r="Y702" s="571"/>
      <c r="Z702" s="571"/>
    </row>
    <row r="703" spans="1:26" ht="18.75">
      <c r="A703" s="735"/>
      <c r="B703" s="754"/>
      <c r="C703" s="754"/>
      <c r="D703" s="754"/>
      <c r="E703" s="754"/>
      <c r="F703" s="754"/>
      <c r="G703" s="189"/>
      <c r="H703" s="755" t="s">
        <v>34</v>
      </c>
      <c r="I703" s="756"/>
      <c r="J703" s="214">
        <v>0</v>
      </c>
      <c r="K703" s="496"/>
      <c r="L703" s="496"/>
      <c r="M703" s="189"/>
      <c r="N703" s="757"/>
      <c r="O703" s="496"/>
      <c r="P703" s="496"/>
      <c r="Q703" s="571"/>
      <c r="R703" s="571"/>
      <c r="S703" s="571"/>
      <c r="T703" s="571"/>
      <c r="U703" s="571"/>
      <c r="V703" s="571"/>
      <c r="W703" s="571"/>
      <c r="X703" s="571"/>
      <c r="Y703" s="571"/>
      <c r="Z703" s="571"/>
    </row>
    <row r="704" spans="1:26" ht="18.75">
      <c r="A704" s="735"/>
      <c r="B704" s="754"/>
      <c r="C704" s="754"/>
      <c r="D704" s="754"/>
      <c r="E704" s="754"/>
      <c r="F704" s="754"/>
      <c r="G704" s="189"/>
      <c r="H704" s="755" t="s">
        <v>46</v>
      </c>
      <c r="I704" s="756">
        <f ca="1">IFERROR(__xludf.DUMMYFUNCTION("IMPORTRANGE(""https://docs.google.com/spreadsheets/d/1QqKyyYR6Q21VydFLVH3TRQUabQu_ym0Zz7PgGX0-kHA/edit?usp=sharing"",""แผน!IF57"")"),40)</f>
        <v>40</v>
      </c>
      <c r="J704" s="214">
        <v>0</v>
      </c>
      <c r="K704" s="496"/>
      <c r="L704" s="496"/>
      <c r="M704" s="189"/>
      <c r="N704" s="757"/>
      <c r="O704" s="496"/>
      <c r="P704" s="496"/>
      <c r="Q704" s="571"/>
      <c r="R704" s="571"/>
      <c r="S704" s="571"/>
      <c r="T704" s="571"/>
      <c r="U704" s="571"/>
      <c r="V704" s="571"/>
      <c r="W704" s="571"/>
      <c r="X704" s="571"/>
      <c r="Y704" s="571"/>
      <c r="Z704" s="571"/>
    </row>
    <row r="705" spans="1:26" ht="18.75">
      <c r="A705" s="735"/>
      <c r="B705" s="754"/>
      <c r="C705" s="754"/>
      <c r="D705" s="754"/>
      <c r="E705" s="754" t="s">
        <v>298</v>
      </c>
      <c r="F705" s="754"/>
      <c r="G705" s="189"/>
      <c r="H705" s="755" t="s">
        <v>35</v>
      </c>
      <c r="I705" s="756"/>
      <c r="J705" s="214">
        <v>0</v>
      </c>
      <c r="K705" s="496"/>
      <c r="L705" s="496"/>
      <c r="M705" s="189"/>
      <c r="N705" s="757"/>
      <c r="O705" s="496"/>
      <c r="P705" s="496"/>
      <c r="Q705" s="571"/>
      <c r="R705" s="571"/>
      <c r="S705" s="571"/>
      <c r="T705" s="571"/>
      <c r="U705" s="571"/>
      <c r="V705" s="571"/>
      <c r="W705" s="571"/>
      <c r="X705" s="571"/>
      <c r="Y705" s="571"/>
      <c r="Z705" s="571"/>
    </row>
    <row r="706" spans="1:26" ht="18.75">
      <c r="A706" s="735"/>
      <c r="B706" s="754"/>
      <c r="C706" s="754"/>
      <c r="D706" s="754"/>
      <c r="E706" s="754"/>
      <c r="F706" s="754"/>
      <c r="G706" s="189"/>
      <c r="H706" s="755" t="s">
        <v>34</v>
      </c>
      <c r="I706" s="756"/>
      <c r="J706" s="214">
        <v>0</v>
      </c>
      <c r="K706" s="496"/>
      <c r="L706" s="496"/>
      <c r="M706" s="189"/>
      <c r="N706" s="757"/>
      <c r="O706" s="496"/>
      <c r="P706" s="496"/>
      <c r="Q706" s="571"/>
      <c r="R706" s="571"/>
      <c r="S706" s="571"/>
      <c r="T706" s="571"/>
      <c r="U706" s="571"/>
      <c r="V706" s="571"/>
      <c r="W706" s="571"/>
      <c r="X706" s="571"/>
      <c r="Y706" s="571"/>
      <c r="Z706" s="571"/>
    </row>
    <row r="707" spans="1:26" ht="18.75">
      <c r="A707" s="735"/>
      <c r="B707" s="754"/>
      <c r="C707" s="754"/>
      <c r="D707" s="754"/>
      <c r="E707" s="754"/>
      <c r="F707" s="754"/>
      <c r="G707" s="189"/>
      <c r="H707" s="755" t="s">
        <v>46</v>
      </c>
      <c r="I707" s="756">
        <f ca="1">IFERROR(__xludf.DUMMYFUNCTION("IMPORTRANGE(""https://docs.google.com/spreadsheets/d/1QqKyyYR6Q21VydFLVH3TRQUabQu_ym0Zz7PgGX0-kHA/edit?usp=sharing"",""แผน!IG57"")"),30)</f>
        <v>30</v>
      </c>
      <c r="J707" s="214">
        <v>0</v>
      </c>
      <c r="K707" s="496"/>
      <c r="L707" s="496"/>
      <c r="M707" s="189"/>
      <c r="N707" s="757"/>
      <c r="O707" s="496"/>
      <c r="P707" s="496"/>
      <c r="Q707" s="571"/>
      <c r="R707" s="571"/>
      <c r="S707" s="571"/>
      <c r="T707" s="571"/>
      <c r="U707" s="571"/>
      <c r="V707" s="571"/>
      <c r="W707" s="571"/>
      <c r="X707" s="571"/>
      <c r="Y707" s="571"/>
      <c r="Z707" s="571"/>
    </row>
    <row r="708" spans="1:26" ht="19.5">
      <c r="A708" s="735"/>
      <c r="B708" s="754"/>
      <c r="C708" s="754"/>
      <c r="D708" s="760" t="s">
        <v>299</v>
      </c>
      <c r="E708" s="754"/>
      <c r="F708" s="754"/>
      <c r="G708" s="189"/>
      <c r="H708" s="758" t="s">
        <v>46</v>
      </c>
      <c r="I708" s="759">
        <f ca="1">IFERROR(__xludf.DUMMYFUNCTION("IMPORTRANGE(""https://docs.google.com/spreadsheets/d/1QqKyyYR6Q21VydFLVH3TRQUabQu_ym0Zz7PgGX0-kHA/edit?usp=sharing"",""แผน!IH57"")"),0)</f>
        <v>0</v>
      </c>
      <c r="J708" s="674">
        <f>J714+J717</f>
        <v>0</v>
      </c>
      <c r="K708" s="195">
        <f ca="1">IF(I708&gt;0,J708*100/I708,0)</f>
        <v>0</v>
      </c>
      <c r="L708" s="496"/>
      <c r="M708" s="189"/>
      <c r="N708" s="757"/>
      <c r="O708" s="496"/>
      <c r="P708" s="496"/>
      <c r="Q708" s="571"/>
      <c r="R708" s="571"/>
      <c r="S708" s="571"/>
      <c r="T708" s="571"/>
      <c r="U708" s="571"/>
      <c r="V708" s="571"/>
      <c r="W708" s="571"/>
      <c r="X708" s="571"/>
      <c r="Y708" s="571"/>
      <c r="Z708" s="571"/>
    </row>
    <row r="709" spans="1:26" ht="18.75">
      <c r="A709" s="735"/>
      <c r="B709" s="754"/>
      <c r="C709" s="754"/>
      <c r="D709" s="754"/>
      <c r="E709" s="754" t="s">
        <v>300</v>
      </c>
      <c r="F709" s="754"/>
      <c r="G709" s="189"/>
      <c r="H709" s="755" t="s">
        <v>34</v>
      </c>
      <c r="I709" s="756"/>
      <c r="J709" s="214">
        <v>0</v>
      </c>
      <c r="K709" s="496"/>
      <c r="L709" s="757"/>
      <c r="M709" s="189"/>
      <c r="N709" s="757"/>
      <c r="O709" s="496"/>
      <c r="P709" s="496"/>
      <c r="Q709" s="571"/>
      <c r="R709" s="571"/>
      <c r="S709" s="571"/>
      <c r="T709" s="571"/>
      <c r="U709" s="571"/>
      <c r="V709" s="571"/>
      <c r="W709" s="571"/>
      <c r="X709" s="571"/>
      <c r="Y709" s="571"/>
      <c r="Z709" s="571"/>
    </row>
    <row r="710" spans="1:26" ht="18.75">
      <c r="A710" s="735"/>
      <c r="B710" s="754"/>
      <c r="C710" s="754"/>
      <c r="D710" s="754"/>
      <c r="E710" s="754"/>
      <c r="F710" s="754"/>
      <c r="G710" s="189"/>
      <c r="H710" s="755" t="s">
        <v>46</v>
      </c>
      <c r="I710" s="756"/>
      <c r="J710" s="214">
        <v>0</v>
      </c>
      <c r="K710" s="496"/>
      <c r="L710" s="757"/>
      <c r="M710" s="189"/>
      <c r="N710" s="757"/>
      <c r="O710" s="496"/>
      <c r="P710" s="496"/>
      <c r="Q710" s="571"/>
      <c r="R710" s="571"/>
      <c r="S710" s="571"/>
      <c r="T710" s="571"/>
      <c r="U710" s="571"/>
      <c r="V710" s="571"/>
      <c r="W710" s="571"/>
      <c r="X710" s="571"/>
      <c r="Y710" s="571"/>
      <c r="Z710" s="571"/>
    </row>
    <row r="711" spans="1:26" ht="18.75">
      <c r="A711" s="735"/>
      <c r="B711" s="754"/>
      <c r="C711" s="754"/>
      <c r="D711" s="754"/>
      <c r="E711" s="754" t="s">
        <v>301</v>
      </c>
      <c r="F711" s="754"/>
      <c r="G711" s="189"/>
      <c r="H711" s="753"/>
      <c r="I711" s="756"/>
      <c r="J711" s="269"/>
      <c r="K711" s="496"/>
      <c r="L711" s="757"/>
      <c r="M711" s="189"/>
      <c r="N711" s="757"/>
      <c r="O711" s="496"/>
      <c r="P711" s="496"/>
      <c r="Q711" s="571"/>
      <c r="R711" s="571"/>
      <c r="S711" s="571"/>
      <c r="T711" s="571"/>
      <c r="U711" s="571"/>
      <c r="V711" s="571"/>
      <c r="W711" s="571"/>
      <c r="X711" s="571"/>
      <c r="Y711" s="571"/>
      <c r="Z711" s="571"/>
    </row>
    <row r="712" spans="1:26" ht="18.75">
      <c r="A712" s="735"/>
      <c r="B712" s="754"/>
      <c r="C712" s="754"/>
      <c r="D712" s="754"/>
      <c r="E712" s="754"/>
      <c r="F712" s="754" t="s">
        <v>302</v>
      </c>
      <c r="G712" s="189"/>
      <c r="H712" s="755" t="s">
        <v>35</v>
      </c>
      <c r="I712" s="756"/>
      <c r="J712" s="214">
        <v>0</v>
      </c>
      <c r="K712" s="496"/>
      <c r="L712" s="757"/>
      <c r="M712" s="189"/>
      <c r="N712" s="757"/>
      <c r="O712" s="496"/>
      <c r="P712" s="496"/>
      <c r="Q712" s="571"/>
      <c r="R712" s="571"/>
      <c r="S712" s="571"/>
      <c r="T712" s="571"/>
      <c r="U712" s="571"/>
      <c r="V712" s="571"/>
      <c r="W712" s="571"/>
      <c r="X712" s="571"/>
      <c r="Y712" s="571"/>
      <c r="Z712" s="571"/>
    </row>
    <row r="713" spans="1:26" ht="18.75">
      <c r="A713" s="735"/>
      <c r="B713" s="754"/>
      <c r="C713" s="754"/>
      <c r="D713" s="754"/>
      <c r="E713" s="754"/>
      <c r="F713" s="754"/>
      <c r="G713" s="189"/>
      <c r="H713" s="755" t="s">
        <v>34</v>
      </c>
      <c r="I713" s="756"/>
      <c r="J713" s="214">
        <v>0</v>
      </c>
      <c r="K713" s="496"/>
      <c r="L713" s="757"/>
      <c r="M713" s="189"/>
      <c r="N713" s="757"/>
      <c r="O713" s="496"/>
      <c r="P713" s="496"/>
      <c r="Q713" s="571"/>
      <c r="R713" s="571"/>
      <c r="S713" s="571"/>
      <c r="T713" s="571"/>
      <c r="U713" s="571"/>
      <c r="V713" s="571"/>
      <c r="W713" s="571"/>
      <c r="X713" s="571"/>
      <c r="Y713" s="571"/>
      <c r="Z713" s="571"/>
    </row>
    <row r="714" spans="1:26" ht="18.75">
      <c r="A714" s="735"/>
      <c r="B714" s="754"/>
      <c r="C714" s="754"/>
      <c r="D714" s="754"/>
      <c r="E714" s="754"/>
      <c r="F714" s="754"/>
      <c r="G714" s="189"/>
      <c r="H714" s="755" t="s">
        <v>46</v>
      </c>
      <c r="I714" s="756"/>
      <c r="J714" s="214">
        <v>0</v>
      </c>
      <c r="K714" s="496"/>
      <c r="L714" s="757"/>
      <c r="M714" s="189"/>
      <c r="N714" s="757"/>
      <c r="O714" s="496"/>
      <c r="P714" s="496"/>
      <c r="Q714" s="571"/>
      <c r="R714" s="571"/>
      <c r="S714" s="571"/>
      <c r="T714" s="571"/>
      <c r="U714" s="571"/>
      <c r="V714" s="571"/>
      <c r="W714" s="571"/>
      <c r="X714" s="571"/>
      <c r="Y714" s="571"/>
      <c r="Z714" s="571"/>
    </row>
    <row r="715" spans="1:26" ht="18.75">
      <c r="A715" s="735"/>
      <c r="B715" s="754"/>
      <c r="C715" s="754"/>
      <c r="D715" s="754"/>
      <c r="E715" s="754"/>
      <c r="F715" s="754" t="s">
        <v>303</v>
      </c>
      <c r="G715" s="189"/>
      <c r="H715" s="755" t="s">
        <v>35</v>
      </c>
      <c r="I715" s="756"/>
      <c r="J715" s="214">
        <v>0</v>
      </c>
      <c r="K715" s="496"/>
      <c r="L715" s="757"/>
      <c r="M715" s="189"/>
      <c r="N715" s="757"/>
      <c r="O715" s="496"/>
      <c r="P715" s="496"/>
      <c r="Q715" s="571"/>
      <c r="R715" s="571"/>
      <c r="S715" s="571"/>
      <c r="T715" s="571"/>
      <c r="U715" s="571"/>
      <c r="V715" s="571"/>
      <c r="W715" s="571"/>
      <c r="X715" s="571"/>
      <c r="Y715" s="571"/>
      <c r="Z715" s="571"/>
    </row>
    <row r="716" spans="1:26" ht="18.75">
      <c r="A716" s="735"/>
      <c r="B716" s="754"/>
      <c r="C716" s="754"/>
      <c r="D716" s="754"/>
      <c r="E716" s="754"/>
      <c r="F716" s="754"/>
      <c r="G716" s="189"/>
      <c r="H716" s="755" t="s">
        <v>34</v>
      </c>
      <c r="I716" s="756"/>
      <c r="J716" s="214">
        <v>0</v>
      </c>
      <c r="K716" s="496"/>
      <c r="L716" s="757"/>
      <c r="M716" s="189"/>
      <c r="N716" s="757"/>
      <c r="O716" s="496"/>
      <c r="P716" s="496"/>
      <c r="Q716" s="571"/>
      <c r="R716" s="571"/>
      <c r="S716" s="571"/>
      <c r="T716" s="571"/>
      <c r="U716" s="571"/>
      <c r="V716" s="571"/>
      <c r="W716" s="571"/>
      <c r="X716" s="571"/>
      <c r="Y716" s="571"/>
      <c r="Z716" s="571"/>
    </row>
    <row r="717" spans="1:26" ht="18.75">
      <c r="A717" s="735"/>
      <c r="B717" s="754"/>
      <c r="C717" s="754"/>
      <c r="D717" s="754"/>
      <c r="E717" s="754"/>
      <c r="F717" s="754"/>
      <c r="G717" s="189"/>
      <c r="H717" s="755" t="s">
        <v>46</v>
      </c>
      <c r="I717" s="756"/>
      <c r="J717" s="214">
        <v>0</v>
      </c>
      <c r="K717" s="496"/>
      <c r="L717" s="757"/>
      <c r="M717" s="189"/>
      <c r="N717" s="757"/>
      <c r="O717" s="496"/>
      <c r="P717" s="496"/>
      <c r="Q717" s="571"/>
      <c r="R717" s="571"/>
      <c r="S717" s="571"/>
      <c r="T717" s="571"/>
      <c r="U717" s="571"/>
      <c r="V717" s="571"/>
      <c r="W717" s="571"/>
      <c r="X717" s="571"/>
      <c r="Y717" s="571"/>
      <c r="Z717" s="571"/>
    </row>
    <row r="718" spans="1:26" ht="18.75">
      <c r="A718" s="735"/>
      <c r="B718" s="754"/>
      <c r="C718" s="754"/>
      <c r="D718" s="754" t="s">
        <v>304</v>
      </c>
      <c r="E718" s="754"/>
      <c r="F718" s="754"/>
      <c r="G718" s="189"/>
      <c r="H718" s="755" t="s">
        <v>35</v>
      </c>
      <c r="I718" s="756"/>
      <c r="J718" s="269">
        <f ca="1">IFERROR(__xludf.DUMMYFUNCTION("IMPORTRANGE(""https://docs.google.com/spreadsheets/d/1XWAQStnk-4SwqDmLtmXYiTMKHgktTP8We1SCoS47DrQ/edit?usp=sharing"",""จัดที่ดิน!BF57"")"),0)</f>
        <v>0</v>
      </c>
      <c r="K718" s="496"/>
      <c r="L718" s="496"/>
      <c r="M718" s="189"/>
      <c r="N718" s="757"/>
      <c r="O718" s="496"/>
      <c r="P718" s="496"/>
      <c r="Q718" s="571"/>
      <c r="R718" s="571"/>
      <c r="S718" s="571"/>
      <c r="T718" s="571"/>
      <c r="U718" s="571"/>
      <c r="V718" s="571"/>
      <c r="W718" s="571"/>
      <c r="X718" s="571"/>
      <c r="Y718" s="571"/>
      <c r="Z718" s="571"/>
    </row>
    <row r="719" spans="1:26" ht="18.75">
      <c r="A719" s="735"/>
      <c r="B719" s="754"/>
      <c r="C719" s="754"/>
      <c r="D719" s="754"/>
      <c r="E719" s="754"/>
      <c r="F719" s="754"/>
      <c r="G719" s="189"/>
      <c r="H719" s="755" t="s">
        <v>34</v>
      </c>
      <c r="I719" s="756"/>
      <c r="J719" s="269">
        <f ca="1">IFERROR(__xludf.DUMMYFUNCTION("IMPORTRANGE(""https://docs.google.com/spreadsheets/d/1XWAQStnk-4SwqDmLtmXYiTMKHgktTP8We1SCoS47DrQ/edit?usp=sharing"",""จัดที่ดิน!BG57"")"),0)</f>
        <v>0</v>
      </c>
      <c r="K719" s="496"/>
      <c r="L719" s="757"/>
      <c r="M719" s="189"/>
      <c r="N719" s="757"/>
      <c r="O719" s="496"/>
      <c r="P719" s="496"/>
      <c r="Q719" s="571"/>
      <c r="R719" s="571"/>
      <c r="S719" s="571"/>
      <c r="T719" s="571"/>
      <c r="U719" s="571"/>
      <c r="V719" s="571"/>
      <c r="W719" s="571"/>
      <c r="X719" s="571"/>
      <c r="Y719" s="571"/>
      <c r="Z719" s="571"/>
    </row>
    <row r="720" spans="1:26" ht="18.75">
      <c r="A720" s="735"/>
      <c r="B720" s="754"/>
      <c r="C720" s="754"/>
      <c r="D720" s="754"/>
      <c r="E720" s="754"/>
      <c r="F720" s="754"/>
      <c r="G720" s="189"/>
      <c r="H720" s="755" t="s">
        <v>46</v>
      </c>
      <c r="I720" s="756">
        <f ca="1">IFERROR(__xludf.DUMMYFUNCTION("IMPORTRANGE(""https://docs.google.com/spreadsheets/d/1QqKyyYR6Q21VydFLVH3TRQUabQu_ym0Zz7PgGX0-kHA/edit?usp=sharing"",""แผน!II57"")"),50)</f>
        <v>50</v>
      </c>
      <c r="J720" s="269">
        <f ca="1">IFERROR(__xludf.DUMMYFUNCTION("IMPORTRANGE(""https://docs.google.com/spreadsheets/d/1XWAQStnk-4SwqDmLtmXYiTMKHgktTP8We1SCoS47DrQ/edit?usp=sharing"",""จัดที่ดิน!BH57"")"),0)</f>
        <v>0</v>
      </c>
      <c r="K720" s="496">
        <f t="shared" ref="K720:K723" ca="1" si="291">IF(I720&gt;0,J720*100/I720,0)</f>
        <v>0</v>
      </c>
      <c r="L720" s="757"/>
      <c r="M720" s="189"/>
      <c r="N720" s="757"/>
      <c r="O720" s="496"/>
      <c r="P720" s="496"/>
      <c r="Q720" s="571"/>
      <c r="R720" s="571"/>
      <c r="S720" s="571"/>
      <c r="T720" s="571"/>
      <c r="U720" s="571"/>
      <c r="V720" s="571"/>
      <c r="W720" s="571"/>
      <c r="X720" s="571"/>
      <c r="Y720" s="571"/>
      <c r="Z720" s="571"/>
    </row>
    <row r="721" spans="1:26" ht="19.5">
      <c r="A721" s="735"/>
      <c r="B721" s="754"/>
      <c r="C721" s="754"/>
      <c r="D721" s="754" t="s">
        <v>305</v>
      </c>
      <c r="E721" s="754"/>
      <c r="F721" s="754"/>
      <c r="G721" s="189"/>
      <c r="H721" s="758" t="s">
        <v>35</v>
      </c>
      <c r="I721" s="759">
        <f ca="1">IFERROR(__xludf.DUMMYFUNCTION("IMPORTRANGE(""https://docs.google.com/spreadsheets/d/1QqKyyYR6Q21VydFLVH3TRQUabQu_ym0Zz7PgGX0-kHA/edit?usp=sharing"",""แผน!IJ57"")"),17)</f>
        <v>17</v>
      </c>
      <c r="J721" s="674">
        <f ca="1">J723+J726</f>
        <v>0</v>
      </c>
      <c r="K721" s="195">
        <f t="shared" ca="1" si="291"/>
        <v>0</v>
      </c>
      <c r="L721" s="757"/>
      <c r="M721" s="189"/>
      <c r="N721" s="757"/>
      <c r="O721" s="496"/>
      <c r="P721" s="496"/>
      <c r="Q721" s="571"/>
      <c r="R721" s="571"/>
      <c r="S721" s="571"/>
      <c r="T721" s="571"/>
      <c r="U721" s="571"/>
      <c r="V721" s="571"/>
      <c r="W721" s="571"/>
      <c r="X721" s="571"/>
      <c r="Y721" s="571"/>
      <c r="Z721" s="571"/>
    </row>
    <row r="722" spans="1:26" ht="19.5">
      <c r="A722" s="735"/>
      <c r="B722" s="754"/>
      <c r="C722" s="754"/>
      <c r="D722" s="754"/>
      <c r="E722" s="754"/>
      <c r="F722" s="754"/>
      <c r="G722" s="189"/>
      <c r="H722" s="758" t="s">
        <v>46</v>
      </c>
      <c r="I722" s="759">
        <f ca="1">IFERROR(__xludf.DUMMYFUNCTION("IMPORTRANGE(""https://docs.google.com/spreadsheets/d/1QqKyyYR6Q21VydFLVH3TRQUabQu_ym0Zz7PgGX0-kHA/edit?usp=sharing"",""แผน!IK57"")"),180)</f>
        <v>180</v>
      </c>
      <c r="J722" s="674">
        <f ca="1">J725+J728</f>
        <v>0</v>
      </c>
      <c r="K722" s="195">
        <f t="shared" ca="1" si="291"/>
        <v>0</v>
      </c>
      <c r="L722" s="496"/>
      <c r="M722" s="189"/>
      <c r="N722" s="757"/>
      <c r="O722" s="496"/>
      <c r="P722" s="496"/>
      <c r="Q722" s="571"/>
      <c r="R722" s="571"/>
      <c r="S722" s="571"/>
      <c r="T722" s="571"/>
      <c r="U722" s="571"/>
      <c r="V722" s="571"/>
      <c r="W722" s="571"/>
      <c r="X722" s="571"/>
      <c r="Y722" s="571"/>
      <c r="Z722" s="571"/>
    </row>
    <row r="723" spans="1:26" ht="18.75">
      <c r="A723" s="735"/>
      <c r="B723" s="754"/>
      <c r="C723" s="754"/>
      <c r="D723" s="754"/>
      <c r="E723" s="754" t="s">
        <v>306</v>
      </c>
      <c r="F723" s="754"/>
      <c r="G723" s="189"/>
      <c r="H723" s="755" t="s">
        <v>35</v>
      </c>
      <c r="I723" s="756">
        <f ca="1">IFERROR(__xludf.DUMMYFUNCTION("IMPORTRANGE(""https://docs.google.com/spreadsheets/d/1QqKyyYR6Q21VydFLVH3TRQUabQu_ym0Zz7PgGX0-kHA/edit?usp=sharing"",""แผน!IL57"")"),16)</f>
        <v>16</v>
      </c>
      <c r="J723" s="269">
        <f ca="1">IFERROR(__xludf.DUMMYFUNCTION("IMPORTRANGE(""https://docs.google.com/spreadsheets/d/1XWAQStnk-4SwqDmLtmXYiTMKHgktTP8We1SCoS47DrQ/edit?usp=sharing"",""จัดที่ดิน!BM57"")"),0)</f>
        <v>0</v>
      </c>
      <c r="K723" s="496">
        <f t="shared" ca="1" si="291"/>
        <v>0</v>
      </c>
      <c r="L723" s="496"/>
      <c r="M723" s="189"/>
      <c r="N723" s="757"/>
      <c r="O723" s="496"/>
      <c r="P723" s="496"/>
      <c r="Q723" s="571"/>
      <c r="R723" s="571"/>
      <c r="S723" s="571"/>
      <c r="T723" s="571"/>
      <c r="U723" s="571"/>
      <c r="V723" s="571"/>
      <c r="W723" s="571"/>
      <c r="X723" s="571"/>
      <c r="Y723" s="571"/>
      <c r="Z723" s="571"/>
    </row>
    <row r="724" spans="1:26" ht="18.75">
      <c r="A724" s="735"/>
      <c r="B724" s="754"/>
      <c r="C724" s="754"/>
      <c r="D724" s="754"/>
      <c r="E724" s="754"/>
      <c r="F724" s="754"/>
      <c r="G724" s="189"/>
      <c r="H724" s="755" t="s">
        <v>34</v>
      </c>
      <c r="I724" s="756"/>
      <c r="J724" s="269">
        <f ca="1">IFERROR(__xludf.DUMMYFUNCTION("IMPORTRANGE(""https://docs.google.com/spreadsheets/d/1XWAQStnk-4SwqDmLtmXYiTMKHgktTP8We1SCoS47DrQ/edit?usp=sharing"",""จัดที่ดิน!BN57"")"),0)</f>
        <v>0</v>
      </c>
      <c r="K724" s="496"/>
      <c r="L724" s="757"/>
      <c r="M724" s="189"/>
      <c r="N724" s="757"/>
      <c r="O724" s="496"/>
      <c r="P724" s="496"/>
      <c r="Q724" s="571"/>
      <c r="R724" s="571"/>
      <c r="S724" s="571"/>
      <c r="T724" s="571"/>
      <c r="U724" s="571"/>
      <c r="V724" s="571"/>
      <c r="W724" s="571"/>
      <c r="X724" s="571"/>
      <c r="Y724" s="571"/>
      <c r="Z724" s="571"/>
    </row>
    <row r="725" spans="1:26" ht="18.75">
      <c r="A725" s="735"/>
      <c r="B725" s="754"/>
      <c r="C725" s="754"/>
      <c r="D725" s="754"/>
      <c r="E725" s="754"/>
      <c r="F725" s="754"/>
      <c r="G725" s="189"/>
      <c r="H725" s="755" t="s">
        <v>46</v>
      </c>
      <c r="I725" s="756">
        <f ca="1">IFERROR(__xludf.DUMMYFUNCTION("IMPORTRANGE(""https://docs.google.com/spreadsheets/d/1QqKyyYR6Q21VydFLVH3TRQUabQu_ym0Zz7PgGX0-kHA/edit?usp=sharing"",""แผน!IM57"")"),160)</f>
        <v>160</v>
      </c>
      <c r="J725" s="269">
        <f ca="1">IFERROR(__xludf.DUMMYFUNCTION("IMPORTRANGE(""https://docs.google.com/spreadsheets/d/1XWAQStnk-4SwqDmLtmXYiTMKHgktTP8We1SCoS47DrQ/edit?usp=sharing"",""จัดที่ดิน!BO57"")"),0)</f>
        <v>0</v>
      </c>
      <c r="K725" s="496">
        <f t="shared" ref="K725:K726" ca="1" si="292">IF(I725&gt;0,J725*100/I725,0)</f>
        <v>0</v>
      </c>
      <c r="L725" s="757"/>
      <c r="M725" s="189"/>
      <c r="N725" s="757"/>
      <c r="O725" s="496"/>
      <c r="P725" s="496"/>
      <c r="Q725" s="571"/>
      <c r="R725" s="571"/>
      <c r="S725" s="571"/>
      <c r="T725" s="571"/>
      <c r="U725" s="571"/>
      <c r="V725" s="571"/>
      <c r="W725" s="571"/>
      <c r="X725" s="571"/>
      <c r="Y725" s="571"/>
      <c r="Z725" s="571"/>
    </row>
    <row r="726" spans="1:26" ht="18.75">
      <c r="A726" s="735"/>
      <c r="B726" s="754"/>
      <c r="C726" s="754"/>
      <c r="D726" s="754"/>
      <c r="E726" s="754" t="s">
        <v>307</v>
      </c>
      <c r="F726" s="754"/>
      <c r="G726" s="189"/>
      <c r="H726" s="755" t="s">
        <v>35</v>
      </c>
      <c r="I726" s="756">
        <f ca="1">IFERROR(__xludf.DUMMYFUNCTION("IMPORTRANGE(""https://docs.google.com/spreadsheets/d/1QqKyyYR6Q21VydFLVH3TRQUabQu_ym0Zz7PgGX0-kHA/edit?usp=sharing"",""แผน!IN57"")"),1)</f>
        <v>1</v>
      </c>
      <c r="J726" s="269">
        <f ca="1">IFERROR(__xludf.DUMMYFUNCTION("IMPORTRANGE(""https://docs.google.com/spreadsheets/d/1XWAQStnk-4SwqDmLtmXYiTMKHgktTP8We1SCoS47DrQ/edit?usp=sharing"",""จัดที่ดิน!BR57"")"),0)</f>
        <v>0</v>
      </c>
      <c r="K726" s="496">
        <f t="shared" ca="1" si="292"/>
        <v>0</v>
      </c>
      <c r="L726" s="496"/>
      <c r="M726" s="189"/>
      <c r="N726" s="757"/>
      <c r="O726" s="496"/>
      <c r="P726" s="496"/>
      <c r="Q726" s="571"/>
      <c r="R726" s="571"/>
      <c r="S726" s="571"/>
      <c r="T726" s="571"/>
      <c r="U726" s="571"/>
      <c r="V726" s="571"/>
      <c r="W726" s="571"/>
      <c r="X726" s="571"/>
      <c r="Y726" s="571"/>
      <c r="Z726" s="571"/>
    </row>
    <row r="727" spans="1:26" ht="18.75">
      <c r="A727" s="735"/>
      <c r="B727" s="754"/>
      <c r="C727" s="754"/>
      <c r="D727" s="754"/>
      <c r="E727" s="754"/>
      <c r="F727" s="754"/>
      <c r="G727" s="189"/>
      <c r="H727" s="755" t="s">
        <v>34</v>
      </c>
      <c r="I727" s="756"/>
      <c r="J727" s="269">
        <f ca="1">IFERROR(__xludf.DUMMYFUNCTION("IMPORTRANGE(""https://docs.google.com/spreadsheets/d/1XWAQStnk-4SwqDmLtmXYiTMKHgktTP8We1SCoS47DrQ/edit?usp=sharing"",""จัดที่ดิน!BS57"")"),0)</f>
        <v>0</v>
      </c>
      <c r="K727" s="496"/>
      <c r="L727" s="757"/>
      <c r="M727" s="189"/>
      <c r="N727" s="757"/>
      <c r="O727" s="496"/>
      <c r="P727" s="496"/>
      <c r="Q727" s="571"/>
      <c r="R727" s="571"/>
      <c r="S727" s="571"/>
      <c r="T727" s="571"/>
      <c r="U727" s="571"/>
      <c r="V727" s="571"/>
      <c r="W727" s="571"/>
      <c r="X727" s="571"/>
      <c r="Y727" s="571"/>
      <c r="Z727" s="571"/>
    </row>
    <row r="728" spans="1:26" ht="18.75">
      <c r="A728" s="735"/>
      <c r="B728" s="754"/>
      <c r="C728" s="754"/>
      <c r="D728" s="754"/>
      <c r="E728" s="754"/>
      <c r="F728" s="754"/>
      <c r="G728" s="189"/>
      <c r="H728" s="755" t="s">
        <v>46</v>
      </c>
      <c r="I728" s="756">
        <f ca="1">IFERROR(__xludf.DUMMYFUNCTION("IMPORTRANGE(""https://docs.google.com/spreadsheets/d/1QqKyyYR6Q21VydFLVH3TRQUabQu_ym0Zz7PgGX0-kHA/edit?usp=sharing"",""แผน!IO57"")"),20)</f>
        <v>20</v>
      </c>
      <c r="J728" s="269">
        <f ca="1">IFERROR(__xludf.DUMMYFUNCTION("IMPORTRANGE(""https://docs.google.com/spreadsheets/d/1XWAQStnk-4SwqDmLtmXYiTMKHgktTP8We1SCoS47DrQ/edit?usp=sharing"",""จัดที่ดิน!BT57"")"),0)</f>
        <v>0</v>
      </c>
      <c r="K728" s="496">
        <f t="shared" ref="K728:K729" ca="1" si="293">IF(I728&gt;0,J728*100/I728,0)</f>
        <v>0</v>
      </c>
      <c r="L728" s="757"/>
      <c r="M728" s="189"/>
      <c r="N728" s="757"/>
      <c r="O728" s="496"/>
      <c r="P728" s="496"/>
      <c r="Q728" s="571"/>
      <c r="R728" s="571"/>
      <c r="S728" s="571"/>
      <c r="T728" s="571"/>
      <c r="U728" s="571"/>
      <c r="V728" s="571"/>
      <c r="W728" s="571"/>
      <c r="X728" s="571"/>
      <c r="Y728" s="571"/>
      <c r="Z728" s="571"/>
    </row>
    <row r="729" spans="1:26" ht="19.5">
      <c r="A729" s="735"/>
      <c r="B729" s="754"/>
      <c r="C729" s="754"/>
      <c r="D729" s="754" t="s">
        <v>308</v>
      </c>
      <c r="E729" s="754"/>
      <c r="F729" s="754"/>
      <c r="G729" s="189"/>
      <c r="H729" s="758" t="s">
        <v>46</v>
      </c>
      <c r="I729" s="759">
        <f ca="1">IFERROR(__xludf.DUMMYFUNCTION("IMPORTRANGE(""https://docs.google.com/spreadsheets/d/1QqKyyYR6Q21VydFLVH3TRQUabQu_ym0Zz7PgGX0-kHA/edit?usp=sharing"",""แผน!IP57"")"),0)</f>
        <v>0</v>
      </c>
      <c r="J729" s="674">
        <f>J732+J735</f>
        <v>0</v>
      </c>
      <c r="K729" s="195">
        <f t="shared" ca="1" si="293"/>
        <v>0</v>
      </c>
      <c r="L729" s="496"/>
      <c r="M729" s="189"/>
      <c r="N729" s="757"/>
      <c r="O729" s="496"/>
      <c r="P729" s="496"/>
      <c r="Q729" s="571"/>
      <c r="R729" s="571"/>
      <c r="S729" s="571"/>
      <c r="T729" s="571"/>
      <c r="U729" s="571"/>
      <c r="V729" s="571"/>
      <c r="W729" s="571"/>
      <c r="X729" s="571"/>
      <c r="Y729" s="571"/>
      <c r="Z729" s="571"/>
    </row>
    <row r="730" spans="1:26" ht="18.75">
      <c r="A730" s="735"/>
      <c r="B730" s="754"/>
      <c r="C730" s="754"/>
      <c r="D730" s="754"/>
      <c r="E730" s="754" t="s">
        <v>309</v>
      </c>
      <c r="F730" s="754"/>
      <c r="G730" s="189"/>
      <c r="H730" s="755" t="s">
        <v>35</v>
      </c>
      <c r="I730" s="756"/>
      <c r="J730" s="214">
        <v>0</v>
      </c>
      <c r="K730" s="496"/>
      <c r="L730" s="757"/>
      <c r="M730" s="496"/>
      <c r="N730" s="757"/>
      <c r="O730" s="496"/>
      <c r="P730" s="496"/>
      <c r="Q730" s="571"/>
      <c r="R730" s="571"/>
      <c r="S730" s="571"/>
      <c r="T730" s="571"/>
      <c r="U730" s="571"/>
      <c r="V730" s="571"/>
      <c r="W730" s="571"/>
      <c r="X730" s="571"/>
      <c r="Y730" s="571"/>
      <c r="Z730" s="571"/>
    </row>
    <row r="731" spans="1:26" ht="18.75">
      <c r="A731" s="735"/>
      <c r="B731" s="754"/>
      <c r="C731" s="754"/>
      <c r="D731" s="754"/>
      <c r="E731" s="754"/>
      <c r="F731" s="754"/>
      <c r="G731" s="189"/>
      <c r="H731" s="755" t="s">
        <v>34</v>
      </c>
      <c r="I731" s="756"/>
      <c r="J731" s="214">
        <v>0</v>
      </c>
      <c r="K731" s="496"/>
      <c r="L731" s="757"/>
      <c r="M731" s="496"/>
      <c r="N731" s="757"/>
      <c r="O731" s="496"/>
      <c r="P731" s="496"/>
      <c r="Q731" s="571"/>
      <c r="R731" s="571"/>
      <c r="S731" s="571"/>
      <c r="T731" s="571"/>
      <c r="U731" s="571"/>
      <c r="V731" s="571"/>
      <c r="W731" s="571"/>
      <c r="X731" s="571"/>
      <c r="Y731" s="571"/>
      <c r="Z731" s="571"/>
    </row>
    <row r="732" spans="1:26" ht="18.75">
      <c r="A732" s="735"/>
      <c r="B732" s="754"/>
      <c r="C732" s="754"/>
      <c r="D732" s="754"/>
      <c r="E732" s="754"/>
      <c r="F732" s="754"/>
      <c r="G732" s="189"/>
      <c r="H732" s="755" t="s">
        <v>46</v>
      </c>
      <c r="I732" s="756"/>
      <c r="J732" s="214">
        <v>0</v>
      </c>
      <c r="K732" s="496"/>
      <c r="L732" s="757"/>
      <c r="M732" s="496"/>
      <c r="N732" s="757"/>
      <c r="O732" s="496"/>
      <c r="P732" s="496"/>
      <c r="Q732" s="571"/>
      <c r="R732" s="571"/>
      <c r="S732" s="571"/>
      <c r="T732" s="571"/>
      <c r="U732" s="571"/>
      <c r="V732" s="571"/>
      <c r="W732" s="571"/>
      <c r="X732" s="571"/>
      <c r="Y732" s="571"/>
      <c r="Z732" s="571"/>
    </row>
    <row r="733" spans="1:26" ht="18.75">
      <c r="A733" s="735"/>
      <c r="B733" s="754"/>
      <c r="C733" s="754"/>
      <c r="D733" s="754"/>
      <c r="E733" s="754" t="s">
        <v>310</v>
      </c>
      <c r="F733" s="754"/>
      <c r="G733" s="189"/>
      <c r="H733" s="755" t="s">
        <v>35</v>
      </c>
      <c r="I733" s="756"/>
      <c r="J733" s="214">
        <v>0</v>
      </c>
      <c r="K733" s="496"/>
      <c r="L733" s="757"/>
      <c r="M733" s="496"/>
      <c r="N733" s="757"/>
      <c r="O733" s="496"/>
      <c r="P733" s="496"/>
      <c r="Q733" s="571"/>
      <c r="R733" s="571"/>
      <c r="S733" s="571"/>
      <c r="T733" s="571"/>
      <c r="U733" s="571"/>
      <c r="V733" s="571"/>
      <c r="W733" s="571"/>
      <c r="X733" s="571"/>
      <c r="Y733" s="571"/>
      <c r="Z733" s="571"/>
    </row>
    <row r="734" spans="1:26" ht="18.75">
      <c r="A734" s="735"/>
      <c r="B734" s="754"/>
      <c r="C734" s="754"/>
      <c r="D734" s="754"/>
      <c r="E734" s="754"/>
      <c r="F734" s="754"/>
      <c r="G734" s="189"/>
      <c r="H734" s="755" t="s">
        <v>34</v>
      </c>
      <c r="I734" s="756"/>
      <c r="J734" s="214">
        <v>0</v>
      </c>
      <c r="K734" s="496"/>
      <c r="L734" s="757"/>
      <c r="M734" s="496"/>
      <c r="N734" s="757"/>
      <c r="O734" s="496"/>
      <c r="P734" s="496"/>
      <c r="Q734" s="571"/>
      <c r="R734" s="571"/>
      <c r="S734" s="571"/>
      <c r="T734" s="571"/>
      <c r="U734" s="571"/>
      <c r="V734" s="571"/>
      <c r="W734" s="571"/>
      <c r="X734" s="571"/>
      <c r="Y734" s="571"/>
      <c r="Z734" s="571"/>
    </row>
    <row r="735" spans="1:26" ht="19.5">
      <c r="A735" s="761"/>
      <c r="B735" s="762" t="s">
        <v>311</v>
      </c>
      <c r="C735" s="725"/>
      <c r="D735" s="725"/>
      <c r="E735" s="725"/>
      <c r="F735" s="725"/>
      <c r="G735" s="726"/>
      <c r="H735" s="421" t="s">
        <v>46</v>
      </c>
      <c r="I735" s="763"/>
      <c r="J735" s="423">
        <v>0</v>
      </c>
      <c r="K735" s="500"/>
      <c r="L735" s="764"/>
      <c r="M735" s="500"/>
      <c r="N735" s="764"/>
      <c r="O735" s="500"/>
      <c r="P735" s="500"/>
      <c r="Q735" s="571"/>
      <c r="R735" s="571"/>
      <c r="S735" s="571"/>
      <c r="T735" s="571"/>
      <c r="U735" s="571"/>
      <c r="V735" s="571"/>
      <c r="W735" s="571"/>
      <c r="X735" s="571"/>
      <c r="Y735" s="571"/>
      <c r="Z735" s="571"/>
    </row>
    <row r="736" spans="1:26" ht="19.5" hidden="1">
      <c r="A736" s="765">
        <v>9</v>
      </c>
      <c r="B736" s="766" t="s">
        <v>312</v>
      </c>
      <c r="C736" s="767"/>
      <c r="D736" s="767"/>
      <c r="E736" s="767"/>
      <c r="F736" s="767"/>
      <c r="G736" s="768"/>
      <c r="H736" s="769" t="s">
        <v>46</v>
      </c>
      <c r="I736" s="770"/>
      <c r="J736" s="770">
        <f>J751</f>
        <v>0</v>
      </c>
      <c r="K736" s="771">
        <f>IF(I736&gt;0,J736*100/I736,0)</f>
        <v>0</v>
      </c>
      <c r="L736" s="772"/>
      <c r="M736" s="772"/>
      <c r="N736" s="772"/>
      <c r="O736" s="772"/>
      <c r="P736" s="772"/>
      <c r="Q736" s="597"/>
      <c r="R736" s="597"/>
      <c r="S736" s="597"/>
      <c r="T736" s="597"/>
      <c r="U736" s="597"/>
      <c r="V736" s="597"/>
      <c r="W736" s="597"/>
      <c r="X736" s="597"/>
      <c r="Y736" s="597"/>
      <c r="Z736" s="597"/>
    </row>
    <row r="737" spans="1:26" ht="19.5" hidden="1">
      <c r="A737" s="592"/>
      <c r="B737" s="750"/>
      <c r="C737" s="750" t="s">
        <v>16</v>
      </c>
      <c r="D737" s="864" t="s">
        <v>17</v>
      </c>
      <c r="E737" s="857"/>
      <c r="F737" s="857"/>
      <c r="G737" s="596"/>
      <c r="H737" s="639" t="s">
        <v>12</v>
      </c>
      <c r="I737" s="610"/>
      <c r="J737" s="610"/>
      <c r="K737" s="93"/>
      <c r="L737" s="640">
        <f t="shared" ref="L737:N737" si="294">L738+L739</f>
        <v>0</v>
      </c>
      <c r="M737" s="640">
        <f t="shared" si="294"/>
        <v>0</v>
      </c>
      <c r="N737" s="640">
        <f t="shared" si="294"/>
        <v>0</v>
      </c>
      <c r="O737" s="640">
        <f t="shared" ref="O737:O742" si="295">IF(L737&gt;0,N737*100/L737,0)</f>
        <v>0</v>
      </c>
      <c r="P737" s="640">
        <f t="shared" ref="P737:P742" si="296">IF(M737&gt;0,N737*100/M737,0)</f>
        <v>0</v>
      </c>
      <c r="Q737" s="597"/>
      <c r="R737" s="597"/>
      <c r="S737" s="597"/>
      <c r="T737" s="597"/>
      <c r="U737" s="597"/>
      <c r="V737" s="597"/>
      <c r="W737" s="597"/>
      <c r="X737" s="597"/>
      <c r="Y737" s="597"/>
      <c r="Z737" s="597"/>
    </row>
    <row r="738" spans="1:26" ht="18.75" hidden="1">
      <c r="A738" s="592"/>
      <c r="B738" s="750"/>
      <c r="C738" s="750"/>
      <c r="D738" s="711"/>
      <c r="E738" s="750" t="s">
        <v>184</v>
      </c>
      <c r="F738" s="750"/>
      <c r="G738" s="596"/>
      <c r="H738" s="165" t="s">
        <v>12</v>
      </c>
      <c r="I738" s="610"/>
      <c r="J738" s="610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597"/>
      <c r="R738" s="597"/>
      <c r="S738" s="597"/>
      <c r="T738" s="597"/>
      <c r="U738" s="597"/>
      <c r="V738" s="597"/>
      <c r="W738" s="597"/>
      <c r="X738" s="597"/>
      <c r="Y738" s="597"/>
      <c r="Z738" s="597"/>
    </row>
    <row r="739" spans="1:26" ht="18.75" hidden="1">
      <c r="A739" s="592"/>
      <c r="B739" s="600"/>
      <c r="C739" s="750"/>
      <c r="D739" s="711"/>
      <c r="E739" s="750" t="s">
        <v>185</v>
      </c>
      <c r="F739" s="750"/>
      <c r="G739" s="596"/>
      <c r="H739" s="165" t="s">
        <v>12</v>
      </c>
      <c r="I739" s="610"/>
      <c r="J739" s="610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597"/>
      <c r="R739" s="597"/>
      <c r="S739" s="597"/>
      <c r="T739" s="597"/>
      <c r="U739" s="597"/>
      <c r="V739" s="597"/>
      <c r="W739" s="597"/>
      <c r="X739" s="597"/>
      <c r="Y739" s="597"/>
      <c r="Z739" s="597"/>
    </row>
    <row r="740" spans="1:26" ht="19.5" hidden="1">
      <c r="A740" s="592"/>
      <c r="B740" s="600"/>
      <c r="C740" s="750"/>
      <c r="D740" s="638" t="s">
        <v>20</v>
      </c>
      <c r="E740" s="750"/>
      <c r="F740" s="750"/>
      <c r="G740" s="596"/>
      <c r="H740" s="639" t="s">
        <v>12</v>
      </c>
      <c r="I740" s="166"/>
      <c r="J740" s="166"/>
      <c r="K740" s="167"/>
      <c r="L740" s="640">
        <f t="shared" ref="L740:N740" si="298">L741+L742</f>
        <v>0</v>
      </c>
      <c r="M740" s="640">
        <f t="shared" si="298"/>
        <v>0</v>
      </c>
      <c r="N740" s="640">
        <f t="shared" si="298"/>
        <v>0</v>
      </c>
      <c r="O740" s="640">
        <f t="shared" si="295"/>
        <v>0</v>
      </c>
      <c r="P740" s="640">
        <f t="shared" si="296"/>
        <v>0</v>
      </c>
      <c r="Q740" s="597"/>
      <c r="R740" s="597"/>
      <c r="S740" s="597"/>
      <c r="T740" s="597"/>
      <c r="U740" s="597"/>
      <c r="V740" s="597"/>
      <c r="W740" s="597"/>
      <c r="X740" s="597"/>
      <c r="Y740" s="597"/>
      <c r="Z740" s="597"/>
    </row>
    <row r="741" spans="1:26" ht="18.75" hidden="1">
      <c r="A741" s="592"/>
      <c r="B741" s="600"/>
      <c r="C741" s="750"/>
      <c r="D741" s="711"/>
      <c r="E741" s="750" t="s">
        <v>184</v>
      </c>
      <c r="F741" s="750"/>
      <c r="G741" s="596"/>
      <c r="H741" s="165" t="s">
        <v>12</v>
      </c>
      <c r="I741" s="610"/>
      <c r="J741" s="610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597"/>
      <c r="R741" s="597"/>
      <c r="S741" s="597"/>
      <c r="T741" s="597"/>
      <c r="U741" s="597"/>
      <c r="V741" s="597"/>
      <c r="W741" s="597"/>
      <c r="X741" s="597"/>
      <c r="Y741" s="597"/>
      <c r="Z741" s="597"/>
    </row>
    <row r="742" spans="1:26" ht="18.75" hidden="1">
      <c r="A742" s="592"/>
      <c r="B742" s="600"/>
      <c r="C742" s="750"/>
      <c r="D742" s="711"/>
      <c r="E742" s="750" t="s">
        <v>185</v>
      </c>
      <c r="F742" s="750"/>
      <c r="G742" s="596"/>
      <c r="H742" s="165" t="s">
        <v>12</v>
      </c>
      <c r="I742" s="610"/>
      <c r="J742" s="610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597"/>
      <c r="R742" s="597"/>
      <c r="S742" s="597"/>
      <c r="T742" s="597"/>
      <c r="U742" s="597"/>
      <c r="V742" s="597"/>
      <c r="W742" s="597"/>
      <c r="X742" s="597"/>
      <c r="Y742" s="597"/>
      <c r="Z742" s="597"/>
    </row>
    <row r="743" spans="1:26" ht="18.75" hidden="1">
      <c r="A743" s="642"/>
      <c r="B743" s="600"/>
      <c r="C743" s="750"/>
      <c r="D743" s="750"/>
      <c r="E743" s="750"/>
      <c r="F743" s="750" t="s">
        <v>186</v>
      </c>
      <c r="G743" s="596"/>
      <c r="H743" s="165" t="s">
        <v>12</v>
      </c>
      <c r="I743" s="610"/>
      <c r="J743" s="610"/>
      <c r="K743" s="93"/>
      <c r="L743" s="93"/>
      <c r="M743" s="93"/>
      <c r="N743" s="93"/>
      <c r="O743" s="93"/>
      <c r="P743" s="93"/>
      <c r="Q743" s="597"/>
      <c r="R743" s="597"/>
      <c r="S743" s="597"/>
      <c r="T743" s="597"/>
      <c r="U743" s="597"/>
      <c r="V743" s="597"/>
      <c r="W743" s="597"/>
      <c r="X743" s="597"/>
      <c r="Y743" s="597"/>
      <c r="Z743" s="597"/>
    </row>
    <row r="744" spans="1:26" ht="18.75" hidden="1">
      <c r="A744" s="642"/>
      <c r="B744" s="600"/>
      <c r="C744" s="750"/>
      <c r="D744" s="750"/>
      <c r="E744" s="750"/>
      <c r="F744" s="750" t="s">
        <v>187</v>
      </c>
      <c r="G744" s="596"/>
      <c r="H744" s="165" t="s">
        <v>12</v>
      </c>
      <c r="I744" s="610"/>
      <c r="J744" s="610"/>
      <c r="K744" s="93"/>
      <c r="L744" s="93"/>
      <c r="M744" s="93"/>
      <c r="N744" s="93"/>
      <c r="O744" s="93"/>
      <c r="P744" s="93"/>
      <c r="Q744" s="597"/>
      <c r="R744" s="597"/>
      <c r="S744" s="597"/>
      <c r="T744" s="597"/>
      <c r="U744" s="597"/>
      <c r="V744" s="597"/>
      <c r="W744" s="597"/>
      <c r="X744" s="597"/>
      <c r="Y744" s="597"/>
      <c r="Z744" s="597"/>
    </row>
    <row r="745" spans="1:26" ht="18.75" hidden="1">
      <c r="A745" s="642"/>
      <c r="B745" s="600"/>
      <c r="C745" s="750"/>
      <c r="D745" s="750"/>
      <c r="E745" s="750"/>
      <c r="F745" s="750" t="s">
        <v>188</v>
      </c>
      <c r="G745" s="596"/>
      <c r="H745" s="165" t="s">
        <v>12</v>
      </c>
      <c r="I745" s="610"/>
      <c r="J745" s="610"/>
      <c r="K745" s="93"/>
      <c r="L745" s="93"/>
      <c r="M745" s="93"/>
      <c r="N745" s="93"/>
      <c r="O745" s="93"/>
      <c r="P745" s="93"/>
      <c r="Q745" s="597"/>
      <c r="R745" s="597"/>
      <c r="S745" s="597"/>
      <c r="T745" s="597"/>
      <c r="U745" s="597"/>
      <c r="V745" s="597"/>
      <c r="W745" s="597"/>
      <c r="X745" s="597"/>
      <c r="Y745" s="597"/>
      <c r="Z745" s="597"/>
    </row>
    <row r="746" spans="1:26" ht="18.75" hidden="1">
      <c r="A746" s="642"/>
      <c r="B746" s="600"/>
      <c r="C746" s="750"/>
      <c r="D746" s="750"/>
      <c r="E746" s="750"/>
      <c r="F746" s="750" t="s">
        <v>189</v>
      </c>
      <c r="G746" s="596"/>
      <c r="H746" s="165" t="s">
        <v>12</v>
      </c>
      <c r="I746" s="610"/>
      <c r="J746" s="610"/>
      <c r="K746" s="93"/>
      <c r="L746" s="93"/>
      <c r="M746" s="93"/>
      <c r="N746" s="93"/>
      <c r="O746" s="93"/>
      <c r="P746" s="93"/>
      <c r="Q746" s="597"/>
      <c r="R746" s="597"/>
      <c r="S746" s="597"/>
      <c r="T746" s="597"/>
      <c r="U746" s="597"/>
      <c r="V746" s="597"/>
      <c r="W746" s="597"/>
      <c r="X746" s="597"/>
      <c r="Y746" s="597"/>
      <c r="Z746" s="597"/>
    </row>
    <row r="747" spans="1:26" ht="19.5" hidden="1">
      <c r="A747" s="592"/>
      <c r="B747" s="600"/>
      <c r="C747" s="750"/>
      <c r="D747" s="638" t="s">
        <v>21</v>
      </c>
      <c r="E747" s="750"/>
      <c r="F747" s="750"/>
      <c r="G747" s="596"/>
      <c r="H747" s="774" t="s">
        <v>12</v>
      </c>
      <c r="I747" s="166"/>
      <c r="J747" s="166"/>
      <c r="K747" s="167"/>
      <c r="L747" s="640">
        <f t="shared" ref="L747:N747" si="299">L748+L749</f>
        <v>0</v>
      </c>
      <c r="M747" s="640">
        <f t="shared" si="299"/>
        <v>0</v>
      </c>
      <c r="N747" s="640">
        <f t="shared" si="299"/>
        <v>0</v>
      </c>
      <c r="O747" s="640">
        <f t="shared" ref="O747:O749" si="300">IF(L747&gt;0,N747*100/L747,0)</f>
        <v>0</v>
      </c>
      <c r="P747" s="640">
        <f t="shared" ref="P747:P749" si="301">IF(M747&gt;0,N747*100/M747,0)</f>
        <v>0</v>
      </c>
      <c r="Q747" s="597"/>
      <c r="R747" s="597"/>
      <c r="S747" s="597"/>
      <c r="T747" s="597"/>
      <c r="U747" s="597"/>
      <c r="V747" s="597"/>
      <c r="W747" s="597"/>
      <c r="X747" s="597"/>
      <c r="Y747" s="597"/>
      <c r="Z747" s="597"/>
    </row>
    <row r="748" spans="1:26" ht="18.75" hidden="1">
      <c r="A748" s="592"/>
      <c r="B748" s="600"/>
      <c r="C748" s="750"/>
      <c r="D748" s="750"/>
      <c r="E748" s="750" t="s">
        <v>18</v>
      </c>
      <c r="F748" s="750"/>
      <c r="G748" s="596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597"/>
      <c r="R748" s="597"/>
      <c r="S748" s="597"/>
      <c r="T748" s="597"/>
      <c r="U748" s="597"/>
      <c r="V748" s="597"/>
      <c r="W748" s="597"/>
      <c r="X748" s="597"/>
      <c r="Y748" s="597"/>
      <c r="Z748" s="597"/>
    </row>
    <row r="749" spans="1:26" ht="18.75" hidden="1">
      <c r="A749" s="592"/>
      <c r="B749" s="600"/>
      <c r="C749" s="750"/>
      <c r="D749" s="750"/>
      <c r="E749" s="750" t="s">
        <v>19</v>
      </c>
      <c r="F749" s="750"/>
      <c r="G749" s="596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597"/>
      <c r="R749" s="597"/>
      <c r="S749" s="597"/>
      <c r="T749" s="597"/>
      <c r="U749" s="597"/>
      <c r="V749" s="597"/>
      <c r="W749" s="597"/>
      <c r="X749" s="597"/>
      <c r="Y749" s="597"/>
      <c r="Z749" s="597"/>
    </row>
    <row r="750" spans="1:26" ht="19.5" hidden="1">
      <c r="A750" s="607"/>
      <c r="B750" s="609"/>
      <c r="C750" s="750" t="s">
        <v>16</v>
      </c>
      <c r="D750" s="841" t="s">
        <v>38</v>
      </c>
      <c r="E750" s="644"/>
      <c r="F750" s="644"/>
      <c r="G750" s="645"/>
      <c r="H750" s="365"/>
      <c r="I750" s="166"/>
      <c r="J750" s="166"/>
      <c r="K750" s="167"/>
      <c r="L750" s="167"/>
      <c r="M750" s="167"/>
      <c r="N750" s="167"/>
      <c r="O750" s="167"/>
      <c r="P750" s="167"/>
      <c r="Q750" s="597"/>
      <c r="R750" s="597"/>
      <c r="S750" s="597"/>
      <c r="T750" s="597"/>
      <c r="U750" s="597"/>
      <c r="V750" s="597"/>
      <c r="W750" s="597"/>
      <c r="X750" s="597"/>
      <c r="Y750" s="597"/>
      <c r="Z750" s="597"/>
    </row>
    <row r="751" spans="1:26" ht="18.75" hidden="1">
      <c r="A751" s="642"/>
      <c r="B751" s="600"/>
      <c r="C751" s="750"/>
      <c r="D751" s="750"/>
      <c r="E751" s="750" t="s">
        <v>313</v>
      </c>
      <c r="F751" s="750"/>
      <c r="G751" s="596"/>
      <c r="H751" s="165" t="s">
        <v>46</v>
      </c>
      <c r="I751" s="610"/>
      <c r="J751" s="610"/>
      <c r="K751" s="93"/>
      <c r="L751" s="93"/>
      <c r="M751" s="93"/>
      <c r="N751" s="93"/>
      <c r="O751" s="93"/>
      <c r="P751" s="93"/>
      <c r="Q751" s="597"/>
      <c r="R751" s="597"/>
      <c r="S751" s="597"/>
      <c r="T751" s="597"/>
      <c r="U751" s="597"/>
      <c r="V751" s="597"/>
      <c r="W751" s="597"/>
      <c r="X751" s="597"/>
      <c r="Y751" s="597"/>
      <c r="Z751" s="597"/>
    </row>
    <row r="752" spans="1:26" ht="18.75" hidden="1">
      <c r="A752" s="642"/>
      <c r="B752" s="600"/>
      <c r="C752" s="750"/>
      <c r="D752" s="750"/>
      <c r="E752" s="750"/>
      <c r="F752" s="750"/>
      <c r="G752" s="596"/>
      <c r="H752" s="165" t="s">
        <v>314</v>
      </c>
      <c r="I752" s="610"/>
      <c r="J752" s="610"/>
      <c r="K752" s="93"/>
      <c r="L752" s="93"/>
      <c r="M752" s="93"/>
      <c r="N752" s="93"/>
      <c r="O752" s="93"/>
      <c r="P752" s="93"/>
      <c r="Q752" s="597"/>
      <c r="R752" s="597"/>
      <c r="S752" s="597"/>
      <c r="T752" s="597"/>
      <c r="U752" s="597"/>
      <c r="V752" s="597"/>
      <c r="W752" s="597"/>
      <c r="X752" s="597"/>
      <c r="Y752" s="597"/>
      <c r="Z752" s="597"/>
    </row>
    <row r="753" spans="1:26" ht="19.5" hidden="1">
      <c r="A753" s="776">
        <v>10</v>
      </c>
      <c r="B753" s="777" t="s">
        <v>315</v>
      </c>
      <c r="C753" s="778"/>
      <c r="D753" s="778"/>
      <c r="E753" s="778"/>
      <c r="F753" s="778"/>
      <c r="G753" s="779"/>
      <c r="H753" s="780" t="s">
        <v>46</v>
      </c>
      <c r="I753" s="781"/>
      <c r="J753" s="781">
        <f>J768</f>
        <v>0</v>
      </c>
      <c r="K753" s="782">
        <f>IF(I753&gt;0,J753*100/I753,0)</f>
        <v>0</v>
      </c>
      <c r="L753" s="783"/>
      <c r="M753" s="783"/>
      <c r="N753" s="783"/>
      <c r="O753" s="783"/>
      <c r="P753" s="783"/>
      <c r="Q753" s="597"/>
      <c r="R753" s="597"/>
      <c r="S753" s="597"/>
      <c r="T753" s="597"/>
      <c r="U753" s="597"/>
      <c r="V753" s="597"/>
      <c r="W753" s="597"/>
      <c r="X753" s="597"/>
      <c r="Y753" s="597"/>
      <c r="Z753" s="597"/>
    </row>
    <row r="754" spans="1:26" ht="19.5" hidden="1">
      <c r="A754" s="592"/>
      <c r="B754" s="750"/>
      <c r="C754" s="750" t="s">
        <v>16</v>
      </c>
      <c r="D754" s="864" t="s">
        <v>17</v>
      </c>
      <c r="E754" s="857"/>
      <c r="F754" s="857"/>
      <c r="G754" s="596"/>
      <c r="H754" s="639" t="s">
        <v>12</v>
      </c>
      <c r="I754" s="610"/>
      <c r="J754" s="610"/>
      <c r="K754" s="93"/>
      <c r="L754" s="640">
        <f t="shared" ref="L754:N754" si="302">L755+L756</f>
        <v>0</v>
      </c>
      <c r="M754" s="640">
        <f t="shared" si="302"/>
        <v>0</v>
      </c>
      <c r="N754" s="640">
        <f t="shared" si="302"/>
        <v>0</v>
      </c>
      <c r="O754" s="640">
        <f t="shared" ref="O754:O759" si="303">IF(L754&gt;0,N754*100/L754,0)</f>
        <v>0</v>
      </c>
      <c r="P754" s="640">
        <f t="shared" ref="P754:P759" si="304">IF(M754&gt;0,N754*100/M754,0)</f>
        <v>0</v>
      </c>
      <c r="Q754" s="597"/>
      <c r="R754" s="597"/>
      <c r="S754" s="597"/>
      <c r="T754" s="597"/>
      <c r="U754" s="597"/>
      <c r="V754" s="597"/>
      <c r="W754" s="597"/>
      <c r="X754" s="597"/>
      <c r="Y754" s="597"/>
      <c r="Z754" s="597"/>
    </row>
    <row r="755" spans="1:26" ht="18.75" hidden="1">
      <c r="A755" s="592"/>
      <c r="B755" s="750"/>
      <c r="C755" s="750"/>
      <c r="D755" s="711"/>
      <c r="E755" s="750" t="s">
        <v>184</v>
      </c>
      <c r="F755" s="750"/>
      <c r="G755" s="596"/>
      <c r="H755" s="165" t="s">
        <v>12</v>
      </c>
      <c r="I755" s="610"/>
      <c r="J755" s="610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597"/>
      <c r="R755" s="597"/>
      <c r="S755" s="597"/>
      <c r="T755" s="597"/>
      <c r="U755" s="597"/>
      <c r="V755" s="597"/>
      <c r="W755" s="597"/>
      <c r="X755" s="597"/>
      <c r="Y755" s="597"/>
      <c r="Z755" s="597"/>
    </row>
    <row r="756" spans="1:26" ht="18.75" hidden="1">
      <c r="A756" s="592"/>
      <c r="B756" s="600"/>
      <c r="C756" s="750"/>
      <c r="D756" s="711"/>
      <c r="E756" s="750" t="s">
        <v>185</v>
      </c>
      <c r="F756" s="750"/>
      <c r="G756" s="596"/>
      <c r="H756" s="165" t="s">
        <v>12</v>
      </c>
      <c r="I756" s="610"/>
      <c r="J756" s="610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597"/>
      <c r="R756" s="597"/>
      <c r="S756" s="597"/>
      <c r="T756" s="597"/>
      <c r="U756" s="597"/>
      <c r="V756" s="597"/>
      <c r="W756" s="597"/>
      <c r="X756" s="597"/>
      <c r="Y756" s="597"/>
      <c r="Z756" s="597"/>
    </row>
    <row r="757" spans="1:26" ht="19.5" hidden="1">
      <c r="A757" s="592"/>
      <c r="B757" s="600"/>
      <c r="C757" s="750"/>
      <c r="D757" s="638" t="s">
        <v>20</v>
      </c>
      <c r="E757" s="750"/>
      <c r="F757" s="750"/>
      <c r="G757" s="596"/>
      <c r="H757" s="639" t="s">
        <v>12</v>
      </c>
      <c r="I757" s="166"/>
      <c r="J757" s="166"/>
      <c r="K757" s="167"/>
      <c r="L757" s="640">
        <f t="shared" ref="L757:N757" si="306">L758+L759</f>
        <v>0</v>
      </c>
      <c r="M757" s="640">
        <f t="shared" si="306"/>
        <v>0</v>
      </c>
      <c r="N757" s="640">
        <f t="shared" si="306"/>
        <v>0</v>
      </c>
      <c r="O757" s="640">
        <f t="shared" si="303"/>
        <v>0</v>
      </c>
      <c r="P757" s="640">
        <f t="shared" si="304"/>
        <v>0</v>
      </c>
      <c r="Q757" s="597"/>
      <c r="R757" s="597"/>
      <c r="S757" s="597"/>
      <c r="T757" s="597"/>
      <c r="U757" s="597"/>
      <c r="V757" s="597"/>
      <c r="W757" s="597"/>
      <c r="X757" s="597"/>
      <c r="Y757" s="597"/>
      <c r="Z757" s="597"/>
    </row>
    <row r="758" spans="1:26" ht="18.75" hidden="1">
      <c r="A758" s="592"/>
      <c r="B758" s="600"/>
      <c r="C758" s="750"/>
      <c r="D758" s="711"/>
      <c r="E758" s="750" t="s">
        <v>184</v>
      </c>
      <c r="F758" s="750"/>
      <c r="G758" s="596"/>
      <c r="H758" s="165" t="s">
        <v>12</v>
      </c>
      <c r="I758" s="610"/>
      <c r="J758" s="610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597"/>
      <c r="R758" s="597"/>
      <c r="S758" s="597"/>
      <c r="T758" s="597"/>
      <c r="U758" s="597"/>
      <c r="V758" s="597"/>
      <c r="W758" s="597"/>
      <c r="X758" s="597"/>
      <c r="Y758" s="597"/>
      <c r="Z758" s="597"/>
    </row>
    <row r="759" spans="1:26" ht="18.75" hidden="1">
      <c r="A759" s="592"/>
      <c r="B759" s="600"/>
      <c r="C759" s="750"/>
      <c r="D759" s="711"/>
      <c r="E759" s="750" t="s">
        <v>185</v>
      </c>
      <c r="F759" s="750"/>
      <c r="G759" s="596"/>
      <c r="H759" s="165" t="s">
        <v>12</v>
      </c>
      <c r="I759" s="610"/>
      <c r="J759" s="610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597"/>
      <c r="R759" s="597"/>
      <c r="S759" s="597"/>
      <c r="T759" s="597"/>
      <c r="U759" s="597"/>
      <c r="V759" s="597"/>
      <c r="W759" s="597"/>
      <c r="X759" s="597"/>
      <c r="Y759" s="597"/>
      <c r="Z759" s="597"/>
    </row>
    <row r="760" spans="1:26" ht="18.75" hidden="1">
      <c r="A760" s="642"/>
      <c r="B760" s="600"/>
      <c r="C760" s="750"/>
      <c r="D760" s="750"/>
      <c r="E760" s="750"/>
      <c r="F760" s="750" t="s">
        <v>186</v>
      </c>
      <c r="G760" s="596"/>
      <c r="H760" s="165" t="s">
        <v>12</v>
      </c>
      <c r="I760" s="610"/>
      <c r="J760" s="610"/>
      <c r="K760" s="93"/>
      <c r="L760" s="93"/>
      <c r="M760" s="93"/>
      <c r="N760" s="93"/>
      <c r="O760" s="93"/>
      <c r="P760" s="93"/>
      <c r="Q760" s="597"/>
      <c r="R760" s="597"/>
      <c r="S760" s="597"/>
      <c r="T760" s="597"/>
      <c r="U760" s="597"/>
      <c r="V760" s="597"/>
      <c r="W760" s="597"/>
      <c r="X760" s="597"/>
      <c r="Y760" s="597"/>
      <c r="Z760" s="597"/>
    </row>
    <row r="761" spans="1:26" ht="18.75" hidden="1">
      <c r="A761" s="642"/>
      <c r="B761" s="600"/>
      <c r="C761" s="750"/>
      <c r="D761" s="750"/>
      <c r="E761" s="750"/>
      <c r="F761" s="750" t="s">
        <v>187</v>
      </c>
      <c r="G761" s="596"/>
      <c r="H761" s="165" t="s">
        <v>12</v>
      </c>
      <c r="I761" s="610"/>
      <c r="J761" s="610"/>
      <c r="K761" s="93"/>
      <c r="L761" s="93"/>
      <c r="M761" s="93"/>
      <c r="N761" s="93"/>
      <c r="O761" s="93"/>
      <c r="P761" s="93"/>
      <c r="Q761" s="597"/>
      <c r="R761" s="597"/>
      <c r="S761" s="597"/>
      <c r="T761" s="597"/>
      <c r="U761" s="597"/>
      <c r="V761" s="597"/>
      <c r="W761" s="597"/>
      <c r="X761" s="597"/>
      <c r="Y761" s="597"/>
      <c r="Z761" s="597"/>
    </row>
    <row r="762" spans="1:26" ht="18.75" hidden="1">
      <c r="A762" s="642"/>
      <c r="B762" s="600"/>
      <c r="C762" s="750"/>
      <c r="D762" s="750"/>
      <c r="E762" s="750"/>
      <c r="F762" s="750" t="s">
        <v>188</v>
      </c>
      <c r="G762" s="596"/>
      <c r="H762" s="165" t="s">
        <v>12</v>
      </c>
      <c r="I762" s="610"/>
      <c r="J762" s="610"/>
      <c r="K762" s="93"/>
      <c r="L762" s="93"/>
      <c r="M762" s="93"/>
      <c r="N762" s="93"/>
      <c r="O762" s="93"/>
      <c r="P762" s="93"/>
      <c r="Q762" s="597"/>
      <c r="R762" s="597"/>
      <c r="S762" s="597"/>
      <c r="T762" s="597"/>
      <c r="U762" s="597"/>
      <c r="V762" s="597"/>
      <c r="W762" s="597"/>
      <c r="X762" s="597"/>
      <c r="Y762" s="597"/>
      <c r="Z762" s="597"/>
    </row>
    <row r="763" spans="1:26" ht="18.75" hidden="1">
      <c r="A763" s="642"/>
      <c r="B763" s="600"/>
      <c r="C763" s="750"/>
      <c r="D763" s="750"/>
      <c r="E763" s="750"/>
      <c r="F763" s="750" t="s">
        <v>189</v>
      </c>
      <c r="G763" s="596"/>
      <c r="H763" s="165" t="s">
        <v>12</v>
      </c>
      <c r="I763" s="610"/>
      <c r="J763" s="610"/>
      <c r="K763" s="93"/>
      <c r="L763" s="93"/>
      <c r="M763" s="93"/>
      <c r="N763" s="93"/>
      <c r="O763" s="93"/>
      <c r="P763" s="93"/>
      <c r="Q763" s="597"/>
      <c r="R763" s="597"/>
      <c r="S763" s="597"/>
      <c r="T763" s="597"/>
      <c r="U763" s="597"/>
      <c r="V763" s="597"/>
      <c r="W763" s="597"/>
      <c r="X763" s="597"/>
      <c r="Y763" s="597"/>
      <c r="Z763" s="597"/>
    </row>
    <row r="764" spans="1:26" ht="19.5" hidden="1">
      <c r="A764" s="592"/>
      <c r="B764" s="600"/>
      <c r="C764" s="750"/>
      <c r="D764" s="638" t="s">
        <v>21</v>
      </c>
      <c r="E764" s="750"/>
      <c r="F764" s="750"/>
      <c r="G764" s="596"/>
      <c r="H764" s="774" t="s">
        <v>12</v>
      </c>
      <c r="I764" s="166"/>
      <c r="J764" s="166"/>
      <c r="K764" s="167"/>
      <c r="L764" s="640">
        <f t="shared" ref="L764:N764" si="307">L765+L766</f>
        <v>0</v>
      </c>
      <c r="M764" s="640">
        <f t="shared" si="307"/>
        <v>0</v>
      </c>
      <c r="N764" s="640">
        <f t="shared" si="307"/>
        <v>0</v>
      </c>
      <c r="O764" s="640">
        <f t="shared" ref="O764:O766" si="308">IF(L764&gt;0,N764*100/L764,0)</f>
        <v>0</v>
      </c>
      <c r="P764" s="640">
        <f t="shared" ref="P764:P766" si="309">IF(M764&gt;0,N764*100/M764,0)</f>
        <v>0</v>
      </c>
      <c r="Q764" s="597"/>
      <c r="R764" s="597"/>
      <c r="S764" s="597"/>
      <c r="T764" s="597"/>
      <c r="U764" s="597"/>
      <c r="V764" s="597"/>
      <c r="W764" s="597"/>
      <c r="X764" s="597"/>
      <c r="Y764" s="597"/>
      <c r="Z764" s="597"/>
    </row>
    <row r="765" spans="1:26" ht="18.75" hidden="1">
      <c r="A765" s="592"/>
      <c r="B765" s="600"/>
      <c r="C765" s="750"/>
      <c r="D765" s="750"/>
      <c r="E765" s="750" t="s">
        <v>18</v>
      </c>
      <c r="F765" s="750"/>
      <c r="G765" s="596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597"/>
      <c r="R765" s="597"/>
      <c r="S765" s="597"/>
      <c r="T765" s="597"/>
      <c r="U765" s="597"/>
      <c r="V765" s="597"/>
      <c r="W765" s="597"/>
      <c r="X765" s="597"/>
      <c r="Y765" s="597"/>
      <c r="Z765" s="597"/>
    </row>
    <row r="766" spans="1:26" ht="18.75" hidden="1">
      <c r="A766" s="592"/>
      <c r="B766" s="600"/>
      <c r="C766" s="750"/>
      <c r="D766" s="750"/>
      <c r="E766" s="750" t="s">
        <v>19</v>
      </c>
      <c r="F766" s="750"/>
      <c r="G766" s="596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597"/>
      <c r="R766" s="597"/>
      <c r="S766" s="597"/>
      <c r="T766" s="597"/>
      <c r="U766" s="597"/>
      <c r="V766" s="597"/>
      <c r="W766" s="597"/>
      <c r="X766" s="597"/>
      <c r="Y766" s="597"/>
      <c r="Z766" s="597"/>
    </row>
    <row r="767" spans="1:26" ht="19.5" hidden="1">
      <c r="A767" s="607"/>
      <c r="B767" s="609"/>
      <c r="C767" s="750" t="s">
        <v>16</v>
      </c>
      <c r="D767" s="841" t="s">
        <v>38</v>
      </c>
      <c r="E767" s="644"/>
      <c r="F767" s="644"/>
      <c r="G767" s="645"/>
      <c r="H767" s="365"/>
      <c r="I767" s="166"/>
      <c r="J767" s="166"/>
      <c r="K767" s="167"/>
      <c r="L767" s="167"/>
      <c r="M767" s="167"/>
      <c r="N767" s="167"/>
      <c r="O767" s="167"/>
      <c r="P767" s="167"/>
      <c r="Q767" s="597"/>
      <c r="R767" s="597"/>
      <c r="S767" s="597"/>
      <c r="T767" s="597"/>
      <c r="U767" s="597"/>
      <c r="V767" s="597"/>
      <c r="W767" s="597"/>
      <c r="X767" s="597"/>
      <c r="Y767" s="597"/>
      <c r="Z767" s="597"/>
    </row>
    <row r="768" spans="1:26" ht="18.75" hidden="1">
      <c r="A768" s="642"/>
      <c r="B768" s="600"/>
      <c r="C768" s="750"/>
      <c r="D768" s="750"/>
      <c r="E768" s="750" t="s">
        <v>316</v>
      </c>
      <c r="F768" s="750"/>
      <c r="G768" s="596"/>
      <c r="H768" s="165" t="s">
        <v>46</v>
      </c>
      <c r="I768" s="610"/>
      <c r="J768" s="610"/>
      <c r="K768" s="93"/>
      <c r="L768" s="93"/>
      <c r="M768" s="93"/>
      <c r="N768" s="93"/>
      <c r="O768" s="93"/>
      <c r="P768" s="93"/>
      <c r="Q768" s="597"/>
      <c r="R768" s="597"/>
      <c r="S768" s="597"/>
      <c r="T768" s="597"/>
      <c r="U768" s="597"/>
      <c r="V768" s="597"/>
      <c r="W768" s="597"/>
      <c r="X768" s="597"/>
      <c r="Y768" s="597"/>
      <c r="Z768" s="597"/>
    </row>
    <row r="769" spans="1:26" ht="19.5" hidden="1">
      <c r="A769" s="784">
        <v>11</v>
      </c>
      <c r="B769" s="785" t="s">
        <v>317</v>
      </c>
      <c r="C769" s="786"/>
      <c r="D769" s="786"/>
      <c r="E769" s="786"/>
      <c r="F769" s="786"/>
      <c r="G769" s="787"/>
      <c r="H769" s="788" t="s">
        <v>46</v>
      </c>
      <c r="I769" s="789"/>
      <c r="J769" s="789">
        <f>J784</f>
        <v>0</v>
      </c>
      <c r="K769" s="790">
        <f>IF(I769&gt;0,J769*100/I769,0)</f>
        <v>0</v>
      </c>
      <c r="L769" s="791"/>
      <c r="M769" s="791"/>
      <c r="N769" s="791"/>
      <c r="O769" s="791"/>
      <c r="P769" s="791"/>
      <c r="Q769" s="597"/>
      <c r="R769" s="597"/>
      <c r="S769" s="597"/>
      <c r="T769" s="597"/>
      <c r="U769" s="597"/>
      <c r="V769" s="597"/>
      <c r="W769" s="597"/>
      <c r="X769" s="597"/>
      <c r="Y769" s="597"/>
      <c r="Z769" s="597"/>
    </row>
    <row r="770" spans="1:26" ht="19.5" hidden="1">
      <c r="A770" s="592"/>
      <c r="B770" s="750"/>
      <c r="C770" s="750" t="s">
        <v>16</v>
      </c>
      <c r="D770" s="864" t="s">
        <v>17</v>
      </c>
      <c r="E770" s="857"/>
      <c r="F770" s="857"/>
      <c r="G770" s="596"/>
      <c r="H770" s="639" t="s">
        <v>12</v>
      </c>
      <c r="I770" s="610"/>
      <c r="J770" s="610"/>
      <c r="K770" s="93"/>
      <c r="L770" s="640">
        <f t="shared" ref="L770:N770" si="310">L771+L772</f>
        <v>0</v>
      </c>
      <c r="M770" s="640">
        <f t="shared" si="310"/>
        <v>0</v>
      </c>
      <c r="N770" s="640">
        <f t="shared" si="310"/>
        <v>0</v>
      </c>
      <c r="O770" s="640">
        <f t="shared" ref="O770:O775" si="311">IF(L770&gt;0,N770*100/L770,0)</f>
        <v>0</v>
      </c>
      <c r="P770" s="640">
        <f t="shared" ref="P770:P775" si="312">IF(M770&gt;0,N770*100/M770,0)</f>
        <v>0</v>
      </c>
      <c r="Q770" s="597"/>
      <c r="R770" s="597"/>
      <c r="S770" s="597"/>
      <c r="T770" s="597"/>
      <c r="U770" s="597"/>
      <c r="V770" s="597"/>
      <c r="W770" s="597"/>
      <c r="X770" s="597"/>
      <c r="Y770" s="597"/>
      <c r="Z770" s="597"/>
    </row>
    <row r="771" spans="1:26" ht="18.75" hidden="1">
      <c r="A771" s="592"/>
      <c r="B771" s="750"/>
      <c r="C771" s="750"/>
      <c r="D771" s="711"/>
      <c r="E771" s="750" t="s">
        <v>184</v>
      </c>
      <c r="F771" s="750"/>
      <c r="G771" s="596"/>
      <c r="H771" s="165" t="s">
        <v>12</v>
      </c>
      <c r="I771" s="610"/>
      <c r="J771" s="610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597"/>
      <c r="R771" s="597"/>
      <c r="S771" s="597"/>
      <c r="T771" s="597"/>
      <c r="U771" s="597"/>
      <c r="V771" s="597"/>
      <c r="W771" s="597"/>
      <c r="X771" s="597"/>
      <c r="Y771" s="597"/>
      <c r="Z771" s="597"/>
    </row>
    <row r="772" spans="1:26" ht="18.75" hidden="1">
      <c r="A772" s="592"/>
      <c r="B772" s="600"/>
      <c r="C772" s="750"/>
      <c r="D772" s="711"/>
      <c r="E772" s="750" t="s">
        <v>185</v>
      </c>
      <c r="F772" s="750"/>
      <c r="G772" s="596"/>
      <c r="H772" s="165" t="s">
        <v>12</v>
      </c>
      <c r="I772" s="610"/>
      <c r="J772" s="610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597"/>
      <c r="R772" s="597"/>
      <c r="S772" s="597"/>
      <c r="T772" s="597"/>
      <c r="U772" s="597"/>
      <c r="V772" s="597"/>
      <c r="W772" s="597"/>
      <c r="X772" s="597"/>
      <c r="Y772" s="597"/>
      <c r="Z772" s="597"/>
    </row>
    <row r="773" spans="1:26" ht="19.5" hidden="1">
      <c r="A773" s="592"/>
      <c r="B773" s="600"/>
      <c r="C773" s="750"/>
      <c r="D773" s="638" t="s">
        <v>20</v>
      </c>
      <c r="E773" s="750"/>
      <c r="F773" s="750"/>
      <c r="G773" s="596"/>
      <c r="H773" s="639" t="s">
        <v>12</v>
      </c>
      <c r="I773" s="166"/>
      <c r="J773" s="166"/>
      <c r="K773" s="167"/>
      <c r="L773" s="640">
        <f t="shared" ref="L773:N773" si="314">L774+L775</f>
        <v>0</v>
      </c>
      <c r="M773" s="640">
        <f t="shared" si="314"/>
        <v>0</v>
      </c>
      <c r="N773" s="640">
        <f t="shared" si="314"/>
        <v>0</v>
      </c>
      <c r="O773" s="640">
        <f t="shared" si="311"/>
        <v>0</v>
      </c>
      <c r="P773" s="640">
        <f t="shared" si="312"/>
        <v>0</v>
      </c>
      <c r="Q773" s="597"/>
      <c r="R773" s="597"/>
      <c r="S773" s="597"/>
      <c r="T773" s="597"/>
      <c r="U773" s="597"/>
      <c r="V773" s="597"/>
      <c r="W773" s="597"/>
      <c r="X773" s="597"/>
      <c r="Y773" s="597"/>
      <c r="Z773" s="597"/>
    </row>
    <row r="774" spans="1:26" ht="18.75" hidden="1">
      <c r="A774" s="592"/>
      <c r="B774" s="600"/>
      <c r="C774" s="750"/>
      <c r="D774" s="711"/>
      <c r="E774" s="750" t="s">
        <v>184</v>
      </c>
      <c r="F774" s="750"/>
      <c r="G774" s="596"/>
      <c r="H774" s="165" t="s">
        <v>12</v>
      </c>
      <c r="I774" s="610"/>
      <c r="J774" s="610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597"/>
      <c r="R774" s="597"/>
      <c r="S774" s="597"/>
      <c r="T774" s="597"/>
      <c r="U774" s="597"/>
      <c r="V774" s="597"/>
      <c r="W774" s="597"/>
      <c r="X774" s="597"/>
      <c r="Y774" s="597"/>
      <c r="Z774" s="597"/>
    </row>
    <row r="775" spans="1:26" ht="18.75" hidden="1">
      <c r="A775" s="592"/>
      <c r="B775" s="600"/>
      <c r="C775" s="750"/>
      <c r="D775" s="711"/>
      <c r="E775" s="750" t="s">
        <v>185</v>
      </c>
      <c r="F775" s="750"/>
      <c r="G775" s="596"/>
      <c r="H775" s="165" t="s">
        <v>12</v>
      </c>
      <c r="I775" s="610"/>
      <c r="J775" s="610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597"/>
      <c r="R775" s="597"/>
      <c r="S775" s="597"/>
      <c r="T775" s="597"/>
      <c r="U775" s="597"/>
      <c r="V775" s="597"/>
      <c r="W775" s="597"/>
      <c r="X775" s="597"/>
      <c r="Y775" s="597"/>
      <c r="Z775" s="597"/>
    </row>
    <row r="776" spans="1:26" ht="18.75" hidden="1">
      <c r="A776" s="642"/>
      <c r="B776" s="600"/>
      <c r="C776" s="750"/>
      <c r="D776" s="750"/>
      <c r="E776" s="750"/>
      <c r="F776" s="750" t="s">
        <v>186</v>
      </c>
      <c r="G776" s="596"/>
      <c r="H776" s="165" t="s">
        <v>12</v>
      </c>
      <c r="I776" s="610"/>
      <c r="J776" s="610"/>
      <c r="K776" s="93"/>
      <c r="L776" s="93"/>
      <c r="M776" s="93"/>
      <c r="N776" s="93"/>
      <c r="O776" s="93"/>
      <c r="P776" s="93"/>
      <c r="Q776" s="597"/>
      <c r="R776" s="597"/>
      <c r="S776" s="597"/>
      <c r="T776" s="597"/>
      <c r="U776" s="597"/>
      <c r="V776" s="597"/>
      <c r="W776" s="597"/>
      <c r="X776" s="597"/>
      <c r="Y776" s="597"/>
      <c r="Z776" s="597"/>
    </row>
    <row r="777" spans="1:26" ht="18.75" hidden="1">
      <c r="A777" s="642"/>
      <c r="B777" s="600"/>
      <c r="C777" s="750"/>
      <c r="D777" s="750"/>
      <c r="E777" s="750"/>
      <c r="F777" s="750" t="s">
        <v>187</v>
      </c>
      <c r="G777" s="596"/>
      <c r="H777" s="165" t="s">
        <v>12</v>
      </c>
      <c r="I777" s="610"/>
      <c r="J777" s="610"/>
      <c r="K777" s="93"/>
      <c r="L777" s="93"/>
      <c r="M777" s="93"/>
      <c r="N777" s="93"/>
      <c r="O777" s="93"/>
      <c r="P777" s="93"/>
      <c r="Q777" s="597"/>
      <c r="R777" s="597"/>
      <c r="S777" s="597"/>
      <c r="T777" s="597"/>
      <c r="U777" s="597"/>
      <c r="V777" s="597"/>
      <c r="W777" s="597"/>
      <c r="X777" s="597"/>
      <c r="Y777" s="597"/>
      <c r="Z777" s="597"/>
    </row>
    <row r="778" spans="1:26" ht="18.75" hidden="1">
      <c r="A778" s="642"/>
      <c r="B778" s="600"/>
      <c r="C778" s="750"/>
      <c r="D778" s="750"/>
      <c r="E778" s="750"/>
      <c r="F778" s="750" t="s">
        <v>188</v>
      </c>
      <c r="G778" s="596"/>
      <c r="H778" s="165" t="s">
        <v>12</v>
      </c>
      <c r="I778" s="610"/>
      <c r="J778" s="610"/>
      <c r="K778" s="93"/>
      <c r="L778" s="93"/>
      <c r="M778" s="93"/>
      <c r="N778" s="93"/>
      <c r="O778" s="93"/>
      <c r="P778" s="93"/>
      <c r="Q778" s="597"/>
      <c r="R778" s="597"/>
      <c r="S778" s="597"/>
      <c r="T778" s="597"/>
      <c r="U778" s="597"/>
      <c r="V778" s="597"/>
      <c r="W778" s="597"/>
      <c r="X778" s="597"/>
      <c r="Y778" s="597"/>
      <c r="Z778" s="597"/>
    </row>
    <row r="779" spans="1:26" ht="18.75" hidden="1">
      <c r="A779" s="642"/>
      <c r="B779" s="600"/>
      <c r="C779" s="750"/>
      <c r="D779" s="750"/>
      <c r="E779" s="750"/>
      <c r="F779" s="750" t="s">
        <v>189</v>
      </c>
      <c r="G779" s="596"/>
      <c r="H779" s="165" t="s">
        <v>12</v>
      </c>
      <c r="I779" s="610"/>
      <c r="J779" s="610"/>
      <c r="K779" s="93"/>
      <c r="L779" s="93"/>
      <c r="M779" s="93"/>
      <c r="N779" s="93"/>
      <c r="O779" s="93"/>
      <c r="P779" s="93"/>
      <c r="Q779" s="597"/>
      <c r="R779" s="597"/>
      <c r="S779" s="597"/>
      <c r="T779" s="597"/>
      <c r="U779" s="597"/>
      <c r="V779" s="597"/>
      <c r="W779" s="597"/>
      <c r="X779" s="597"/>
      <c r="Y779" s="597"/>
      <c r="Z779" s="597"/>
    </row>
    <row r="780" spans="1:26" ht="19.5" hidden="1">
      <c r="A780" s="592"/>
      <c r="B780" s="600"/>
      <c r="C780" s="750"/>
      <c r="D780" s="638" t="s">
        <v>21</v>
      </c>
      <c r="E780" s="750"/>
      <c r="F780" s="750"/>
      <c r="G780" s="596"/>
      <c r="H780" s="774" t="s">
        <v>12</v>
      </c>
      <c r="I780" s="166"/>
      <c r="J780" s="166"/>
      <c r="K780" s="167"/>
      <c r="L780" s="640">
        <f t="shared" ref="L780:N780" si="315">L781+L782</f>
        <v>0</v>
      </c>
      <c r="M780" s="640">
        <f t="shared" si="315"/>
        <v>0</v>
      </c>
      <c r="N780" s="640">
        <f t="shared" si="315"/>
        <v>0</v>
      </c>
      <c r="O780" s="640">
        <f t="shared" ref="O780:O782" si="316">IF(L780&gt;0,N780*100/L780,0)</f>
        <v>0</v>
      </c>
      <c r="P780" s="640">
        <f t="shared" ref="P780:P782" si="317">IF(M780&gt;0,N780*100/M780,0)</f>
        <v>0</v>
      </c>
      <c r="Q780" s="597"/>
      <c r="R780" s="597"/>
      <c r="S780" s="597"/>
      <c r="T780" s="597"/>
      <c r="U780" s="597"/>
      <c r="V780" s="597"/>
      <c r="W780" s="597"/>
      <c r="X780" s="597"/>
      <c r="Y780" s="597"/>
      <c r="Z780" s="597"/>
    </row>
    <row r="781" spans="1:26" ht="18.75" hidden="1">
      <c r="A781" s="592"/>
      <c r="B781" s="600"/>
      <c r="C781" s="750"/>
      <c r="D781" s="750"/>
      <c r="E781" s="750" t="s">
        <v>18</v>
      </c>
      <c r="F781" s="750"/>
      <c r="G781" s="596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597"/>
      <c r="R781" s="597"/>
      <c r="S781" s="597"/>
      <c r="T781" s="597"/>
      <c r="U781" s="597"/>
      <c r="V781" s="597"/>
      <c r="W781" s="597"/>
      <c r="X781" s="597"/>
      <c r="Y781" s="597"/>
      <c r="Z781" s="597"/>
    </row>
    <row r="782" spans="1:26" ht="18.75" hidden="1">
      <c r="A782" s="592"/>
      <c r="B782" s="600"/>
      <c r="C782" s="750"/>
      <c r="D782" s="750"/>
      <c r="E782" s="750" t="s">
        <v>19</v>
      </c>
      <c r="F782" s="750"/>
      <c r="G782" s="596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597"/>
      <c r="R782" s="597"/>
      <c r="S782" s="597"/>
      <c r="T782" s="597"/>
      <c r="U782" s="597"/>
      <c r="V782" s="597"/>
      <c r="W782" s="597"/>
      <c r="X782" s="597"/>
      <c r="Y782" s="597"/>
      <c r="Z782" s="597"/>
    </row>
    <row r="783" spans="1:26" ht="19.5" hidden="1">
      <c r="A783" s="607"/>
      <c r="B783" s="609"/>
      <c r="C783" s="750" t="s">
        <v>16</v>
      </c>
      <c r="D783" s="841" t="s">
        <v>38</v>
      </c>
      <c r="E783" s="644"/>
      <c r="F783" s="644"/>
      <c r="G783" s="645"/>
      <c r="H783" s="792"/>
      <c r="I783" s="166"/>
      <c r="J783" s="166"/>
      <c r="K783" s="167"/>
      <c r="L783" s="167"/>
      <c r="M783" s="167"/>
      <c r="N783" s="167"/>
      <c r="O783" s="167"/>
      <c r="P783" s="167"/>
      <c r="Q783" s="597"/>
      <c r="R783" s="597"/>
      <c r="S783" s="597"/>
      <c r="T783" s="597"/>
      <c r="U783" s="597"/>
      <c r="V783" s="597"/>
      <c r="W783" s="597"/>
      <c r="X783" s="597"/>
      <c r="Y783" s="597"/>
      <c r="Z783" s="597"/>
    </row>
    <row r="784" spans="1:26" ht="18.75" hidden="1">
      <c r="A784" s="642"/>
      <c r="B784" s="600"/>
      <c r="C784" s="750"/>
      <c r="D784" s="750"/>
      <c r="E784" s="750" t="s">
        <v>318</v>
      </c>
      <c r="F784" s="750"/>
      <c r="G784" s="596"/>
      <c r="H784" s="165" t="s">
        <v>46</v>
      </c>
      <c r="I784" s="610"/>
      <c r="J784" s="610"/>
      <c r="K784" s="93"/>
      <c r="L784" s="93"/>
      <c r="M784" s="93"/>
      <c r="N784" s="93"/>
      <c r="O784" s="93"/>
      <c r="P784" s="93"/>
      <c r="Q784" s="597"/>
      <c r="R784" s="597"/>
      <c r="S784" s="597"/>
      <c r="T784" s="597"/>
      <c r="U784" s="597"/>
      <c r="V784" s="597"/>
      <c r="W784" s="597"/>
      <c r="X784" s="597"/>
      <c r="Y784" s="597"/>
      <c r="Z784" s="597"/>
    </row>
    <row r="785" spans="1:26" ht="19.5" hidden="1">
      <c r="A785" s="793">
        <v>12</v>
      </c>
      <c r="B785" s="794" t="s">
        <v>319</v>
      </c>
      <c r="C785" s="795"/>
      <c r="D785" s="795"/>
      <c r="E785" s="795"/>
      <c r="F785" s="795"/>
      <c r="G785" s="796"/>
      <c r="H785" s="797" t="s">
        <v>46</v>
      </c>
      <c r="I785" s="798">
        <f t="shared" ref="I785:J785" ca="1" si="318">I800</f>
        <v>0</v>
      </c>
      <c r="J785" s="799">
        <f t="shared" ca="1" si="318"/>
        <v>0</v>
      </c>
      <c r="K785" s="800">
        <f ca="1">IF(I785&gt;0,J785*100/I785,0)</f>
        <v>0</v>
      </c>
      <c r="L785" s="801"/>
      <c r="M785" s="801"/>
      <c r="N785" s="801"/>
      <c r="O785" s="801"/>
      <c r="P785" s="801"/>
      <c r="Q785" s="571"/>
      <c r="R785" s="571"/>
      <c r="S785" s="571"/>
      <c r="T785" s="571"/>
      <c r="U785" s="571"/>
      <c r="V785" s="571"/>
      <c r="W785" s="571"/>
      <c r="X785" s="571"/>
      <c r="Y785" s="571"/>
      <c r="Z785" s="571"/>
    </row>
    <row r="786" spans="1:26" ht="19.5" hidden="1">
      <c r="A786" s="590"/>
      <c r="B786" s="568"/>
      <c r="C786" s="754" t="s">
        <v>16</v>
      </c>
      <c r="D786" s="863" t="s">
        <v>17</v>
      </c>
      <c r="E786" s="857"/>
      <c r="F786" s="857"/>
      <c r="G786" s="189"/>
      <c r="H786" s="591" t="s">
        <v>12</v>
      </c>
      <c r="I786" s="269"/>
      <c r="J786" s="269"/>
      <c r="K786" s="496"/>
      <c r="L786" s="195">
        <f t="shared" ref="L786:N786" ca="1" si="319">L787+L788</f>
        <v>0</v>
      </c>
      <c r="M786" s="195">
        <f t="shared" si="319"/>
        <v>0</v>
      </c>
      <c r="N786" s="195">
        <f t="shared" si="319"/>
        <v>0</v>
      </c>
      <c r="O786" s="195">
        <f t="shared" ref="O786:O791" ca="1" si="320">IF(L786&gt;0,N786*100/L786,0)</f>
        <v>0</v>
      </c>
      <c r="P786" s="195">
        <f t="shared" ref="P786:P791" si="321">IF(M786&gt;0,N786*100/M786,0)</f>
        <v>0</v>
      </c>
      <c r="Q786" s="571"/>
      <c r="R786" s="571"/>
      <c r="S786" s="571"/>
      <c r="T786" s="571"/>
      <c r="U786" s="571"/>
      <c r="V786" s="571"/>
      <c r="W786" s="571"/>
      <c r="X786" s="571"/>
      <c r="Y786" s="571"/>
      <c r="Z786" s="571"/>
    </row>
    <row r="787" spans="1:26" ht="18.75" hidden="1">
      <c r="A787" s="592"/>
      <c r="B787" s="600"/>
      <c r="C787" s="750"/>
      <c r="D787" s="711"/>
      <c r="E787" s="750" t="s">
        <v>184</v>
      </c>
      <c r="F787" s="750"/>
      <c r="G787" s="596"/>
      <c r="H787" s="165" t="s">
        <v>12</v>
      </c>
      <c r="I787" s="610"/>
      <c r="J787" s="610"/>
      <c r="K787" s="93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597"/>
      <c r="R787" s="597"/>
      <c r="S787" s="597"/>
      <c r="T787" s="597"/>
      <c r="U787" s="597"/>
      <c r="V787" s="597"/>
      <c r="W787" s="597"/>
      <c r="X787" s="597"/>
      <c r="Y787" s="597"/>
      <c r="Z787" s="597"/>
    </row>
    <row r="788" spans="1:26" ht="18.75" hidden="1">
      <c r="A788" s="592"/>
      <c r="B788" s="600"/>
      <c r="C788" s="600"/>
      <c r="D788" s="609"/>
      <c r="E788" s="750" t="s">
        <v>185</v>
      </c>
      <c r="F788" s="750"/>
      <c r="G788" s="596"/>
      <c r="H788" s="165" t="s">
        <v>12</v>
      </c>
      <c r="I788" s="610"/>
      <c r="J788" s="610"/>
      <c r="K788" s="93"/>
      <c r="L788" s="93">
        <f t="shared" ca="1" si="322"/>
        <v>0</v>
      </c>
      <c r="M788" s="93">
        <f t="shared" si="322"/>
        <v>0</v>
      </c>
      <c r="N788" s="93">
        <f t="shared" si="322"/>
        <v>0</v>
      </c>
      <c r="O788" s="93">
        <f t="shared" ca="1" si="320"/>
        <v>0</v>
      </c>
      <c r="P788" s="93">
        <f t="shared" si="321"/>
        <v>0</v>
      </c>
      <c r="Q788" s="597"/>
      <c r="R788" s="597"/>
      <c r="S788" s="597"/>
      <c r="T788" s="597"/>
      <c r="U788" s="597"/>
      <c r="V788" s="597"/>
      <c r="W788" s="597"/>
      <c r="X788" s="597"/>
      <c r="Y788" s="597"/>
      <c r="Z788" s="597"/>
    </row>
    <row r="789" spans="1:26" ht="18.75" hidden="1">
      <c r="A789" s="590"/>
      <c r="B789" s="568"/>
      <c r="C789" s="568"/>
      <c r="D789" s="599" t="s">
        <v>20</v>
      </c>
      <c r="E789" s="754"/>
      <c r="F789" s="754"/>
      <c r="G789" s="189"/>
      <c r="H789" s="161" t="s">
        <v>12</v>
      </c>
      <c r="I789" s="184"/>
      <c r="J789" s="184"/>
      <c r="K789" s="163"/>
      <c r="L789" s="496">
        <f t="shared" ref="L789:N789" ca="1" si="323">L790+L791</f>
        <v>0</v>
      </c>
      <c r="M789" s="496">
        <f t="shared" si="323"/>
        <v>0</v>
      </c>
      <c r="N789" s="496">
        <f t="shared" si="323"/>
        <v>0</v>
      </c>
      <c r="O789" s="496">
        <f t="shared" ca="1" si="320"/>
        <v>0</v>
      </c>
      <c r="P789" s="496">
        <f t="shared" si="321"/>
        <v>0</v>
      </c>
      <c r="Q789" s="571"/>
      <c r="R789" s="571"/>
      <c r="S789" s="571"/>
      <c r="T789" s="571"/>
      <c r="U789" s="571"/>
      <c r="V789" s="571"/>
      <c r="W789" s="571"/>
      <c r="X789" s="571"/>
      <c r="Y789" s="571"/>
      <c r="Z789" s="571"/>
    </row>
    <row r="790" spans="1:26" ht="18.75" hidden="1">
      <c r="A790" s="592"/>
      <c r="B790" s="600"/>
      <c r="C790" s="600"/>
      <c r="D790" s="609"/>
      <c r="E790" s="750" t="s">
        <v>184</v>
      </c>
      <c r="F790" s="750"/>
      <c r="G790" s="596"/>
      <c r="H790" s="165" t="s">
        <v>12</v>
      </c>
      <c r="I790" s="610"/>
      <c r="J790" s="610"/>
      <c r="K790" s="93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597"/>
      <c r="R790" s="597"/>
      <c r="S790" s="597"/>
      <c r="T790" s="597"/>
      <c r="U790" s="597"/>
      <c r="V790" s="597"/>
      <c r="W790" s="597"/>
      <c r="X790" s="597"/>
      <c r="Y790" s="597"/>
      <c r="Z790" s="597"/>
    </row>
    <row r="791" spans="1:26" ht="18.75" hidden="1">
      <c r="A791" s="592"/>
      <c r="B791" s="600"/>
      <c r="C791" s="600"/>
      <c r="D791" s="609"/>
      <c r="E791" s="750" t="s">
        <v>185</v>
      </c>
      <c r="F791" s="750"/>
      <c r="G791" s="596"/>
      <c r="H791" s="165" t="s">
        <v>12</v>
      </c>
      <c r="I791" s="610"/>
      <c r="J791" s="610"/>
      <c r="K791" s="93"/>
      <c r="L791" s="93">
        <f ca="1">IFERROR(__xludf.DUMMYFUNCTION("IMPORTRANGE(""https://docs.google.com/spreadsheets/d/1QqKyyYR6Q21VydFLVH3TRQUabQu_ym0Zz7PgGX0-kHA/edit?usp=sharing"",""แผน!JJ57"")"),0)</f>
        <v>0</v>
      </c>
      <c r="M791" s="93">
        <v>0</v>
      </c>
      <c r="N791" s="93">
        <f>N792+N793+N794+N795</f>
        <v>0</v>
      </c>
      <c r="O791" s="93">
        <f t="shared" ca="1" si="320"/>
        <v>0</v>
      </c>
      <c r="P791" s="93">
        <f t="shared" si="321"/>
        <v>0</v>
      </c>
      <c r="Q791" s="597"/>
      <c r="R791" s="597"/>
      <c r="S791" s="597"/>
      <c r="T791" s="597"/>
      <c r="U791" s="597"/>
      <c r="V791" s="597"/>
      <c r="W791" s="597"/>
      <c r="X791" s="597"/>
      <c r="Y791" s="597"/>
      <c r="Z791" s="597"/>
    </row>
    <row r="792" spans="1:26" ht="18.75" hidden="1">
      <c r="A792" s="567"/>
      <c r="B792" s="568"/>
      <c r="C792" s="754"/>
      <c r="D792" s="754"/>
      <c r="E792" s="754"/>
      <c r="F792" s="754" t="s">
        <v>186</v>
      </c>
      <c r="G792" s="189"/>
      <c r="H792" s="161" t="s">
        <v>12</v>
      </c>
      <c r="I792" s="269"/>
      <c r="J792" s="269"/>
      <c r="K792" s="496"/>
      <c r="L792" s="496"/>
      <c r="M792" s="496"/>
      <c r="N792" s="817">
        <v>0</v>
      </c>
      <c r="O792" s="496"/>
      <c r="P792" s="496"/>
      <c r="Q792" s="571"/>
      <c r="R792" s="571"/>
      <c r="S792" s="571"/>
      <c r="T792" s="571"/>
      <c r="U792" s="571"/>
      <c r="V792" s="571"/>
      <c r="W792" s="571"/>
      <c r="X792" s="571"/>
      <c r="Y792" s="571"/>
      <c r="Z792" s="571"/>
    </row>
    <row r="793" spans="1:26" ht="18.75" hidden="1">
      <c r="A793" s="567"/>
      <c r="B793" s="568"/>
      <c r="C793" s="754"/>
      <c r="D793" s="754"/>
      <c r="E793" s="754"/>
      <c r="F793" s="754" t="s">
        <v>187</v>
      </c>
      <c r="G793" s="189"/>
      <c r="H793" s="161" t="s">
        <v>12</v>
      </c>
      <c r="I793" s="269"/>
      <c r="J793" s="269"/>
      <c r="K793" s="496"/>
      <c r="L793" s="496"/>
      <c r="M793" s="496"/>
      <c r="N793" s="817">
        <v>0</v>
      </c>
      <c r="O793" s="496"/>
      <c r="P793" s="496"/>
      <c r="Q793" s="571"/>
      <c r="R793" s="571"/>
      <c r="S793" s="571"/>
      <c r="T793" s="571"/>
      <c r="U793" s="571"/>
      <c r="V793" s="571"/>
      <c r="W793" s="571"/>
      <c r="X793" s="571"/>
      <c r="Y793" s="571"/>
      <c r="Z793" s="571"/>
    </row>
    <row r="794" spans="1:26" ht="18.75" hidden="1">
      <c r="A794" s="567"/>
      <c r="B794" s="568"/>
      <c r="C794" s="754"/>
      <c r="D794" s="754"/>
      <c r="E794" s="754"/>
      <c r="F794" s="754" t="s">
        <v>188</v>
      </c>
      <c r="G794" s="189"/>
      <c r="H794" s="161" t="s">
        <v>12</v>
      </c>
      <c r="I794" s="269"/>
      <c r="J794" s="269"/>
      <c r="K794" s="496"/>
      <c r="L794" s="496"/>
      <c r="M794" s="496"/>
      <c r="N794" s="817">
        <v>0</v>
      </c>
      <c r="O794" s="496"/>
      <c r="P794" s="496"/>
      <c r="Q794" s="571"/>
      <c r="R794" s="571"/>
      <c r="S794" s="571"/>
      <c r="T794" s="571"/>
      <c r="U794" s="571"/>
      <c r="V794" s="571"/>
      <c r="W794" s="571"/>
      <c r="X794" s="571"/>
      <c r="Y794" s="571"/>
      <c r="Z794" s="571"/>
    </row>
    <row r="795" spans="1:26" ht="18.75" hidden="1">
      <c r="A795" s="567"/>
      <c r="B795" s="568"/>
      <c r="C795" s="754"/>
      <c r="D795" s="754"/>
      <c r="E795" s="754"/>
      <c r="F795" s="754" t="s">
        <v>189</v>
      </c>
      <c r="G795" s="189"/>
      <c r="H795" s="161" t="s">
        <v>12</v>
      </c>
      <c r="I795" s="269"/>
      <c r="J795" s="269"/>
      <c r="K795" s="496"/>
      <c r="L795" s="496"/>
      <c r="M795" s="496"/>
      <c r="N795" s="817">
        <v>0</v>
      </c>
      <c r="O795" s="496"/>
      <c r="P795" s="496"/>
      <c r="Q795" s="571"/>
      <c r="R795" s="571"/>
      <c r="S795" s="571"/>
      <c r="T795" s="571"/>
      <c r="U795" s="571"/>
      <c r="V795" s="571"/>
      <c r="W795" s="571"/>
      <c r="X795" s="571"/>
      <c r="Y795" s="571"/>
      <c r="Z795" s="571"/>
    </row>
    <row r="796" spans="1:26" ht="18.75" hidden="1">
      <c r="A796" s="590"/>
      <c r="B796" s="568"/>
      <c r="C796" s="754"/>
      <c r="D796" s="599" t="s">
        <v>21</v>
      </c>
      <c r="E796" s="754"/>
      <c r="F796" s="754"/>
      <c r="G796" s="189"/>
      <c r="H796" s="168" t="s">
        <v>12</v>
      </c>
      <c r="I796" s="184"/>
      <c r="J796" s="184"/>
      <c r="K796" s="163"/>
      <c r="L796" s="496">
        <f t="shared" ref="L796:N796" si="324">L797+L798</f>
        <v>0</v>
      </c>
      <c r="M796" s="496">
        <f t="shared" si="324"/>
        <v>0</v>
      </c>
      <c r="N796" s="496">
        <f t="shared" si="324"/>
        <v>0</v>
      </c>
      <c r="O796" s="496">
        <f t="shared" ref="O796:O798" si="325">IF(L796&gt;0,N796*100/L796,0)</f>
        <v>0</v>
      </c>
      <c r="P796" s="496">
        <f t="shared" ref="P796:P798" si="326">IF(M796&gt;0,N796*100/M796,0)</f>
        <v>0</v>
      </c>
      <c r="Q796" s="571"/>
      <c r="R796" s="571"/>
      <c r="S796" s="571"/>
      <c r="T796" s="571"/>
      <c r="U796" s="571"/>
      <c r="V796" s="571"/>
      <c r="W796" s="571"/>
      <c r="X796" s="571"/>
      <c r="Y796" s="571"/>
      <c r="Z796" s="571"/>
    </row>
    <row r="797" spans="1:26" ht="18.75" hidden="1">
      <c r="A797" s="592"/>
      <c r="B797" s="600"/>
      <c r="C797" s="750"/>
      <c r="D797" s="750"/>
      <c r="E797" s="750" t="s">
        <v>18</v>
      </c>
      <c r="F797" s="750"/>
      <c r="G797" s="596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597"/>
      <c r="R797" s="597"/>
      <c r="S797" s="597"/>
      <c r="T797" s="597"/>
      <c r="U797" s="597"/>
      <c r="V797" s="597"/>
      <c r="W797" s="597"/>
      <c r="X797" s="597"/>
      <c r="Y797" s="597"/>
      <c r="Z797" s="597"/>
    </row>
    <row r="798" spans="1:26" ht="18.75" hidden="1">
      <c r="A798" s="592"/>
      <c r="B798" s="600"/>
      <c r="C798" s="750"/>
      <c r="D798" s="750"/>
      <c r="E798" s="750" t="s">
        <v>19</v>
      </c>
      <c r="F798" s="750"/>
      <c r="G798" s="596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597"/>
      <c r="R798" s="597"/>
      <c r="S798" s="597"/>
      <c r="T798" s="597"/>
      <c r="U798" s="597"/>
      <c r="V798" s="597"/>
      <c r="W798" s="597"/>
      <c r="X798" s="597"/>
      <c r="Y798" s="597"/>
      <c r="Z798" s="597"/>
    </row>
    <row r="799" spans="1:26" ht="19.5" hidden="1">
      <c r="A799" s="601"/>
      <c r="B799" s="611"/>
      <c r="C799" s="754" t="s">
        <v>16</v>
      </c>
      <c r="D799" s="840" t="s">
        <v>38</v>
      </c>
      <c r="E799" s="752"/>
      <c r="F799" s="752"/>
      <c r="G799" s="606"/>
      <c r="H799" s="802"/>
      <c r="I799" s="184"/>
      <c r="J799" s="184"/>
      <c r="K799" s="163"/>
      <c r="L799" s="163"/>
      <c r="M799" s="163"/>
      <c r="N799" s="163"/>
      <c r="O799" s="163"/>
      <c r="P799" s="163"/>
      <c r="Q799" s="571"/>
      <c r="R799" s="571"/>
      <c r="S799" s="571"/>
      <c r="T799" s="571"/>
      <c r="U799" s="571"/>
      <c r="V799" s="571"/>
      <c r="W799" s="571"/>
      <c r="X799" s="571"/>
      <c r="Y799" s="571"/>
      <c r="Z799" s="571"/>
    </row>
    <row r="800" spans="1:26" ht="18.75" hidden="1">
      <c r="A800" s="601"/>
      <c r="B800" s="611"/>
      <c r="C800" s="611"/>
      <c r="D800" s="611"/>
      <c r="E800" s="619"/>
      <c r="F800" s="619" t="s">
        <v>320</v>
      </c>
      <c r="G800" s="753"/>
      <c r="H800" s="185" t="s">
        <v>46</v>
      </c>
      <c r="I800" s="184">
        <f ca="1">IFERROR(__xludf.DUMMYFUNCTION("IMPORTRANGE(""https://docs.google.com/spreadsheets/d/1QqKyyYR6Q21VydFLVH3TRQUabQu_ym0Zz7PgGX0-kHA/edit?usp=sharing"",""แผน!JN57"")"),0)</f>
        <v>0</v>
      </c>
      <c r="J800" s="184">
        <f ca="1">IFERROR(__xludf.DUMMYFUNCTION("IMPORTRANGE(""https://docs.google.com/spreadsheets/d/1MaWodYyGHDf7siQLGxnXhG4mBNTNIuy296niS2xXulU/edit?usp=sharing"",""RTK!H57"")"),0)</f>
        <v>0</v>
      </c>
      <c r="K800" s="496">
        <f ca="1">IF(I800&gt;0,J800*100/I800,0)</f>
        <v>0</v>
      </c>
      <c r="L800" s="496"/>
      <c r="M800" s="496"/>
      <c r="N800" s="496"/>
      <c r="O800" s="163"/>
      <c r="P800" s="163"/>
      <c r="Q800" s="571"/>
      <c r="R800" s="571"/>
      <c r="S800" s="571"/>
      <c r="T800" s="571"/>
      <c r="U800" s="571"/>
      <c r="V800" s="571"/>
      <c r="W800" s="571"/>
      <c r="X800" s="571"/>
      <c r="Y800" s="571"/>
      <c r="Z800" s="571"/>
    </row>
    <row r="801" spans="1:26" ht="18.75" hidden="1">
      <c r="A801" s="601"/>
      <c r="B801" s="611"/>
      <c r="C801" s="611"/>
      <c r="D801" s="611"/>
      <c r="E801" s="619"/>
      <c r="F801" s="619"/>
      <c r="G801" s="753"/>
      <c r="H801" s="161" t="s">
        <v>34</v>
      </c>
      <c r="I801" s="184"/>
      <c r="J801" s="269">
        <f ca="1">IFERROR(__xludf.DUMMYFUNCTION("IMPORTRANGE(""https://docs.google.com/spreadsheets/d/1MaWodYyGHDf7siQLGxnXhG4mBNTNIuy296niS2xXulU/edit?usp=sharing"",""RTK!I57"")"),0)</f>
        <v>0</v>
      </c>
      <c r="K801" s="496"/>
      <c r="L801" s="496"/>
      <c r="M801" s="496"/>
      <c r="N801" s="496"/>
      <c r="O801" s="163"/>
      <c r="P801" s="163"/>
      <c r="Q801" s="571"/>
      <c r="R801" s="571"/>
      <c r="S801" s="571"/>
      <c r="T801" s="571"/>
      <c r="U801" s="571"/>
      <c r="V801" s="571"/>
      <c r="W801" s="571"/>
      <c r="X801" s="571"/>
      <c r="Y801" s="571"/>
      <c r="Z801" s="571"/>
    </row>
    <row r="802" spans="1:26" ht="18.75" hidden="1">
      <c r="A802" s="607"/>
      <c r="B802" s="609"/>
      <c r="C802" s="609"/>
      <c r="D802" s="609"/>
      <c r="E802" s="711"/>
      <c r="F802" s="711" t="s">
        <v>321</v>
      </c>
      <c r="G802" s="365"/>
      <c r="H802" s="646" t="s">
        <v>46</v>
      </c>
      <c r="I802" s="166"/>
      <c r="J802" s="610"/>
      <c r="K802" s="167">
        <f>IF(I802&gt;0,J802*100/I802,0)</f>
        <v>0</v>
      </c>
      <c r="L802" s="167"/>
      <c r="M802" s="167"/>
      <c r="N802" s="167"/>
      <c r="O802" s="167"/>
      <c r="P802" s="167"/>
      <c r="Q802" s="597"/>
      <c r="R802" s="597"/>
      <c r="S802" s="597"/>
      <c r="T802" s="597"/>
      <c r="U802" s="597"/>
      <c r="V802" s="597"/>
      <c r="W802" s="597"/>
      <c r="X802" s="597"/>
      <c r="Y802" s="597"/>
      <c r="Z802" s="597"/>
    </row>
    <row r="803" spans="1:26" ht="18.75" hidden="1">
      <c r="A803" s="607"/>
      <c r="B803" s="609"/>
      <c r="C803" s="609"/>
      <c r="D803" s="609"/>
      <c r="E803" s="711"/>
      <c r="F803" s="711"/>
      <c r="G803" s="365"/>
      <c r="H803" s="646" t="s">
        <v>34</v>
      </c>
      <c r="I803" s="166"/>
      <c r="J803" s="610"/>
      <c r="K803" s="167"/>
      <c r="L803" s="167"/>
      <c r="M803" s="167"/>
      <c r="N803" s="167"/>
      <c r="O803" s="167"/>
      <c r="P803" s="167"/>
      <c r="Q803" s="597"/>
      <c r="R803" s="597"/>
      <c r="S803" s="597"/>
      <c r="T803" s="597"/>
      <c r="U803" s="597"/>
      <c r="V803" s="597"/>
      <c r="W803" s="597"/>
      <c r="X803" s="597"/>
      <c r="Y803" s="597"/>
      <c r="Z803" s="597"/>
    </row>
    <row r="804" spans="1:26" ht="19.5" hidden="1">
      <c r="A804" s="784">
        <v>13</v>
      </c>
      <c r="B804" s="785" t="s">
        <v>322</v>
      </c>
      <c r="C804" s="786"/>
      <c r="D804" s="803"/>
      <c r="E804" s="786"/>
      <c r="F804" s="786"/>
      <c r="G804" s="787"/>
      <c r="H804" s="788" t="s">
        <v>46</v>
      </c>
      <c r="I804" s="789"/>
      <c r="J804" s="789">
        <f>J819</f>
        <v>0</v>
      </c>
      <c r="K804" s="790">
        <f>IF(I804&gt;0,J804*100/I804,0)</f>
        <v>0</v>
      </c>
      <c r="L804" s="791"/>
      <c r="M804" s="791"/>
      <c r="N804" s="791"/>
      <c r="O804" s="791"/>
      <c r="P804" s="791"/>
      <c r="Q804" s="597"/>
      <c r="R804" s="597"/>
      <c r="S804" s="597"/>
      <c r="T804" s="597"/>
      <c r="U804" s="597"/>
      <c r="V804" s="597"/>
      <c r="W804" s="597"/>
      <c r="X804" s="597"/>
      <c r="Y804" s="597"/>
      <c r="Z804" s="597"/>
    </row>
    <row r="805" spans="1:26" ht="19.5" hidden="1">
      <c r="A805" s="592"/>
      <c r="B805" s="750"/>
      <c r="C805" s="750" t="s">
        <v>16</v>
      </c>
      <c r="D805" s="864" t="s">
        <v>17</v>
      </c>
      <c r="E805" s="857"/>
      <c r="F805" s="857"/>
      <c r="G805" s="596"/>
      <c r="H805" s="639" t="s">
        <v>12</v>
      </c>
      <c r="I805" s="610"/>
      <c r="J805" s="610"/>
      <c r="K805" s="93"/>
      <c r="L805" s="640">
        <f t="shared" ref="L805:N805" si="327">L806+L807</f>
        <v>0</v>
      </c>
      <c r="M805" s="640">
        <f t="shared" si="327"/>
        <v>0</v>
      </c>
      <c r="N805" s="640">
        <f t="shared" si="327"/>
        <v>0</v>
      </c>
      <c r="O805" s="640">
        <f t="shared" ref="O805:O810" si="328">IF(L805&gt;0,N805*100/L805,0)</f>
        <v>0</v>
      </c>
      <c r="P805" s="640">
        <f t="shared" ref="P805:P810" si="329">IF(M805&gt;0,N805*100/M805,0)</f>
        <v>0</v>
      </c>
      <c r="Q805" s="597"/>
      <c r="R805" s="597"/>
      <c r="S805" s="597"/>
      <c r="T805" s="597"/>
      <c r="U805" s="597"/>
      <c r="V805" s="597"/>
      <c r="W805" s="597"/>
      <c r="X805" s="597"/>
      <c r="Y805" s="597"/>
      <c r="Z805" s="597"/>
    </row>
    <row r="806" spans="1:26" ht="18.75" hidden="1">
      <c r="A806" s="592"/>
      <c r="B806" s="750"/>
      <c r="C806" s="750"/>
      <c r="D806" s="609"/>
      <c r="E806" s="750" t="s">
        <v>184</v>
      </c>
      <c r="F806" s="750"/>
      <c r="G806" s="596"/>
      <c r="H806" s="165" t="s">
        <v>12</v>
      </c>
      <c r="I806" s="610"/>
      <c r="J806" s="610"/>
      <c r="K806" s="93"/>
      <c r="L806" s="93">
        <f t="shared" ref="L806:N807" si="330">L809+L816</f>
        <v>0</v>
      </c>
      <c r="M806" s="93">
        <f t="shared" si="330"/>
        <v>0</v>
      </c>
      <c r="N806" s="93">
        <f t="shared" si="330"/>
        <v>0</v>
      </c>
      <c r="O806" s="93">
        <f t="shared" si="328"/>
        <v>0</v>
      </c>
      <c r="P806" s="93">
        <f t="shared" si="329"/>
        <v>0</v>
      </c>
      <c r="Q806" s="597"/>
      <c r="R806" s="597"/>
      <c r="S806" s="597"/>
      <c r="T806" s="597"/>
      <c r="U806" s="597"/>
      <c r="V806" s="597"/>
      <c r="W806" s="597"/>
      <c r="X806" s="597"/>
      <c r="Y806" s="597"/>
      <c r="Z806" s="597"/>
    </row>
    <row r="807" spans="1:26" ht="18.75" hidden="1">
      <c r="A807" s="592"/>
      <c r="B807" s="750"/>
      <c r="C807" s="750"/>
      <c r="D807" s="609"/>
      <c r="E807" s="750" t="s">
        <v>185</v>
      </c>
      <c r="F807" s="750"/>
      <c r="G807" s="596"/>
      <c r="H807" s="165" t="s">
        <v>12</v>
      </c>
      <c r="I807" s="610"/>
      <c r="J807" s="610"/>
      <c r="K807" s="93"/>
      <c r="L807" s="93">
        <f t="shared" si="330"/>
        <v>0</v>
      </c>
      <c r="M807" s="93">
        <f t="shared" si="330"/>
        <v>0</v>
      </c>
      <c r="N807" s="93">
        <f t="shared" si="330"/>
        <v>0</v>
      </c>
      <c r="O807" s="93">
        <f t="shared" si="328"/>
        <v>0</v>
      </c>
      <c r="P807" s="93">
        <f t="shared" si="329"/>
        <v>0</v>
      </c>
      <c r="Q807" s="597"/>
      <c r="R807" s="597"/>
      <c r="S807" s="597"/>
      <c r="T807" s="597"/>
      <c r="U807" s="597"/>
      <c r="V807" s="597"/>
      <c r="W807" s="597"/>
      <c r="X807" s="597"/>
      <c r="Y807" s="597"/>
      <c r="Z807" s="597"/>
    </row>
    <row r="808" spans="1:26" ht="19.5" hidden="1">
      <c r="A808" s="592"/>
      <c r="B808" s="600"/>
      <c r="C808" s="750"/>
      <c r="D808" s="869" t="s">
        <v>20</v>
      </c>
      <c r="E808" s="857"/>
      <c r="F808" s="857"/>
      <c r="G808" s="596"/>
      <c r="H808" s="639" t="s">
        <v>12</v>
      </c>
      <c r="I808" s="166"/>
      <c r="J808" s="166"/>
      <c r="K808" s="167"/>
      <c r="L808" s="640">
        <f t="shared" ref="L808:N808" si="331">L809+L810</f>
        <v>0</v>
      </c>
      <c r="M808" s="640">
        <f t="shared" si="331"/>
        <v>0</v>
      </c>
      <c r="N808" s="640">
        <f t="shared" si="331"/>
        <v>0</v>
      </c>
      <c r="O808" s="640">
        <f t="shared" si="328"/>
        <v>0</v>
      </c>
      <c r="P808" s="640">
        <f t="shared" si="329"/>
        <v>0</v>
      </c>
      <c r="Q808" s="597"/>
      <c r="R808" s="597"/>
      <c r="S808" s="597"/>
      <c r="T808" s="597"/>
      <c r="U808" s="597"/>
      <c r="V808" s="597"/>
      <c r="W808" s="597"/>
      <c r="X808" s="597"/>
      <c r="Y808" s="597"/>
      <c r="Z808" s="597"/>
    </row>
    <row r="809" spans="1:26" ht="18.75" hidden="1">
      <c r="A809" s="592"/>
      <c r="B809" s="750"/>
      <c r="C809" s="750"/>
      <c r="D809" s="609"/>
      <c r="E809" s="750" t="s">
        <v>184</v>
      </c>
      <c r="F809" s="750"/>
      <c r="G809" s="596"/>
      <c r="H809" s="165" t="s">
        <v>12</v>
      </c>
      <c r="I809" s="610"/>
      <c r="J809" s="610"/>
      <c r="K809" s="93"/>
      <c r="L809" s="93">
        <v>0</v>
      </c>
      <c r="M809" s="93">
        <v>0</v>
      </c>
      <c r="N809" s="93">
        <v>0</v>
      </c>
      <c r="O809" s="93">
        <f t="shared" si="328"/>
        <v>0</v>
      </c>
      <c r="P809" s="93">
        <f t="shared" si="329"/>
        <v>0</v>
      </c>
      <c r="Q809" s="597"/>
      <c r="R809" s="597"/>
      <c r="S809" s="597"/>
      <c r="T809" s="597"/>
      <c r="U809" s="597"/>
      <c r="V809" s="597"/>
      <c r="W809" s="597"/>
      <c r="X809" s="597"/>
      <c r="Y809" s="597"/>
      <c r="Z809" s="597"/>
    </row>
    <row r="810" spans="1:26" ht="18.75" hidden="1">
      <c r="A810" s="592"/>
      <c r="B810" s="750"/>
      <c r="C810" s="750"/>
      <c r="D810" s="609"/>
      <c r="E810" s="750" t="s">
        <v>185</v>
      </c>
      <c r="F810" s="750"/>
      <c r="G810" s="596"/>
      <c r="H810" s="165" t="s">
        <v>12</v>
      </c>
      <c r="I810" s="610"/>
      <c r="J810" s="610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8"/>
        <v>0</v>
      </c>
      <c r="P810" s="93">
        <f t="shared" si="329"/>
        <v>0</v>
      </c>
      <c r="Q810" s="597"/>
      <c r="R810" s="597"/>
      <c r="S810" s="597"/>
      <c r="T810" s="597"/>
      <c r="U810" s="597"/>
      <c r="V810" s="597"/>
      <c r="W810" s="597"/>
      <c r="X810" s="597"/>
      <c r="Y810" s="597"/>
      <c r="Z810" s="597"/>
    </row>
    <row r="811" spans="1:26" ht="18.75" hidden="1">
      <c r="A811" s="642"/>
      <c r="B811" s="600"/>
      <c r="C811" s="750"/>
      <c r="D811" s="600"/>
      <c r="E811" s="750"/>
      <c r="F811" s="750" t="s">
        <v>186</v>
      </c>
      <c r="G811" s="596"/>
      <c r="H811" s="165" t="s">
        <v>12</v>
      </c>
      <c r="I811" s="610"/>
      <c r="J811" s="610"/>
      <c r="K811" s="93"/>
      <c r="L811" s="93"/>
      <c r="M811" s="93"/>
      <c r="N811" s="93"/>
      <c r="O811" s="93"/>
      <c r="P811" s="93"/>
      <c r="Q811" s="597"/>
      <c r="R811" s="597"/>
      <c r="S811" s="597"/>
      <c r="T811" s="597"/>
      <c r="U811" s="597"/>
      <c r="V811" s="597"/>
      <c r="W811" s="597"/>
      <c r="X811" s="597"/>
      <c r="Y811" s="597"/>
      <c r="Z811" s="597"/>
    </row>
    <row r="812" spans="1:26" ht="18.75" hidden="1">
      <c r="A812" s="642"/>
      <c r="B812" s="600"/>
      <c r="C812" s="750"/>
      <c r="D812" s="600"/>
      <c r="E812" s="750"/>
      <c r="F812" s="750" t="s">
        <v>187</v>
      </c>
      <c r="G812" s="596"/>
      <c r="H812" s="165" t="s">
        <v>12</v>
      </c>
      <c r="I812" s="610"/>
      <c r="J812" s="610"/>
      <c r="K812" s="93"/>
      <c r="L812" s="93"/>
      <c r="M812" s="93"/>
      <c r="N812" s="93"/>
      <c r="O812" s="93"/>
      <c r="P812" s="93"/>
      <c r="Q812" s="597"/>
      <c r="R812" s="597"/>
      <c r="S812" s="597"/>
      <c r="T812" s="597"/>
      <c r="U812" s="597"/>
      <c r="V812" s="597"/>
      <c r="W812" s="597"/>
      <c r="X812" s="597"/>
      <c r="Y812" s="597"/>
      <c r="Z812" s="597"/>
    </row>
    <row r="813" spans="1:26" ht="18.75" hidden="1">
      <c r="A813" s="642"/>
      <c r="B813" s="600"/>
      <c r="C813" s="750"/>
      <c r="D813" s="600"/>
      <c r="E813" s="750"/>
      <c r="F813" s="750" t="s">
        <v>188</v>
      </c>
      <c r="G813" s="596"/>
      <c r="H813" s="165" t="s">
        <v>12</v>
      </c>
      <c r="I813" s="610"/>
      <c r="J813" s="610"/>
      <c r="K813" s="93"/>
      <c r="L813" s="93"/>
      <c r="M813" s="93"/>
      <c r="N813" s="93"/>
      <c r="O813" s="93"/>
      <c r="P813" s="93"/>
      <c r="Q813" s="597"/>
      <c r="R813" s="597"/>
      <c r="S813" s="597"/>
      <c r="T813" s="597"/>
      <c r="U813" s="597"/>
      <c r="V813" s="597"/>
      <c r="W813" s="597"/>
      <c r="X813" s="597"/>
      <c r="Y813" s="597"/>
      <c r="Z813" s="597"/>
    </row>
    <row r="814" spans="1:26" ht="18.75" hidden="1">
      <c r="A814" s="642"/>
      <c r="B814" s="600"/>
      <c r="C814" s="750"/>
      <c r="D814" s="600"/>
      <c r="E814" s="750"/>
      <c r="F814" s="750" t="s">
        <v>189</v>
      </c>
      <c r="G814" s="596"/>
      <c r="H814" s="165" t="s">
        <v>12</v>
      </c>
      <c r="I814" s="610"/>
      <c r="J814" s="610"/>
      <c r="K814" s="93"/>
      <c r="L814" s="93"/>
      <c r="M814" s="93"/>
      <c r="N814" s="93"/>
      <c r="O814" s="93"/>
      <c r="P814" s="93"/>
      <c r="Q814" s="597"/>
      <c r="R814" s="597"/>
      <c r="S814" s="597"/>
      <c r="T814" s="597"/>
      <c r="U814" s="597"/>
      <c r="V814" s="597"/>
      <c r="W814" s="597"/>
      <c r="X814" s="597"/>
      <c r="Y814" s="597"/>
      <c r="Z814" s="597"/>
    </row>
    <row r="815" spans="1:26" ht="19.5" hidden="1">
      <c r="A815" s="592"/>
      <c r="B815" s="600"/>
      <c r="C815" s="750"/>
      <c r="D815" s="869" t="s">
        <v>21</v>
      </c>
      <c r="E815" s="857"/>
      <c r="F815" s="857"/>
      <c r="G815" s="596"/>
      <c r="H815" s="774" t="s">
        <v>12</v>
      </c>
      <c r="I815" s="166"/>
      <c r="J815" s="166"/>
      <c r="K815" s="167"/>
      <c r="L815" s="640">
        <f t="shared" ref="L815:N815" si="332">L816+L817</f>
        <v>0</v>
      </c>
      <c r="M815" s="640">
        <f t="shared" si="332"/>
        <v>0</v>
      </c>
      <c r="N815" s="640">
        <f t="shared" si="332"/>
        <v>0</v>
      </c>
      <c r="O815" s="640">
        <f t="shared" ref="O815:O817" si="333">IF(L815&gt;0,N815*100/L815,0)</f>
        <v>0</v>
      </c>
      <c r="P815" s="640">
        <f t="shared" ref="P815:P817" si="334">IF(M815&gt;0,N815*100/M815,0)</f>
        <v>0</v>
      </c>
      <c r="Q815" s="597"/>
      <c r="R815" s="597"/>
      <c r="S815" s="597"/>
      <c r="T815" s="597"/>
      <c r="U815" s="597"/>
      <c r="V815" s="597"/>
      <c r="W815" s="597"/>
      <c r="X815" s="597"/>
      <c r="Y815" s="597"/>
      <c r="Z815" s="597"/>
    </row>
    <row r="816" spans="1:26" ht="18.75" hidden="1">
      <c r="A816" s="592"/>
      <c r="B816" s="600"/>
      <c r="C816" s="750"/>
      <c r="D816" s="600"/>
      <c r="E816" s="750" t="s">
        <v>18</v>
      </c>
      <c r="F816" s="750"/>
      <c r="G816" s="596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3"/>
        <v>0</v>
      </c>
      <c r="P816" s="93">
        <f t="shared" si="334"/>
        <v>0</v>
      </c>
      <c r="Q816" s="597"/>
      <c r="R816" s="597"/>
      <c r="S816" s="597"/>
      <c r="T816" s="597"/>
      <c r="U816" s="597"/>
      <c r="V816" s="597"/>
      <c r="W816" s="597"/>
      <c r="X816" s="597"/>
      <c r="Y816" s="597"/>
      <c r="Z816" s="597"/>
    </row>
    <row r="817" spans="1:26" ht="18.75" hidden="1">
      <c r="A817" s="592"/>
      <c r="B817" s="600"/>
      <c r="C817" s="750"/>
      <c r="D817" s="600"/>
      <c r="E817" s="750" t="s">
        <v>19</v>
      </c>
      <c r="F817" s="750"/>
      <c r="G817" s="596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3"/>
        <v>0</v>
      </c>
      <c r="P817" s="93">
        <f t="shared" si="334"/>
        <v>0</v>
      </c>
      <c r="Q817" s="597"/>
      <c r="R817" s="597"/>
      <c r="S817" s="597"/>
      <c r="T817" s="597"/>
      <c r="U817" s="597"/>
      <c r="V817" s="597"/>
      <c r="W817" s="597"/>
      <c r="X817" s="597"/>
      <c r="Y817" s="597"/>
      <c r="Z817" s="597"/>
    </row>
    <row r="818" spans="1:26" ht="19.5" hidden="1">
      <c r="A818" s="607"/>
      <c r="B818" s="609"/>
      <c r="C818" s="750" t="s">
        <v>16</v>
      </c>
      <c r="D818" s="842" t="s">
        <v>38</v>
      </c>
      <c r="E818" s="644"/>
      <c r="F818" s="644"/>
      <c r="G818" s="645"/>
      <c r="H818" s="365"/>
      <c r="I818" s="166"/>
      <c r="J818" s="166"/>
      <c r="K818" s="167"/>
      <c r="L818" s="167"/>
      <c r="M818" s="167"/>
      <c r="N818" s="167"/>
      <c r="O818" s="167"/>
      <c r="P818" s="167"/>
      <c r="Q818" s="597"/>
      <c r="R818" s="597"/>
      <c r="S818" s="597"/>
      <c r="T818" s="597"/>
      <c r="U818" s="597"/>
      <c r="V818" s="597"/>
      <c r="W818" s="597"/>
      <c r="X818" s="597"/>
      <c r="Y818" s="597"/>
      <c r="Z818" s="597"/>
    </row>
    <row r="819" spans="1:26" ht="19.5" hidden="1" thickBot="1">
      <c r="A819" s="805"/>
      <c r="B819" s="806"/>
      <c r="C819" s="808"/>
      <c r="D819" s="806"/>
      <c r="E819" s="808" t="s">
        <v>323</v>
      </c>
      <c r="F819" s="808"/>
      <c r="G819" s="809"/>
      <c r="H819" s="810" t="s">
        <v>46</v>
      </c>
      <c r="I819" s="811"/>
      <c r="J819" s="811"/>
      <c r="K819" s="812"/>
      <c r="L819" s="812"/>
      <c r="M819" s="812"/>
      <c r="N819" s="812"/>
      <c r="O819" s="812"/>
      <c r="P819" s="812"/>
      <c r="Q819" s="597"/>
      <c r="R819" s="597"/>
      <c r="S819" s="597"/>
      <c r="T819" s="597"/>
      <c r="U819" s="597"/>
      <c r="V819" s="597"/>
      <c r="W819" s="597"/>
      <c r="X819" s="597"/>
      <c r="Y819" s="597"/>
      <c r="Z819" s="597"/>
    </row>
    <row r="820" spans="1:26" ht="19.5">
      <c r="A820" s="813" t="s">
        <v>331</v>
      </c>
      <c r="B820" s="814"/>
      <c r="C820" s="814"/>
      <c r="D820" s="815"/>
      <c r="E820" s="814"/>
      <c r="F820" s="814"/>
      <c r="G820" s="816"/>
      <c r="H820" s="816"/>
      <c r="I820" s="214"/>
      <c r="J820" s="214"/>
      <c r="K820" s="817"/>
      <c r="L820" s="817"/>
      <c r="M820" s="817"/>
      <c r="N820" s="817"/>
      <c r="O820" s="817"/>
      <c r="P820" s="817"/>
      <c r="Q820" s="571"/>
      <c r="R820" s="571"/>
      <c r="S820" s="571"/>
      <c r="T820" s="571"/>
      <c r="U820" s="571"/>
      <c r="V820" s="571"/>
      <c r="W820" s="571"/>
      <c r="X820" s="571"/>
      <c r="Y820" s="571"/>
      <c r="Z820" s="571"/>
    </row>
    <row r="821" spans="1:26" ht="18.75">
      <c r="A821" s="735"/>
      <c r="B821" s="754" t="s">
        <v>325</v>
      </c>
      <c r="C821" s="754"/>
      <c r="D821" s="568"/>
      <c r="E821" s="754"/>
      <c r="F821" s="754"/>
      <c r="G821" s="189"/>
      <c r="H821" s="616" t="s">
        <v>12</v>
      </c>
      <c r="I821" s="269">
        <f ca="1">IFERROR(__xludf.DUMMYFUNCTION("IMPORTRANGE(""https://docs.google.com/spreadsheets/d/19vJNZY_5yjcGF2XGBMNZRCAIB0Kwfpjp8YEOfu-bneM/edit?usp=sharing"",""งานกองทุน!D57"")"),4248721.74)</f>
        <v>4248721.74</v>
      </c>
      <c r="J821" s="269">
        <f ca="1">IFERROR(__xludf.DUMMYFUNCTION("IMPORTRANGE(""https://docs.google.com/spreadsheets/d/19vJNZY_5yjcGF2XGBMNZRCAIB0Kwfpjp8YEOfu-bneM/edit?usp=sharing"",""งานกองทุน!F57"")"),56323.84)</f>
        <v>56323.839999999997</v>
      </c>
      <c r="K821" s="496">
        <f t="shared" ref="K821:K828" ca="1" si="335">IF(I821&gt;0,J821*100/I821,0)</f>
        <v>1.3256655400548778</v>
      </c>
      <c r="L821" s="496"/>
      <c r="M821" s="496"/>
      <c r="N821" s="496"/>
      <c r="O821" s="496"/>
      <c r="P821" s="496"/>
      <c r="Q821" s="571"/>
      <c r="R821" s="571"/>
      <c r="S821" s="571"/>
      <c r="T821" s="571"/>
      <c r="U821" s="571"/>
      <c r="V821" s="571"/>
      <c r="W821" s="571"/>
      <c r="X821" s="571"/>
      <c r="Y821" s="571"/>
      <c r="Z821" s="571"/>
    </row>
    <row r="822" spans="1:26" ht="18.75">
      <c r="A822" s="735"/>
      <c r="B822" s="754"/>
      <c r="C822" s="754"/>
      <c r="D822" s="568"/>
      <c r="E822" s="754"/>
      <c r="F822" s="754"/>
      <c r="G822" s="189"/>
      <c r="H822" s="616" t="s">
        <v>35</v>
      </c>
      <c r="I822" s="269">
        <f ca="1">IFERROR(__xludf.DUMMYFUNCTION("IMPORTRANGE(""https://docs.google.com/spreadsheets/d/19vJNZY_5yjcGF2XGBMNZRCAIB0Kwfpjp8YEOfu-bneM/edit?usp=sharing"",""งานกองทุน!C57"")"),246)</f>
        <v>246</v>
      </c>
      <c r="J822" s="269">
        <f ca="1">IFERROR(__xludf.DUMMYFUNCTION("IMPORTRANGE(""https://docs.google.com/spreadsheets/d/19vJNZY_5yjcGF2XGBMNZRCAIB0Kwfpjp8YEOfu-bneM/edit?usp=sharing"",""งานกองทุน!E57"")"),6)</f>
        <v>6</v>
      </c>
      <c r="K822" s="496">
        <f t="shared" ca="1" si="335"/>
        <v>2.4390243902439024</v>
      </c>
      <c r="L822" s="496"/>
      <c r="M822" s="496"/>
      <c r="N822" s="496"/>
      <c r="O822" s="496"/>
      <c r="P822" s="496"/>
      <c r="Q822" s="571"/>
      <c r="R822" s="571"/>
      <c r="S822" s="571"/>
      <c r="T822" s="571"/>
      <c r="U822" s="571"/>
      <c r="V822" s="571"/>
      <c r="W822" s="571"/>
      <c r="X822" s="571"/>
      <c r="Y822" s="571"/>
      <c r="Z822" s="571"/>
    </row>
    <row r="823" spans="1:26" ht="18.75">
      <c r="A823" s="735"/>
      <c r="B823" s="754" t="s">
        <v>326</v>
      </c>
      <c r="C823" s="754"/>
      <c r="D823" s="568"/>
      <c r="E823" s="754"/>
      <c r="F823" s="754"/>
      <c r="G823" s="189"/>
      <c r="H823" s="616" t="s">
        <v>12</v>
      </c>
      <c r="I823" s="269">
        <f ca="1">IFERROR(__xludf.DUMMYFUNCTION("IMPORTRANGE(""https://docs.google.com/spreadsheets/d/19vJNZY_5yjcGF2XGBMNZRCAIB0Kwfpjp8YEOfu-bneM/edit?usp=sharing"",""งานกองทุน!I57"")"),5035991.12)</f>
        <v>5035991.12</v>
      </c>
      <c r="J823" s="269">
        <f ca="1">IFERROR(__xludf.DUMMYFUNCTION("IMPORTRANGE(""https://docs.google.com/spreadsheets/d/19vJNZY_5yjcGF2XGBMNZRCAIB0Kwfpjp8YEOfu-bneM/edit?usp=sharing"",""งานกองทุน!K57"")"),69759.35)</f>
        <v>69759.350000000006</v>
      </c>
      <c r="K823" s="496">
        <f t="shared" ca="1" si="335"/>
        <v>1.3852159056229632</v>
      </c>
      <c r="L823" s="496"/>
      <c r="M823" s="496"/>
      <c r="N823" s="496"/>
      <c r="O823" s="496"/>
      <c r="P823" s="496"/>
      <c r="Q823" s="571"/>
      <c r="R823" s="571"/>
      <c r="S823" s="571"/>
      <c r="T823" s="571"/>
      <c r="U823" s="571"/>
      <c r="V823" s="571"/>
      <c r="W823" s="571"/>
      <c r="X823" s="571"/>
      <c r="Y823" s="571"/>
      <c r="Z823" s="571"/>
    </row>
    <row r="824" spans="1:26" ht="18.75">
      <c r="A824" s="735"/>
      <c r="B824" s="754"/>
      <c r="C824" s="754"/>
      <c r="D824" s="568"/>
      <c r="E824" s="754"/>
      <c r="F824" s="754"/>
      <c r="G824" s="189"/>
      <c r="H824" s="616" t="s">
        <v>35</v>
      </c>
      <c r="I824" s="269">
        <f ca="1">IFERROR(__xludf.DUMMYFUNCTION("IMPORTRANGE(""https://docs.google.com/spreadsheets/d/19vJNZY_5yjcGF2XGBMNZRCAIB0Kwfpjp8YEOfu-bneM/edit?usp=sharing"",""งานกองทุน!H57"")"),234)</f>
        <v>234</v>
      </c>
      <c r="J824" s="269">
        <f ca="1">IFERROR(__xludf.DUMMYFUNCTION("IMPORTRANGE(""https://docs.google.com/spreadsheets/d/19vJNZY_5yjcGF2XGBMNZRCAIB0Kwfpjp8YEOfu-bneM/edit?usp=sharing"",""งานกองทุน!J57"")"),21)</f>
        <v>21</v>
      </c>
      <c r="K824" s="496">
        <f t="shared" ca="1" si="335"/>
        <v>8.9743589743589745</v>
      </c>
      <c r="L824" s="496"/>
      <c r="M824" s="496"/>
      <c r="N824" s="496"/>
      <c r="O824" s="496"/>
      <c r="P824" s="496"/>
      <c r="Q824" s="571"/>
      <c r="R824" s="571"/>
      <c r="S824" s="571"/>
      <c r="T824" s="571"/>
      <c r="U824" s="571"/>
      <c r="V824" s="571"/>
      <c r="W824" s="571"/>
      <c r="X824" s="571"/>
      <c r="Y824" s="571"/>
      <c r="Z824" s="571"/>
    </row>
    <row r="825" spans="1:26" ht="18.75">
      <c r="A825" s="735"/>
      <c r="B825" s="754" t="s">
        <v>327</v>
      </c>
      <c r="C825" s="754"/>
      <c r="D825" s="568"/>
      <c r="E825" s="754"/>
      <c r="F825" s="754"/>
      <c r="G825" s="189"/>
      <c r="H825" s="616" t="s">
        <v>12</v>
      </c>
      <c r="I825" s="269">
        <f ca="1">IFERROR(__xludf.DUMMYFUNCTION("IMPORTRANGE(""https://docs.google.com/spreadsheets/d/19vJNZY_5yjcGF2XGBMNZRCAIB0Kwfpjp8YEOfu-bneM/edit?usp=sharing"",""งานกองทุน!N57"")"),9471531.32)</f>
        <v>9471531.3200000003</v>
      </c>
      <c r="J825" s="269">
        <f ca="1">IFERROR(__xludf.DUMMYFUNCTION("IMPORTRANGE(""https://docs.google.com/spreadsheets/d/19vJNZY_5yjcGF2XGBMNZRCAIB0Kwfpjp8YEOfu-bneM/edit?usp=sharing"",""งานกองทุน!P57"")"),519680.93)</f>
        <v>519680.93</v>
      </c>
      <c r="K825" s="496">
        <f t="shared" ca="1" si="335"/>
        <v>5.4867677933202463</v>
      </c>
      <c r="L825" s="496"/>
      <c r="M825" s="496"/>
      <c r="N825" s="496"/>
      <c r="O825" s="496"/>
      <c r="P825" s="496"/>
      <c r="Q825" s="571"/>
      <c r="R825" s="571"/>
      <c r="S825" s="571"/>
      <c r="T825" s="571"/>
      <c r="U825" s="571"/>
      <c r="V825" s="571"/>
      <c r="W825" s="571"/>
      <c r="X825" s="571"/>
      <c r="Y825" s="571"/>
      <c r="Z825" s="571"/>
    </row>
    <row r="826" spans="1:26" ht="18.75">
      <c r="A826" s="735"/>
      <c r="B826" s="754"/>
      <c r="C826" s="754"/>
      <c r="D826" s="568"/>
      <c r="E826" s="754"/>
      <c r="F826" s="754"/>
      <c r="G826" s="189"/>
      <c r="H826" s="616" t="s">
        <v>35</v>
      </c>
      <c r="I826" s="269">
        <f ca="1">IFERROR(__xludf.DUMMYFUNCTION("IMPORTRANGE(""https://docs.google.com/spreadsheets/d/19vJNZY_5yjcGF2XGBMNZRCAIB0Kwfpjp8YEOfu-bneM/edit?usp=sharing"",""งานกองทุน!M57"")"),205)</f>
        <v>205</v>
      </c>
      <c r="J826" s="269">
        <f ca="1">IFERROR(__xludf.DUMMYFUNCTION("IMPORTRANGE(""https://docs.google.com/spreadsheets/d/19vJNZY_5yjcGF2XGBMNZRCAIB0Kwfpjp8YEOfu-bneM/edit?usp=sharing"",""งานกองทุน!O57"")"),20)</f>
        <v>20</v>
      </c>
      <c r="K826" s="496">
        <f t="shared" ca="1" si="335"/>
        <v>9.7560975609756095</v>
      </c>
      <c r="L826" s="496"/>
      <c r="M826" s="496"/>
      <c r="N826" s="496"/>
      <c r="O826" s="496"/>
      <c r="P826" s="496"/>
      <c r="Q826" s="571"/>
      <c r="R826" s="571"/>
      <c r="S826" s="571"/>
      <c r="T826" s="571"/>
      <c r="U826" s="571"/>
      <c r="V826" s="571"/>
      <c r="W826" s="571"/>
      <c r="X826" s="571"/>
      <c r="Y826" s="571"/>
      <c r="Z826" s="571"/>
    </row>
    <row r="827" spans="1:26" ht="18.75">
      <c r="A827" s="735"/>
      <c r="B827" s="754" t="s">
        <v>328</v>
      </c>
      <c r="C827" s="754"/>
      <c r="D827" s="568"/>
      <c r="E827" s="754"/>
      <c r="F827" s="754"/>
      <c r="G827" s="189"/>
      <c r="H827" s="616" t="s">
        <v>12</v>
      </c>
      <c r="I827" s="269">
        <f ca="1">IFERROR(__xludf.DUMMYFUNCTION("IMPORTRANGE(""https://docs.google.com/spreadsheets/d/19vJNZY_5yjcGF2XGBMNZRCAIB0Kwfpjp8YEOfu-bneM/edit?usp=sharing"",""งานกองทุน!S57"")"),3350000)</f>
        <v>3350000</v>
      </c>
      <c r="J827" s="269">
        <f ca="1">IFERROR(__xludf.DUMMYFUNCTION("IMPORTRANGE(""https://docs.google.com/spreadsheets/d/19vJNZY_5yjcGF2XGBMNZRCAIB0Kwfpjp8YEOfu-bneM/edit?usp=sharing"",""งานกองทุน!U57"")"),200000)</f>
        <v>200000</v>
      </c>
      <c r="K827" s="496">
        <f t="shared" ca="1" si="335"/>
        <v>5.9701492537313436</v>
      </c>
      <c r="L827" s="496"/>
      <c r="M827" s="496"/>
      <c r="N827" s="496"/>
      <c r="O827" s="496"/>
      <c r="P827" s="496"/>
      <c r="Q827" s="571"/>
      <c r="R827" s="571"/>
      <c r="S827" s="571"/>
      <c r="T827" s="571"/>
      <c r="U827" s="571"/>
      <c r="V827" s="571"/>
      <c r="W827" s="571"/>
      <c r="X827" s="571"/>
      <c r="Y827" s="571"/>
      <c r="Z827" s="571"/>
    </row>
    <row r="828" spans="1:26" ht="18.75">
      <c r="A828" s="738"/>
      <c r="B828" s="740"/>
      <c r="C828" s="740"/>
      <c r="D828" s="739"/>
      <c r="E828" s="740"/>
      <c r="F828" s="740"/>
      <c r="G828" s="818"/>
      <c r="H828" s="819" t="s">
        <v>35</v>
      </c>
      <c r="I828" s="499">
        <f ca="1">IFERROR(__xludf.DUMMYFUNCTION("IMPORTRANGE(""https://docs.google.com/spreadsheets/d/19vJNZY_5yjcGF2XGBMNZRCAIB0Kwfpjp8YEOfu-bneM/edit?usp=sharing"",""งานกองทุน!R57"")"),134)</f>
        <v>134</v>
      </c>
      <c r="J828" s="499">
        <f ca="1">IFERROR(__xludf.DUMMYFUNCTION("IMPORTRANGE(""https://docs.google.com/spreadsheets/d/19vJNZY_5yjcGF2XGBMNZRCAIB0Kwfpjp8YEOfu-bneM/edit?usp=sharing"",""งานกองทุน!T57"")"),4)</f>
        <v>4</v>
      </c>
      <c r="K828" s="500">
        <f t="shared" ca="1" si="335"/>
        <v>2.9850746268656718</v>
      </c>
      <c r="L828" s="500"/>
      <c r="M828" s="500"/>
      <c r="N828" s="500"/>
      <c r="O828" s="500"/>
      <c r="P828" s="500"/>
      <c r="Q828" s="571"/>
      <c r="R828" s="571"/>
      <c r="S828" s="571"/>
      <c r="T828" s="571"/>
      <c r="U828" s="571"/>
      <c r="V828" s="571"/>
      <c r="W828" s="571"/>
      <c r="X828" s="571"/>
      <c r="Y828" s="571"/>
      <c r="Z828" s="571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544:F544"/>
    <mergeCell ref="A7:G7"/>
    <mergeCell ref="A17:G17"/>
    <mergeCell ref="A27:G27"/>
    <mergeCell ref="B40:G40"/>
    <mergeCell ref="A50:G50"/>
    <mergeCell ref="B51:G51"/>
    <mergeCell ref="D419:F419"/>
    <mergeCell ref="D444:F444"/>
    <mergeCell ref="D467:F467"/>
    <mergeCell ref="D502:F502"/>
    <mergeCell ref="D523:F523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 gridLines="1"/>
  <pageMargins left="0.23622047244094491" right="0.23622047244094491" top="0.74803149606299213" bottom="0.74803149606299213" header="0" footer="0"/>
  <pageSetup paperSize="9" scale="42" fitToHeight="0" pageOrder="overThenDown" orientation="portrait" cellComments="atEnd" r:id="rId1"/>
  <headerFooter>
    <oddFooter>&amp;Cหน้า &amp;P/&amp;N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BFCD25-06A5-4DC8-A9F4-7AFFB028D32E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activeCell="A2" sqref="A2:P2"/>
      <selection pane="bottomLeft" activeCell="A2" sqref="A2:P2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9" width="16.85546875" bestFit="1" customWidth="1"/>
    <col min="10" max="10" width="14.42578125" bestFit="1" customWidth="1"/>
    <col min="11" max="11" width="12.5703125" customWidth="1"/>
    <col min="12" max="14" width="21.28515625" bestFit="1" customWidth="1"/>
    <col min="15" max="16" width="17.5703125" customWidth="1"/>
  </cols>
  <sheetData>
    <row r="1" spans="1:26" ht="19.5">
      <c r="A1" s="844" t="s">
        <v>0</v>
      </c>
      <c r="B1" s="845"/>
      <c r="C1" s="845"/>
      <c r="D1" s="845"/>
      <c r="E1" s="845"/>
      <c r="F1" s="845"/>
      <c r="G1" s="845"/>
      <c r="H1" s="845"/>
      <c r="I1" s="845"/>
      <c r="J1" s="845"/>
      <c r="K1" s="845"/>
      <c r="L1" s="845"/>
      <c r="M1" s="845"/>
      <c r="N1" s="845"/>
      <c r="O1" s="845"/>
      <c r="P1" s="845"/>
    </row>
    <row r="2" spans="1:26" ht="19.5">
      <c r="A2" s="844" t="s">
        <v>339</v>
      </c>
      <c r="B2" s="845"/>
      <c r="C2" s="845"/>
      <c r="D2" s="845"/>
      <c r="E2" s="845"/>
      <c r="F2" s="845"/>
      <c r="G2" s="845"/>
      <c r="H2" s="845"/>
      <c r="I2" s="845"/>
      <c r="J2" s="845"/>
      <c r="K2" s="845"/>
      <c r="L2" s="845"/>
      <c r="M2" s="845"/>
      <c r="N2" s="845"/>
      <c r="O2" s="845"/>
      <c r="P2" s="845"/>
    </row>
    <row r="3" spans="1:26" ht="19.5">
      <c r="A3" s="844" t="s">
        <v>347</v>
      </c>
      <c r="B3" s="845"/>
      <c r="C3" s="845"/>
      <c r="D3" s="845"/>
      <c r="E3" s="845"/>
      <c r="F3" s="845"/>
      <c r="G3" s="845"/>
      <c r="H3" s="845"/>
      <c r="I3" s="845"/>
      <c r="J3" s="845"/>
      <c r="K3" s="845"/>
      <c r="L3" s="845"/>
      <c r="M3" s="845"/>
      <c r="N3" s="845"/>
      <c r="O3" s="845"/>
      <c r="P3" s="845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52" t="s">
        <v>2</v>
      </c>
      <c r="B5" s="845"/>
      <c r="C5" s="845"/>
      <c r="D5" s="845"/>
      <c r="E5" s="845"/>
      <c r="F5" s="845"/>
      <c r="G5" s="853"/>
      <c r="H5" s="846" t="s">
        <v>3</v>
      </c>
      <c r="I5" s="848" t="s">
        <v>4</v>
      </c>
      <c r="J5" s="849"/>
      <c r="K5" s="847"/>
      <c r="L5" s="850" t="s">
        <v>5</v>
      </c>
      <c r="M5" s="847"/>
      <c r="N5" s="851" t="s">
        <v>6</v>
      </c>
      <c r="O5" s="849"/>
      <c r="P5" s="847"/>
    </row>
    <row r="6" spans="1:26" ht="19.5">
      <c r="A6" s="854"/>
      <c r="B6" s="849"/>
      <c r="C6" s="849"/>
      <c r="D6" s="849"/>
      <c r="E6" s="849"/>
      <c r="F6" s="849"/>
      <c r="G6" s="847"/>
      <c r="H6" s="847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55" t="s">
        <v>15</v>
      </c>
      <c r="B7" s="849"/>
      <c r="C7" s="849"/>
      <c r="D7" s="849"/>
      <c r="E7" s="849"/>
      <c r="F7" s="849"/>
      <c r="G7" s="847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3729693</v>
      </c>
      <c r="M8" s="22">
        <f t="shared" ca="1" si="0"/>
        <v>1875880</v>
      </c>
      <c r="N8" s="22">
        <f t="shared" ca="1" si="0"/>
        <v>1410436.82</v>
      </c>
      <c r="O8" s="22">
        <f t="shared" ref="O8:O16" ca="1" si="1">IF(L8&gt;0,N8*100/L8,0)</f>
        <v>37.816432076312985</v>
      </c>
      <c r="P8" s="22">
        <f t="shared" ref="P8:P16" ca="1" si="2">IF(M8&gt;0,N8*100/M8,0)</f>
        <v>75.188008827856791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3729693</v>
      </c>
      <c r="M10" s="30">
        <f t="shared" ca="1" si="3"/>
        <v>1875880</v>
      </c>
      <c r="N10" s="30">
        <f t="shared" ca="1" si="3"/>
        <v>1410436.82</v>
      </c>
      <c r="O10" s="30">
        <f t="shared" ca="1" si="1"/>
        <v>37.816432076312985</v>
      </c>
      <c r="P10" s="30">
        <f t="shared" ca="1" si="2"/>
        <v>75.188008827856791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16" t="s">
        <v>12</v>
      </c>
      <c r="I11" s="269"/>
      <c r="J11" s="269"/>
      <c r="K11" s="496"/>
      <c r="L11" s="496">
        <f t="shared" ref="L11:N11" ca="1" si="4">L12+L13</f>
        <v>2928693</v>
      </c>
      <c r="M11" s="496">
        <f t="shared" ca="1" si="4"/>
        <v>1131380</v>
      </c>
      <c r="N11" s="496">
        <f t="shared" ca="1" si="4"/>
        <v>665936.82000000007</v>
      </c>
      <c r="O11" s="496">
        <f t="shared" ca="1" si="1"/>
        <v>22.73836212945502</v>
      </c>
      <c r="P11" s="496">
        <f t="shared" ca="1" si="2"/>
        <v>58.860579115770129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2" t="s">
        <v>18</v>
      </c>
      <c r="F12" s="40"/>
      <c r="G12" s="42"/>
      <c r="H12" s="43" t="s">
        <v>12</v>
      </c>
      <c r="I12" s="610"/>
      <c r="J12" s="610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2" t="s">
        <v>19</v>
      </c>
      <c r="F13" s="40"/>
      <c r="G13" s="42"/>
      <c r="H13" s="43" t="s">
        <v>12</v>
      </c>
      <c r="I13" s="610"/>
      <c r="J13" s="610"/>
      <c r="K13" s="93"/>
      <c r="L13" s="93">
        <f t="shared" ca="1" si="5"/>
        <v>2928693</v>
      </c>
      <c r="M13" s="93">
        <f t="shared" ca="1" si="5"/>
        <v>1131380</v>
      </c>
      <c r="N13" s="93">
        <f t="shared" ca="1" si="5"/>
        <v>665936.82000000007</v>
      </c>
      <c r="O13" s="93">
        <f t="shared" ca="1" si="1"/>
        <v>22.73836212945502</v>
      </c>
      <c r="P13" s="93">
        <f t="shared" ca="1" si="2"/>
        <v>58.860579115770129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16" t="s">
        <v>12</v>
      </c>
      <c r="I14" s="269"/>
      <c r="J14" s="269"/>
      <c r="K14" s="496"/>
      <c r="L14" s="496">
        <f t="shared" ref="L14:N14" ca="1" si="6">L15+L16</f>
        <v>801000</v>
      </c>
      <c r="M14" s="496">
        <f t="shared" ca="1" si="6"/>
        <v>744500</v>
      </c>
      <c r="N14" s="496">
        <f t="shared" ca="1" si="6"/>
        <v>744500</v>
      </c>
      <c r="O14" s="496">
        <f t="shared" ca="1" si="1"/>
        <v>92.946317103620473</v>
      </c>
      <c r="P14" s="496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2" t="s">
        <v>18</v>
      </c>
      <c r="F15" s="40"/>
      <c r="G15" s="42"/>
      <c r="H15" s="43" t="s">
        <v>12</v>
      </c>
      <c r="I15" s="610"/>
      <c r="J15" s="610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801000</v>
      </c>
      <c r="M16" s="52">
        <f t="shared" ca="1" si="7"/>
        <v>744500</v>
      </c>
      <c r="N16" s="52">
        <f t="shared" ca="1" si="7"/>
        <v>744500</v>
      </c>
      <c r="O16" s="52">
        <f t="shared" ca="1" si="1"/>
        <v>92.946317103620473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55" t="s">
        <v>22</v>
      </c>
      <c r="B17" s="849"/>
      <c r="C17" s="849"/>
      <c r="D17" s="849"/>
      <c r="E17" s="849"/>
      <c r="F17" s="849"/>
      <c r="G17" s="847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2890420</v>
      </c>
      <c r="M18" s="22">
        <f t="shared" ca="1" si="8"/>
        <v>1875880</v>
      </c>
      <c r="N18" s="22">
        <f t="shared" ca="1" si="8"/>
        <v>1357438.82</v>
      </c>
      <c r="O18" s="22">
        <f t="shared" ref="O18:O26" ca="1" si="9">IF(L18&gt;0,N18*100/L18,0)</f>
        <v>46.963376256737774</v>
      </c>
      <c r="P18" s="22">
        <f t="shared" ref="P18:P26" ca="1" si="10">IF(M18&gt;0,N18*100/M18,0)</f>
        <v>72.362774804358494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2890420</v>
      </c>
      <c r="M20" s="30">
        <f t="shared" ca="1" si="11"/>
        <v>1875880</v>
      </c>
      <c r="N20" s="30">
        <f t="shared" ca="1" si="11"/>
        <v>1357438.82</v>
      </c>
      <c r="O20" s="30">
        <f t="shared" ca="1" si="9"/>
        <v>46.963376256737774</v>
      </c>
      <c r="P20" s="30">
        <f t="shared" ca="1" si="10"/>
        <v>72.362774804358494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16" t="s">
        <v>12</v>
      </c>
      <c r="I21" s="269"/>
      <c r="J21" s="269"/>
      <c r="K21" s="496"/>
      <c r="L21" s="496">
        <f t="shared" ref="L21:N21" ca="1" si="12">L22+L23</f>
        <v>2089420</v>
      </c>
      <c r="M21" s="496">
        <f t="shared" ca="1" si="12"/>
        <v>1131380</v>
      </c>
      <c r="N21" s="496">
        <f t="shared" ca="1" si="12"/>
        <v>612938.82000000007</v>
      </c>
      <c r="O21" s="496">
        <f t="shared" ca="1" si="9"/>
        <v>29.335357180461568</v>
      </c>
      <c r="P21" s="496">
        <f t="shared" ca="1" si="10"/>
        <v>54.176211352507565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2" t="s">
        <v>18</v>
      </c>
      <c r="F22" s="40"/>
      <c r="G22" s="42"/>
      <c r="H22" s="43" t="s">
        <v>12</v>
      </c>
      <c r="I22" s="610"/>
      <c r="J22" s="610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2" t="s">
        <v>19</v>
      </c>
      <c r="F23" s="40"/>
      <c r="G23" s="42"/>
      <c r="H23" s="43" t="s">
        <v>12</v>
      </c>
      <c r="I23" s="610"/>
      <c r="J23" s="610"/>
      <c r="K23" s="93"/>
      <c r="L23" s="93">
        <f t="shared" ca="1" si="13"/>
        <v>2089420</v>
      </c>
      <c r="M23" s="93">
        <f t="shared" ca="1" si="13"/>
        <v>1131380</v>
      </c>
      <c r="N23" s="93">
        <f t="shared" ca="1" si="13"/>
        <v>612938.82000000007</v>
      </c>
      <c r="O23" s="93">
        <f t="shared" ca="1" si="9"/>
        <v>29.335357180461568</v>
      </c>
      <c r="P23" s="93">
        <f t="shared" ca="1" si="10"/>
        <v>54.176211352507565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16" t="s">
        <v>12</v>
      </c>
      <c r="I24" s="269"/>
      <c r="J24" s="269"/>
      <c r="K24" s="496"/>
      <c r="L24" s="496">
        <f t="shared" ref="L24:N24" ca="1" si="14">L25+L26</f>
        <v>801000</v>
      </c>
      <c r="M24" s="496">
        <f t="shared" ca="1" si="14"/>
        <v>744500</v>
      </c>
      <c r="N24" s="496">
        <f t="shared" ca="1" si="14"/>
        <v>744500</v>
      </c>
      <c r="O24" s="496">
        <f t="shared" ca="1" si="9"/>
        <v>92.946317103620473</v>
      </c>
      <c r="P24" s="496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2" t="s">
        <v>18</v>
      </c>
      <c r="F25" s="40"/>
      <c r="G25" s="42"/>
      <c r="H25" s="43" t="s">
        <v>12</v>
      </c>
      <c r="I25" s="610"/>
      <c r="J25" s="610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801000</v>
      </c>
      <c r="M26" s="52">
        <f t="shared" ca="1" si="15"/>
        <v>744500</v>
      </c>
      <c r="N26" s="52">
        <f t="shared" ca="1" si="15"/>
        <v>744500</v>
      </c>
      <c r="O26" s="52">
        <f t="shared" ca="1" si="9"/>
        <v>92.946317103620473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55" t="s">
        <v>23</v>
      </c>
      <c r="B27" s="849"/>
      <c r="C27" s="849"/>
      <c r="D27" s="849"/>
      <c r="E27" s="849"/>
      <c r="F27" s="849"/>
      <c r="G27" s="847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839273</v>
      </c>
      <c r="M28" s="22">
        <f t="shared" si="16"/>
        <v>0</v>
      </c>
      <c r="N28" s="22">
        <f t="shared" si="16"/>
        <v>52998</v>
      </c>
      <c r="O28" s="22">
        <f t="shared" ref="O28:O37" ca="1" si="17">IF(L28&gt;0,N28*100/L28,0)</f>
        <v>6.3147509809084763</v>
      </c>
      <c r="P28" s="22">
        <f t="shared" ref="P28:P37" si="18">IF(M28&gt;0,N28*100/M28,0)</f>
        <v>0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839273</v>
      </c>
      <c r="M30" s="30">
        <f t="shared" si="19"/>
        <v>0</v>
      </c>
      <c r="N30" s="30">
        <f t="shared" si="19"/>
        <v>52998</v>
      </c>
      <c r="O30" s="30">
        <f t="shared" ca="1" si="17"/>
        <v>6.3147509809084763</v>
      </c>
      <c r="P30" s="30">
        <f t="shared" si="18"/>
        <v>0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16" t="s">
        <v>12</v>
      </c>
      <c r="I31" s="269"/>
      <c r="J31" s="269"/>
      <c r="K31" s="496"/>
      <c r="L31" s="496">
        <f t="shared" ref="L31:N31" ca="1" si="20">L32+L33</f>
        <v>839273</v>
      </c>
      <c r="M31" s="496">
        <f t="shared" si="20"/>
        <v>0</v>
      </c>
      <c r="N31" s="496">
        <f t="shared" si="20"/>
        <v>52998</v>
      </c>
      <c r="O31" s="496">
        <f t="shared" ca="1" si="17"/>
        <v>6.3147509809084763</v>
      </c>
      <c r="P31" s="496">
        <f t="shared" si="18"/>
        <v>0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2" t="s">
        <v>18</v>
      </c>
      <c r="F32" s="40"/>
      <c r="G32" s="42"/>
      <c r="H32" s="43" t="s">
        <v>12</v>
      </c>
      <c r="I32" s="610"/>
      <c r="J32" s="610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2" t="s">
        <v>19</v>
      </c>
      <c r="F33" s="40"/>
      <c r="G33" s="42"/>
      <c r="H33" s="43" t="s">
        <v>12</v>
      </c>
      <c r="I33" s="610"/>
      <c r="J33" s="610"/>
      <c r="K33" s="93"/>
      <c r="L33" s="93">
        <f t="shared" ca="1" si="21"/>
        <v>839273</v>
      </c>
      <c r="M33" s="93">
        <f t="shared" si="21"/>
        <v>0</v>
      </c>
      <c r="N33" s="93">
        <f t="shared" si="21"/>
        <v>52998</v>
      </c>
      <c r="O33" s="93">
        <f t="shared" ca="1" si="17"/>
        <v>6.3147509809084763</v>
      </c>
      <c r="P33" s="93">
        <f t="shared" si="18"/>
        <v>0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16" t="s">
        <v>12</v>
      </c>
      <c r="I34" s="269"/>
      <c r="J34" s="269"/>
      <c r="K34" s="496"/>
      <c r="L34" s="496">
        <f t="shared" ref="L34:N34" ca="1" si="22">L35+L36</f>
        <v>0</v>
      </c>
      <c r="M34" s="496">
        <f t="shared" si="22"/>
        <v>0</v>
      </c>
      <c r="N34" s="496">
        <f t="shared" si="22"/>
        <v>0</v>
      </c>
      <c r="O34" s="496">
        <f t="shared" ca="1" si="17"/>
        <v>0</v>
      </c>
      <c r="P34" s="496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2" t="s">
        <v>18</v>
      </c>
      <c r="F35" s="40"/>
      <c r="G35" s="42"/>
      <c r="H35" s="43" t="s">
        <v>12</v>
      </c>
      <c r="I35" s="610"/>
      <c r="J35" s="610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53" t="s">
        <v>24</v>
      </c>
      <c r="B37" s="54"/>
      <c r="C37" s="54"/>
      <c r="D37" s="54"/>
      <c r="E37" s="54"/>
      <c r="F37" s="54"/>
      <c r="G37" s="55"/>
      <c r="H37" s="56"/>
      <c r="I37" s="423"/>
      <c r="J37" s="423"/>
      <c r="K37" s="58"/>
      <c r="L37" s="59">
        <f t="shared" ref="L37:N37" ca="1" si="24">L41+L53+L66+L88+L119+L132+L149+L165+L181+L261+L277+L298+L315+L328+L345+L389+L402</f>
        <v>2890420</v>
      </c>
      <c r="M37" s="59">
        <f t="shared" ca="1" si="24"/>
        <v>1875880</v>
      </c>
      <c r="N37" s="59">
        <f t="shared" ca="1" si="24"/>
        <v>1357438.82</v>
      </c>
      <c r="O37" s="59">
        <f t="shared" ca="1" si="17"/>
        <v>46.963376256737774</v>
      </c>
      <c r="P37" s="59">
        <f t="shared" ca="1" si="18"/>
        <v>72.362774804358494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56" t="s">
        <v>27</v>
      </c>
      <c r="C40" s="857"/>
      <c r="D40" s="857"/>
      <c r="E40" s="857"/>
      <c r="F40" s="857"/>
      <c r="G40" s="858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20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278050</v>
      </c>
      <c r="M41" s="85">
        <f t="shared" ca="1" si="25"/>
        <v>147800</v>
      </c>
      <c r="N41" s="85">
        <f t="shared" ca="1" si="25"/>
        <v>76050</v>
      </c>
      <c r="O41" s="85">
        <f t="shared" ref="O41:O49" ca="1" si="26">IF(L41&gt;0,N41*100/L41,0)</f>
        <v>27.351195828088475</v>
      </c>
      <c r="P41" s="85">
        <f t="shared" ref="P41:P49" ca="1" si="27">IF(M41&gt;0,N41*100/M41,0)</f>
        <v>51.454668470906633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278050</v>
      </c>
      <c r="M43" s="92">
        <f t="shared" ca="1" si="28"/>
        <v>147800</v>
      </c>
      <c r="N43" s="92">
        <f t="shared" ca="1" si="28"/>
        <v>76050</v>
      </c>
      <c r="O43" s="92">
        <f t="shared" ca="1" si="26"/>
        <v>27.351195828088475</v>
      </c>
      <c r="P43" s="92">
        <f t="shared" ca="1" si="27"/>
        <v>51.454668470906633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16" t="s">
        <v>12</v>
      </c>
      <c r="I44" s="269"/>
      <c r="J44" s="269"/>
      <c r="K44" s="496"/>
      <c r="L44" s="496">
        <f t="shared" ref="L44:N44" ca="1" si="29">L45+L46</f>
        <v>278050</v>
      </c>
      <c r="M44" s="496">
        <f t="shared" ca="1" si="29"/>
        <v>147800</v>
      </c>
      <c r="N44" s="496">
        <f t="shared" ca="1" si="29"/>
        <v>76050</v>
      </c>
      <c r="O44" s="496">
        <f t="shared" ca="1" si="26"/>
        <v>27.351195828088475</v>
      </c>
      <c r="P44" s="496">
        <f t="shared" ca="1" si="27"/>
        <v>51.454668470906633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2" t="s">
        <v>18</v>
      </c>
      <c r="F45" s="40"/>
      <c r="G45" s="42"/>
      <c r="H45" s="43" t="s">
        <v>12</v>
      </c>
      <c r="I45" s="610"/>
      <c r="J45" s="610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2" t="s">
        <v>19</v>
      </c>
      <c r="F46" s="40"/>
      <c r="G46" s="42"/>
      <c r="H46" s="43" t="s">
        <v>12</v>
      </c>
      <c r="I46" s="610"/>
      <c r="J46" s="610"/>
      <c r="K46" s="93"/>
      <c r="L46" s="93">
        <f ca="1">IFERROR(__xludf.DUMMYFUNCTION("IMPORTRANGE(""https://docs.google.com/spreadsheets/d/1MeEWN-I1oV_STSDYn1IFDPWt_1FKiwhDph83XaGc0o0/edit?usp=sharing"",""งบพรบ!M58"")"),278050)</f>
        <v>278050</v>
      </c>
      <c r="M46" s="93">
        <f ca="1">IFERROR(__xludf.DUMMYFUNCTION("IMPORTRANGE(""https://docs.google.com/spreadsheets/d/1MeEWN-I1oV_STSDYn1IFDPWt_1FKiwhDph83XaGc0o0/edit?usp=sharing"",""งบพรบ!R58"")"),147800)</f>
        <v>147800</v>
      </c>
      <c r="N46" s="93">
        <f ca="1">IFERROR(__xludf.DUMMYFUNCTION("IMPORTRANGE(""https://docs.google.com/spreadsheets/d/1MeEWN-I1oV_STSDYn1IFDPWt_1FKiwhDph83XaGc0o0/edit?usp=sharing"",""งบพรบ!T58"")"),76050)</f>
        <v>76050</v>
      </c>
      <c r="O46" s="93">
        <f t="shared" ca="1" si="26"/>
        <v>27.351195828088475</v>
      </c>
      <c r="P46" s="93">
        <f t="shared" ca="1" si="27"/>
        <v>51.454668470906633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16" t="s">
        <v>12</v>
      </c>
      <c r="I47" s="269"/>
      <c r="J47" s="269"/>
      <c r="K47" s="496"/>
      <c r="L47" s="496">
        <f t="shared" ref="L47:N47" ca="1" si="30">L48+L49</f>
        <v>0</v>
      </c>
      <c r="M47" s="496">
        <f t="shared" ca="1" si="30"/>
        <v>0</v>
      </c>
      <c r="N47" s="496">
        <f t="shared" ca="1" si="30"/>
        <v>0</v>
      </c>
      <c r="O47" s="496">
        <f t="shared" ca="1" si="26"/>
        <v>0</v>
      </c>
      <c r="P47" s="496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2" t="s">
        <v>18</v>
      </c>
      <c r="F48" s="40"/>
      <c r="G48" s="42"/>
      <c r="H48" s="43" t="s">
        <v>12</v>
      </c>
      <c r="I48" s="610"/>
      <c r="J48" s="610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IFERROR(__xludf.DUMMYFUNCTION("IMPORTRANGE(""https://docs.google.com/spreadsheets/d/1MeEWN-I1oV_STSDYn1IFDPWt_1FKiwhDph83XaGc0o0/edit?usp=sharing"",""งบพรบ!P58"")"),0)</f>
        <v>0</v>
      </c>
      <c r="M49" s="52">
        <f ca="1">IFERROR(__xludf.DUMMYFUNCTION("IMPORTRANGE(""https://docs.google.com/spreadsheets/d/1MeEWN-I1oV_STSDYn1IFDPWt_1FKiwhDph83XaGc0o0/edit?usp=sharing"",""งบพรบ!S58"")"),0)</f>
        <v>0</v>
      </c>
      <c r="N49" s="52">
        <f ca="1">IFERROR(__xludf.DUMMYFUNCTION("IMPORTRANGE(""https://docs.google.com/spreadsheets/d/1MeEWN-I1oV_STSDYn1IFDPWt_1FKiwhDph83XaGc0o0/edit?usp=sharing"",""งบพรบ!U58"")"),0)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59" t="s">
        <v>28</v>
      </c>
      <c r="B50" s="849"/>
      <c r="C50" s="849"/>
      <c r="D50" s="849"/>
      <c r="E50" s="849"/>
      <c r="F50" s="849"/>
      <c r="G50" s="847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60" t="s">
        <v>29</v>
      </c>
      <c r="C51" s="857"/>
      <c r="D51" s="857"/>
      <c r="E51" s="857"/>
      <c r="F51" s="857"/>
      <c r="G51" s="858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21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1417900</v>
      </c>
      <c r="M53" s="116">
        <f t="shared" ca="1" si="31"/>
        <v>1046450</v>
      </c>
      <c r="N53" s="116">
        <f t="shared" ca="1" si="31"/>
        <v>957574.82000000007</v>
      </c>
      <c r="O53" s="116">
        <f t="shared" ref="O53:O61" ca="1" si="32">IF(L53&gt;0,N53*100/L53,0)</f>
        <v>67.534721771634111</v>
      </c>
      <c r="P53" s="116">
        <f t="shared" ref="P53:P61" ca="1" si="33">IF(M53&gt;0,N53*100/M53,0)</f>
        <v>91.506982655645274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1417900</v>
      </c>
      <c r="M55" s="123">
        <f t="shared" ca="1" si="34"/>
        <v>1046450</v>
      </c>
      <c r="N55" s="123">
        <f t="shared" ca="1" si="34"/>
        <v>957574.82000000007</v>
      </c>
      <c r="O55" s="123">
        <f t="shared" ca="1" si="32"/>
        <v>67.534721771634111</v>
      </c>
      <c r="P55" s="123">
        <f t="shared" ca="1" si="33"/>
        <v>91.506982655645274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16" t="s">
        <v>12</v>
      </c>
      <c r="I56" s="269"/>
      <c r="J56" s="269"/>
      <c r="K56" s="496"/>
      <c r="L56" s="496">
        <f t="shared" ref="L56:N56" ca="1" si="35">L57+L58</f>
        <v>632900</v>
      </c>
      <c r="M56" s="496">
        <f t="shared" ca="1" si="35"/>
        <v>316450</v>
      </c>
      <c r="N56" s="496">
        <f t="shared" ca="1" si="35"/>
        <v>227574.82</v>
      </c>
      <c r="O56" s="496">
        <f t="shared" ca="1" si="32"/>
        <v>35.957468794438299</v>
      </c>
      <c r="P56" s="496">
        <f t="shared" ca="1" si="33"/>
        <v>71.914937588876597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2" t="s">
        <v>18</v>
      </c>
      <c r="F57" s="40"/>
      <c r="G57" s="42"/>
      <c r="H57" s="43" t="s">
        <v>12</v>
      </c>
      <c r="I57" s="610"/>
      <c r="J57" s="610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2" t="s">
        <v>19</v>
      </c>
      <c r="F58" s="40"/>
      <c r="G58" s="42"/>
      <c r="H58" s="43" t="s">
        <v>12</v>
      </c>
      <c r="I58" s="610"/>
      <c r="J58" s="610"/>
      <c r="K58" s="93"/>
      <c r="L58" s="93">
        <f ca="1">IFERROR(__xludf.DUMMYFUNCTION("IMPORTRANGE(""https://docs.google.com/spreadsheets/d/1MeEWN-I1oV_STSDYn1IFDPWt_1FKiwhDph83XaGc0o0/edit?usp=sharing"",""งบพรบ!W58"")"),632900)</f>
        <v>632900</v>
      </c>
      <c r="M58" s="93">
        <f ca="1">IFERROR(__xludf.DUMMYFUNCTION("IMPORTRANGE(""https://docs.google.com/spreadsheets/d/1MeEWN-I1oV_STSDYn1IFDPWt_1FKiwhDph83XaGc0o0/edit?usp=sharing"",""งบพรบ!AB58"")"),316450)</f>
        <v>316450</v>
      </c>
      <c r="N58" s="93">
        <f ca="1">IFERROR(__xludf.DUMMYFUNCTION("IMPORTRANGE(""https://docs.google.com/spreadsheets/d/1MeEWN-I1oV_STSDYn1IFDPWt_1FKiwhDph83XaGc0o0/edit?usp=sharing"",""งบพรบ!AD58"")"),227574.82)</f>
        <v>227574.82</v>
      </c>
      <c r="O58" s="93">
        <f t="shared" ca="1" si="32"/>
        <v>35.957468794438299</v>
      </c>
      <c r="P58" s="93">
        <f t="shared" ca="1" si="33"/>
        <v>71.914937588876597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16" t="s">
        <v>12</v>
      </c>
      <c r="I59" s="269"/>
      <c r="J59" s="269"/>
      <c r="K59" s="496"/>
      <c r="L59" s="496">
        <f t="shared" ref="L59:N59" ca="1" si="36">L60+L61</f>
        <v>785000</v>
      </c>
      <c r="M59" s="496">
        <f t="shared" ca="1" si="36"/>
        <v>730000</v>
      </c>
      <c r="N59" s="496">
        <f t="shared" ca="1" si="36"/>
        <v>730000</v>
      </c>
      <c r="O59" s="496">
        <f t="shared" ca="1" si="32"/>
        <v>92.99363057324841</v>
      </c>
      <c r="P59" s="496">
        <f t="shared" ca="1" si="33"/>
        <v>100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2" t="s">
        <v>18</v>
      </c>
      <c r="F60" s="40"/>
      <c r="G60" s="42"/>
      <c r="H60" s="43" t="s">
        <v>12</v>
      </c>
      <c r="I60" s="610"/>
      <c r="J60" s="610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IFERROR(__xludf.DUMMYFUNCTION("IMPORTRANGE(""https://docs.google.com/spreadsheets/d/1MeEWN-I1oV_STSDYn1IFDPWt_1FKiwhDph83XaGc0o0/edit?usp=sharing"",""งบพรบ!Z58"")"),785000)</f>
        <v>785000</v>
      </c>
      <c r="M61" s="52">
        <f ca="1">IFERROR(__xludf.DUMMYFUNCTION("IMPORTRANGE(""https://docs.google.com/spreadsheets/d/1MeEWN-I1oV_STSDYn1IFDPWt_1FKiwhDph83XaGc0o0/edit?usp=sharing"",""งบพรบ!AC58"")"),730000)</f>
        <v>730000</v>
      </c>
      <c r="N61" s="52">
        <f ca="1">IFERROR(__xludf.DUMMYFUNCTION("IMPORTRANGE(""https://docs.google.com/spreadsheets/d/1MeEWN-I1oV_STSDYn1IFDPWt_1FKiwhDph83XaGc0o0/edit?usp=sharing"",""งบพรบ!AE58"")"),730000)</f>
        <v>730000</v>
      </c>
      <c r="O61" s="52">
        <f t="shared" ca="1" si="32"/>
        <v>92.99363057324841</v>
      </c>
      <c r="P61" s="52">
        <f t="shared" ca="1" si="33"/>
        <v>100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 hidden="1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 hidden="1">
      <c r="A64" s="138"/>
      <c r="B64" s="208" t="s">
        <v>33</v>
      </c>
      <c r="C64" s="140"/>
      <c r="D64" s="141"/>
      <c r="E64" s="140"/>
      <c r="F64" s="140"/>
      <c r="G64" s="142"/>
      <c r="H64" s="143" t="s">
        <v>34</v>
      </c>
      <c r="I64" s="144">
        <f t="shared" ref="I64:J65" ca="1" si="37">I76</f>
        <v>0</v>
      </c>
      <c r="J64" s="144">
        <f t="shared" si="37"/>
        <v>0</v>
      </c>
      <c r="K64" s="145">
        <f t="shared" ref="K64:K65" ca="1" si="38">IF(I64&gt;0,J64*100/I64,0)</f>
        <v>0</v>
      </c>
      <c r="L64" s="146"/>
      <c r="M64" s="146"/>
      <c r="N64" s="146"/>
      <c r="O64" s="146"/>
      <c r="P64" s="146"/>
    </row>
    <row r="65" spans="1:26" ht="19.5" hidden="1">
      <c r="A65" s="138"/>
      <c r="B65" s="140"/>
      <c r="C65" s="140"/>
      <c r="D65" s="141"/>
      <c r="E65" s="140"/>
      <c r="F65" s="140"/>
      <c r="G65" s="142"/>
      <c r="H65" s="143" t="s">
        <v>35</v>
      </c>
      <c r="I65" s="144">
        <f t="shared" ca="1" si="37"/>
        <v>0</v>
      </c>
      <c r="J65" s="144">
        <f t="shared" si="37"/>
        <v>0</v>
      </c>
      <c r="K65" s="145">
        <f t="shared" ca="1" si="38"/>
        <v>0</v>
      </c>
      <c r="L65" s="146"/>
      <c r="M65" s="146"/>
      <c r="N65" s="146"/>
      <c r="O65" s="146"/>
      <c r="P65" s="146"/>
    </row>
    <row r="66" spans="1:26" ht="19.5" hidden="1">
      <c r="A66" s="147"/>
      <c r="B66" s="148"/>
      <c r="C66" s="149" t="s">
        <v>16</v>
      </c>
      <c r="D66" s="822" t="s">
        <v>17</v>
      </c>
      <c r="E66" s="148"/>
      <c r="F66" s="148"/>
      <c r="G66" s="151"/>
      <c r="H66" s="152" t="s">
        <v>12</v>
      </c>
      <c r="I66" s="419"/>
      <c r="J66" s="419"/>
      <c r="K66" s="154"/>
      <c r="L66" s="155">
        <f t="shared" ref="L66:N66" ca="1" si="39">L67+L68</f>
        <v>0</v>
      </c>
      <c r="M66" s="155">
        <f t="shared" ca="1" si="39"/>
        <v>0</v>
      </c>
      <c r="N66" s="155">
        <f t="shared" ca="1" si="39"/>
        <v>0</v>
      </c>
      <c r="O66" s="155">
        <f t="shared" ref="O66:O74" ca="1" si="40">IF(L66&gt;0,N66*100/L66,0)</f>
        <v>0</v>
      </c>
      <c r="P66" s="155">
        <f t="shared" ref="P66:P74" ca="1" si="41">IF(M66&gt;0,N66*100/M66,0)</f>
        <v>0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2" t="s">
        <v>18</v>
      </c>
      <c r="F67" s="40"/>
      <c r="G67" s="157"/>
      <c r="H67" s="158" t="s">
        <v>12</v>
      </c>
      <c r="I67" s="610"/>
      <c r="J67" s="610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2" t="s">
        <v>19</v>
      </c>
      <c r="F68" s="40"/>
      <c r="G68" s="157"/>
      <c r="H68" s="158" t="s">
        <v>12</v>
      </c>
      <c r="I68" s="610"/>
      <c r="J68" s="610"/>
      <c r="K68" s="93"/>
      <c r="L68" s="93">
        <f t="shared" ca="1" si="42"/>
        <v>0</v>
      </c>
      <c r="M68" s="93">
        <f t="shared" ca="1" si="42"/>
        <v>0</v>
      </c>
      <c r="N68" s="93">
        <f t="shared" ca="1" si="42"/>
        <v>0</v>
      </c>
      <c r="O68" s="93">
        <f t="shared" ca="1" si="40"/>
        <v>0</v>
      </c>
      <c r="P68" s="93">
        <f t="shared" ca="1" si="41"/>
        <v>0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 hidden="1">
      <c r="A69" s="159"/>
      <c r="B69" s="33"/>
      <c r="C69" s="281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6">
        <f t="shared" ref="L69:N69" ca="1" si="43">L70+L71</f>
        <v>0</v>
      </c>
      <c r="M69" s="496">
        <f t="shared" ca="1" si="43"/>
        <v>0</v>
      </c>
      <c r="N69" s="496">
        <f t="shared" ca="1" si="43"/>
        <v>0</v>
      </c>
      <c r="O69" s="496">
        <f t="shared" ca="1" si="40"/>
        <v>0</v>
      </c>
      <c r="P69" s="496">
        <f t="shared" ca="1" si="41"/>
        <v>0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2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2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IFERROR(__xludf.DUMMYFUNCTION("IMPORTRANGE(""https://docs.google.com/spreadsheets/d/1MeEWN-I1oV_STSDYn1IFDPWt_1FKiwhDph83XaGc0o0/edit?usp=sharing"",""งบพรบ!AG58"")"),0)</f>
        <v>0</v>
      </c>
      <c r="M71" s="93">
        <f ca="1">IFERROR(__xludf.DUMMYFUNCTION("IMPORTRANGE(""https://docs.google.com/spreadsheets/d/1MeEWN-I1oV_STSDYn1IFDPWt_1FKiwhDph83XaGc0o0/edit?usp=sharing"",""งบพรบ!AL58"")"),0)</f>
        <v>0</v>
      </c>
      <c r="N71" s="93">
        <f ca="1">IFERROR(__xludf.DUMMYFUNCTION("IMPORTRANGE(""https://docs.google.com/spreadsheets/d/1MeEWN-I1oV_STSDYn1IFDPWt_1FKiwhDph83XaGc0o0/edit?usp=sharing"",""งบพรบ!AN58"")"),0)</f>
        <v>0</v>
      </c>
      <c r="O71" s="93">
        <f t="shared" ca="1" si="40"/>
        <v>0</v>
      </c>
      <c r="P71" s="93">
        <f t="shared" ca="1" si="41"/>
        <v>0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 hidden="1">
      <c r="A72" s="159"/>
      <c r="B72" s="33"/>
      <c r="C72" s="281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6">
        <f t="shared" ref="L72:N72" ca="1" si="44">L73+L74</f>
        <v>0</v>
      </c>
      <c r="M72" s="496">
        <f t="shared" ca="1" si="44"/>
        <v>0</v>
      </c>
      <c r="N72" s="496">
        <f t="shared" ca="1" si="44"/>
        <v>0</v>
      </c>
      <c r="O72" s="496">
        <f t="shared" ca="1" si="40"/>
        <v>0</v>
      </c>
      <c r="P72" s="496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2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2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IFERROR(__xludf.DUMMYFUNCTION("IMPORTRANGE(""https://docs.google.com/spreadsheets/d/1MeEWN-I1oV_STSDYn1IFDPWt_1FKiwhDph83XaGc0o0/edit?usp=sharing"",""งบพรบ!AJ58"")"),0)</f>
        <v>0</v>
      </c>
      <c r="M74" s="93">
        <f ca="1">IFERROR(__xludf.DUMMYFUNCTION("IMPORTRANGE(""https://docs.google.com/spreadsheets/d/1MeEWN-I1oV_STSDYn1IFDPWt_1FKiwhDph83XaGc0o0/edit?usp=sharing"",""งบพรบ!AM58"")"),0)</f>
        <v>0</v>
      </c>
      <c r="N74" s="93">
        <f ca="1">IFERROR(__xludf.DUMMYFUNCTION("IMPORTRANGE(""https://docs.google.com/spreadsheets/d/1MeEWN-I1oV_STSDYn1IFDPWt_1FKiwhDph83XaGc0o0/edit?usp=sharing"",""งบพรบ!AO58"")"),0)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 hidden="1">
      <c r="A75" s="170"/>
      <c r="B75" s="171"/>
      <c r="C75" s="164" t="s">
        <v>16</v>
      </c>
      <c r="D75" s="823" t="s">
        <v>38</v>
      </c>
      <c r="E75" s="173"/>
      <c r="F75" s="173"/>
      <c r="G75" s="174"/>
      <c r="H75" s="753"/>
      <c r="I75" s="184"/>
      <c r="J75" s="184"/>
      <c r="K75" s="163"/>
      <c r="L75" s="163"/>
      <c r="M75" s="163"/>
      <c r="N75" s="163"/>
      <c r="O75" s="163"/>
      <c r="P75" s="163"/>
    </row>
    <row r="76" spans="1:26" ht="19.5" hidden="1">
      <c r="A76" s="170"/>
      <c r="B76" s="171"/>
      <c r="C76" s="171"/>
      <c r="D76" s="176" t="s">
        <v>39</v>
      </c>
      <c r="E76" s="446"/>
      <c r="F76" s="178"/>
      <c r="G76" s="179"/>
      <c r="H76" s="180" t="s">
        <v>34</v>
      </c>
      <c r="I76" s="269">
        <f t="shared" ref="I76:J77" ca="1" si="45">I78+I80+I82</f>
        <v>0</v>
      </c>
      <c r="J76" s="269">
        <f t="shared" si="45"/>
        <v>0</v>
      </c>
      <c r="K76" s="163">
        <f t="shared" ref="K76:K84" ca="1" si="46">IF(I76&gt;0,J76*100/I76,0)</f>
        <v>0</v>
      </c>
      <c r="L76" s="163"/>
      <c r="M76" s="163"/>
      <c r="N76" s="163"/>
      <c r="O76" s="163"/>
      <c r="P76" s="163"/>
    </row>
    <row r="77" spans="1:26" ht="19.5" hidden="1">
      <c r="A77" s="170"/>
      <c r="B77" s="171"/>
      <c r="C77" s="171"/>
      <c r="D77" s="171"/>
      <c r="E77" s="178"/>
      <c r="F77" s="178"/>
      <c r="G77" s="179"/>
      <c r="H77" s="180" t="s">
        <v>35</v>
      </c>
      <c r="I77" s="269">
        <f t="shared" ca="1" si="45"/>
        <v>0</v>
      </c>
      <c r="J77" s="269">
        <f t="shared" si="45"/>
        <v>0</v>
      </c>
      <c r="K77" s="163">
        <f t="shared" ca="1" si="46"/>
        <v>0</v>
      </c>
      <c r="L77" s="163"/>
      <c r="M77" s="163"/>
      <c r="N77" s="163"/>
      <c r="O77" s="163"/>
      <c r="P77" s="163"/>
    </row>
    <row r="78" spans="1:26" ht="18.75" hidden="1">
      <c r="A78" s="170"/>
      <c r="B78" s="171"/>
      <c r="C78" s="171"/>
      <c r="D78" s="171"/>
      <c r="E78" s="446" t="s">
        <v>40</v>
      </c>
      <c r="F78" s="446"/>
      <c r="G78" s="179"/>
      <c r="H78" s="755" t="s">
        <v>34</v>
      </c>
      <c r="I78" s="184">
        <f ca="1">IFERROR(__xludf.DUMMYFUNCTION("IMPORTRANGE(""https://docs.google.com/spreadsheets/d/1QqKyyYR6Q21VydFLVH3TRQUabQu_ym0Zz7PgGX0-kHA/edit?usp=sharing"",""แผน!H58"")"),0)</f>
        <v>0</v>
      </c>
      <c r="J78" s="214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 hidden="1">
      <c r="A79" s="170"/>
      <c r="B79" s="171"/>
      <c r="C79" s="171"/>
      <c r="D79" s="171"/>
      <c r="E79" s="178"/>
      <c r="F79" s="178"/>
      <c r="G79" s="179"/>
      <c r="H79" s="755" t="s">
        <v>35</v>
      </c>
      <c r="I79" s="184">
        <f ca="1">IFERROR(__xludf.DUMMYFUNCTION("IMPORTRANGE(""https://docs.google.com/spreadsheets/d/1QqKyyYR6Q21VydFLVH3TRQUabQu_ym0Zz7PgGX0-kHA/edit?usp=sharing"",""แผน!I58"")"),0)</f>
        <v>0</v>
      </c>
      <c r="J79" s="214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 hidden="1">
      <c r="A80" s="170"/>
      <c r="B80" s="171"/>
      <c r="C80" s="171"/>
      <c r="D80" s="171"/>
      <c r="E80" s="446" t="s">
        <v>41</v>
      </c>
      <c r="F80" s="446"/>
      <c r="G80" s="179"/>
      <c r="H80" s="755" t="s">
        <v>34</v>
      </c>
      <c r="I80" s="184">
        <f ca="1">IFERROR(__xludf.DUMMYFUNCTION("IMPORTRANGE(""https://docs.google.com/spreadsheets/d/1QqKyyYR6Q21VydFLVH3TRQUabQu_ym0Zz7PgGX0-kHA/edit?usp=sharing"",""แผน!F58"")"),0)</f>
        <v>0</v>
      </c>
      <c r="J80" s="214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 hidden="1">
      <c r="A81" s="170"/>
      <c r="B81" s="171"/>
      <c r="C81" s="171"/>
      <c r="D81" s="171"/>
      <c r="E81" s="178"/>
      <c r="F81" s="178"/>
      <c r="G81" s="179"/>
      <c r="H81" s="755" t="s">
        <v>35</v>
      </c>
      <c r="I81" s="184">
        <f ca="1">IFERROR(__xludf.DUMMYFUNCTION("IMPORTRANGE(""https://docs.google.com/spreadsheets/d/1QqKyyYR6Q21VydFLVH3TRQUabQu_ym0Zz7PgGX0-kHA/edit?usp=sharing"",""แผน!G58"")"),0)</f>
        <v>0</v>
      </c>
      <c r="J81" s="214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 hidden="1">
      <c r="A82" s="170"/>
      <c r="B82" s="171"/>
      <c r="C82" s="171"/>
      <c r="D82" s="171"/>
      <c r="E82" s="446" t="s">
        <v>42</v>
      </c>
      <c r="F82" s="446"/>
      <c r="G82" s="179"/>
      <c r="H82" s="755" t="s">
        <v>34</v>
      </c>
      <c r="I82" s="184">
        <f ca="1">IFERROR(__xludf.DUMMYFUNCTION("IMPORTRANGE(""https://docs.google.com/spreadsheets/d/1QqKyyYR6Q21VydFLVH3TRQUabQu_ym0Zz7PgGX0-kHA/edit?usp=sharing"",""แผน!D58"")"),0)</f>
        <v>0</v>
      </c>
      <c r="J82" s="214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 hidden="1">
      <c r="A83" s="170"/>
      <c r="B83" s="171"/>
      <c r="C83" s="171"/>
      <c r="D83" s="171"/>
      <c r="E83" s="178"/>
      <c r="F83" s="178"/>
      <c r="G83" s="179"/>
      <c r="H83" s="755" t="s">
        <v>35</v>
      </c>
      <c r="I83" s="184">
        <f ca="1">IFERROR(__xludf.DUMMYFUNCTION("IMPORTRANGE(""https://docs.google.com/spreadsheets/d/1QqKyyYR6Q21VydFLVH3TRQUabQu_ym0Zz7PgGX0-kHA/edit?usp=sharing"",""แผน!E58"")"),0)</f>
        <v>0</v>
      </c>
      <c r="J83" s="214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 hidden="1">
      <c r="A84" s="170"/>
      <c r="B84" s="171"/>
      <c r="C84" s="171"/>
      <c r="D84" s="176" t="s">
        <v>43</v>
      </c>
      <c r="E84" s="446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IFERROR(__xludf.DUMMYFUNCTION("IMPORTRANGE(""https://docs.google.com/spreadsheets/d/1QqKyyYR6Q21VydFLVH3TRQUabQu_ym0Zz7PgGX0-kHA/edit?usp=sharing"",""แผน!J58"")"),0)</f>
        <v>0</v>
      </c>
      <c r="J84" s="214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8" t="s">
        <v>45</v>
      </c>
      <c r="C86" s="140"/>
      <c r="D86" s="141"/>
      <c r="E86" s="140"/>
      <c r="F86" s="140"/>
      <c r="G86" s="142"/>
      <c r="H86" s="143" t="s">
        <v>46</v>
      </c>
      <c r="I86" s="144">
        <f t="shared" ref="I86:J87" ca="1" si="47">I98</f>
        <v>30</v>
      </c>
      <c r="J86" s="144">
        <f t="shared" si="47"/>
        <v>0</v>
      </c>
      <c r="K86" s="145">
        <f t="shared" ref="K86:K87" ca="1" si="48">IF(I86&gt;0,J86*100/I86,0)</f>
        <v>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143" t="s">
        <v>35</v>
      </c>
      <c r="I87" s="144">
        <f t="shared" ca="1" si="47"/>
        <v>10</v>
      </c>
      <c r="J87" s="144">
        <f t="shared" si="47"/>
        <v>0</v>
      </c>
      <c r="K87" s="145">
        <f t="shared" ca="1" si="48"/>
        <v>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22" t="s">
        <v>17</v>
      </c>
      <c r="E88" s="148"/>
      <c r="F88" s="148"/>
      <c r="G88" s="151"/>
      <c r="H88" s="152" t="s">
        <v>12</v>
      </c>
      <c r="I88" s="419"/>
      <c r="J88" s="419"/>
      <c r="K88" s="154"/>
      <c r="L88" s="155">
        <f t="shared" ref="L88:N88" ca="1" si="49">L89+L90</f>
        <v>372140</v>
      </c>
      <c r="M88" s="155">
        <f t="shared" ca="1" si="49"/>
        <v>158490</v>
      </c>
      <c r="N88" s="155">
        <f t="shared" ca="1" si="49"/>
        <v>66747</v>
      </c>
      <c r="O88" s="155">
        <f t="shared" ref="O88:O96" ca="1" si="50">IF(L88&gt;0,N88*100/L88,0)</f>
        <v>17.935991831031334</v>
      </c>
      <c r="P88" s="155">
        <f t="shared" ref="P88:P96" ca="1" si="51">IF(M88&gt;0,N88*100/M88,0)</f>
        <v>42.114328979746354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2" t="s">
        <v>18</v>
      </c>
      <c r="F89" s="40"/>
      <c r="G89" s="157"/>
      <c r="H89" s="158" t="s">
        <v>12</v>
      </c>
      <c r="I89" s="610"/>
      <c r="J89" s="610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2" t="s">
        <v>19</v>
      </c>
      <c r="F90" s="40"/>
      <c r="G90" s="157"/>
      <c r="H90" s="158" t="s">
        <v>12</v>
      </c>
      <c r="I90" s="610"/>
      <c r="J90" s="610"/>
      <c r="K90" s="93"/>
      <c r="L90" s="93">
        <f t="shared" ca="1" si="52"/>
        <v>372140</v>
      </c>
      <c r="M90" s="93">
        <f t="shared" ca="1" si="52"/>
        <v>158490</v>
      </c>
      <c r="N90" s="93">
        <f t="shared" ca="1" si="52"/>
        <v>66747</v>
      </c>
      <c r="O90" s="93">
        <f t="shared" ca="1" si="50"/>
        <v>17.935991831031334</v>
      </c>
      <c r="P90" s="93">
        <f t="shared" ca="1" si="51"/>
        <v>42.114328979746354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1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6">
        <f t="shared" ref="L91:N91" ca="1" si="53">L92+L93</f>
        <v>372140</v>
      </c>
      <c r="M91" s="496">
        <f t="shared" ca="1" si="53"/>
        <v>158490</v>
      </c>
      <c r="N91" s="496">
        <f t="shared" ca="1" si="53"/>
        <v>66747</v>
      </c>
      <c r="O91" s="496">
        <f t="shared" ca="1" si="50"/>
        <v>17.935991831031334</v>
      </c>
      <c r="P91" s="496">
        <f t="shared" ca="1" si="51"/>
        <v>42.114328979746354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2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2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IFERROR(__xludf.DUMMYFUNCTION("IMPORTRANGE(""https://docs.google.com/spreadsheets/d/1MeEWN-I1oV_STSDYn1IFDPWt_1FKiwhDph83XaGc0o0/edit?usp=sharing"",""งบพรบ!AQ58"")"),372140)</f>
        <v>372140</v>
      </c>
      <c r="M93" s="93">
        <f ca="1">IFERROR(__xludf.DUMMYFUNCTION("IMPORTRANGE(""https://docs.google.com/spreadsheets/d/1MeEWN-I1oV_STSDYn1IFDPWt_1FKiwhDph83XaGc0o0/edit?usp=sharing"",""งบพรบ!AV58"")"),158490)</f>
        <v>158490</v>
      </c>
      <c r="N93" s="93">
        <f ca="1">IFERROR(__xludf.DUMMYFUNCTION("IMPORTRANGE(""https://docs.google.com/spreadsheets/d/1MeEWN-I1oV_STSDYn1IFDPWt_1FKiwhDph83XaGc0o0/edit?usp=sharing"",""งบพรบ!AX58"")"),66747)</f>
        <v>66747</v>
      </c>
      <c r="O93" s="93">
        <f t="shared" ca="1" si="50"/>
        <v>17.935991831031334</v>
      </c>
      <c r="P93" s="93">
        <f t="shared" ca="1" si="51"/>
        <v>42.114328979746354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1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6">
        <f t="shared" ref="L94:N94" ca="1" si="54">L95+L96</f>
        <v>0</v>
      </c>
      <c r="M94" s="496">
        <f t="shared" ca="1" si="54"/>
        <v>0</v>
      </c>
      <c r="N94" s="496">
        <f t="shared" ca="1" si="54"/>
        <v>0</v>
      </c>
      <c r="O94" s="496">
        <f t="shared" ca="1" si="50"/>
        <v>0</v>
      </c>
      <c r="P94" s="496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2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2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IFERROR(__xludf.DUMMYFUNCTION("IMPORTRANGE(""https://docs.google.com/spreadsheets/d/1MeEWN-I1oV_STSDYn1IFDPWt_1FKiwhDph83XaGc0o0/edit?usp=sharing"",""งบพรบ!AT58"")"),0)</f>
        <v>0</v>
      </c>
      <c r="M96" s="93">
        <f ca="1">IFERROR(__xludf.DUMMYFUNCTION("IMPORTRANGE(""https://docs.google.com/spreadsheets/d/1MeEWN-I1oV_STSDYn1IFDPWt_1FKiwhDph83XaGc0o0/edit?usp=sharing"",""งบพรบ!AW58"")"),0)</f>
        <v>0</v>
      </c>
      <c r="N96" s="93">
        <f ca="1">IFERROR(__xludf.DUMMYFUNCTION("IMPORTRANGE(""https://docs.google.com/spreadsheets/d/1MeEWN-I1oV_STSDYn1IFDPWt_1FKiwhDph83XaGc0o0/edit?usp=sharing"",""งบพรบ!AY58"")"),0)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23" t="s">
        <v>38</v>
      </c>
      <c r="E97" s="173"/>
      <c r="F97" s="173"/>
      <c r="G97" s="174"/>
      <c r="H97" s="753"/>
      <c r="I97" s="184"/>
      <c r="J97" s="269"/>
      <c r="K97" s="496"/>
      <c r="L97" s="496"/>
      <c r="M97" s="496"/>
      <c r="N97" s="496"/>
      <c r="O97" s="163"/>
      <c r="P97" s="163"/>
    </row>
    <row r="98" spans="1:16" ht="18.75">
      <c r="A98" s="170"/>
      <c r="B98" s="171"/>
      <c r="C98" s="171"/>
      <c r="D98" s="446" t="s">
        <v>47</v>
      </c>
      <c r="E98" s="446"/>
      <c r="F98" s="178"/>
      <c r="G98" s="179"/>
      <c r="H98" s="616" t="s">
        <v>46</v>
      </c>
      <c r="I98" s="269">
        <f ca="1">IFERROR(__xludf.DUMMYFUNCTION("IMPORTRANGE(""https://docs.google.com/spreadsheets/d/1QqKyyYR6Q21VydFLVH3TRQUabQu_ym0Zz7PgGX0-kHA/edit?usp=sharing"",""แผน!K58"")"),30)</f>
        <v>30</v>
      </c>
      <c r="J98" s="269">
        <f>J102</f>
        <v>0</v>
      </c>
      <c r="K98" s="496">
        <f t="shared" ref="K98:K100" ca="1" si="55">IF(I98&gt;0,J98*100/I98,0)</f>
        <v>0</v>
      </c>
      <c r="L98" s="496"/>
      <c r="M98" s="496"/>
      <c r="N98" s="496"/>
      <c r="O98" s="163"/>
      <c r="P98" s="163"/>
    </row>
    <row r="99" spans="1:16" ht="18.75">
      <c r="A99" s="170"/>
      <c r="B99" s="171"/>
      <c r="C99" s="171"/>
      <c r="D99" s="446" t="s">
        <v>48</v>
      </c>
      <c r="E99" s="446"/>
      <c r="F99" s="178"/>
      <c r="G99" s="179"/>
      <c r="H99" s="616" t="s">
        <v>35</v>
      </c>
      <c r="I99" s="269">
        <f ca="1">IFERROR(__xludf.DUMMYFUNCTION("IMPORTRANGE(""https://docs.google.com/spreadsheets/d/1QqKyyYR6Q21VydFLVH3TRQUabQu_ym0Zz7PgGX0-kHA/edit?usp=sharing"",""แผน!L58"")"),10)</f>
        <v>10</v>
      </c>
      <c r="J99" s="269">
        <f>J104</f>
        <v>0</v>
      </c>
      <c r="K99" s="496">
        <f t="shared" ca="1" si="55"/>
        <v>0</v>
      </c>
      <c r="L99" s="496"/>
      <c r="M99" s="496"/>
      <c r="N99" s="496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16" t="s">
        <v>49</v>
      </c>
      <c r="I100" s="269">
        <f ca="1">IFERROR(__xludf.DUMMYFUNCTION("IMPORTRANGE(""https://docs.google.com/spreadsheets/d/1QqKyyYR6Q21VydFLVH3TRQUabQu_ym0Zz7PgGX0-kHA/edit?usp=sharing"",""แผน!M58"")"),2)</f>
        <v>2</v>
      </c>
      <c r="J100" s="269">
        <f>J107+J110</f>
        <v>0</v>
      </c>
      <c r="K100" s="496">
        <f t="shared" ca="1" si="55"/>
        <v>0</v>
      </c>
      <c r="L100" s="496"/>
      <c r="M100" s="496"/>
      <c r="N100" s="496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16"/>
      <c r="I101" s="269"/>
      <c r="J101" s="269"/>
      <c r="K101" s="496"/>
      <c r="L101" s="496"/>
      <c r="M101" s="496"/>
      <c r="N101" s="496"/>
      <c r="O101" s="163"/>
      <c r="P101" s="163"/>
    </row>
    <row r="102" spans="1:16" ht="18.75">
      <c r="A102" s="170"/>
      <c r="B102" s="171"/>
      <c r="C102" s="171"/>
      <c r="D102" s="178"/>
      <c r="E102" s="619" t="s">
        <v>47</v>
      </c>
      <c r="F102" s="178"/>
      <c r="G102" s="179"/>
      <c r="H102" s="616" t="s">
        <v>46</v>
      </c>
      <c r="I102" s="269">
        <f ca="1">IFERROR(__xludf.DUMMYFUNCTION("IMPORTRANGE(""https://docs.google.com/spreadsheets/d/1QqKyyYR6Q21VydFLVH3TRQUabQu_ym0Zz7PgGX0-kHA/edit?usp=sharing"",""แผน!N58"")"),30)</f>
        <v>30</v>
      </c>
      <c r="J102" s="214">
        <v>0</v>
      </c>
      <c r="K102" s="496">
        <f t="shared" ref="K102:K104" ca="1" si="56">IF(I102&gt;0,J102*100/I102,0)</f>
        <v>0</v>
      </c>
      <c r="L102" s="496"/>
      <c r="M102" s="496"/>
      <c r="N102" s="496"/>
      <c r="O102" s="163"/>
      <c r="P102" s="163"/>
    </row>
    <row r="103" spans="1:16" ht="19.5">
      <c r="A103" s="170"/>
      <c r="B103" s="171"/>
      <c r="C103" s="171"/>
      <c r="D103" s="178"/>
      <c r="E103" s="446" t="s">
        <v>51</v>
      </c>
      <c r="F103" s="178"/>
      <c r="G103" s="179"/>
      <c r="H103" s="616" t="s">
        <v>35</v>
      </c>
      <c r="I103" s="269">
        <f ca="1">IFERROR(__xludf.DUMMYFUNCTION("IMPORTRANGE(""https://docs.google.com/spreadsheets/d/1QqKyyYR6Q21VydFLVH3TRQUabQu_ym0Zz7PgGX0-kHA/edit?usp=sharing"",""แผน!O58"")"),10)</f>
        <v>10</v>
      </c>
      <c r="J103" s="214">
        <v>0</v>
      </c>
      <c r="K103" s="496">
        <f t="shared" ca="1" si="56"/>
        <v>0</v>
      </c>
      <c r="L103" s="496"/>
      <c r="M103" s="496"/>
      <c r="N103" s="496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16" t="s">
        <v>35</v>
      </c>
      <c r="I104" s="269">
        <f ca="1">IFERROR(__xludf.DUMMYFUNCTION("IMPORTRANGE(""https://docs.google.com/spreadsheets/d/1QqKyyYR6Q21VydFLVH3TRQUabQu_ym0Zz7PgGX0-kHA/edit?usp=sharing"",""แผน!O58"")"),10)</f>
        <v>10</v>
      </c>
      <c r="J104" s="214">
        <v>0</v>
      </c>
      <c r="K104" s="496">
        <f t="shared" ca="1" si="56"/>
        <v>0</v>
      </c>
      <c r="L104" s="496"/>
      <c r="M104" s="496"/>
      <c r="N104" s="496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69"/>
      <c r="J105" s="269"/>
      <c r="K105" s="496"/>
      <c r="L105" s="496"/>
      <c r="M105" s="496"/>
      <c r="N105" s="496"/>
      <c r="O105" s="163"/>
      <c r="P105" s="163"/>
    </row>
    <row r="106" spans="1:16" ht="19.5">
      <c r="A106" s="170"/>
      <c r="B106" s="171"/>
      <c r="C106" s="171"/>
      <c r="D106" s="178"/>
      <c r="E106" s="446" t="s">
        <v>54</v>
      </c>
      <c r="F106" s="178"/>
      <c r="G106" s="179"/>
      <c r="H106" s="616" t="s">
        <v>49</v>
      </c>
      <c r="I106" s="269">
        <f ca="1">IFERROR(__xludf.DUMMYFUNCTION("IMPORTRANGE(""https://docs.google.com/spreadsheets/d/1QqKyyYR6Q21VydFLVH3TRQUabQu_ym0Zz7PgGX0-kHA/edit?usp=sharing"",""แผน!P58"")"),1)</f>
        <v>1</v>
      </c>
      <c r="J106" s="214">
        <v>0</v>
      </c>
      <c r="K106" s="496">
        <f t="shared" ref="K106:K107" ca="1" si="57">IF(I106&gt;0,J106*100/I106,0)</f>
        <v>0</v>
      </c>
      <c r="L106" s="496"/>
      <c r="M106" s="496"/>
      <c r="N106" s="496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16" t="s">
        <v>49</v>
      </c>
      <c r="I107" s="269">
        <f ca="1">IFERROR(__xludf.DUMMYFUNCTION("IMPORTRANGE(""https://docs.google.com/spreadsheets/d/1QqKyyYR6Q21VydFLVH3TRQUabQu_ym0Zz7PgGX0-kHA/edit?usp=sharing"",""แผน!P58"")"),1)</f>
        <v>1</v>
      </c>
      <c r="J107" s="214">
        <v>0</v>
      </c>
      <c r="K107" s="496">
        <f t="shared" ca="1" si="57"/>
        <v>0</v>
      </c>
      <c r="L107" s="496"/>
      <c r="M107" s="496"/>
      <c r="N107" s="496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69"/>
      <c r="J108" s="269"/>
      <c r="K108" s="496"/>
      <c r="L108" s="496"/>
      <c r="M108" s="496"/>
      <c r="N108" s="496"/>
      <c r="O108" s="163"/>
      <c r="P108" s="163"/>
    </row>
    <row r="109" spans="1:16" ht="19.5">
      <c r="A109" s="170"/>
      <c r="B109" s="171"/>
      <c r="C109" s="171"/>
      <c r="D109" s="178"/>
      <c r="E109" s="446" t="s">
        <v>57</v>
      </c>
      <c r="F109" s="178"/>
      <c r="G109" s="179"/>
      <c r="H109" s="616" t="s">
        <v>49</v>
      </c>
      <c r="I109" s="269">
        <f ca="1">IFERROR(__xludf.DUMMYFUNCTION("IMPORTRANGE(""https://docs.google.com/spreadsheets/d/1QqKyyYR6Q21VydFLVH3TRQUabQu_ym0Zz7PgGX0-kHA/edit?usp=sharing"",""แผน!Q58"")"),1)</f>
        <v>1</v>
      </c>
      <c r="J109" s="214">
        <v>0</v>
      </c>
      <c r="K109" s="496">
        <f t="shared" ref="K109:K116" ca="1" si="58">IF(I109&gt;0,J109*100/I109,0)</f>
        <v>0</v>
      </c>
      <c r="L109" s="496"/>
      <c r="M109" s="496"/>
      <c r="N109" s="496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16" t="s">
        <v>49</v>
      </c>
      <c r="I110" s="269">
        <f ca="1">IFERROR(__xludf.DUMMYFUNCTION("IMPORTRANGE(""https://docs.google.com/spreadsheets/d/1QqKyyYR6Q21VydFLVH3TRQUabQu_ym0Zz7PgGX0-kHA/edit?usp=sharing"",""แผน!Q58"")"),1)</f>
        <v>1</v>
      </c>
      <c r="J110" s="214">
        <v>0</v>
      </c>
      <c r="K110" s="496">
        <f t="shared" ca="1" si="58"/>
        <v>0</v>
      </c>
      <c r="L110" s="496"/>
      <c r="M110" s="496"/>
      <c r="N110" s="496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58" t="s">
        <v>35</v>
      </c>
      <c r="I111" s="193">
        <f ca="1">IFERROR(__xludf.DUMMYFUNCTION("IMPORTRANGE(""https://docs.google.com/spreadsheets/d/1QqKyyYR6Q21VydFLVH3TRQUabQu_ym0Zz7PgGX0-kHA/edit?usp=sharing"",""แผน!R58"")"),10)</f>
        <v>10</v>
      </c>
      <c r="J111" s="674">
        <f>J114</f>
        <v>0</v>
      </c>
      <c r="K111" s="195">
        <f t="shared" ca="1" si="58"/>
        <v>0</v>
      </c>
      <c r="L111" s="496"/>
      <c r="M111" s="496"/>
      <c r="N111" s="496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2</v>
      </c>
      <c r="J112" s="674">
        <f t="shared" si="59"/>
        <v>0</v>
      </c>
      <c r="K112" s="195">
        <f t="shared" ca="1" si="58"/>
        <v>0</v>
      </c>
      <c r="L112" s="496"/>
      <c r="M112" s="496"/>
      <c r="N112" s="496"/>
      <c r="O112" s="163"/>
      <c r="P112" s="163"/>
    </row>
    <row r="113" spans="1:26" ht="19.5">
      <c r="A113" s="170"/>
      <c r="B113" s="171"/>
      <c r="C113" s="171"/>
      <c r="D113" s="171"/>
      <c r="E113" s="525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IFERROR(__xludf.DUMMYFUNCTION("IMPORTRANGE(""https://docs.google.com/spreadsheets/d/1QqKyyYR6Q21VydFLVH3TRQUabQu_ym0Zz7PgGX0-kHA/edit?usp=sharing"",""แผน!R58"")"),10)</f>
        <v>10</v>
      </c>
      <c r="J113" s="214">
        <v>0</v>
      </c>
      <c r="K113" s="496">
        <f t="shared" ca="1" si="58"/>
        <v>0</v>
      </c>
      <c r="L113" s="496"/>
      <c r="M113" s="496"/>
      <c r="N113" s="496"/>
      <c r="O113" s="163"/>
      <c r="P113" s="163"/>
    </row>
    <row r="114" spans="1:26" ht="19.5">
      <c r="A114" s="170"/>
      <c r="B114" s="171"/>
      <c r="C114" s="171"/>
      <c r="D114" s="171"/>
      <c r="E114" s="446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IFERROR(__xludf.DUMMYFUNCTION("IMPORTRANGE(""https://docs.google.com/spreadsheets/d/1QqKyyYR6Q21VydFLVH3TRQUabQu_ym0Zz7PgGX0-kHA/edit?usp=sharing"",""แผน!R58"")"),10)</f>
        <v>10</v>
      </c>
      <c r="J114" s="214">
        <v>0</v>
      </c>
      <c r="K114" s="496">
        <f t="shared" ca="1" si="58"/>
        <v>0</v>
      </c>
      <c r="L114" s="496"/>
      <c r="M114" s="496"/>
      <c r="N114" s="496"/>
      <c r="O114" s="163"/>
      <c r="P114" s="163"/>
    </row>
    <row r="115" spans="1:26" ht="18.75">
      <c r="A115" s="170"/>
      <c r="B115" s="171"/>
      <c r="C115" s="171"/>
      <c r="D115" s="171"/>
      <c r="E115" s="446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IFERROR(__xludf.DUMMYFUNCTION("IMPORTRANGE(""https://docs.google.com/spreadsheets/d/1QqKyyYR6Q21VydFLVH3TRQUabQu_ym0Zz7PgGX0-kHA/edit?usp=sharing"",""แผน!S58"")"),1)</f>
        <v>1</v>
      </c>
      <c r="J115" s="214">
        <v>0</v>
      </c>
      <c r="K115" s="496">
        <f t="shared" ca="1" si="58"/>
        <v>0</v>
      </c>
      <c r="L115" s="496"/>
      <c r="M115" s="496"/>
      <c r="N115" s="496"/>
      <c r="O115" s="163"/>
      <c r="P115" s="163"/>
    </row>
    <row r="116" spans="1:26" ht="18.75">
      <c r="A116" s="170"/>
      <c r="B116" s="171"/>
      <c r="C116" s="171"/>
      <c r="D116" s="171"/>
      <c r="E116" s="446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IFERROR(__xludf.DUMMYFUNCTION("IMPORTRANGE(""https://docs.google.com/spreadsheets/d/1QqKyyYR6Q21VydFLVH3TRQUabQu_ym0Zz7PgGX0-kHA/edit?usp=sharing"",""แผน!T58"")"),1)</f>
        <v>1</v>
      </c>
      <c r="J116" s="214">
        <v>0</v>
      </c>
      <c r="K116" s="496">
        <f t="shared" ca="1" si="58"/>
        <v>0</v>
      </c>
      <c r="L116" s="496"/>
      <c r="M116" s="496"/>
      <c r="N116" s="496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8" t="s">
        <v>65</v>
      </c>
      <c r="C118" s="204"/>
      <c r="D118" s="141"/>
      <c r="E118" s="140"/>
      <c r="F118" s="140"/>
      <c r="G118" s="142"/>
      <c r="H118" s="143"/>
      <c r="I118" s="205"/>
      <c r="J118" s="205"/>
      <c r="K118" s="146"/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22" t="s">
        <v>17</v>
      </c>
      <c r="E119" s="148"/>
      <c r="F119" s="148"/>
      <c r="G119" s="151"/>
      <c r="H119" s="152" t="s">
        <v>12</v>
      </c>
      <c r="I119" s="419"/>
      <c r="J119" s="419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2" t="s">
        <v>18</v>
      </c>
      <c r="F120" s="40"/>
      <c r="G120" s="157"/>
      <c r="H120" s="158" t="s">
        <v>12</v>
      </c>
      <c r="I120" s="610"/>
      <c r="J120" s="610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2" t="s">
        <v>19</v>
      </c>
      <c r="F121" s="40"/>
      <c r="G121" s="157"/>
      <c r="H121" s="158" t="s">
        <v>12</v>
      </c>
      <c r="I121" s="610"/>
      <c r="J121" s="610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1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6">
        <f t="shared" ref="L122:N122" ca="1" si="64">L123+L124</f>
        <v>0</v>
      </c>
      <c r="M122" s="496">
        <f t="shared" ca="1" si="64"/>
        <v>0</v>
      </c>
      <c r="N122" s="496">
        <f t="shared" ca="1" si="64"/>
        <v>0</v>
      </c>
      <c r="O122" s="496">
        <f t="shared" ca="1" si="61"/>
        <v>0</v>
      </c>
      <c r="P122" s="496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2"/>
      <c r="D123" s="40"/>
      <c r="E123" s="222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2"/>
      <c r="D124" s="40"/>
      <c r="E124" s="222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IFERROR(__xludf.DUMMYFUNCTION("IMPORTRANGE(""https://docs.google.com/spreadsheets/d/1MeEWN-I1oV_STSDYn1IFDPWt_1FKiwhDph83XaGc0o0/edit?usp=sharing"",""งบพรบ!BA58"")"),0)</f>
        <v>0</v>
      </c>
      <c r="M124" s="93">
        <f ca="1">IFERROR(__xludf.DUMMYFUNCTION("IMPORTRANGE(""https://docs.google.com/spreadsheets/d/1MeEWN-I1oV_STSDYn1IFDPWt_1FKiwhDph83XaGc0o0/edit?usp=sharing"",""งบพรบ!BF58"")"),0)</f>
        <v>0</v>
      </c>
      <c r="N124" s="93">
        <f ca="1">IFERROR(__xludf.DUMMYFUNCTION("IMPORTRANGE(""https://docs.google.com/spreadsheets/d/1MeEWN-I1oV_STSDYn1IFDPWt_1FKiwhDph83XaGc0o0/edit?usp=sharing"",""งบพรบ!BH58"")"),0)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1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6">
        <f t="shared" ref="L125:N125" ca="1" si="65">L126+L127</f>
        <v>0</v>
      </c>
      <c r="M125" s="496">
        <f t="shared" ca="1" si="65"/>
        <v>0</v>
      </c>
      <c r="N125" s="496">
        <f t="shared" ca="1" si="65"/>
        <v>0</v>
      </c>
      <c r="O125" s="496">
        <f t="shared" ca="1" si="61"/>
        <v>0</v>
      </c>
      <c r="P125" s="496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2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2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IFERROR(__xludf.DUMMYFUNCTION("IMPORTRANGE(""https://docs.google.com/spreadsheets/d/1MeEWN-I1oV_STSDYn1IFDPWt_1FKiwhDph83XaGc0o0/edit?usp=sharing"",""งบพรบ!BD58"")"),0)</f>
        <v>0</v>
      </c>
      <c r="M127" s="93">
        <f ca="1">IFERROR(__xludf.DUMMYFUNCTION("IMPORTRANGE(""https://docs.google.com/spreadsheets/d/1MeEWN-I1oV_STSDYn1IFDPWt_1FKiwhDph83XaGc0o0/edit?usp=sharing"",""งบพรบ!BG58"")"),0)</f>
        <v>0</v>
      </c>
      <c r="N127" s="93">
        <f ca="1">IFERROR(__xludf.DUMMYFUNCTION("IMPORTRANGE(""https://docs.google.com/spreadsheets/d/1MeEWN-I1oV_STSDYn1IFDPWt_1FKiwhDph83XaGc0o0/edit?usp=sharing"",""งบพรบ!BI58"")"),0)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66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8" t="s">
        <v>67</v>
      </c>
      <c r="C129" s="204"/>
      <c r="D129" s="141"/>
      <c r="E129" s="140"/>
      <c r="F129" s="140"/>
      <c r="G129" s="140"/>
      <c r="H129" s="207"/>
      <c r="I129" s="205"/>
      <c r="J129" s="205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8"/>
      <c r="C130" s="209" t="s">
        <v>68</v>
      </c>
      <c r="D130" s="141"/>
      <c r="E130" s="140"/>
      <c r="F130" s="140"/>
      <c r="G130" s="142"/>
      <c r="H130" s="143" t="s">
        <v>69</v>
      </c>
      <c r="I130" s="144">
        <f t="shared" ref="I130:J130" ca="1" si="66">I146</f>
        <v>0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8"/>
      <c r="C131" s="209" t="s">
        <v>70</v>
      </c>
      <c r="D131" s="141"/>
      <c r="E131" s="140"/>
      <c r="F131" s="140"/>
      <c r="G131" s="142"/>
      <c r="H131" s="143" t="s">
        <v>35</v>
      </c>
      <c r="I131" s="144">
        <f t="shared" ref="I131:J131" ca="1" si="68">I143</f>
        <v>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822" t="s">
        <v>17</v>
      </c>
      <c r="E132" s="148"/>
      <c r="F132" s="148"/>
      <c r="G132" s="151"/>
      <c r="H132" s="152" t="s">
        <v>12</v>
      </c>
      <c r="I132" s="419"/>
      <c r="J132" s="419"/>
      <c r="K132" s="154"/>
      <c r="L132" s="155">
        <f t="shared" ref="L132:N132" ca="1" si="69">L133+L134</f>
        <v>0</v>
      </c>
      <c r="M132" s="155">
        <f t="shared" ca="1" si="69"/>
        <v>0</v>
      </c>
      <c r="N132" s="155">
        <f t="shared" ca="1" si="69"/>
        <v>0</v>
      </c>
      <c r="O132" s="155">
        <f t="shared" ref="O132:O140" ca="1" si="70">IF(L132&gt;0,N132*100/L132,0)</f>
        <v>0</v>
      </c>
      <c r="P132" s="155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2" t="s">
        <v>18</v>
      </c>
      <c r="F133" s="40"/>
      <c r="G133" s="157"/>
      <c r="H133" s="158" t="s">
        <v>12</v>
      </c>
      <c r="I133" s="610"/>
      <c r="J133" s="610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2" t="s">
        <v>19</v>
      </c>
      <c r="F134" s="40"/>
      <c r="G134" s="157"/>
      <c r="H134" s="158" t="s">
        <v>12</v>
      </c>
      <c r="I134" s="610"/>
      <c r="J134" s="610"/>
      <c r="K134" s="93"/>
      <c r="L134" s="93">
        <f t="shared" ca="1" si="72"/>
        <v>0</v>
      </c>
      <c r="M134" s="93">
        <f t="shared" ca="1" si="72"/>
        <v>0</v>
      </c>
      <c r="N134" s="93">
        <f t="shared" ca="1" si="72"/>
        <v>0</v>
      </c>
      <c r="O134" s="93">
        <f t="shared" ca="1" si="70"/>
        <v>0</v>
      </c>
      <c r="P134" s="93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1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6">
        <f t="shared" ref="L135:N135" ca="1" si="73">L136+L137</f>
        <v>0</v>
      </c>
      <c r="M135" s="496">
        <f t="shared" ca="1" si="73"/>
        <v>0</v>
      </c>
      <c r="N135" s="496">
        <f t="shared" ca="1" si="73"/>
        <v>0</v>
      </c>
      <c r="O135" s="496">
        <f t="shared" ca="1" si="70"/>
        <v>0</v>
      </c>
      <c r="P135" s="496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2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2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IFERROR(__xludf.DUMMYFUNCTION("IMPORTRANGE(""https://docs.google.com/spreadsheets/d/1MeEWN-I1oV_STSDYn1IFDPWt_1FKiwhDph83XaGc0o0/edit?usp=sharing"",""งบพรบ!BK58"")"),0)</f>
        <v>0</v>
      </c>
      <c r="M137" s="93">
        <f ca="1">IFERROR(__xludf.DUMMYFUNCTION("IMPORTRANGE(""https://docs.google.com/spreadsheets/d/1MeEWN-I1oV_STSDYn1IFDPWt_1FKiwhDph83XaGc0o0/edit?usp=sharing"",""งบพรบ!BP58"")"),0)</f>
        <v>0</v>
      </c>
      <c r="N137" s="93">
        <f ca="1">IFERROR(__xludf.DUMMYFUNCTION("IMPORTRANGE(""https://docs.google.com/spreadsheets/d/1MeEWN-I1oV_STSDYn1IFDPWt_1FKiwhDph83XaGc0o0/edit?usp=sharing"",""งบพรบ!BR58"")"),0)</f>
        <v>0</v>
      </c>
      <c r="O137" s="93">
        <f t="shared" ca="1" si="70"/>
        <v>0</v>
      </c>
      <c r="P137" s="93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1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6">
        <f t="shared" ref="L138:N138" ca="1" si="74">L139+L140</f>
        <v>0</v>
      </c>
      <c r="M138" s="496">
        <f t="shared" ca="1" si="74"/>
        <v>0</v>
      </c>
      <c r="N138" s="496">
        <f t="shared" ca="1" si="74"/>
        <v>0</v>
      </c>
      <c r="O138" s="496">
        <f t="shared" ca="1" si="70"/>
        <v>0</v>
      </c>
      <c r="P138" s="496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2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2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IFERROR(__xludf.DUMMYFUNCTION("IMPORTRANGE(""https://docs.google.com/spreadsheets/d/1MeEWN-I1oV_STSDYn1IFDPWt_1FKiwhDph83XaGc0o0/edit?usp=sharing"",""งบพรบ!BN58"")"),0)</f>
        <v>0</v>
      </c>
      <c r="M140" s="93">
        <f ca="1">IFERROR(__xludf.DUMMYFUNCTION("IMPORTRANGE(""https://docs.google.com/spreadsheets/d/1MeEWN-I1oV_STSDYn1IFDPWt_1FKiwhDph83XaGc0o0/edit?usp=sharing"",""งบพรบ!BQ58"")"),0)</f>
        <v>0</v>
      </c>
      <c r="N140" s="93">
        <f ca="1">IFERROR(__xludf.DUMMYFUNCTION("IMPORTRANGE(""https://docs.google.com/spreadsheets/d/1MeEWN-I1oV_STSDYn1IFDPWt_1FKiwhDph83XaGc0o0/edit?usp=sharing"",""งบพรบ!BS58"")"),0)</f>
        <v>0</v>
      </c>
      <c r="O140" s="93">
        <f t="shared" ca="1" si="70"/>
        <v>0</v>
      </c>
      <c r="P140" s="93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823" t="s">
        <v>38</v>
      </c>
      <c r="E141" s="173"/>
      <c r="F141" s="173"/>
      <c r="G141" s="174"/>
      <c r="H141" s="168"/>
      <c r="I141" s="269"/>
      <c r="J141" s="269"/>
      <c r="K141" s="496"/>
      <c r="L141" s="496"/>
      <c r="M141" s="496"/>
      <c r="N141" s="496"/>
      <c r="O141" s="496"/>
      <c r="P141" s="496"/>
    </row>
    <row r="142" spans="1:26" ht="19.5" hidden="1">
      <c r="A142" s="159"/>
      <c r="B142" s="33"/>
      <c r="C142" s="210"/>
      <c r="D142" s="281" t="s">
        <v>71</v>
      </c>
      <c r="E142" s="34"/>
      <c r="F142" s="33"/>
      <c r="G142" s="213"/>
      <c r="H142" s="168"/>
      <c r="I142" s="269"/>
      <c r="J142" s="214">
        <v>0</v>
      </c>
      <c r="K142" s="496"/>
      <c r="L142" s="496"/>
      <c r="M142" s="496"/>
      <c r="N142" s="496"/>
      <c r="O142" s="496"/>
      <c r="P142" s="496"/>
    </row>
    <row r="143" spans="1:26" ht="19.5" hidden="1">
      <c r="A143" s="159"/>
      <c r="B143" s="33"/>
      <c r="C143" s="210"/>
      <c r="D143" s="281" t="s">
        <v>72</v>
      </c>
      <c r="E143" s="34"/>
      <c r="F143" s="33"/>
      <c r="G143" s="213"/>
      <c r="H143" s="168" t="s">
        <v>35</v>
      </c>
      <c r="I143" s="269">
        <f ca="1">I145</f>
        <v>0</v>
      </c>
      <c r="J143" s="269">
        <f ca="1">IF(AND(J144&gt;=I144,J145&gt;=I145),J145,0)</f>
        <v>0</v>
      </c>
      <c r="K143" s="496">
        <f t="shared" ref="K143:K146" ca="1" si="75">IF(I143&gt;0,J143*100/I143,0)</f>
        <v>0</v>
      </c>
      <c r="L143" s="496"/>
      <c r="M143" s="496"/>
      <c r="N143" s="496"/>
      <c r="O143" s="496"/>
      <c r="P143" s="496"/>
    </row>
    <row r="144" spans="1:26" ht="19.5" hidden="1">
      <c r="A144" s="159"/>
      <c r="B144" s="33"/>
      <c r="C144" s="210"/>
      <c r="D144" s="178"/>
      <c r="E144" s="281" t="s">
        <v>73</v>
      </c>
      <c r="F144" s="33"/>
      <c r="G144" s="213"/>
      <c r="H144" s="168" t="s">
        <v>35</v>
      </c>
      <c r="I144" s="269">
        <f ca="1">IFERROR(__xludf.DUMMYFUNCTION("IMPORTRANGE(""https://docs.google.com/spreadsheets/d/1QqKyyYR6Q21VydFLVH3TRQUabQu_ym0Zz7PgGX0-kHA/edit?usp=sharing"",""แผน!U58"")"),0)</f>
        <v>0</v>
      </c>
      <c r="J144" s="214">
        <v>0</v>
      </c>
      <c r="K144" s="496">
        <f t="shared" ca="1" si="75"/>
        <v>0</v>
      </c>
      <c r="L144" s="496"/>
      <c r="M144" s="496"/>
      <c r="N144" s="496"/>
      <c r="O144" s="496"/>
      <c r="P144" s="496"/>
    </row>
    <row r="145" spans="1:26" ht="19.5" hidden="1">
      <c r="A145" s="159"/>
      <c r="B145" s="33"/>
      <c r="C145" s="210"/>
      <c r="D145" s="178"/>
      <c r="E145" s="281" t="s">
        <v>74</v>
      </c>
      <c r="F145" s="33"/>
      <c r="G145" s="213"/>
      <c r="H145" s="168" t="s">
        <v>35</v>
      </c>
      <c r="I145" s="269">
        <f ca="1">IFERROR(__xludf.DUMMYFUNCTION("IMPORTRANGE(""https://docs.google.com/spreadsheets/d/1QqKyyYR6Q21VydFLVH3TRQUabQu_ym0Zz7PgGX0-kHA/edit?usp=sharing"",""แผน!V58"")"),0)</f>
        <v>0</v>
      </c>
      <c r="J145" s="214">
        <v>0</v>
      </c>
      <c r="K145" s="496">
        <f t="shared" ca="1" si="75"/>
        <v>0</v>
      </c>
      <c r="L145" s="496"/>
      <c r="M145" s="496"/>
      <c r="N145" s="496"/>
      <c r="O145" s="496"/>
      <c r="P145" s="496"/>
    </row>
    <row r="146" spans="1:26" ht="19.5" hidden="1">
      <c r="A146" s="159"/>
      <c r="B146" s="33"/>
      <c r="C146" s="210"/>
      <c r="D146" s="281" t="s">
        <v>75</v>
      </c>
      <c r="E146" s="34"/>
      <c r="F146" s="33"/>
      <c r="G146" s="213"/>
      <c r="H146" s="168" t="s">
        <v>69</v>
      </c>
      <c r="I146" s="269">
        <f ca="1">IFERROR(__xludf.DUMMYFUNCTION("IMPORTRANGE(""https://docs.google.com/spreadsheets/d/1QqKyyYR6Q21VydFLVH3TRQUabQu_ym0Zz7PgGX0-kHA/edit?usp=sharing"",""แผน!W58"")"),0)</f>
        <v>0</v>
      </c>
      <c r="J146" s="214">
        <v>0</v>
      </c>
      <c r="K146" s="496">
        <f t="shared" ca="1" si="75"/>
        <v>0</v>
      </c>
      <c r="L146" s="496"/>
      <c r="M146" s="496"/>
      <c r="N146" s="496"/>
      <c r="O146" s="496"/>
      <c r="P146" s="496"/>
    </row>
    <row r="147" spans="1:26" ht="19.5" hidden="1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 hidden="1">
      <c r="A148" s="216"/>
      <c r="B148" s="208" t="s">
        <v>77</v>
      </c>
      <c r="C148" s="208"/>
      <c r="D148" s="208"/>
      <c r="E148" s="824"/>
      <c r="F148" s="218"/>
      <c r="G148" s="219"/>
      <c r="H148" s="220" t="s">
        <v>35</v>
      </c>
      <c r="I148" s="144">
        <f t="shared" ref="I148:J148" ca="1" si="76">I159</f>
        <v>0</v>
      </c>
      <c r="J148" s="144">
        <f t="shared" si="76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1"/>
      <c r="R148" s="221"/>
      <c r="S148" s="221"/>
      <c r="T148" s="221"/>
      <c r="U148" s="221"/>
      <c r="V148" s="221"/>
      <c r="W148" s="221"/>
      <c r="X148" s="221"/>
      <c r="Y148" s="221"/>
      <c r="Z148" s="221"/>
    </row>
    <row r="149" spans="1:26" ht="19.5" hidden="1">
      <c r="A149" s="147"/>
      <c r="B149" s="148"/>
      <c r="C149" s="149" t="s">
        <v>16</v>
      </c>
      <c r="D149" s="822" t="s">
        <v>17</v>
      </c>
      <c r="E149" s="148"/>
      <c r="F149" s="148"/>
      <c r="G149" s="151"/>
      <c r="H149" s="152" t="s">
        <v>12</v>
      </c>
      <c r="I149" s="419"/>
      <c r="J149" s="419"/>
      <c r="K149" s="154"/>
      <c r="L149" s="155">
        <f t="shared" ref="L149:N149" ca="1" si="77">L150+L151</f>
        <v>0</v>
      </c>
      <c r="M149" s="155">
        <f t="shared" ca="1" si="77"/>
        <v>0</v>
      </c>
      <c r="N149" s="155">
        <f t="shared" ca="1" si="77"/>
        <v>0</v>
      </c>
      <c r="O149" s="155">
        <f t="shared" ref="O149:O157" ca="1" si="78">IF(L149&gt;0,N149*100/L149,0)</f>
        <v>0</v>
      </c>
      <c r="P149" s="155">
        <f t="shared" ref="P149:P157" ca="1" si="79">IF(M149&gt;0,N149*100/M149,0)</f>
        <v>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2" t="s">
        <v>18</v>
      </c>
      <c r="F150" s="40"/>
      <c r="G150" s="157"/>
      <c r="H150" s="158" t="s">
        <v>12</v>
      </c>
      <c r="I150" s="610"/>
      <c r="J150" s="610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2" t="s">
        <v>19</v>
      </c>
      <c r="F151" s="40"/>
      <c r="G151" s="157"/>
      <c r="H151" s="158" t="s">
        <v>12</v>
      </c>
      <c r="I151" s="610"/>
      <c r="J151" s="610"/>
      <c r="K151" s="93"/>
      <c r="L151" s="93">
        <f t="shared" ca="1" si="80"/>
        <v>0</v>
      </c>
      <c r="M151" s="93">
        <f t="shared" ca="1" si="80"/>
        <v>0</v>
      </c>
      <c r="N151" s="93">
        <f t="shared" ca="1" si="80"/>
        <v>0</v>
      </c>
      <c r="O151" s="93">
        <f t="shared" ca="1" si="78"/>
        <v>0</v>
      </c>
      <c r="P151" s="93">
        <f t="shared" ca="1" si="79"/>
        <v>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 hidden="1">
      <c r="A152" s="159"/>
      <c r="B152" s="33"/>
      <c r="C152" s="281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6">
        <f t="shared" ref="L152:N152" ca="1" si="81">L153+L154</f>
        <v>0</v>
      </c>
      <c r="M152" s="496">
        <f t="shared" ca="1" si="81"/>
        <v>0</v>
      </c>
      <c r="N152" s="496">
        <f t="shared" ca="1" si="81"/>
        <v>0</v>
      </c>
      <c r="O152" s="496">
        <f t="shared" ca="1" si="78"/>
        <v>0</v>
      </c>
      <c r="P152" s="496">
        <f t="shared" ca="1" si="79"/>
        <v>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2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2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IFERROR(__xludf.DUMMYFUNCTION("IMPORTRANGE(""https://docs.google.com/spreadsheets/d/1MeEWN-I1oV_STSDYn1IFDPWt_1FKiwhDph83XaGc0o0/edit?usp=sharing"",""งบพรบ!BU58"")"),0)</f>
        <v>0</v>
      </c>
      <c r="M154" s="93">
        <f ca="1">IFERROR(__xludf.DUMMYFUNCTION("IMPORTRANGE(""https://docs.google.com/spreadsheets/d/1MeEWN-I1oV_STSDYn1IFDPWt_1FKiwhDph83XaGc0o0/edit?usp=sharing"",""งบพรบ!BZ58"")"),0)</f>
        <v>0</v>
      </c>
      <c r="N154" s="93">
        <f ca="1">IFERROR(__xludf.DUMMYFUNCTION("IMPORTRANGE(""https://docs.google.com/spreadsheets/d/1MeEWN-I1oV_STSDYn1IFDPWt_1FKiwhDph83XaGc0o0/edit?usp=sharing"",""งบพรบ!CB58"")"),0)</f>
        <v>0</v>
      </c>
      <c r="O154" s="93">
        <f t="shared" ca="1" si="78"/>
        <v>0</v>
      </c>
      <c r="P154" s="93">
        <f t="shared" ca="1" si="79"/>
        <v>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 hidden="1">
      <c r="A155" s="159"/>
      <c r="B155" s="33"/>
      <c r="C155" s="281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6">
        <f t="shared" ref="L155:N155" ca="1" si="82">L156+L157</f>
        <v>0</v>
      </c>
      <c r="M155" s="496">
        <f t="shared" ca="1" si="82"/>
        <v>0</v>
      </c>
      <c r="N155" s="496">
        <f t="shared" ca="1" si="82"/>
        <v>0</v>
      </c>
      <c r="O155" s="496">
        <f t="shared" ca="1" si="78"/>
        <v>0</v>
      </c>
      <c r="P155" s="496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2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2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IFERROR(__xludf.DUMMYFUNCTION("IMPORTRANGE(""https://docs.google.com/spreadsheets/d/1MeEWN-I1oV_STSDYn1IFDPWt_1FKiwhDph83XaGc0o0/edit?usp=sharing"",""งบพรบ!BX58"")"),0)</f>
        <v>0</v>
      </c>
      <c r="M157" s="93">
        <f ca="1">IFERROR(__xludf.DUMMYFUNCTION("IMPORTRANGE(""https://docs.google.com/spreadsheets/d/1MeEWN-I1oV_STSDYn1IFDPWt_1FKiwhDph83XaGc0o0/edit?usp=sharing"",""งบพรบ!CA58"")"),0)</f>
        <v>0</v>
      </c>
      <c r="N157" s="93">
        <f ca="1">IFERROR(__xludf.DUMMYFUNCTION("IMPORTRANGE(""https://docs.google.com/spreadsheets/d/1MeEWN-I1oV_STSDYn1IFDPWt_1FKiwhDph83XaGc0o0/edit?usp=sharing"",""งบพรบ!CC58"")"),0)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 hidden="1">
      <c r="A158" s="170"/>
      <c r="B158" s="171"/>
      <c r="C158" s="164" t="s">
        <v>16</v>
      </c>
      <c r="D158" s="823" t="s">
        <v>38</v>
      </c>
      <c r="E158" s="173"/>
      <c r="F158" s="173"/>
      <c r="G158" s="174"/>
      <c r="H158" s="168"/>
      <c r="I158" s="269"/>
      <c r="J158" s="269"/>
      <c r="K158" s="496"/>
      <c r="L158" s="496"/>
      <c r="M158" s="496"/>
      <c r="N158" s="496"/>
      <c r="O158" s="496"/>
      <c r="P158" s="496"/>
    </row>
    <row r="159" spans="1:26" ht="19.5" hidden="1">
      <c r="A159" s="159"/>
      <c r="B159" s="33"/>
      <c r="C159" s="210"/>
      <c r="D159" s="281" t="s">
        <v>78</v>
      </c>
      <c r="E159" s="34"/>
      <c r="F159" s="33"/>
      <c r="G159" s="213"/>
      <c r="H159" s="168" t="s">
        <v>35</v>
      </c>
      <c r="I159" s="269">
        <f ca="1">IFERROR(__xludf.DUMMYFUNCTION("IMPORTRANGE(""https://docs.google.com/spreadsheets/d/1QqKyyYR6Q21VydFLVH3TRQUabQu_ym0Zz7PgGX0-kHA/edit?usp=sharing"",""แผน!X58"")"),0)</f>
        <v>0</v>
      </c>
      <c r="J159" s="214">
        <v>0</v>
      </c>
      <c r="K159" s="496">
        <f ca="1">IF(I159&gt;0,J159*100/I159,0)</f>
        <v>0</v>
      </c>
      <c r="L159" s="496"/>
      <c r="M159" s="496"/>
      <c r="N159" s="496"/>
      <c r="O159" s="496"/>
      <c r="P159" s="496"/>
    </row>
    <row r="160" spans="1:26" ht="19.5" hidden="1">
      <c r="A160" s="156"/>
      <c r="B160" s="40"/>
      <c r="C160" s="164"/>
      <c r="D160" s="222" t="s">
        <v>79</v>
      </c>
      <c r="E160" s="223"/>
      <c r="F160" s="40"/>
      <c r="G160" s="157"/>
      <c r="H160" s="169" t="s">
        <v>35</v>
      </c>
      <c r="I160" s="610"/>
      <c r="J160" s="610"/>
      <c r="K160" s="93"/>
      <c r="L160" s="93"/>
      <c r="M160" s="93"/>
      <c r="N160" s="93"/>
      <c r="O160" s="93"/>
      <c r="P160" s="93"/>
      <c r="Q160" s="224"/>
      <c r="R160" s="224"/>
      <c r="S160" s="224"/>
      <c r="T160" s="224"/>
      <c r="U160" s="224"/>
      <c r="V160" s="224"/>
      <c r="W160" s="224"/>
      <c r="X160" s="224"/>
      <c r="Y160" s="224"/>
      <c r="Z160" s="224"/>
    </row>
    <row r="161" spans="1:26" ht="19.5" hidden="1">
      <c r="A161" s="225"/>
      <c r="B161" s="226"/>
      <c r="C161" s="227"/>
      <c r="D161" s="228" t="s">
        <v>80</v>
      </c>
      <c r="E161" s="825"/>
      <c r="F161" s="226"/>
      <c r="G161" s="230"/>
      <c r="H161" s="231" t="s">
        <v>35</v>
      </c>
      <c r="I161" s="232"/>
      <c r="J161" s="232"/>
      <c r="K161" s="233"/>
      <c r="L161" s="233"/>
      <c r="M161" s="233"/>
      <c r="N161" s="233"/>
      <c r="O161" s="233"/>
      <c r="P161" s="233"/>
      <c r="Q161" s="224"/>
      <c r="R161" s="224"/>
      <c r="S161" s="224"/>
      <c r="T161" s="224"/>
      <c r="U161" s="224"/>
      <c r="V161" s="224"/>
      <c r="W161" s="224"/>
      <c r="X161" s="224"/>
      <c r="Y161" s="224"/>
      <c r="Z161" s="224"/>
    </row>
    <row r="162" spans="1:26" ht="19.5">
      <c r="A162" s="234" t="s">
        <v>81</v>
      </c>
      <c r="B162" s="235"/>
      <c r="C162" s="235"/>
      <c r="D162" s="235"/>
      <c r="E162" s="236"/>
      <c r="F162" s="236"/>
      <c r="G162" s="237"/>
      <c r="H162" s="238"/>
      <c r="I162" s="239"/>
      <c r="J162" s="239"/>
      <c r="K162" s="240"/>
      <c r="L162" s="240"/>
      <c r="M162" s="240"/>
      <c r="N162" s="240"/>
      <c r="O162" s="240"/>
      <c r="P162" s="240"/>
    </row>
    <row r="163" spans="1:26" ht="19.5">
      <c r="A163" s="241" t="s">
        <v>82</v>
      </c>
      <c r="B163" s="242"/>
      <c r="C163" s="242"/>
      <c r="D163" s="243"/>
      <c r="E163" s="243"/>
      <c r="F163" s="243"/>
      <c r="G163" s="244"/>
      <c r="H163" s="245"/>
      <c r="I163" s="246"/>
      <c r="J163" s="246"/>
      <c r="K163" s="247"/>
      <c r="L163" s="247"/>
      <c r="M163" s="247"/>
      <c r="N163" s="247"/>
      <c r="O163" s="247"/>
      <c r="P163" s="247"/>
    </row>
    <row r="164" spans="1:26" ht="19.5">
      <c r="A164" s="248"/>
      <c r="B164" s="249" t="s">
        <v>83</v>
      </c>
      <c r="C164" s="250"/>
      <c r="D164" s="173"/>
      <c r="E164" s="173"/>
      <c r="F164" s="173"/>
      <c r="G164" s="174"/>
      <c r="H164" s="251" t="s">
        <v>35</v>
      </c>
      <c r="I164" s="252">
        <f t="shared" ref="I164:J164" ca="1" si="83">I174+I177</f>
        <v>10</v>
      </c>
      <c r="J164" s="252">
        <f t="shared" si="83"/>
        <v>10</v>
      </c>
      <c r="K164" s="253">
        <f ca="1">IF(I164&gt;0,J164*100/I164,0)</f>
        <v>100</v>
      </c>
      <c r="L164" s="254"/>
      <c r="M164" s="254"/>
      <c r="N164" s="254"/>
      <c r="O164" s="254"/>
      <c r="P164" s="254"/>
    </row>
    <row r="165" spans="1:26" ht="19.5">
      <c r="A165" s="147"/>
      <c r="B165" s="148"/>
      <c r="C165" s="149" t="s">
        <v>16</v>
      </c>
      <c r="D165" s="822" t="s">
        <v>17</v>
      </c>
      <c r="E165" s="148"/>
      <c r="F165" s="148"/>
      <c r="G165" s="151"/>
      <c r="H165" s="152" t="s">
        <v>12</v>
      </c>
      <c r="I165" s="419"/>
      <c r="J165" s="419"/>
      <c r="K165" s="154"/>
      <c r="L165" s="155">
        <f t="shared" ref="L165:N165" ca="1" si="84">L166+L167</f>
        <v>21050</v>
      </c>
      <c r="M165" s="155">
        <f t="shared" ca="1" si="84"/>
        <v>21050</v>
      </c>
      <c r="N165" s="155">
        <f t="shared" ca="1" si="84"/>
        <v>20230</v>
      </c>
      <c r="O165" s="155">
        <f t="shared" ref="O165:O173" ca="1" si="85">IF(L165&gt;0,N165*100/L165,0)</f>
        <v>96.104513064133016</v>
      </c>
      <c r="P165" s="155">
        <f t="shared" ref="P165:P173" ca="1" si="86">IF(M165&gt;0,N165*100/M165,0)</f>
        <v>96.104513064133016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2" t="s">
        <v>18</v>
      </c>
      <c r="F166" s="40"/>
      <c r="G166" s="157"/>
      <c r="H166" s="158" t="s">
        <v>12</v>
      </c>
      <c r="I166" s="610"/>
      <c r="J166" s="610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2" t="s">
        <v>19</v>
      </c>
      <c r="F167" s="40"/>
      <c r="G167" s="157"/>
      <c r="H167" s="158" t="s">
        <v>12</v>
      </c>
      <c r="I167" s="610"/>
      <c r="J167" s="610"/>
      <c r="K167" s="93"/>
      <c r="L167" s="93">
        <f t="shared" ca="1" si="87"/>
        <v>21050</v>
      </c>
      <c r="M167" s="93">
        <f t="shared" ca="1" si="87"/>
        <v>21050</v>
      </c>
      <c r="N167" s="93">
        <f t="shared" ca="1" si="87"/>
        <v>20230</v>
      </c>
      <c r="O167" s="93">
        <f t="shared" ca="1" si="85"/>
        <v>96.104513064133016</v>
      </c>
      <c r="P167" s="93">
        <f t="shared" ca="1" si="86"/>
        <v>96.104513064133016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1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6">
        <f t="shared" ref="L168:N168" ca="1" si="88">L169+L170</f>
        <v>21050</v>
      </c>
      <c r="M168" s="496">
        <f t="shared" ca="1" si="88"/>
        <v>21050</v>
      </c>
      <c r="N168" s="496">
        <f t="shared" ca="1" si="88"/>
        <v>20230</v>
      </c>
      <c r="O168" s="496">
        <f t="shared" ca="1" si="85"/>
        <v>96.104513064133016</v>
      </c>
      <c r="P168" s="496">
        <f t="shared" ca="1" si="86"/>
        <v>96.104513064133016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2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2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IFERROR(__xludf.DUMMYFUNCTION("IMPORTRANGE(""https://docs.google.com/spreadsheets/d/1MeEWN-I1oV_STSDYn1IFDPWt_1FKiwhDph83XaGc0o0/edit?usp=sharing"",""งบพรบ!CE58"")"),21050)</f>
        <v>21050</v>
      </c>
      <c r="M170" s="93">
        <f ca="1">IFERROR(__xludf.DUMMYFUNCTION("IMPORTRANGE(""https://docs.google.com/spreadsheets/d/1MeEWN-I1oV_STSDYn1IFDPWt_1FKiwhDph83XaGc0o0/edit?usp=sharing"",""งบพรบ!CJ58"")"),21050)</f>
        <v>21050</v>
      </c>
      <c r="N170" s="93">
        <f ca="1">IFERROR(__xludf.DUMMYFUNCTION("IMPORTRANGE(""https://docs.google.com/spreadsheets/d/1MeEWN-I1oV_STSDYn1IFDPWt_1FKiwhDph83XaGc0o0/edit?usp=sharing"",""งบพรบ!CL58"")"),20230)</f>
        <v>20230</v>
      </c>
      <c r="O170" s="93">
        <f t="shared" ca="1" si="85"/>
        <v>96.104513064133016</v>
      </c>
      <c r="P170" s="93">
        <f t="shared" ca="1" si="86"/>
        <v>96.104513064133016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1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6">
        <f t="shared" ref="L171:N171" ca="1" si="89">L172+L173</f>
        <v>0</v>
      </c>
      <c r="M171" s="496">
        <f t="shared" ca="1" si="89"/>
        <v>0</v>
      </c>
      <c r="N171" s="496">
        <f t="shared" ca="1" si="89"/>
        <v>0</v>
      </c>
      <c r="O171" s="496">
        <f t="shared" ca="1" si="85"/>
        <v>0</v>
      </c>
      <c r="P171" s="496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2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2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IFERROR(__xludf.DUMMYFUNCTION("IMPORTRANGE(""https://docs.google.com/spreadsheets/d/1MeEWN-I1oV_STSDYn1IFDPWt_1FKiwhDph83XaGc0o0/edit?usp=sharing"",""งบพรบ!CH58"")"),0)</f>
        <v>0</v>
      </c>
      <c r="M173" s="93">
        <f ca="1">IFERROR(__xludf.DUMMYFUNCTION("IMPORTRANGE(""https://docs.google.com/spreadsheets/d/1MeEWN-I1oV_STSDYn1IFDPWt_1FKiwhDph83XaGc0o0/edit?usp=sharing"",""งบพรบ!CK58"")"),0)</f>
        <v>0</v>
      </c>
      <c r="N173" s="93">
        <f ca="1">IFERROR(__xludf.DUMMYFUNCTION("IMPORTRANGE(""https://docs.google.com/spreadsheets/d/1MeEWN-I1oV_STSDYn1IFDPWt_1FKiwhDph83XaGc0o0/edit?usp=sharing"",""งบพรบ!CM58"")"),0)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5"/>
      <c r="B174" s="256"/>
      <c r="C174" s="257" t="s">
        <v>84</v>
      </c>
      <c r="D174" s="256"/>
      <c r="E174" s="256"/>
      <c r="F174" s="256"/>
      <c r="G174" s="258"/>
      <c r="H174" s="259" t="s">
        <v>35</v>
      </c>
      <c r="I174" s="260">
        <f t="shared" ref="I174:J174" ca="1" si="90">I176</f>
        <v>10</v>
      </c>
      <c r="J174" s="260">
        <f t="shared" si="90"/>
        <v>10</v>
      </c>
      <c r="K174" s="261">
        <f ca="1">IF(I174&gt;0,J174*100/I174,0)</f>
        <v>100</v>
      </c>
      <c r="L174" s="261"/>
      <c r="M174" s="261"/>
      <c r="N174" s="261"/>
      <c r="O174" s="261"/>
      <c r="P174" s="261"/>
    </row>
    <row r="175" spans="1:26" ht="19.5">
      <c r="A175" s="170"/>
      <c r="B175" s="171"/>
      <c r="C175" s="164" t="s">
        <v>16</v>
      </c>
      <c r="D175" s="823" t="s">
        <v>38</v>
      </c>
      <c r="E175" s="173"/>
      <c r="F175" s="173"/>
      <c r="G175" s="174"/>
      <c r="H175" s="753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37" t="s">
        <v>85</v>
      </c>
      <c r="E176" s="178"/>
      <c r="F176" s="178"/>
      <c r="G176" s="179"/>
      <c r="H176" s="616" t="s">
        <v>35</v>
      </c>
      <c r="I176" s="269">
        <f ca="1">IFERROR(__xludf.DUMMYFUNCTION("IMPORTRANGE(""https://docs.google.com/spreadsheets/d/1QqKyyYR6Q21VydFLVH3TRQUabQu_ym0Zz7PgGX0-kHA/edit?usp=sharing"",""แผน!Y58"")"),10)</f>
        <v>10</v>
      </c>
      <c r="J176" s="214">
        <v>10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5"/>
      <c r="B177" s="263"/>
      <c r="C177" s="264" t="s">
        <v>86</v>
      </c>
      <c r="D177" s="263"/>
      <c r="E177" s="256"/>
      <c r="F177" s="256"/>
      <c r="G177" s="258"/>
      <c r="H177" s="265" t="s">
        <v>35</v>
      </c>
      <c r="I177" s="260"/>
      <c r="J177" s="260">
        <f>J179</f>
        <v>0</v>
      </c>
      <c r="K177" s="261"/>
      <c r="L177" s="261"/>
      <c r="M177" s="261"/>
      <c r="N177" s="261"/>
      <c r="O177" s="261"/>
      <c r="P177" s="261"/>
    </row>
    <row r="178" spans="1:26" ht="19.5" hidden="1">
      <c r="A178" s="170"/>
      <c r="B178" s="171"/>
      <c r="C178" s="164" t="s">
        <v>16</v>
      </c>
      <c r="D178" s="266" t="s">
        <v>38</v>
      </c>
      <c r="E178" s="173"/>
      <c r="F178" s="173"/>
      <c r="G178" s="174"/>
      <c r="H178" s="753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3" t="s">
        <v>87</v>
      </c>
      <c r="E179" s="178"/>
      <c r="F179" s="366"/>
      <c r="G179" s="179"/>
      <c r="H179" s="43" t="s">
        <v>35</v>
      </c>
      <c r="I179" s="269"/>
      <c r="J179" s="269"/>
      <c r="K179" s="163"/>
      <c r="L179" s="163"/>
      <c r="M179" s="163"/>
      <c r="N179" s="163"/>
      <c r="O179" s="163"/>
      <c r="P179" s="163"/>
    </row>
    <row r="180" spans="1:26" ht="19.5">
      <c r="A180" s="248"/>
      <c r="B180" s="249" t="s">
        <v>88</v>
      </c>
      <c r="C180" s="250"/>
      <c r="D180" s="173"/>
      <c r="E180" s="173"/>
      <c r="F180" s="173"/>
      <c r="G180" s="174"/>
      <c r="H180" s="251" t="s">
        <v>35</v>
      </c>
      <c r="I180" s="252">
        <f t="shared" ref="I180:J180" ca="1" si="91">I225+I226</f>
        <v>0</v>
      </c>
      <c r="J180" s="252">
        <f t="shared" si="91"/>
        <v>0</v>
      </c>
      <c r="K180" s="253">
        <f ca="1">IF(I180&gt;0,J180*100/I180,0)</f>
        <v>0</v>
      </c>
      <c r="L180" s="254"/>
      <c r="M180" s="254"/>
      <c r="N180" s="254"/>
      <c r="O180" s="254"/>
      <c r="P180" s="254"/>
    </row>
    <row r="181" spans="1:26" ht="19.5">
      <c r="A181" s="147"/>
      <c r="B181" s="148"/>
      <c r="C181" s="149" t="s">
        <v>16</v>
      </c>
      <c r="D181" s="822" t="s">
        <v>17</v>
      </c>
      <c r="E181" s="148"/>
      <c r="F181" s="148"/>
      <c r="G181" s="151"/>
      <c r="H181" s="152" t="s">
        <v>12</v>
      </c>
      <c r="I181" s="419"/>
      <c r="J181" s="419"/>
      <c r="K181" s="154"/>
      <c r="L181" s="155">
        <f t="shared" ref="L181:N181" ca="1" si="92">L182+L183</f>
        <v>38600</v>
      </c>
      <c r="M181" s="155">
        <f t="shared" ca="1" si="92"/>
        <v>21000</v>
      </c>
      <c r="N181" s="155">
        <f t="shared" ca="1" si="92"/>
        <v>8360</v>
      </c>
      <c r="O181" s="155">
        <f t="shared" ref="O181:O189" ca="1" si="93">IF(L181&gt;0,N181*100/L181,0)</f>
        <v>21.6580310880829</v>
      </c>
      <c r="P181" s="155">
        <f t="shared" ref="P181:P189" ca="1" si="94">IF(M181&gt;0,N181*100/M181,0)</f>
        <v>39.80952380952381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2" t="s">
        <v>18</v>
      </c>
      <c r="F182" s="40"/>
      <c r="G182" s="157"/>
      <c r="H182" s="158" t="s">
        <v>12</v>
      </c>
      <c r="I182" s="610"/>
      <c r="J182" s="610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2" t="s">
        <v>19</v>
      </c>
      <c r="F183" s="40"/>
      <c r="G183" s="157"/>
      <c r="H183" s="158" t="s">
        <v>12</v>
      </c>
      <c r="I183" s="610"/>
      <c r="J183" s="610"/>
      <c r="K183" s="93"/>
      <c r="L183" s="93">
        <f t="shared" ca="1" si="95"/>
        <v>38600</v>
      </c>
      <c r="M183" s="93">
        <f t="shared" ca="1" si="95"/>
        <v>21000</v>
      </c>
      <c r="N183" s="93">
        <f t="shared" ca="1" si="95"/>
        <v>8360</v>
      </c>
      <c r="O183" s="93">
        <f t="shared" ca="1" si="93"/>
        <v>21.6580310880829</v>
      </c>
      <c r="P183" s="93">
        <f t="shared" ca="1" si="94"/>
        <v>39.80952380952381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1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6">
        <f t="shared" ref="L184:N184" ca="1" si="96">L185+L186</f>
        <v>38600</v>
      </c>
      <c r="M184" s="496">
        <f t="shared" ca="1" si="96"/>
        <v>21000</v>
      </c>
      <c r="N184" s="496">
        <f t="shared" ca="1" si="96"/>
        <v>8360</v>
      </c>
      <c r="O184" s="496">
        <f t="shared" ca="1" si="93"/>
        <v>21.6580310880829</v>
      </c>
      <c r="P184" s="496">
        <f t="shared" ca="1" si="94"/>
        <v>39.80952380952381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2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2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IFERROR(__xludf.DUMMYFUNCTION("IMPORTRANGE(""https://docs.google.com/spreadsheets/d/1MeEWN-I1oV_STSDYn1IFDPWt_1FKiwhDph83XaGc0o0/edit?usp=sharing"",""งบพรบ!CO58"")"),38600)</f>
        <v>38600</v>
      </c>
      <c r="M186" s="93">
        <f ca="1">IFERROR(__xludf.DUMMYFUNCTION("IMPORTRANGE(""https://docs.google.com/spreadsheets/d/1MeEWN-I1oV_STSDYn1IFDPWt_1FKiwhDph83XaGc0o0/edit?usp=sharing"",""งบพรบ!CT58"")"),21000)</f>
        <v>21000</v>
      </c>
      <c r="N186" s="93">
        <f ca="1">IFERROR(__xludf.DUMMYFUNCTION("IMPORTRANGE(""https://docs.google.com/spreadsheets/d/1MeEWN-I1oV_STSDYn1IFDPWt_1FKiwhDph83XaGc0o0/edit?usp=sharing"",""งบพรบ!CV58"")"),8360)</f>
        <v>8360</v>
      </c>
      <c r="O186" s="93">
        <f t="shared" ca="1" si="93"/>
        <v>21.6580310880829</v>
      </c>
      <c r="P186" s="93">
        <f t="shared" ca="1" si="94"/>
        <v>39.80952380952381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1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6">
        <f t="shared" ref="L187:N187" ca="1" si="97">L188+L189</f>
        <v>0</v>
      </c>
      <c r="M187" s="496">
        <f t="shared" ca="1" si="97"/>
        <v>0</v>
      </c>
      <c r="N187" s="496">
        <f t="shared" ca="1" si="97"/>
        <v>0</v>
      </c>
      <c r="O187" s="496">
        <f t="shared" ca="1" si="93"/>
        <v>0</v>
      </c>
      <c r="P187" s="496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2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2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IFERROR(__xludf.DUMMYFUNCTION("IMPORTRANGE(""https://docs.google.com/spreadsheets/d/1MeEWN-I1oV_STSDYn1IFDPWt_1FKiwhDph83XaGc0o0/edit?usp=sharing"",""งบพรบ!CR58"")"),0)</f>
        <v>0</v>
      </c>
      <c r="M189" s="93">
        <f ca="1">IFERROR(__xludf.DUMMYFUNCTION("IMPORTRANGE(""https://docs.google.com/spreadsheets/d/1MeEWN-I1oV_STSDYn1IFDPWt_1FKiwhDph83XaGc0o0/edit?usp=sharing"",""งบพรบ!CU58"")"),0)</f>
        <v>0</v>
      </c>
      <c r="N189" s="93">
        <f ca="1">IFERROR(__xludf.DUMMYFUNCTION("IMPORTRANGE(""https://docs.google.com/spreadsheets/d/1MeEWN-I1oV_STSDYn1IFDPWt_1FKiwhDph83XaGc0o0/edit?usp=sharing"",""งบพรบ!CW58"")"),0)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5"/>
      <c r="B190" s="263"/>
      <c r="C190" s="270" t="s">
        <v>89</v>
      </c>
      <c r="D190" s="256"/>
      <c r="E190" s="256"/>
      <c r="F190" s="256"/>
      <c r="G190" s="258"/>
      <c r="H190" s="259" t="s">
        <v>90</v>
      </c>
      <c r="I190" s="271">
        <f t="shared" ref="I190:J190" ca="1" si="98">I193</f>
        <v>4</v>
      </c>
      <c r="J190" s="271">
        <f t="shared" si="98"/>
        <v>0</v>
      </c>
      <c r="K190" s="272">
        <f ca="1">IF(I190&gt;0,J190*100/I190,0)</f>
        <v>0</v>
      </c>
      <c r="L190" s="261"/>
      <c r="M190" s="261"/>
      <c r="N190" s="261"/>
      <c r="O190" s="261"/>
      <c r="P190" s="261"/>
    </row>
    <row r="191" spans="1:26" ht="19.5">
      <c r="A191" s="147"/>
      <c r="B191" s="148"/>
      <c r="C191" s="149" t="s">
        <v>16</v>
      </c>
      <c r="D191" s="826" t="s">
        <v>17</v>
      </c>
      <c r="E191" s="148"/>
      <c r="F191" s="148"/>
      <c r="G191" s="151"/>
      <c r="H191" s="274" t="s">
        <v>12</v>
      </c>
      <c r="I191" s="419"/>
      <c r="J191" s="419"/>
      <c r="K191" s="154"/>
      <c r="L191" s="155">
        <f ca="1">IFERROR(__xludf.DUMMYFUNCTION("IMPORTRANGE(""https://docs.google.com/spreadsheets/d/1QqKyyYR6Q21VydFLVH3TRQUabQu_ym0Zz7PgGX0-kHA/edit?usp=sharing"",""แผน!Z58"")"),6000)</f>
        <v>6000</v>
      </c>
      <c r="M191" s="155"/>
      <c r="N191" s="275">
        <v>0</v>
      </c>
      <c r="O191" s="155">
        <f ca="1">IF(L191&gt;0,N191*100/L191,0)</f>
        <v>0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0" t="s">
        <v>16</v>
      </c>
      <c r="D192" s="823" t="s">
        <v>38</v>
      </c>
      <c r="E192" s="173"/>
      <c r="F192" s="173"/>
      <c r="G192" s="174"/>
      <c r="H192" s="753"/>
      <c r="I192" s="269"/>
      <c r="J192" s="269"/>
      <c r="K192" s="496"/>
      <c r="L192" s="496"/>
      <c r="M192" s="496"/>
      <c r="N192" s="496"/>
      <c r="O192" s="496"/>
      <c r="P192" s="496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6" t="s">
        <v>91</v>
      </c>
      <c r="E193" s="178"/>
      <c r="F193" s="178"/>
      <c r="G193" s="179"/>
      <c r="H193" s="755" t="s">
        <v>90</v>
      </c>
      <c r="I193" s="269">
        <f ca="1">IFERROR(__xludf.DUMMYFUNCTION("IMPORTRANGE(""https://docs.google.com/spreadsheets/d/1QqKyyYR6Q21VydFLVH3TRQUabQu_ym0Zz7PgGX0-kHA/edit?usp=sharing"",""แผน!AC58"")"),4)</f>
        <v>4</v>
      </c>
      <c r="J193" s="214">
        <v>0</v>
      </c>
      <c r="K193" s="496">
        <f ca="1">IF(I193&gt;0,J193*100/I193,0)</f>
        <v>0</v>
      </c>
      <c r="L193" s="496"/>
      <c r="M193" s="496"/>
      <c r="N193" s="496"/>
      <c r="O193" s="496"/>
      <c r="P193" s="496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6" t="s">
        <v>92</v>
      </c>
      <c r="E194" s="178"/>
      <c r="F194" s="178"/>
      <c r="G194" s="179"/>
      <c r="H194" s="276" t="s">
        <v>35</v>
      </c>
      <c r="I194" s="269"/>
      <c r="J194" s="269">
        <f>J195+J196</f>
        <v>0</v>
      </c>
      <c r="K194" s="496"/>
      <c r="L194" s="496"/>
      <c r="M194" s="496"/>
      <c r="N194" s="496"/>
      <c r="O194" s="496"/>
      <c r="P194" s="496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6" t="s">
        <v>93</v>
      </c>
      <c r="F195" s="178"/>
      <c r="G195" s="179"/>
      <c r="H195" s="276" t="s">
        <v>35</v>
      </c>
      <c r="I195" s="269"/>
      <c r="J195" s="214">
        <v>0</v>
      </c>
      <c r="K195" s="496"/>
      <c r="L195" s="496"/>
      <c r="M195" s="496"/>
      <c r="N195" s="496"/>
      <c r="O195" s="496"/>
      <c r="P195" s="496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6" t="s">
        <v>94</v>
      </c>
      <c r="F196" s="178"/>
      <c r="G196" s="179"/>
      <c r="H196" s="276" t="s">
        <v>35</v>
      </c>
      <c r="I196" s="269"/>
      <c r="J196" s="214">
        <v>0</v>
      </c>
      <c r="K196" s="496"/>
      <c r="L196" s="496"/>
      <c r="M196" s="496"/>
      <c r="N196" s="496"/>
      <c r="O196" s="496"/>
      <c r="P196" s="496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5"/>
      <c r="B197" s="263"/>
      <c r="C197" s="270" t="s">
        <v>95</v>
      </c>
      <c r="D197" s="256"/>
      <c r="E197" s="256"/>
      <c r="F197" s="256"/>
      <c r="G197" s="258"/>
      <c r="H197" s="277" t="s">
        <v>96</v>
      </c>
      <c r="I197" s="271">
        <f t="shared" ref="I197:J197" ca="1" si="99">I204</f>
        <v>1</v>
      </c>
      <c r="J197" s="271">
        <f t="shared" si="99"/>
        <v>0</v>
      </c>
      <c r="K197" s="272">
        <f ca="1">IF(I197&gt;0,J197*100/I197,0)</f>
        <v>0</v>
      </c>
      <c r="L197" s="261"/>
      <c r="M197" s="261"/>
      <c r="N197" s="261"/>
      <c r="O197" s="261"/>
      <c r="P197" s="261"/>
    </row>
    <row r="198" spans="1:26" ht="19.5">
      <c r="A198" s="147"/>
      <c r="B198" s="148"/>
      <c r="C198" s="149" t="s">
        <v>16</v>
      </c>
      <c r="D198" s="826" t="s">
        <v>17</v>
      </c>
      <c r="E198" s="148"/>
      <c r="F198" s="148"/>
      <c r="G198" s="151"/>
      <c r="H198" s="274" t="s">
        <v>12</v>
      </c>
      <c r="I198" s="418"/>
      <c r="J198" s="418"/>
      <c r="K198" s="279"/>
      <c r="L198" s="155">
        <f ca="1">L199+L200+L201+L202</f>
        <v>13000</v>
      </c>
      <c r="M198" s="155"/>
      <c r="N198" s="155">
        <f>N199+N200+N201+N202</f>
        <v>0</v>
      </c>
      <c r="O198" s="155">
        <f ca="1">IF(L198&gt;0,N198*100/L198,0)</f>
        <v>0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0"/>
      <c r="C199" s="33"/>
      <c r="D199" s="281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6">
        <f ca="1">IFERROR(__xludf.DUMMYFUNCTION("IMPORTRANGE(""https://docs.google.com/spreadsheets/d/1QqKyyYR6Q21VydFLVH3TRQUabQu_ym0Zz7PgGX0-kHA/edit?usp=sharing"",""แผน!AE58"")"),1000)</f>
        <v>1000</v>
      </c>
      <c r="M199" s="496"/>
      <c r="N199" s="817">
        <v>0</v>
      </c>
      <c r="O199" s="496"/>
      <c r="P199" s="496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4"/>
      <c r="B200" s="280"/>
      <c r="C200" s="210"/>
      <c r="D200" s="281" t="s">
        <v>98</v>
      </c>
      <c r="E200" s="33"/>
      <c r="F200" s="33"/>
      <c r="G200" s="35"/>
      <c r="H200" s="616" t="s">
        <v>12</v>
      </c>
      <c r="I200" s="269"/>
      <c r="J200" s="269"/>
      <c r="K200" s="496"/>
      <c r="L200" s="496">
        <f ca="1">IFERROR(__xludf.DUMMYFUNCTION("IMPORTRANGE(""https://docs.google.com/spreadsheets/d/1QqKyyYR6Q21VydFLVH3TRQUabQu_ym0Zz7PgGX0-kHA/edit?usp=sharing"",""แผน!AF58"")"),8000)</f>
        <v>8000</v>
      </c>
      <c r="M200" s="496"/>
      <c r="N200" s="817">
        <v>0</v>
      </c>
      <c r="O200" s="496"/>
      <c r="P200" s="496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>
      <c r="A201" s="284"/>
      <c r="B201" s="280"/>
      <c r="C201" s="210"/>
      <c r="D201" s="281" t="s">
        <v>99</v>
      </c>
      <c r="E201" s="33"/>
      <c r="F201" s="33"/>
      <c r="G201" s="35"/>
      <c r="H201" s="616" t="s">
        <v>12</v>
      </c>
      <c r="I201" s="269"/>
      <c r="J201" s="269"/>
      <c r="K201" s="496"/>
      <c r="L201" s="496">
        <f ca="1">IFERROR(__xludf.DUMMYFUNCTION("IMPORTRANGE(""https://docs.google.com/spreadsheets/d/1QqKyyYR6Q21VydFLVH3TRQUabQu_ym0Zz7PgGX0-kHA/edit?usp=sharing"",""แผน!AG58"")"),4000)</f>
        <v>4000</v>
      </c>
      <c r="M201" s="496"/>
      <c r="N201" s="817">
        <v>0</v>
      </c>
      <c r="O201" s="496"/>
      <c r="P201" s="496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>
      <c r="A202" s="284"/>
      <c r="B202" s="280"/>
      <c r="C202" s="210"/>
      <c r="D202" s="281" t="s">
        <v>100</v>
      </c>
      <c r="E202" s="33"/>
      <c r="F202" s="33"/>
      <c r="G202" s="35"/>
      <c r="H202" s="616" t="s">
        <v>12</v>
      </c>
      <c r="I202" s="269"/>
      <c r="J202" s="269"/>
      <c r="K202" s="496"/>
      <c r="L202" s="496">
        <f ca="1">IFERROR(__xludf.DUMMYFUNCTION("IMPORTRANGE(""https://docs.google.com/spreadsheets/d/1QqKyyYR6Q21VydFLVH3TRQUabQu_ym0Zz7PgGX0-kHA/edit?usp=sharing"",""แผน!AH58"")"),0)</f>
        <v>0</v>
      </c>
      <c r="M202" s="496"/>
      <c r="N202" s="817">
        <v>0</v>
      </c>
      <c r="O202" s="496"/>
      <c r="P202" s="496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>
      <c r="A203" s="170"/>
      <c r="B203" s="171"/>
      <c r="C203" s="210" t="s">
        <v>16</v>
      </c>
      <c r="D203" s="823" t="s">
        <v>38</v>
      </c>
      <c r="E203" s="173"/>
      <c r="F203" s="173"/>
      <c r="G203" s="174"/>
      <c r="H203" s="753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53" t="s">
        <v>96</v>
      </c>
      <c r="I204" s="269">
        <f ca="1">IFERROR(__xludf.DUMMYFUNCTION("IMPORTRANGE(""https://docs.google.com/spreadsheets/d/1QqKyyYR6Q21VydFLVH3TRQUabQu_ym0Zz7PgGX0-kHA/edit?usp=sharing"",""แผน!AI58"")"),1)</f>
        <v>1</v>
      </c>
      <c r="J204" s="214">
        <v>0</v>
      </c>
      <c r="K204" s="163">
        <f ca="1">IF(I204&gt;0,J204*100/I204,0)</f>
        <v>0</v>
      </c>
      <c r="L204" s="496"/>
      <c r="M204" s="496"/>
      <c r="N204" s="496"/>
      <c r="O204" s="496"/>
      <c r="P204" s="496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6" t="s">
        <v>59</v>
      </c>
      <c r="E205" s="178"/>
      <c r="F205" s="178"/>
      <c r="G205" s="179"/>
      <c r="H205" s="753"/>
      <c r="I205" s="269"/>
      <c r="J205" s="269"/>
      <c r="K205" s="163"/>
      <c r="L205" s="496"/>
      <c r="M205" s="496"/>
      <c r="N205" s="496"/>
      <c r="O205" s="496"/>
      <c r="P205" s="496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25" t="s">
        <v>102</v>
      </c>
      <c r="F206" s="287"/>
      <c r="G206" s="288"/>
      <c r="H206" s="289" t="s">
        <v>96</v>
      </c>
      <c r="I206" s="269">
        <v>1</v>
      </c>
      <c r="J206" s="214">
        <v>0</v>
      </c>
      <c r="K206" s="163">
        <f t="shared" ref="K206:K208" si="100">IF(I206&gt;0,J206*100/I206,0)</f>
        <v>0</v>
      </c>
      <c r="L206" s="496"/>
      <c r="M206" s="496"/>
      <c r="N206" s="496"/>
      <c r="O206" s="496"/>
      <c r="P206" s="496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6"/>
      <c r="E207" s="446" t="s">
        <v>103</v>
      </c>
      <c r="F207" s="178"/>
      <c r="G207" s="178"/>
      <c r="H207" s="290" t="s">
        <v>104</v>
      </c>
      <c r="I207" s="269">
        <v>0</v>
      </c>
      <c r="J207" s="214">
        <v>0</v>
      </c>
      <c r="K207" s="163">
        <f t="shared" si="100"/>
        <v>0</v>
      </c>
      <c r="L207" s="496"/>
      <c r="M207" s="496"/>
      <c r="N207" s="496"/>
      <c r="O207" s="496"/>
      <c r="P207" s="496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>
      <c r="A208" s="255"/>
      <c r="B208" s="263"/>
      <c r="C208" s="270" t="s">
        <v>105</v>
      </c>
      <c r="D208" s="256"/>
      <c r="E208" s="256"/>
      <c r="F208" s="291"/>
      <c r="G208" s="258"/>
      <c r="H208" s="277" t="s">
        <v>96</v>
      </c>
      <c r="I208" s="271">
        <f t="shared" ref="I208:J208" ca="1" si="101">I215</f>
        <v>1</v>
      </c>
      <c r="J208" s="271">
        <f t="shared" si="101"/>
        <v>0</v>
      </c>
      <c r="K208" s="272">
        <f t="shared" ca="1" si="100"/>
        <v>0</v>
      </c>
      <c r="L208" s="261"/>
      <c r="M208" s="261"/>
      <c r="N208" s="261"/>
      <c r="O208" s="261"/>
      <c r="P208" s="261"/>
    </row>
    <row r="209" spans="1:26" ht="19.5">
      <c r="A209" s="147"/>
      <c r="B209" s="148"/>
      <c r="C209" s="149" t="s">
        <v>16</v>
      </c>
      <c r="D209" s="826" t="s">
        <v>17</v>
      </c>
      <c r="E209" s="148"/>
      <c r="F209" s="148"/>
      <c r="G209" s="151"/>
      <c r="H209" s="274" t="s">
        <v>12</v>
      </c>
      <c r="I209" s="418"/>
      <c r="J209" s="418"/>
      <c r="K209" s="279"/>
      <c r="L209" s="155">
        <f ca="1">L210+L211+L212</f>
        <v>14000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>
      <c r="A210" s="159"/>
      <c r="B210" s="280"/>
      <c r="C210" s="33"/>
      <c r="D210" s="281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6">
        <f ca="1">IFERROR(__xludf.DUMMYFUNCTION("IMPORTRANGE(""https://docs.google.com/spreadsheets/d/1QqKyyYR6Q21VydFLVH3TRQUabQu_ym0Zz7PgGX0-kHA/edit?usp=sharing"",""แผน!AK58"")"),1000)</f>
        <v>1000</v>
      </c>
      <c r="M210" s="496"/>
      <c r="N210" s="817">
        <v>0</v>
      </c>
      <c r="O210" s="496"/>
      <c r="P210" s="496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>
      <c r="A211" s="284"/>
      <c r="B211" s="280"/>
      <c r="C211" s="292"/>
      <c r="D211" s="281" t="s">
        <v>99</v>
      </c>
      <c r="E211" s="33"/>
      <c r="F211" s="33"/>
      <c r="G211" s="35"/>
      <c r="H211" s="161" t="s">
        <v>12</v>
      </c>
      <c r="I211" s="269"/>
      <c r="J211" s="269"/>
      <c r="K211" s="496"/>
      <c r="L211" s="496">
        <f ca="1">IFERROR(__xludf.DUMMYFUNCTION("IMPORTRANGE(""https://docs.google.com/spreadsheets/d/1QqKyyYR6Q21VydFLVH3TRQUabQu_ym0Zz7PgGX0-kHA/edit?usp=sharing"",""แผน!AL58"")"),5000)</f>
        <v>5000</v>
      </c>
      <c r="M211" s="496"/>
      <c r="N211" s="817">
        <v>0</v>
      </c>
      <c r="O211" s="496"/>
      <c r="P211" s="496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>
      <c r="A212" s="284"/>
      <c r="B212" s="280"/>
      <c r="C212" s="292"/>
      <c r="D212" s="281" t="s">
        <v>98</v>
      </c>
      <c r="E212" s="33"/>
      <c r="F212" s="33"/>
      <c r="G212" s="35"/>
      <c r="H212" s="161" t="s">
        <v>12</v>
      </c>
      <c r="I212" s="269"/>
      <c r="J212" s="269"/>
      <c r="K212" s="496"/>
      <c r="L212" s="496">
        <f ca="1">IFERROR(__xludf.DUMMYFUNCTION("IMPORTRANGE(""https://docs.google.com/spreadsheets/d/1QqKyyYR6Q21VydFLVH3TRQUabQu_ym0Zz7PgGX0-kHA/edit?usp=sharing"",""แผน!AM58"")"),8000)</f>
        <v>8000</v>
      </c>
      <c r="M212" s="496"/>
      <c r="N212" s="817">
        <v>0</v>
      </c>
      <c r="O212" s="496"/>
      <c r="P212" s="496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>
      <c r="A213" s="170"/>
      <c r="B213" s="171"/>
      <c r="C213" s="292" t="s">
        <v>16</v>
      </c>
      <c r="D213" s="823" t="s">
        <v>38</v>
      </c>
      <c r="E213" s="173"/>
      <c r="F213" s="173"/>
      <c r="G213" s="174"/>
      <c r="H213" s="753"/>
      <c r="I213" s="184"/>
      <c r="J213" s="269"/>
      <c r="K213" s="496"/>
      <c r="L213" s="496"/>
      <c r="M213" s="496"/>
      <c r="N213" s="496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>
      <c r="A214" s="170"/>
      <c r="B214" s="171"/>
      <c r="C214" s="171"/>
      <c r="D214" s="176" t="s">
        <v>106</v>
      </c>
      <c r="E214" s="178"/>
      <c r="F214" s="178"/>
      <c r="G214" s="179"/>
      <c r="H214" s="753" t="s">
        <v>96</v>
      </c>
      <c r="I214" s="269">
        <f ca="1">IFERROR(__xludf.DUMMYFUNCTION("IMPORTRANGE(""https://docs.google.com/spreadsheets/d/1QqKyyYR6Q21VydFLVH3TRQUabQu_ym0Zz7PgGX0-kHA/edit?usp=sharing"",""แผน!AN58"")"),1)</f>
        <v>1</v>
      </c>
      <c r="J214" s="214">
        <v>0</v>
      </c>
      <c r="K214" s="496">
        <f t="shared" ref="K214:K216" ca="1" si="102">IF(I214&gt;0,J214*100/I214,0)</f>
        <v>0</v>
      </c>
      <c r="L214" s="496"/>
      <c r="M214" s="496"/>
      <c r="N214" s="496"/>
      <c r="O214" s="496"/>
      <c r="P214" s="496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>
      <c r="A215" s="170"/>
      <c r="B215" s="171"/>
      <c r="C215" s="171"/>
      <c r="D215" s="176" t="s">
        <v>107</v>
      </c>
      <c r="E215" s="178"/>
      <c r="F215" s="178"/>
      <c r="G215" s="179"/>
      <c r="H215" s="753" t="s">
        <v>96</v>
      </c>
      <c r="I215" s="269">
        <f ca="1">IFERROR(__xludf.DUMMYFUNCTION("IMPORTRANGE(""https://docs.google.com/spreadsheets/d/1QqKyyYR6Q21VydFLVH3TRQUabQu_ym0Zz7PgGX0-kHA/edit?usp=sharing"",""แผน!AN58"")"),1)</f>
        <v>1</v>
      </c>
      <c r="J215" s="214">
        <v>0</v>
      </c>
      <c r="K215" s="496">
        <f t="shared" ca="1" si="102"/>
        <v>0</v>
      </c>
      <c r="L215" s="496"/>
      <c r="M215" s="496"/>
      <c r="N215" s="496"/>
      <c r="O215" s="496"/>
      <c r="P215" s="496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5"/>
      <c r="B216" s="263"/>
      <c r="C216" s="270" t="s">
        <v>108</v>
      </c>
      <c r="D216" s="256"/>
      <c r="E216" s="256"/>
      <c r="F216" s="291"/>
      <c r="G216" s="258"/>
      <c r="H216" s="259" t="s">
        <v>109</v>
      </c>
      <c r="I216" s="271">
        <f t="shared" ref="I216:J216" ca="1" si="103">I224</f>
        <v>3200</v>
      </c>
      <c r="J216" s="271">
        <f t="shared" si="103"/>
        <v>0</v>
      </c>
      <c r="K216" s="272">
        <f t="shared" ca="1" si="102"/>
        <v>0</v>
      </c>
      <c r="L216" s="261"/>
      <c r="M216" s="261"/>
      <c r="N216" s="261"/>
      <c r="O216" s="261"/>
      <c r="P216" s="261"/>
    </row>
    <row r="217" spans="1:26" ht="19.5">
      <c r="A217" s="147"/>
      <c r="B217" s="148"/>
      <c r="C217" s="149" t="s">
        <v>16</v>
      </c>
      <c r="D217" s="826" t="s">
        <v>17</v>
      </c>
      <c r="E217" s="148"/>
      <c r="F217" s="148"/>
      <c r="G217" s="151"/>
      <c r="H217" s="274" t="s">
        <v>12</v>
      </c>
      <c r="I217" s="418"/>
      <c r="J217" s="418"/>
      <c r="K217" s="279"/>
      <c r="L217" s="155">
        <f ca="1">L218+L219+L220</f>
        <v>5600</v>
      </c>
      <c r="M217" s="155"/>
      <c r="N217" s="155">
        <f>N218+N219+N220</f>
        <v>0</v>
      </c>
      <c r="O217" s="155">
        <f ca="1">IF(L217&gt;0,N217*100/L217,0)</f>
        <v>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0"/>
      <c r="C218" s="33"/>
      <c r="D218" s="281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6">
        <f ca="1">IFERROR(__xludf.DUMMYFUNCTION("IMPORTRANGE(""https://docs.google.com/spreadsheets/d/1QqKyyYR6Q21VydFLVH3TRQUabQu_ym0Zz7PgGX0-kHA/edit?usp=sharing"",""แผน!AP58"")"),3000)</f>
        <v>3000</v>
      </c>
      <c r="M218" s="496"/>
      <c r="N218" s="817">
        <v>0</v>
      </c>
      <c r="O218" s="496"/>
      <c r="P218" s="496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4"/>
      <c r="B219" s="280"/>
      <c r="C219" s="292"/>
      <c r="D219" s="281" t="s">
        <v>110</v>
      </c>
      <c r="E219" s="33"/>
      <c r="F219" s="33"/>
      <c r="G219" s="35"/>
      <c r="H219" s="161" t="s">
        <v>12</v>
      </c>
      <c r="I219" s="269"/>
      <c r="J219" s="269"/>
      <c r="K219" s="496"/>
      <c r="L219" s="496">
        <f ca="1">IFERROR(__xludf.DUMMYFUNCTION("IMPORTRANGE(""https://docs.google.com/spreadsheets/d/1QqKyyYR6Q21VydFLVH3TRQUabQu_ym0Zz7PgGX0-kHA/edit?usp=sharing"",""แผน!AQ58"")"),2600)</f>
        <v>2600</v>
      </c>
      <c r="M219" s="496"/>
      <c r="N219" s="817">
        <v>0</v>
      </c>
      <c r="O219" s="496"/>
      <c r="P219" s="496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0"/>
      <c r="C220" s="292"/>
      <c r="D220" s="281" t="s">
        <v>98</v>
      </c>
      <c r="E220" s="33"/>
      <c r="F220" s="33"/>
      <c r="G220" s="35"/>
      <c r="H220" s="161" t="s">
        <v>12</v>
      </c>
      <c r="I220" s="269"/>
      <c r="J220" s="269"/>
      <c r="K220" s="496"/>
      <c r="L220" s="496">
        <f ca="1">IFERROR(__xludf.DUMMYFUNCTION("IMPORTRANGE(""https://docs.google.com/spreadsheets/d/1QqKyyYR6Q21VydFLVH3TRQUabQu_ym0Zz7PgGX0-kHA/edit?usp=sharing"",""แผน!AR58"")"),0)</f>
        <v>0</v>
      </c>
      <c r="M220" s="496"/>
      <c r="N220" s="817">
        <v>0</v>
      </c>
      <c r="O220" s="496"/>
      <c r="P220" s="496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70"/>
      <c r="B221" s="171"/>
      <c r="C221" s="292" t="s">
        <v>16</v>
      </c>
      <c r="D221" s="823" t="s">
        <v>38</v>
      </c>
      <c r="E221" s="173"/>
      <c r="F221" s="173"/>
      <c r="G221" s="174"/>
      <c r="H221" s="753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1" t="s">
        <v>111</v>
      </c>
      <c r="E222" s="178"/>
      <c r="F222" s="178"/>
      <c r="G222" s="179"/>
      <c r="H222" s="753"/>
      <c r="I222" s="269"/>
      <c r="J222" s="269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55" t="s">
        <v>109</v>
      </c>
      <c r="I223" s="269">
        <f ca="1">IFERROR(__xludf.DUMMYFUNCTION("IMPORTRANGE(""https://docs.google.com/spreadsheets/d/1QqKyyYR6Q21VydFLVH3TRQUabQu_ym0Zz7PgGX0-kHA/edit?usp=sharing"",""แผน!AT58"")"),3200)</f>
        <v>3200</v>
      </c>
      <c r="J223" s="214">
        <v>0</v>
      </c>
      <c r="K223" s="163">
        <f t="shared" ref="K223:K226" ca="1" si="104">IF(I223&gt;0,J223*100/I223,0)</f>
        <v>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55" t="s">
        <v>109</v>
      </c>
      <c r="I224" s="269">
        <f ca="1">IFERROR(__xludf.DUMMYFUNCTION("IMPORTRANGE(""https://docs.google.com/spreadsheets/d/1QqKyyYR6Q21VydFLVH3TRQUabQu_ym0Zz7PgGX0-kHA/edit?usp=sharing"",""แผน!AT58"")"),3200)</f>
        <v>3200</v>
      </c>
      <c r="J224" s="214">
        <v>0</v>
      </c>
      <c r="K224" s="163">
        <f t="shared" ca="1" si="104"/>
        <v>0</v>
      </c>
      <c r="L224" s="496"/>
      <c r="M224" s="496"/>
      <c r="N224" s="496"/>
      <c r="O224" s="496"/>
      <c r="P224" s="496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1" t="s">
        <v>114</v>
      </c>
      <c r="E225" s="178"/>
      <c r="F225" s="178"/>
      <c r="G225" s="179"/>
      <c r="H225" s="755" t="s">
        <v>35</v>
      </c>
      <c r="I225" s="269">
        <f ca="1">IFERROR(__xludf.DUMMYFUNCTION("IMPORTRANGE(""https://docs.google.com/spreadsheets/d/1QqKyyYR6Q21VydFLVH3TRQUabQu_ym0Zz7PgGX0-kHA/edit?usp=sharing"",""แผน!AS58"")"),0)</f>
        <v>0</v>
      </c>
      <c r="J225" s="214">
        <v>0</v>
      </c>
      <c r="K225" s="163">
        <f t="shared" ca="1" si="104"/>
        <v>0</v>
      </c>
      <c r="L225" s="496"/>
      <c r="M225" s="496"/>
      <c r="N225" s="496"/>
      <c r="O225" s="496"/>
      <c r="P225" s="496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5"/>
      <c r="B226" s="263"/>
      <c r="C226" s="341" t="s">
        <v>115</v>
      </c>
      <c r="D226" s="256"/>
      <c r="E226" s="256"/>
      <c r="F226" s="256"/>
      <c r="G226" s="258"/>
      <c r="H226" s="265" t="s">
        <v>35</v>
      </c>
      <c r="I226" s="344">
        <f t="shared" ref="I226:J226" ca="1" si="105">I237+I248</f>
        <v>0</v>
      </c>
      <c r="J226" s="344">
        <f t="shared" si="105"/>
        <v>0</v>
      </c>
      <c r="K226" s="345">
        <f t="shared" ca="1" si="104"/>
        <v>0</v>
      </c>
      <c r="L226" s="261"/>
      <c r="M226" s="261"/>
      <c r="N226" s="261"/>
      <c r="O226" s="261"/>
      <c r="P226" s="261"/>
    </row>
    <row r="227" spans="1:26" ht="19.5" hidden="1">
      <c r="A227" s="347"/>
      <c r="B227" s="348"/>
      <c r="C227" s="349" t="s">
        <v>16</v>
      </c>
      <c r="D227" s="827" t="s">
        <v>17</v>
      </c>
      <c r="E227" s="348"/>
      <c r="F227" s="348"/>
      <c r="G227" s="351"/>
      <c r="H227" s="352" t="s">
        <v>12</v>
      </c>
      <c r="I227" s="353"/>
      <c r="J227" s="353"/>
      <c r="K227" s="354"/>
      <c r="L227" s="355">
        <f t="shared" ref="L227:L231" ca="1" si="106">L238+L249</f>
        <v>0</v>
      </c>
      <c r="M227" s="355"/>
      <c r="N227" s="355">
        <f t="shared" ref="N227:N231" si="107">N238+N249</f>
        <v>0</v>
      </c>
      <c r="O227" s="828"/>
      <c r="P227" s="828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6"/>
      <c r="C228" s="40"/>
      <c r="D228" s="222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0</v>
      </c>
      <c r="M228" s="93"/>
      <c r="N228" s="93">
        <f t="shared" si="107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8"/>
      <c r="B229" s="356"/>
      <c r="C229" s="359"/>
      <c r="D229" s="222" t="s">
        <v>98</v>
      </c>
      <c r="E229" s="40"/>
      <c r="F229" s="40"/>
      <c r="G229" s="42"/>
      <c r="H229" s="165" t="s">
        <v>12</v>
      </c>
      <c r="I229" s="610"/>
      <c r="J229" s="610"/>
      <c r="K229" s="93"/>
      <c r="L229" s="93">
        <f t="shared" ca="1" si="106"/>
        <v>0</v>
      </c>
      <c r="M229" s="93"/>
      <c r="N229" s="93">
        <f t="shared" si="107"/>
        <v>0</v>
      </c>
      <c r="O229" s="93"/>
      <c r="P229" s="93"/>
      <c r="Q229" s="360"/>
      <c r="R229" s="360"/>
      <c r="S229" s="360"/>
      <c r="T229" s="360"/>
      <c r="U229" s="360"/>
      <c r="V229" s="360"/>
      <c r="W229" s="360"/>
      <c r="X229" s="360"/>
      <c r="Y229" s="360"/>
      <c r="Z229" s="360"/>
    </row>
    <row r="230" spans="1:26" ht="19.5" hidden="1">
      <c r="A230" s="358"/>
      <c r="B230" s="356"/>
      <c r="C230" s="359"/>
      <c r="D230" s="222" t="s">
        <v>116</v>
      </c>
      <c r="E230" s="40"/>
      <c r="F230" s="40"/>
      <c r="G230" s="42"/>
      <c r="H230" s="165" t="s">
        <v>12</v>
      </c>
      <c r="I230" s="610"/>
      <c r="J230" s="610"/>
      <c r="K230" s="93"/>
      <c r="L230" s="93">
        <f t="shared" ca="1" si="106"/>
        <v>0</v>
      </c>
      <c r="M230" s="93"/>
      <c r="N230" s="93">
        <f t="shared" si="107"/>
        <v>0</v>
      </c>
      <c r="O230" s="93"/>
      <c r="P230" s="93"/>
      <c r="Q230" s="360"/>
      <c r="R230" s="360"/>
      <c r="S230" s="360"/>
      <c r="T230" s="360"/>
      <c r="U230" s="360"/>
      <c r="V230" s="360"/>
      <c r="W230" s="360"/>
      <c r="X230" s="360"/>
      <c r="Y230" s="360"/>
      <c r="Z230" s="360"/>
    </row>
    <row r="231" spans="1:26" ht="19.5" hidden="1">
      <c r="A231" s="358"/>
      <c r="B231" s="356"/>
      <c r="C231" s="359"/>
      <c r="D231" s="222" t="s">
        <v>100</v>
      </c>
      <c r="E231" s="40"/>
      <c r="F231" s="40"/>
      <c r="G231" s="42"/>
      <c r="H231" s="165" t="s">
        <v>12</v>
      </c>
      <c r="I231" s="610"/>
      <c r="J231" s="610"/>
      <c r="K231" s="93"/>
      <c r="L231" s="93">
        <f t="shared" ca="1" si="106"/>
        <v>0</v>
      </c>
      <c r="M231" s="93"/>
      <c r="N231" s="93">
        <f t="shared" si="107"/>
        <v>0</v>
      </c>
      <c r="O231" s="93"/>
      <c r="P231" s="93"/>
      <c r="Q231" s="360"/>
      <c r="R231" s="360"/>
      <c r="S231" s="360"/>
      <c r="T231" s="360"/>
      <c r="U231" s="360"/>
      <c r="V231" s="360"/>
      <c r="W231" s="360"/>
      <c r="X231" s="360"/>
      <c r="Y231" s="360"/>
      <c r="Z231" s="360"/>
    </row>
    <row r="232" spans="1:26" ht="19.5" hidden="1">
      <c r="A232" s="361"/>
      <c r="B232" s="362"/>
      <c r="C232" s="359" t="s">
        <v>16</v>
      </c>
      <c r="D232" s="266" t="s">
        <v>38</v>
      </c>
      <c r="E232" s="363"/>
      <c r="F232" s="363"/>
      <c r="G232" s="364"/>
      <c r="H232" s="365"/>
      <c r="I232" s="166"/>
      <c r="J232" s="610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1"/>
      <c r="B233" s="362"/>
      <c r="C233" s="362"/>
      <c r="D233" s="366" t="s">
        <v>117</v>
      </c>
      <c r="E233" s="372"/>
      <c r="F233" s="372"/>
      <c r="G233" s="368"/>
      <c r="H233" s="369" t="s">
        <v>35</v>
      </c>
      <c r="I233" s="610">
        <f t="shared" ref="I233:J233" ca="1" si="108">I244+I255</f>
        <v>0</v>
      </c>
      <c r="J233" s="610">
        <f t="shared" si="108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1"/>
      <c r="B234" s="362"/>
      <c r="C234" s="362"/>
      <c r="D234" s="371" t="s">
        <v>43</v>
      </c>
      <c r="E234" s="372"/>
      <c r="F234" s="372"/>
      <c r="G234" s="368"/>
      <c r="H234" s="369"/>
      <c r="I234" s="610"/>
      <c r="J234" s="610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1"/>
      <c r="B235" s="362"/>
      <c r="C235" s="362"/>
      <c r="D235" s="362"/>
      <c r="E235" s="373" t="s">
        <v>118</v>
      </c>
      <c r="F235" s="372"/>
      <c r="G235" s="368"/>
      <c r="H235" s="369" t="s">
        <v>35</v>
      </c>
      <c r="I235" s="610">
        <f t="shared" ref="I235:J236" si="109">I246+I257</f>
        <v>0</v>
      </c>
      <c r="J235" s="610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1"/>
      <c r="B236" s="362"/>
      <c r="C236" s="362"/>
      <c r="D236" s="362"/>
      <c r="E236" s="373" t="s">
        <v>119</v>
      </c>
      <c r="F236" s="372"/>
      <c r="G236" s="368"/>
      <c r="H236" s="369" t="s">
        <v>69</v>
      </c>
      <c r="I236" s="610">
        <f t="shared" si="109"/>
        <v>0</v>
      </c>
      <c r="J236" s="610">
        <f t="shared" si="109"/>
        <v>0</v>
      </c>
      <c r="K236" s="93">
        <f t="shared" si="110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5"/>
      <c r="B237" s="263"/>
      <c r="C237" s="270" t="s">
        <v>120</v>
      </c>
      <c r="D237" s="256"/>
      <c r="E237" s="256"/>
      <c r="F237" s="256"/>
      <c r="G237" s="258"/>
      <c r="H237" s="259" t="s">
        <v>35</v>
      </c>
      <c r="I237" s="271">
        <f t="shared" ref="I237:J237" ca="1" si="111">I244</f>
        <v>0</v>
      </c>
      <c r="J237" s="271">
        <f t="shared" si="111"/>
        <v>0</v>
      </c>
      <c r="K237" s="272">
        <f t="shared" ca="1" si="110"/>
        <v>0</v>
      </c>
      <c r="L237" s="261"/>
      <c r="M237" s="261"/>
      <c r="N237" s="261"/>
      <c r="O237" s="261"/>
      <c r="P237" s="261"/>
    </row>
    <row r="238" spans="1:26" ht="19.5" hidden="1">
      <c r="A238" s="147"/>
      <c r="B238" s="148"/>
      <c r="C238" s="149" t="s">
        <v>16</v>
      </c>
      <c r="D238" s="822" t="s">
        <v>17</v>
      </c>
      <c r="E238" s="148"/>
      <c r="F238" s="148"/>
      <c r="G238" s="151"/>
      <c r="H238" s="274" t="s">
        <v>12</v>
      </c>
      <c r="I238" s="418"/>
      <c r="J238" s="418"/>
      <c r="K238" s="279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4"/>
      <c r="B239" s="315"/>
      <c r="C239" s="316"/>
      <c r="D239" s="324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282">
        <f ca="1">IFERROR(__xludf.DUMMYFUNCTION("IMPORTRANGE(""https://docs.google.com/spreadsheets/d/1QqKyyYR6Q21VydFLVH3TRQUabQu_ym0Zz7PgGX0-kHA/edit?usp=sharing"",""แผน!AV58"")"),0)</f>
        <v>0</v>
      </c>
      <c r="M239" s="282"/>
      <c r="N239" s="829">
        <v>0</v>
      </c>
      <c r="O239" s="282"/>
      <c r="P239" s="28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 hidden="1">
      <c r="A240" s="322"/>
      <c r="B240" s="315"/>
      <c r="C240" s="323"/>
      <c r="D240" s="324" t="s">
        <v>98</v>
      </c>
      <c r="E240" s="316"/>
      <c r="F240" s="316"/>
      <c r="G240" s="318"/>
      <c r="H240" s="319" t="s">
        <v>12</v>
      </c>
      <c r="I240" s="325"/>
      <c r="J240" s="325"/>
      <c r="K240" s="282"/>
      <c r="L240" s="282">
        <f ca="1">IFERROR(__xludf.DUMMYFUNCTION("IMPORTRANGE(""https://docs.google.com/spreadsheets/d/1QqKyyYR6Q21VydFLVH3TRQUabQu_ym0Zz7PgGX0-kHA/edit?usp=sharing"",""แผน!AW58"")"),0)</f>
        <v>0</v>
      </c>
      <c r="M240" s="282"/>
      <c r="N240" s="829">
        <v>0</v>
      </c>
      <c r="O240" s="282"/>
      <c r="P240" s="282"/>
      <c r="Q240" s="326"/>
      <c r="R240" s="326"/>
      <c r="S240" s="326"/>
      <c r="T240" s="326"/>
      <c r="U240" s="326"/>
      <c r="V240" s="326"/>
      <c r="W240" s="326"/>
      <c r="X240" s="326"/>
      <c r="Y240" s="326"/>
      <c r="Z240" s="326"/>
    </row>
    <row r="241" spans="1:26" ht="19.5" hidden="1">
      <c r="A241" s="322"/>
      <c r="B241" s="315"/>
      <c r="C241" s="323"/>
      <c r="D241" s="324" t="s">
        <v>116</v>
      </c>
      <c r="E241" s="316"/>
      <c r="F241" s="316"/>
      <c r="G241" s="318"/>
      <c r="H241" s="319" t="s">
        <v>12</v>
      </c>
      <c r="I241" s="325"/>
      <c r="J241" s="325"/>
      <c r="K241" s="282"/>
      <c r="L241" s="282">
        <f ca="1">IFERROR(__xludf.DUMMYFUNCTION("IMPORTRANGE(""https://docs.google.com/spreadsheets/d/1QqKyyYR6Q21VydFLVH3TRQUabQu_ym0Zz7PgGX0-kHA/edit?usp=sharing"",""แผน!AX58"")"),0)</f>
        <v>0</v>
      </c>
      <c r="M241" s="282"/>
      <c r="N241" s="829">
        <v>0</v>
      </c>
      <c r="O241" s="282"/>
      <c r="P241" s="282"/>
      <c r="Q241" s="326"/>
      <c r="R241" s="326"/>
      <c r="S241" s="326"/>
      <c r="T241" s="326"/>
      <c r="U241" s="326"/>
      <c r="V241" s="326"/>
      <c r="W241" s="326"/>
      <c r="X241" s="326"/>
      <c r="Y241" s="326"/>
      <c r="Z241" s="326"/>
    </row>
    <row r="242" spans="1:26" ht="19.5" hidden="1">
      <c r="A242" s="322"/>
      <c r="B242" s="315"/>
      <c r="C242" s="323"/>
      <c r="D242" s="324" t="s">
        <v>100</v>
      </c>
      <c r="E242" s="316"/>
      <c r="F242" s="316"/>
      <c r="G242" s="318"/>
      <c r="H242" s="319" t="s">
        <v>12</v>
      </c>
      <c r="I242" s="325"/>
      <c r="J242" s="325"/>
      <c r="K242" s="282"/>
      <c r="L242" s="282">
        <f ca="1">IFERROR(__xludf.DUMMYFUNCTION("IMPORTRANGE(""https://docs.google.com/spreadsheets/d/1QqKyyYR6Q21VydFLVH3TRQUabQu_ym0Zz7PgGX0-kHA/edit?usp=sharing"",""แผน!AY58"")"),0)</f>
        <v>0</v>
      </c>
      <c r="M242" s="282"/>
      <c r="N242" s="829">
        <v>0</v>
      </c>
      <c r="O242" s="282"/>
      <c r="P242" s="282"/>
      <c r="Q242" s="326"/>
      <c r="R242" s="326"/>
      <c r="S242" s="326"/>
      <c r="T242" s="326"/>
      <c r="U242" s="326"/>
      <c r="V242" s="326"/>
      <c r="W242" s="326"/>
      <c r="X242" s="326"/>
      <c r="Y242" s="326"/>
      <c r="Z242" s="326"/>
    </row>
    <row r="243" spans="1:26" ht="19.5" hidden="1">
      <c r="A243" s="170"/>
      <c r="B243" s="171"/>
      <c r="C243" s="292" t="s">
        <v>16</v>
      </c>
      <c r="D243" s="823" t="s">
        <v>38</v>
      </c>
      <c r="E243" s="173"/>
      <c r="F243" s="173"/>
      <c r="G243" s="174"/>
      <c r="H243" s="753"/>
      <c r="I243" s="184"/>
      <c r="J243" s="269"/>
      <c r="K243" s="496"/>
      <c r="L243" s="496"/>
      <c r="M243" s="496"/>
      <c r="N243" s="496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46" t="s">
        <v>117</v>
      </c>
      <c r="E244" s="178"/>
      <c r="F244" s="178"/>
      <c r="G244" s="179"/>
      <c r="H244" s="755" t="s">
        <v>35</v>
      </c>
      <c r="I244" s="269">
        <f ca="1">IFERROR(__xludf.DUMMYFUNCTION("IMPORTRANGE(""https://docs.google.com/spreadsheets/d/1QqKyyYR6Q21VydFLVH3TRQUabQu_ym0Zz7PgGX0-kHA/edit?usp=sharing"",""แผน!BE58"")"),0)</f>
        <v>0</v>
      </c>
      <c r="J244" s="214">
        <v>0</v>
      </c>
      <c r="K244" s="496">
        <f ca="1">IF(I244&gt;0,J244*100/I244,0)</f>
        <v>0</v>
      </c>
      <c r="L244" s="496"/>
      <c r="M244" s="496"/>
      <c r="N244" s="496"/>
      <c r="O244" s="496"/>
      <c r="P244" s="496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830" t="s">
        <v>43</v>
      </c>
      <c r="E245" s="178"/>
      <c r="F245" s="178"/>
      <c r="G245" s="179"/>
      <c r="H245" s="755"/>
      <c r="I245" s="269"/>
      <c r="J245" s="269"/>
      <c r="K245" s="496"/>
      <c r="L245" s="496"/>
      <c r="M245" s="496"/>
      <c r="N245" s="496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176" t="s">
        <v>118</v>
      </c>
      <c r="F246" s="178"/>
      <c r="G246" s="179"/>
      <c r="H246" s="755" t="s">
        <v>35</v>
      </c>
      <c r="I246" s="269"/>
      <c r="J246" s="214">
        <v>0</v>
      </c>
      <c r="K246" s="496">
        <f t="shared" ref="K246:K248" si="112">IF(I246&gt;0,J246*100/I246,0)</f>
        <v>0</v>
      </c>
      <c r="L246" s="496"/>
      <c r="M246" s="496"/>
      <c r="N246" s="496"/>
      <c r="O246" s="496"/>
      <c r="P246" s="496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176" t="s">
        <v>119</v>
      </c>
      <c r="F247" s="178"/>
      <c r="G247" s="179"/>
      <c r="H247" s="755" t="s">
        <v>69</v>
      </c>
      <c r="I247" s="269"/>
      <c r="J247" s="214">
        <v>0</v>
      </c>
      <c r="K247" s="496">
        <f t="shared" si="112"/>
        <v>0</v>
      </c>
      <c r="L247" s="496"/>
      <c r="M247" s="496"/>
      <c r="N247" s="496"/>
      <c r="O247" s="496"/>
      <c r="P247" s="496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5"/>
      <c r="B248" s="263"/>
      <c r="C248" s="270" t="s">
        <v>121</v>
      </c>
      <c r="D248" s="256"/>
      <c r="E248" s="256"/>
      <c r="F248" s="256"/>
      <c r="G248" s="258"/>
      <c r="H248" s="259" t="s">
        <v>35</v>
      </c>
      <c r="I248" s="271">
        <f t="shared" ref="I248:J248" ca="1" si="113">I255</f>
        <v>0</v>
      </c>
      <c r="J248" s="271">
        <f t="shared" si="113"/>
        <v>0</v>
      </c>
      <c r="K248" s="272">
        <f t="shared" ca="1" si="112"/>
        <v>0</v>
      </c>
      <c r="L248" s="261"/>
      <c r="M248" s="261"/>
      <c r="N248" s="261"/>
      <c r="O248" s="261"/>
      <c r="P248" s="261"/>
    </row>
    <row r="249" spans="1:26" ht="19.5" hidden="1">
      <c r="A249" s="147"/>
      <c r="B249" s="148"/>
      <c r="C249" s="149" t="s">
        <v>16</v>
      </c>
      <c r="D249" s="826" t="s">
        <v>17</v>
      </c>
      <c r="E249" s="148"/>
      <c r="F249" s="148"/>
      <c r="G249" s="151"/>
      <c r="H249" s="274" t="s">
        <v>12</v>
      </c>
      <c r="I249" s="418"/>
      <c r="J249" s="418"/>
      <c r="K249" s="279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4"/>
      <c r="B250" s="315"/>
      <c r="C250" s="316"/>
      <c r="D250" s="324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282">
        <f ca="1">IFERROR(__xludf.DUMMYFUNCTION("IMPORTRANGE(""https://docs.google.com/spreadsheets/d/1QqKyyYR6Q21VydFLVH3TRQUabQu_ym0Zz7PgGX0-kHA/edit?usp=sharing"",""แผน!AZ58"")"),0)</f>
        <v>0</v>
      </c>
      <c r="M250" s="282"/>
      <c r="N250" s="829">
        <v>0</v>
      </c>
      <c r="O250" s="282"/>
      <c r="P250" s="282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9.5" hidden="1">
      <c r="A251" s="322"/>
      <c r="B251" s="315"/>
      <c r="C251" s="323"/>
      <c r="D251" s="324" t="s">
        <v>98</v>
      </c>
      <c r="E251" s="316"/>
      <c r="F251" s="316"/>
      <c r="G251" s="318"/>
      <c r="H251" s="319" t="s">
        <v>12</v>
      </c>
      <c r="I251" s="325"/>
      <c r="J251" s="325"/>
      <c r="K251" s="282"/>
      <c r="L251" s="282">
        <f ca="1">IFERROR(__xludf.DUMMYFUNCTION("IMPORTRANGE(""https://docs.google.com/spreadsheets/d/1QqKyyYR6Q21VydFLVH3TRQUabQu_ym0Zz7PgGX0-kHA/edit?usp=sharing"",""แผน!BA58"")"),0)</f>
        <v>0</v>
      </c>
      <c r="M251" s="282"/>
      <c r="N251" s="829">
        <v>0</v>
      </c>
      <c r="O251" s="282"/>
      <c r="P251" s="282"/>
      <c r="Q251" s="326"/>
      <c r="R251" s="326"/>
      <c r="S251" s="326"/>
      <c r="T251" s="326"/>
      <c r="U251" s="326"/>
      <c r="V251" s="326"/>
      <c r="W251" s="326"/>
      <c r="X251" s="326"/>
      <c r="Y251" s="326"/>
      <c r="Z251" s="326"/>
    </row>
    <row r="252" spans="1:26" ht="19.5" hidden="1">
      <c r="A252" s="322"/>
      <c r="B252" s="315"/>
      <c r="C252" s="323"/>
      <c r="D252" s="324" t="s">
        <v>116</v>
      </c>
      <c r="E252" s="316"/>
      <c r="F252" s="316"/>
      <c r="G252" s="318"/>
      <c r="H252" s="319" t="s">
        <v>12</v>
      </c>
      <c r="I252" s="325"/>
      <c r="J252" s="325"/>
      <c r="K252" s="282"/>
      <c r="L252" s="282">
        <f ca="1">IFERROR(__xludf.DUMMYFUNCTION("IMPORTRANGE(""https://docs.google.com/spreadsheets/d/1QqKyyYR6Q21VydFLVH3TRQUabQu_ym0Zz7PgGX0-kHA/edit?usp=sharing"",""แผน!BB58"")"),0)</f>
        <v>0</v>
      </c>
      <c r="M252" s="282"/>
      <c r="N252" s="829">
        <v>0</v>
      </c>
      <c r="O252" s="282"/>
      <c r="P252" s="282"/>
      <c r="Q252" s="326"/>
      <c r="R252" s="326"/>
      <c r="S252" s="326"/>
      <c r="T252" s="326"/>
      <c r="U252" s="326"/>
      <c r="V252" s="326"/>
      <c r="W252" s="326"/>
      <c r="X252" s="326"/>
      <c r="Y252" s="326"/>
      <c r="Z252" s="326"/>
    </row>
    <row r="253" spans="1:26" ht="19.5" hidden="1">
      <c r="A253" s="322"/>
      <c r="B253" s="315"/>
      <c r="C253" s="323"/>
      <c r="D253" s="324" t="s">
        <v>100</v>
      </c>
      <c r="E253" s="316"/>
      <c r="F253" s="316"/>
      <c r="G253" s="318"/>
      <c r="H253" s="319" t="s">
        <v>12</v>
      </c>
      <c r="I253" s="325"/>
      <c r="J253" s="325"/>
      <c r="K253" s="282"/>
      <c r="L253" s="282">
        <f ca="1">IFERROR(__xludf.DUMMYFUNCTION("IMPORTRANGE(""https://docs.google.com/spreadsheets/d/1QqKyyYR6Q21VydFLVH3TRQUabQu_ym0Zz7PgGX0-kHA/edit?usp=sharing"",""แผน!BC58"")"),0)</f>
        <v>0</v>
      </c>
      <c r="M253" s="282"/>
      <c r="N253" s="829">
        <v>0</v>
      </c>
      <c r="O253" s="282"/>
      <c r="P253" s="282"/>
      <c r="Q253" s="326"/>
      <c r="R253" s="326"/>
      <c r="S253" s="326"/>
      <c r="T253" s="326"/>
      <c r="U253" s="326"/>
      <c r="V253" s="326"/>
      <c r="W253" s="326"/>
      <c r="X253" s="326"/>
      <c r="Y253" s="326"/>
      <c r="Z253" s="326"/>
    </row>
    <row r="254" spans="1:26" ht="19.5" hidden="1">
      <c r="A254" s="170"/>
      <c r="B254" s="171"/>
      <c r="C254" s="292" t="s">
        <v>16</v>
      </c>
      <c r="D254" s="823" t="s">
        <v>38</v>
      </c>
      <c r="E254" s="173"/>
      <c r="F254" s="173"/>
      <c r="G254" s="174"/>
      <c r="H254" s="753"/>
      <c r="I254" s="184"/>
      <c r="J254" s="269"/>
      <c r="K254" s="496"/>
      <c r="L254" s="496"/>
      <c r="M254" s="496"/>
      <c r="N254" s="496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6" t="s">
        <v>117</v>
      </c>
      <c r="E255" s="178"/>
      <c r="F255" s="178"/>
      <c r="G255" s="179"/>
      <c r="H255" s="755" t="s">
        <v>35</v>
      </c>
      <c r="I255" s="269">
        <f ca="1">IFERROR(__xludf.DUMMYFUNCTION("IMPORTRANGE(""https://docs.google.com/spreadsheets/d/1QqKyyYR6Q21VydFLVH3TRQUabQu_ym0Zz7PgGX0-kHA/edit?usp=sharing"",""แผน!BF58"")"),0)</f>
        <v>0</v>
      </c>
      <c r="J255" s="214">
        <v>0</v>
      </c>
      <c r="K255" s="496">
        <f ca="1">IF(I255&gt;0,J255*100/I255,0)</f>
        <v>0</v>
      </c>
      <c r="L255" s="496"/>
      <c r="M255" s="496"/>
      <c r="N255" s="496"/>
      <c r="O255" s="496"/>
      <c r="P255" s="496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30" t="s">
        <v>43</v>
      </c>
      <c r="E256" s="178"/>
      <c r="F256" s="178"/>
      <c r="G256" s="179"/>
      <c r="H256" s="755"/>
      <c r="I256" s="269"/>
      <c r="J256" s="269"/>
      <c r="K256" s="496"/>
      <c r="L256" s="496"/>
      <c r="M256" s="496"/>
      <c r="N256" s="496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55" t="s">
        <v>35</v>
      </c>
      <c r="I257" s="269"/>
      <c r="J257" s="214">
        <v>0</v>
      </c>
      <c r="K257" s="496">
        <f t="shared" ref="K257:K258" si="114">IF(I257&gt;0,J257*100/I257,0)</f>
        <v>0</v>
      </c>
      <c r="L257" s="496"/>
      <c r="M257" s="496"/>
      <c r="N257" s="496"/>
      <c r="O257" s="496"/>
      <c r="P257" s="496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55" t="s">
        <v>69</v>
      </c>
      <c r="I258" s="269"/>
      <c r="J258" s="214">
        <v>0</v>
      </c>
      <c r="K258" s="496">
        <f t="shared" si="114"/>
        <v>0</v>
      </c>
      <c r="L258" s="496"/>
      <c r="M258" s="496"/>
      <c r="N258" s="496"/>
      <c r="O258" s="496"/>
      <c r="P258" s="496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1" t="s">
        <v>122</v>
      </c>
      <c r="B259" s="242"/>
      <c r="C259" s="242"/>
      <c r="D259" s="243"/>
      <c r="E259" s="243"/>
      <c r="F259" s="243"/>
      <c r="G259" s="244"/>
      <c r="H259" s="245"/>
      <c r="I259" s="246"/>
      <c r="J259" s="246"/>
      <c r="K259" s="247"/>
      <c r="L259" s="247"/>
      <c r="M259" s="247"/>
      <c r="N259" s="247"/>
      <c r="O259" s="247"/>
      <c r="P259" s="247"/>
    </row>
    <row r="260" spans="1:26" ht="19.5">
      <c r="A260" s="248"/>
      <c r="B260" s="249" t="s">
        <v>123</v>
      </c>
      <c r="C260" s="250"/>
      <c r="D260" s="173"/>
      <c r="E260" s="173"/>
      <c r="F260" s="173"/>
      <c r="G260" s="174"/>
      <c r="H260" s="251" t="s">
        <v>35</v>
      </c>
      <c r="I260" s="252">
        <f t="shared" ref="I260:J260" ca="1" si="115">I271</f>
        <v>22</v>
      </c>
      <c r="J260" s="252">
        <f t="shared" si="115"/>
        <v>0</v>
      </c>
      <c r="K260" s="253">
        <f ca="1">IF(I260&gt;0,J260*100/I260,0)</f>
        <v>0</v>
      </c>
      <c r="L260" s="254"/>
      <c r="M260" s="254"/>
      <c r="N260" s="254"/>
      <c r="O260" s="254"/>
      <c r="P260" s="254"/>
    </row>
    <row r="261" spans="1:26" ht="19.5">
      <c r="A261" s="147"/>
      <c r="B261" s="148"/>
      <c r="C261" s="149" t="s">
        <v>16</v>
      </c>
      <c r="D261" s="822" t="s">
        <v>17</v>
      </c>
      <c r="E261" s="148"/>
      <c r="F261" s="148"/>
      <c r="G261" s="151"/>
      <c r="H261" s="152" t="s">
        <v>12</v>
      </c>
      <c r="I261" s="419"/>
      <c r="J261" s="419"/>
      <c r="K261" s="154"/>
      <c r="L261" s="155">
        <f t="shared" ref="L261:N261" ca="1" si="116">L262+L263</f>
        <v>26900</v>
      </c>
      <c r="M261" s="155">
        <f t="shared" ca="1" si="116"/>
        <v>0</v>
      </c>
      <c r="N261" s="155">
        <f t="shared" ca="1" si="116"/>
        <v>0</v>
      </c>
      <c r="O261" s="155">
        <f t="shared" ref="O261:O269" ca="1" si="117">IF(L261&gt;0,N261*100/L261,0)</f>
        <v>0</v>
      </c>
      <c r="P261" s="155">
        <f t="shared" ref="P261:P269" ca="1" si="118">IF(M261&gt;0,N261*100/M261,0)</f>
        <v>0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2" t="s">
        <v>18</v>
      </c>
      <c r="F262" s="40"/>
      <c r="G262" s="157"/>
      <c r="H262" s="158" t="s">
        <v>12</v>
      </c>
      <c r="I262" s="610"/>
      <c r="J262" s="610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2" t="s">
        <v>19</v>
      </c>
      <c r="F263" s="40"/>
      <c r="G263" s="157"/>
      <c r="H263" s="158" t="s">
        <v>12</v>
      </c>
      <c r="I263" s="610"/>
      <c r="J263" s="610"/>
      <c r="K263" s="93"/>
      <c r="L263" s="93">
        <f t="shared" ca="1" si="119"/>
        <v>26900</v>
      </c>
      <c r="M263" s="93">
        <f t="shared" ca="1" si="119"/>
        <v>0</v>
      </c>
      <c r="N263" s="93">
        <f t="shared" ca="1" si="119"/>
        <v>0</v>
      </c>
      <c r="O263" s="93">
        <f t="shared" ca="1" si="117"/>
        <v>0</v>
      </c>
      <c r="P263" s="93">
        <f t="shared" ca="1" si="118"/>
        <v>0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1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6">
        <f t="shared" ref="L264:N264" ca="1" si="120">L265+L266</f>
        <v>26900</v>
      </c>
      <c r="M264" s="496">
        <f t="shared" ca="1" si="120"/>
        <v>0</v>
      </c>
      <c r="N264" s="496">
        <f t="shared" ca="1" si="120"/>
        <v>0</v>
      </c>
      <c r="O264" s="496">
        <f t="shared" ca="1" si="117"/>
        <v>0</v>
      </c>
      <c r="P264" s="496">
        <f t="shared" ca="1" si="118"/>
        <v>0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2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2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IFERROR(__xludf.DUMMYFUNCTION("IMPORTRANGE(""https://docs.google.com/spreadsheets/d/1MeEWN-I1oV_STSDYn1IFDPWt_1FKiwhDph83XaGc0o0/edit?usp=sharing"",""งบพรบ!CY58"")"),26900)</f>
        <v>26900</v>
      </c>
      <c r="M266" s="93">
        <f ca="1">IFERROR(__xludf.DUMMYFUNCTION("IMPORTRANGE(""https://docs.google.com/spreadsheets/d/1MeEWN-I1oV_STSDYn1IFDPWt_1FKiwhDph83XaGc0o0/edit?usp=sharing"",""งบพรบ!DD58"")"),0)</f>
        <v>0</v>
      </c>
      <c r="N266" s="93">
        <f ca="1">IFERROR(__xludf.DUMMYFUNCTION("IMPORTRANGE(""https://docs.google.com/spreadsheets/d/1MeEWN-I1oV_STSDYn1IFDPWt_1FKiwhDph83XaGc0o0/edit?usp=sharing"",""งบพรบ!DF58"")"),0)</f>
        <v>0</v>
      </c>
      <c r="O266" s="93">
        <f t="shared" ca="1" si="117"/>
        <v>0</v>
      </c>
      <c r="P266" s="93">
        <f t="shared" ca="1" si="118"/>
        <v>0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1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6">
        <f t="shared" ref="L267:N267" ca="1" si="121">L268+L269</f>
        <v>0</v>
      </c>
      <c r="M267" s="496">
        <f t="shared" ca="1" si="121"/>
        <v>0</v>
      </c>
      <c r="N267" s="496">
        <f t="shared" ca="1" si="121"/>
        <v>0</v>
      </c>
      <c r="O267" s="496">
        <f t="shared" ca="1" si="117"/>
        <v>0</v>
      </c>
      <c r="P267" s="496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2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2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IFERROR(__xludf.DUMMYFUNCTION("IMPORTRANGE(""https://docs.google.com/spreadsheets/d/1MeEWN-I1oV_STSDYn1IFDPWt_1FKiwhDph83XaGc0o0/edit?usp=sharing"",""งบพรบ!DB58"")"),0)</f>
        <v>0</v>
      </c>
      <c r="M269" s="93">
        <f ca="1">IFERROR(__xludf.DUMMYFUNCTION("IMPORTRANGE(""https://docs.google.com/spreadsheets/d/1MeEWN-I1oV_STSDYn1IFDPWt_1FKiwhDph83XaGc0o0/edit?usp=sharing"",""งบพรบ!DE58"")"),0)</f>
        <v>0</v>
      </c>
      <c r="N269" s="93">
        <f ca="1">IFERROR(__xludf.DUMMYFUNCTION("IMPORTRANGE(""https://docs.google.com/spreadsheets/d/1MeEWN-I1oV_STSDYn1IFDPWt_1FKiwhDph83XaGc0o0/edit?usp=sharing"",""งบพรบ!DG58"")"),0)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1" t="s">
        <v>16</v>
      </c>
      <c r="D270" s="823" t="s">
        <v>38</v>
      </c>
      <c r="E270" s="173"/>
      <c r="F270" s="173"/>
      <c r="G270" s="174"/>
      <c r="H270" s="753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5" t="s">
        <v>124</v>
      </c>
      <c r="E271" s="178"/>
      <c r="F271" s="366"/>
      <c r="G271" s="179"/>
      <c r="H271" s="376" t="s">
        <v>35</v>
      </c>
      <c r="I271" s="269">
        <f ca="1">IFERROR(__xludf.DUMMYFUNCTION("IMPORTRANGE(""https://docs.google.com/spreadsheets/d/1QqKyyYR6Q21VydFLVH3TRQUabQu_ym0Zz7PgGX0-kHA/edit?usp=sharing"",""แผน!EA58"")"),22)</f>
        <v>22</v>
      </c>
      <c r="J271" s="214">
        <v>0</v>
      </c>
      <c r="K271" s="163">
        <f ca="1">IF(I271&gt;0,J271*100/I271,0)</f>
        <v>0</v>
      </c>
      <c r="L271" s="163"/>
      <c r="M271" s="163"/>
      <c r="N271" s="163"/>
      <c r="O271" s="163"/>
      <c r="P271" s="163"/>
    </row>
    <row r="272" spans="1:26" ht="18.75" hidden="1">
      <c r="A272" s="377"/>
      <c r="B272" s="378"/>
      <c r="C272" s="378"/>
      <c r="D272" s="379" t="s">
        <v>125</v>
      </c>
      <c r="E272" s="380"/>
      <c r="F272" s="380"/>
      <c r="G272" s="381"/>
      <c r="H272" s="50" t="s">
        <v>35</v>
      </c>
      <c r="I272" s="499">
        <v>0</v>
      </c>
      <c r="J272" s="499">
        <v>0</v>
      </c>
      <c r="K272" s="384">
        <v>0</v>
      </c>
      <c r="L272" s="384"/>
      <c r="M272" s="384"/>
      <c r="N272" s="384"/>
      <c r="O272" s="384"/>
      <c r="P272" s="384"/>
    </row>
    <row r="273" spans="1:26" ht="19.5">
      <c r="A273" s="385" t="s">
        <v>126</v>
      </c>
      <c r="B273" s="386"/>
      <c r="C273" s="386"/>
      <c r="D273" s="386"/>
      <c r="E273" s="387"/>
      <c r="F273" s="387"/>
      <c r="G273" s="388"/>
      <c r="H273" s="389"/>
      <c r="I273" s="390"/>
      <c r="J273" s="390"/>
      <c r="K273" s="391"/>
      <c r="L273" s="391"/>
      <c r="M273" s="391"/>
      <c r="N273" s="391"/>
      <c r="O273" s="391"/>
      <c r="P273" s="391"/>
    </row>
    <row r="274" spans="1:26" ht="19.5" hidden="1">
      <c r="A274" s="392" t="s">
        <v>127</v>
      </c>
      <c r="B274" s="393"/>
      <c r="C274" s="394"/>
      <c r="D274" s="393"/>
      <c r="E274" s="393"/>
      <c r="F274" s="393"/>
      <c r="G274" s="393"/>
      <c r="H274" s="395"/>
      <c r="I274" s="396"/>
      <c r="J274" s="397"/>
      <c r="K274" s="398"/>
      <c r="L274" s="398"/>
      <c r="M274" s="398"/>
      <c r="N274" s="398"/>
      <c r="O274" s="398"/>
      <c r="P274" s="398"/>
    </row>
    <row r="275" spans="1:26" ht="19.5" hidden="1">
      <c r="A275" s="399"/>
      <c r="B275" s="408" t="s">
        <v>128</v>
      </c>
      <c r="C275" s="401"/>
      <c r="D275" s="402"/>
      <c r="E275" s="401"/>
      <c r="F275" s="401"/>
      <c r="G275" s="403"/>
      <c r="H275" s="404" t="s">
        <v>35</v>
      </c>
      <c r="I275" s="405">
        <f t="shared" ref="I275:J275" ca="1" si="122">I288</f>
        <v>0</v>
      </c>
      <c r="J275" s="405">
        <f t="shared" ca="1" si="122"/>
        <v>0</v>
      </c>
      <c r="K275" s="406">
        <f t="shared" ref="K275:K276" ca="1" si="123">IF(I275&gt;0,J275*100/I275,0)</f>
        <v>0</v>
      </c>
      <c r="L275" s="407"/>
      <c r="M275" s="407"/>
      <c r="N275" s="407"/>
      <c r="O275" s="407"/>
      <c r="P275" s="407"/>
    </row>
    <row r="276" spans="1:26" ht="19.5" hidden="1">
      <c r="A276" s="399"/>
      <c r="B276" s="408"/>
      <c r="C276" s="401"/>
      <c r="D276" s="402"/>
      <c r="E276" s="401"/>
      <c r="F276" s="401"/>
      <c r="G276" s="403"/>
      <c r="H276" s="404" t="s">
        <v>46</v>
      </c>
      <c r="I276" s="831">
        <f t="shared" ref="I276:J276" ca="1" si="124">I287</f>
        <v>0</v>
      </c>
      <c r="J276" s="831">
        <f t="shared" si="124"/>
        <v>0</v>
      </c>
      <c r="K276" s="407">
        <f t="shared" ca="1" si="123"/>
        <v>0</v>
      </c>
      <c r="L276" s="407"/>
      <c r="M276" s="407"/>
      <c r="N276" s="407"/>
      <c r="O276" s="407"/>
      <c r="P276" s="407"/>
    </row>
    <row r="277" spans="1:26" ht="19.5" hidden="1">
      <c r="A277" s="147"/>
      <c r="B277" s="148"/>
      <c r="C277" s="149" t="s">
        <v>16</v>
      </c>
      <c r="D277" s="822" t="s">
        <v>17</v>
      </c>
      <c r="E277" s="148"/>
      <c r="F277" s="148"/>
      <c r="G277" s="151"/>
      <c r="H277" s="152" t="s">
        <v>12</v>
      </c>
      <c r="I277" s="419"/>
      <c r="J277" s="419"/>
      <c r="K277" s="154"/>
      <c r="L277" s="155">
        <f t="shared" ref="L277:N277" ca="1" si="125">L278+L279</f>
        <v>0</v>
      </c>
      <c r="M277" s="155">
        <f t="shared" ca="1" si="125"/>
        <v>0</v>
      </c>
      <c r="N277" s="155">
        <f t="shared" ca="1" si="125"/>
        <v>0</v>
      </c>
      <c r="O277" s="155">
        <f t="shared" ref="O277:O285" ca="1" si="126">IF(L277&gt;0,N277*100/L277,0)</f>
        <v>0</v>
      </c>
      <c r="P277" s="155">
        <f t="shared" ref="P277:P285" ca="1" si="127">IF(M277&gt;0,N277*100/M277,0)</f>
        <v>0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2" t="s">
        <v>18</v>
      </c>
      <c r="F278" s="40"/>
      <c r="G278" s="157"/>
      <c r="H278" s="158" t="s">
        <v>12</v>
      </c>
      <c r="I278" s="610"/>
      <c r="J278" s="610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2" t="s">
        <v>19</v>
      </c>
      <c r="F279" s="40"/>
      <c r="G279" s="157"/>
      <c r="H279" s="158" t="s">
        <v>12</v>
      </c>
      <c r="I279" s="610"/>
      <c r="J279" s="610"/>
      <c r="K279" s="93"/>
      <c r="L279" s="93">
        <f t="shared" ca="1" si="128"/>
        <v>0</v>
      </c>
      <c r="M279" s="93">
        <f t="shared" ca="1" si="128"/>
        <v>0</v>
      </c>
      <c r="N279" s="93">
        <f t="shared" ca="1" si="128"/>
        <v>0</v>
      </c>
      <c r="O279" s="93">
        <f t="shared" ca="1" si="126"/>
        <v>0</v>
      </c>
      <c r="P279" s="93">
        <f t="shared" ca="1" si="127"/>
        <v>0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 hidden="1">
      <c r="A280" s="159"/>
      <c r="B280" s="33"/>
      <c r="C280" s="281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6">
        <f t="shared" ref="L280:N280" ca="1" si="129">L281+L282</f>
        <v>0</v>
      </c>
      <c r="M280" s="496">
        <f t="shared" ca="1" si="129"/>
        <v>0</v>
      </c>
      <c r="N280" s="496">
        <f t="shared" ca="1" si="129"/>
        <v>0</v>
      </c>
      <c r="O280" s="496">
        <f t="shared" ca="1" si="126"/>
        <v>0</v>
      </c>
      <c r="P280" s="496">
        <f t="shared" ca="1" si="127"/>
        <v>0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2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2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IFERROR(__xludf.DUMMYFUNCTION("IMPORTRANGE(""https://docs.google.com/spreadsheets/d/1MeEWN-I1oV_STSDYn1IFDPWt_1FKiwhDph83XaGc0o0/edit?usp=sharing"",""งบพรบ!DI58"")"),0)</f>
        <v>0</v>
      </c>
      <c r="M282" s="93">
        <f ca="1">IFERROR(__xludf.DUMMYFUNCTION("IMPORTRANGE(""https://docs.google.com/spreadsheets/d/1MeEWN-I1oV_STSDYn1IFDPWt_1FKiwhDph83XaGc0o0/edit?usp=sharing"",""งบพรบ!DN58"")"),0)</f>
        <v>0</v>
      </c>
      <c r="N282" s="93">
        <f ca="1">IFERROR(__xludf.DUMMYFUNCTION("IMPORTRANGE(""https://docs.google.com/spreadsheets/d/1MeEWN-I1oV_STSDYn1IFDPWt_1FKiwhDph83XaGc0o0/edit?usp=sharing"",""งบพรบ!DP58"")"),0)</f>
        <v>0</v>
      </c>
      <c r="O282" s="93">
        <f t="shared" ca="1" si="126"/>
        <v>0</v>
      </c>
      <c r="P282" s="93">
        <f t="shared" ca="1" si="127"/>
        <v>0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 hidden="1">
      <c r="A283" s="159"/>
      <c r="B283" s="33"/>
      <c r="C283" s="281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6">
        <f t="shared" ref="L283:N283" ca="1" si="130">L284+L285</f>
        <v>0</v>
      </c>
      <c r="M283" s="496">
        <f t="shared" ca="1" si="130"/>
        <v>0</v>
      </c>
      <c r="N283" s="496">
        <f t="shared" ca="1" si="130"/>
        <v>0</v>
      </c>
      <c r="O283" s="496">
        <f t="shared" ca="1" si="126"/>
        <v>0</v>
      </c>
      <c r="P283" s="496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2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2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IFERROR(__xludf.DUMMYFUNCTION("IMPORTRANGE(""https://docs.google.com/spreadsheets/d/1MeEWN-I1oV_STSDYn1IFDPWt_1FKiwhDph83XaGc0o0/edit?usp=sharing"",""งบพรบ!DL58"")"),0)</f>
        <v>0</v>
      </c>
      <c r="M285" s="93">
        <f ca="1">IFERROR(__xludf.DUMMYFUNCTION("IMPORTRANGE(""https://docs.google.com/spreadsheets/d/1MeEWN-I1oV_STSDYn1IFDPWt_1FKiwhDph83XaGc0o0/edit?usp=sharing"",""งบพรบ!DO58"")"),0)</f>
        <v>0</v>
      </c>
      <c r="N285" s="93">
        <f ca="1">IFERROR(__xludf.DUMMYFUNCTION("IMPORTRANGE(""https://docs.google.com/spreadsheets/d/1MeEWN-I1oV_STSDYn1IFDPWt_1FKiwhDph83XaGc0o0/edit?usp=sharing"",""งบพรบ!DQ58"")"),0)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 hidden="1">
      <c r="A286" s="170"/>
      <c r="B286" s="171"/>
      <c r="C286" s="164" t="s">
        <v>16</v>
      </c>
      <c r="D286" s="823" t="s">
        <v>38</v>
      </c>
      <c r="E286" s="173"/>
      <c r="F286" s="173"/>
      <c r="G286" s="174"/>
      <c r="H286" s="753"/>
      <c r="I286" s="184"/>
      <c r="J286" s="184"/>
      <c r="K286" s="163"/>
      <c r="L286" s="163"/>
      <c r="M286" s="163"/>
      <c r="N286" s="163"/>
      <c r="O286" s="163"/>
      <c r="P286" s="163"/>
    </row>
    <row r="287" spans="1:26" ht="18.75" hidden="1">
      <c r="A287" s="170"/>
      <c r="B287" s="171"/>
      <c r="C287" s="171"/>
      <c r="D287" s="619" t="s">
        <v>129</v>
      </c>
      <c r="E287" s="171"/>
      <c r="F287" s="178"/>
      <c r="G287" s="179"/>
      <c r="H287" s="185" t="s">
        <v>46</v>
      </c>
      <c r="I287" s="269">
        <f ca="1">IFERROR(__xludf.DUMMYFUNCTION("IMPORTRANGE(""https://docs.google.com/spreadsheets/d/1QqKyyYR6Q21VydFLVH3TRQUabQu_ym0Zz7PgGX0-kHA/edit?usp=sharing"",""แผน!EC58"")"),0)</f>
        <v>0</v>
      </c>
      <c r="J287" s="269">
        <v>0</v>
      </c>
      <c r="K287" s="163">
        <f t="shared" ref="K287:K288" ca="1" si="131">IF(I287&gt;0,J287*100/I287,0)</f>
        <v>0</v>
      </c>
      <c r="L287" s="163"/>
      <c r="M287" s="163"/>
      <c r="N287" s="163"/>
      <c r="O287" s="163"/>
      <c r="P287" s="163"/>
    </row>
    <row r="288" spans="1:26" ht="19.5" hidden="1">
      <c r="A288" s="170"/>
      <c r="B288" s="171"/>
      <c r="C288" s="171"/>
      <c r="D288" s="619" t="s">
        <v>130</v>
      </c>
      <c r="E288" s="171"/>
      <c r="F288" s="178"/>
      <c r="G288" s="179"/>
      <c r="H288" s="180" t="s">
        <v>35</v>
      </c>
      <c r="I288" s="674">
        <f ca="1">IFERROR(__xludf.DUMMYFUNCTION("IMPORTRANGE(""https://docs.google.com/spreadsheets/d/1QqKyyYR6Q21VydFLVH3TRQUabQu_ym0Zz7PgGX0-kHA/edit?usp=sharing"",""แผน!EB58"")"),0)</f>
        <v>0</v>
      </c>
      <c r="J288" s="674">
        <f ca="1">IF(AND(J291&gt;=I288,J294&gt;=I288),J294,0)</f>
        <v>0</v>
      </c>
      <c r="K288" s="410">
        <f t="shared" ca="1" si="131"/>
        <v>0</v>
      </c>
      <c r="L288" s="163"/>
      <c r="M288" s="163"/>
      <c r="N288" s="163"/>
      <c r="O288" s="163"/>
      <c r="P288" s="163"/>
    </row>
    <row r="289" spans="1:26" ht="19.5" hidden="1">
      <c r="A289" s="170"/>
      <c r="B289" s="171"/>
      <c r="C289" s="171"/>
      <c r="D289" s="411"/>
      <c r="E289" s="412" t="s">
        <v>131</v>
      </c>
      <c r="F289" s="178"/>
      <c r="G289" s="179"/>
      <c r="H289" s="755"/>
      <c r="I289" s="184"/>
      <c r="J289" s="269"/>
      <c r="K289" s="163"/>
      <c r="L289" s="163"/>
      <c r="M289" s="163"/>
      <c r="N289" s="163"/>
      <c r="O289" s="163"/>
      <c r="P289" s="163"/>
    </row>
    <row r="290" spans="1:26" ht="19.5" hidden="1">
      <c r="A290" s="170"/>
      <c r="B290" s="171"/>
      <c r="C290" s="171"/>
      <c r="D290" s="411"/>
      <c r="E290" s="619" t="s">
        <v>132</v>
      </c>
      <c r="F290" s="178"/>
      <c r="G290" s="179"/>
      <c r="H290" s="755" t="s">
        <v>35</v>
      </c>
      <c r="I290" s="184">
        <f ca="1">IFERROR(__xludf.DUMMYFUNCTION("IMPORTRANGE(""https://docs.google.com/spreadsheets/d/1QqKyyYR6Q21VydFLVH3TRQUabQu_ym0Zz7PgGX0-kHA/edit?usp=sharing"",""แผน!EB58"")"),0)</f>
        <v>0</v>
      </c>
      <c r="J290" s="214">
        <v>0</v>
      </c>
      <c r="K290" s="163">
        <f t="shared" ref="K290:K291" ca="1" si="132">IF(I290&gt;0,J290*100/I290,0)</f>
        <v>0</v>
      </c>
      <c r="L290" s="163"/>
      <c r="M290" s="163"/>
      <c r="N290" s="163"/>
      <c r="O290" s="163"/>
      <c r="P290" s="163"/>
    </row>
    <row r="291" spans="1:26" ht="19.5" hidden="1">
      <c r="A291" s="170"/>
      <c r="B291" s="171"/>
      <c r="C291" s="171"/>
      <c r="D291" s="178"/>
      <c r="E291" s="619" t="s">
        <v>333</v>
      </c>
      <c r="F291" s="178"/>
      <c r="G291" s="179"/>
      <c r="H291" s="755" t="s">
        <v>35</v>
      </c>
      <c r="I291" s="184">
        <f ca="1">IFERROR(__xludf.DUMMYFUNCTION("IMPORTRANGE(""https://docs.google.com/spreadsheets/d/1QqKyyYR6Q21VydFLVH3TRQUabQu_ym0Zz7PgGX0-kHA/edit?usp=sharing"",""แผน!EB58"")"),0)</f>
        <v>0</v>
      </c>
      <c r="J291" s="214">
        <v>0</v>
      </c>
      <c r="K291" s="163">
        <f t="shared" ca="1" si="132"/>
        <v>0</v>
      </c>
      <c r="L291" s="163"/>
      <c r="M291" s="163"/>
      <c r="N291" s="163"/>
      <c r="O291" s="163"/>
      <c r="P291" s="163"/>
    </row>
    <row r="292" spans="1:26" ht="19.5" hidden="1">
      <c r="A292" s="413"/>
      <c r="B292" s="414"/>
      <c r="C292" s="414"/>
      <c r="D292" s="415"/>
      <c r="E292" s="416" t="s">
        <v>134</v>
      </c>
      <c r="F292" s="287"/>
      <c r="G292" s="288"/>
      <c r="H292" s="417"/>
      <c r="I292" s="418"/>
      <c r="J292" s="419"/>
      <c r="K292" s="279"/>
      <c r="L292" s="279"/>
      <c r="M292" s="279"/>
      <c r="N292" s="279"/>
      <c r="O292" s="279"/>
      <c r="P292" s="279"/>
    </row>
    <row r="293" spans="1:26" ht="19.5" hidden="1">
      <c r="A293" s="170"/>
      <c r="B293" s="171"/>
      <c r="C293" s="171"/>
      <c r="D293" s="411"/>
      <c r="E293" s="619" t="s">
        <v>132</v>
      </c>
      <c r="F293" s="178"/>
      <c r="G293" s="179"/>
      <c r="H293" s="755" t="s">
        <v>35</v>
      </c>
      <c r="I293" s="184">
        <f ca="1">IFERROR(__xludf.DUMMYFUNCTION("IMPORTRANGE(""https://docs.google.com/spreadsheets/d/1QqKyyYR6Q21VydFLVH3TRQUabQu_ym0Zz7PgGX0-kHA/edit?usp=sharing"",""แผน!EB58"")"),0)</f>
        <v>0</v>
      </c>
      <c r="J293" s="214">
        <v>0</v>
      </c>
      <c r="K293" s="163">
        <f t="shared" ref="K293:K294" ca="1" si="133">IF(I293&gt;0,J293*100/I293,0)</f>
        <v>0</v>
      </c>
      <c r="L293" s="163"/>
      <c r="M293" s="163"/>
      <c r="N293" s="163"/>
      <c r="O293" s="163"/>
      <c r="P293" s="163"/>
    </row>
    <row r="294" spans="1:26" ht="19.5" hidden="1">
      <c r="A294" s="377"/>
      <c r="B294" s="378"/>
      <c r="C294" s="378"/>
      <c r="D294" s="380"/>
      <c r="E294" s="725" t="s">
        <v>333</v>
      </c>
      <c r="F294" s="380"/>
      <c r="G294" s="381"/>
      <c r="H294" s="421" t="s">
        <v>35</v>
      </c>
      <c r="I294" s="422">
        <f ca="1">IFERROR(__xludf.DUMMYFUNCTION("IMPORTRANGE(""https://docs.google.com/spreadsheets/d/1QqKyyYR6Q21VydFLVH3TRQUabQu_ym0Zz7PgGX0-kHA/edit?usp=sharing"",""แผน!EB58"")"),0)</f>
        <v>0</v>
      </c>
      <c r="J294" s="423">
        <v>0</v>
      </c>
      <c r="K294" s="384">
        <f t="shared" ca="1" si="133"/>
        <v>0</v>
      </c>
      <c r="L294" s="384"/>
      <c r="M294" s="384"/>
      <c r="N294" s="384"/>
      <c r="O294" s="384"/>
      <c r="P294" s="384"/>
    </row>
    <row r="295" spans="1:26" ht="19.5">
      <c r="A295" s="424" t="s">
        <v>137</v>
      </c>
      <c r="B295" s="425"/>
      <c r="C295" s="425"/>
      <c r="D295" s="425"/>
      <c r="E295" s="426"/>
      <c r="F295" s="426"/>
      <c r="G295" s="427"/>
      <c r="H295" s="428"/>
      <c r="I295" s="429"/>
      <c r="J295" s="429"/>
      <c r="K295" s="430"/>
      <c r="L295" s="430"/>
      <c r="M295" s="430"/>
      <c r="N295" s="430"/>
      <c r="O295" s="430"/>
      <c r="P295" s="430"/>
    </row>
    <row r="296" spans="1:26" ht="19.5" hidden="1">
      <c r="A296" s="431" t="s">
        <v>138</v>
      </c>
      <c r="B296" s="432"/>
      <c r="C296" s="432"/>
      <c r="D296" s="433"/>
      <c r="E296" s="433"/>
      <c r="F296" s="433"/>
      <c r="G296" s="434"/>
      <c r="H296" s="435"/>
      <c r="I296" s="436"/>
      <c r="J296" s="436"/>
      <c r="K296" s="437"/>
      <c r="L296" s="437"/>
      <c r="M296" s="437"/>
      <c r="N296" s="437"/>
      <c r="O296" s="437"/>
      <c r="P296" s="437"/>
    </row>
    <row r="297" spans="1:26" ht="19.5" hidden="1">
      <c r="A297" s="438"/>
      <c r="B297" s="439" t="s">
        <v>139</v>
      </c>
      <c r="C297" s="440"/>
      <c r="D297" s="440"/>
      <c r="E297" s="440"/>
      <c r="F297" s="440"/>
      <c r="G297" s="441"/>
      <c r="H297" s="442" t="s">
        <v>35</v>
      </c>
      <c r="I297" s="443">
        <f t="shared" ref="I297:J297" ca="1" si="134">I309</f>
        <v>0</v>
      </c>
      <c r="J297" s="443">
        <f t="shared" si="134"/>
        <v>0</v>
      </c>
      <c r="K297" s="444">
        <f ca="1">IF(I297&gt;0,J297*100/I297,0)</f>
        <v>0</v>
      </c>
      <c r="L297" s="445"/>
      <c r="M297" s="445"/>
      <c r="N297" s="445"/>
      <c r="O297" s="445"/>
      <c r="P297" s="445"/>
    </row>
    <row r="298" spans="1:26" ht="19.5" hidden="1">
      <c r="A298" s="147"/>
      <c r="B298" s="148"/>
      <c r="C298" s="149" t="s">
        <v>16</v>
      </c>
      <c r="D298" s="822" t="s">
        <v>17</v>
      </c>
      <c r="E298" s="148"/>
      <c r="F298" s="148"/>
      <c r="G298" s="151"/>
      <c r="H298" s="152" t="s">
        <v>12</v>
      </c>
      <c r="I298" s="419"/>
      <c r="J298" s="419"/>
      <c r="K298" s="154"/>
      <c r="L298" s="155">
        <f t="shared" ref="L298:N298" ca="1" si="135">L299+L300</f>
        <v>0</v>
      </c>
      <c r="M298" s="155">
        <f t="shared" ca="1" si="135"/>
        <v>0</v>
      </c>
      <c r="N298" s="155">
        <f t="shared" ca="1" si="135"/>
        <v>0</v>
      </c>
      <c r="O298" s="155">
        <f t="shared" ref="O298:O306" ca="1" si="136">IF(L298&gt;0,N298*100/L298,0)</f>
        <v>0</v>
      </c>
      <c r="P298" s="155">
        <f t="shared" ref="P298:P306" ca="1" si="137">IF(M298&gt;0,N298*100/M298,0)</f>
        <v>0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2" t="s">
        <v>18</v>
      </c>
      <c r="F299" s="40"/>
      <c r="G299" s="157"/>
      <c r="H299" s="158" t="s">
        <v>12</v>
      </c>
      <c r="I299" s="610"/>
      <c r="J299" s="610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2" t="s">
        <v>19</v>
      </c>
      <c r="F300" s="40"/>
      <c r="G300" s="157"/>
      <c r="H300" s="158" t="s">
        <v>12</v>
      </c>
      <c r="I300" s="610"/>
      <c r="J300" s="610"/>
      <c r="K300" s="93"/>
      <c r="L300" s="93">
        <f t="shared" ca="1" si="138"/>
        <v>0</v>
      </c>
      <c r="M300" s="93">
        <f t="shared" ca="1" si="138"/>
        <v>0</v>
      </c>
      <c r="N300" s="93">
        <f t="shared" ca="1" si="138"/>
        <v>0</v>
      </c>
      <c r="O300" s="93">
        <f t="shared" ca="1" si="136"/>
        <v>0</v>
      </c>
      <c r="P300" s="93">
        <f t="shared" ca="1" si="137"/>
        <v>0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 hidden="1">
      <c r="A301" s="159"/>
      <c r="B301" s="33"/>
      <c r="C301" s="281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6">
        <f t="shared" ref="L301:N301" ca="1" si="139">L302+L303</f>
        <v>0</v>
      </c>
      <c r="M301" s="496">
        <f t="shared" ca="1" si="139"/>
        <v>0</v>
      </c>
      <c r="N301" s="496">
        <f t="shared" ca="1" si="139"/>
        <v>0</v>
      </c>
      <c r="O301" s="496">
        <f t="shared" ca="1" si="136"/>
        <v>0</v>
      </c>
      <c r="P301" s="496">
        <f t="shared" ca="1" si="137"/>
        <v>0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2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2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IFERROR(__xludf.DUMMYFUNCTION("IMPORTRANGE(""https://docs.google.com/spreadsheets/d/1MeEWN-I1oV_STSDYn1IFDPWt_1FKiwhDph83XaGc0o0/edit?usp=sharing"",""งบพรบ!DS58"")"),0)</f>
        <v>0</v>
      </c>
      <c r="M303" s="93">
        <f ca="1">IFERROR(__xludf.DUMMYFUNCTION("IMPORTRANGE(""https://docs.google.com/spreadsheets/d/1MeEWN-I1oV_STSDYn1IFDPWt_1FKiwhDph83XaGc0o0/edit?usp=sharing"",""งบพรบ!DX58"")"),0)</f>
        <v>0</v>
      </c>
      <c r="N303" s="93">
        <f ca="1">IFERROR(__xludf.DUMMYFUNCTION("IMPORTRANGE(""https://docs.google.com/spreadsheets/d/1MeEWN-I1oV_STSDYn1IFDPWt_1FKiwhDph83XaGc0o0/edit?usp=sharing"",""งบพรบ!DZ58"")"),0)</f>
        <v>0</v>
      </c>
      <c r="O303" s="93">
        <f t="shared" ca="1" si="136"/>
        <v>0</v>
      </c>
      <c r="P303" s="93">
        <f t="shared" ca="1" si="137"/>
        <v>0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 hidden="1">
      <c r="A304" s="159"/>
      <c r="B304" s="33"/>
      <c r="C304" s="281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6">
        <f t="shared" ref="L304:N304" ca="1" si="140">L305+L306</f>
        <v>0</v>
      </c>
      <c r="M304" s="496">
        <f t="shared" ca="1" si="140"/>
        <v>0</v>
      </c>
      <c r="N304" s="496">
        <f t="shared" ca="1" si="140"/>
        <v>0</v>
      </c>
      <c r="O304" s="496">
        <f t="shared" ca="1" si="136"/>
        <v>0</v>
      </c>
      <c r="P304" s="496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2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2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IFERROR(__xludf.DUMMYFUNCTION("IMPORTRANGE(""https://docs.google.com/spreadsheets/d/1MeEWN-I1oV_STSDYn1IFDPWt_1FKiwhDph83XaGc0o0/edit?usp=sharing"",""งบพรบ!DV58"")"),0)</f>
        <v>0</v>
      </c>
      <c r="M306" s="93">
        <f ca="1">IFERROR(__xludf.DUMMYFUNCTION("IMPORTRANGE(""https://docs.google.com/spreadsheets/d/1MeEWN-I1oV_STSDYn1IFDPWt_1FKiwhDph83XaGc0o0/edit?usp=sharing"",""งบพรบ!DY58"")"),0)</f>
        <v>0</v>
      </c>
      <c r="N306" s="93">
        <f ca="1">IFERROR(__xludf.DUMMYFUNCTION("IMPORTRANGE(""https://docs.google.com/spreadsheets/d/1MeEWN-I1oV_STSDYn1IFDPWt_1FKiwhDph83XaGc0o0/edit?usp=sharing"",""งบพรบ!EA58"")"),0)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 hidden="1">
      <c r="A307" s="170"/>
      <c r="B307" s="171"/>
      <c r="C307" s="164" t="s">
        <v>16</v>
      </c>
      <c r="D307" s="823" t="s">
        <v>38</v>
      </c>
      <c r="E307" s="173"/>
      <c r="F307" s="173"/>
      <c r="G307" s="174"/>
      <c r="H307" s="753"/>
      <c r="I307" s="269"/>
      <c r="J307" s="269"/>
      <c r="K307" s="496"/>
      <c r="L307" s="496"/>
      <c r="M307" s="496"/>
      <c r="N307" s="496"/>
      <c r="O307" s="496"/>
      <c r="P307" s="496"/>
    </row>
    <row r="308" spans="1:26" ht="18.75" hidden="1">
      <c r="A308" s="170"/>
      <c r="B308" s="171"/>
      <c r="C308" s="171"/>
      <c r="D308" s="446" t="s">
        <v>140</v>
      </c>
      <c r="E308" s="446"/>
      <c r="F308" s="446"/>
      <c r="G308" s="179"/>
      <c r="H308" s="755"/>
      <c r="I308" s="269"/>
      <c r="J308" s="214">
        <v>0</v>
      </c>
      <c r="K308" s="496"/>
      <c r="L308" s="496"/>
      <c r="M308" s="496"/>
      <c r="N308" s="496"/>
      <c r="O308" s="496"/>
      <c r="P308" s="496"/>
    </row>
    <row r="309" spans="1:26" ht="18.75" hidden="1">
      <c r="A309" s="170"/>
      <c r="B309" s="171"/>
      <c r="C309" s="171"/>
      <c r="D309" s="446" t="s">
        <v>141</v>
      </c>
      <c r="E309" s="446"/>
      <c r="F309" s="446"/>
      <c r="G309" s="179"/>
      <c r="H309" s="755" t="s">
        <v>35</v>
      </c>
      <c r="I309" s="269">
        <f ca="1">IFERROR(__xludf.DUMMYFUNCTION("IMPORTRANGE(""https://docs.google.com/spreadsheets/d/1QqKyyYR6Q21VydFLVH3TRQUabQu_ym0Zz7PgGX0-kHA/edit?usp=sharing"",""แผน!ED58"")"),0)</f>
        <v>0</v>
      </c>
      <c r="J309" s="214">
        <v>0</v>
      </c>
      <c r="K309" s="496">
        <f t="shared" ref="K309:K312" ca="1" si="141">IF(I309&gt;0,J309*100/I309,0)</f>
        <v>0</v>
      </c>
      <c r="L309" s="496"/>
      <c r="M309" s="496"/>
      <c r="N309" s="496"/>
      <c r="O309" s="496"/>
      <c r="P309" s="496"/>
    </row>
    <row r="310" spans="1:26" ht="18.75" hidden="1">
      <c r="A310" s="170"/>
      <c r="B310" s="171"/>
      <c r="C310" s="171"/>
      <c r="D310" s="446" t="s">
        <v>142</v>
      </c>
      <c r="E310" s="446"/>
      <c r="F310" s="446"/>
      <c r="G310" s="179"/>
      <c r="H310" s="755" t="s">
        <v>35</v>
      </c>
      <c r="I310" s="269">
        <f ca="1">IFERROR(__xludf.DUMMYFUNCTION("IMPORTRANGE(""https://docs.google.com/spreadsheets/d/1QqKyyYR6Q21VydFLVH3TRQUabQu_ym0Zz7PgGX0-kHA/edit?usp=sharing"",""แผน!ED58"")"),0)</f>
        <v>0</v>
      </c>
      <c r="J310" s="214">
        <v>0</v>
      </c>
      <c r="K310" s="496">
        <f t="shared" ca="1" si="141"/>
        <v>0</v>
      </c>
      <c r="L310" s="496"/>
      <c r="M310" s="496"/>
      <c r="N310" s="496"/>
      <c r="O310" s="496"/>
      <c r="P310" s="496"/>
    </row>
    <row r="311" spans="1:26" ht="18.75" hidden="1">
      <c r="A311" s="170"/>
      <c r="B311" s="171"/>
      <c r="C311" s="171"/>
      <c r="D311" s="446" t="s">
        <v>59</v>
      </c>
      <c r="E311" s="446"/>
      <c r="F311" s="446"/>
      <c r="G311" s="179"/>
      <c r="H311" s="755" t="s">
        <v>35</v>
      </c>
      <c r="I311" s="269">
        <f ca="1">IFERROR(__xludf.DUMMYFUNCTION("IMPORTRANGE(""https://docs.google.com/spreadsheets/d/1QqKyyYR6Q21VydFLVH3TRQUabQu_ym0Zz7PgGX0-kHA/edit?usp=sharing"",""แผน!ED58"")"),0)</f>
        <v>0</v>
      </c>
      <c r="J311" s="214">
        <v>0</v>
      </c>
      <c r="K311" s="496">
        <f t="shared" ca="1" si="141"/>
        <v>0</v>
      </c>
      <c r="L311" s="496"/>
      <c r="M311" s="496"/>
      <c r="N311" s="496"/>
      <c r="O311" s="496"/>
      <c r="P311" s="496"/>
    </row>
    <row r="312" spans="1:26" ht="18.75" hidden="1">
      <c r="A312" s="170"/>
      <c r="B312" s="171"/>
      <c r="C312" s="171"/>
      <c r="D312" s="446" t="s">
        <v>143</v>
      </c>
      <c r="E312" s="446"/>
      <c r="F312" s="446"/>
      <c r="G312" s="179"/>
      <c r="H312" s="755" t="s">
        <v>35</v>
      </c>
      <c r="I312" s="269">
        <f ca="1">IFERROR(__xludf.DUMMYFUNCTION("IMPORTRANGE(""https://docs.google.com/spreadsheets/d/1QqKyyYR6Q21VydFLVH3TRQUabQu_ym0Zz7PgGX0-kHA/edit?usp=sharing"",""แผน!EE58"")"),0)</f>
        <v>0</v>
      </c>
      <c r="J312" s="214">
        <v>0</v>
      </c>
      <c r="K312" s="496">
        <f t="shared" ca="1" si="141"/>
        <v>0</v>
      </c>
      <c r="L312" s="496"/>
      <c r="M312" s="496"/>
      <c r="N312" s="496"/>
      <c r="O312" s="496"/>
      <c r="P312" s="496"/>
    </row>
    <row r="313" spans="1:26" ht="19.5" hidden="1">
      <c r="A313" s="431" t="s">
        <v>144</v>
      </c>
      <c r="B313" s="432"/>
      <c r="C313" s="432"/>
      <c r="D313" s="433"/>
      <c r="E313" s="432"/>
      <c r="F313" s="432"/>
      <c r="G313" s="432"/>
      <c r="H313" s="448"/>
      <c r="I313" s="436"/>
      <c r="J313" s="436"/>
      <c r="K313" s="437"/>
      <c r="L313" s="437"/>
      <c r="M313" s="437"/>
      <c r="N313" s="437"/>
      <c r="O313" s="437"/>
      <c r="P313" s="437"/>
    </row>
    <row r="314" spans="1:26" ht="19.5" hidden="1">
      <c r="A314" s="449"/>
      <c r="B314" s="439" t="s">
        <v>145</v>
      </c>
      <c r="C314" s="450"/>
      <c r="D314" s="451"/>
      <c r="E314" s="440"/>
      <c r="F314" s="440"/>
      <c r="G314" s="441"/>
      <c r="H314" s="442" t="s">
        <v>146</v>
      </c>
      <c r="I314" s="443">
        <f t="shared" ref="I314:J314" ca="1" si="142">I325</f>
        <v>0</v>
      </c>
      <c r="J314" s="443">
        <f t="shared" si="142"/>
        <v>0</v>
      </c>
      <c r="K314" s="444">
        <f ca="1">IF(I314&gt;0,J314*100/I314,0)</f>
        <v>0</v>
      </c>
      <c r="L314" s="445"/>
      <c r="M314" s="445"/>
      <c r="N314" s="445"/>
      <c r="O314" s="445"/>
      <c r="P314" s="445"/>
    </row>
    <row r="315" spans="1:26" ht="19.5" hidden="1">
      <c r="A315" s="147"/>
      <c r="B315" s="148"/>
      <c r="C315" s="149" t="s">
        <v>16</v>
      </c>
      <c r="D315" s="822" t="s">
        <v>17</v>
      </c>
      <c r="E315" s="148"/>
      <c r="F315" s="148"/>
      <c r="G315" s="151"/>
      <c r="H315" s="152" t="s">
        <v>12</v>
      </c>
      <c r="I315" s="419"/>
      <c r="J315" s="419"/>
      <c r="K315" s="154"/>
      <c r="L315" s="155">
        <f t="shared" ref="L315:N315" ca="1" si="143">L316+L317</f>
        <v>0</v>
      </c>
      <c r="M315" s="155">
        <f t="shared" ca="1" si="143"/>
        <v>0</v>
      </c>
      <c r="N315" s="155">
        <f t="shared" ca="1" si="143"/>
        <v>0</v>
      </c>
      <c r="O315" s="155">
        <f t="shared" ref="O315:O323" ca="1" si="144">IF(L315&gt;0,N315*100/L315,0)</f>
        <v>0</v>
      </c>
      <c r="P315" s="155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2" t="s">
        <v>18</v>
      </c>
      <c r="F316" s="40"/>
      <c r="G316" s="157"/>
      <c r="H316" s="158" t="s">
        <v>12</v>
      </c>
      <c r="I316" s="610"/>
      <c r="J316" s="610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2" t="s">
        <v>19</v>
      </c>
      <c r="F317" s="40"/>
      <c r="G317" s="157"/>
      <c r="H317" s="158" t="s">
        <v>12</v>
      </c>
      <c r="I317" s="610"/>
      <c r="J317" s="610"/>
      <c r="K317" s="93"/>
      <c r="L317" s="93">
        <f t="shared" ca="1" si="146"/>
        <v>0</v>
      </c>
      <c r="M317" s="93">
        <f t="shared" ca="1" si="146"/>
        <v>0</v>
      </c>
      <c r="N317" s="93">
        <f t="shared" ca="1" si="146"/>
        <v>0</v>
      </c>
      <c r="O317" s="93">
        <f t="shared" ca="1" si="144"/>
        <v>0</v>
      </c>
      <c r="P317" s="93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1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6">
        <f t="shared" ref="L318:N318" ca="1" si="147">L319+L320</f>
        <v>0</v>
      </c>
      <c r="M318" s="496">
        <f t="shared" ca="1" si="147"/>
        <v>0</v>
      </c>
      <c r="N318" s="496">
        <f t="shared" ca="1" si="147"/>
        <v>0</v>
      </c>
      <c r="O318" s="496">
        <f t="shared" ca="1" si="144"/>
        <v>0</v>
      </c>
      <c r="P318" s="496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2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2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IFERROR(__xludf.DUMMYFUNCTION("IMPORTRANGE(""https://docs.google.com/spreadsheets/d/1MeEWN-I1oV_STSDYn1IFDPWt_1FKiwhDph83XaGc0o0/edit?usp=sharing"",""งบพรบ!EC58"")"),0)</f>
        <v>0</v>
      </c>
      <c r="M320" s="93">
        <f ca="1">IFERROR(__xludf.DUMMYFUNCTION("IMPORTRANGE(""https://docs.google.com/spreadsheets/d/1MeEWN-I1oV_STSDYn1IFDPWt_1FKiwhDph83XaGc0o0/edit?usp=sharing"",""งบพรบ!EH58"")"),0)</f>
        <v>0</v>
      </c>
      <c r="N320" s="93">
        <f ca="1">IFERROR(__xludf.DUMMYFUNCTION("IMPORTRANGE(""https://docs.google.com/spreadsheets/d/1MeEWN-I1oV_STSDYn1IFDPWt_1FKiwhDph83XaGc0o0/edit?usp=sharing"",""งบพรบ!EJ58"")"),0)</f>
        <v>0</v>
      </c>
      <c r="O320" s="93">
        <f t="shared" ca="1" si="144"/>
        <v>0</v>
      </c>
      <c r="P320" s="93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1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6">
        <f t="shared" ref="L321:N321" ca="1" si="148">L322+L323</f>
        <v>0</v>
      </c>
      <c r="M321" s="496">
        <f t="shared" ca="1" si="148"/>
        <v>0</v>
      </c>
      <c r="N321" s="496">
        <f t="shared" ca="1" si="148"/>
        <v>0</v>
      </c>
      <c r="O321" s="496">
        <f t="shared" ca="1" si="144"/>
        <v>0</v>
      </c>
      <c r="P321" s="496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2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2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IFERROR(__xludf.DUMMYFUNCTION("IMPORTRANGE(""https://docs.google.com/spreadsheets/d/1MeEWN-I1oV_STSDYn1IFDPWt_1FKiwhDph83XaGc0o0/edit?usp=sharing"",""งบพรบ!EF58"")"),0)</f>
        <v>0</v>
      </c>
      <c r="M323" s="93">
        <f ca="1">IFERROR(__xludf.DUMMYFUNCTION("IMPORTRANGE(""https://docs.google.com/spreadsheets/d/1MeEWN-I1oV_STSDYn1IFDPWt_1FKiwhDph83XaGc0o0/edit?usp=sharing"",""งบพรบ!EI58"")"),0)</f>
        <v>0</v>
      </c>
      <c r="N323" s="93">
        <f ca="1">IFERROR(__xludf.DUMMYFUNCTION("IMPORTRANGE(""https://docs.google.com/spreadsheets/d/1MeEWN-I1oV_STSDYn1IFDPWt_1FKiwhDph83XaGc0o0/edit?usp=sharing"",""งบพรบ!EK58"")"),0)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23" t="s">
        <v>38</v>
      </c>
      <c r="E324" s="173"/>
      <c r="F324" s="173"/>
      <c r="G324" s="174"/>
      <c r="H324" s="753"/>
      <c r="I324" s="184"/>
      <c r="J324" s="269"/>
      <c r="K324" s="496"/>
      <c r="L324" s="496"/>
      <c r="M324" s="496"/>
      <c r="N324" s="496"/>
      <c r="O324" s="163"/>
      <c r="P324" s="163"/>
    </row>
    <row r="325" spans="1:26" ht="18.75" hidden="1">
      <c r="A325" s="170"/>
      <c r="B325" s="171"/>
      <c r="C325" s="171"/>
      <c r="D325" s="176" t="s">
        <v>147</v>
      </c>
      <c r="E325" s="178"/>
      <c r="F325" s="446"/>
      <c r="G325" s="179"/>
      <c r="H325" s="616" t="s">
        <v>146</v>
      </c>
      <c r="I325" s="269">
        <f ca="1">IFERROR(__xludf.DUMMYFUNCTION("IMPORTRANGE(""https://docs.google.com/spreadsheets/d/1QqKyyYR6Q21VydFLVH3TRQUabQu_ym0Zz7PgGX0-kHA/edit?usp=sharing"",""แผน!EF58"")"),0)</f>
        <v>0</v>
      </c>
      <c r="J325" s="214">
        <v>0</v>
      </c>
      <c r="K325" s="496">
        <f ca="1">IF(I325&gt;0,J325*100/I325,0)</f>
        <v>0</v>
      </c>
      <c r="L325" s="496"/>
      <c r="M325" s="496"/>
      <c r="N325" s="496"/>
      <c r="O325" s="163"/>
      <c r="P325" s="163"/>
    </row>
    <row r="326" spans="1:26" ht="19.5">
      <c r="A326" s="431" t="s">
        <v>148</v>
      </c>
      <c r="B326" s="432"/>
      <c r="C326" s="432"/>
      <c r="D326" s="433"/>
      <c r="E326" s="432"/>
      <c r="F326" s="432"/>
      <c r="G326" s="432"/>
      <c r="H326" s="448"/>
      <c r="I326" s="436"/>
      <c r="J326" s="436"/>
      <c r="K326" s="437"/>
      <c r="L326" s="437"/>
      <c r="M326" s="437"/>
      <c r="N326" s="437"/>
      <c r="O326" s="437"/>
      <c r="P326" s="437"/>
    </row>
    <row r="327" spans="1:26" ht="19.5">
      <c r="A327" s="438"/>
      <c r="B327" s="439" t="s">
        <v>149</v>
      </c>
      <c r="C327" s="451"/>
      <c r="D327" s="440"/>
      <c r="E327" s="440"/>
      <c r="F327" s="440"/>
      <c r="G327" s="441"/>
      <c r="H327" s="442" t="s">
        <v>35</v>
      </c>
      <c r="I327" s="443">
        <f ca="1">IFERROR(__xludf.DUMMYFUNCTION("IMPORTRANGE(""https://docs.google.com/spreadsheets/d/1QqKyyYR6Q21VydFLVH3TRQUabQu_ym0Zz7PgGX0-kHA/edit?usp=sharing"",""แผน!EG58"")"),600)</f>
        <v>600</v>
      </c>
      <c r="J327" s="443">
        <f ca="1">J338+J341+J342+J343</f>
        <v>742</v>
      </c>
      <c r="K327" s="444">
        <f ca="1">IF(I327&gt;0,J327*100/I327,0)</f>
        <v>123.66666666666667</v>
      </c>
      <c r="L327" s="445"/>
      <c r="M327" s="445"/>
      <c r="N327" s="445"/>
      <c r="O327" s="445"/>
      <c r="P327" s="445"/>
    </row>
    <row r="328" spans="1:26" ht="19.5">
      <c r="A328" s="147"/>
      <c r="B328" s="148"/>
      <c r="C328" s="149" t="s">
        <v>16</v>
      </c>
      <c r="D328" s="822" t="s">
        <v>17</v>
      </c>
      <c r="E328" s="148"/>
      <c r="F328" s="148"/>
      <c r="G328" s="151"/>
      <c r="H328" s="152" t="s">
        <v>12</v>
      </c>
      <c r="I328" s="419"/>
      <c r="J328" s="419"/>
      <c r="K328" s="154"/>
      <c r="L328" s="155">
        <f t="shared" ref="L328:N328" ca="1" si="149">L329+L330</f>
        <v>157000</v>
      </c>
      <c r="M328" s="155">
        <f t="shared" ca="1" si="149"/>
        <v>78500</v>
      </c>
      <c r="N328" s="155">
        <f t="shared" ca="1" si="149"/>
        <v>42103</v>
      </c>
      <c r="O328" s="155">
        <f t="shared" ref="O328:O336" ca="1" si="150">IF(L328&gt;0,N328*100/L328,0)</f>
        <v>26.817197452229298</v>
      </c>
      <c r="P328" s="155">
        <f t="shared" ref="P328:P336" ca="1" si="151">IF(M328&gt;0,N328*100/M328,0)</f>
        <v>53.634394904458595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2" t="s">
        <v>18</v>
      </c>
      <c r="F329" s="40"/>
      <c r="G329" s="157"/>
      <c r="H329" s="158" t="s">
        <v>12</v>
      </c>
      <c r="I329" s="610"/>
      <c r="J329" s="610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2" t="s">
        <v>19</v>
      </c>
      <c r="F330" s="40"/>
      <c r="G330" s="157"/>
      <c r="H330" s="158" t="s">
        <v>12</v>
      </c>
      <c r="I330" s="610"/>
      <c r="J330" s="610"/>
      <c r="K330" s="93"/>
      <c r="L330" s="93">
        <f t="shared" ca="1" si="152"/>
        <v>157000</v>
      </c>
      <c r="M330" s="93">
        <f t="shared" ca="1" si="152"/>
        <v>78500</v>
      </c>
      <c r="N330" s="93">
        <f t="shared" ca="1" si="152"/>
        <v>42103</v>
      </c>
      <c r="O330" s="93">
        <f t="shared" ca="1" si="150"/>
        <v>26.817197452229298</v>
      </c>
      <c r="P330" s="93">
        <f t="shared" ca="1" si="151"/>
        <v>53.634394904458595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1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6">
        <f t="shared" ref="L331:N331" ca="1" si="153">L332+L333</f>
        <v>157000</v>
      </c>
      <c r="M331" s="496">
        <f t="shared" ca="1" si="153"/>
        <v>78500</v>
      </c>
      <c r="N331" s="496">
        <f t="shared" ca="1" si="153"/>
        <v>42103</v>
      </c>
      <c r="O331" s="496">
        <f t="shared" ca="1" si="150"/>
        <v>26.817197452229298</v>
      </c>
      <c r="P331" s="496">
        <f t="shared" ca="1" si="151"/>
        <v>53.634394904458595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2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2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IFERROR(__xludf.DUMMYFUNCTION("IMPORTRANGE(""https://docs.google.com/spreadsheets/d/1MeEWN-I1oV_STSDYn1IFDPWt_1FKiwhDph83XaGc0o0/edit?usp=sharing"",""งบพรบ!EM58"")"),157000)</f>
        <v>157000</v>
      </c>
      <c r="M333" s="93">
        <f ca="1">IFERROR(__xludf.DUMMYFUNCTION("IMPORTRANGE(""https://docs.google.com/spreadsheets/d/1MeEWN-I1oV_STSDYn1IFDPWt_1FKiwhDph83XaGc0o0/edit?usp=sharing"",""งบพรบ!ER58"")"),78500)</f>
        <v>78500</v>
      </c>
      <c r="N333" s="93">
        <f ca="1">IFERROR(__xludf.DUMMYFUNCTION("IMPORTRANGE(""https://docs.google.com/spreadsheets/d/1MeEWN-I1oV_STSDYn1IFDPWt_1FKiwhDph83XaGc0o0/edit?usp=sharing"",""งบพรบ!ET58"")"),42103)</f>
        <v>42103</v>
      </c>
      <c r="O333" s="93">
        <f t="shared" ca="1" si="150"/>
        <v>26.817197452229298</v>
      </c>
      <c r="P333" s="93">
        <f t="shared" ca="1" si="151"/>
        <v>53.634394904458595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1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6">
        <f t="shared" ref="L334:N334" ca="1" si="154">L335+L336</f>
        <v>0</v>
      </c>
      <c r="M334" s="496">
        <f t="shared" ca="1" si="154"/>
        <v>0</v>
      </c>
      <c r="N334" s="496">
        <f t="shared" ca="1" si="154"/>
        <v>0</v>
      </c>
      <c r="O334" s="496">
        <f t="shared" ca="1" si="150"/>
        <v>0</v>
      </c>
      <c r="P334" s="496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2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2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IFERROR(__xludf.DUMMYFUNCTION("IMPORTRANGE(""https://docs.google.com/spreadsheets/d/1MeEWN-I1oV_STSDYn1IFDPWt_1FKiwhDph83XaGc0o0/edit?usp=sharing"",""งบพรบ!EP58"")"),0)</f>
        <v>0</v>
      </c>
      <c r="M336" s="93">
        <f ca="1">IFERROR(__xludf.DUMMYFUNCTION("IMPORTRANGE(""https://docs.google.com/spreadsheets/d/1MeEWN-I1oV_STSDYn1IFDPWt_1FKiwhDph83XaGc0o0/edit?usp=sharing"",""งบพรบ!ES58"")"),0)</f>
        <v>0</v>
      </c>
      <c r="N336" s="93">
        <f ca="1">IFERROR(__xludf.DUMMYFUNCTION("IMPORTRANGE(""https://docs.google.com/spreadsheets/d/1MeEWN-I1oV_STSDYn1IFDPWt_1FKiwhDph83XaGc0o0/edit?usp=sharing"",""งบพรบ!EU58"")"),0)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23" t="s">
        <v>38</v>
      </c>
      <c r="E337" s="173"/>
      <c r="F337" s="173"/>
      <c r="G337" s="174"/>
      <c r="H337" s="753"/>
      <c r="I337" s="184"/>
      <c r="J337" s="269"/>
      <c r="K337" s="496"/>
      <c r="L337" s="496"/>
      <c r="M337" s="496"/>
      <c r="N337" s="496"/>
      <c r="O337" s="163"/>
      <c r="P337" s="163"/>
    </row>
    <row r="338" spans="1:26" ht="18.75">
      <c r="A338" s="284"/>
      <c r="B338" s="33"/>
      <c r="C338" s="280"/>
      <c r="D338" s="446" t="s">
        <v>150</v>
      </c>
      <c r="E338" s="171"/>
      <c r="F338" s="33"/>
      <c r="G338" s="35"/>
      <c r="H338" s="276" t="s">
        <v>35</v>
      </c>
      <c r="I338" s="269">
        <f ca="1">IFERROR(__xludf.DUMMYFUNCTION("IMPORTRANGE(""https://docs.google.com/spreadsheets/d/1QqKyyYR6Q21VydFLVH3TRQUabQu_ym0Zz7PgGX0-kHA/edit?usp=sharing"",""แผน!EG58"")"),600)</f>
        <v>600</v>
      </c>
      <c r="J338" s="269">
        <f ca="1">IFERROR(__xludf.DUMMYFUNCTION("IMPORTRANGE(""https://docs.google.com/spreadsheets/d/1kVcqe37tkHyjCSG3S0O1AXqVkqjo8mSIZil3BcpIysc/edit?usp=sharing"",""ศูนย์!D58"")"),686)</f>
        <v>686</v>
      </c>
      <c r="K338" s="496">
        <f ca="1">IF(I338&gt;0,J338*100/I338,0)</f>
        <v>114.33333333333333</v>
      </c>
      <c r="L338" s="496"/>
      <c r="M338" s="496"/>
      <c r="N338" s="496"/>
      <c r="O338" s="496"/>
      <c r="P338" s="496"/>
    </row>
    <row r="339" spans="1:26" ht="18.75">
      <c r="A339" s="284"/>
      <c r="B339" s="33"/>
      <c r="C339" s="280"/>
      <c r="D339" s="446" t="s">
        <v>151</v>
      </c>
      <c r="E339" s="171"/>
      <c r="F339" s="33"/>
      <c r="G339" s="35"/>
      <c r="H339" s="276"/>
      <c r="I339" s="269"/>
      <c r="J339" s="269"/>
      <c r="K339" s="496"/>
      <c r="L339" s="496"/>
      <c r="M339" s="496"/>
      <c r="N339" s="496"/>
      <c r="O339" s="496"/>
      <c r="P339" s="496"/>
    </row>
    <row r="340" spans="1:26" ht="18.75">
      <c r="A340" s="284"/>
      <c r="B340" s="33"/>
      <c r="C340" s="280"/>
      <c r="D340" s="178"/>
      <c r="E340" s="446" t="s">
        <v>152</v>
      </c>
      <c r="F340" s="33"/>
      <c r="G340" s="35"/>
      <c r="H340" s="276" t="s">
        <v>153</v>
      </c>
      <c r="I340" s="269">
        <f ca="1">IFERROR(__xludf.DUMMYFUNCTION("IMPORTRANGE(""https://docs.google.com/spreadsheets/d/1QqKyyYR6Q21VydFLVH3TRQUabQu_ym0Zz7PgGX0-kHA/edit?usp=sharing"",""แผน!EH58"")"),2)</f>
        <v>2</v>
      </c>
      <c r="J340" s="269">
        <f ca="1">IFERROR(__xludf.DUMMYFUNCTION("IMPORTRANGE(""https://docs.google.com/spreadsheets/d/1kVcqe37tkHyjCSG3S0O1AXqVkqjo8mSIZil3BcpIysc/edit?usp=sharing"",""ศูนย์!E58"")"),2)</f>
        <v>2</v>
      </c>
      <c r="K340" s="496">
        <f ca="1">IF(I340&gt;0,J340*100/I340,0)</f>
        <v>100</v>
      </c>
      <c r="L340" s="496"/>
      <c r="M340" s="496"/>
      <c r="N340" s="496"/>
      <c r="O340" s="496"/>
      <c r="P340" s="496"/>
    </row>
    <row r="341" spans="1:26" ht="18.75">
      <c r="A341" s="284"/>
      <c r="B341" s="33"/>
      <c r="C341" s="280"/>
      <c r="D341" s="178"/>
      <c r="E341" s="446" t="s">
        <v>154</v>
      </c>
      <c r="F341" s="33"/>
      <c r="G341" s="35"/>
      <c r="H341" s="276" t="s">
        <v>35</v>
      </c>
      <c r="I341" s="269"/>
      <c r="J341" s="269">
        <f ca="1">IFERROR(__xludf.DUMMYFUNCTION("IMPORTRANGE(""https://docs.google.com/spreadsheets/d/1kVcqe37tkHyjCSG3S0O1AXqVkqjo8mSIZil3BcpIysc/edit?usp=sharing"",""ศูนย์!F58"")"),56)</f>
        <v>56</v>
      </c>
      <c r="K341" s="496"/>
      <c r="L341" s="496"/>
      <c r="M341" s="496"/>
      <c r="N341" s="496"/>
      <c r="O341" s="496"/>
      <c r="P341" s="496"/>
    </row>
    <row r="342" spans="1:26" ht="18.75">
      <c r="A342" s="284"/>
      <c r="B342" s="33"/>
      <c r="C342" s="280"/>
      <c r="D342" s="446" t="s">
        <v>155</v>
      </c>
      <c r="E342" s="178"/>
      <c r="F342" s="178"/>
      <c r="G342" s="35"/>
      <c r="H342" s="276" t="s">
        <v>35</v>
      </c>
      <c r="I342" s="269"/>
      <c r="J342" s="269">
        <f ca="1">IFERROR(__xludf.DUMMYFUNCTION("IMPORTRANGE(""https://docs.google.com/spreadsheets/d/1kVcqe37tkHyjCSG3S0O1AXqVkqjo8mSIZil3BcpIysc/edit?usp=sharing"",""ศูนย์!G58"")"),0)</f>
        <v>0</v>
      </c>
      <c r="K342" s="496"/>
      <c r="L342" s="496"/>
      <c r="M342" s="496"/>
      <c r="N342" s="496"/>
      <c r="O342" s="496"/>
      <c r="P342" s="496"/>
    </row>
    <row r="343" spans="1:26" ht="18.75">
      <c r="A343" s="284"/>
      <c r="B343" s="33"/>
      <c r="C343" s="280"/>
      <c r="D343" s="446" t="s">
        <v>156</v>
      </c>
      <c r="E343" s="178"/>
      <c r="F343" s="178"/>
      <c r="G343" s="35"/>
      <c r="H343" s="276" t="s">
        <v>35</v>
      </c>
      <c r="I343" s="269"/>
      <c r="J343" s="269">
        <f ca="1">IFERROR(__xludf.DUMMYFUNCTION("IMPORTRANGE(""https://docs.google.com/spreadsheets/d/1kVcqe37tkHyjCSG3S0O1AXqVkqjo8mSIZil3BcpIysc/edit?usp=sharing"",""ศูนย์!H58"")"),0)</f>
        <v>0</v>
      </c>
      <c r="K343" s="496"/>
      <c r="L343" s="496"/>
      <c r="M343" s="496"/>
      <c r="N343" s="496"/>
      <c r="O343" s="496"/>
      <c r="P343" s="496"/>
    </row>
    <row r="344" spans="1:26" ht="19.5">
      <c r="A344" s="438"/>
      <c r="B344" s="439" t="s">
        <v>157</v>
      </c>
      <c r="C344" s="451"/>
      <c r="D344" s="440"/>
      <c r="E344" s="440"/>
      <c r="F344" s="440"/>
      <c r="G344" s="441"/>
      <c r="H344" s="442"/>
      <c r="I344" s="452"/>
      <c r="J344" s="452"/>
      <c r="K344" s="445"/>
      <c r="L344" s="445"/>
      <c r="M344" s="445"/>
      <c r="N344" s="445"/>
      <c r="O344" s="445"/>
      <c r="P344" s="445"/>
    </row>
    <row r="345" spans="1:26" ht="19.5">
      <c r="A345" s="147"/>
      <c r="B345" s="148"/>
      <c r="C345" s="149" t="s">
        <v>16</v>
      </c>
      <c r="D345" s="822" t="s">
        <v>17</v>
      </c>
      <c r="E345" s="148"/>
      <c r="F345" s="148"/>
      <c r="G345" s="151"/>
      <c r="H345" s="152" t="s">
        <v>12</v>
      </c>
      <c r="I345" s="419"/>
      <c r="J345" s="419"/>
      <c r="K345" s="154"/>
      <c r="L345" s="155">
        <f t="shared" ref="L345:N345" ca="1" si="155">L346+L347</f>
        <v>578780</v>
      </c>
      <c r="M345" s="155">
        <f t="shared" ca="1" si="155"/>
        <v>402590</v>
      </c>
      <c r="N345" s="155">
        <f t="shared" ca="1" si="155"/>
        <v>186374</v>
      </c>
      <c r="O345" s="155">
        <f t="shared" ref="O345:O353" ca="1" si="156">IF(L345&gt;0,N345*100/L345,0)</f>
        <v>32.201181796191989</v>
      </c>
      <c r="P345" s="155">
        <f t="shared" ref="P345:P353" ca="1" si="157">IF(M345&gt;0,N345*100/M345,0)</f>
        <v>46.293747981817731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2" t="s">
        <v>18</v>
      </c>
      <c r="F346" s="40"/>
      <c r="G346" s="157"/>
      <c r="H346" s="158" t="s">
        <v>12</v>
      </c>
      <c r="I346" s="610"/>
      <c r="J346" s="610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2" t="s">
        <v>19</v>
      </c>
      <c r="F347" s="40"/>
      <c r="G347" s="157"/>
      <c r="H347" s="158" t="s">
        <v>12</v>
      </c>
      <c r="I347" s="610"/>
      <c r="J347" s="610"/>
      <c r="K347" s="93"/>
      <c r="L347" s="93">
        <f t="shared" ca="1" si="158"/>
        <v>578780</v>
      </c>
      <c r="M347" s="93">
        <f t="shared" ca="1" si="158"/>
        <v>402590</v>
      </c>
      <c r="N347" s="93">
        <f t="shared" ca="1" si="158"/>
        <v>186374</v>
      </c>
      <c r="O347" s="93">
        <f t="shared" ca="1" si="156"/>
        <v>32.201181796191989</v>
      </c>
      <c r="P347" s="93">
        <f t="shared" ca="1" si="157"/>
        <v>46.293747981817731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1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6">
        <f t="shared" ref="L348:N348" ca="1" si="159">L349+L350</f>
        <v>562780</v>
      </c>
      <c r="M348" s="496">
        <f t="shared" ca="1" si="159"/>
        <v>388090</v>
      </c>
      <c r="N348" s="496">
        <f t="shared" ca="1" si="159"/>
        <v>171874</v>
      </c>
      <c r="O348" s="496">
        <f t="shared" ca="1" si="156"/>
        <v>30.540175557056042</v>
      </c>
      <c r="P348" s="496">
        <f t="shared" ca="1" si="157"/>
        <v>44.287149887912598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2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2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IFERROR(__xludf.DUMMYFUNCTION("IMPORTRANGE(""https://docs.google.com/spreadsheets/d/1MeEWN-I1oV_STSDYn1IFDPWt_1FKiwhDph83XaGc0o0/edit?usp=sharing"",""งบพรบ!EW58"")"),562780)</f>
        <v>562780</v>
      </c>
      <c r="M350" s="93">
        <f ca="1">IFERROR(__xludf.DUMMYFUNCTION("IMPORTRANGE(""https://docs.google.com/spreadsheets/d/1MeEWN-I1oV_STSDYn1IFDPWt_1FKiwhDph83XaGc0o0/edit?usp=sharing"",""งบพรบ!FB58"")"),388090)</f>
        <v>388090</v>
      </c>
      <c r="N350" s="93">
        <f ca="1">IFERROR(__xludf.DUMMYFUNCTION("IMPORTRANGE(""https://docs.google.com/spreadsheets/d/1MeEWN-I1oV_STSDYn1IFDPWt_1FKiwhDph83XaGc0o0/edit?usp=sharing"",""งบพรบ!FD58"")"),171874)</f>
        <v>171874</v>
      </c>
      <c r="O350" s="93">
        <f t="shared" ca="1" si="156"/>
        <v>30.540175557056042</v>
      </c>
      <c r="P350" s="93">
        <f t="shared" ca="1" si="157"/>
        <v>44.287149887912598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1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6">
        <f t="shared" ref="L351:N351" ca="1" si="160">L352+L353</f>
        <v>16000</v>
      </c>
      <c r="M351" s="496">
        <f t="shared" ca="1" si="160"/>
        <v>14500</v>
      </c>
      <c r="N351" s="496">
        <f t="shared" ca="1" si="160"/>
        <v>14500</v>
      </c>
      <c r="O351" s="496">
        <f t="shared" ca="1" si="156"/>
        <v>90.625</v>
      </c>
      <c r="P351" s="496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2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2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IFERROR(__xludf.DUMMYFUNCTION("IMPORTRANGE(""https://docs.google.com/spreadsheets/d/1MeEWN-I1oV_STSDYn1IFDPWt_1FKiwhDph83XaGc0o0/edit?usp=sharing"",""งบพรบ!EZ58"")"),16000)</f>
        <v>16000</v>
      </c>
      <c r="M353" s="93">
        <f ca="1">IFERROR(__xludf.DUMMYFUNCTION("IMPORTRANGE(""https://docs.google.com/spreadsheets/d/1MeEWN-I1oV_STSDYn1IFDPWt_1FKiwhDph83XaGc0o0/edit?usp=sharing"",""งบพรบ!FC58"")"),14500)</f>
        <v>14500</v>
      </c>
      <c r="N353" s="93">
        <f ca="1">IFERROR(__xludf.DUMMYFUNCTION("IMPORTRANGE(""https://docs.google.com/spreadsheets/d/1MeEWN-I1oV_STSDYn1IFDPWt_1FKiwhDph83XaGc0o0/edit?usp=sharing"",""งบพรบ!FE58"")"),14500)</f>
        <v>14500</v>
      </c>
      <c r="O353" s="93">
        <f t="shared" ca="1" si="156"/>
        <v>90.625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5"/>
      <c r="B354" s="263"/>
      <c r="C354" s="256"/>
      <c r="D354" s="832" t="s">
        <v>158</v>
      </c>
      <c r="E354" s="256"/>
      <c r="F354" s="256"/>
      <c r="G354" s="258"/>
      <c r="H354" s="454"/>
      <c r="I354" s="260"/>
      <c r="J354" s="260"/>
      <c r="K354" s="261"/>
      <c r="L354" s="261"/>
      <c r="M354" s="261"/>
      <c r="N354" s="261"/>
      <c r="O354" s="261"/>
      <c r="P354" s="261"/>
    </row>
    <row r="355" spans="1:26" ht="19.5">
      <c r="A355" s="455"/>
      <c r="B355" s="456"/>
      <c r="C355" s="457"/>
      <c r="D355" s="833" t="s">
        <v>159</v>
      </c>
      <c r="E355" s="459"/>
      <c r="F355" s="459"/>
      <c r="G355" s="460"/>
      <c r="H355" s="461" t="s">
        <v>35</v>
      </c>
      <c r="I355" s="463">
        <f ca="1">IFERROR(__xludf.DUMMYFUNCTION("IMPORTRANGE(""https://docs.google.com/spreadsheets/d/1QqKyyYR6Q21VydFLVH3TRQUabQu_ym0Zz7PgGX0-kHA/edit?usp=sharing"",""แผน!EP58"")"),130)</f>
        <v>130</v>
      </c>
      <c r="J355" s="463">
        <f ca="1">J362</f>
        <v>17</v>
      </c>
      <c r="K355" s="464">
        <f ca="1">IF(I355&gt;0,J355*100/I355,0)</f>
        <v>13.076923076923077</v>
      </c>
      <c r="L355" s="465"/>
      <c r="M355" s="465"/>
      <c r="N355" s="465"/>
      <c r="O355" s="465"/>
      <c r="P355" s="465"/>
    </row>
    <row r="356" spans="1:26" ht="19.5">
      <c r="A356" s="455"/>
      <c r="B356" s="456"/>
      <c r="C356" s="457"/>
      <c r="D356" s="466" t="s">
        <v>160</v>
      </c>
      <c r="E356" s="459"/>
      <c r="F356" s="459"/>
      <c r="G356" s="460"/>
      <c r="H356" s="467"/>
      <c r="I356" s="468"/>
      <c r="J356" s="468"/>
      <c r="K356" s="465"/>
      <c r="L356" s="465"/>
      <c r="M356" s="465"/>
      <c r="N356" s="465"/>
      <c r="O356" s="465"/>
      <c r="P356" s="465"/>
    </row>
    <row r="357" spans="1:26" ht="19.5">
      <c r="A357" s="170"/>
      <c r="B357" s="171"/>
      <c r="C357" s="164" t="s">
        <v>16</v>
      </c>
      <c r="D357" s="823" t="s">
        <v>38</v>
      </c>
      <c r="E357" s="173"/>
      <c r="F357" s="173"/>
      <c r="G357" s="174"/>
      <c r="H357" s="753"/>
      <c r="I357" s="269"/>
      <c r="J357" s="269"/>
      <c r="K357" s="496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69">
        <v>0</v>
      </c>
      <c r="J358" s="269">
        <f ca="1">IFERROR(__xludf.DUMMYFUNCTION("IMPORTRANGE(""https://docs.google.com/spreadsheets/d/1XWAQStnk-4SwqDmLtmXYiTMKHgktTP8We1SCoS47DrQ/edit?usp=sharing"",""จัดที่ดิน!W58"")"),23)</f>
        <v>23</v>
      </c>
      <c r="K358" s="496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69">
        <f ca="1">IFERROR(__xludf.DUMMYFUNCTION("IMPORTRANGE(""https://docs.google.com/spreadsheets/d/1QqKyyYR6Q21VydFLVH3TRQUabQu_ym0Zz7PgGX0-kHA/edit?usp=sharing"",""แผน!EO58"")"),2000)</f>
        <v>2000</v>
      </c>
      <c r="J359" s="269">
        <f ca="1">IFERROR(__xludf.DUMMYFUNCTION("IMPORTRANGE(""https://docs.google.com/spreadsheets/d/1XWAQStnk-4SwqDmLtmXYiTMKHgktTP8We1SCoS47DrQ/edit?usp=sharing"",""จัดที่ดิน!X58"")"),190.02)</f>
        <v>190.02</v>
      </c>
      <c r="K359" s="496">
        <f t="shared" ca="1" si="161"/>
        <v>9.5009999999999994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755" t="s">
        <v>35</v>
      </c>
      <c r="I360" s="269">
        <f ca="1">IFERROR(__xludf.DUMMYFUNCTION("IMPORTRANGE(""https://docs.google.com/spreadsheets/d/1QqKyyYR6Q21VydFLVH3TRQUabQu_ym0Zz7PgGX0-kHA/edit?usp=sharing"",""แผน!EP58"")"),130)</f>
        <v>130</v>
      </c>
      <c r="J360" s="269">
        <f ca="1">IFERROR(__xludf.DUMMYFUNCTION("IMPORTRANGE(""https://docs.google.com/spreadsheets/d/1XWAQStnk-4SwqDmLtmXYiTMKHgktTP8We1SCoS47DrQ/edit?usp=sharing"",""จัดที่ดิน!Y58"")"),19)</f>
        <v>19</v>
      </c>
      <c r="K360" s="496">
        <f t="shared" ca="1" si="161"/>
        <v>14.615384615384615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755" t="s">
        <v>46</v>
      </c>
      <c r="I361" s="269">
        <v>0</v>
      </c>
      <c r="J361" s="269">
        <f ca="1">IFERROR(__xludf.DUMMYFUNCTION("IMPORTRANGE(""https://docs.google.com/spreadsheets/d/1XWAQStnk-4SwqDmLtmXYiTMKHgktTP8We1SCoS47DrQ/edit?usp=sharing"",""จัดที่ดิน!Z58"")"),185.7)</f>
        <v>185.7</v>
      </c>
      <c r="K361" s="496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755" t="s">
        <v>35</v>
      </c>
      <c r="I362" s="269">
        <f ca="1">IFERROR(__xludf.DUMMYFUNCTION("IMPORTRANGE(""https://docs.google.com/spreadsheets/d/1QqKyyYR6Q21VydFLVH3TRQUabQu_ym0Zz7PgGX0-kHA/edit?usp=sharing"",""แผน!EP58"")"),130)</f>
        <v>130</v>
      </c>
      <c r="J362" s="269">
        <f ca="1">IFERROR(__xludf.DUMMYFUNCTION("IMPORTRANGE(""https://docs.google.com/spreadsheets/d/1XWAQStnk-4SwqDmLtmXYiTMKHgktTP8We1SCoS47DrQ/edit?usp=sharing"",""จัดที่ดิน!AA58"")"),17)</f>
        <v>17</v>
      </c>
      <c r="K362" s="496">
        <f t="shared" ca="1" si="161"/>
        <v>13.076923076923077</v>
      </c>
      <c r="L362" s="163"/>
      <c r="M362" s="163"/>
      <c r="N362" s="163"/>
      <c r="O362" s="163"/>
      <c r="P362" s="163"/>
    </row>
    <row r="363" spans="1:26" ht="18.75">
      <c r="A363" s="469" t="s">
        <v>164</v>
      </c>
      <c r="B363" s="178"/>
      <c r="C363" s="171"/>
      <c r="D363" s="178"/>
      <c r="E363" s="446"/>
      <c r="F363" s="178"/>
      <c r="G363" s="179"/>
      <c r="H363" s="755" t="s">
        <v>46</v>
      </c>
      <c r="I363" s="269">
        <v>0</v>
      </c>
      <c r="J363" s="269">
        <f ca="1">IFERROR(__xludf.DUMMYFUNCTION("IMPORTRANGE(""https://docs.google.com/spreadsheets/d/1XWAQStnk-4SwqDmLtmXYiTMKHgktTP8We1SCoS47DrQ/edit?usp=sharing"",""จัดที่ดิน!AB58"")"),112.37)</f>
        <v>112.37</v>
      </c>
      <c r="K363" s="496">
        <f t="shared" si="161"/>
        <v>0</v>
      </c>
      <c r="L363" s="163"/>
      <c r="M363" s="163"/>
      <c r="N363" s="163"/>
      <c r="O363" s="163"/>
      <c r="P363" s="163"/>
    </row>
    <row r="364" spans="1:26" ht="19.5">
      <c r="A364" s="470"/>
      <c r="B364" s="471"/>
      <c r="C364" s="472"/>
      <c r="D364" s="473" t="s">
        <v>165</v>
      </c>
      <c r="E364" s="474"/>
      <c r="F364" s="474"/>
      <c r="G364" s="475"/>
      <c r="H364" s="476" t="s">
        <v>35</v>
      </c>
      <c r="I364" s="477">
        <f t="shared" ref="I364:J364" ca="1" si="162">I365+I374</f>
        <v>230</v>
      </c>
      <c r="J364" s="477">
        <f t="shared" ca="1" si="162"/>
        <v>122</v>
      </c>
      <c r="K364" s="478">
        <f t="shared" ca="1" si="161"/>
        <v>53.043478260869563</v>
      </c>
      <c r="L364" s="479"/>
      <c r="M364" s="479"/>
      <c r="N364" s="479"/>
      <c r="O364" s="479"/>
      <c r="P364" s="479"/>
      <c r="Q364" s="480"/>
      <c r="R364" s="480"/>
      <c r="S364" s="480"/>
      <c r="T364" s="480"/>
      <c r="U364" s="480"/>
      <c r="V364" s="480"/>
      <c r="W364" s="480"/>
      <c r="X364" s="480"/>
      <c r="Y364" s="480"/>
      <c r="Z364" s="480"/>
    </row>
    <row r="365" spans="1:26" ht="19.5">
      <c r="A365" s="481"/>
      <c r="B365" s="482"/>
      <c r="C365" s="484"/>
      <c r="D365" s="484" t="s">
        <v>166</v>
      </c>
      <c r="E365" s="485"/>
      <c r="F365" s="485"/>
      <c r="G365" s="486"/>
      <c r="H365" s="487" t="s">
        <v>35</v>
      </c>
      <c r="I365" s="489">
        <f ca="1">IFERROR(__xludf.DUMMYFUNCTION("IMPORTRANGE(""https://docs.google.com/spreadsheets/d/1QqKyyYR6Q21VydFLVH3TRQUabQu_ym0Zz7PgGX0-kHA/edit?usp=sharing"",""แผน!EJ58"")"),30)</f>
        <v>30</v>
      </c>
      <c r="J365" s="489">
        <f ca="1">J372</f>
        <v>0</v>
      </c>
      <c r="K365" s="490">
        <f t="shared" ca="1" si="161"/>
        <v>0</v>
      </c>
      <c r="L365" s="491"/>
      <c r="M365" s="491"/>
      <c r="N365" s="491"/>
      <c r="O365" s="491"/>
      <c r="P365" s="491"/>
      <c r="Q365" s="480"/>
      <c r="R365" s="480"/>
      <c r="S365" s="480"/>
      <c r="T365" s="480"/>
      <c r="U365" s="480"/>
      <c r="V365" s="480"/>
      <c r="W365" s="480"/>
      <c r="X365" s="480"/>
      <c r="Y365" s="480"/>
      <c r="Z365" s="480"/>
    </row>
    <row r="366" spans="1:26" ht="19.5">
      <c r="A366" s="481"/>
      <c r="B366" s="482"/>
      <c r="C366" s="484"/>
      <c r="D366" s="492" t="s">
        <v>167</v>
      </c>
      <c r="E366" s="485"/>
      <c r="F366" s="485"/>
      <c r="G366" s="486"/>
      <c r="H366" s="493"/>
      <c r="I366" s="494"/>
      <c r="J366" s="494"/>
      <c r="K366" s="491"/>
      <c r="L366" s="491"/>
      <c r="M366" s="491"/>
      <c r="N366" s="491"/>
      <c r="O366" s="491"/>
      <c r="P366" s="491"/>
      <c r="Q366" s="480"/>
      <c r="R366" s="480"/>
      <c r="S366" s="480"/>
      <c r="T366" s="480"/>
      <c r="U366" s="480"/>
      <c r="V366" s="480"/>
      <c r="W366" s="480"/>
      <c r="X366" s="480"/>
      <c r="Y366" s="480"/>
      <c r="Z366" s="480"/>
    </row>
    <row r="367" spans="1:26" ht="19.5">
      <c r="A367" s="170"/>
      <c r="B367" s="171"/>
      <c r="C367" s="164" t="s">
        <v>16</v>
      </c>
      <c r="D367" s="823" t="s">
        <v>38</v>
      </c>
      <c r="E367" s="173"/>
      <c r="F367" s="173"/>
      <c r="G367" s="174"/>
      <c r="H367" s="753"/>
      <c r="I367" s="269"/>
      <c r="J367" s="269"/>
      <c r="K367" s="496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69">
        <v>0</v>
      </c>
      <c r="J368" s="269">
        <f ca="1">IFERROR(__xludf.DUMMYFUNCTION("IMPORTRANGE(""https://docs.google.com/spreadsheets/d/1XWAQStnk-4SwqDmLtmXYiTMKHgktTP8We1SCoS47DrQ/edit?usp=sharing"",""จัดที่ดิน!E58"")"),6)</f>
        <v>6</v>
      </c>
      <c r="K368" s="496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69">
        <f ca="1">IFERROR(__xludf.DUMMYFUNCTION("IMPORTRANGE(""https://docs.google.com/spreadsheets/d/1QqKyyYR6Q21VydFLVH3TRQUabQu_ym0Zz7PgGX0-kHA/edit?usp=sharing"",""แผน!EI58"")"),1000)</f>
        <v>1000</v>
      </c>
      <c r="J369" s="269">
        <f ca="1">IFERROR(__xludf.DUMMYFUNCTION("IMPORTRANGE(""https://docs.google.com/spreadsheets/d/1XWAQStnk-4SwqDmLtmXYiTMKHgktTP8We1SCoS47DrQ/edit?usp=sharing"",""จัดที่ดิน!F58"")"),77.65)</f>
        <v>77.650000000000006</v>
      </c>
      <c r="K369" s="496">
        <f t="shared" ca="1" si="163"/>
        <v>7.7650000000000006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55" t="s">
        <v>35</v>
      </c>
      <c r="I370" s="269">
        <f ca="1">IFERROR(__xludf.DUMMYFUNCTION("IMPORTRANGE(""https://docs.google.com/spreadsheets/d/1QqKyyYR6Q21VydFLVH3TRQUabQu_ym0Zz7PgGX0-kHA/edit?usp=sharing"",""แผน!EJ58"")"),30)</f>
        <v>30</v>
      </c>
      <c r="J370" s="269">
        <f ca="1">IFERROR(__xludf.DUMMYFUNCTION("IMPORTRANGE(""https://docs.google.com/spreadsheets/d/1XWAQStnk-4SwqDmLtmXYiTMKHgktTP8We1SCoS47DrQ/edit?usp=sharing"",""จัดที่ดิน!G58"")"),2)</f>
        <v>2</v>
      </c>
      <c r="K370" s="496">
        <f t="shared" ca="1" si="163"/>
        <v>6.666666666666667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55" t="s">
        <v>46</v>
      </c>
      <c r="I371" s="269">
        <v>0</v>
      </c>
      <c r="J371" s="269">
        <f ca="1">IFERROR(__xludf.DUMMYFUNCTION("IMPORTRANGE(""https://docs.google.com/spreadsheets/d/1XWAQStnk-4SwqDmLtmXYiTMKHgktTP8We1SCoS47DrQ/edit?usp=sharing"",""จัดที่ดิน!H58"")"),73.33)</f>
        <v>73.33</v>
      </c>
      <c r="K371" s="496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55" t="s">
        <v>35</v>
      </c>
      <c r="I372" s="269">
        <f ca="1">IFERROR(__xludf.DUMMYFUNCTION("IMPORTRANGE(""https://docs.google.com/spreadsheets/d/1QqKyyYR6Q21VydFLVH3TRQUabQu_ym0Zz7PgGX0-kHA/edit?usp=sharing"",""แผน!EJ58"")"),30)</f>
        <v>30</v>
      </c>
      <c r="J372" s="269">
        <f ca="1">IFERROR(__xludf.DUMMYFUNCTION("IMPORTRANGE(""https://docs.google.com/spreadsheets/d/1XWAQStnk-4SwqDmLtmXYiTMKHgktTP8We1SCoS47DrQ/edit?usp=sharing"",""จัดที่ดิน!I58"")"),0)</f>
        <v>0</v>
      </c>
      <c r="K372" s="496">
        <f t="shared" ca="1" si="163"/>
        <v>0</v>
      </c>
      <c r="L372" s="163"/>
      <c r="M372" s="163"/>
      <c r="N372" s="163"/>
      <c r="O372" s="163"/>
      <c r="P372" s="163"/>
    </row>
    <row r="373" spans="1:26" ht="18.75">
      <c r="A373" s="469" t="s">
        <v>164</v>
      </c>
      <c r="B373" s="178"/>
      <c r="C373" s="171"/>
      <c r="D373" s="178"/>
      <c r="E373" s="446"/>
      <c r="F373" s="178"/>
      <c r="G373" s="179"/>
      <c r="H373" s="755" t="s">
        <v>46</v>
      </c>
      <c r="I373" s="269">
        <v>0</v>
      </c>
      <c r="J373" s="269">
        <f ca="1">IFERROR(__xludf.DUMMYFUNCTION("IMPORTRANGE(""https://docs.google.com/spreadsheets/d/1XWAQStnk-4SwqDmLtmXYiTMKHgktTP8We1SCoS47DrQ/edit?usp=sharing"",""จัดที่ดิน!J58"")"),0)</f>
        <v>0</v>
      </c>
      <c r="K373" s="496">
        <f t="shared" si="163"/>
        <v>0</v>
      </c>
      <c r="L373" s="163"/>
      <c r="M373" s="163"/>
      <c r="N373" s="163"/>
      <c r="O373" s="163"/>
      <c r="P373" s="163"/>
    </row>
    <row r="374" spans="1:26" ht="19.5">
      <c r="A374" s="481"/>
      <c r="B374" s="482"/>
      <c r="C374" s="484"/>
      <c r="D374" s="484" t="s">
        <v>168</v>
      </c>
      <c r="E374" s="485"/>
      <c r="F374" s="485"/>
      <c r="G374" s="486"/>
      <c r="H374" s="487" t="s">
        <v>35</v>
      </c>
      <c r="I374" s="495">
        <f ca="1">IFERROR(__xludf.DUMMYFUNCTION("IMPORTRANGE(""https://docs.google.com/spreadsheets/d/1QqKyyYR6Q21VydFLVH3TRQUabQu_ym0Zz7PgGX0-kHA/edit?usp=sharing"",""แผน!EU58"")"),200)</f>
        <v>200</v>
      </c>
      <c r="J374" s="489">
        <f ca="1">J381</f>
        <v>122</v>
      </c>
      <c r="K374" s="490">
        <f t="shared" ca="1" si="163"/>
        <v>61</v>
      </c>
      <c r="L374" s="491"/>
      <c r="M374" s="491"/>
      <c r="N374" s="491"/>
      <c r="O374" s="491"/>
      <c r="P374" s="491"/>
      <c r="Q374" s="480"/>
      <c r="R374" s="480"/>
      <c r="S374" s="480"/>
      <c r="T374" s="480"/>
      <c r="U374" s="480"/>
      <c r="V374" s="480"/>
      <c r="W374" s="480"/>
      <c r="X374" s="480"/>
      <c r="Y374" s="480"/>
      <c r="Z374" s="480"/>
    </row>
    <row r="375" spans="1:26" ht="19.5">
      <c r="A375" s="481"/>
      <c r="B375" s="482"/>
      <c r="C375" s="484"/>
      <c r="D375" s="492" t="s">
        <v>169</v>
      </c>
      <c r="E375" s="485"/>
      <c r="F375" s="485"/>
      <c r="G375" s="486"/>
      <c r="H375" s="493"/>
      <c r="I375" s="494"/>
      <c r="J375" s="494"/>
      <c r="K375" s="491"/>
      <c r="L375" s="491"/>
      <c r="M375" s="491"/>
      <c r="N375" s="491"/>
      <c r="O375" s="491"/>
      <c r="P375" s="491"/>
      <c r="Q375" s="480"/>
      <c r="R375" s="480"/>
      <c r="S375" s="480"/>
      <c r="T375" s="480"/>
      <c r="U375" s="480"/>
      <c r="V375" s="480"/>
      <c r="W375" s="480"/>
      <c r="X375" s="480"/>
      <c r="Y375" s="480"/>
      <c r="Z375" s="480"/>
    </row>
    <row r="376" spans="1:26" ht="19.5">
      <c r="A376" s="170"/>
      <c r="B376" s="171"/>
      <c r="C376" s="164" t="s">
        <v>16</v>
      </c>
      <c r="D376" s="823" t="s">
        <v>38</v>
      </c>
      <c r="E376" s="173"/>
      <c r="F376" s="173"/>
      <c r="G376" s="174"/>
      <c r="H376" s="753"/>
      <c r="I376" s="269"/>
      <c r="J376" s="269"/>
      <c r="K376" s="496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69">
        <v>0</v>
      </c>
      <c r="J377" s="269">
        <f ca="1">IFERROR(__xludf.DUMMYFUNCTION("IMPORTRANGE(""https://docs.google.com/spreadsheets/d/1XWAQStnk-4SwqDmLtmXYiTMKHgktTP8We1SCoS47DrQ/edit?usp=sharing"",""จัดที่ดิน!AH58"")"),17)</f>
        <v>17</v>
      </c>
      <c r="K377" s="496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69">
        <f ca="1">IFERROR(__xludf.DUMMYFUNCTION("IMPORTRANGE(""https://docs.google.com/spreadsheets/d/1QqKyyYR6Q21VydFLVH3TRQUabQu_ym0Zz7PgGX0-kHA/edit?usp=sharing"",""แผน!ET58"")"),1000)</f>
        <v>1000</v>
      </c>
      <c r="J378" s="269">
        <f ca="1">IFERROR(__xludf.DUMMYFUNCTION("IMPORTRANGE(""https://docs.google.com/spreadsheets/d/1XWAQStnk-4SwqDmLtmXYiTMKHgktTP8We1SCoS47DrQ/edit?usp=sharing"",""จัดที่ดิน!AI58"")"),112.37)</f>
        <v>112.37</v>
      </c>
      <c r="K378" s="496">
        <f t="shared" ca="1" si="164"/>
        <v>11.237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55" t="s">
        <v>35</v>
      </c>
      <c r="I379" s="269">
        <f ca="1">IFERROR(__xludf.DUMMYFUNCTION("IMPORTRANGE(""https://docs.google.com/spreadsheets/d/1QqKyyYR6Q21VydFLVH3TRQUabQu_ym0Zz7PgGX0-kHA/edit?usp=sharing"",""แผน!EU58"")"),200)</f>
        <v>200</v>
      </c>
      <c r="J379" s="269">
        <f ca="1">IFERROR(__xludf.DUMMYFUNCTION("IMPORTRANGE(""https://docs.google.com/spreadsheets/d/1XWAQStnk-4SwqDmLtmXYiTMKHgktTP8We1SCoS47DrQ/edit?usp=sharing"",""จัดที่ดิน!AJ58"")"),122)</f>
        <v>122</v>
      </c>
      <c r="K379" s="496">
        <f t="shared" ca="1" si="164"/>
        <v>61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55" t="s">
        <v>46</v>
      </c>
      <c r="I380" s="269">
        <v>0</v>
      </c>
      <c r="J380" s="269">
        <f ca="1">IFERROR(__xludf.DUMMYFUNCTION("IMPORTRANGE(""https://docs.google.com/spreadsheets/d/1XWAQStnk-4SwqDmLtmXYiTMKHgktTP8We1SCoS47DrQ/edit?usp=sharing"",""จัดที่ดิน!AK58"")"),1813.47)</f>
        <v>1813.47</v>
      </c>
      <c r="K380" s="496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55" t="s">
        <v>35</v>
      </c>
      <c r="I381" s="269">
        <f ca="1">IFERROR(__xludf.DUMMYFUNCTION("IMPORTRANGE(""https://docs.google.com/spreadsheets/d/1QqKyyYR6Q21VydFLVH3TRQUabQu_ym0Zz7PgGX0-kHA/edit?usp=sharing"",""แผน!EU58"")"),200)</f>
        <v>200</v>
      </c>
      <c r="J381" s="269">
        <f ca="1">IFERROR(__xludf.DUMMYFUNCTION("IMPORTRANGE(""https://docs.google.com/spreadsheets/d/1XWAQStnk-4SwqDmLtmXYiTMKHgktTP8We1SCoS47DrQ/edit?usp=sharing"",""จัดที่ดิน!AL58"")"),122)</f>
        <v>122</v>
      </c>
      <c r="K381" s="496">
        <f t="shared" ca="1" si="164"/>
        <v>61</v>
      </c>
      <c r="L381" s="163"/>
      <c r="M381" s="163"/>
      <c r="N381" s="163"/>
      <c r="O381" s="163"/>
      <c r="P381" s="163"/>
    </row>
    <row r="382" spans="1:26" ht="18.75">
      <c r="A382" s="469" t="s">
        <v>164</v>
      </c>
      <c r="B382" s="178"/>
      <c r="C382" s="171"/>
      <c r="D382" s="178"/>
      <c r="E382" s="446"/>
      <c r="F382" s="178"/>
      <c r="G382" s="179"/>
      <c r="H382" s="755" t="s">
        <v>46</v>
      </c>
      <c r="I382" s="269">
        <v>0</v>
      </c>
      <c r="J382" s="269">
        <f ca="1">IFERROR(__xludf.DUMMYFUNCTION("IMPORTRANGE(""https://docs.google.com/spreadsheets/d/1XWAQStnk-4SwqDmLtmXYiTMKHgktTP8We1SCoS47DrQ/edit?usp=sharing"",""จัดที่ดิน!AM58"")"),1813.47)</f>
        <v>1813.47</v>
      </c>
      <c r="K382" s="496">
        <f t="shared" si="164"/>
        <v>0</v>
      </c>
      <c r="L382" s="163"/>
      <c r="M382" s="163"/>
      <c r="N382" s="163"/>
      <c r="O382" s="163"/>
      <c r="P382" s="163"/>
    </row>
    <row r="383" spans="1:26" ht="19.5">
      <c r="A383" s="255"/>
      <c r="B383" s="263"/>
      <c r="C383" s="256"/>
      <c r="D383" s="832" t="s">
        <v>170</v>
      </c>
      <c r="E383" s="256"/>
      <c r="F383" s="256"/>
      <c r="G383" s="258"/>
      <c r="H383" s="454"/>
      <c r="I383" s="260"/>
      <c r="J383" s="260"/>
      <c r="K383" s="261"/>
      <c r="L383" s="261"/>
      <c r="M383" s="261"/>
      <c r="N383" s="261"/>
      <c r="O383" s="261"/>
      <c r="P383" s="261"/>
    </row>
    <row r="384" spans="1:26" ht="19.5">
      <c r="A384" s="170"/>
      <c r="B384" s="171"/>
      <c r="C384" s="33" t="s">
        <v>16</v>
      </c>
      <c r="D384" s="823" t="s">
        <v>38</v>
      </c>
      <c r="E384" s="173"/>
      <c r="F384" s="173"/>
      <c r="G384" s="174"/>
      <c r="H384" s="753"/>
      <c r="I384" s="269"/>
      <c r="J384" s="269"/>
      <c r="K384" s="496"/>
      <c r="L384" s="163"/>
      <c r="M384" s="163"/>
      <c r="N384" s="163"/>
      <c r="O384" s="163"/>
      <c r="P384" s="163"/>
    </row>
    <row r="385" spans="1:26" ht="18.75">
      <c r="A385" s="377"/>
      <c r="B385" s="380"/>
      <c r="C385" s="378"/>
      <c r="D385" s="380"/>
      <c r="E385" s="497" t="s">
        <v>163</v>
      </c>
      <c r="F385" s="380"/>
      <c r="G385" s="381"/>
      <c r="H385" s="498" t="s">
        <v>35</v>
      </c>
      <c r="I385" s="499">
        <f ca="1">IFERROR(__xludf.DUMMYFUNCTION("IMPORTRANGE(""https://docs.google.com/spreadsheets/d/1QqKyyYR6Q21VydFLVH3TRQUabQu_ym0Zz7PgGX0-kHA/edit?usp=sharing"",""แผน!EW58"")"),5)</f>
        <v>5</v>
      </c>
      <c r="J385" s="499">
        <f ca="1">IFERROR(__xludf.DUMMYFUNCTION("IMPORTRANGE(""https://docs.google.com/spreadsheets/d/1XWAQStnk-4SwqDmLtmXYiTMKHgktTP8We1SCoS47DrQ/edit?usp=sharing"",""จัดที่ดิน!AP58"")"),0)</f>
        <v>0</v>
      </c>
      <c r="K385" s="500">
        <f ca="1">IF(I385&gt;0,J385*100/I385,0)</f>
        <v>0</v>
      </c>
      <c r="L385" s="384"/>
      <c r="M385" s="384"/>
      <c r="N385" s="384"/>
      <c r="O385" s="384"/>
      <c r="P385" s="384"/>
    </row>
    <row r="386" spans="1:26" ht="19.5" hidden="1">
      <c r="A386" s="501" t="s">
        <v>171</v>
      </c>
      <c r="B386" s="502"/>
      <c r="C386" s="502"/>
      <c r="D386" s="502"/>
      <c r="E386" s="503"/>
      <c r="F386" s="503"/>
      <c r="G386" s="504"/>
      <c r="H386" s="505"/>
      <c r="I386" s="506"/>
      <c r="J386" s="506"/>
      <c r="K386" s="507"/>
      <c r="L386" s="507"/>
      <c r="M386" s="507"/>
      <c r="N386" s="507"/>
      <c r="O386" s="507"/>
      <c r="P386" s="507"/>
    </row>
    <row r="387" spans="1:26" ht="19.5" hidden="1">
      <c r="A387" s="508" t="s">
        <v>172</v>
      </c>
      <c r="B387" s="509"/>
      <c r="C387" s="509"/>
      <c r="D387" s="510"/>
      <c r="E387" s="509"/>
      <c r="F387" s="509"/>
      <c r="G387" s="509"/>
      <c r="H387" s="511"/>
      <c r="I387" s="512"/>
      <c r="J387" s="512"/>
      <c r="K387" s="513"/>
      <c r="L387" s="513"/>
      <c r="M387" s="513"/>
      <c r="N387" s="513"/>
      <c r="O387" s="513"/>
      <c r="P387" s="513"/>
    </row>
    <row r="388" spans="1:26" ht="19.5" hidden="1">
      <c r="A388" s="514"/>
      <c r="B388" s="515" t="s">
        <v>173</v>
      </c>
      <c r="C388" s="516"/>
      <c r="D388" s="517"/>
      <c r="E388" s="517"/>
      <c r="F388" s="517"/>
      <c r="G388" s="518"/>
      <c r="H388" s="519" t="s">
        <v>69</v>
      </c>
      <c r="I388" s="520">
        <f t="shared" ref="I388:J388" si="165">I400</f>
        <v>0</v>
      </c>
      <c r="J388" s="520">
        <f t="shared" si="165"/>
        <v>0</v>
      </c>
      <c r="K388" s="521">
        <f>IF(I388&gt;0,J388*100/I388,0)</f>
        <v>0</v>
      </c>
      <c r="L388" s="522"/>
      <c r="M388" s="522"/>
      <c r="N388" s="522"/>
      <c r="O388" s="522"/>
      <c r="P388" s="522"/>
    </row>
    <row r="389" spans="1:26" ht="19.5" hidden="1">
      <c r="A389" s="147"/>
      <c r="B389" s="148"/>
      <c r="C389" s="149" t="s">
        <v>16</v>
      </c>
      <c r="D389" s="822" t="s">
        <v>17</v>
      </c>
      <c r="E389" s="148"/>
      <c r="F389" s="148"/>
      <c r="G389" s="151"/>
      <c r="H389" s="152" t="s">
        <v>12</v>
      </c>
      <c r="I389" s="419"/>
      <c r="J389" s="419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2" t="s">
        <v>18</v>
      </c>
      <c r="F390" s="40"/>
      <c r="G390" s="157"/>
      <c r="H390" s="158" t="s">
        <v>12</v>
      </c>
      <c r="I390" s="610"/>
      <c r="J390" s="610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2" t="s">
        <v>19</v>
      </c>
      <c r="F391" s="40"/>
      <c r="G391" s="157"/>
      <c r="H391" s="158" t="s">
        <v>12</v>
      </c>
      <c r="I391" s="610"/>
      <c r="J391" s="610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1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6">
        <f t="shared" ref="L392:N392" ca="1" si="170">L393+L394</f>
        <v>0</v>
      </c>
      <c r="M392" s="496">
        <f t="shared" ca="1" si="170"/>
        <v>0</v>
      </c>
      <c r="N392" s="496">
        <f t="shared" ca="1" si="170"/>
        <v>0</v>
      </c>
      <c r="O392" s="496">
        <f t="shared" ca="1" si="167"/>
        <v>0</v>
      </c>
      <c r="P392" s="496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2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2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IFERROR(__xludf.DUMMYFUNCTION("IMPORTRANGE(""https://docs.google.com/spreadsheets/d/1MeEWN-I1oV_STSDYn1IFDPWt_1FKiwhDph83XaGc0o0/edit?usp=sharing"",""งบพรบ!FG58"")"),0)</f>
        <v>0</v>
      </c>
      <c r="M394" s="93">
        <f ca="1">IFERROR(__xludf.DUMMYFUNCTION("IMPORTRANGE(""https://docs.google.com/spreadsheets/d/1MeEWN-I1oV_STSDYn1IFDPWt_1FKiwhDph83XaGc0o0/edit?usp=sharing"",""งบพรบ!FL58"")"),0)</f>
        <v>0</v>
      </c>
      <c r="N394" s="93">
        <f ca="1">IFERROR(__xludf.DUMMYFUNCTION("IMPORTRANGE(""https://docs.google.com/spreadsheets/d/1MeEWN-I1oV_STSDYn1IFDPWt_1FKiwhDph83XaGc0o0/edit?usp=sharing"",""งบพรบ!FN58"")"),0)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1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6">
        <f t="shared" ref="L395:N395" ca="1" si="171">L396+L397</f>
        <v>0</v>
      </c>
      <c r="M395" s="496">
        <f t="shared" ca="1" si="171"/>
        <v>0</v>
      </c>
      <c r="N395" s="496">
        <f t="shared" ca="1" si="171"/>
        <v>0</v>
      </c>
      <c r="O395" s="496">
        <f t="shared" ca="1" si="167"/>
        <v>0</v>
      </c>
      <c r="P395" s="496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2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2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IFERROR(__xludf.DUMMYFUNCTION("IMPORTRANGE(""https://docs.google.com/spreadsheets/d/1MeEWN-I1oV_STSDYn1IFDPWt_1FKiwhDph83XaGc0o0/edit?usp=sharing"",""งบพรบ!FJ58"")"),0)</f>
        <v>0</v>
      </c>
      <c r="M397" s="93">
        <f ca="1">IFERROR(__xludf.DUMMYFUNCTION("IMPORTRANGE(""https://docs.google.com/spreadsheets/d/1MeEWN-I1oV_STSDYn1IFDPWt_1FKiwhDph83XaGc0o0/edit?usp=sharing"",""งบพรบ!FM58"")"),0)</f>
        <v>0</v>
      </c>
      <c r="N397" s="93">
        <f ca="1">IFERROR(__xludf.DUMMYFUNCTION("IMPORTRANGE(""https://docs.google.com/spreadsheets/d/1MeEWN-I1oV_STSDYn1IFDPWt_1FKiwhDph83XaGc0o0/edit?usp=sharing"",""งบพรบ!FO58"")"),0)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23" t="s">
        <v>38</v>
      </c>
      <c r="E398" s="173"/>
      <c r="F398" s="173"/>
      <c r="G398" s="174"/>
      <c r="H398" s="753"/>
      <c r="I398" s="184"/>
      <c r="J398" s="269"/>
      <c r="K398" s="496"/>
      <c r="L398" s="496"/>
      <c r="M398" s="496"/>
      <c r="N398" s="496"/>
      <c r="O398" s="163"/>
      <c r="P398" s="163"/>
    </row>
    <row r="399" spans="1:26" ht="18.75" hidden="1">
      <c r="A399" s="523"/>
      <c r="B399" s="148"/>
      <c r="C399" s="524"/>
      <c r="D399" s="525" t="s">
        <v>174</v>
      </c>
      <c r="E399" s="414"/>
      <c r="F399" s="148"/>
      <c r="G399" s="151"/>
      <c r="H399" s="526" t="s">
        <v>9</v>
      </c>
      <c r="I399" s="269">
        <v>0</v>
      </c>
      <c r="J399" s="214">
        <v>0</v>
      </c>
      <c r="K399" s="496">
        <f t="shared" ref="K399:K401" si="172">IF(I399&gt;0,J399*100/I399,0)</f>
        <v>0</v>
      </c>
      <c r="L399" s="527"/>
      <c r="M399" s="527"/>
      <c r="N399" s="527"/>
      <c r="O399" s="527"/>
      <c r="P399" s="527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4"/>
      <c r="B400" s="33"/>
      <c r="C400" s="280"/>
      <c r="D400" s="446" t="s">
        <v>175</v>
      </c>
      <c r="E400" s="171"/>
      <c r="F400" s="33"/>
      <c r="G400" s="35"/>
      <c r="H400" s="276" t="s">
        <v>69</v>
      </c>
      <c r="I400" s="269">
        <v>0</v>
      </c>
      <c r="J400" s="214">
        <v>0</v>
      </c>
      <c r="K400" s="496">
        <f t="shared" si="172"/>
        <v>0</v>
      </c>
      <c r="L400" s="496"/>
      <c r="M400" s="496"/>
      <c r="N400" s="496"/>
      <c r="O400" s="496"/>
      <c r="P400" s="496"/>
    </row>
    <row r="401" spans="1:26" ht="19.5" hidden="1">
      <c r="A401" s="514"/>
      <c r="B401" s="515" t="s">
        <v>176</v>
      </c>
      <c r="C401" s="516"/>
      <c r="D401" s="517"/>
      <c r="E401" s="517"/>
      <c r="F401" s="517"/>
      <c r="G401" s="518"/>
      <c r="H401" s="519" t="s">
        <v>69</v>
      </c>
      <c r="I401" s="520">
        <f t="shared" ref="I401:J401" si="173">I412</f>
        <v>0</v>
      </c>
      <c r="J401" s="520">
        <f t="shared" si="173"/>
        <v>0</v>
      </c>
      <c r="K401" s="521">
        <f t="shared" si="172"/>
        <v>0</v>
      </c>
      <c r="L401" s="522"/>
      <c r="M401" s="522"/>
      <c r="N401" s="522"/>
      <c r="O401" s="522"/>
      <c r="P401" s="522"/>
    </row>
    <row r="402" spans="1:26" ht="19.5" hidden="1">
      <c r="A402" s="147"/>
      <c r="B402" s="148"/>
      <c r="C402" s="149" t="s">
        <v>16</v>
      </c>
      <c r="D402" s="822" t="s">
        <v>17</v>
      </c>
      <c r="E402" s="148"/>
      <c r="F402" s="148"/>
      <c r="G402" s="151"/>
      <c r="H402" s="152" t="s">
        <v>12</v>
      </c>
      <c r="I402" s="419"/>
      <c r="J402" s="419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2" t="s">
        <v>18</v>
      </c>
      <c r="F403" s="40"/>
      <c r="G403" s="157"/>
      <c r="H403" s="158" t="s">
        <v>12</v>
      </c>
      <c r="I403" s="610"/>
      <c r="J403" s="610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2" t="s">
        <v>19</v>
      </c>
      <c r="F404" s="40"/>
      <c r="G404" s="157"/>
      <c r="H404" s="158" t="s">
        <v>12</v>
      </c>
      <c r="I404" s="610"/>
      <c r="J404" s="610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1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6">
        <f t="shared" ref="L405:N405" ca="1" si="178">L406+L407</f>
        <v>0</v>
      </c>
      <c r="M405" s="496">
        <f t="shared" ca="1" si="178"/>
        <v>0</v>
      </c>
      <c r="N405" s="496">
        <f t="shared" ca="1" si="178"/>
        <v>0</v>
      </c>
      <c r="O405" s="496">
        <f t="shared" ca="1" si="175"/>
        <v>0</v>
      </c>
      <c r="P405" s="496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2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2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IFERROR(__xludf.DUMMYFUNCTION("IMPORTRANGE(""https://docs.google.com/spreadsheets/d/1MeEWN-I1oV_STSDYn1IFDPWt_1FKiwhDph83XaGc0o0/edit?usp=sharing"",""งบพรบ!FQ58"")"),0)</f>
        <v>0</v>
      </c>
      <c r="M407" s="93">
        <f ca="1">IFERROR(__xludf.DUMMYFUNCTION("IMPORTRANGE(""https://docs.google.com/spreadsheets/d/1MeEWN-I1oV_STSDYn1IFDPWt_1FKiwhDph83XaGc0o0/edit?usp=sharing"",""งบพรบ!FV58"")"),0)</f>
        <v>0</v>
      </c>
      <c r="N407" s="93">
        <f ca="1">IFERROR(__xludf.DUMMYFUNCTION("IMPORTRANGE(""https://docs.google.com/spreadsheets/d/1MeEWN-I1oV_STSDYn1IFDPWt_1FKiwhDph83XaGc0o0/edit?usp=sharing"",""งบพรบ!FX58"")"),0)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1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6">
        <f t="shared" ref="L408:N408" ca="1" si="179">L409+L410</f>
        <v>0</v>
      </c>
      <c r="M408" s="496">
        <f t="shared" ca="1" si="179"/>
        <v>0</v>
      </c>
      <c r="N408" s="496">
        <f t="shared" ca="1" si="179"/>
        <v>0</v>
      </c>
      <c r="O408" s="496">
        <f t="shared" ca="1" si="175"/>
        <v>0</v>
      </c>
      <c r="P408" s="496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2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2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IFERROR(__xludf.DUMMYFUNCTION("IMPORTRANGE(""https://docs.google.com/spreadsheets/d/1MeEWN-I1oV_STSDYn1IFDPWt_1FKiwhDph83XaGc0o0/edit?usp=sharing"",""งบพรบ!FT58"")"),0)</f>
        <v>0</v>
      </c>
      <c r="M410" s="93">
        <f ca="1">IFERROR(__xludf.DUMMYFUNCTION("IMPORTRANGE(""https://docs.google.com/spreadsheets/d/1MeEWN-I1oV_STSDYn1IFDPWt_1FKiwhDph83XaGc0o0/edit?usp=sharing"",""งบพรบ!FW58"")"),0)</f>
        <v>0</v>
      </c>
      <c r="N410" s="93">
        <f ca="1">IFERROR(__xludf.DUMMYFUNCTION("IMPORTRANGE(""https://docs.google.com/spreadsheets/d/1MeEWN-I1oV_STSDYn1IFDPWt_1FKiwhDph83XaGc0o0/edit?usp=sharing"",""งบพรบ!FY58"")"),0)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34" t="s">
        <v>38</v>
      </c>
      <c r="E411" s="529"/>
      <c r="F411" s="529"/>
      <c r="G411" s="530"/>
      <c r="H411" s="753"/>
      <c r="I411" s="269"/>
      <c r="J411" s="269"/>
      <c r="K411" s="496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6" t="s">
        <v>177</v>
      </c>
      <c r="E412" s="178"/>
      <c r="F412" s="178"/>
      <c r="G412" s="179"/>
      <c r="H412" s="531" t="s">
        <v>69</v>
      </c>
      <c r="I412" s="269">
        <v>0</v>
      </c>
      <c r="J412" s="214">
        <v>0</v>
      </c>
      <c r="K412" s="496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2"/>
      <c r="B413" s="533"/>
      <c r="C413" s="533"/>
      <c r="D413" s="534" t="s">
        <v>178</v>
      </c>
      <c r="E413" s="533"/>
      <c r="F413" s="533"/>
      <c r="G413" s="535"/>
      <c r="H413" s="536" t="s">
        <v>179</v>
      </c>
      <c r="I413" s="537">
        <v>0</v>
      </c>
      <c r="J413" s="538">
        <v>0</v>
      </c>
      <c r="K413" s="539">
        <f t="shared" si="180"/>
        <v>0</v>
      </c>
      <c r="L413" s="540"/>
      <c r="M413" s="540"/>
      <c r="N413" s="540"/>
      <c r="O413" s="540"/>
      <c r="P413" s="540"/>
    </row>
    <row r="414" spans="1:26" ht="19.5">
      <c r="A414" s="541" t="s">
        <v>180</v>
      </c>
      <c r="B414" s="542"/>
      <c r="C414" s="542"/>
      <c r="D414" s="542"/>
      <c r="E414" s="542"/>
      <c r="F414" s="542"/>
      <c r="G414" s="543"/>
      <c r="H414" s="544"/>
      <c r="I414" s="545"/>
      <c r="J414" s="545"/>
      <c r="K414" s="546"/>
      <c r="L414" s="547">
        <f t="shared" ref="L414:N414" ca="1" si="181">L419+L444+L467+L502+L523+L544+L629+L655+L685+L737+L754+L770+L786+L805</f>
        <v>839273</v>
      </c>
      <c r="M414" s="547">
        <f t="shared" si="181"/>
        <v>0</v>
      </c>
      <c r="N414" s="547">
        <f t="shared" si="181"/>
        <v>52998</v>
      </c>
      <c r="O414" s="547">
        <f ca="1">IF(L414&gt;0,N414*100/L414,0)</f>
        <v>6.3147509809084763</v>
      </c>
      <c r="P414" s="547">
        <f>IF(M414&gt;0,N414*100/M414,0)</f>
        <v>0</v>
      </c>
    </row>
    <row r="415" spans="1:26" ht="19.5">
      <c r="A415" s="548" t="s">
        <v>181</v>
      </c>
      <c r="B415" s="549"/>
      <c r="C415" s="549"/>
      <c r="D415" s="549"/>
      <c r="E415" s="549"/>
      <c r="F415" s="549"/>
      <c r="G415" s="549"/>
      <c r="H415" s="550"/>
      <c r="I415" s="551"/>
      <c r="J415" s="551"/>
      <c r="K415" s="552"/>
      <c r="L415" s="553"/>
      <c r="M415" s="553"/>
      <c r="N415" s="553"/>
      <c r="O415" s="553"/>
      <c r="P415" s="553"/>
    </row>
    <row r="416" spans="1:26" ht="19.5">
      <c r="A416" s="548" t="s">
        <v>182</v>
      </c>
      <c r="B416" s="549"/>
      <c r="C416" s="549"/>
      <c r="D416" s="549"/>
      <c r="E416" s="549"/>
      <c r="F416" s="549"/>
      <c r="G416" s="554"/>
      <c r="H416" s="555"/>
      <c r="I416" s="556"/>
      <c r="J416" s="556"/>
      <c r="K416" s="553"/>
      <c r="L416" s="553"/>
      <c r="M416" s="553"/>
      <c r="N416" s="553"/>
      <c r="O416" s="553"/>
      <c r="P416" s="553"/>
    </row>
    <row r="417" spans="1:26" ht="39">
      <c r="A417" s="557">
        <v>1</v>
      </c>
      <c r="B417" s="559" t="s">
        <v>183</v>
      </c>
      <c r="C417" s="559"/>
      <c r="D417" s="560"/>
      <c r="E417" s="560"/>
      <c r="F417" s="560"/>
      <c r="G417" s="561"/>
      <c r="H417" s="562" t="s">
        <v>35</v>
      </c>
      <c r="I417" s="563">
        <f t="shared" ref="I417:J418" ca="1" si="182">I433</f>
        <v>15</v>
      </c>
      <c r="J417" s="563">
        <f t="shared" ca="1" si="182"/>
        <v>0</v>
      </c>
      <c r="K417" s="564">
        <f t="shared" ref="K417:K418" ca="1" si="183">IF(I417&gt;0,J417*100/I417,0)</f>
        <v>0</v>
      </c>
      <c r="L417" s="565"/>
      <c r="M417" s="565"/>
      <c r="N417" s="565"/>
      <c r="O417" s="565"/>
      <c r="P417" s="565"/>
    </row>
    <row r="418" spans="1:26" ht="19.5">
      <c r="A418" s="566"/>
      <c r="B418" s="557"/>
      <c r="C418" s="559"/>
      <c r="D418" s="560"/>
      <c r="E418" s="560"/>
      <c r="F418" s="560"/>
      <c r="G418" s="561"/>
      <c r="H418" s="562" t="s">
        <v>49</v>
      </c>
      <c r="I418" s="563">
        <f t="shared" ca="1" si="182"/>
        <v>1</v>
      </c>
      <c r="J418" s="563">
        <f t="shared" si="182"/>
        <v>0</v>
      </c>
      <c r="K418" s="564">
        <f t="shared" ca="1" si="183"/>
        <v>0</v>
      </c>
      <c r="L418" s="565"/>
      <c r="M418" s="565"/>
      <c r="N418" s="565"/>
      <c r="O418" s="565"/>
      <c r="P418" s="565"/>
    </row>
    <row r="419" spans="1:26" ht="19.5">
      <c r="A419" s="147"/>
      <c r="B419" s="148"/>
      <c r="C419" s="148" t="s">
        <v>16</v>
      </c>
      <c r="D419" s="868" t="s">
        <v>17</v>
      </c>
      <c r="E419" s="862"/>
      <c r="F419" s="862"/>
      <c r="G419" s="151"/>
      <c r="H419" s="274" t="s">
        <v>12</v>
      </c>
      <c r="I419" s="419"/>
      <c r="J419" s="419"/>
      <c r="K419" s="154"/>
      <c r="L419" s="155">
        <f t="shared" ref="L419:N419" ca="1" si="184">L420+L421</f>
        <v>66560</v>
      </c>
      <c r="M419" s="155">
        <f t="shared" si="184"/>
        <v>0</v>
      </c>
      <c r="N419" s="155">
        <f t="shared" si="184"/>
        <v>25860</v>
      </c>
      <c r="O419" s="155">
        <f t="shared" ref="O419:O424" ca="1" si="185">IF(L419&gt;0,N419*100/L419,0)</f>
        <v>38.85216346153846</v>
      </c>
      <c r="P419" s="155">
        <f t="shared" ref="P419:P424" si="186">IF(M419&gt;0,N419*100/M419,0)</f>
        <v>0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2"/>
      <c r="E420" s="222" t="s">
        <v>184</v>
      </c>
      <c r="F420" s="40"/>
      <c r="G420" s="157"/>
      <c r="H420" s="165" t="s">
        <v>12</v>
      </c>
      <c r="I420" s="610"/>
      <c r="J420" s="610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2"/>
      <c r="E421" s="222" t="s">
        <v>185</v>
      </c>
      <c r="F421" s="40"/>
      <c r="G421" s="157"/>
      <c r="H421" s="165" t="s">
        <v>12</v>
      </c>
      <c r="I421" s="610"/>
      <c r="J421" s="610"/>
      <c r="K421" s="93"/>
      <c r="L421" s="93">
        <f t="shared" ca="1" si="187"/>
        <v>66560</v>
      </c>
      <c r="M421" s="93">
        <f t="shared" si="187"/>
        <v>0</v>
      </c>
      <c r="N421" s="93">
        <f t="shared" si="187"/>
        <v>25860</v>
      </c>
      <c r="O421" s="93">
        <f t="shared" ca="1" si="185"/>
        <v>38.85216346153846</v>
      </c>
      <c r="P421" s="93">
        <f t="shared" si="186"/>
        <v>0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0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6">
        <f t="shared" ref="L422:N422" ca="1" si="188">L423+L424</f>
        <v>66560</v>
      </c>
      <c r="M422" s="496">
        <f t="shared" si="188"/>
        <v>0</v>
      </c>
      <c r="N422" s="496">
        <f t="shared" si="188"/>
        <v>25860</v>
      </c>
      <c r="O422" s="496">
        <f t="shared" ca="1" si="185"/>
        <v>38.85216346153846</v>
      </c>
      <c r="P422" s="496">
        <f t="shared" si="186"/>
        <v>0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2"/>
      <c r="E423" s="222" t="s">
        <v>184</v>
      </c>
      <c r="F423" s="40"/>
      <c r="G423" s="157"/>
      <c r="H423" s="165" t="s">
        <v>12</v>
      </c>
      <c r="I423" s="610"/>
      <c r="J423" s="610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2"/>
      <c r="E424" s="222" t="s">
        <v>185</v>
      </c>
      <c r="F424" s="40"/>
      <c r="G424" s="157"/>
      <c r="H424" s="165" t="s">
        <v>12</v>
      </c>
      <c r="I424" s="610"/>
      <c r="J424" s="610"/>
      <c r="K424" s="93"/>
      <c r="L424" s="93">
        <f ca="1">IFERROR(__xludf.DUMMYFUNCTION("IMPORTRANGE(""https://docs.google.com/spreadsheets/d/1QqKyyYR6Q21VydFLVH3TRQUabQu_ym0Zz7PgGX0-kHA/edit?usp=sharing"",""แผน!EY58"")"),66560)</f>
        <v>66560</v>
      </c>
      <c r="M424" s="93">
        <v>0</v>
      </c>
      <c r="N424" s="93">
        <f>N425+N426+N427+N428</f>
        <v>25860</v>
      </c>
      <c r="O424" s="93">
        <f t="shared" ca="1" si="185"/>
        <v>38.85216346153846</v>
      </c>
      <c r="P424" s="93">
        <f t="shared" si="186"/>
        <v>0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67"/>
      <c r="B425" s="568"/>
      <c r="C425" s="754"/>
      <c r="D425" s="754"/>
      <c r="E425" s="754"/>
      <c r="F425" s="754" t="s">
        <v>186</v>
      </c>
      <c r="G425" s="189"/>
      <c r="H425" s="161" t="s">
        <v>12</v>
      </c>
      <c r="I425" s="269"/>
      <c r="J425" s="269"/>
      <c r="K425" s="496"/>
      <c r="L425" s="496"/>
      <c r="M425" s="496"/>
      <c r="N425" s="817">
        <v>25860</v>
      </c>
      <c r="O425" s="496"/>
      <c r="P425" s="496"/>
      <c r="Q425" s="571"/>
      <c r="R425" s="571"/>
      <c r="S425" s="571"/>
      <c r="T425" s="571"/>
      <c r="U425" s="571"/>
      <c r="V425" s="571"/>
      <c r="W425" s="571"/>
      <c r="X425" s="571"/>
      <c r="Y425" s="571"/>
      <c r="Z425" s="571"/>
    </row>
    <row r="426" spans="1:26" ht="18.75">
      <c r="A426" s="567"/>
      <c r="B426" s="568"/>
      <c r="C426" s="754"/>
      <c r="D426" s="754"/>
      <c r="E426" s="754"/>
      <c r="F426" s="754" t="s">
        <v>187</v>
      </c>
      <c r="G426" s="189"/>
      <c r="H426" s="161" t="s">
        <v>12</v>
      </c>
      <c r="I426" s="269"/>
      <c r="J426" s="269"/>
      <c r="K426" s="496"/>
      <c r="L426" s="496"/>
      <c r="M426" s="496"/>
      <c r="N426" s="817">
        <v>0</v>
      </c>
      <c r="O426" s="496"/>
      <c r="P426" s="496"/>
      <c r="Q426" s="571"/>
      <c r="R426" s="571"/>
      <c r="S426" s="571"/>
      <c r="T426" s="571"/>
      <c r="U426" s="571"/>
      <c r="V426" s="571"/>
      <c r="W426" s="571"/>
      <c r="X426" s="571"/>
      <c r="Y426" s="571"/>
      <c r="Z426" s="571"/>
    </row>
    <row r="427" spans="1:26" ht="18.75">
      <c r="A427" s="567"/>
      <c r="B427" s="568"/>
      <c r="C427" s="754"/>
      <c r="D427" s="754"/>
      <c r="E427" s="754"/>
      <c r="F427" s="754" t="s">
        <v>188</v>
      </c>
      <c r="G427" s="189"/>
      <c r="H427" s="161" t="s">
        <v>12</v>
      </c>
      <c r="I427" s="269"/>
      <c r="J427" s="269"/>
      <c r="K427" s="496"/>
      <c r="L427" s="496"/>
      <c r="M427" s="496"/>
      <c r="N427" s="817">
        <v>0</v>
      </c>
      <c r="O427" s="496"/>
      <c r="P427" s="496"/>
      <c r="Q427" s="571"/>
      <c r="R427" s="571"/>
      <c r="S427" s="571"/>
      <c r="T427" s="571"/>
      <c r="U427" s="571"/>
      <c r="V427" s="571"/>
      <c r="W427" s="571"/>
      <c r="X427" s="571"/>
      <c r="Y427" s="571"/>
      <c r="Z427" s="571"/>
    </row>
    <row r="428" spans="1:26" ht="18.75">
      <c r="A428" s="284"/>
      <c r="B428" s="280"/>
      <c r="C428" s="33"/>
      <c r="D428" s="33"/>
      <c r="E428" s="33"/>
      <c r="F428" s="281" t="s">
        <v>189</v>
      </c>
      <c r="G428" s="213"/>
      <c r="H428" s="161" t="s">
        <v>12</v>
      </c>
      <c r="I428" s="269"/>
      <c r="J428" s="269"/>
      <c r="K428" s="496"/>
      <c r="L428" s="496"/>
      <c r="M428" s="496"/>
      <c r="N428" s="817">
        <v>0</v>
      </c>
      <c r="O428" s="496"/>
      <c r="P428" s="496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0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6">
        <f t="shared" ref="L429:N429" ca="1" si="189">L430+L431</f>
        <v>0</v>
      </c>
      <c r="M429" s="496">
        <f t="shared" si="189"/>
        <v>0</v>
      </c>
      <c r="N429" s="496">
        <f t="shared" si="189"/>
        <v>0</v>
      </c>
      <c r="O429" s="496">
        <f t="shared" ref="O429:O431" ca="1" si="190">IF(L429&gt;0,N429*100/L429,0)</f>
        <v>0</v>
      </c>
      <c r="P429" s="496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6"/>
      <c r="C430" s="40"/>
      <c r="D430" s="40"/>
      <c r="E430" s="222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6"/>
      <c r="C431" s="40"/>
      <c r="D431" s="40"/>
      <c r="E431" s="222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IFERROR(__xludf.DUMMYFUNCTION("IMPORTRANGE(""https://docs.google.com/spreadsheets/d/1QqKyyYR6Q21VydFLVH3TRQUabQu_ym0Zz7PgGX0-kHA/edit?usp=sharing"",""แผน!FB58"")"),0)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3"/>
      <c r="B432" s="414"/>
      <c r="C432" s="148" t="s">
        <v>16</v>
      </c>
      <c r="D432" s="835" t="s">
        <v>38</v>
      </c>
      <c r="E432" s="573"/>
      <c r="F432" s="573"/>
      <c r="G432" s="574"/>
      <c r="H432" s="575"/>
      <c r="I432" s="419"/>
      <c r="J432" s="419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190</v>
      </c>
      <c r="E433" s="178"/>
      <c r="F433" s="178"/>
      <c r="G433" s="179"/>
      <c r="H433" s="196" t="s">
        <v>35</v>
      </c>
      <c r="I433" s="674">
        <f ca="1">I435</f>
        <v>15</v>
      </c>
      <c r="J433" s="674">
        <f ca="1">IF(AND(J435=I435,J437=I437,J439=I439),I437+I439,IF(AND(J435=I437,J437=I437),I437,IF(AND(J435=I439,J439=I439),I439,0)))</f>
        <v>0</v>
      </c>
      <c r="K433" s="195">
        <f t="shared" ref="K433:K435" ca="1" si="192">IF(I433&gt;0,J433*100/I433,0)</f>
        <v>0</v>
      </c>
      <c r="L433" s="496"/>
      <c r="M433" s="496"/>
      <c r="N433" s="496"/>
      <c r="O433" s="496"/>
      <c r="P433" s="496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191</v>
      </c>
      <c r="E434" s="178"/>
      <c r="F434" s="178"/>
      <c r="G434" s="179"/>
      <c r="H434" s="196" t="s">
        <v>49</v>
      </c>
      <c r="I434" s="674">
        <f t="shared" ref="I434:J434" ca="1" si="193">I438+I440</f>
        <v>1</v>
      </c>
      <c r="J434" s="674">
        <f t="shared" si="193"/>
        <v>0</v>
      </c>
      <c r="K434" s="195">
        <f t="shared" ca="1" si="192"/>
        <v>0</v>
      </c>
      <c r="L434" s="496"/>
      <c r="M434" s="496"/>
      <c r="N434" s="496"/>
      <c r="O434" s="496"/>
      <c r="P434" s="496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6" t="s">
        <v>192</v>
      </c>
      <c r="E435" s="178"/>
      <c r="F435" s="178"/>
      <c r="G435" s="179"/>
      <c r="H435" s="616" t="s">
        <v>35</v>
      </c>
      <c r="I435" s="576">
        <f ca="1">IFERROR(__xludf.DUMMYFUNCTION("IMPORTRANGE(""https://docs.google.com/spreadsheets/d/1QqKyyYR6Q21VydFLVH3TRQUabQu_ym0Zz7PgGX0-kHA/edit?usp=sharing"",""แผน!FC58"")"),15)</f>
        <v>15</v>
      </c>
      <c r="J435" s="577">
        <v>0</v>
      </c>
      <c r="K435" s="496">
        <f t="shared" ca="1" si="192"/>
        <v>0</v>
      </c>
      <c r="L435" s="496"/>
      <c r="M435" s="496"/>
      <c r="N435" s="496"/>
      <c r="O435" s="496"/>
      <c r="P435" s="496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6" t="s">
        <v>193</v>
      </c>
      <c r="E436" s="178"/>
      <c r="F436" s="178"/>
      <c r="G436" s="179"/>
      <c r="H436" s="616"/>
      <c r="I436" s="269"/>
      <c r="J436" s="269"/>
      <c r="K436" s="496"/>
      <c r="L436" s="496"/>
      <c r="M436" s="496"/>
      <c r="N436" s="496"/>
      <c r="O436" s="496"/>
      <c r="P436" s="496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6" t="s">
        <v>194</v>
      </c>
      <c r="E437" s="178"/>
      <c r="F437" s="178"/>
      <c r="G437" s="179"/>
      <c r="H437" s="616" t="s">
        <v>35</v>
      </c>
      <c r="I437" s="576">
        <f ca="1">IFERROR(__xludf.DUMMYFUNCTION("IMPORTRANGE(""https://docs.google.com/spreadsheets/d/1QqKyyYR6Q21VydFLVH3TRQUabQu_ym0Zz7PgGX0-kHA/edit?usp=sharing"",""แผน!FD58"")"),0)</f>
        <v>0</v>
      </c>
      <c r="J437" s="577">
        <v>0</v>
      </c>
      <c r="K437" s="496">
        <f t="shared" ref="K437:K443" ca="1" si="194">IF(I437&gt;0,J437*100/I437,0)</f>
        <v>0</v>
      </c>
      <c r="L437" s="496"/>
      <c r="M437" s="496"/>
      <c r="N437" s="496"/>
      <c r="O437" s="496"/>
      <c r="P437" s="496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6" t="s">
        <v>195</v>
      </c>
      <c r="E438" s="178"/>
      <c r="F438" s="178"/>
      <c r="G438" s="179"/>
      <c r="H438" s="616" t="s">
        <v>49</v>
      </c>
      <c r="I438" s="269">
        <f ca="1">IFERROR(__xludf.DUMMYFUNCTION("IMPORTRANGE(""https://docs.google.com/spreadsheets/d/1QqKyyYR6Q21VydFLVH3TRQUabQu_ym0Zz7PgGX0-kHA/edit?usp=sharing"",""แผน!FE58"")"),0)</f>
        <v>0</v>
      </c>
      <c r="J438" s="214">
        <v>0</v>
      </c>
      <c r="K438" s="496">
        <f t="shared" ca="1" si="194"/>
        <v>0</v>
      </c>
      <c r="L438" s="496"/>
      <c r="M438" s="496"/>
      <c r="N438" s="496"/>
      <c r="O438" s="496"/>
      <c r="P438" s="496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6" t="s">
        <v>196</v>
      </c>
      <c r="E439" s="178"/>
      <c r="F439" s="178"/>
      <c r="G439" s="179"/>
      <c r="H439" s="616" t="s">
        <v>35</v>
      </c>
      <c r="I439" s="576">
        <f ca="1">IFERROR(__xludf.DUMMYFUNCTION("IMPORTRANGE(""https://docs.google.com/spreadsheets/d/1QqKyyYR6Q21VydFLVH3TRQUabQu_ym0Zz7PgGX0-kHA/edit?usp=sharing"",""แผน!FF58"")"),15)</f>
        <v>15</v>
      </c>
      <c r="J439" s="577">
        <v>15</v>
      </c>
      <c r="K439" s="496">
        <f t="shared" ca="1" si="194"/>
        <v>100</v>
      </c>
      <c r="L439" s="496"/>
      <c r="M439" s="496"/>
      <c r="N439" s="496"/>
      <c r="O439" s="496"/>
      <c r="P439" s="496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6" t="s">
        <v>197</v>
      </c>
      <c r="E440" s="178"/>
      <c r="F440" s="178"/>
      <c r="G440" s="179"/>
      <c r="H440" s="616" t="s">
        <v>49</v>
      </c>
      <c r="I440" s="269">
        <f ca="1">IFERROR(__xludf.DUMMYFUNCTION("IMPORTRANGE(""https://docs.google.com/spreadsheets/d/1QqKyyYR6Q21VydFLVH3TRQUabQu_ym0Zz7PgGX0-kHA/edit?usp=sharing"",""แผน!FG58"")"),1)</f>
        <v>1</v>
      </c>
      <c r="J440" s="214">
        <v>0</v>
      </c>
      <c r="K440" s="496">
        <f t="shared" ca="1" si="194"/>
        <v>0</v>
      </c>
      <c r="L440" s="496"/>
      <c r="M440" s="496"/>
      <c r="N440" s="496"/>
      <c r="O440" s="496"/>
      <c r="P440" s="496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>
      <c r="A441" s="170"/>
      <c r="B441" s="171"/>
      <c r="C441" s="171"/>
      <c r="D441" s="446" t="s">
        <v>198</v>
      </c>
      <c r="E441" s="178"/>
      <c r="F441" s="178"/>
      <c r="G441" s="179"/>
      <c r="H441" s="616" t="s">
        <v>35</v>
      </c>
      <c r="I441" s="269">
        <f ca="1">IFERROR(__xludf.DUMMYFUNCTION("IMPORTRANGE(""https://docs.google.com/spreadsheets/d/1QqKyyYR6Q21VydFLVH3TRQUabQu_ym0Zz7PgGX0-kHA/edit?usp=sharing"",""แผน!FH58"")"),0)</f>
        <v>0</v>
      </c>
      <c r="J441" s="269">
        <v>0</v>
      </c>
      <c r="K441" s="496">
        <f t="shared" ca="1" si="194"/>
        <v>0</v>
      </c>
      <c r="L441" s="496"/>
      <c r="M441" s="496"/>
      <c r="N441" s="496"/>
      <c r="O441" s="496"/>
      <c r="P441" s="496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 hidden="1">
      <c r="A442" s="578">
        <v>2</v>
      </c>
      <c r="B442" s="579" t="s">
        <v>199</v>
      </c>
      <c r="C442" s="580"/>
      <c r="D442" s="580"/>
      <c r="E442" s="580"/>
      <c r="F442" s="580"/>
      <c r="G442" s="581"/>
      <c r="H442" s="582" t="s">
        <v>35</v>
      </c>
      <c r="I442" s="583">
        <f t="shared" ref="I442:J442" ca="1" si="195">I460</f>
        <v>0</v>
      </c>
      <c r="J442" s="583">
        <f t="shared" si="195"/>
        <v>0</v>
      </c>
      <c r="K442" s="584">
        <f t="shared" ca="1" si="194"/>
        <v>0</v>
      </c>
      <c r="L442" s="585"/>
      <c r="M442" s="585"/>
      <c r="N442" s="585"/>
      <c r="O442" s="585"/>
      <c r="P442" s="585"/>
      <c r="Q442" s="571"/>
      <c r="R442" s="571"/>
      <c r="S442" s="571"/>
      <c r="T442" s="571"/>
      <c r="U442" s="571"/>
      <c r="V442" s="571"/>
      <c r="W442" s="571"/>
      <c r="X442" s="571"/>
      <c r="Y442" s="571"/>
      <c r="Z442" s="571"/>
    </row>
    <row r="443" spans="1:26" ht="19.5" hidden="1">
      <c r="A443" s="586"/>
      <c r="B443" s="587"/>
      <c r="C443" s="588"/>
      <c r="D443" s="588"/>
      <c r="E443" s="588"/>
      <c r="F443" s="588"/>
      <c r="G443" s="589"/>
      <c r="H443" s="562" t="s">
        <v>46</v>
      </c>
      <c r="I443" s="563">
        <f t="shared" ref="I443:J443" ca="1" si="196">I462</f>
        <v>0</v>
      </c>
      <c r="J443" s="563">
        <f t="shared" si="196"/>
        <v>0</v>
      </c>
      <c r="K443" s="564">
        <f t="shared" ca="1" si="194"/>
        <v>0</v>
      </c>
      <c r="L443" s="565"/>
      <c r="M443" s="565"/>
      <c r="N443" s="565"/>
      <c r="O443" s="565"/>
      <c r="P443" s="565"/>
      <c r="Q443" s="571"/>
      <c r="R443" s="571"/>
      <c r="S443" s="571"/>
      <c r="T443" s="571"/>
      <c r="U443" s="571"/>
      <c r="V443" s="571"/>
      <c r="W443" s="571"/>
      <c r="X443" s="571"/>
      <c r="Y443" s="571"/>
      <c r="Z443" s="571"/>
    </row>
    <row r="444" spans="1:26" ht="19.5" hidden="1">
      <c r="A444" s="590"/>
      <c r="B444" s="754"/>
      <c r="C444" s="754" t="s">
        <v>16</v>
      </c>
      <c r="D444" s="863" t="s">
        <v>17</v>
      </c>
      <c r="E444" s="857"/>
      <c r="F444" s="857"/>
      <c r="G444" s="189"/>
      <c r="H444" s="591" t="s">
        <v>12</v>
      </c>
      <c r="I444" s="269"/>
      <c r="J444" s="269"/>
      <c r="K444" s="496"/>
      <c r="L444" s="195">
        <f t="shared" ref="L444:N444" ca="1" si="197">L445+L446</f>
        <v>0</v>
      </c>
      <c r="M444" s="195">
        <f t="shared" si="197"/>
        <v>0</v>
      </c>
      <c r="N444" s="195">
        <f t="shared" si="197"/>
        <v>0</v>
      </c>
      <c r="O444" s="195">
        <f t="shared" ref="O444:O449" ca="1" si="198">IF(L444&gt;0,N444*100/L444,0)</f>
        <v>0</v>
      </c>
      <c r="P444" s="195">
        <f t="shared" ref="P444:P449" si="199">IF(M444&gt;0,N444*100/M444,0)</f>
        <v>0</v>
      </c>
      <c r="Q444" s="571"/>
      <c r="R444" s="571"/>
      <c r="S444" s="571"/>
      <c r="T444" s="571"/>
      <c r="U444" s="571"/>
      <c r="V444" s="571"/>
      <c r="W444" s="571"/>
      <c r="X444" s="571"/>
      <c r="Y444" s="571"/>
      <c r="Z444" s="571"/>
    </row>
    <row r="445" spans="1:26" ht="18.75" hidden="1">
      <c r="A445" s="592"/>
      <c r="B445" s="750"/>
      <c r="C445" s="750"/>
      <c r="D445" s="711"/>
      <c r="E445" s="750" t="s">
        <v>184</v>
      </c>
      <c r="F445" s="750"/>
      <c r="G445" s="596"/>
      <c r="H445" s="165" t="s">
        <v>12</v>
      </c>
      <c r="I445" s="610"/>
      <c r="J445" s="610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597"/>
      <c r="R445" s="597"/>
      <c r="S445" s="597"/>
      <c r="T445" s="597"/>
      <c r="U445" s="597"/>
      <c r="V445" s="597"/>
      <c r="W445" s="597"/>
      <c r="X445" s="597"/>
      <c r="Y445" s="597"/>
      <c r="Z445" s="597"/>
    </row>
    <row r="446" spans="1:26" ht="18.75" hidden="1">
      <c r="A446" s="592"/>
      <c r="B446" s="600"/>
      <c r="C446" s="750"/>
      <c r="D446" s="711"/>
      <c r="E446" s="750" t="s">
        <v>185</v>
      </c>
      <c r="F446" s="750"/>
      <c r="G446" s="596"/>
      <c r="H446" s="165" t="s">
        <v>12</v>
      </c>
      <c r="I446" s="610"/>
      <c r="J446" s="610"/>
      <c r="K446" s="93"/>
      <c r="L446" s="93">
        <f t="shared" ca="1" si="200"/>
        <v>0</v>
      </c>
      <c r="M446" s="93">
        <f t="shared" si="200"/>
        <v>0</v>
      </c>
      <c r="N446" s="93">
        <f t="shared" si="200"/>
        <v>0</v>
      </c>
      <c r="O446" s="93">
        <f t="shared" ca="1" si="198"/>
        <v>0</v>
      </c>
      <c r="P446" s="93">
        <f t="shared" si="199"/>
        <v>0</v>
      </c>
      <c r="Q446" s="597"/>
      <c r="R446" s="597"/>
      <c r="S446" s="597"/>
      <c r="T446" s="597"/>
      <c r="U446" s="597"/>
      <c r="V446" s="597"/>
      <c r="W446" s="597"/>
      <c r="X446" s="597"/>
      <c r="Y446" s="597"/>
      <c r="Z446" s="597"/>
    </row>
    <row r="447" spans="1:26" ht="18.75" hidden="1">
      <c r="A447" s="590"/>
      <c r="B447" s="568"/>
      <c r="C447" s="754"/>
      <c r="D447" s="599" t="s">
        <v>20</v>
      </c>
      <c r="E447" s="754"/>
      <c r="F447" s="754"/>
      <c r="G447" s="189"/>
      <c r="H447" s="161" t="s">
        <v>12</v>
      </c>
      <c r="I447" s="184"/>
      <c r="J447" s="184"/>
      <c r="K447" s="163"/>
      <c r="L447" s="496">
        <f t="shared" ref="L447:N447" ca="1" si="201">L448+L449</f>
        <v>0</v>
      </c>
      <c r="M447" s="496">
        <f t="shared" si="201"/>
        <v>0</v>
      </c>
      <c r="N447" s="496">
        <f t="shared" si="201"/>
        <v>0</v>
      </c>
      <c r="O447" s="496">
        <f t="shared" ca="1" si="198"/>
        <v>0</v>
      </c>
      <c r="P447" s="496">
        <f t="shared" si="199"/>
        <v>0</v>
      </c>
      <c r="Q447" s="571"/>
      <c r="R447" s="571"/>
      <c r="S447" s="571"/>
      <c r="T447" s="571"/>
      <c r="U447" s="571"/>
      <c r="V447" s="571"/>
      <c r="W447" s="571"/>
      <c r="X447" s="571"/>
      <c r="Y447" s="571"/>
      <c r="Z447" s="571"/>
    </row>
    <row r="448" spans="1:26" ht="18.75" hidden="1">
      <c r="A448" s="592"/>
      <c r="B448" s="600"/>
      <c r="C448" s="750"/>
      <c r="D448" s="711"/>
      <c r="E448" s="750" t="s">
        <v>184</v>
      </c>
      <c r="F448" s="750"/>
      <c r="G448" s="596"/>
      <c r="H448" s="165" t="s">
        <v>12</v>
      </c>
      <c r="I448" s="610"/>
      <c r="J448" s="610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597"/>
      <c r="R448" s="597"/>
      <c r="S448" s="597"/>
      <c r="T448" s="597"/>
      <c r="U448" s="597"/>
      <c r="V448" s="597"/>
      <c r="W448" s="597"/>
      <c r="X448" s="597"/>
      <c r="Y448" s="597"/>
      <c r="Z448" s="597"/>
    </row>
    <row r="449" spans="1:26" ht="18.75" hidden="1">
      <c r="A449" s="592"/>
      <c r="B449" s="600"/>
      <c r="C449" s="750"/>
      <c r="D449" s="711"/>
      <c r="E449" s="750" t="s">
        <v>185</v>
      </c>
      <c r="F449" s="750"/>
      <c r="G449" s="596"/>
      <c r="H449" s="165" t="s">
        <v>12</v>
      </c>
      <c r="I449" s="610"/>
      <c r="J449" s="610"/>
      <c r="K449" s="93"/>
      <c r="L449" s="93">
        <f ca="1">IFERROR(__xludf.DUMMYFUNCTION("IMPORTRANGE(""https://docs.google.com/spreadsheets/d/1QqKyyYR6Q21VydFLVH3TRQUabQu_ym0Zz7PgGX0-kHA/edit?usp=sharing"",""แผน!FJ58"")"),0)</f>
        <v>0</v>
      </c>
      <c r="M449" s="93">
        <v>0</v>
      </c>
      <c r="N449" s="93">
        <f>N450+N451+N452+N453</f>
        <v>0</v>
      </c>
      <c r="O449" s="93">
        <f t="shared" ca="1" si="198"/>
        <v>0</v>
      </c>
      <c r="P449" s="93">
        <f t="shared" si="199"/>
        <v>0</v>
      </c>
      <c r="Q449" s="597"/>
      <c r="R449" s="597"/>
      <c r="S449" s="597"/>
      <c r="T449" s="597"/>
      <c r="U449" s="597"/>
      <c r="V449" s="597"/>
      <c r="W449" s="597"/>
      <c r="X449" s="597"/>
      <c r="Y449" s="597"/>
      <c r="Z449" s="597"/>
    </row>
    <row r="450" spans="1:26" ht="18.75" hidden="1">
      <c r="A450" s="567"/>
      <c r="B450" s="568"/>
      <c r="C450" s="754"/>
      <c r="D450" s="754"/>
      <c r="E450" s="754"/>
      <c r="F450" s="754" t="s">
        <v>186</v>
      </c>
      <c r="G450" s="189"/>
      <c r="H450" s="161" t="s">
        <v>12</v>
      </c>
      <c r="I450" s="269"/>
      <c r="J450" s="269"/>
      <c r="K450" s="496"/>
      <c r="L450" s="496"/>
      <c r="M450" s="496"/>
      <c r="N450" s="817">
        <v>0</v>
      </c>
      <c r="O450" s="496"/>
      <c r="P450" s="496"/>
      <c r="Q450" s="571"/>
      <c r="R450" s="571"/>
      <c r="S450" s="571"/>
      <c r="T450" s="571"/>
      <c r="U450" s="571"/>
      <c r="V450" s="571"/>
      <c r="W450" s="571"/>
      <c r="X450" s="571"/>
      <c r="Y450" s="571"/>
      <c r="Z450" s="571"/>
    </row>
    <row r="451" spans="1:26" ht="18.75" hidden="1">
      <c r="A451" s="567"/>
      <c r="B451" s="568"/>
      <c r="C451" s="754"/>
      <c r="D451" s="754"/>
      <c r="E451" s="754"/>
      <c r="F451" s="754" t="s">
        <v>187</v>
      </c>
      <c r="G451" s="189"/>
      <c r="H451" s="161" t="s">
        <v>12</v>
      </c>
      <c r="I451" s="269"/>
      <c r="J451" s="269"/>
      <c r="K451" s="496"/>
      <c r="L451" s="496"/>
      <c r="M451" s="496"/>
      <c r="N451" s="817">
        <v>0</v>
      </c>
      <c r="O451" s="496"/>
      <c r="P451" s="496"/>
      <c r="Q451" s="571"/>
      <c r="R451" s="571"/>
      <c r="S451" s="571"/>
      <c r="T451" s="571"/>
      <c r="U451" s="571"/>
      <c r="V451" s="571"/>
      <c r="W451" s="571"/>
      <c r="X451" s="571"/>
      <c r="Y451" s="571"/>
      <c r="Z451" s="571"/>
    </row>
    <row r="452" spans="1:26" ht="18.75" hidden="1">
      <c r="A452" s="567"/>
      <c r="B452" s="568"/>
      <c r="C452" s="568"/>
      <c r="D452" s="568"/>
      <c r="E452" s="568"/>
      <c r="F452" s="754" t="s">
        <v>188</v>
      </c>
      <c r="G452" s="189"/>
      <c r="H452" s="161" t="s">
        <v>12</v>
      </c>
      <c r="I452" s="269"/>
      <c r="J452" s="269"/>
      <c r="K452" s="496"/>
      <c r="L452" s="496"/>
      <c r="M452" s="496"/>
      <c r="N452" s="817">
        <v>0</v>
      </c>
      <c r="O452" s="496"/>
      <c r="P452" s="496"/>
      <c r="Q452" s="571"/>
      <c r="R452" s="571"/>
      <c r="S452" s="571"/>
      <c r="T452" s="571"/>
      <c r="U452" s="571"/>
      <c r="V452" s="571"/>
      <c r="W452" s="571"/>
      <c r="X452" s="571"/>
      <c r="Y452" s="571"/>
      <c r="Z452" s="571"/>
    </row>
    <row r="453" spans="1:26" ht="18.75" hidden="1">
      <c r="A453" s="567"/>
      <c r="B453" s="568"/>
      <c r="C453" s="568"/>
      <c r="D453" s="568"/>
      <c r="E453" s="568"/>
      <c r="F453" s="754" t="s">
        <v>189</v>
      </c>
      <c r="G453" s="189"/>
      <c r="H453" s="161" t="s">
        <v>12</v>
      </c>
      <c r="I453" s="269"/>
      <c r="J453" s="269"/>
      <c r="K453" s="496"/>
      <c r="L453" s="496"/>
      <c r="M453" s="496"/>
      <c r="N453" s="817">
        <v>0</v>
      </c>
      <c r="O453" s="496"/>
      <c r="P453" s="496"/>
      <c r="Q453" s="571"/>
      <c r="R453" s="571"/>
      <c r="S453" s="571"/>
      <c r="T453" s="571"/>
      <c r="U453" s="571"/>
      <c r="V453" s="571"/>
      <c r="W453" s="571"/>
      <c r="X453" s="571"/>
      <c r="Y453" s="571"/>
      <c r="Z453" s="571"/>
    </row>
    <row r="454" spans="1:26" ht="18.75" hidden="1">
      <c r="A454" s="590"/>
      <c r="B454" s="568"/>
      <c r="C454" s="568"/>
      <c r="D454" s="599" t="s">
        <v>21</v>
      </c>
      <c r="E454" s="568"/>
      <c r="F454" s="754"/>
      <c r="G454" s="189"/>
      <c r="H454" s="168" t="s">
        <v>12</v>
      </c>
      <c r="I454" s="184"/>
      <c r="J454" s="184"/>
      <c r="K454" s="163"/>
      <c r="L454" s="496">
        <f t="shared" ref="L454:N454" ca="1" si="202">L455+L456</f>
        <v>0</v>
      </c>
      <c r="M454" s="496">
        <f t="shared" si="202"/>
        <v>0</v>
      </c>
      <c r="N454" s="496">
        <f t="shared" si="202"/>
        <v>0</v>
      </c>
      <c r="O454" s="496">
        <f t="shared" ref="O454:O456" ca="1" si="203">IF(L454&gt;0,N454*100/L454,0)</f>
        <v>0</v>
      </c>
      <c r="P454" s="496">
        <f t="shared" ref="P454:P456" si="204">IF(M454&gt;0,N454*100/M454,0)</f>
        <v>0</v>
      </c>
      <c r="Q454" s="571"/>
      <c r="R454" s="571"/>
      <c r="S454" s="571"/>
      <c r="T454" s="571"/>
      <c r="U454" s="571"/>
      <c r="V454" s="571"/>
      <c r="W454" s="571"/>
      <c r="X454" s="571"/>
      <c r="Y454" s="571"/>
      <c r="Z454" s="571"/>
    </row>
    <row r="455" spans="1:26" ht="18.75" hidden="1">
      <c r="A455" s="592"/>
      <c r="B455" s="600"/>
      <c r="C455" s="600"/>
      <c r="D455" s="600"/>
      <c r="E455" s="600" t="s">
        <v>18</v>
      </c>
      <c r="F455" s="750"/>
      <c r="G455" s="596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597"/>
      <c r="R455" s="597"/>
      <c r="S455" s="597"/>
      <c r="T455" s="597"/>
      <c r="U455" s="597"/>
      <c r="V455" s="597"/>
      <c r="W455" s="597"/>
      <c r="X455" s="597"/>
      <c r="Y455" s="597"/>
      <c r="Z455" s="597"/>
    </row>
    <row r="456" spans="1:26" ht="18.75" hidden="1">
      <c r="A456" s="592"/>
      <c r="B456" s="600"/>
      <c r="C456" s="600"/>
      <c r="D456" s="600"/>
      <c r="E456" s="600" t="s">
        <v>19</v>
      </c>
      <c r="F456" s="750"/>
      <c r="G456" s="596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IFERROR(__xludf.DUMMYFUNCTION("IMPORTRANGE(""https://docs.google.com/spreadsheets/d/1QqKyyYR6Q21VydFLVH3TRQUabQu_ym0Zz7PgGX0-kHA/edit?usp=sharing"",""แผน!FM58"")"),0)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597"/>
      <c r="R456" s="597"/>
      <c r="S456" s="597"/>
      <c r="T456" s="597"/>
      <c r="U456" s="597"/>
      <c r="V456" s="597"/>
      <c r="W456" s="597"/>
      <c r="X456" s="597"/>
      <c r="Y456" s="597"/>
      <c r="Z456" s="597"/>
    </row>
    <row r="457" spans="1:26" ht="19.5" hidden="1">
      <c r="A457" s="601"/>
      <c r="B457" s="611"/>
      <c r="C457" s="568" t="s">
        <v>16</v>
      </c>
      <c r="D457" s="836" t="s">
        <v>38</v>
      </c>
      <c r="E457" s="604"/>
      <c r="F457" s="752"/>
      <c r="G457" s="606"/>
      <c r="H457" s="753"/>
      <c r="I457" s="269"/>
      <c r="J457" s="269"/>
      <c r="K457" s="496"/>
      <c r="L457" s="496"/>
      <c r="M457" s="496"/>
      <c r="N457" s="496"/>
      <c r="O457" s="496"/>
      <c r="P457" s="496"/>
      <c r="Q457" s="571"/>
      <c r="R457" s="571"/>
      <c r="S457" s="571"/>
      <c r="T457" s="571"/>
      <c r="U457" s="571"/>
      <c r="V457" s="571"/>
      <c r="W457" s="571"/>
      <c r="X457" s="571"/>
      <c r="Y457" s="571"/>
      <c r="Z457" s="571"/>
    </row>
    <row r="458" spans="1:26" ht="18.75" hidden="1">
      <c r="A458" s="607"/>
      <c r="B458" s="609"/>
      <c r="C458" s="609"/>
      <c r="D458" s="609" t="s">
        <v>200</v>
      </c>
      <c r="E458" s="609"/>
      <c r="F458" s="711"/>
      <c r="G458" s="365"/>
      <c r="H458" s="369" t="s">
        <v>35</v>
      </c>
      <c r="I458" s="610">
        <v>0</v>
      </c>
      <c r="J458" s="610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597"/>
      <c r="R458" s="597"/>
      <c r="S458" s="597"/>
      <c r="T458" s="597"/>
      <c r="U458" s="597"/>
      <c r="V458" s="597"/>
      <c r="W458" s="597"/>
      <c r="X458" s="597"/>
      <c r="Y458" s="597"/>
      <c r="Z458" s="597"/>
    </row>
    <row r="459" spans="1:26" ht="18.75" hidden="1">
      <c r="A459" s="607"/>
      <c r="B459" s="609"/>
      <c r="C459" s="609"/>
      <c r="D459" s="609" t="s">
        <v>201</v>
      </c>
      <c r="E459" s="609"/>
      <c r="F459" s="711"/>
      <c r="G459" s="365"/>
      <c r="H459" s="369"/>
      <c r="I459" s="610"/>
      <c r="J459" s="610"/>
      <c r="K459" s="93"/>
      <c r="L459" s="93"/>
      <c r="M459" s="93"/>
      <c r="N459" s="93"/>
      <c r="O459" s="93"/>
      <c r="P459" s="93"/>
      <c r="Q459" s="597"/>
      <c r="R459" s="597"/>
      <c r="S459" s="597"/>
      <c r="T459" s="597"/>
      <c r="U459" s="597"/>
      <c r="V459" s="597"/>
      <c r="W459" s="597"/>
      <c r="X459" s="597"/>
      <c r="Y459" s="597"/>
      <c r="Z459" s="597"/>
    </row>
    <row r="460" spans="1:26" ht="18.75" hidden="1">
      <c r="A460" s="601"/>
      <c r="B460" s="611"/>
      <c r="C460" s="611"/>
      <c r="D460" s="611" t="s">
        <v>202</v>
      </c>
      <c r="E460" s="611"/>
      <c r="F460" s="619"/>
      <c r="G460" s="753"/>
      <c r="H460" s="755" t="s">
        <v>35</v>
      </c>
      <c r="I460" s="269">
        <f ca="1">IFERROR(__xludf.DUMMYFUNCTION("IMPORTRANGE(""https://docs.google.com/spreadsheets/d/1QqKyyYR6Q21VydFLVH3TRQUabQu_ym0Zz7PgGX0-kHA/edit?usp=sharing"",""แผน!FN58"")"),0)</f>
        <v>0</v>
      </c>
      <c r="J460" s="214">
        <v>0</v>
      </c>
      <c r="K460" s="496">
        <f ca="1">IF(I460&gt;0,J460*100/I460,0)</f>
        <v>0</v>
      </c>
      <c r="L460" s="496"/>
      <c r="M460" s="496"/>
      <c r="N460" s="496"/>
      <c r="O460" s="496"/>
      <c r="P460" s="496"/>
      <c r="Q460" s="571"/>
      <c r="R460" s="571"/>
      <c r="S460" s="571"/>
      <c r="T460" s="571"/>
      <c r="U460" s="571"/>
      <c r="V460" s="571"/>
      <c r="W460" s="571"/>
      <c r="X460" s="571"/>
      <c r="Y460" s="571"/>
      <c r="Z460" s="571"/>
    </row>
    <row r="461" spans="1:26" ht="18.75" hidden="1">
      <c r="A461" s="601"/>
      <c r="B461" s="611"/>
      <c r="C461" s="611"/>
      <c r="D461" s="611" t="s">
        <v>203</v>
      </c>
      <c r="E461" s="619"/>
      <c r="F461" s="619"/>
      <c r="G461" s="753"/>
      <c r="H461" s="755"/>
      <c r="I461" s="269"/>
      <c r="J461" s="269"/>
      <c r="K461" s="496"/>
      <c r="L461" s="496"/>
      <c r="M461" s="496"/>
      <c r="N461" s="496"/>
      <c r="O461" s="496"/>
      <c r="P461" s="496"/>
      <c r="Q461" s="571"/>
      <c r="R461" s="571"/>
      <c r="S461" s="571"/>
      <c r="T461" s="571"/>
      <c r="U461" s="571"/>
      <c r="V461" s="571"/>
      <c r="W461" s="571"/>
      <c r="X461" s="571"/>
      <c r="Y461" s="571"/>
      <c r="Z461" s="571"/>
    </row>
    <row r="462" spans="1:26" ht="18.75" hidden="1">
      <c r="A462" s="601"/>
      <c r="B462" s="611"/>
      <c r="C462" s="611"/>
      <c r="D462" s="611" t="s">
        <v>204</v>
      </c>
      <c r="E462" s="619"/>
      <c r="F462" s="619"/>
      <c r="G462" s="753"/>
      <c r="H462" s="755" t="s">
        <v>46</v>
      </c>
      <c r="I462" s="269">
        <f ca="1">IFERROR(__xludf.DUMMYFUNCTION("IMPORTRANGE(""https://docs.google.com/spreadsheets/d/1QqKyyYR6Q21VydFLVH3TRQUabQu_ym0Zz7PgGX0-kHA/edit?usp=sharing"",""แผน!FO58"")"),0)</f>
        <v>0</v>
      </c>
      <c r="J462" s="214">
        <v>0</v>
      </c>
      <c r="K462" s="496">
        <f ca="1">IF(I462&gt;0,J462*100/I462,0)</f>
        <v>0</v>
      </c>
      <c r="L462" s="496"/>
      <c r="M462" s="496"/>
      <c r="N462" s="496"/>
      <c r="O462" s="496"/>
      <c r="P462" s="496"/>
      <c r="Q462" s="571"/>
      <c r="R462" s="571"/>
      <c r="S462" s="571"/>
      <c r="T462" s="571"/>
      <c r="U462" s="571"/>
      <c r="V462" s="571"/>
      <c r="W462" s="571"/>
      <c r="X462" s="571"/>
      <c r="Y462" s="571"/>
      <c r="Z462" s="571"/>
    </row>
    <row r="463" spans="1:26" ht="18.75" hidden="1">
      <c r="A463" s="601"/>
      <c r="B463" s="611"/>
      <c r="C463" s="611"/>
      <c r="D463" s="611" t="s">
        <v>59</v>
      </c>
      <c r="E463" s="619"/>
      <c r="F463" s="754"/>
      <c r="G463" s="189"/>
      <c r="H463" s="755" t="s">
        <v>46</v>
      </c>
      <c r="I463" s="269">
        <f ca="1">IFERROR(__xludf.DUMMYFUNCTION("IMPORTRANGE(""https://docs.google.com/spreadsheets/d/1QqKyyYR6Q21VydFLVH3TRQUabQu_ym0Zz7PgGX0-kHA/edit?usp=sharing"",""แผน!FO58"")"),0)</f>
        <v>0</v>
      </c>
      <c r="J463" s="214">
        <v>0</v>
      </c>
      <c r="K463" s="496"/>
      <c r="L463" s="496"/>
      <c r="M463" s="496"/>
      <c r="N463" s="496"/>
      <c r="O463" s="496"/>
      <c r="P463" s="496"/>
      <c r="Q463" s="571"/>
      <c r="R463" s="571"/>
      <c r="S463" s="571"/>
      <c r="T463" s="571"/>
      <c r="U463" s="571"/>
      <c r="V463" s="571"/>
      <c r="W463" s="571"/>
      <c r="X463" s="571"/>
      <c r="Y463" s="571"/>
      <c r="Z463" s="571"/>
    </row>
    <row r="464" spans="1:26" ht="19.5" hidden="1">
      <c r="A464" s="601"/>
      <c r="B464" s="611"/>
      <c r="C464" s="611"/>
      <c r="D464" s="611"/>
      <c r="E464" s="619"/>
      <c r="F464" s="619"/>
      <c r="G464" s="613"/>
      <c r="H464" s="755" t="s">
        <v>35</v>
      </c>
      <c r="I464" s="269">
        <f ca="1">IFERROR(__xludf.DUMMYFUNCTION("IMPORTRANGE(""https://docs.google.com/spreadsheets/d/1QqKyyYR6Q21VydFLVH3TRQUabQu_ym0Zz7PgGX0-kHA/edit?usp=sharing"",""แผน!FN58"")"),0)</f>
        <v>0</v>
      </c>
      <c r="J464" s="214">
        <v>0</v>
      </c>
      <c r="K464" s="496"/>
      <c r="L464" s="496"/>
      <c r="M464" s="496"/>
      <c r="N464" s="496"/>
      <c r="O464" s="496"/>
      <c r="P464" s="496"/>
      <c r="Q464" s="571"/>
      <c r="R464" s="571"/>
      <c r="S464" s="571"/>
      <c r="T464" s="571"/>
      <c r="U464" s="571"/>
      <c r="V464" s="571"/>
      <c r="W464" s="571"/>
      <c r="X464" s="571"/>
      <c r="Y464" s="571"/>
      <c r="Z464" s="571"/>
    </row>
    <row r="465" spans="1:26" ht="19.5">
      <c r="A465" s="578">
        <v>3</v>
      </c>
      <c r="B465" s="579" t="s">
        <v>205</v>
      </c>
      <c r="C465" s="580"/>
      <c r="D465" s="580"/>
      <c r="E465" s="580"/>
      <c r="F465" s="580"/>
      <c r="G465" s="581"/>
      <c r="H465" s="582" t="s">
        <v>35</v>
      </c>
      <c r="I465" s="583">
        <f ca="1">IFERROR(__xludf.DUMMYFUNCTION("IMPORTRANGE(""https://docs.google.com/spreadsheets/d/1QqKyyYR6Q21VydFLVH3TRQUabQu_ym0Zz7PgGX0-kHA/edit?usp=sharing"",""แผน!FX58"")"),21)</f>
        <v>21</v>
      </c>
      <c r="J465" s="583">
        <f>J485+J489+J492</f>
        <v>0</v>
      </c>
      <c r="K465" s="584">
        <f t="shared" ref="K465:K466" ca="1" si="205">IF(I465&gt;0,J465*100/I465,0)</f>
        <v>0</v>
      </c>
      <c r="L465" s="585"/>
      <c r="M465" s="585"/>
      <c r="N465" s="585"/>
      <c r="O465" s="585"/>
      <c r="P465" s="585"/>
      <c r="Q465" s="571"/>
      <c r="R465" s="571"/>
      <c r="S465" s="571"/>
      <c r="T465" s="571"/>
      <c r="U465" s="571"/>
      <c r="V465" s="571"/>
      <c r="W465" s="571"/>
      <c r="X465" s="571"/>
      <c r="Y465" s="571"/>
      <c r="Z465" s="571"/>
    </row>
    <row r="466" spans="1:26" ht="19.5">
      <c r="A466" s="586"/>
      <c r="B466" s="587"/>
      <c r="C466" s="588"/>
      <c r="D466" s="588"/>
      <c r="E466" s="588"/>
      <c r="F466" s="588"/>
      <c r="G466" s="589"/>
      <c r="H466" s="562" t="s">
        <v>46</v>
      </c>
      <c r="I466" s="563">
        <f ca="1">IFERROR(__xludf.DUMMYFUNCTION("IMPORTRANGE(""https://docs.google.com/spreadsheets/d/1QqKyyYR6Q21VydFLVH3TRQUabQu_ym0Zz7PgGX0-kHA/edit?usp=sharing"",""แผน!FW58"")"),200)</f>
        <v>200</v>
      </c>
      <c r="J466" s="563">
        <f>J483+J487</f>
        <v>0</v>
      </c>
      <c r="K466" s="564">
        <f t="shared" ca="1" si="205"/>
        <v>0</v>
      </c>
      <c r="L466" s="565"/>
      <c r="M466" s="565"/>
      <c r="N466" s="565"/>
      <c r="O466" s="565"/>
      <c r="P466" s="565"/>
      <c r="Q466" s="571"/>
      <c r="R466" s="571"/>
      <c r="S466" s="571"/>
      <c r="T466" s="571"/>
      <c r="U466" s="571"/>
      <c r="V466" s="571"/>
      <c r="W466" s="571"/>
      <c r="X466" s="571"/>
      <c r="Y466" s="571"/>
      <c r="Z466" s="571"/>
    </row>
    <row r="467" spans="1:26" ht="19.5">
      <c r="A467" s="590"/>
      <c r="B467" s="754"/>
      <c r="C467" s="754" t="s">
        <v>16</v>
      </c>
      <c r="D467" s="863" t="s">
        <v>17</v>
      </c>
      <c r="E467" s="857"/>
      <c r="F467" s="857"/>
      <c r="G467" s="189"/>
      <c r="H467" s="591" t="s">
        <v>12</v>
      </c>
      <c r="I467" s="269"/>
      <c r="J467" s="269"/>
      <c r="K467" s="496"/>
      <c r="L467" s="195">
        <f t="shared" ref="L467:N467" ca="1" si="206">L468+L469</f>
        <v>174403</v>
      </c>
      <c r="M467" s="195">
        <f t="shared" si="206"/>
        <v>0</v>
      </c>
      <c r="N467" s="195">
        <f t="shared" si="206"/>
        <v>0</v>
      </c>
      <c r="O467" s="195">
        <f t="shared" ref="O467:O472" ca="1" si="207">IF(L467&gt;0,N467*100/L467,0)</f>
        <v>0</v>
      </c>
      <c r="P467" s="195">
        <f t="shared" ref="P467:P472" si="208">IF(M467&gt;0,N467*100/M467,0)</f>
        <v>0</v>
      </c>
      <c r="Q467" s="571"/>
      <c r="R467" s="571"/>
      <c r="S467" s="571"/>
      <c r="T467" s="571"/>
      <c r="U467" s="571"/>
      <c r="V467" s="571"/>
      <c r="W467" s="571"/>
      <c r="X467" s="571"/>
      <c r="Y467" s="571"/>
      <c r="Z467" s="571"/>
    </row>
    <row r="468" spans="1:26" ht="18.75" hidden="1">
      <c r="A468" s="592"/>
      <c r="B468" s="750"/>
      <c r="C468" s="750"/>
      <c r="D468" s="711"/>
      <c r="E468" s="750" t="s">
        <v>184</v>
      </c>
      <c r="F468" s="750"/>
      <c r="G468" s="596"/>
      <c r="H468" s="165" t="s">
        <v>12</v>
      </c>
      <c r="I468" s="610"/>
      <c r="J468" s="610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597"/>
      <c r="R468" s="597"/>
      <c r="S468" s="597"/>
      <c r="T468" s="597"/>
      <c r="U468" s="597"/>
      <c r="V468" s="597"/>
      <c r="W468" s="597"/>
      <c r="X468" s="597"/>
      <c r="Y468" s="597"/>
      <c r="Z468" s="597"/>
    </row>
    <row r="469" spans="1:26" ht="18.75" hidden="1">
      <c r="A469" s="592"/>
      <c r="B469" s="600"/>
      <c r="C469" s="750"/>
      <c r="D469" s="711"/>
      <c r="E469" s="750" t="s">
        <v>185</v>
      </c>
      <c r="F469" s="750"/>
      <c r="G469" s="596"/>
      <c r="H469" s="165" t="s">
        <v>12</v>
      </c>
      <c r="I469" s="610"/>
      <c r="J469" s="610"/>
      <c r="K469" s="93"/>
      <c r="L469" s="93">
        <f t="shared" ca="1" si="209"/>
        <v>174403</v>
      </c>
      <c r="M469" s="93">
        <f t="shared" si="209"/>
        <v>0</v>
      </c>
      <c r="N469" s="93">
        <f t="shared" si="209"/>
        <v>0</v>
      </c>
      <c r="O469" s="93">
        <f t="shared" ca="1" si="207"/>
        <v>0</v>
      </c>
      <c r="P469" s="93">
        <f t="shared" si="208"/>
        <v>0</v>
      </c>
      <c r="Q469" s="597"/>
      <c r="R469" s="597"/>
      <c r="S469" s="597"/>
      <c r="T469" s="597"/>
      <c r="U469" s="597"/>
      <c r="V469" s="597"/>
      <c r="W469" s="597"/>
      <c r="X469" s="597"/>
      <c r="Y469" s="597"/>
      <c r="Z469" s="597"/>
    </row>
    <row r="470" spans="1:26" ht="18.75">
      <c r="A470" s="590"/>
      <c r="B470" s="568"/>
      <c r="C470" s="754"/>
      <c r="D470" s="599" t="s">
        <v>20</v>
      </c>
      <c r="E470" s="754"/>
      <c r="F470" s="754"/>
      <c r="G470" s="189"/>
      <c r="H470" s="161" t="s">
        <v>12</v>
      </c>
      <c r="I470" s="184"/>
      <c r="J470" s="184"/>
      <c r="K470" s="163"/>
      <c r="L470" s="496">
        <f t="shared" ref="L470:N470" ca="1" si="210">L471+L472</f>
        <v>174403</v>
      </c>
      <c r="M470" s="496">
        <f t="shared" si="210"/>
        <v>0</v>
      </c>
      <c r="N470" s="496">
        <f t="shared" si="210"/>
        <v>0</v>
      </c>
      <c r="O470" s="496">
        <f t="shared" ca="1" si="207"/>
        <v>0</v>
      </c>
      <c r="P470" s="496">
        <f t="shared" si="208"/>
        <v>0</v>
      </c>
      <c r="Q470" s="571"/>
      <c r="R470" s="571"/>
      <c r="S470" s="571"/>
      <c r="T470" s="571"/>
      <c r="U470" s="571"/>
      <c r="V470" s="571"/>
      <c r="W470" s="571"/>
      <c r="X470" s="571"/>
      <c r="Y470" s="571"/>
      <c r="Z470" s="571"/>
    </row>
    <row r="471" spans="1:26" ht="18.75" hidden="1">
      <c r="A471" s="592"/>
      <c r="B471" s="600"/>
      <c r="C471" s="750"/>
      <c r="D471" s="711"/>
      <c r="E471" s="750" t="s">
        <v>184</v>
      </c>
      <c r="F471" s="750"/>
      <c r="G471" s="596"/>
      <c r="H471" s="165" t="s">
        <v>12</v>
      </c>
      <c r="I471" s="610"/>
      <c r="J471" s="610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597"/>
      <c r="R471" s="597"/>
      <c r="S471" s="597"/>
      <c r="T471" s="597"/>
      <c r="U471" s="597"/>
      <c r="V471" s="597"/>
      <c r="W471" s="597"/>
      <c r="X471" s="597"/>
      <c r="Y471" s="597"/>
      <c r="Z471" s="597"/>
    </row>
    <row r="472" spans="1:26" ht="18.75" hidden="1">
      <c r="A472" s="592"/>
      <c r="B472" s="600"/>
      <c r="C472" s="750"/>
      <c r="D472" s="711"/>
      <c r="E472" s="750" t="s">
        <v>185</v>
      </c>
      <c r="F472" s="750"/>
      <c r="G472" s="596"/>
      <c r="H472" s="165" t="s">
        <v>12</v>
      </c>
      <c r="I472" s="610"/>
      <c r="J472" s="610"/>
      <c r="K472" s="93"/>
      <c r="L472" s="93">
        <f ca="1">IFERROR(__xludf.DUMMYFUNCTION("IMPORTRANGE(""https://docs.google.com/spreadsheets/d/1QqKyyYR6Q21VydFLVH3TRQUabQu_ym0Zz7PgGX0-kHA/edit?usp=sharing"",""แผน!FS58"")"),174403)</f>
        <v>174403</v>
      </c>
      <c r="M472" s="93">
        <v>0</v>
      </c>
      <c r="N472" s="93">
        <f>N473+N474+N475+N476</f>
        <v>0</v>
      </c>
      <c r="O472" s="93">
        <f t="shared" ca="1" si="207"/>
        <v>0</v>
      </c>
      <c r="P472" s="93">
        <f t="shared" si="208"/>
        <v>0</v>
      </c>
      <c r="Q472" s="597"/>
      <c r="R472" s="597"/>
      <c r="S472" s="597"/>
      <c r="T472" s="597"/>
      <c r="U472" s="597"/>
      <c r="V472" s="597"/>
      <c r="W472" s="597"/>
      <c r="X472" s="597"/>
      <c r="Y472" s="597"/>
      <c r="Z472" s="597"/>
    </row>
    <row r="473" spans="1:26" ht="18.75">
      <c r="A473" s="567"/>
      <c r="B473" s="568"/>
      <c r="C473" s="754"/>
      <c r="D473" s="754"/>
      <c r="E473" s="754"/>
      <c r="F473" s="754" t="s">
        <v>186</v>
      </c>
      <c r="G473" s="189"/>
      <c r="H473" s="161" t="s">
        <v>12</v>
      </c>
      <c r="I473" s="269"/>
      <c r="J473" s="269"/>
      <c r="K473" s="496"/>
      <c r="L473" s="496"/>
      <c r="M473" s="496"/>
      <c r="N473" s="817">
        <v>0</v>
      </c>
      <c r="O473" s="496"/>
      <c r="P473" s="496"/>
      <c r="Q473" s="571"/>
      <c r="R473" s="571"/>
      <c r="S473" s="571"/>
      <c r="T473" s="571"/>
      <c r="U473" s="571"/>
      <c r="V473" s="571"/>
      <c r="W473" s="571"/>
      <c r="X473" s="571"/>
      <c r="Y473" s="571"/>
      <c r="Z473" s="571"/>
    </row>
    <row r="474" spans="1:26" ht="18.75">
      <c r="A474" s="567"/>
      <c r="B474" s="568"/>
      <c r="C474" s="754"/>
      <c r="D474" s="754"/>
      <c r="E474" s="754"/>
      <c r="F474" s="754" t="s">
        <v>187</v>
      </c>
      <c r="G474" s="189"/>
      <c r="H474" s="161" t="s">
        <v>12</v>
      </c>
      <c r="I474" s="269"/>
      <c r="J474" s="269"/>
      <c r="K474" s="496"/>
      <c r="L474" s="496"/>
      <c r="M474" s="496"/>
      <c r="N474" s="817">
        <v>0</v>
      </c>
      <c r="O474" s="496"/>
      <c r="P474" s="496"/>
      <c r="Q474" s="571"/>
      <c r="R474" s="571"/>
      <c r="S474" s="571"/>
      <c r="T474" s="571"/>
      <c r="U474" s="571"/>
      <c r="V474" s="571"/>
      <c r="W474" s="571"/>
      <c r="X474" s="571"/>
      <c r="Y474" s="571"/>
      <c r="Z474" s="571"/>
    </row>
    <row r="475" spans="1:26" ht="18.75">
      <c r="A475" s="567"/>
      <c r="B475" s="568"/>
      <c r="C475" s="568"/>
      <c r="D475" s="568"/>
      <c r="E475" s="568"/>
      <c r="F475" s="754" t="s">
        <v>188</v>
      </c>
      <c r="G475" s="189"/>
      <c r="H475" s="161" t="s">
        <v>12</v>
      </c>
      <c r="I475" s="269"/>
      <c r="J475" s="269"/>
      <c r="K475" s="496"/>
      <c r="L475" s="496"/>
      <c r="M475" s="496"/>
      <c r="N475" s="817">
        <v>0</v>
      </c>
      <c r="O475" s="496"/>
      <c r="P475" s="496"/>
      <c r="Q475" s="571"/>
      <c r="R475" s="571"/>
      <c r="S475" s="571"/>
      <c r="T475" s="571"/>
      <c r="U475" s="571"/>
      <c r="V475" s="571"/>
      <c r="W475" s="571"/>
      <c r="X475" s="571"/>
      <c r="Y475" s="571"/>
      <c r="Z475" s="571"/>
    </row>
    <row r="476" spans="1:26" ht="18.75">
      <c r="A476" s="567"/>
      <c r="B476" s="568"/>
      <c r="C476" s="568"/>
      <c r="D476" s="568"/>
      <c r="E476" s="568"/>
      <c r="F476" s="754" t="s">
        <v>189</v>
      </c>
      <c r="G476" s="189"/>
      <c r="H476" s="161" t="s">
        <v>12</v>
      </c>
      <c r="I476" s="269"/>
      <c r="J476" s="269"/>
      <c r="K476" s="496"/>
      <c r="L476" s="496"/>
      <c r="M476" s="496"/>
      <c r="N476" s="817">
        <v>0</v>
      </c>
      <c r="O476" s="496"/>
      <c r="P476" s="496"/>
      <c r="Q476" s="571"/>
      <c r="R476" s="571"/>
      <c r="S476" s="571"/>
      <c r="T476" s="571"/>
      <c r="U476" s="571"/>
      <c r="V476" s="571"/>
      <c r="W476" s="571"/>
      <c r="X476" s="571"/>
      <c r="Y476" s="571"/>
      <c r="Z476" s="571"/>
    </row>
    <row r="477" spans="1:26" ht="18.75">
      <c r="A477" s="590"/>
      <c r="B477" s="568"/>
      <c r="C477" s="568"/>
      <c r="D477" s="599" t="s">
        <v>21</v>
      </c>
      <c r="E477" s="568"/>
      <c r="F477" s="568"/>
      <c r="G477" s="189"/>
      <c r="H477" s="168" t="s">
        <v>12</v>
      </c>
      <c r="I477" s="184"/>
      <c r="J477" s="184"/>
      <c r="K477" s="163"/>
      <c r="L477" s="496">
        <f t="shared" ref="L477:N477" ca="1" si="211">L478+L479</f>
        <v>0</v>
      </c>
      <c r="M477" s="496">
        <f t="shared" si="211"/>
        <v>0</v>
      </c>
      <c r="N477" s="496">
        <f t="shared" si="211"/>
        <v>0</v>
      </c>
      <c r="O477" s="496">
        <f t="shared" ref="O477:O479" ca="1" si="212">IF(L477&gt;0,N477*100/L477,0)</f>
        <v>0</v>
      </c>
      <c r="P477" s="496">
        <f t="shared" ref="P477:P479" si="213">IF(M477&gt;0,N477*100/M477,0)</f>
        <v>0</v>
      </c>
      <c r="Q477" s="571"/>
      <c r="R477" s="571"/>
      <c r="S477" s="571"/>
      <c r="T477" s="571"/>
      <c r="U477" s="571"/>
      <c r="V477" s="571"/>
      <c r="W477" s="571"/>
      <c r="X477" s="571"/>
      <c r="Y477" s="571"/>
      <c r="Z477" s="571"/>
    </row>
    <row r="478" spans="1:26" ht="18.75" hidden="1">
      <c r="A478" s="592"/>
      <c r="B478" s="600"/>
      <c r="C478" s="600"/>
      <c r="D478" s="600"/>
      <c r="E478" s="600" t="s">
        <v>18</v>
      </c>
      <c r="F478" s="600"/>
      <c r="G478" s="596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597"/>
      <c r="R478" s="597"/>
      <c r="S478" s="597"/>
      <c r="T478" s="597"/>
      <c r="U478" s="597"/>
      <c r="V478" s="597"/>
      <c r="W478" s="597"/>
      <c r="X478" s="597"/>
      <c r="Y478" s="597"/>
      <c r="Z478" s="597"/>
    </row>
    <row r="479" spans="1:26" ht="18.75" hidden="1">
      <c r="A479" s="592"/>
      <c r="B479" s="600"/>
      <c r="C479" s="600"/>
      <c r="D479" s="600"/>
      <c r="E479" s="600" t="s">
        <v>19</v>
      </c>
      <c r="F479" s="600"/>
      <c r="G479" s="596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IFERROR(__xludf.DUMMYFUNCTION("IMPORTRANGE(""https://docs.google.com/spreadsheets/d/1QqKyyYR6Q21VydFLVH3TRQUabQu_ym0Zz7PgGX0-kHA/edit?usp=sharing"",""แผน!FV58"")"),0)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597"/>
      <c r="R479" s="597"/>
      <c r="S479" s="597"/>
      <c r="T479" s="597"/>
      <c r="U479" s="597"/>
      <c r="V479" s="597"/>
      <c r="W479" s="597"/>
      <c r="X479" s="597"/>
      <c r="Y479" s="597"/>
      <c r="Z479" s="597"/>
    </row>
    <row r="480" spans="1:26" ht="19.5">
      <c r="A480" s="601"/>
      <c r="B480" s="611"/>
      <c r="C480" s="568" t="s">
        <v>16</v>
      </c>
      <c r="D480" s="837" t="s">
        <v>38</v>
      </c>
      <c r="E480" s="604"/>
      <c r="F480" s="752"/>
      <c r="G480" s="606"/>
      <c r="H480" s="753"/>
      <c r="I480" s="269"/>
      <c r="J480" s="269"/>
      <c r="K480" s="496"/>
      <c r="L480" s="496"/>
      <c r="M480" s="496"/>
      <c r="N480" s="496"/>
      <c r="O480" s="496"/>
      <c r="P480" s="496"/>
      <c r="Q480" s="571"/>
      <c r="R480" s="571"/>
      <c r="S480" s="571"/>
      <c r="T480" s="571"/>
      <c r="U480" s="571"/>
      <c r="V480" s="571"/>
      <c r="W480" s="571"/>
      <c r="X480" s="571"/>
      <c r="Y480" s="571"/>
      <c r="Z480" s="571"/>
    </row>
    <row r="481" spans="1:26" ht="19.5">
      <c r="A481" s="601"/>
      <c r="B481" s="611"/>
      <c r="C481" s="611"/>
      <c r="D481" s="618" t="s">
        <v>206</v>
      </c>
      <c r="E481" s="611"/>
      <c r="F481" s="611"/>
      <c r="G481" s="753"/>
      <c r="H481" s="189"/>
      <c r="I481" s="269"/>
      <c r="J481" s="269"/>
      <c r="K481" s="496"/>
      <c r="L481" s="496"/>
      <c r="M481" s="496"/>
      <c r="N481" s="496"/>
      <c r="O481" s="496"/>
      <c r="P481" s="496"/>
      <c r="Q481" s="571"/>
      <c r="R481" s="571"/>
      <c r="S481" s="571"/>
      <c r="T481" s="571"/>
      <c r="U481" s="571"/>
      <c r="V481" s="571"/>
      <c r="W481" s="571"/>
      <c r="X481" s="571"/>
      <c r="Y481" s="571"/>
      <c r="Z481" s="571"/>
    </row>
    <row r="482" spans="1:26" ht="18.75">
      <c r="A482" s="601"/>
      <c r="B482" s="611"/>
      <c r="C482" s="611"/>
      <c r="D482" s="611"/>
      <c r="E482" s="611" t="s">
        <v>207</v>
      </c>
      <c r="F482" s="611"/>
      <c r="G482" s="753"/>
      <c r="H482" s="189"/>
      <c r="I482" s="269"/>
      <c r="J482" s="269"/>
      <c r="K482" s="496"/>
      <c r="L482" s="496"/>
      <c r="M482" s="496"/>
      <c r="N482" s="496"/>
      <c r="O482" s="496"/>
      <c r="P482" s="496"/>
      <c r="Q482" s="571"/>
      <c r="R482" s="571"/>
      <c r="S482" s="571"/>
      <c r="T482" s="571"/>
      <c r="U482" s="571"/>
      <c r="V482" s="571"/>
      <c r="W482" s="571"/>
      <c r="X482" s="571"/>
      <c r="Y482" s="571"/>
      <c r="Z482" s="571"/>
    </row>
    <row r="483" spans="1:26" ht="18.75">
      <c r="A483" s="601"/>
      <c r="B483" s="611"/>
      <c r="C483" s="611"/>
      <c r="D483" s="611"/>
      <c r="E483" s="611"/>
      <c r="F483" s="611" t="s">
        <v>208</v>
      </c>
      <c r="G483" s="753"/>
      <c r="H483" s="616" t="s">
        <v>46</v>
      </c>
      <c r="I483" s="269">
        <f ca="1">IFERROR(__xludf.DUMMYFUNCTION("IMPORTRANGE(""https://docs.google.com/spreadsheets/d/1QqKyyYR6Q21VydFLVH3TRQUabQu_ym0Zz7PgGX0-kHA/edit?usp=sharing"",""แผน!FY58"")"),180)</f>
        <v>180</v>
      </c>
      <c r="J483" s="214">
        <v>0</v>
      </c>
      <c r="K483" s="496">
        <f ca="1">IF(I483&gt;0,J483*100/I483,0)</f>
        <v>0</v>
      </c>
      <c r="L483" s="496"/>
      <c r="M483" s="496"/>
      <c r="N483" s="496"/>
      <c r="O483" s="496"/>
      <c r="P483" s="496"/>
      <c r="Q483" s="571"/>
      <c r="R483" s="571"/>
      <c r="S483" s="571"/>
      <c r="T483" s="571"/>
      <c r="U483" s="571"/>
      <c r="V483" s="571"/>
      <c r="W483" s="571"/>
      <c r="X483" s="571"/>
      <c r="Y483" s="571"/>
      <c r="Z483" s="571"/>
    </row>
    <row r="484" spans="1:26" ht="18.75">
      <c r="A484" s="601"/>
      <c r="B484" s="611"/>
      <c r="C484" s="611"/>
      <c r="D484" s="611"/>
      <c r="E484" s="611"/>
      <c r="F484" s="611" t="s">
        <v>209</v>
      </c>
      <c r="G484" s="753"/>
      <c r="H484" s="616" t="s">
        <v>35</v>
      </c>
      <c r="I484" s="269"/>
      <c r="J484" s="214">
        <v>0</v>
      </c>
      <c r="K484" s="496"/>
      <c r="L484" s="496"/>
      <c r="M484" s="496"/>
      <c r="N484" s="496"/>
      <c r="O484" s="496"/>
      <c r="P484" s="496"/>
      <c r="Q484" s="571"/>
      <c r="R484" s="571"/>
      <c r="S484" s="571"/>
      <c r="T484" s="571"/>
      <c r="U484" s="571"/>
      <c r="V484" s="571"/>
      <c r="W484" s="571"/>
      <c r="X484" s="571"/>
      <c r="Y484" s="571"/>
      <c r="Z484" s="571"/>
    </row>
    <row r="485" spans="1:26" ht="18.75">
      <c r="A485" s="601"/>
      <c r="B485" s="611"/>
      <c r="C485" s="611"/>
      <c r="D485" s="611"/>
      <c r="E485" s="611"/>
      <c r="F485" s="611" t="s">
        <v>210</v>
      </c>
      <c r="G485" s="753"/>
      <c r="H485" s="616" t="s">
        <v>35</v>
      </c>
      <c r="I485" s="269">
        <f ca="1">IFERROR(__xludf.DUMMYFUNCTION("IMPORTRANGE(""https://docs.google.com/spreadsheets/d/1QqKyyYR6Q21VydFLVH3TRQUabQu_ym0Zz7PgGX0-kHA/edit?usp=sharing"",""แผน!FZ58"")"),18)</f>
        <v>18</v>
      </c>
      <c r="J485" s="214">
        <v>0</v>
      </c>
      <c r="K485" s="496">
        <f ca="1">IF(I485&gt;0,J485*100/I485,0)</f>
        <v>0</v>
      </c>
      <c r="L485" s="496"/>
      <c r="M485" s="496"/>
      <c r="N485" s="496"/>
      <c r="O485" s="496"/>
      <c r="P485" s="496"/>
      <c r="Q485" s="571"/>
      <c r="R485" s="571"/>
      <c r="S485" s="571"/>
      <c r="T485" s="571"/>
      <c r="U485" s="571"/>
      <c r="V485" s="571"/>
      <c r="W485" s="571"/>
      <c r="X485" s="571"/>
      <c r="Y485" s="571"/>
      <c r="Z485" s="571"/>
    </row>
    <row r="486" spans="1:26" ht="18.75">
      <c r="A486" s="601"/>
      <c r="B486" s="611"/>
      <c r="C486" s="611"/>
      <c r="D486" s="611"/>
      <c r="E486" s="611" t="s">
        <v>62</v>
      </c>
      <c r="F486" s="611"/>
      <c r="G486" s="753"/>
      <c r="H486" s="616"/>
      <c r="I486" s="269"/>
      <c r="J486" s="269"/>
      <c r="K486" s="496"/>
      <c r="L486" s="496"/>
      <c r="M486" s="496"/>
      <c r="N486" s="496"/>
      <c r="O486" s="496"/>
      <c r="P486" s="496"/>
      <c r="Q486" s="571"/>
      <c r="R486" s="571"/>
      <c r="S486" s="571"/>
      <c r="T486" s="571"/>
      <c r="U486" s="571"/>
      <c r="V486" s="571"/>
      <c r="W486" s="571"/>
      <c r="X486" s="571"/>
      <c r="Y486" s="571"/>
      <c r="Z486" s="571"/>
    </row>
    <row r="487" spans="1:26" ht="18.75">
      <c r="A487" s="601"/>
      <c r="B487" s="611"/>
      <c r="C487" s="611"/>
      <c r="D487" s="611"/>
      <c r="E487" s="611"/>
      <c r="F487" s="611" t="s">
        <v>208</v>
      </c>
      <c r="G487" s="753"/>
      <c r="H487" s="616" t="s">
        <v>46</v>
      </c>
      <c r="I487" s="269">
        <f ca="1">IFERROR(__xludf.DUMMYFUNCTION("IMPORTRANGE(""https://docs.google.com/spreadsheets/d/1QqKyyYR6Q21VydFLVH3TRQUabQu_ym0Zz7PgGX0-kHA/edit?usp=sharing"",""แผน!GA58"")"),20)</f>
        <v>20</v>
      </c>
      <c r="J487" s="214">
        <v>0</v>
      </c>
      <c r="K487" s="496">
        <f ca="1">IF(I487&gt;0,J487*100/I487,0)</f>
        <v>0</v>
      </c>
      <c r="L487" s="496"/>
      <c r="M487" s="496"/>
      <c r="N487" s="496"/>
      <c r="O487" s="496"/>
      <c r="P487" s="496"/>
      <c r="Q487" s="571"/>
      <c r="R487" s="571"/>
      <c r="S487" s="571"/>
      <c r="T487" s="571"/>
      <c r="U487" s="571"/>
      <c r="V487" s="571"/>
      <c r="W487" s="571"/>
      <c r="X487" s="571"/>
      <c r="Y487" s="571"/>
      <c r="Z487" s="571"/>
    </row>
    <row r="488" spans="1:26" ht="18.75">
      <c r="A488" s="601"/>
      <c r="B488" s="611"/>
      <c r="C488" s="611"/>
      <c r="D488" s="611"/>
      <c r="E488" s="611"/>
      <c r="F488" s="611" t="s">
        <v>211</v>
      </c>
      <c r="G488" s="753"/>
      <c r="H488" s="616" t="s">
        <v>35</v>
      </c>
      <c r="I488" s="269"/>
      <c r="J488" s="214">
        <v>0</v>
      </c>
      <c r="K488" s="496"/>
      <c r="L488" s="496"/>
      <c r="M488" s="496"/>
      <c r="N488" s="496"/>
      <c r="O488" s="496"/>
      <c r="P488" s="496"/>
      <c r="Q488" s="571"/>
      <c r="R488" s="571"/>
      <c r="S488" s="571"/>
      <c r="T488" s="571"/>
      <c r="U488" s="571"/>
      <c r="V488" s="571"/>
      <c r="W488" s="571"/>
      <c r="X488" s="571"/>
      <c r="Y488" s="571"/>
      <c r="Z488" s="571"/>
    </row>
    <row r="489" spans="1:26" ht="18.75">
      <c r="A489" s="601"/>
      <c r="B489" s="611"/>
      <c r="C489" s="611"/>
      <c r="D489" s="611"/>
      <c r="E489" s="611"/>
      <c r="F489" s="611" t="s">
        <v>212</v>
      </c>
      <c r="G489" s="753"/>
      <c r="H489" s="616" t="s">
        <v>35</v>
      </c>
      <c r="I489" s="269">
        <f ca="1">IFERROR(__xludf.DUMMYFUNCTION("IMPORTRANGE(""https://docs.google.com/spreadsheets/d/1QqKyyYR6Q21VydFLVH3TRQUabQu_ym0Zz7PgGX0-kHA/edit?usp=sharing"",""แผน!GB58"")"),2)</f>
        <v>2</v>
      </c>
      <c r="J489" s="214">
        <v>0</v>
      </c>
      <c r="K489" s="496">
        <f ca="1">IF(I489&gt;0,J489*100/I489,0)</f>
        <v>0</v>
      </c>
      <c r="L489" s="496"/>
      <c r="M489" s="496"/>
      <c r="N489" s="496"/>
      <c r="O489" s="496"/>
      <c r="P489" s="496"/>
      <c r="Q489" s="571"/>
      <c r="R489" s="571"/>
      <c r="S489" s="571"/>
      <c r="T489" s="571"/>
      <c r="U489" s="571"/>
      <c r="V489" s="571"/>
      <c r="W489" s="571"/>
      <c r="X489" s="571"/>
      <c r="Y489" s="571"/>
      <c r="Z489" s="571"/>
    </row>
    <row r="490" spans="1:26" ht="18.75">
      <c r="A490" s="601"/>
      <c r="B490" s="611"/>
      <c r="C490" s="611"/>
      <c r="D490" s="611"/>
      <c r="E490" s="611" t="s">
        <v>63</v>
      </c>
      <c r="F490" s="619"/>
      <c r="G490" s="753"/>
      <c r="H490" s="616"/>
      <c r="I490" s="269"/>
      <c r="J490" s="269"/>
      <c r="K490" s="496"/>
      <c r="L490" s="496"/>
      <c r="M490" s="496"/>
      <c r="N490" s="496"/>
      <c r="O490" s="496"/>
      <c r="P490" s="496"/>
      <c r="Q490" s="571"/>
      <c r="R490" s="571"/>
      <c r="S490" s="571"/>
      <c r="T490" s="571"/>
      <c r="U490" s="571"/>
      <c r="V490" s="571"/>
      <c r="W490" s="571"/>
      <c r="X490" s="571"/>
      <c r="Y490" s="571"/>
      <c r="Z490" s="571"/>
    </row>
    <row r="491" spans="1:26" ht="18.75">
      <c r="A491" s="601"/>
      <c r="B491" s="611"/>
      <c r="C491" s="611"/>
      <c r="D491" s="611"/>
      <c r="E491" s="611"/>
      <c r="F491" s="611" t="s">
        <v>213</v>
      </c>
      <c r="G491" s="753"/>
      <c r="H491" s="616" t="s">
        <v>35</v>
      </c>
      <c r="I491" s="269"/>
      <c r="J491" s="214">
        <v>0</v>
      </c>
      <c r="K491" s="496"/>
      <c r="L491" s="496"/>
      <c r="M491" s="496"/>
      <c r="N491" s="496"/>
      <c r="O491" s="496"/>
      <c r="P491" s="496"/>
      <c r="Q491" s="571"/>
      <c r="R491" s="571"/>
      <c r="S491" s="571"/>
      <c r="T491" s="571"/>
      <c r="U491" s="571"/>
      <c r="V491" s="571"/>
      <c r="W491" s="571"/>
      <c r="X491" s="571"/>
      <c r="Y491" s="571"/>
      <c r="Z491" s="571"/>
    </row>
    <row r="492" spans="1:26" ht="18.75">
      <c r="A492" s="601"/>
      <c r="B492" s="611"/>
      <c r="C492" s="611"/>
      <c r="D492" s="611"/>
      <c r="E492" s="611"/>
      <c r="F492" s="611" t="s">
        <v>214</v>
      </c>
      <c r="G492" s="753"/>
      <c r="H492" s="616" t="s">
        <v>35</v>
      </c>
      <c r="I492" s="269">
        <f ca="1">IFERROR(__xludf.DUMMYFUNCTION("IMPORTRANGE(""https://docs.google.com/spreadsheets/d/1QqKyyYR6Q21VydFLVH3TRQUabQu_ym0Zz7PgGX0-kHA/edit?usp=sharing"",""แผน!GC58"")"),1)</f>
        <v>1</v>
      </c>
      <c r="J492" s="214">
        <v>0</v>
      </c>
      <c r="K492" s="496">
        <f ca="1">IF(I492&gt;0,J492*100/I492,0)</f>
        <v>0</v>
      </c>
      <c r="L492" s="496"/>
      <c r="M492" s="496"/>
      <c r="N492" s="496"/>
      <c r="O492" s="496"/>
      <c r="P492" s="496"/>
      <c r="Q492" s="571"/>
      <c r="R492" s="571"/>
      <c r="S492" s="571"/>
      <c r="T492" s="571"/>
      <c r="U492" s="571"/>
      <c r="V492" s="571"/>
      <c r="W492" s="571"/>
      <c r="X492" s="571"/>
      <c r="Y492" s="571"/>
      <c r="Z492" s="571"/>
    </row>
    <row r="493" spans="1:26" ht="19.5">
      <c r="A493" s="601"/>
      <c r="B493" s="611"/>
      <c r="C493" s="611"/>
      <c r="D493" s="618" t="s">
        <v>59</v>
      </c>
      <c r="E493" s="611"/>
      <c r="F493" s="619"/>
      <c r="G493" s="753"/>
      <c r="H493" s="189"/>
      <c r="I493" s="269"/>
      <c r="J493" s="269"/>
      <c r="K493" s="496"/>
      <c r="L493" s="496"/>
      <c r="M493" s="496"/>
      <c r="N493" s="496"/>
      <c r="O493" s="496"/>
      <c r="P493" s="496"/>
      <c r="Q493" s="571"/>
      <c r="R493" s="571"/>
      <c r="S493" s="571"/>
      <c r="T493" s="571"/>
      <c r="U493" s="571"/>
      <c r="V493" s="571"/>
      <c r="W493" s="571"/>
      <c r="X493" s="571"/>
      <c r="Y493" s="571"/>
      <c r="Z493" s="571"/>
    </row>
    <row r="494" spans="1:26" ht="18.75">
      <c r="A494" s="601"/>
      <c r="B494" s="611"/>
      <c r="C494" s="611"/>
      <c r="D494" s="611"/>
      <c r="E494" s="611" t="s">
        <v>207</v>
      </c>
      <c r="F494" s="619"/>
      <c r="G494" s="753"/>
      <c r="H494" s="189"/>
      <c r="I494" s="269"/>
      <c r="J494" s="269"/>
      <c r="K494" s="496"/>
      <c r="L494" s="496"/>
      <c r="M494" s="496"/>
      <c r="N494" s="496"/>
      <c r="O494" s="496"/>
      <c r="P494" s="496"/>
      <c r="Q494" s="571"/>
      <c r="R494" s="571"/>
      <c r="S494" s="571"/>
      <c r="T494" s="571"/>
      <c r="U494" s="571"/>
      <c r="V494" s="571"/>
      <c r="W494" s="571"/>
      <c r="X494" s="571"/>
      <c r="Y494" s="571"/>
      <c r="Z494" s="571"/>
    </row>
    <row r="495" spans="1:26" ht="18.75">
      <c r="A495" s="601"/>
      <c r="B495" s="611"/>
      <c r="C495" s="611"/>
      <c r="D495" s="611"/>
      <c r="E495" s="611"/>
      <c r="F495" s="619" t="s">
        <v>215</v>
      </c>
      <c r="G495" s="753"/>
      <c r="H495" s="616" t="s">
        <v>46</v>
      </c>
      <c r="I495" s="269">
        <f ca="1">IFERROR(__xludf.DUMMYFUNCTION("IMPORTRANGE(""https://docs.google.com/spreadsheets/d/1QqKyyYR6Q21VydFLVH3TRQUabQu_ym0Zz7PgGX0-kHA/edit?usp=sharing"",""แผน!FY58"")"),180)</f>
        <v>180</v>
      </c>
      <c r="J495" s="214">
        <v>0</v>
      </c>
      <c r="K495" s="496">
        <f ca="1">IF(I495&gt;0,J495*100/I495,0)</f>
        <v>0</v>
      </c>
      <c r="L495" s="496"/>
      <c r="M495" s="496"/>
      <c r="N495" s="496"/>
      <c r="O495" s="496"/>
      <c r="P495" s="496"/>
      <c r="Q495" s="571"/>
      <c r="R495" s="571"/>
      <c r="S495" s="571"/>
      <c r="T495" s="571"/>
      <c r="U495" s="571"/>
      <c r="V495" s="571"/>
      <c r="W495" s="571"/>
      <c r="X495" s="571"/>
      <c r="Y495" s="571"/>
      <c r="Z495" s="571"/>
    </row>
    <row r="496" spans="1:26" ht="18.75">
      <c r="A496" s="601"/>
      <c r="B496" s="611"/>
      <c r="C496" s="611"/>
      <c r="D496" s="611"/>
      <c r="E496" s="611"/>
      <c r="F496" s="619" t="s">
        <v>216</v>
      </c>
      <c r="G496" s="753"/>
      <c r="H496" s="616" t="s">
        <v>46</v>
      </c>
      <c r="I496" s="269"/>
      <c r="J496" s="214">
        <v>0</v>
      </c>
      <c r="K496" s="496"/>
      <c r="L496" s="496"/>
      <c r="M496" s="496"/>
      <c r="N496" s="496"/>
      <c r="O496" s="496"/>
      <c r="P496" s="496"/>
      <c r="Q496" s="571"/>
      <c r="R496" s="571"/>
      <c r="S496" s="571"/>
      <c r="T496" s="571"/>
      <c r="U496" s="571"/>
      <c r="V496" s="571"/>
      <c r="W496" s="571"/>
      <c r="X496" s="571"/>
      <c r="Y496" s="571"/>
      <c r="Z496" s="571"/>
    </row>
    <row r="497" spans="1:26" ht="18.75">
      <c r="A497" s="601"/>
      <c r="B497" s="611"/>
      <c r="C497" s="611"/>
      <c r="D497" s="611"/>
      <c r="E497" s="611" t="s">
        <v>62</v>
      </c>
      <c r="F497" s="619"/>
      <c r="G497" s="753"/>
      <c r="H497" s="189"/>
      <c r="I497" s="269"/>
      <c r="J497" s="269"/>
      <c r="K497" s="496"/>
      <c r="L497" s="496"/>
      <c r="M497" s="496"/>
      <c r="N497" s="496"/>
      <c r="O497" s="496"/>
      <c r="P497" s="496"/>
      <c r="Q497" s="571"/>
      <c r="R497" s="571"/>
      <c r="S497" s="571"/>
      <c r="T497" s="571"/>
      <c r="U497" s="571"/>
      <c r="V497" s="571"/>
      <c r="W497" s="571"/>
      <c r="X497" s="571"/>
      <c r="Y497" s="571"/>
      <c r="Z497" s="571"/>
    </row>
    <row r="498" spans="1:26" ht="18.75">
      <c r="A498" s="601"/>
      <c r="B498" s="611"/>
      <c r="C498" s="611"/>
      <c r="D498" s="611"/>
      <c r="E498" s="619"/>
      <c r="F498" s="619" t="s">
        <v>217</v>
      </c>
      <c r="G498" s="753"/>
      <c r="H498" s="616" t="s">
        <v>46</v>
      </c>
      <c r="I498" s="269">
        <f ca="1">IFERROR(__xludf.DUMMYFUNCTION("IMPORTRANGE(""https://docs.google.com/spreadsheets/d/1QqKyyYR6Q21VydFLVH3TRQUabQu_ym0Zz7PgGX0-kHA/edit?usp=sharing"",""แผน!GA58"")"),20)</f>
        <v>20</v>
      </c>
      <c r="J498" s="214">
        <v>0</v>
      </c>
      <c r="K498" s="496">
        <f ca="1">IF(I498&gt;0,J498*100/I498,0)</f>
        <v>0</v>
      </c>
      <c r="L498" s="496"/>
      <c r="M498" s="496"/>
      <c r="N498" s="496"/>
      <c r="O498" s="496"/>
      <c r="P498" s="496"/>
      <c r="Q498" s="571"/>
      <c r="R498" s="571"/>
      <c r="S498" s="571"/>
      <c r="T498" s="571"/>
      <c r="U498" s="571"/>
      <c r="V498" s="571"/>
      <c r="W498" s="571"/>
      <c r="X498" s="571"/>
      <c r="Y498" s="571"/>
      <c r="Z498" s="571"/>
    </row>
    <row r="499" spans="1:26" ht="18.75">
      <c r="A499" s="601"/>
      <c r="B499" s="611"/>
      <c r="C499" s="611"/>
      <c r="D499" s="611"/>
      <c r="E499" s="619"/>
      <c r="F499" s="619" t="s">
        <v>218</v>
      </c>
      <c r="G499" s="753"/>
      <c r="H499" s="616" t="s">
        <v>46</v>
      </c>
      <c r="I499" s="269"/>
      <c r="J499" s="214">
        <v>0</v>
      </c>
      <c r="K499" s="496"/>
      <c r="L499" s="496"/>
      <c r="M499" s="496"/>
      <c r="N499" s="496"/>
      <c r="O499" s="496"/>
      <c r="P499" s="496"/>
      <c r="Q499" s="571"/>
      <c r="R499" s="571"/>
      <c r="S499" s="571"/>
      <c r="T499" s="571"/>
      <c r="U499" s="571"/>
      <c r="V499" s="571"/>
      <c r="W499" s="571"/>
      <c r="X499" s="571"/>
      <c r="Y499" s="571"/>
      <c r="Z499" s="571"/>
    </row>
    <row r="500" spans="1:26" ht="19.5" hidden="1">
      <c r="A500" s="620">
        <v>4</v>
      </c>
      <c r="B500" s="621" t="s">
        <v>219</v>
      </c>
      <c r="C500" s="622"/>
      <c r="D500" s="623"/>
      <c r="E500" s="623"/>
      <c r="F500" s="623"/>
      <c r="G500" s="624"/>
      <c r="H500" s="625" t="s">
        <v>109</v>
      </c>
      <c r="I500" s="626"/>
      <c r="J500" s="626">
        <f t="shared" ref="J500:J501" si="214">J516</f>
        <v>0</v>
      </c>
      <c r="K500" s="627">
        <f t="shared" ref="K500:K501" si="215">IF(I500&gt;0,J500*100/I500,0)</f>
        <v>0</v>
      </c>
      <c r="L500" s="628"/>
      <c r="M500" s="628"/>
      <c r="N500" s="628"/>
      <c r="O500" s="628"/>
      <c r="P500" s="628"/>
      <c r="Q500" s="597"/>
      <c r="R500" s="597"/>
      <c r="S500" s="597"/>
      <c r="T500" s="597"/>
      <c r="U500" s="597"/>
      <c r="V500" s="597"/>
      <c r="W500" s="597"/>
      <c r="X500" s="597"/>
      <c r="Y500" s="597"/>
      <c r="Z500" s="597"/>
    </row>
    <row r="501" spans="1:26" ht="19.5" hidden="1">
      <c r="A501" s="629"/>
      <c r="B501" s="631" t="s">
        <v>220</v>
      </c>
      <c r="C501" s="631"/>
      <c r="D501" s="632"/>
      <c r="E501" s="632"/>
      <c r="F501" s="632"/>
      <c r="G501" s="633"/>
      <c r="H501" s="634" t="s">
        <v>35</v>
      </c>
      <c r="I501" s="635"/>
      <c r="J501" s="635">
        <f t="shared" si="214"/>
        <v>0</v>
      </c>
      <c r="K501" s="636">
        <f t="shared" si="215"/>
        <v>0</v>
      </c>
      <c r="L501" s="637"/>
      <c r="M501" s="637"/>
      <c r="N501" s="637"/>
      <c r="O501" s="637"/>
      <c r="P501" s="637"/>
      <c r="Q501" s="597"/>
      <c r="R501" s="597"/>
      <c r="S501" s="597"/>
      <c r="T501" s="597"/>
      <c r="U501" s="597"/>
      <c r="V501" s="597"/>
      <c r="W501" s="597"/>
      <c r="X501" s="597"/>
      <c r="Y501" s="597"/>
      <c r="Z501" s="597"/>
    </row>
    <row r="502" spans="1:26" ht="19.5" hidden="1">
      <c r="A502" s="592"/>
      <c r="B502" s="750"/>
      <c r="C502" s="750" t="s">
        <v>16</v>
      </c>
      <c r="D502" s="864" t="s">
        <v>17</v>
      </c>
      <c r="E502" s="857"/>
      <c r="F502" s="857"/>
      <c r="G502" s="596"/>
      <c r="H502" s="639" t="s">
        <v>12</v>
      </c>
      <c r="I502" s="610"/>
      <c r="J502" s="610"/>
      <c r="K502" s="93"/>
      <c r="L502" s="640">
        <f t="shared" ref="L502:N502" si="216">L503+L504</f>
        <v>0</v>
      </c>
      <c r="M502" s="640">
        <f t="shared" si="216"/>
        <v>0</v>
      </c>
      <c r="N502" s="640">
        <f t="shared" si="216"/>
        <v>0</v>
      </c>
      <c r="O502" s="640">
        <f t="shared" ref="O502:O507" si="217">IF(L502&gt;0,N502*100/L502,0)</f>
        <v>0</v>
      </c>
      <c r="P502" s="640">
        <f t="shared" ref="P502:P507" si="218">IF(M502&gt;0,N502*100/M502,0)</f>
        <v>0</v>
      </c>
      <c r="Q502" s="597"/>
      <c r="R502" s="597"/>
      <c r="S502" s="597"/>
      <c r="T502" s="597"/>
      <c r="U502" s="597"/>
      <c r="V502" s="597"/>
      <c r="W502" s="597"/>
      <c r="X502" s="597"/>
      <c r="Y502" s="597"/>
      <c r="Z502" s="597"/>
    </row>
    <row r="503" spans="1:26" ht="18.75" hidden="1">
      <c r="A503" s="592"/>
      <c r="B503" s="750"/>
      <c r="C503" s="750"/>
      <c r="D503" s="711"/>
      <c r="E503" s="750" t="s">
        <v>184</v>
      </c>
      <c r="F503" s="750"/>
      <c r="G503" s="596"/>
      <c r="H503" s="165" t="s">
        <v>12</v>
      </c>
      <c r="I503" s="610"/>
      <c r="J503" s="610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597"/>
      <c r="R503" s="597"/>
      <c r="S503" s="597"/>
      <c r="T503" s="597"/>
      <c r="U503" s="597"/>
      <c r="V503" s="597"/>
      <c r="W503" s="597"/>
      <c r="X503" s="597"/>
      <c r="Y503" s="597"/>
      <c r="Z503" s="597"/>
    </row>
    <row r="504" spans="1:26" ht="18.75" hidden="1">
      <c r="A504" s="592"/>
      <c r="B504" s="600"/>
      <c r="C504" s="750"/>
      <c r="D504" s="711"/>
      <c r="E504" s="750" t="s">
        <v>185</v>
      </c>
      <c r="F504" s="750"/>
      <c r="G504" s="596"/>
      <c r="H504" s="165" t="s">
        <v>12</v>
      </c>
      <c r="I504" s="610"/>
      <c r="J504" s="610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597"/>
      <c r="R504" s="597"/>
      <c r="S504" s="597"/>
      <c r="T504" s="597"/>
      <c r="U504" s="597"/>
      <c r="V504" s="597"/>
      <c r="W504" s="597"/>
      <c r="X504" s="597"/>
      <c r="Y504" s="597"/>
      <c r="Z504" s="597"/>
    </row>
    <row r="505" spans="1:26" ht="18.75" hidden="1">
      <c r="A505" s="592"/>
      <c r="B505" s="600"/>
      <c r="C505" s="750"/>
      <c r="D505" s="641" t="s">
        <v>20</v>
      </c>
      <c r="E505" s="750"/>
      <c r="F505" s="750"/>
      <c r="G505" s="596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597"/>
      <c r="R505" s="597"/>
      <c r="S505" s="597"/>
      <c r="T505" s="597"/>
      <c r="U505" s="597"/>
      <c r="V505" s="597"/>
      <c r="W505" s="597"/>
      <c r="X505" s="597"/>
      <c r="Y505" s="597"/>
      <c r="Z505" s="597"/>
    </row>
    <row r="506" spans="1:26" ht="18.75" hidden="1">
      <c r="A506" s="592"/>
      <c r="B506" s="600"/>
      <c r="C506" s="750"/>
      <c r="D506" s="711"/>
      <c r="E506" s="750" t="s">
        <v>184</v>
      </c>
      <c r="F506" s="750"/>
      <c r="G506" s="596"/>
      <c r="H506" s="165" t="s">
        <v>12</v>
      </c>
      <c r="I506" s="610"/>
      <c r="J506" s="610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597"/>
      <c r="R506" s="597"/>
      <c r="S506" s="597"/>
      <c r="T506" s="597"/>
      <c r="U506" s="597"/>
      <c r="V506" s="597"/>
      <c r="W506" s="597"/>
      <c r="X506" s="597"/>
      <c r="Y506" s="597"/>
      <c r="Z506" s="597"/>
    </row>
    <row r="507" spans="1:26" ht="18.75" hidden="1">
      <c r="A507" s="592"/>
      <c r="B507" s="600"/>
      <c r="C507" s="750"/>
      <c r="D507" s="711"/>
      <c r="E507" s="750" t="s">
        <v>185</v>
      </c>
      <c r="F507" s="750"/>
      <c r="G507" s="596"/>
      <c r="H507" s="165" t="s">
        <v>12</v>
      </c>
      <c r="I507" s="610"/>
      <c r="J507" s="610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597"/>
      <c r="R507" s="597"/>
      <c r="S507" s="597"/>
      <c r="T507" s="597"/>
      <c r="U507" s="597"/>
      <c r="V507" s="597"/>
      <c r="W507" s="597"/>
      <c r="X507" s="597"/>
      <c r="Y507" s="597"/>
      <c r="Z507" s="597"/>
    </row>
    <row r="508" spans="1:26" ht="18.75" hidden="1">
      <c r="A508" s="642"/>
      <c r="B508" s="600"/>
      <c r="C508" s="750"/>
      <c r="D508" s="750"/>
      <c r="E508" s="750"/>
      <c r="F508" s="750" t="s">
        <v>186</v>
      </c>
      <c r="G508" s="596"/>
      <c r="H508" s="165" t="s">
        <v>12</v>
      </c>
      <c r="I508" s="610"/>
      <c r="J508" s="610"/>
      <c r="K508" s="93"/>
      <c r="L508" s="93"/>
      <c r="M508" s="93"/>
      <c r="N508" s="93">
        <v>0</v>
      </c>
      <c r="O508" s="93"/>
      <c r="P508" s="93"/>
      <c r="Q508" s="597"/>
      <c r="R508" s="597"/>
      <c r="S508" s="597"/>
      <c r="T508" s="597"/>
      <c r="U508" s="597"/>
      <c r="V508" s="597"/>
      <c r="W508" s="597"/>
      <c r="X508" s="597"/>
      <c r="Y508" s="597"/>
      <c r="Z508" s="597"/>
    </row>
    <row r="509" spans="1:26" ht="18.75" hidden="1">
      <c r="A509" s="642"/>
      <c r="B509" s="600"/>
      <c r="C509" s="750"/>
      <c r="D509" s="750"/>
      <c r="E509" s="750"/>
      <c r="F509" s="750" t="s">
        <v>187</v>
      </c>
      <c r="G509" s="596"/>
      <c r="H509" s="165" t="s">
        <v>12</v>
      </c>
      <c r="I509" s="610"/>
      <c r="J509" s="610"/>
      <c r="K509" s="93"/>
      <c r="L509" s="93"/>
      <c r="M509" s="93"/>
      <c r="N509" s="93">
        <v>0</v>
      </c>
      <c r="O509" s="93"/>
      <c r="P509" s="93"/>
      <c r="Q509" s="597"/>
      <c r="R509" s="597"/>
      <c r="S509" s="597"/>
      <c r="T509" s="597"/>
      <c r="U509" s="597"/>
      <c r="V509" s="597"/>
      <c r="W509" s="597"/>
      <c r="X509" s="597"/>
      <c r="Y509" s="597"/>
      <c r="Z509" s="597"/>
    </row>
    <row r="510" spans="1:26" ht="18.75" hidden="1">
      <c r="A510" s="642"/>
      <c r="B510" s="600"/>
      <c r="C510" s="600"/>
      <c r="D510" s="600"/>
      <c r="E510" s="750"/>
      <c r="F510" s="750" t="s">
        <v>188</v>
      </c>
      <c r="G510" s="596"/>
      <c r="H510" s="165" t="s">
        <v>12</v>
      </c>
      <c r="I510" s="610"/>
      <c r="J510" s="610"/>
      <c r="K510" s="93"/>
      <c r="L510" s="93"/>
      <c r="M510" s="93"/>
      <c r="N510" s="93">
        <v>0</v>
      </c>
      <c r="O510" s="93"/>
      <c r="P510" s="93"/>
      <c r="Q510" s="597"/>
      <c r="R510" s="597"/>
      <c r="S510" s="597"/>
      <c r="T510" s="597"/>
      <c r="U510" s="597"/>
      <c r="V510" s="597"/>
      <c r="W510" s="597"/>
      <c r="X510" s="597"/>
      <c r="Y510" s="597"/>
      <c r="Z510" s="597"/>
    </row>
    <row r="511" spans="1:26" ht="18.75" hidden="1">
      <c r="A511" s="642"/>
      <c r="B511" s="600"/>
      <c r="C511" s="600"/>
      <c r="D511" s="600"/>
      <c r="E511" s="750"/>
      <c r="F511" s="750" t="s">
        <v>189</v>
      </c>
      <c r="G511" s="596"/>
      <c r="H511" s="165" t="s">
        <v>12</v>
      </c>
      <c r="I511" s="610"/>
      <c r="J511" s="610"/>
      <c r="K511" s="93"/>
      <c r="L511" s="93"/>
      <c r="M511" s="93"/>
      <c r="N511" s="93">
        <v>0</v>
      </c>
      <c r="O511" s="93"/>
      <c r="P511" s="93"/>
      <c r="Q511" s="597"/>
      <c r="R511" s="597"/>
      <c r="S511" s="597"/>
      <c r="T511" s="597"/>
      <c r="U511" s="597"/>
      <c r="V511" s="597"/>
      <c r="W511" s="597"/>
      <c r="X511" s="597"/>
      <c r="Y511" s="597"/>
      <c r="Z511" s="597"/>
    </row>
    <row r="512" spans="1:26" ht="18.75" hidden="1">
      <c r="A512" s="592"/>
      <c r="B512" s="600"/>
      <c r="C512" s="600"/>
      <c r="D512" s="641" t="s">
        <v>21</v>
      </c>
      <c r="E512" s="600"/>
      <c r="F512" s="750"/>
      <c r="G512" s="596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597"/>
      <c r="R512" s="597"/>
      <c r="S512" s="597"/>
      <c r="T512" s="597"/>
      <c r="U512" s="597"/>
      <c r="V512" s="597"/>
      <c r="W512" s="597"/>
      <c r="X512" s="597"/>
      <c r="Y512" s="597"/>
      <c r="Z512" s="597"/>
    </row>
    <row r="513" spans="1:26" ht="18.75" hidden="1">
      <c r="A513" s="592"/>
      <c r="B513" s="600"/>
      <c r="C513" s="600"/>
      <c r="D513" s="600"/>
      <c r="E513" s="600" t="s">
        <v>18</v>
      </c>
      <c r="F513" s="750"/>
      <c r="G513" s="596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597"/>
      <c r="R513" s="597"/>
      <c r="S513" s="597"/>
      <c r="T513" s="597"/>
      <c r="U513" s="597"/>
      <c r="V513" s="597"/>
      <c r="W513" s="597"/>
      <c r="X513" s="597"/>
      <c r="Y513" s="597"/>
      <c r="Z513" s="597"/>
    </row>
    <row r="514" spans="1:26" ht="18.75" hidden="1">
      <c r="A514" s="592"/>
      <c r="B514" s="600"/>
      <c r="C514" s="600"/>
      <c r="D514" s="750"/>
      <c r="E514" s="600" t="s">
        <v>19</v>
      </c>
      <c r="F514" s="750"/>
      <c r="G514" s="596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597"/>
      <c r="R514" s="597"/>
      <c r="S514" s="597"/>
      <c r="T514" s="597"/>
      <c r="U514" s="597"/>
      <c r="V514" s="597"/>
      <c r="W514" s="597"/>
      <c r="X514" s="597"/>
      <c r="Y514" s="597"/>
      <c r="Z514" s="597"/>
    </row>
    <row r="515" spans="1:26" ht="19.5" hidden="1">
      <c r="A515" s="607"/>
      <c r="B515" s="609"/>
      <c r="C515" s="600" t="s">
        <v>16</v>
      </c>
      <c r="D515" s="838" t="s">
        <v>38</v>
      </c>
      <c r="E515" s="644"/>
      <c r="F515" s="644"/>
      <c r="G515" s="645"/>
      <c r="H515" s="365"/>
      <c r="I515" s="166"/>
      <c r="J515" s="166"/>
      <c r="K515" s="167"/>
      <c r="L515" s="167"/>
      <c r="M515" s="167"/>
      <c r="N515" s="167"/>
      <c r="O515" s="167"/>
      <c r="P515" s="167"/>
      <c r="Q515" s="597"/>
      <c r="R515" s="597"/>
      <c r="S515" s="597"/>
      <c r="T515" s="597"/>
      <c r="U515" s="597"/>
      <c r="V515" s="597"/>
      <c r="W515" s="597"/>
      <c r="X515" s="597"/>
      <c r="Y515" s="597"/>
      <c r="Z515" s="597"/>
    </row>
    <row r="516" spans="1:26" ht="18.75" hidden="1">
      <c r="A516" s="607"/>
      <c r="B516" s="609"/>
      <c r="C516" s="609"/>
      <c r="D516" s="609" t="s">
        <v>221</v>
      </c>
      <c r="E516" s="711"/>
      <c r="F516" s="711"/>
      <c r="G516" s="365"/>
      <c r="H516" s="646" t="s">
        <v>109</v>
      </c>
      <c r="I516" s="610"/>
      <c r="J516" s="610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597"/>
      <c r="R516" s="597"/>
      <c r="S516" s="597"/>
      <c r="T516" s="597"/>
      <c r="U516" s="597"/>
      <c r="V516" s="597"/>
      <c r="W516" s="597"/>
      <c r="X516" s="597"/>
      <c r="Y516" s="597"/>
      <c r="Z516" s="597"/>
    </row>
    <row r="517" spans="1:26" ht="19.5" hidden="1">
      <c r="A517" s="607"/>
      <c r="B517" s="609"/>
      <c r="C517" s="609"/>
      <c r="D517" s="609" t="s">
        <v>222</v>
      </c>
      <c r="E517" s="711"/>
      <c r="F517" s="711"/>
      <c r="G517" s="365"/>
      <c r="H517" s="647" t="s">
        <v>35</v>
      </c>
      <c r="I517" s="648"/>
      <c r="J517" s="648">
        <f>J518+J519</f>
        <v>0</v>
      </c>
      <c r="K517" s="649">
        <f t="shared" si="224"/>
        <v>0</v>
      </c>
      <c r="L517" s="167"/>
      <c r="M517" s="167"/>
      <c r="N517" s="167"/>
      <c r="O517" s="167"/>
      <c r="P517" s="167"/>
      <c r="Q517" s="597"/>
      <c r="R517" s="597"/>
      <c r="S517" s="597"/>
      <c r="T517" s="597"/>
      <c r="U517" s="597"/>
      <c r="V517" s="597"/>
      <c r="W517" s="597"/>
      <c r="X517" s="597"/>
      <c r="Y517" s="597"/>
      <c r="Z517" s="597"/>
    </row>
    <row r="518" spans="1:26" ht="18.75" hidden="1">
      <c r="A518" s="607"/>
      <c r="B518" s="609"/>
      <c r="C518" s="609"/>
      <c r="D518" s="609"/>
      <c r="E518" s="609" t="s">
        <v>223</v>
      </c>
      <c r="F518" s="711"/>
      <c r="G518" s="365"/>
      <c r="H518" s="369" t="s">
        <v>35</v>
      </c>
      <c r="I518" s="610"/>
      <c r="J518" s="610"/>
      <c r="K518" s="167"/>
      <c r="L518" s="167"/>
      <c r="M518" s="167"/>
      <c r="N518" s="167"/>
      <c r="O518" s="167"/>
      <c r="P518" s="167"/>
      <c r="Q518" s="597"/>
      <c r="R518" s="597"/>
      <c r="S518" s="597"/>
      <c r="T518" s="597"/>
      <c r="U518" s="597"/>
      <c r="V518" s="597"/>
      <c r="W518" s="597"/>
      <c r="X518" s="597"/>
      <c r="Y518" s="597"/>
      <c r="Z518" s="597"/>
    </row>
    <row r="519" spans="1:26" ht="18.75" hidden="1">
      <c r="A519" s="607"/>
      <c r="B519" s="609"/>
      <c r="C519" s="609"/>
      <c r="D519" s="609"/>
      <c r="E519" s="609" t="s">
        <v>224</v>
      </c>
      <c r="F519" s="711"/>
      <c r="G519" s="365"/>
      <c r="H519" s="646" t="s">
        <v>35</v>
      </c>
      <c r="I519" s="610"/>
      <c r="J519" s="610"/>
      <c r="K519" s="167"/>
      <c r="L519" s="167"/>
      <c r="M519" s="167"/>
      <c r="N519" s="167"/>
      <c r="O519" s="167"/>
      <c r="P519" s="167"/>
      <c r="Q519" s="597"/>
      <c r="R519" s="597"/>
      <c r="S519" s="597"/>
      <c r="T519" s="597"/>
      <c r="U519" s="597"/>
      <c r="V519" s="597"/>
      <c r="W519" s="597"/>
      <c r="X519" s="597"/>
      <c r="Y519" s="597"/>
      <c r="Z519" s="597"/>
    </row>
    <row r="520" spans="1:26" ht="19.5" hidden="1">
      <c r="A520" s="650" t="s">
        <v>137</v>
      </c>
      <c r="B520" s="651"/>
      <c r="C520" s="651"/>
      <c r="D520" s="652"/>
      <c r="E520" s="652"/>
      <c r="F520" s="652"/>
      <c r="G520" s="653"/>
      <c r="H520" s="654"/>
      <c r="I520" s="655"/>
      <c r="J520" s="655"/>
      <c r="K520" s="656"/>
      <c r="L520" s="656"/>
      <c r="M520" s="656"/>
      <c r="N520" s="656"/>
      <c r="O520" s="656"/>
      <c r="P520" s="656"/>
    </row>
    <row r="521" spans="1:26" ht="19.5" hidden="1">
      <c r="A521" s="657">
        <v>5</v>
      </c>
      <c r="B521" s="658" t="s">
        <v>225</v>
      </c>
      <c r="C521" s="659"/>
      <c r="D521" s="660"/>
      <c r="E521" s="660"/>
      <c r="F521" s="660"/>
      <c r="G521" s="660"/>
      <c r="H521" s="661"/>
      <c r="I521" s="662"/>
      <c r="J521" s="662"/>
      <c r="K521" s="663"/>
      <c r="L521" s="663"/>
      <c r="M521" s="663"/>
      <c r="N521" s="663"/>
      <c r="O521" s="663"/>
      <c r="P521" s="663"/>
      <c r="Q521" s="571"/>
      <c r="R521" s="571"/>
      <c r="S521" s="571"/>
      <c r="T521" s="571"/>
      <c r="U521" s="571"/>
      <c r="V521" s="571"/>
      <c r="W521" s="571"/>
      <c r="X521" s="571"/>
      <c r="Y521" s="571"/>
      <c r="Z521" s="571"/>
    </row>
    <row r="522" spans="1:26" ht="19.5" hidden="1">
      <c r="A522" s="664"/>
      <c r="B522" s="665" t="s">
        <v>226</v>
      </c>
      <c r="C522" s="666"/>
      <c r="D522" s="666"/>
      <c r="E522" s="666"/>
      <c r="F522" s="666"/>
      <c r="G522" s="667"/>
      <c r="H522" s="668" t="s">
        <v>35</v>
      </c>
      <c r="I522" s="699">
        <f t="shared" ref="I522:J522" ca="1" si="225">I537</f>
        <v>0</v>
      </c>
      <c r="J522" s="699">
        <f t="shared" ca="1" si="225"/>
        <v>0</v>
      </c>
      <c r="K522" s="670">
        <f ca="1">IF(I522&gt;0,J522*100/I522,0)</f>
        <v>0</v>
      </c>
      <c r="L522" s="671"/>
      <c r="M522" s="671"/>
      <c r="N522" s="671"/>
      <c r="O522" s="671"/>
      <c r="P522" s="671"/>
      <c r="Q522" s="571"/>
      <c r="R522" s="571"/>
      <c r="S522" s="571"/>
      <c r="T522" s="571"/>
      <c r="U522" s="571"/>
      <c r="V522" s="571"/>
      <c r="W522" s="571"/>
      <c r="X522" s="571"/>
      <c r="Y522" s="571"/>
      <c r="Z522" s="571"/>
    </row>
    <row r="523" spans="1:26" ht="19.5" hidden="1">
      <c r="A523" s="590"/>
      <c r="B523" s="754"/>
      <c r="C523" s="754" t="s">
        <v>16</v>
      </c>
      <c r="D523" s="863" t="s">
        <v>17</v>
      </c>
      <c r="E523" s="857"/>
      <c r="F523" s="857"/>
      <c r="G523" s="189"/>
      <c r="H523" s="591" t="s">
        <v>12</v>
      </c>
      <c r="I523" s="269"/>
      <c r="J523" s="269"/>
      <c r="K523" s="496"/>
      <c r="L523" s="195">
        <f t="shared" ref="L523:N523" ca="1" si="226">L524+L525</f>
        <v>0</v>
      </c>
      <c r="M523" s="195">
        <f t="shared" si="226"/>
        <v>0</v>
      </c>
      <c r="N523" s="195">
        <f t="shared" si="226"/>
        <v>0</v>
      </c>
      <c r="O523" s="195">
        <f t="shared" ref="O523:O528" ca="1" si="227">IF(L523&gt;0,N523*100/L523,0)</f>
        <v>0</v>
      </c>
      <c r="P523" s="195">
        <f t="shared" ref="P523:P528" si="228">IF(M523&gt;0,N523*100/M523,0)</f>
        <v>0</v>
      </c>
      <c r="Q523" s="571"/>
      <c r="R523" s="571"/>
      <c r="S523" s="571"/>
      <c r="T523" s="571"/>
      <c r="U523" s="571"/>
      <c r="V523" s="571"/>
      <c r="W523" s="571"/>
      <c r="X523" s="571"/>
      <c r="Y523" s="571"/>
      <c r="Z523" s="571"/>
    </row>
    <row r="524" spans="1:26" ht="18.75" hidden="1">
      <c r="A524" s="592"/>
      <c r="B524" s="750"/>
      <c r="C524" s="750"/>
      <c r="D524" s="711"/>
      <c r="E524" s="750" t="s">
        <v>184</v>
      </c>
      <c r="F524" s="750"/>
      <c r="G524" s="596"/>
      <c r="H524" s="165" t="s">
        <v>12</v>
      </c>
      <c r="I524" s="610"/>
      <c r="J524" s="610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597"/>
      <c r="R524" s="597"/>
      <c r="S524" s="597"/>
      <c r="T524" s="597"/>
      <c r="U524" s="597"/>
      <c r="V524" s="597"/>
      <c r="W524" s="597"/>
      <c r="X524" s="597"/>
      <c r="Y524" s="597"/>
      <c r="Z524" s="597"/>
    </row>
    <row r="525" spans="1:26" ht="18.75" hidden="1">
      <c r="A525" s="592"/>
      <c r="B525" s="600"/>
      <c r="C525" s="750"/>
      <c r="D525" s="711"/>
      <c r="E525" s="750" t="s">
        <v>185</v>
      </c>
      <c r="F525" s="750"/>
      <c r="G525" s="596"/>
      <c r="H525" s="165" t="s">
        <v>12</v>
      </c>
      <c r="I525" s="610"/>
      <c r="J525" s="610"/>
      <c r="K525" s="93"/>
      <c r="L525" s="93">
        <f t="shared" ca="1" si="229"/>
        <v>0</v>
      </c>
      <c r="M525" s="93">
        <f t="shared" si="229"/>
        <v>0</v>
      </c>
      <c r="N525" s="93">
        <f t="shared" si="229"/>
        <v>0</v>
      </c>
      <c r="O525" s="93">
        <f t="shared" ca="1" si="227"/>
        <v>0</v>
      </c>
      <c r="P525" s="93">
        <f t="shared" si="228"/>
        <v>0</v>
      </c>
      <c r="Q525" s="597"/>
      <c r="R525" s="597"/>
      <c r="S525" s="597"/>
      <c r="T525" s="597"/>
      <c r="U525" s="597"/>
      <c r="V525" s="597"/>
      <c r="W525" s="597"/>
      <c r="X525" s="597"/>
      <c r="Y525" s="597"/>
      <c r="Z525" s="597"/>
    </row>
    <row r="526" spans="1:26" ht="18.75" hidden="1">
      <c r="A526" s="590"/>
      <c r="B526" s="568"/>
      <c r="C526" s="754"/>
      <c r="D526" s="599" t="s">
        <v>20</v>
      </c>
      <c r="E526" s="754"/>
      <c r="F526" s="754"/>
      <c r="G526" s="189"/>
      <c r="H526" s="161" t="s">
        <v>12</v>
      </c>
      <c r="I526" s="184"/>
      <c r="J526" s="184"/>
      <c r="K526" s="163"/>
      <c r="L526" s="496">
        <f t="shared" ref="L526:N526" ca="1" si="230">L527+L528</f>
        <v>0</v>
      </c>
      <c r="M526" s="496">
        <f t="shared" si="230"/>
        <v>0</v>
      </c>
      <c r="N526" s="496">
        <f t="shared" si="230"/>
        <v>0</v>
      </c>
      <c r="O526" s="496">
        <f t="shared" ca="1" si="227"/>
        <v>0</v>
      </c>
      <c r="P526" s="496">
        <f t="shared" si="228"/>
        <v>0</v>
      </c>
      <c r="Q526" s="571"/>
      <c r="R526" s="571"/>
      <c r="S526" s="571"/>
      <c r="T526" s="571"/>
      <c r="U526" s="571"/>
      <c r="V526" s="571"/>
      <c r="W526" s="571"/>
      <c r="X526" s="571"/>
      <c r="Y526" s="571"/>
      <c r="Z526" s="571"/>
    </row>
    <row r="527" spans="1:26" ht="18.75" hidden="1">
      <c r="A527" s="592"/>
      <c r="B527" s="600"/>
      <c r="C527" s="750"/>
      <c r="D527" s="711"/>
      <c r="E527" s="750" t="s">
        <v>184</v>
      </c>
      <c r="F527" s="750"/>
      <c r="G527" s="596"/>
      <c r="H527" s="165" t="s">
        <v>12</v>
      </c>
      <c r="I527" s="610"/>
      <c r="J527" s="610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597"/>
      <c r="R527" s="597"/>
      <c r="S527" s="597"/>
      <c r="T527" s="597"/>
      <c r="U527" s="597"/>
      <c r="V527" s="597"/>
      <c r="W527" s="597"/>
      <c r="X527" s="597"/>
      <c r="Y527" s="597"/>
      <c r="Z527" s="597"/>
    </row>
    <row r="528" spans="1:26" ht="18.75" hidden="1">
      <c r="A528" s="592"/>
      <c r="B528" s="600"/>
      <c r="C528" s="750"/>
      <c r="D528" s="711"/>
      <c r="E528" s="750" t="s">
        <v>185</v>
      </c>
      <c r="F528" s="750"/>
      <c r="G528" s="596"/>
      <c r="H528" s="165" t="s">
        <v>12</v>
      </c>
      <c r="I528" s="610"/>
      <c r="J528" s="610"/>
      <c r="K528" s="93"/>
      <c r="L528" s="93">
        <f ca="1">IFERROR(__xludf.DUMMYFUNCTION("IMPORTRANGE(""https://docs.google.com/spreadsheets/d/1QqKyyYR6Q21VydFLVH3TRQUabQu_ym0Zz7PgGX0-kHA/edit?usp=sharing"",""แผน!GQ58"")"),0)</f>
        <v>0</v>
      </c>
      <c r="M528" s="93">
        <v>0</v>
      </c>
      <c r="N528" s="93">
        <f>N529+N530+N531+N532</f>
        <v>0</v>
      </c>
      <c r="O528" s="93">
        <f t="shared" ca="1" si="227"/>
        <v>0</v>
      </c>
      <c r="P528" s="93">
        <f t="shared" si="228"/>
        <v>0</v>
      </c>
      <c r="Q528" s="597"/>
      <c r="R528" s="597"/>
      <c r="S528" s="597"/>
      <c r="T528" s="597"/>
      <c r="U528" s="597"/>
      <c r="V528" s="597"/>
      <c r="W528" s="597"/>
      <c r="X528" s="597"/>
      <c r="Y528" s="597"/>
      <c r="Z528" s="597"/>
    </row>
    <row r="529" spans="1:26" ht="18.75" hidden="1">
      <c r="A529" s="567"/>
      <c r="B529" s="568"/>
      <c r="C529" s="754"/>
      <c r="D529" s="754"/>
      <c r="E529" s="754"/>
      <c r="F529" s="754" t="s">
        <v>186</v>
      </c>
      <c r="G529" s="189"/>
      <c r="H529" s="161" t="s">
        <v>12</v>
      </c>
      <c r="I529" s="269"/>
      <c r="J529" s="269"/>
      <c r="K529" s="496"/>
      <c r="L529" s="496"/>
      <c r="M529" s="496"/>
      <c r="N529" s="817">
        <v>0</v>
      </c>
      <c r="O529" s="496"/>
      <c r="P529" s="496"/>
      <c r="Q529" s="571"/>
      <c r="R529" s="571"/>
      <c r="S529" s="571"/>
      <c r="T529" s="571"/>
      <c r="U529" s="571"/>
      <c r="V529" s="571"/>
      <c r="W529" s="571"/>
      <c r="X529" s="571"/>
      <c r="Y529" s="571"/>
      <c r="Z529" s="571"/>
    </row>
    <row r="530" spans="1:26" ht="18.75" hidden="1">
      <c r="A530" s="567"/>
      <c r="B530" s="568"/>
      <c r="C530" s="754"/>
      <c r="D530" s="754"/>
      <c r="E530" s="754"/>
      <c r="F530" s="754" t="s">
        <v>187</v>
      </c>
      <c r="G530" s="189"/>
      <c r="H530" s="161" t="s">
        <v>12</v>
      </c>
      <c r="I530" s="269"/>
      <c r="J530" s="269"/>
      <c r="K530" s="496"/>
      <c r="L530" s="496"/>
      <c r="M530" s="496"/>
      <c r="N530" s="817">
        <v>0</v>
      </c>
      <c r="O530" s="496"/>
      <c r="P530" s="496"/>
      <c r="Q530" s="571"/>
      <c r="R530" s="571"/>
      <c r="S530" s="571"/>
      <c r="T530" s="571"/>
      <c r="U530" s="571"/>
      <c r="V530" s="571"/>
      <c r="W530" s="571"/>
      <c r="X530" s="571"/>
      <c r="Y530" s="571"/>
      <c r="Z530" s="571"/>
    </row>
    <row r="531" spans="1:26" ht="18.75" hidden="1">
      <c r="A531" s="567"/>
      <c r="B531" s="568"/>
      <c r="C531" s="754"/>
      <c r="D531" s="754"/>
      <c r="E531" s="754"/>
      <c r="F531" s="754" t="s">
        <v>188</v>
      </c>
      <c r="G531" s="189"/>
      <c r="H531" s="161" t="s">
        <v>12</v>
      </c>
      <c r="I531" s="269"/>
      <c r="J531" s="269"/>
      <c r="K531" s="496"/>
      <c r="L531" s="496"/>
      <c r="M531" s="496"/>
      <c r="N531" s="817">
        <v>0</v>
      </c>
      <c r="O531" s="496"/>
      <c r="P531" s="496"/>
      <c r="Q531" s="571"/>
      <c r="R531" s="571"/>
      <c r="S531" s="571"/>
      <c r="T531" s="571"/>
      <c r="U531" s="571"/>
      <c r="V531" s="571"/>
      <c r="W531" s="571"/>
      <c r="X531" s="571"/>
      <c r="Y531" s="571"/>
      <c r="Z531" s="571"/>
    </row>
    <row r="532" spans="1:26" ht="18.75" hidden="1">
      <c r="A532" s="567"/>
      <c r="B532" s="568"/>
      <c r="C532" s="754"/>
      <c r="D532" s="754"/>
      <c r="E532" s="754"/>
      <c r="F532" s="754" t="s">
        <v>189</v>
      </c>
      <c r="G532" s="189"/>
      <c r="H532" s="161" t="s">
        <v>12</v>
      </c>
      <c r="I532" s="269"/>
      <c r="J532" s="269"/>
      <c r="K532" s="496"/>
      <c r="L532" s="496"/>
      <c r="M532" s="496"/>
      <c r="N532" s="817">
        <v>0</v>
      </c>
      <c r="O532" s="496"/>
      <c r="P532" s="496"/>
      <c r="Q532" s="571"/>
      <c r="R532" s="571"/>
      <c r="S532" s="571"/>
      <c r="T532" s="571"/>
      <c r="U532" s="571"/>
      <c r="V532" s="571"/>
      <c r="W532" s="571"/>
      <c r="X532" s="571"/>
      <c r="Y532" s="571"/>
      <c r="Z532" s="571"/>
    </row>
    <row r="533" spans="1:26" ht="18.75" hidden="1">
      <c r="A533" s="590"/>
      <c r="B533" s="568"/>
      <c r="C533" s="754"/>
      <c r="D533" s="599" t="s">
        <v>21</v>
      </c>
      <c r="E533" s="754"/>
      <c r="F533" s="754"/>
      <c r="G533" s="189"/>
      <c r="H533" s="168" t="s">
        <v>12</v>
      </c>
      <c r="I533" s="184"/>
      <c r="J533" s="184"/>
      <c r="K533" s="163"/>
      <c r="L533" s="496">
        <f t="shared" ref="L533:N533" ca="1" si="231">L534+L535</f>
        <v>0</v>
      </c>
      <c r="M533" s="496">
        <f t="shared" si="231"/>
        <v>0</v>
      </c>
      <c r="N533" s="496">
        <f t="shared" si="231"/>
        <v>0</v>
      </c>
      <c r="O533" s="496">
        <f t="shared" ref="O533:O535" ca="1" si="232">IF(L533&gt;0,N533*100/L533,0)</f>
        <v>0</v>
      </c>
      <c r="P533" s="496">
        <f t="shared" ref="P533:P535" si="233">IF(M533&gt;0,N533*100/M533,0)</f>
        <v>0</v>
      </c>
      <c r="Q533" s="571"/>
      <c r="R533" s="571"/>
      <c r="S533" s="571"/>
      <c r="T533" s="571"/>
      <c r="U533" s="571"/>
      <c r="V533" s="571"/>
      <c r="W533" s="571"/>
      <c r="X533" s="571"/>
      <c r="Y533" s="571"/>
      <c r="Z533" s="571"/>
    </row>
    <row r="534" spans="1:26" ht="18.75" hidden="1">
      <c r="A534" s="592"/>
      <c r="B534" s="600"/>
      <c r="C534" s="750"/>
      <c r="D534" s="750"/>
      <c r="E534" s="750" t="s">
        <v>18</v>
      </c>
      <c r="F534" s="750"/>
      <c r="G534" s="596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597"/>
      <c r="R534" s="597"/>
      <c r="S534" s="597"/>
      <c r="T534" s="597"/>
      <c r="U534" s="597"/>
      <c r="V534" s="597"/>
      <c r="W534" s="597"/>
      <c r="X534" s="597"/>
      <c r="Y534" s="597"/>
      <c r="Z534" s="597"/>
    </row>
    <row r="535" spans="1:26" ht="18.75" hidden="1">
      <c r="A535" s="592"/>
      <c r="B535" s="600"/>
      <c r="C535" s="750"/>
      <c r="D535" s="750"/>
      <c r="E535" s="750" t="s">
        <v>19</v>
      </c>
      <c r="F535" s="750"/>
      <c r="G535" s="596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IFERROR(__xludf.DUMMYFUNCTION("IMPORTRANGE(""https://docs.google.com/spreadsheets/d/1QqKyyYR6Q21VydFLVH3TRQUabQu_ym0Zz7PgGX0-kHA/edit?usp=sharing"",""แผน!GT58"")"),0)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597"/>
      <c r="R535" s="597"/>
      <c r="S535" s="597"/>
      <c r="T535" s="597"/>
      <c r="U535" s="597"/>
      <c r="V535" s="597"/>
      <c r="W535" s="597"/>
      <c r="X535" s="597"/>
      <c r="Y535" s="597"/>
      <c r="Z535" s="597"/>
    </row>
    <row r="536" spans="1:26" ht="19.5" hidden="1">
      <c r="A536" s="601"/>
      <c r="B536" s="611"/>
      <c r="C536" s="754" t="s">
        <v>16</v>
      </c>
      <c r="D536" s="839" t="s">
        <v>38</v>
      </c>
      <c r="E536" s="752"/>
      <c r="F536" s="752"/>
      <c r="G536" s="606"/>
      <c r="H536" s="753"/>
      <c r="I536" s="184"/>
      <c r="J536" s="184"/>
      <c r="K536" s="163"/>
      <c r="L536" s="163"/>
      <c r="M536" s="163"/>
      <c r="N536" s="163"/>
      <c r="O536" s="163"/>
      <c r="P536" s="163"/>
      <c r="Q536" s="571"/>
      <c r="R536" s="571"/>
      <c r="S536" s="571"/>
      <c r="T536" s="571"/>
      <c r="U536" s="571"/>
      <c r="V536" s="571"/>
      <c r="W536" s="571"/>
      <c r="X536" s="571"/>
      <c r="Y536" s="571"/>
      <c r="Z536" s="571"/>
    </row>
    <row r="537" spans="1:26" ht="19.5" hidden="1">
      <c r="A537" s="567"/>
      <c r="B537" s="568"/>
      <c r="C537" s="754"/>
      <c r="D537" s="754" t="s">
        <v>227</v>
      </c>
      <c r="E537" s="754"/>
      <c r="F537" s="754"/>
      <c r="G537" s="189"/>
      <c r="H537" s="616" t="s">
        <v>35</v>
      </c>
      <c r="I537" s="674">
        <f ca="1">IFERROR(__xludf.DUMMYFUNCTION("IMPORTRANGE(""https://docs.google.com/spreadsheets/d/1QqKyyYR6Q21VydFLVH3TRQUabQu_ym0Zz7PgGX0-kHA/edit?usp=sharing"",""แผน!GU58"")"),0)</f>
        <v>0</v>
      </c>
      <c r="J537" s="674">
        <f ca="1">IF(AND(J538=I538,J539=I539,J540=I540,J541=I541),I537,0)</f>
        <v>0</v>
      </c>
      <c r="K537" s="496">
        <f t="shared" ref="K537:K543" ca="1" si="234">IF(I537&gt;0,J537*100/I537,0)</f>
        <v>0</v>
      </c>
      <c r="L537" s="496"/>
      <c r="M537" s="496"/>
      <c r="N537" s="496"/>
      <c r="O537" s="496"/>
      <c r="P537" s="496"/>
      <c r="Q537" s="675"/>
      <c r="R537" s="675"/>
      <c r="S537" s="675"/>
      <c r="T537" s="675"/>
      <c r="U537" s="675"/>
      <c r="V537" s="675"/>
      <c r="W537" s="675"/>
      <c r="X537" s="675"/>
      <c r="Y537" s="675"/>
      <c r="Z537" s="675"/>
    </row>
    <row r="538" spans="1:26" ht="18.75" hidden="1">
      <c r="A538" s="567"/>
      <c r="B538" s="568"/>
      <c r="C538" s="754"/>
      <c r="D538" s="754"/>
      <c r="E538" s="754" t="s">
        <v>228</v>
      </c>
      <c r="F538" s="754"/>
      <c r="G538" s="189"/>
      <c r="H538" s="616" t="s">
        <v>35</v>
      </c>
      <c r="I538" s="269">
        <f ca="1">IFERROR(__xludf.DUMMYFUNCTION("IMPORTRANGE(""https://docs.google.com/spreadsheets/d/1QqKyyYR6Q21VydFLVH3TRQUabQu_ym0Zz7PgGX0-kHA/edit?usp=sharing"",""แผน!GV58"")"),0)</f>
        <v>0</v>
      </c>
      <c r="J538" s="214">
        <v>0</v>
      </c>
      <c r="K538" s="496">
        <f t="shared" ca="1" si="234"/>
        <v>0</v>
      </c>
      <c r="L538" s="496"/>
      <c r="M538" s="496"/>
      <c r="N538" s="496"/>
      <c r="O538" s="496"/>
      <c r="P538" s="496"/>
      <c r="Q538" s="675"/>
      <c r="R538" s="675"/>
      <c r="S538" s="675"/>
      <c r="T538" s="675"/>
      <c r="U538" s="675"/>
      <c r="V538" s="675"/>
      <c r="W538" s="675"/>
      <c r="X538" s="675"/>
      <c r="Y538" s="675"/>
      <c r="Z538" s="675"/>
    </row>
    <row r="539" spans="1:26" ht="18.75" hidden="1">
      <c r="A539" s="567"/>
      <c r="B539" s="568"/>
      <c r="C539" s="754"/>
      <c r="D539" s="754"/>
      <c r="E539" s="754" t="s">
        <v>229</v>
      </c>
      <c r="F539" s="754"/>
      <c r="G539" s="189"/>
      <c r="H539" s="616" t="s">
        <v>35</v>
      </c>
      <c r="I539" s="269">
        <f ca="1">IFERROR(__xludf.DUMMYFUNCTION("IMPORTRANGE(""https://docs.google.com/spreadsheets/d/1QqKyyYR6Q21VydFLVH3TRQUabQu_ym0Zz7PgGX0-kHA/edit?usp=sharing"",""แผน!GW58"")"),0)</f>
        <v>0</v>
      </c>
      <c r="J539" s="214">
        <v>0</v>
      </c>
      <c r="K539" s="496">
        <f t="shared" ca="1" si="234"/>
        <v>0</v>
      </c>
      <c r="L539" s="496"/>
      <c r="M539" s="496"/>
      <c r="N539" s="496"/>
      <c r="O539" s="496"/>
      <c r="P539" s="496"/>
      <c r="Q539" s="675"/>
      <c r="R539" s="675"/>
      <c r="S539" s="675"/>
      <c r="T539" s="675"/>
      <c r="U539" s="675"/>
      <c r="V539" s="675"/>
      <c r="W539" s="675"/>
      <c r="X539" s="675"/>
      <c r="Y539" s="675"/>
      <c r="Z539" s="675"/>
    </row>
    <row r="540" spans="1:26" ht="18.75" hidden="1">
      <c r="A540" s="567"/>
      <c r="B540" s="568"/>
      <c r="C540" s="754"/>
      <c r="D540" s="754"/>
      <c r="E540" s="754" t="s">
        <v>230</v>
      </c>
      <c r="F540" s="754"/>
      <c r="G540" s="189"/>
      <c r="H540" s="616" t="s">
        <v>35</v>
      </c>
      <c r="I540" s="269">
        <f ca="1">IFERROR(__xludf.DUMMYFUNCTION("IMPORTRANGE(""https://docs.google.com/spreadsheets/d/1QqKyyYR6Q21VydFLVH3TRQUabQu_ym0Zz7PgGX0-kHA/edit?usp=sharing"",""แผน!GX58"")"),0)</f>
        <v>0</v>
      </c>
      <c r="J540" s="214">
        <v>0</v>
      </c>
      <c r="K540" s="496">
        <f t="shared" ca="1" si="234"/>
        <v>0</v>
      </c>
      <c r="L540" s="496"/>
      <c r="M540" s="496"/>
      <c r="N540" s="496"/>
      <c r="O540" s="496"/>
      <c r="P540" s="496"/>
      <c r="Q540" s="675"/>
      <c r="R540" s="675"/>
      <c r="S540" s="675"/>
      <c r="T540" s="675"/>
      <c r="U540" s="675"/>
      <c r="V540" s="675"/>
      <c r="W540" s="675"/>
      <c r="X540" s="675"/>
      <c r="Y540" s="675"/>
      <c r="Z540" s="675"/>
    </row>
    <row r="541" spans="1:26" ht="18.75" hidden="1">
      <c r="A541" s="567"/>
      <c r="B541" s="568"/>
      <c r="C541" s="754"/>
      <c r="D541" s="754"/>
      <c r="E541" s="760" t="s">
        <v>231</v>
      </c>
      <c r="F541" s="754"/>
      <c r="G541" s="189"/>
      <c r="H541" s="616" t="s">
        <v>35</v>
      </c>
      <c r="I541" s="269">
        <f ca="1">IFERROR(__xludf.DUMMYFUNCTION("IMPORTRANGE(""https://docs.google.com/spreadsheets/d/1QqKyyYR6Q21VydFLVH3TRQUabQu_ym0Zz7PgGX0-kHA/edit?usp=sharing"",""แผน!GY58"")"),0)</f>
        <v>0</v>
      </c>
      <c r="J541" s="214">
        <v>0</v>
      </c>
      <c r="K541" s="496">
        <f t="shared" ca="1" si="234"/>
        <v>0</v>
      </c>
      <c r="L541" s="496"/>
      <c r="M541" s="496"/>
      <c r="N541" s="496"/>
      <c r="O541" s="496"/>
      <c r="P541" s="496"/>
      <c r="Q541" s="675"/>
      <c r="R541" s="675"/>
      <c r="S541" s="675"/>
      <c r="T541" s="675"/>
      <c r="U541" s="675"/>
      <c r="V541" s="675"/>
      <c r="W541" s="675"/>
      <c r="X541" s="675"/>
      <c r="Y541" s="675"/>
      <c r="Z541" s="675"/>
    </row>
    <row r="542" spans="1:26" ht="18.75" hidden="1">
      <c r="A542" s="567"/>
      <c r="B542" s="568"/>
      <c r="C542" s="754"/>
      <c r="D542" s="754" t="s">
        <v>59</v>
      </c>
      <c r="E542" s="754"/>
      <c r="F542" s="754"/>
      <c r="G542" s="189"/>
      <c r="H542" s="616" t="s">
        <v>35</v>
      </c>
      <c r="I542" s="269">
        <f ca="1">IFERROR(__xludf.DUMMYFUNCTION("IMPORTRANGE(""https://docs.google.com/spreadsheets/d/1QqKyyYR6Q21VydFLVH3TRQUabQu_ym0Zz7PgGX0-kHA/edit?usp=sharing"",""แผน!GZ58"")"),0)</f>
        <v>0</v>
      </c>
      <c r="J542" s="214">
        <v>0</v>
      </c>
      <c r="K542" s="496">
        <f t="shared" ca="1" si="234"/>
        <v>0</v>
      </c>
      <c r="L542" s="496"/>
      <c r="M542" s="496"/>
      <c r="N542" s="496"/>
      <c r="O542" s="496"/>
      <c r="P542" s="496"/>
      <c r="Q542" s="675"/>
      <c r="R542" s="675"/>
      <c r="S542" s="675"/>
      <c r="T542" s="675"/>
      <c r="U542" s="675"/>
      <c r="V542" s="675"/>
      <c r="W542" s="675"/>
      <c r="X542" s="675"/>
      <c r="Y542" s="675"/>
      <c r="Z542" s="675"/>
    </row>
    <row r="543" spans="1:26" ht="19.5">
      <c r="A543" s="657">
        <v>6</v>
      </c>
      <c r="B543" s="678" t="s">
        <v>232</v>
      </c>
      <c r="C543" s="660"/>
      <c r="D543" s="660"/>
      <c r="E543" s="660"/>
      <c r="F543" s="660"/>
      <c r="G543" s="661"/>
      <c r="H543" s="679" t="s">
        <v>46</v>
      </c>
      <c r="I543" s="680">
        <f t="shared" ref="I543:J543" ca="1" si="235">I559</f>
        <v>0</v>
      </c>
      <c r="J543" s="680">
        <f t="shared" si="235"/>
        <v>0</v>
      </c>
      <c r="K543" s="681">
        <f t="shared" ca="1" si="234"/>
        <v>0</v>
      </c>
      <c r="L543" s="663"/>
      <c r="M543" s="663"/>
      <c r="N543" s="663"/>
      <c r="O543" s="663"/>
      <c r="P543" s="663"/>
      <c r="Q543" s="571"/>
      <c r="R543" s="571"/>
      <c r="S543" s="571"/>
      <c r="T543" s="571"/>
      <c r="U543" s="571"/>
      <c r="V543" s="571"/>
      <c r="W543" s="571"/>
      <c r="X543" s="571"/>
      <c r="Y543" s="571"/>
      <c r="Z543" s="571"/>
    </row>
    <row r="544" spans="1:26" ht="19.5">
      <c r="A544" s="682"/>
      <c r="B544" s="683"/>
      <c r="C544" s="683" t="s">
        <v>16</v>
      </c>
      <c r="D544" s="867" t="s">
        <v>17</v>
      </c>
      <c r="E544" s="862"/>
      <c r="F544" s="862"/>
      <c r="G544" s="684"/>
      <c r="H544" s="274" t="s">
        <v>12</v>
      </c>
      <c r="I544" s="419"/>
      <c r="J544" s="419"/>
      <c r="K544" s="154"/>
      <c r="L544" s="155">
        <f t="shared" ref="L544:N544" ca="1" si="236">L545+L546</f>
        <v>265400</v>
      </c>
      <c r="M544" s="155">
        <f t="shared" si="236"/>
        <v>0</v>
      </c>
      <c r="N544" s="155">
        <f t="shared" si="236"/>
        <v>14138</v>
      </c>
      <c r="O544" s="155">
        <f t="shared" ref="O544:O549" ca="1" si="237">IF(L544&gt;0,N544*100/L544,0)</f>
        <v>5.3270535041446871</v>
      </c>
      <c r="P544" s="155">
        <f t="shared" ref="P544:P549" si="238">IF(M544&gt;0,N544*100/M544,0)</f>
        <v>0</v>
      </c>
      <c r="Q544" s="571"/>
      <c r="R544" s="571"/>
      <c r="S544" s="571"/>
      <c r="T544" s="571"/>
      <c r="U544" s="571"/>
      <c r="V544" s="571"/>
      <c r="W544" s="571"/>
      <c r="X544" s="571"/>
      <c r="Y544" s="571"/>
      <c r="Z544" s="571"/>
    </row>
    <row r="545" spans="1:26" ht="18.75" hidden="1">
      <c r="A545" s="592"/>
      <c r="B545" s="750"/>
      <c r="C545" s="750"/>
      <c r="D545" s="750"/>
      <c r="E545" s="750" t="s">
        <v>184</v>
      </c>
      <c r="F545" s="750"/>
      <c r="G545" s="596"/>
      <c r="H545" s="165" t="s">
        <v>12</v>
      </c>
      <c r="I545" s="610"/>
      <c r="J545" s="610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597"/>
      <c r="R545" s="597"/>
      <c r="S545" s="597"/>
      <c r="T545" s="597"/>
      <c r="U545" s="597"/>
      <c r="V545" s="597"/>
      <c r="W545" s="597"/>
      <c r="X545" s="597"/>
      <c r="Y545" s="597"/>
      <c r="Z545" s="597"/>
    </row>
    <row r="546" spans="1:26" ht="18.75" hidden="1">
      <c r="A546" s="592"/>
      <c r="B546" s="600"/>
      <c r="C546" s="750"/>
      <c r="D546" s="750"/>
      <c r="E546" s="750" t="s">
        <v>185</v>
      </c>
      <c r="F546" s="750"/>
      <c r="G546" s="596"/>
      <c r="H546" s="165" t="s">
        <v>12</v>
      </c>
      <c r="I546" s="610"/>
      <c r="J546" s="610"/>
      <c r="K546" s="93"/>
      <c r="L546" s="93">
        <f t="shared" ca="1" si="239"/>
        <v>265400</v>
      </c>
      <c r="M546" s="93">
        <f t="shared" si="240"/>
        <v>0</v>
      </c>
      <c r="N546" s="93">
        <f t="shared" si="240"/>
        <v>14138</v>
      </c>
      <c r="O546" s="93">
        <f t="shared" ca="1" si="237"/>
        <v>5.3270535041446871</v>
      </c>
      <c r="P546" s="93">
        <f t="shared" si="238"/>
        <v>0</v>
      </c>
      <c r="Q546" s="597"/>
      <c r="R546" s="597"/>
      <c r="S546" s="597"/>
      <c r="T546" s="597"/>
      <c r="U546" s="597"/>
      <c r="V546" s="597"/>
      <c r="W546" s="597"/>
      <c r="X546" s="597"/>
      <c r="Y546" s="597"/>
      <c r="Z546" s="597"/>
    </row>
    <row r="547" spans="1:26" ht="18.75">
      <c r="A547" s="590"/>
      <c r="B547" s="568"/>
      <c r="C547" s="754"/>
      <c r="D547" s="599" t="s">
        <v>20</v>
      </c>
      <c r="E547" s="754"/>
      <c r="F547" s="754"/>
      <c r="G547" s="189"/>
      <c r="H547" s="161" t="s">
        <v>12</v>
      </c>
      <c r="I547" s="184"/>
      <c r="J547" s="184"/>
      <c r="K547" s="163"/>
      <c r="L547" s="496">
        <f t="shared" ref="L547:N547" ca="1" si="241">L548+L549</f>
        <v>265400</v>
      </c>
      <c r="M547" s="496">
        <f t="shared" si="241"/>
        <v>0</v>
      </c>
      <c r="N547" s="496">
        <f t="shared" si="241"/>
        <v>14138</v>
      </c>
      <c r="O547" s="496">
        <f t="shared" ca="1" si="237"/>
        <v>5.3270535041446871</v>
      </c>
      <c r="P547" s="496">
        <f t="shared" si="238"/>
        <v>0</v>
      </c>
      <c r="Q547" s="571"/>
      <c r="R547" s="571"/>
      <c r="S547" s="571"/>
      <c r="T547" s="571"/>
      <c r="U547" s="571"/>
      <c r="V547" s="571"/>
      <c r="W547" s="571"/>
      <c r="X547" s="571"/>
      <c r="Y547" s="571"/>
      <c r="Z547" s="571"/>
    </row>
    <row r="548" spans="1:26" ht="18.75" hidden="1">
      <c r="A548" s="592"/>
      <c r="B548" s="600"/>
      <c r="C548" s="750"/>
      <c r="D548" s="711"/>
      <c r="E548" s="750" t="s">
        <v>184</v>
      </c>
      <c r="F548" s="750"/>
      <c r="G548" s="596"/>
      <c r="H548" s="165" t="s">
        <v>12</v>
      </c>
      <c r="I548" s="610"/>
      <c r="J548" s="610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597"/>
      <c r="R548" s="597"/>
      <c r="S548" s="597"/>
      <c r="T548" s="597"/>
      <c r="U548" s="597"/>
      <c r="V548" s="597"/>
      <c r="W548" s="597"/>
      <c r="X548" s="597"/>
      <c r="Y548" s="597"/>
      <c r="Z548" s="597"/>
    </row>
    <row r="549" spans="1:26" ht="18.75" hidden="1">
      <c r="A549" s="592"/>
      <c r="B549" s="600"/>
      <c r="C549" s="750"/>
      <c r="D549" s="711"/>
      <c r="E549" s="750" t="s">
        <v>185</v>
      </c>
      <c r="F549" s="750"/>
      <c r="G549" s="596"/>
      <c r="H549" s="165" t="s">
        <v>12</v>
      </c>
      <c r="I549" s="610"/>
      <c r="J549" s="610"/>
      <c r="K549" s="93"/>
      <c r="L549" s="93">
        <f ca="1">IFERROR(__xludf.DUMMYFUNCTION("IMPORTRANGE(""https://docs.google.com/spreadsheets/d/1QqKyyYR6Q21VydFLVH3TRQUabQu_ym0Zz7PgGX0-kHA/edit?usp=sharing"",""แผน!HB58"")"),265400)</f>
        <v>265400</v>
      </c>
      <c r="M549" s="93">
        <v>0</v>
      </c>
      <c r="N549" s="93">
        <f>N550+N551+N552+N553+N554</f>
        <v>14138</v>
      </c>
      <c r="O549" s="93">
        <f t="shared" ca="1" si="237"/>
        <v>5.3270535041446871</v>
      </c>
      <c r="P549" s="93">
        <f t="shared" si="238"/>
        <v>0</v>
      </c>
      <c r="Q549" s="597"/>
      <c r="R549" s="597"/>
      <c r="S549" s="597"/>
      <c r="T549" s="597"/>
      <c r="U549" s="597"/>
      <c r="V549" s="597"/>
      <c r="W549" s="597"/>
      <c r="X549" s="597"/>
      <c r="Y549" s="597"/>
      <c r="Z549" s="597"/>
    </row>
    <row r="550" spans="1:26" ht="18.75">
      <c r="A550" s="567"/>
      <c r="B550" s="568"/>
      <c r="C550" s="754"/>
      <c r="D550" s="754"/>
      <c r="E550" s="754"/>
      <c r="F550" s="754" t="s">
        <v>186</v>
      </c>
      <c r="G550" s="189"/>
      <c r="H550" s="161" t="s">
        <v>12</v>
      </c>
      <c r="I550" s="269"/>
      <c r="J550" s="269"/>
      <c r="K550" s="496"/>
      <c r="L550" s="496"/>
      <c r="M550" s="496"/>
      <c r="N550" s="817">
        <v>0</v>
      </c>
      <c r="O550" s="496"/>
      <c r="P550" s="496"/>
      <c r="Q550" s="571"/>
      <c r="R550" s="571"/>
      <c r="S550" s="571"/>
      <c r="T550" s="571"/>
      <c r="U550" s="571"/>
      <c r="V550" s="571"/>
      <c r="W550" s="571"/>
      <c r="X550" s="571"/>
      <c r="Y550" s="571"/>
      <c r="Z550" s="571"/>
    </row>
    <row r="551" spans="1:26" ht="18.75">
      <c r="A551" s="567"/>
      <c r="B551" s="568"/>
      <c r="C551" s="568"/>
      <c r="D551" s="568"/>
      <c r="E551" s="754"/>
      <c r="F551" s="754" t="s">
        <v>187</v>
      </c>
      <c r="G551" s="189"/>
      <c r="H551" s="161" t="s">
        <v>12</v>
      </c>
      <c r="I551" s="269"/>
      <c r="J551" s="269"/>
      <c r="K551" s="496"/>
      <c r="L551" s="496"/>
      <c r="M551" s="496"/>
      <c r="N551" s="817">
        <v>0</v>
      </c>
      <c r="O551" s="496"/>
      <c r="P551" s="496"/>
      <c r="Q551" s="571"/>
      <c r="R551" s="571"/>
      <c r="S551" s="571"/>
      <c r="T551" s="571"/>
      <c r="U551" s="571"/>
      <c r="V551" s="571"/>
      <c r="W551" s="571"/>
      <c r="X551" s="571"/>
      <c r="Y551" s="571"/>
      <c r="Z551" s="571"/>
    </row>
    <row r="552" spans="1:26" ht="18.75">
      <c r="A552" s="567"/>
      <c r="B552" s="568"/>
      <c r="C552" s="754"/>
      <c r="D552" s="754"/>
      <c r="E552" s="754"/>
      <c r="F552" s="754" t="s">
        <v>188</v>
      </c>
      <c r="G552" s="189"/>
      <c r="H552" s="161" t="s">
        <v>12</v>
      </c>
      <c r="I552" s="269"/>
      <c r="J552" s="269"/>
      <c r="K552" s="496"/>
      <c r="L552" s="496"/>
      <c r="M552" s="496"/>
      <c r="N552" s="817">
        <v>13000</v>
      </c>
      <c r="O552" s="496"/>
      <c r="P552" s="496"/>
      <c r="Q552" s="571"/>
      <c r="R552" s="571"/>
      <c r="S552" s="571"/>
      <c r="T552" s="571"/>
      <c r="U552" s="571"/>
      <c r="V552" s="571"/>
      <c r="W552" s="571"/>
      <c r="X552" s="571"/>
      <c r="Y552" s="571"/>
      <c r="Z552" s="571"/>
    </row>
    <row r="553" spans="1:26" ht="18.75">
      <c r="A553" s="567"/>
      <c r="B553" s="568"/>
      <c r="C553" s="568"/>
      <c r="D553" s="568"/>
      <c r="E553" s="754"/>
      <c r="F553" s="754" t="s">
        <v>189</v>
      </c>
      <c r="G553" s="189"/>
      <c r="H553" s="161" t="s">
        <v>12</v>
      </c>
      <c r="I553" s="269"/>
      <c r="J553" s="269"/>
      <c r="K553" s="496"/>
      <c r="L553" s="496"/>
      <c r="M553" s="496"/>
      <c r="N553" s="817">
        <f>158+980</f>
        <v>1138</v>
      </c>
      <c r="O553" s="496"/>
      <c r="P553" s="496"/>
      <c r="Q553" s="571"/>
      <c r="R553" s="571"/>
      <c r="S553" s="571"/>
      <c r="T553" s="571"/>
      <c r="U553" s="571"/>
      <c r="V553" s="571"/>
      <c r="W553" s="571"/>
      <c r="X553" s="571"/>
      <c r="Y553" s="571"/>
      <c r="Z553" s="571"/>
    </row>
    <row r="554" spans="1:26" ht="18.75">
      <c r="A554" s="567"/>
      <c r="B554" s="568"/>
      <c r="C554" s="568"/>
      <c r="D554" s="568"/>
      <c r="E554" s="754"/>
      <c r="F554" s="754" t="s">
        <v>233</v>
      </c>
      <c r="G554" s="189"/>
      <c r="H554" s="161" t="s">
        <v>12</v>
      </c>
      <c r="I554" s="269"/>
      <c r="J554" s="269"/>
      <c r="K554" s="496"/>
      <c r="L554" s="496"/>
      <c r="M554" s="496"/>
      <c r="N554" s="817">
        <v>0</v>
      </c>
      <c r="O554" s="496"/>
      <c r="P554" s="496"/>
      <c r="Q554" s="571"/>
      <c r="R554" s="571"/>
      <c r="S554" s="571"/>
      <c r="T554" s="571"/>
      <c r="U554" s="571"/>
      <c r="V554" s="571"/>
      <c r="W554" s="571"/>
      <c r="X554" s="571"/>
      <c r="Y554" s="571"/>
      <c r="Z554" s="571"/>
    </row>
    <row r="555" spans="1:26" ht="18.75">
      <c r="A555" s="590"/>
      <c r="B555" s="568"/>
      <c r="C555" s="568"/>
      <c r="D555" s="599" t="s">
        <v>21</v>
      </c>
      <c r="E555" s="754"/>
      <c r="F555" s="754"/>
      <c r="G555" s="189"/>
      <c r="H555" s="168" t="s">
        <v>12</v>
      </c>
      <c r="I555" s="184"/>
      <c r="J555" s="184"/>
      <c r="K555" s="163"/>
      <c r="L555" s="496">
        <f t="shared" ref="L555:N555" ca="1" si="242">L556+L557</f>
        <v>0</v>
      </c>
      <c r="M555" s="496">
        <f t="shared" si="242"/>
        <v>0</v>
      </c>
      <c r="N555" s="496">
        <f t="shared" si="242"/>
        <v>0</v>
      </c>
      <c r="O555" s="496">
        <f t="shared" ref="O555:O557" ca="1" si="243">IF(L555&gt;0,N555*100/L555,0)</f>
        <v>0</v>
      </c>
      <c r="P555" s="496">
        <f t="shared" ref="P555:P557" si="244">IF(M555&gt;0,N555*100/M555,0)</f>
        <v>0</v>
      </c>
      <c r="Q555" s="571"/>
      <c r="R555" s="571"/>
      <c r="S555" s="571"/>
      <c r="T555" s="571"/>
      <c r="U555" s="571"/>
      <c r="V555" s="571"/>
      <c r="W555" s="571"/>
      <c r="X555" s="571"/>
      <c r="Y555" s="571"/>
      <c r="Z555" s="571"/>
    </row>
    <row r="556" spans="1:26" ht="18.75" hidden="1">
      <c r="A556" s="592"/>
      <c r="B556" s="600"/>
      <c r="C556" s="600"/>
      <c r="D556" s="750"/>
      <c r="E556" s="750" t="s">
        <v>18</v>
      </c>
      <c r="F556" s="750"/>
      <c r="G556" s="596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597"/>
      <c r="R556" s="597"/>
      <c r="S556" s="597"/>
      <c r="T556" s="597"/>
      <c r="U556" s="597"/>
      <c r="V556" s="597"/>
      <c r="W556" s="597"/>
      <c r="X556" s="597"/>
      <c r="Y556" s="597"/>
      <c r="Z556" s="597"/>
    </row>
    <row r="557" spans="1:26" ht="18.75" hidden="1">
      <c r="A557" s="592"/>
      <c r="B557" s="600"/>
      <c r="C557" s="600"/>
      <c r="D557" s="750"/>
      <c r="E557" s="750" t="s">
        <v>19</v>
      </c>
      <c r="F557" s="750"/>
      <c r="G557" s="596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IFERROR(__xludf.DUMMYFUNCTION("IMPORTRANGE(""https://docs.google.com/spreadsheets/d/1QqKyyYR6Q21VydFLVH3TRQUabQu_ym0Zz7PgGX0-kHA/edit?usp=sharing"",""แผน!HF58"")"),0)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597"/>
      <c r="R557" s="597"/>
      <c r="S557" s="597"/>
      <c r="T557" s="597"/>
      <c r="U557" s="597"/>
      <c r="V557" s="597"/>
      <c r="W557" s="597"/>
      <c r="X557" s="597"/>
      <c r="Y557" s="597"/>
      <c r="Z557" s="597"/>
    </row>
    <row r="558" spans="1:26" ht="19.5">
      <c r="A558" s="601"/>
      <c r="B558" s="611"/>
      <c r="C558" s="568" t="s">
        <v>16</v>
      </c>
      <c r="D558" s="839" t="s">
        <v>38</v>
      </c>
      <c r="E558" s="752"/>
      <c r="F558" s="752"/>
      <c r="G558" s="606"/>
      <c r="H558" s="753"/>
      <c r="I558" s="184"/>
      <c r="J558" s="184"/>
      <c r="K558" s="163"/>
      <c r="L558" s="163"/>
      <c r="M558" s="163"/>
      <c r="N558" s="163"/>
      <c r="O558" s="163"/>
      <c r="P558" s="163"/>
      <c r="Q558" s="571"/>
      <c r="R558" s="571"/>
      <c r="S558" s="571"/>
      <c r="T558" s="571"/>
      <c r="U558" s="571"/>
      <c r="V558" s="571"/>
      <c r="W558" s="571"/>
      <c r="X558" s="571"/>
      <c r="Y558" s="571"/>
      <c r="Z558" s="571"/>
    </row>
    <row r="559" spans="1:26" ht="19.5" hidden="1">
      <c r="A559" s="685"/>
      <c r="B559" s="686" t="s">
        <v>234</v>
      </c>
      <c r="C559" s="687"/>
      <c r="D559" s="687"/>
      <c r="E559" s="666"/>
      <c r="F559" s="666"/>
      <c r="G559" s="667"/>
      <c r="H559" s="688" t="s">
        <v>46</v>
      </c>
      <c r="I559" s="699">
        <f t="shared" ref="I559:J559" ca="1" si="245">I576</f>
        <v>0</v>
      </c>
      <c r="J559" s="699">
        <f t="shared" si="245"/>
        <v>0</v>
      </c>
      <c r="K559" s="670">
        <f t="shared" ref="K559:K561" ca="1" si="246">IF(I559&gt;0,J559*100/I559,0)</f>
        <v>0</v>
      </c>
      <c r="L559" s="671"/>
      <c r="M559" s="671"/>
      <c r="N559" s="671"/>
      <c r="O559" s="671"/>
      <c r="P559" s="671"/>
      <c r="Q559" s="571"/>
      <c r="R559" s="571"/>
      <c r="S559" s="571"/>
      <c r="T559" s="571"/>
      <c r="U559" s="571"/>
      <c r="V559" s="571"/>
      <c r="W559" s="571"/>
      <c r="X559" s="571"/>
      <c r="Y559" s="571"/>
      <c r="Z559" s="571"/>
    </row>
    <row r="560" spans="1:26" ht="19.5" hidden="1">
      <c r="A560" s="601"/>
      <c r="B560" s="611"/>
      <c r="C560" s="618" t="s">
        <v>235</v>
      </c>
      <c r="D560" s="611"/>
      <c r="E560" s="619"/>
      <c r="F560" s="619"/>
      <c r="G560" s="753"/>
      <c r="H560" s="758" t="s">
        <v>46</v>
      </c>
      <c r="I560" s="193">
        <f ca="1">IFERROR(__xludf.DUMMYFUNCTION("IMPORTRANGE(""https://docs.google.com/spreadsheets/d/1QqKyyYR6Q21VydFLVH3TRQUabQu_ym0Zz7PgGX0-kHA/edit?usp=sharing"",""แผน!HH58"")"),0)</f>
        <v>0</v>
      </c>
      <c r="J560" s="193">
        <f t="shared" ref="J560:J561" si="247">J562+J564+J566</f>
        <v>0</v>
      </c>
      <c r="K560" s="410">
        <f t="shared" ca="1" si="246"/>
        <v>0</v>
      </c>
      <c r="L560" s="163"/>
      <c r="M560" s="163"/>
      <c r="N560" s="163"/>
      <c r="O560" s="163"/>
      <c r="P560" s="163"/>
      <c r="Q560" s="571"/>
      <c r="R560" s="571"/>
      <c r="S560" s="571"/>
      <c r="T560" s="571"/>
      <c r="U560" s="571"/>
      <c r="V560" s="571"/>
      <c r="W560" s="571"/>
      <c r="X560" s="571"/>
      <c r="Y560" s="571"/>
      <c r="Z560" s="571"/>
    </row>
    <row r="561" spans="1:26" ht="19.5" hidden="1">
      <c r="A561" s="601"/>
      <c r="B561" s="611"/>
      <c r="C561" s="611"/>
      <c r="D561" s="619"/>
      <c r="E561" s="619"/>
      <c r="F561" s="619"/>
      <c r="G561" s="753"/>
      <c r="H561" s="758" t="s">
        <v>34</v>
      </c>
      <c r="I561" s="193">
        <f ca="1">IFERROR(__xludf.DUMMYFUNCTION("IMPORTRANGE(""https://docs.google.com/spreadsheets/d/1QqKyyYR6Q21VydFLVH3TRQUabQu_ym0Zz7PgGX0-kHA/edit?usp=sharing"",""แผน!HG58"")"),0)</f>
        <v>0</v>
      </c>
      <c r="J561" s="193">
        <f t="shared" si="247"/>
        <v>0</v>
      </c>
      <c r="K561" s="410">
        <f t="shared" ca="1" si="246"/>
        <v>0</v>
      </c>
      <c r="L561" s="163"/>
      <c r="M561" s="163"/>
      <c r="N561" s="163"/>
      <c r="O561" s="163"/>
      <c r="P561" s="163"/>
      <c r="Q561" s="571"/>
      <c r="R561" s="571"/>
      <c r="S561" s="571"/>
      <c r="T561" s="571"/>
      <c r="U561" s="571"/>
      <c r="V561" s="571"/>
      <c r="W561" s="571"/>
      <c r="X561" s="571"/>
      <c r="Y561" s="571"/>
      <c r="Z561" s="571"/>
    </row>
    <row r="562" spans="1:26" ht="18.75" hidden="1">
      <c r="A562" s="601"/>
      <c r="B562" s="611"/>
      <c r="C562" s="611"/>
      <c r="D562" s="619" t="s">
        <v>236</v>
      </c>
      <c r="E562" s="619"/>
      <c r="F562" s="619"/>
      <c r="G562" s="753"/>
      <c r="H562" s="755" t="s">
        <v>46</v>
      </c>
      <c r="I562" s="184"/>
      <c r="J562" s="214">
        <v>0</v>
      </c>
      <c r="K562" s="163"/>
      <c r="L562" s="163"/>
      <c r="M562" s="163"/>
      <c r="N562" s="163"/>
      <c r="O562" s="163"/>
      <c r="P562" s="163"/>
      <c r="Q562" s="571"/>
      <c r="R562" s="571"/>
      <c r="S562" s="571"/>
      <c r="T562" s="571"/>
      <c r="U562" s="571"/>
      <c r="V562" s="571"/>
      <c r="W562" s="571"/>
      <c r="X562" s="571"/>
      <c r="Y562" s="571"/>
      <c r="Z562" s="571"/>
    </row>
    <row r="563" spans="1:26" ht="18.75" hidden="1">
      <c r="A563" s="601"/>
      <c r="B563" s="611"/>
      <c r="C563" s="611"/>
      <c r="D563" s="611"/>
      <c r="E563" s="619"/>
      <c r="F563" s="619"/>
      <c r="G563" s="753"/>
      <c r="H563" s="755" t="s">
        <v>34</v>
      </c>
      <c r="I563" s="184"/>
      <c r="J563" s="214">
        <v>0</v>
      </c>
      <c r="K563" s="163"/>
      <c r="L563" s="163"/>
      <c r="M563" s="163"/>
      <c r="N563" s="163"/>
      <c r="O563" s="163"/>
      <c r="P563" s="163"/>
      <c r="Q563" s="571"/>
      <c r="R563" s="571"/>
      <c r="S563" s="571"/>
      <c r="T563" s="571"/>
      <c r="U563" s="571"/>
      <c r="V563" s="571"/>
      <c r="W563" s="571"/>
      <c r="X563" s="571"/>
      <c r="Y563" s="571"/>
      <c r="Z563" s="571"/>
    </row>
    <row r="564" spans="1:26" ht="18.75" hidden="1">
      <c r="A564" s="601"/>
      <c r="B564" s="611"/>
      <c r="C564" s="611"/>
      <c r="D564" s="619" t="s">
        <v>237</v>
      </c>
      <c r="E564" s="619"/>
      <c r="F564" s="619"/>
      <c r="G564" s="753"/>
      <c r="H564" s="755" t="s">
        <v>46</v>
      </c>
      <c r="I564" s="184"/>
      <c r="J564" s="214">
        <v>0</v>
      </c>
      <c r="K564" s="163"/>
      <c r="L564" s="163"/>
      <c r="M564" s="163"/>
      <c r="N564" s="163"/>
      <c r="O564" s="163"/>
      <c r="P564" s="163"/>
      <c r="Q564" s="571"/>
      <c r="R564" s="571"/>
      <c r="S564" s="571"/>
      <c r="T564" s="571"/>
      <c r="U564" s="571"/>
      <c r="V564" s="571"/>
      <c r="W564" s="571"/>
      <c r="X564" s="571"/>
      <c r="Y564" s="571"/>
      <c r="Z564" s="571"/>
    </row>
    <row r="565" spans="1:26" ht="18.75" hidden="1">
      <c r="A565" s="601"/>
      <c r="B565" s="611"/>
      <c r="C565" s="611"/>
      <c r="D565" s="619"/>
      <c r="E565" s="619"/>
      <c r="F565" s="619"/>
      <c r="G565" s="753"/>
      <c r="H565" s="755" t="s">
        <v>34</v>
      </c>
      <c r="I565" s="184"/>
      <c r="J565" s="214">
        <v>0</v>
      </c>
      <c r="K565" s="163"/>
      <c r="L565" s="163"/>
      <c r="M565" s="163"/>
      <c r="N565" s="163"/>
      <c r="O565" s="163"/>
      <c r="P565" s="163"/>
      <c r="Q565" s="571"/>
      <c r="R565" s="571"/>
      <c r="S565" s="571"/>
      <c r="T565" s="571"/>
      <c r="U565" s="571"/>
      <c r="V565" s="571"/>
      <c r="W565" s="571"/>
      <c r="X565" s="571"/>
      <c r="Y565" s="571"/>
      <c r="Z565" s="571"/>
    </row>
    <row r="566" spans="1:26" ht="18.75" hidden="1">
      <c r="A566" s="601"/>
      <c r="B566" s="611"/>
      <c r="C566" s="611"/>
      <c r="D566" s="619" t="s">
        <v>238</v>
      </c>
      <c r="E566" s="619"/>
      <c r="F566" s="619"/>
      <c r="G566" s="753"/>
      <c r="H566" s="755" t="s">
        <v>46</v>
      </c>
      <c r="I566" s="184"/>
      <c r="J566" s="214">
        <v>0</v>
      </c>
      <c r="K566" s="163"/>
      <c r="L566" s="163"/>
      <c r="M566" s="163"/>
      <c r="N566" s="163"/>
      <c r="O566" s="163"/>
      <c r="P566" s="163"/>
      <c r="Q566" s="571"/>
      <c r="R566" s="571"/>
      <c r="S566" s="571"/>
      <c r="T566" s="571"/>
      <c r="U566" s="571"/>
      <c r="V566" s="571"/>
      <c r="W566" s="571"/>
      <c r="X566" s="571"/>
      <c r="Y566" s="571"/>
      <c r="Z566" s="571"/>
    </row>
    <row r="567" spans="1:26" ht="18.75" hidden="1">
      <c r="A567" s="601"/>
      <c r="B567" s="611"/>
      <c r="C567" s="611"/>
      <c r="D567" s="619"/>
      <c r="E567" s="619"/>
      <c r="F567" s="619"/>
      <c r="G567" s="753"/>
      <c r="H567" s="755" t="s">
        <v>34</v>
      </c>
      <c r="I567" s="184"/>
      <c r="J567" s="214">
        <v>0</v>
      </c>
      <c r="K567" s="163"/>
      <c r="L567" s="163"/>
      <c r="M567" s="163"/>
      <c r="N567" s="163"/>
      <c r="O567" s="163"/>
      <c r="P567" s="163"/>
      <c r="Q567" s="571"/>
      <c r="R567" s="571"/>
      <c r="S567" s="571"/>
      <c r="T567" s="571"/>
      <c r="U567" s="571"/>
      <c r="V567" s="571"/>
      <c r="W567" s="571"/>
      <c r="X567" s="571"/>
      <c r="Y567" s="571"/>
      <c r="Z567" s="571"/>
    </row>
    <row r="568" spans="1:26" ht="19.5" hidden="1">
      <c r="A568" s="601"/>
      <c r="B568" s="611"/>
      <c r="C568" s="618" t="s">
        <v>239</v>
      </c>
      <c r="D568" s="619"/>
      <c r="E568" s="619"/>
      <c r="F568" s="619"/>
      <c r="G568" s="753"/>
      <c r="H568" s="758" t="s">
        <v>46</v>
      </c>
      <c r="I568" s="193">
        <f ca="1">IFERROR(__xludf.DUMMYFUNCTION("IMPORTRANGE(""https://docs.google.com/spreadsheets/d/1QqKyyYR6Q21VydFLVH3TRQUabQu_ym0Zz7PgGX0-kHA/edit?usp=sharing"",""แผน!HH58"")"),0)</f>
        <v>0</v>
      </c>
      <c r="J568" s="674">
        <f t="shared" ref="J568:J569" si="248">J570+J572+J574</f>
        <v>0</v>
      </c>
      <c r="K568" s="410">
        <f t="shared" ref="K568:K569" ca="1" si="249">IF(I568&gt;0,J568*100/I568,0)</f>
        <v>0</v>
      </c>
      <c r="L568" s="163"/>
      <c r="M568" s="163"/>
      <c r="N568" s="163"/>
      <c r="O568" s="163"/>
      <c r="P568" s="163"/>
      <c r="Q568" s="571"/>
      <c r="R568" s="571"/>
      <c r="S568" s="571"/>
      <c r="T568" s="571"/>
      <c r="U568" s="571"/>
      <c r="V568" s="571"/>
      <c r="W568" s="571"/>
      <c r="X568" s="571"/>
      <c r="Y568" s="571"/>
      <c r="Z568" s="571"/>
    </row>
    <row r="569" spans="1:26" ht="19.5" hidden="1">
      <c r="A569" s="601"/>
      <c r="B569" s="611"/>
      <c r="C569" s="611"/>
      <c r="D569" s="611"/>
      <c r="E569" s="619"/>
      <c r="F569" s="619"/>
      <c r="G569" s="753"/>
      <c r="H569" s="758" t="s">
        <v>34</v>
      </c>
      <c r="I569" s="193">
        <f ca="1">IFERROR(__xludf.DUMMYFUNCTION("IMPORTRANGE(""https://docs.google.com/spreadsheets/d/1QqKyyYR6Q21VydFLVH3TRQUabQu_ym0Zz7PgGX0-kHA/edit?usp=sharing"",""แผน!HG58"")"),0)</f>
        <v>0</v>
      </c>
      <c r="J569" s="674">
        <f t="shared" si="248"/>
        <v>0</v>
      </c>
      <c r="K569" s="410">
        <f t="shared" ca="1" si="249"/>
        <v>0</v>
      </c>
      <c r="L569" s="163"/>
      <c r="M569" s="163"/>
      <c r="N569" s="163"/>
      <c r="O569" s="163"/>
      <c r="P569" s="163"/>
      <c r="Q569" s="571"/>
      <c r="R569" s="571"/>
      <c r="S569" s="571"/>
      <c r="T569" s="571"/>
      <c r="U569" s="571"/>
      <c r="V569" s="571"/>
      <c r="W569" s="571"/>
      <c r="X569" s="571"/>
      <c r="Y569" s="571"/>
      <c r="Z569" s="571"/>
    </row>
    <row r="570" spans="1:26" ht="18.75" hidden="1">
      <c r="A570" s="601"/>
      <c r="B570" s="611"/>
      <c r="C570" s="611"/>
      <c r="D570" s="619" t="s">
        <v>240</v>
      </c>
      <c r="E570" s="611"/>
      <c r="F570" s="619"/>
      <c r="G570" s="753"/>
      <c r="H570" s="755" t="s">
        <v>46</v>
      </c>
      <c r="I570" s="184"/>
      <c r="J570" s="214">
        <v>0</v>
      </c>
      <c r="K570" s="163"/>
      <c r="L570" s="163"/>
      <c r="M570" s="163"/>
      <c r="N570" s="163"/>
      <c r="O570" s="163"/>
      <c r="P570" s="163"/>
      <c r="Q570" s="571"/>
      <c r="R570" s="571"/>
      <c r="S570" s="571"/>
      <c r="T570" s="571"/>
      <c r="U570" s="571"/>
      <c r="V570" s="571"/>
      <c r="W570" s="571"/>
      <c r="X570" s="571"/>
      <c r="Y570" s="571"/>
      <c r="Z570" s="571"/>
    </row>
    <row r="571" spans="1:26" ht="18.75" hidden="1">
      <c r="A571" s="601"/>
      <c r="B571" s="611"/>
      <c r="C571" s="611"/>
      <c r="D571" s="611"/>
      <c r="E571" s="619"/>
      <c r="F571" s="619"/>
      <c r="G571" s="753"/>
      <c r="H571" s="755" t="s">
        <v>34</v>
      </c>
      <c r="I571" s="184"/>
      <c r="J571" s="214">
        <v>0</v>
      </c>
      <c r="K571" s="163"/>
      <c r="L571" s="163"/>
      <c r="M571" s="163"/>
      <c r="N571" s="163"/>
      <c r="O571" s="163"/>
      <c r="P571" s="163"/>
      <c r="Q571" s="571"/>
      <c r="R571" s="571"/>
      <c r="S571" s="571"/>
      <c r="T571" s="571"/>
      <c r="U571" s="571"/>
      <c r="V571" s="571"/>
      <c r="W571" s="571"/>
      <c r="X571" s="571"/>
      <c r="Y571" s="571"/>
      <c r="Z571" s="571"/>
    </row>
    <row r="572" spans="1:26" ht="18.75" hidden="1">
      <c r="A572" s="601"/>
      <c r="B572" s="611"/>
      <c r="C572" s="611"/>
      <c r="D572" s="619" t="s">
        <v>241</v>
      </c>
      <c r="E572" s="619"/>
      <c r="F572" s="619"/>
      <c r="G572" s="753"/>
      <c r="H572" s="755" t="s">
        <v>46</v>
      </c>
      <c r="I572" s="184"/>
      <c r="J572" s="214">
        <v>0</v>
      </c>
      <c r="K572" s="163"/>
      <c r="L572" s="163"/>
      <c r="M572" s="163"/>
      <c r="N572" s="163"/>
      <c r="O572" s="163"/>
      <c r="P572" s="163"/>
      <c r="Q572" s="571"/>
      <c r="R572" s="571"/>
      <c r="S572" s="571"/>
      <c r="T572" s="571"/>
      <c r="U572" s="571"/>
      <c r="V572" s="571"/>
      <c r="W572" s="571"/>
      <c r="X572" s="571"/>
      <c r="Y572" s="571"/>
      <c r="Z572" s="571"/>
    </row>
    <row r="573" spans="1:26" ht="18.75" hidden="1">
      <c r="A573" s="601"/>
      <c r="B573" s="611"/>
      <c r="C573" s="611"/>
      <c r="D573" s="619"/>
      <c r="E573" s="619"/>
      <c r="F573" s="619"/>
      <c r="G573" s="753"/>
      <c r="H573" s="755" t="s">
        <v>34</v>
      </c>
      <c r="I573" s="184"/>
      <c r="J573" s="214">
        <v>0</v>
      </c>
      <c r="K573" s="163"/>
      <c r="L573" s="163"/>
      <c r="M573" s="163"/>
      <c r="N573" s="163"/>
      <c r="O573" s="163"/>
      <c r="P573" s="163"/>
      <c r="Q573" s="571"/>
      <c r="R573" s="571"/>
      <c r="S573" s="571"/>
      <c r="T573" s="571"/>
      <c r="U573" s="571"/>
      <c r="V573" s="571"/>
      <c r="W573" s="571"/>
      <c r="X573" s="571"/>
      <c r="Y573" s="571"/>
      <c r="Z573" s="571"/>
    </row>
    <row r="574" spans="1:26" ht="18.75" hidden="1">
      <c r="A574" s="601"/>
      <c r="B574" s="611"/>
      <c r="C574" s="611"/>
      <c r="D574" s="619" t="s">
        <v>242</v>
      </c>
      <c r="E574" s="619"/>
      <c r="F574" s="619"/>
      <c r="G574" s="753"/>
      <c r="H574" s="755" t="s">
        <v>46</v>
      </c>
      <c r="I574" s="184"/>
      <c r="J574" s="214">
        <v>0</v>
      </c>
      <c r="K574" s="163"/>
      <c r="L574" s="163"/>
      <c r="M574" s="163"/>
      <c r="N574" s="163"/>
      <c r="O574" s="163"/>
      <c r="P574" s="163"/>
      <c r="Q574" s="571"/>
      <c r="R574" s="571"/>
      <c r="S574" s="571"/>
      <c r="T574" s="571"/>
      <c r="U574" s="571"/>
      <c r="V574" s="571"/>
      <c r="W574" s="571"/>
      <c r="X574" s="571"/>
      <c r="Y574" s="571"/>
      <c r="Z574" s="571"/>
    </row>
    <row r="575" spans="1:26" ht="18.75" hidden="1">
      <c r="A575" s="601"/>
      <c r="B575" s="611"/>
      <c r="C575" s="611"/>
      <c r="D575" s="611"/>
      <c r="E575" s="619"/>
      <c r="F575" s="619"/>
      <c r="G575" s="753"/>
      <c r="H575" s="755" t="s">
        <v>34</v>
      </c>
      <c r="I575" s="184"/>
      <c r="J575" s="214">
        <v>0</v>
      </c>
      <c r="K575" s="163"/>
      <c r="L575" s="163"/>
      <c r="M575" s="163"/>
      <c r="N575" s="163"/>
      <c r="O575" s="163"/>
      <c r="P575" s="163"/>
      <c r="Q575" s="571"/>
      <c r="R575" s="571"/>
      <c r="S575" s="571"/>
      <c r="T575" s="571"/>
      <c r="U575" s="571"/>
      <c r="V575" s="571"/>
      <c r="W575" s="571"/>
      <c r="X575" s="571"/>
      <c r="Y575" s="571"/>
      <c r="Z575" s="571"/>
    </row>
    <row r="576" spans="1:26" ht="19.5" hidden="1">
      <c r="A576" s="601"/>
      <c r="B576" s="611"/>
      <c r="C576" s="618" t="s">
        <v>243</v>
      </c>
      <c r="D576" s="611"/>
      <c r="E576" s="611"/>
      <c r="F576" s="619"/>
      <c r="G576" s="753"/>
      <c r="H576" s="758" t="s">
        <v>46</v>
      </c>
      <c r="I576" s="193">
        <f ca="1">IFERROR(__xludf.DUMMYFUNCTION("IMPORTRANGE(""https://docs.google.com/spreadsheets/d/1QqKyyYR6Q21VydFLVH3TRQUabQu_ym0Zz7PgGX0-kHA/edit?usp=sharing"",""แผน!HH58"")"),0)</f>
        <v>0</v>
      </c>
      <c r="J576" s="674">
        <f t="shared" ref="J576:J577" si="250">J578+J580+J582+J588+J590</f>
        <v>0</v>
      </c>
      <c r="K576" s="410">
        <f t="shared" ref="K576:K577" ca="1" si="251">IF(I576&gt;0,J576*100/I576,0)</f>
        <v>0</v>
      </c>
      <c r="L576" s="163"/>
      <c r="M576" s="163"/>
      <c r="N576" s="163"/>
      <c r="O576" s="163"/>
      <c r="P576" s="163"/>
      <c r="Q576" s="571"/>
      <c r="R576" s="571"/>
      <c r="S576" s="571"/>
      <c r="T576" s="571"/>
      <c r="U576" s="571"/>
      <c r="V576" s="571"/>
      <c r="W576" s="571"/>
      <c r="X576" s="571"/>
      <c r="Y576" s="571"/>
      <c r="Z576" s="571"/>
    </row>
    <row r="577" spans="1:26" ht="19.5" hidden="1">
      <c r="A577" s="601"/>
      <c r="B577" s="611"/>
      <c r="C577" s="611"/>
      <c r="D577" s="611"/>
      <c r="E577" s="619"/>
      <c r="F577" s="619"/>
      <c r="G577" s="753"/>
      <c r="H577" s="758" t="s">
        <v>34</v>
      </c>
      <c r="I577" s="193">
        <f ca="1">IFERROR(__xludf.DUMMYFUNCTION("IMPORTRANGE(""https://docs.google.com/spreadsheets/d/1QqKyyYR6Q21VydFLVH3TRQUabQu_ym0Zz7PgGX0-kHA/edit?usp=sharing"",""แผน!HG58"")"),0)</f>
        <v>0</v>
      </c>
      <c r="J577" s="674">
        <f t="shared" si="250"/>
        <v>0</v>
      </c>
      <c r="K577" s="410">
        <f t="shared" ca="1" si="251"/>
        <v>0</v>
      </c>
      <c r="L577" s="163"/>
      <c r="M577" s="163"/>
      <c r="N577" s="163"/>
      <c r="O577" s="163"/>
      <c r="P577" s="163"/>
      <c r="Q577" s="571"/>
      <c r="R577" s="571"/>
      <c r="S577" s="571"/>
      <c r="T577" s="571"/>
      <c r="U577" s="571"/>
      <c r="V577" s="571"/>
      <c r="W577" s="571"/>
      <c r="X577" s="571"/>
      <c r="Y577" s="571"/>
      <c r="Z577" s="571"/>
    </row>
    <row r="578" spans="1:26" ht="18.75" hidden="1">
      <c r="A578" s="601"/>
      <c r="B578" s="611"/>
      <c r="C578" s="611"/>
      <c r="D578" s="619" t="s">
        <v>244</v>
      </c>
      <c r="E578" s="619"/>
      <c r="F578" s="619"/>
      <c r="G578" s="753"/>
      <c r="H578" s="755" t="s">
        <v>46</v>
      </c>
      <c r="I578" s="184"/>
      <c r="J578" s="214">
        <v>0</v>
      </c>
      <c r="K578" s="163"/>
      <c r="L578" s="163"/>
      <c r="M578" s="163"/>
      <c r="N578" s="163"/>
      <c r="O578" s="163"/>
      <c r="P578" s="163"/>
      <c r="Q578" s="571"/>
      <c r="R578" s="571"/>
      <c r="S578" s="571"/>
      <c r="T578" s="571"/>
      <c r="U578" s="571"/>
      <c r="V578" s="571"/>
      <c r="W578" s="571"/>
      <c r="X578" s="571"/>
      <c r="Y578" s="571"/>
      <c r="Z578" s="571"/>
    </row>
    <row r="579" spans="1:26" ht="18.75" hidden="1">
      <c r="A579" s="601"/>
      <c r="B579" s="611"/>
      <c r="C579" s="611"/>
      <c r="D579" s="611"/>
      <c r="E579" s="619"/>
      <c r="F579" s="619"/>
      <c r="G579" s="753"/>
      <c r="H579" s="755" t="s">
        <v>34</v>
      </c>
      <c r="I579" s="184"/>
      <c r="J579" s="214">
        <v>0</v>
      </c>
      <c r="K579" s="163"/>
      <c r="L579" s="163"/>
      <c r="M579" s="163"/>
      <c r="N579" s="163"/>
      <c r="O579" s="163"/>
      <c r="P579" s="163"/>
      <c r="Q579" s="571"/>
      <c r="R579" s="571"/>
      <c r="S579" s="571"/>
      <c r="T579" s="571"/>
      <c r="U579" s="571"/>
      <c r="V579" s="571"/>
      <c r="W579" s="571"/>
      <c r="X579" s="571"/>
      <c r="Y579" s="571"/>
      <c r="Z579" s="571"/>
    </row>
    <row r="580" spans="1:26" ht="18.75" hidden="1">
      <c r="A580" s="601"/>
      <c r="B580" s="611"/>
      <c r="C580" s="611"/>
      <c r="D580" s="619" t="s">
        <v>245</v>
      </c>
      <c r="E580" s="619"/>
      <c r="F580" s="619"/>
      <c r="G580" s="753"/>
      <c r="H580" s="755" t="s">
        <v>46</v>
      </c>
      <c r="I580" s="184"/>
      <c r="J580" s="214">
        <v>0</v>
      </c>
      <c r="K580" s="163"/>
      <c r="L580" s="163"/>
      <c r="M580" s="163"/>
      <c r="N580" s="163"/>
      <c r="O580" s="163"/>
      <c r="P580" s="163"/>
      <c r="Q580" s="571"/>
      <c r="R580" s="571"/>
      <c r="S580" s="571"/>
      <c r="T580" s="571"/>
      <c r="U580" s="571"/>
      <c r="V580" s="571"/>
      <c r="W580" s="571"/>
      <c r="X580" s="571"/>
      <c r="Y580" s="571"/>
      <c r="Z580" s="571"/>
    </row>
    <row r="581" spans="1:26" ht="18.75" hidden="1">
      <c r="A581" s="601"/>
      <c r="B581" s="611"/>
      <c r="C581" s="611"/>
      <c r="D581" s="611"/>
      <c r="E581" s="619"/>
      <c r="F581" s="619"/>
      <c r="G581" s="753"/>
      <c r="H581" s="755" t="s">
        <v>34</v>
      </c>
      <c r="I581" s="184"/>
      <c r="J581" s="214">
        <v>0</v>
      </c>
      <c r="K581" s="163"/>
      <c r="L581" s="163"/>
      <c r="M581" s="163"/>
      <c r="N581" s="163"/>
      <c r="O581" s="163"/>
      <c r="P581" s="163"/>
      <c r="Q581" s="571"/>
      <c r="R581" s="571"/>
      <c r="S581" s="571"/>
      <c r="T581" s="571"/>
      <c r="U581" s="571"/>
      <c r="V581" s="571"/>
      <c r="W581" s="571"/>
      <c r="X581" s="571"/>
      <c r="Y581" s="571"/>
      <c r="Z581" s="571"/>
    </row>
    <row r="582" spans="1:26" ht="19.5" hidden="1">
      <c r="A582" s="601"/>
      <c r="B582" s="611"/>
      <c r="C582" s="611"/>
      <c r="D582" s="619" t="s">
        <v>246</v>
      </c>
      <c r="E582" s="619"/>
      <c r="F582" s="619"/>
      <c r="G582" s="753"/>
      <c r="H582" s="755" t="s">
        <v>46</v>
      </c>
      <c r="I582" s="184"/>
      <c r="J582" s="674">
        <f t="shared" ref="J582:J583" si="252">J584+J586</f>
        <v>0</v>
      </c>
      <c r="K582" s="410"/>
      <c r="L582" s="163"/>
      <c r="M582" s="163"/>
      <c r="N582" s="163"/>
      <c r="O582" s="163"/>
      <c r="P582" s="163"/>
      <c r="Q582" s="571"/>
      <c r="R582" s="571"/>
      <c r="S582" s="571"/>
      <c r="T582" s="571"/>
      <c r="U582" s="571"/>
      <c r="V582" s="571"/>
      <c r="W582" s="571"/>
      <c r="X582" s="571"/>
      <c r="Y582" s="571"/>
      <c r="Z582" s="571"/>
    </row>
    <row r="583" spans="1:26" ht="19.5" hidden="1">
      <c r="A583" s="601"/>
      <c r="B583" s="611"/>
      <c r="C583" s="611"/>
      <c r="D583" s="611"/>
      <c r="E583" s="619"/>
      <c r="F583" s="619"/>
      <c r="G583" s="753"/>
      <c r="H583" s="755" t="s">
        <v>34</v>
      </c>
      <c r="I583" s="184"/>
      <c r="J583" s="674">
        <f t="shared" si="252"/>
        <v>0</v>
      </c>
      <c r="K583" s="410"/>
      <c r="L583" s="163"/>
      <c r="M583" s="163"/>
      <c r="N583" s="163"/>
      <c r="O583" s="163"/>
      <c r="P583" s="163"/>
      <c r="Q583" s="571"/>
      <c r="R583" s="571"/>
      <c r="S583" s="571"/>
      <c r="T583" s="571"/>
      <c r="U583" s="571"/>
      <c r="V583" s="571"/>
      <c r="W583" s="571"/>
      <c r="X583" s="571"/>
      <c r="Y583" s="571"/>
      <c r="Z583" s="571"/>
    </row>
    <row r="584" spans="1:26" ht="18.75" hidden="1">
      <c r="A584" s="601"/>
      <c r="B584" s="611"/>
      <c r="C584" s="611"/>
      <c r="D584" s="611"/>
      <c r="E584" s="619" t="s">
        <v>247</v>
      </c>
      <c r="F584" s="619"/>
      <c r="G584" s="753"/>
      <c r="H584" s="755" t="s">
        <v>46</v>
      </c>
      <c r="I584" s="184"/>
      <c r="J584" s="214">
        <v>0</v>
      </c>
      <c r="K584" s="163"/>
      <c r="L584" s="163"/>
      <c r="M584" s="163"/>
      <c r="N584" s="163"/>
      <c r="O584" s="163"/>
      <c r="P584" s="163"/>
      <c r="Q584" s="571"/>
      <c r="R584" s="571"/>
      <c r="S584" s="571"/>
      <c r="T584" s="571"/>
      <c r="U584" s="571"/>
      <c r="V584" s="571"/>
      <c r="W584" s="571"/>
      <c r="X584" s="571"/>
      <c r="Y584" s="571"/>
      <c r="Z584" s="571"/>
    </row>
    <row r="585" spans="1:26" ht="18.75" hidden="1">
      <c r="A585" s="601"/>
      <c r="B585" s="611"/>
      <c r="C585" s="611"/>
      <c r="D585" s="611"/>
      <c r="E585" s="619"/>
      <c r="F585" s="619"/>
      <c r="G585" s="753"/>
      <c r="H585" s="755" t="s">
        <v>34</v>
      </c>
      <c r="I585" s="184"/>
      <c r="J585" s="214">
        <v>0</v>
      </c>
      <c r="K585" s="163"/>
      <c r="L585" s="163"/>
      <c r="M585" s="163"/>
      <c r="N585" s="163"/>
      <c r="O585" s="163"/>
      <c r="P585" s="163"/>
      <c r="Q585" s="571"/>
      <c r="R585" s="571"/>
      <c r="S585" s="571"/>
      <c r="T585" s="571"/>
      <c r="U585" s="571"/>
      <c r="V585" s="571"/>
      <c r="W585" s="571"/>
      <c r="X585" s="571"/>
      <c r="Y585" s="571"/>
      <c r="Z585" s="571"/>
    </row>
    <row r="586" spans="1:26" ht="18.75" hidden="1">
      <c r="A586" s="601"/>
      <c r="B586" s="611"/>
      <c r="C586" s="611"/>
      <c r="D586" s="611"/>
      <c r="E586" s="619" t="s">
        <v>248</v>
      </c>
      <c r="F586" s="619"/>
      <c r="G586" s="753"/>
      <c r="H586" s="755" t="s">
        <v>46</v>
      </c>
      <c r="I586" s="184"/>
      <c r="J586" s="214">
        <v>0</v>
      </c>
      <c r="K586" s="163"/>
      <c r="L586" s="163"/>
      <c r="M586" s="163"/>
      <c r="N586" s="163"/>
      <c r="O586" s="163"/>
      <c r="P586" s="163"/>
      <c r="Q586" s="571"/>
      <c r="R586" s="571"/>
      <c r="S586" s="571"/>
      <c r="T586" s="571"/>
      <c r="U586" s="571"/>
      <c r="V586" s="571"/>
      <c r="W586" s="571"/>
      <c r="X586" s="571"/>
      <c r="Y586" s="571"/>
      <c r="Z586" s="571"/>
    </row>
    <row r="587" spans="1:26" ht="18.75" hidden="1">
      <c r="A587" s="601"/>
      <c r="B587" s="611"/>
      <c r="C587" s="611"/>
      <c r="D587" s="611"/>
      <c r="E587" s="611"/>
      <c r="F587" s="619"/>
      <c r="G587" s="753"/>
      <c r="H587" s="755" t="s">
        <v>34</v>
      </c>
      <c r="I587" s="184"/>
      <c r="J587" s="214">
        <v>0</v>
      </c>
      <c r="K587" s="163"/>
      <c r="L587" s="163"/>
      <c r="M587" s="163"/>
      <c r="N587" s="163"/>
      <c r="O587" s="163"/>
      <c r="P587" s="163"/>
      <c r="Q587" s="571"/>
      <c r="R587" s="571"/>
      <c r="S587" s="571"/>
      <c r="T587" s="571"/>
      <c r="U587" s="571"/>
      <c r="V587" s="571"/>
      <c r="W587" s="571"/>
      <c r="X587" s="571"/>
      <c r="Y587" s="571"/>
      <c r="Z587" s="571"/>
    </row>
    <row r="588" spans="1:26" ht="18.75" hidden="1">
      <c r="A588" s="601"/>
      <c r="B588" s="611"/>
      <c r="C588" s="611"/>
      <c r="D588" s="619" t="s">
        <v>249</v>
      </c>
      <c r="E588" s="619"/>
      <c r="F588" s="619"/>
      <c r="G588" s="753"/>
      <c r="H588" s="755" t="s">
        <v>46</v>
      </c>
      <c r="I588" s="184"/>
      <c r="J588" s="214">
        <v>0</v>
      </c>
      <c r="K588" s="163"/>
      <c r="L588" s="163"/>
      <c r="M588" s="163"/>
      <c r="N588" s="163"/>
      <c r="O588" s="163"/>
      <c r="P588" s="163"/>
      <c r="Q588" s="571"/>
      <c r="R588" s="571"/>
      <c r="S588" s="571"/>
      <c r="T588" s="571"/>
      <c r="U588" s="571"/>
      <c r="V588" s="571"/>
      <c r="W588" s="571"/>
      <c r="X588" s="571"/>
      <c r="Y588" s="571"/>
      <c r="Z588" s="571"/>
    </row>
    <row r="589" spans="1:26" ht="18.75" hidden="1">
      <c r="A589" s="601"/>
      <c r="B589" s="611"/>
      <c r="C589" s="611"/>
      <c r="D589" s="611"/>
      <c r="E589" s="611"/>
      <c r="F589" s="619"/>
      <c r="G589" s="753"/>
      <c r="H589" s="755" t="s">
        <v>34</v>
      </c>
      <c r="I589" s="184"/>
      <c r="J589" s="214">
        <v>0</v>
      </c>
      <c r="K589" s="163"/>
      <c r="L589" s="163"/>
      <c r="M589" s="163"/>
      <c r="N589" s="163"/>
      <c r="O589" s="163"/>
      <c r="P589" s="163"/>
      <c r="Q589" s="571"/>
      <c r="R589" s="571"/>
      <c r="S589" s="571"/>
      <c r="T589" s="571"/>
      <c r="U589" s="571"/>
      <c r="V589" s="571"/>
      <c r="W589" s="571"/>
      <c r="X589" s="571"/>
      <c r="Y589" s="571"/>
      <c r="Z589" s="571"/>
    </row>
    <row r="590" spans="1:26" ht="18.75" hidden="1">
      <c r="A590" s="601"/>
      <c r="B590" s="611"/>
      <c r="C590" s="611"/>
      <c r="D590" s="619" t="s">
        <v>250</v>
      </c>
      <c r="E590" s="619"/>
      <c r="F590" s="619"/>
      <c r="G590" s="753"/>
      <c r="H590" s="755" t="s">
        <v>46</v>
      </c>
      <c r="I590" s="184"/>
      <c r="J590" s="214">
        <v>0</v>
      </c>
      <c r="K590" s="163"/>
      <c r="L590" s="163"/>
      <c r="M590" s="163"/>
      <c r="N590" s="163"/>
      <c r="O590" s="163"/>
      <c r="P590" s="163"/>
      <c r="Q590" s="571"/>
      <c r="R590" s="571"/>
      <c r="S590" s="571"/>
      <c r="T590" s="571"/>
      <c r="U590" s="571"/>
      <c r="V590" s="571"/>
      <c r="W590" s="571"/>
      <c r="X590" s="571"/>
      <c r="Y590" s="571"/>
      <c r="Z590" s="571"/>
    </row>
    <row r="591" spans="1:26" ht="18.75" hidden="1">
      <c r="A591" s="689"/>
      <c r="B591" s="690"/>
      <c r="C591" s="690"/>
      <c r="D591" s="690"/>
      <c r="E591" s="571"/>
      <c r="F591" s="571"/>
      <c r="G591" s="691"/>
      <c r="H591" s="692" t="s">
        <v>34</v>
      </c>
      <c r="I591" s="693"/>
      <c r="J591" s="694">
        <v>0</v>
      </c>
      <c r="K591" s="695"/>
      <c r="L591" s="695"/>
      <c r="M591" s="695"/>
      <c r="N591" s="695"/>
      <c r="O591" s="695"/>
      <c r="P591" s="695"/>
      <c r="Q591" s="571"/>
      <c r="R591" s="571"/>
      <c r="S591" s="571"/>
      <c r="T591" s="571"/>
      <c r="U591" s="571"/>
      <c r="V591" s="571"/>
      <c r="W591" s="571"/>
      <c r="X591" s="571"/>
      <c r="Y591" s="571"/>
      <c r="Z591" s="571"/>
    </row>
    <row r="592" spans="1:26" ht="19.5">
      <c r="A592" s="685"/>
      <c r="B592" s="686" t="s">
        <v>251</v>
      </c>
      <c r="C592" s="687"/>
      <c r="D592" s="687"/>
      <c r="E592" s="666"/>
      <c r="F592" s="666"/>
      <c r="G592" s="667"/>
      <c r="H592" s="688" t="s">
        <v>46</v>
      </c>
      <c r="I592" s="699">
        <f t="shared" ref="I592:J592" ca="1" si="253">I593</f>
        <v>3209</v>
      </c>
      <c r="J592" s="699">
        <f t="shared" si="253"/>
        <v>0</v>
      </c>
      <c r="K592" s="670">
        <f t="shared" ref="K592:K594" ca="1" si="254">IF(I592&gt;0,J592*100/I592,0)</f>
        <v>0</v>
      </c>
      <c r="L592" s="671"/>
      <c r="M592" s="671"/>
      <c r="N592" s="671"/>
      <c r="O592" s="671"/>
      <c r="P592" s="671"/>
      <c r="Q592" s="571"/>
      <c r="R592" s="571"/>
      <c r="S592" s="571"/>
      <c r="T592" s="571"/>
      <c r="U592" s="571"/>
      <c r="V592" s="571"/>
      <c r="W592" s="571"/>
      <c r="X592" s="571"/>
      <c r="Y592" s="571"/>
      <c r="Z592" s="571"/>
    </row>
    <row r="593" spans="1:26" ht="19.5">
      <c r="A593" s="601"/>
      <c r="B593" s="611"/>
      <c r="C593" s="618" t="s">
        <v>252</v>
      </c>
      <c r="D593" s="611"/>
      <c r="E593" s="611"/>
      <c r="F593" s="619"/>
      <c r="G593" s="753"/>
      <c r="H593" s="758" t="s">
        <v>46</v>
      </c>
      <c r="I593" s="193">
        <f ca="1">IFERROR(__xludf.DUMMYFUNCTION("IMPORTRANGE(""https://docs.google.com/spreadsheets/d/1QqKyyYR6Q21VydFLVH3TRQUabQu_ym0Zz7PgGX0-kHA/edit?usp=sharing"",""แผน!HJ58"")"),3209)</f>
        <v>3209</v>
      </c>
      <c r="J593" s="193">
        <f t="shared" ref="J593:J594" si="255">J595+J603+J609</f>
        <v>0</v>
      </c>
      <c r="K593" s="410">
        <f t="shared" ca="1" si="254"/>
        <v>0</v>
      </c>
      <c r="L593" s="163"/>
      <c r="M593" s="163"/>
      <c r="N593" s="163"/>
      <c r="O593" s="163"/>
      <c r="P593" s="163"/>
      <c r="Q593" s="571"/>
      <c r="R593" s="571"/>
      <c r="S593" s="571"/>
      <c r="T593" s="571"/>
      <c r="U593" s="571"/>
      <c r="V593" s="571"/>
      <c r="W593" s="571"/>
      <c r="X593" s="571"/>
      <c r="Y593" s="571"/>
      <c r="Z593" s="571"/>
    </row>
    <row r="594" spans="1:26" ht="19.5">
      <c r="A594" s="601"/>
      <c r="B594" s="611"/>
      <c r="C594" s="611"/>
      <c r="D594" s="611"/>
      <c r="E594" s="619"/>
      <c r="F594" s="619"/>
      <c r="G594" s="753"/>
      <c r="H594" s="758" t="s">
        <v>34</v>
      </c>
      <c r="I594" s="193">
        <f ca="1">IFERROR(__xludf.DUMMYFUNCTION("IMPORTRANGE(""https://docs.google.com/spreadsheets/d/1QqKyyYR6Q21VydFLVH3TRQUabQu_ym0Zz7PgGX0-kHA/edit?usp=sharing"",""แผน!HI58"")"),178)</f>
        <v>178</v>
      </c>
      <c r="J594" s="193">
        <f t="shared" si="255"/>
        <v>0</v>
      </c>
      <c r="K594" s="410">
        <f t="shared" ca="1" si="254"/>
        <v>0</v>
      </c>
      <c r="L594" s="163"/>
      <c r="M594" s="163"/>
      <c r="N594" s="163"/>
      <c r="O594" s="163"/>
      <c r="P594" s="163"/>
      <c r="Q594" s="571"/>
      <c r="R594" s="571"/>
      <c r="S594" s="571"/>
      <c r="T594" s="571"/>
      <c r="U594" s="571"/>
      <c r="V594" s="571"/>
      <c r="W594" s="571"/>
      <c r="X594" s="571"/>
      <c r="Y594" s="571"/>
      <c r="Z594" s="571"/>
    </row>
    <row r="595" spans="1:26" ht="18.75">
      <c r="A595" s="601"/>
      <c r="B595" s="611"/>
      <c r="C595" s="611" t="s">
        <v>253</v>
      </c>
      <c r="D595" s="611"/>
      <c r="E595" s="611"/>
      <c r="F595" s="619"/>
      <c r="G595" s="753"/>
      <c r="H595" s="755" t="s">
        <v>46</v>
      </c>
      <c r="I595" s="184"/>
      <c r="J595" s="184">
        <f t="shared" ref="J595:J596" si="256">J597+J599</f>
        <v>0</v>
      </c>
      <c r="K595" s="163"/>
      <c r="L595" s="163"/>
      <c r="M595" s="163"/>
      <c r="N595" s="163"/>
      <c r="O595" s="163"/>
      <c r="P595" s="163"/>
      <c r="Q595" s="571"/>
      <c r="R595" s="571"/>
      <c r="S595" s="571"/>
      <c r="T595" s="571"/>
      <c r="U595" s="571"/>
      <c r="V595" s="571"/>
      <c r="W595" s="571"/>
      <c r="X595" s="571"/>
      <c r="Y595" s="571"/>
      <c r="Z595" s="571"/>
    </row>
    <row r="596" spans="1:26" ht="18.75">
      <c r="A596" s="601"/>
      <c r="B596" s="611"/>
      <c r="C596" s="611"/>
      <c r="D596" s="611"/>
      <c r="E596" s="619"/>
      <c r="F596" s="619"/>
      <c r="G596" s="753"/>
      <c r="H596" s="755" t="s">
        <v>34</v>
      </c>
      <c r="I596" s="184"/>
      <c r="J596" s="184">
        <f t="shared" si="256"/>
        <v>0</v>
      </c>
      <c r="K596" s="163"/>
      <c r="L596" s="163"/>
      <c r="M596" s="163"/>
      <c r="N596" s="163"/>
      <c r="O596" s="163"/>
      <c r="P596" s="163"/>
      <c r="Q596" s="571"/>
      <c r="R596" s="571"/>
      <c r="S596" s="571"/>
      <c r="T596" s="571"/>
      <c r="U596" s="571"/>
      <c r="V596" s="571"/>
      <c r="W596" s="571"/>
      <c r="X596" s="571"/>
      <c r="Y596" s="571"/>
      <c r="Z596" s="571"/>
    </row>
    <row r="597" spans="1:26" ht="18.75">
      <c r="A597" s="601"/>
      <c r="B597" s="611"/>
      <c r="C597" s="611"/>
      <c r="D597" s="737" t="s">
        <v>254</v>
      </c>
      <c r="E597" s="619"/>
      <c r="F597" s="619"/>
      <c r="G597" s="753"/>
      <c r="H597" s="755" t="s">
        <v>46</v>
      </c>
      <c r="I597" s="184"/>
      <c r="J597" s="214">
        <v>0</v>
      </c>
      <c r="K597" s="163"/>
      <c r="L597" s="163"/>
      <c r="M597" s="163"/>
      <c r="N597" s="163"/>
      <c r="O597" s="163"/>
      <c r="P597" s="163"/>
      <c r="Q597" s="571"/>
      <c r="R597" s="571"/>
      <c r="S597" s="571"/>
      <c r="T597" s="571"/>
      <c r="U597" s="571"/>
      <c r="V597" s="571"/>
      <c r="W597" s="571"/>
      <c r="X597" s="571"/>
      <c r="Y597" s="571"/>
      <c r="Z597" s="571"/>
    </row>
    <row r="598" spans="1:26" ht="18.75">
      <c r="A598" s="601"/>
      <c r="B598" s="611"/>
      <c r="C598" s="611"/>
      <c r="D598" s="611"/>
      <c r="E598" s="619"/>
      <c r="F598" s="619"/>
      <c r="G598" s="753"/>
      <c r="H598" s="755" t="s">
        <v>34</v>
      </c>
      <c r="I598" s="269"/>
      <c r="J598" s="214">
        <v>0</v>
      </c>
      <c r="K598" s="163"/>
      <c r="L598" s="163"/>
      <c r="M598" s="163"/>
      <c r="N598" s="163"/>
      <c r="O598" s="163"/>
      <c r="P598" s="163"/>
      <c r="Q598" s="571"/>
      <c r="R598" s="571"/>
      <c r="S598" s="571"/>
      <c r="T598" s="571"/>
      <c r="U598" s="571"/>
      <c r="V598" s="571"/>
      <c r="W598" s="571"/>
      <c r="X598" s="571"/>
      <c r="Y598" s="571"/>
      <c r="Z598" s="571"/>
    </row>
    <row r="599" spans="1:26" ht="18.75">
      <c r="A599" s="601"/>
      <c r="B599" s="611"/>
      <c r="C599" s="611"/>
      <c r="D599" s="737" t="s">
        <v>255</v>
      </c>
      <c r="E599" s="619"/>
      <c r="F599" s="619"/>
      <c r="G599" s="753"/>
      <c r="H599" s="755" t="s">
        <v>46</v>
      </c>
      <c r="I599" s="269"/>
      <c r="J599" s="214">
        <v>0</v>
      </c>
      <c r="K599" s="163"/>
      <c r="L599" s="163"/>
      <c r="M599" s="163"/>
      <c r="N599" s="163"/>
      <c r="O599" s="163"/>
      <c r="P599" s="163"/>
      <c r="Q599" s="571"/>
      <c r="R599" s="571"/>
      <c r="S599" s="571"/>
      <c r="T599" s="571"/>
      <c r="U599" s="571"/>
      <c r="V599" s="571"/>
      <c r="W599" s="571"/>
      <c r="X599" s="571"/>
      <c r="Y599" s="571"/>
      <c r="Z599" s="571"/>
    </row>
    <row r="600" spans="1:26" ht="18.75">
      <c r="A600" s="601"/>
      <c r="B600" s="611"/>
      <c r="C600" s="611"/>
      <c r="D600" s="611"/>
      <c r="E600" s="619"/>
      <c r="F600" s="619"/>
      <c r="G600" s="753"/>
      <c r="H600" s="755" t="s">
        <v>34</v>
      </c>
      <c r="I600" s="269"/>
      <c r="J600" s="214">
        <v>0</v>
      </c>
      <c r="K600" s="163"/>
      <c r="L600" s="163"/>
      <c r="M600" s="163"/>
      <c r="N600" s="163"/>
      <c r="O600" s="163"/>
      <c r="P600" s="163"/>
      <c r="Q600" s="571"/>
      <c r="R600" s="571"/>
      <c r="S600" s="571"/>
      <c r="T600" s="571"/>
      <c r="U600" s="571"/>
      <c r="V600" s="571"/>
      <c r="W600" s="571"/>
      <c r="X600" s="571"/>
      <c r="Y600" s="571"/>
      <c r="Z600" s="571"/>
    </row>
    <row r="601" spans="1:26" ht="18.75">
      <c r="A601" s="601"/>
      <c r="B601" s="611"/>
      <c r="C601" s="611"/>
      <c r="D601" s="737" t="s">
        <v>256</v>
      </c>
      <c r="E601" s="619"/>
      <c r="F601" s="619"/>
      <c r="G601" s="753"/>
      <c r="H601" s="755" t="s">
        <v>46</v>
      </c>
      <c r="I601" s="269"/>
      <c r="J601" s="214">
        <v>0</v>
      </c>
      <c r="K601" s="163"/>
      <c r="L601" s="163"/>
      <c r="M601" s="163"/>
      <c r="N601" s="163"/>
      <c r="O601" s="163"/>
      <c r="P601" s="163"/>
      <c r="Q601" s="571"/>
      <c r="R601" s="571"/>
      <c r="S601" s="571"/>
      <c r="T601" s="571"/>
      <c r="U601" s="571"/>
      <c r="V601" s="571"/>
      <c r="W601" s="571"/>
      <c r="X601" s="571"/>
      <c r="Y601" s="571"/>
      <c r="Z601" s="571"/>
    </row>
    <row r="602" spans="1:26" ht="18.75">
      <c r="A602" s="601"/>
      <c r="B602" s="611"/>
      <c r="C602" s="611"/>
      <c r="D602" s="611"/>
      <c r="E602" s="619"/>
      <c r="F602" s="619"/>
      <c r="G602" s="753"/>
      <c r="H602" s="755" t="s">
        <v>34</v>
      </c>
      <c r="I602" s="269"/>
      <c r="J602" s="214">
        <v>0</v>
      </c>
      <c r="K602" s="163"/>
      <c r="L602" s="163"/>
      <c r="M602" s="163"/>
      <c r="N602" s="163"/>
      <c r="O602" s="163"/>
      <c r="P602" s="163"/>
      <c r="Q602" s="571"/>
      <c r="R602" s="571"/>
      <c r="S602" s="571"/>
      <c r="T602" s="571"/>
      <c r="U602" s="571"/>
      <c r="V602" s="571"/>
      <c r="W602" s="571"/>
      <c r="X602" s="571"/>
      <c r="Y602" s="571"/>
      <c r="Z602" s="571"/>
    </row>
    <row r="603" spans="1:26" ht="18.75">
      <c r="A603" s="601"/>
      <c r="B603" s="611"/>
      <c r="C603" s="696" t="s">
        <v>257</v>
      </c>
      <c r="D603" s="611"/>
      <c r="E603" s="611"/>
      <c r="F603" s="619"/>
      <c r="G603" s="753"/>
      <c r="H603" s="755" t="s">
        <v>46</v>
      </c>
      <c r="I603" s="269"/>
      <c r="J603" s="269">
        <f t="shared" ref="J603:J604" si="257">J605+J607</f>
        <v>0</v>
      </c>
      <c r="K603" s="163"/>
      <c r="L603" s="163"/>
      <c r="M603" s="163"/>
      <c r="N603" s="163"/>
      <c r="O603" s="163"/>
      <c r="P603" s="163"/>
      <c r="Q603" s="571"/>
      <c r="R603" s="571"/>
      <c r="S603" s="571"/>
      <c r="T603" s="571"/>
      <c r="U603" s="571"/>
      <c r="V603" s="571"/>
      <c r="W603" s="571"/>
      <c r="X603" s="571"/>
      <c r="Y603" s="571"/>
      <c r="Z603" s="571"/>
    </row>
    <row r="604" spans="1:26" ht="18.75">
      <c r="A604" s="601"/>
      <c r="B604" s="611"/>
      <c r="C604" s="611"/>
      <c r="D604" s="611"/>
      <c r="E604" s="619"/>
      <c r="F604" s="619"/>
      <c r="G604" s="753"/>
      <c r="H604" s="755" t="s">
        <v>34</v>
      </c>
      <c r="I604" s="269"/>
      <c r="J604" s="269">
        <f t="shared" si="257"/>
        <v>0</v>
      </c>
      <c r="K604" s="163"/>
      <c r="L604" s="163"/>
      <c r="M604" s="163"/>
      <c r="N604" s="163"/>
      <c r="O604" s="163"/>
      <c r="P604" s="163"/>
      <c r="Q604" s="571"/>
      <c r="R604" s="571"/>
      <c r="S604" s="571"/>
      <c r="T604" s="571"/>
      <c r="U604" s="571"/>
      <c r="V604" s="571"/>
      <c r="W604" s="571"/>
      <c r="X604" s="571"/>
      <c r="Y604" s="571"/>
      <c r="Z604" s="571"/>
    </row>
    <row r="605" spans="1:26" ht="18.75">
      <c r="A605" s="601"/>
      <c r="B605" s="611"/>
      <c r="C605" s="611"/>
      <c r="D605" s="696" t="s">
        <v>258</v>
      </c>
      <c r="E605" s="619"/>
      <c r="F605" s="619"/>
      <c r="G605" s="753"/>
      <c r="H605" s="755" t="s">
        <v>46</v>
      </c>
      <c r="I605" s="269"/>
      <c r="J605" s="214">
        <v>0</v>
      </c>
      <c r="K605" s="163"/>
      <c r="L605" s="163"/>
      <c r="M605" s="163"/>
      <c r="N605" s="163"/>
      <c r="O605" s="163"/>
      <c r="P605" s="163"/>
      <c r="Q605" s="571"/>
      <c r="R605" s="571"/>
      <c r="S605" s="571"/>
      <c r="T605" s="571"/>
      <c r="U605" s="571"/>
      <c r="V605" s="571"/>
      <c r="W605" s="571"/>
      <c r="X605" s="571"/>
      <c r="Y605" s="571"/>
      <c r="Z605" s="571"/>
    </row>
    <row r="606" spans="1:26" ht="18.75">
      <c r="A606" s="601"/>
      <c r="B606" s="611"/>
      <c r="C606" s="611"/>
      <c r="D606" s="611"/>
      <c r="E606" s="611"/>
      <c r="F606" s="619"/>
      <c r="G606" s="753"/>
      <c r="H606" s="755" t="s">
        <v>34</v>
      </c>
      <c r="I606" s="269"/>
      <c r="J606" s="214">
        <v>0</v>
      </c>
      <c r="K606" s="163"/>
      <c r="L606" s="163"/>
      <c r="M606" s="163"/>
      <c r="N606" s="163"/>
      <c r="O606" s="163"/>
      <c r="P606" s="163"/>
      <c r="Q606" s="571"/>
      <c r="R606" s="571"/>
      <c r="S606" s="571"/>
      <c r="T606" s="571"/>
      <c r="U606" s="571"/>
      <c r="V606" s="571"/>
      <c r="W606" s="571"/>
      <c r="X606" s="571"/>
      <c r="Y606" s="571"/>
      <c r="Z606" s="571"/>
    </row>
    <row r="607" spans="1:26" ht="18.75">
      <c r="A607" s="601"/>
      <c r="B607" s="611"/>
      <c r="C607" s="611"/>
      <c r="D607" s="696" t="s">
        <v>259</v>
      </c>
      <c r="E607" s="611"/>
      <c r="F607" s="619"/>
      <c r="G607" s="753"/>
      <c r="H607" s="755" t="s">
        <v>46</v>
      </c>
      <c r="I607" s="269"/>
      <c r="J607" s="214">
        <v>0</v>
      </c>
      <c r="K607" s="163"/>
      <c r="L607" s="163"/>
      <c r="M607" s="163"/>
      <c r="N607" s="163"/>
      <c r="O607" s="163"/>
      <c r="P607" s="163"/>
      <c r="Q607" s="571"/>
      <c r="R607" s="571"/>
      <c r="S607" s="571"/>
      <c r="T607" s="571"/>
      <c r="U607" s="571"/>
      <c r="V607" s="571"/>
      <c r="W607" s="571"/>
      <c r="X607" s="571"/>
      <c r="Y607" s="571"/>
      <c r="Z607" s="571"/>
    </row>
    <row r="608" spans="1:26" ht="18.75">
      <c r="A608" s="601"/>
      <c r="B608" s="611"/>
      <c r="C608" s="611"/>
      <c r="D608" s="611"/>
      <c r="E608" s="619"/>
      <c r="F608" s="619"/>
      <c r="G608" s="753"/>
      <c r="H608" s="755" t="s">
        <v>34</v>
      </c>
      <c r="I608" s="269"/>
      <c r="J608" s="214">
        <v>0</v>
      </c>
      <c r="K608" s="163"/>
      <c r="L608" s="163"/>
      <c r="M608" s="163"/>
      <c r="N608" s="163"/>
      <c r="O608" s="163"/>
      <c r="P608" s="163"/>
      <c r="Q608" s="571"/>
      <c r="R608" s="571"/>
      <c r="S608" s="571"/>
      <c r="T608" s="571"/>
      <c r="U608" s="571"/>
      <c r="V608" s="571"/>
      <c r="W608" s="571"/>
      <c r="X608" s="571"/>
      <c r="Y608" s="571"/>
      <c r="Z608" s="571"/>
    </row>
    <row r="609" spans="1:26" ht="18.75">
      <c r="A609" s="601"/>
      <c r="B609" s="611"/>
      <c r="C609" s="611" t="s">
        <v>260</v>
      </c>
      <c r="D609" s="611"/>
      <c r="E609" s="611"/>
      <c r="F609" s="619"/>
      <c r="G609" s="753"/>
      <c r="H609" s="755" t="s">
        <v>46</v>
      </c>
      <c r="I609" s="269"/>
      <c r="J609" s="214">
        <v>0</v>
      </c>
      <c r="K609" s="163"/>
      <c r="L609" s="163"/>
      <c r="M609" s="163"/>
      <c r="N609" s="163"/>
      <c r="O609" s="163"/>
      <c r="P609" s="163"/>
      <c r="Q609" s="571"/>
      <c r="R609" s="571"/>
      <c r="S609" s="571"/>
      <c r="T609" s="571"/>
      <c r="U609" s="571"/>
      <c r="V609" s="571"/>
      <c r="W609" s="571"/>
      <c r="X609" s="571"/>
      <c r="Y609" s="571"/>
      <c r="Z609" s="571"/>
    </row>
    <row r="610" spans="1:26" ht="18.75">
      <c r="A610" s="601"/>
      <c r="B610" s="611"/>
      <c r="C610" s="611"/>
      <c r="D610" s="611"/>
      <c r="E610" s="619"/>
      <c r="F610" s="619"/>
      <c r="G610" s="753"/>
      <c r="H610" s="755" t="s">
        <v>34</v>
      </c>
      <c r="I610" s="269"/>
      <c r="J610" s="214">
        <v>0</v>
      </c>
      <c r="K610" s="163"/>
      <c r="L610" s="163"/>
      <c r="M610" s="163"/>
      <c r="N610" s="163"/>
      <c r="O610" s="163"/>
      <c r="P610" s="163"/>
      <c r="Q610" s="571"/>
      <c r="R610" s="571"/>
      <c r="S610" s="571"/>
      <c r="T610" s="571"/>
      <c r="U610" s="571"/>
      <c r="V610" s="571"/>
      <c r="W610" s="571"/>
      <c r="X610" s="571"/>
      <c r="Y610" s="571"/>
      <c r="Z610" s="571"/>
    </row>
    <row r="611" spans="1:26" ht="19.5" hidden="1">
      <c r="A611" s="685"/>
      <c r="B611" s="697" t="s">
        <v>261</v>
      </c>
      <c r="C611" s="687"/>
      <c r="D611" s="687"/>
      <c r="E611" s="666"/>
      <c r="F611" s="666"/>
      <c r="G611" s="667"/>
      <c r="H611" s="698" t="s">
        <v>46</v>
      </c>
      <c r="I611" s="699">
        <v>0</v>
      </c>
      <c r="J611" s="699">
        <f>J614+J616</f>
        <v>0</v>
      </c>
      <c r="K611" s="670">
        <f t="shared" ref="K611:K613" si="258">IF(I611&gt;0,J611*100/I611,0)</f>
        <v>0</v>
      </c>
      <c r="L611" s="671"/>
      <c r="M611" s="671"/>
      <c r="N611" s="671"/>
      <c r="O611" s="671"/>
      <c r="P611" s="671"/>
      <c r="Q611" s="571"/>
      <c r="R611" s="571"/>
      <c r="S611" s="571"/>
      <c r="T611" s="571"/>
      <c r="U611" s="571"/>
      <c r="V611" s="571"/>
      <c r="W611" s="571"/>
      <c r="X611" s="571"/>
      <c r="Y611" s="571"/>
      <c r="Z611" s="571"/>
    </row>
    <row r="612" spans="1:26" ht="19.5" hidden="1">
      <c r="A612" s="700"/>
      <c r="B612" s="710"/>
      <c r="C612" s="702" t="s">
        <v>262</v>
      </c>
      <c r="D612" s="710"/>
      <c r="E612" s="710"/>
      <c r="F612" s="703"/>
      <c r="G612" s="704"/>
      <c r="H612" s="705" t="s">
        <v>46</v>
      </c>
      <c r="I612" s="707">
        <v>0</v>
      </c>
      <c r="J612" s="707">
        <f t="shared" ref="J612:J613" si="259">J614+J616</f>
        <v>0</v>
      </c>
      <c r="K612" s="708">
        <f t="shared" si="258"/>
        <v>0</v>
      </c>
      <c r="L612" s="709"/>
      <c r="M612" s="709"/>
      <c r="N612" s="709"/>
      <c r="O612" s="709"/>
      <c r="P612" s="709"/>
      <c r="Q612" s="597"/>
      <c r="R612" s="597"/>
      <c r="S612" s="597"/>
      <c r="T612" s="597"/>
      <c r="U612" s="597"/>
      <c r="V612" s="597"/>
      <c r="W612" s="597"/>
      <c r="X612" s="597"/>
      <c r="Y612" s="597"/>
      <c r="Z612" s="597"/>
    </row>
    <row r="613" spans="1:26" ht="19.5" hidden="1">
      <c r="A613" s="700"/>
      <c r="B613" s="710"/>
      <c r="C613" s="710" t="s">
        <v>263</v>
      </c>
      <c r="D613" s="710"/>
      <c r="E613" s="710"/>
      <c r="F613" s="703"/>
      <c r="G613" s="704"/>
      <c r="H613" s="705" t="s">
        <v>34</v>
      </c>
      <c r="I613" s="707">
        <v>0</v>
      </c>
      <c r="J613" s="707">
        <f t="shared" si="259"/>
        <v>0</v>
      </c>
      <c r="K613" s="708">
        <f t="shared" si="258"/>
        <v>0</v>
      </c>
      <c r="L613" s="709"/>
      <c r="M613" s="709"/>
      <c r="N613" s="709"/>
      <c r="O613" s="709"/>
      <c r="P613" s="709"/>
      <c r="Q613" s="597"/>
      <c r="R613" s="597"/>
      <c r="S613" s="597"/>
      <c r="T613" s="597"/>
      <c r="U613" s="597"/>
      <c r="V613" s="597"/>
      <c r="W613" s="597"/>
      <c r="X613" s="597"/>
      <c r="Y613" s="597"/>
      <c r="Z613" s="597"/>
    </row>
    <row r="614" spans="1:26" ht="18.75" hidden="1">
      <c r="A614" s="607"/>
      <c r="B614" s="609"/>
      <c r="C614" s="609"/>
      <c r="D614" s="711" t="s">
        <v>264</v>
      </c>
      <c r="E614" s="609"/>
      <c r="F614" s="711"/>
      <c r="G614" s="365"/>
      <c r="H614" s="369" t="s">
        <v>46</v>
      </c>
      <c r="I614" s="610"/>
      <c r="J614" s="610">
        <v>0</v>
      </c>
      <c r="K614" s="167"/>
      <c r="L614" s="167"/>
      <c r="M614" s="167"/>
      <c r="N614" s="167"/>
      <c r="O614" s="167"/>
      <c r="P614" s="167"/>
      <c r="Q614" s="597"/>
      <c r="R614" s="597"/>
      <c r="S614" s="597"/>
      <c r="T614" s="597"/>
      <c r="U614" s="597"/>
      <c r="V614" s="597"/>
      <c r="W614" s="597"/>
      <c r="X614" s="597"/>
      <c r="Y614" s="597"/>
      <c r="Z614" s="597"/>
    </row>
    <row r="615" spans="1:26" ht="18.75" hidden="1">
      <c r="A615" s="607"/>
      <c r="B615" s="609"/>
      <c r="C615" s="609"/>
      <c r="D615" s="609"/>
      <c r="E615" s="609"/>
      <c r="F615" s="711"/>
      <c r="G615" s="365"/>
      <c r="H615" s="369" t="s">
        <v>34</v>
      </c>
      <c r="I615" s="610"/>
      <c r="J615" s="610">
        <v>0</v>
      </c>
      <c r="K615" s="167"/>
      <c r="L615" s="167"/>
      <c r="M615" s="167"/>
      <c r="N615" s="167"/>
      <c r="O615" s="167"/>
      <c r="P615" s="167"/>
      <c r="Q615" s="597"/>
      <c r="R615" s="597"/>
      <c r="S615" s="597"/>
      <c r="T615" s="597"/>
      <c r="U615" s="597"/>
      <c r="V615" s="597"/>
      <c r="W615" s="597"/>
      <c r="X615" s="597"/>
      <c r="Y615" s="597"/>
      <c r="Z615" s="597"/>
    </row>
    <row r="616" spans="1:26" ht="18.75" hidden="1">
      <c r="A616" s="607"/>
      <c r="B616" s="609"/>
      <c r="C616" s="609"/>
      <c r="D616" s="712" t="s">
        <v>264</v>
      </c>
      <c r="E616" s="711"/>
      <c r="F616" s="711"/>
      <c r="G616" s="365"/>
      <c r="H616" s="369" t="s">
        <v>46</v>
      </c>
      <c r="I616" s="610"/>
      <c r="J616" s="610">
        <v>0</v>
      </c>
      <c r="K616" s="167"/>
      <c r="L616" s="167"/>
      <c r="M616" s="167"/>
      <c r="N616" s="167"/>
      <c r="O616" s="167"/>
      <c r="P616" s="167"/>
      <c r="Q616" s="597"/>
      <c r="R616" s="597"/>
      <c r="S616" s="597"/>
      <c r="T616" s="597"/>
      <c r="U616" s="597"/>
      <c r="V616" s="597"/>
      <c r="W616" s="597"/>
      <c r="X616" s="597"/>
      <c r="Y616" s="597"/>
      <c r="Z616" s="597"/>
    </row>
    <row r="617" spans="1:26" ht="18.75" hidden="1">
      <c r="A617" s="607"/>
      <c r="B617" s="609"/>
      <c r="C617" s="609"/>
      <c r="D617" s="609"/>
      <c r="E617" s="711"/>
      <c r="F617" s="711"/>
      <c r="G617" s="365"/>
      <c r="H617" s="369" t="s">
        <v>34</v>
      </c>
      <c r="I617" s="610"/>
      <c r="J617" s="610">
        <v>0</v>
      </c>
      <c r="K617" s="167"/>
      <c r="L617" s="167"/>
      <c r="M617" s="167"/>
      <c r="N617" s="167"/>
      <c r="O617" s="167"/>
      <c r="P617" s="167"/>
      <c r="Q617" s="597"/>
      <c r="R617" s="597"/>
      <c r="S617" s="597"/>
      <c r="T617" s="597"/>
      <c r="U617" s="597"/>
      <c r="V617" s="597"/>
      <c r="W617" s="597"/>
      <c r="X617" s="597"/>
      <c r="Y617" s="597"/>
      <c r="Z617" s="597"/>
    </row>
    <row r="618" spans="1:26" ht="18.75" hidden="1">
      <c r="A618" s="607"/>
      <c r="B618" s="609"/>
      <c r="C618" s="609"/>
      <c r="D618" s="712" t="s">
        <v>265</v>
      </c>
      <c r="E618" s="711"/>
      <c r="F618" s="711"/>
      <c r="G618" s="365"/>
      <c r="H618" s="369" t="s">
        <v>46</v>
      </c>
      <c r="I618" s="610"/>
      <c r="J618" s="610">
        <v>0</v>
      </c>
      <c r="K618" s="167"/>
      <c r="L618" s="167"/>
      <c r="M618" s="167"/>
      <c r="N618" s="167"/>
      <c r="O618" s="167"/>
      <c r="P618" s="167"/>
      <c r="Q618" s="597"/>
      <c r="R618" s="597"/>
      <c r="S618" s="597"/>
      <c r="T618" s="597"/>
      <c r="U618" s="597"/>
      <c r="V618" s="597"/>
      <c r="W618" s="597"/>
      <c r="X618" s="597"/>
      <c r="Y618" s="597"/>
      <c r="Z618" s="597"/>
    </row>
    <row r="619" spans="1:26" ht="18.75" hidden="1">
      <c r="A619" s="607"/>
      <c r="B619" s="609"/>
      <c r="C619" s="609"/>
      <c r="D619" s="609"/>
      <c r="E619" s="711"/>
      <c r="F619" s="711"/>
      <c r="G619" s="365"/>
      <c r="H619" s="369" t="s">
        <v>34</v>
      </c>
      <c r="I619" s="610"/>
      <c r="J619" s="610">
        <v>0</v>
      </c>
      <c r="K619" s="167"/>
      <c r="L619" s="167"/>
      <c r="M619" s="167"/>
      <c r="N619" s="167"/>
      <c r="O619" s="167"/>
      <c r="P619" s="167"/>
      <c r="Q619" s="597"/>
      <c r="R619" s="597"/>
      <c r="S619" s="597"/>
      <c r="T619" s="597"/>
      <c r="U619" s="597"/>
      <c r="V619" s="597"/>
      <c r="W619" s="597"/>
      <c r="X619" s="597"/>
      <c r="Y619" s="597"/>
      <c r="Z619" s="597"/>
    </row>
    <row r="620" spans="1:26" ht="19.5" hidden="1">
      <c r="A620" s="713"/>
      <c r="B620" s="722"/>
      <c r="C620" s="715" t="s">
        <v>266</v>
      </c>
      <c r="D620" s="722"/>
      <c r="E620" s="722"/>
      <c r="F620" s="716"/>
      <c r="G620" s="717"/>
      <c r="H620" s="718" t="s">
        <v>46</v>
      </c>
      <c r="I620" s="719">
        <f ca="1">IFERROR(__xludf.DUMMYFUNCTION("IMPORTRANGE(""https://docs.google.com/spreadsheets/d/1QqKyyYR6Q21VydFLVH3TRQUabQu_ym0Zz7PgGX0-kHA/edit?usp=sharing"",""แผน!HL58"")"),0)</f>
        <v>0</v>
      </c>
      <c r="J620" s="719">
        <f t="shared" ref="J620:J621" si="260">J622+J624+J626</f>
        <v>0</v>
      </c>
      <c r="K620" s="720">
        <f t="shared" ref="K620:K621" ca="1" si="261">IF(I620&gt;0,J620*100/I620,0)</f>
        <v>0</v>
      </c>
      <c r="L620" s="721"/>
      <c r="M620" s="721"/>
      <c r="N620" s="721"/>
      <c r="O620" s="721"/>
      <c r="P620" s="721"/>
      <c r="Q620" s="571"/>
      <c r="R620" s="571"/>
      <c r="S620" s="571"/>
      <c r="T620" s="571"/>
      <c r="U620" s="571"/>
      <c r="V620" s="571"/>
      <c r="W620" s="571"/>
      <c r="X620" s="571"/>
      <c r="Y620" s="571"/>
      <c r="Z620" s="571"/>
    </row>
    <row r="621" spans="1:26" ht="19.5" hidden="1">
      <c r="A621" s="713"/>
      <c r="B621" s="722"/>
      <c r="C621" s="722" t="s">
        <v>267</v>
      </c>
      <c r="D621" s="722"/>
      <c r="E621" s="722"/>
      <c r="F621" s="716"/>
      <c r="G621" s="717"/>
      <c r="H621" s="718" t="s">
        <v>34</v>
      </c>
      <c r="I621" s="719">
        <f ca="1">IFERROR(__xludf.DUMMYFUNCTION("IMPORTRANGE(""https://docs.google.com/spreadsheets/d/1QqKyyYR6Q21VydFLVH3TRQUabQu_ym0Zz7PgGX0-kHA/edit?usp=sharing"",""แผน!HK58"")"),0)</f>
        <v>0</v>
      </c>
      <c r="J621" s="719">
        <f t="shared" si="260"/>
        <v>0</v>
      </c>
      <c r="K621" s="720">
        <f t="shared" ca="1" si="261"/>
        <v>0</v>
      </c>
      <c r="L621" s="721"/>
      <c r="M621" s="721"/>
      <c r="N621" s="721"/>
      <c r="O621" s="721"/>
      <c r="P621" s="721"/>
      <c r="Q621" s="571"/>
      <c r="R621" s="571"/>
      <c r="S621" s="571"/>
      <c r="T621" s="571"/>
      <c r="U621" s="571"/>
      <c r="V621" s="571"/>
      <c r="W621" s="571"/>
      <c r="X621" s="571"/>
      <c r="Y621" s="571"/>
      <c r="Z621" s="571"/>
    </row>
    <row r="622" spans="1:26" ht="18.75" hidden="1">
      <c r="A622" s="601"/>
      <c r="B622" s="611"/>
      <c r="C622" s="611"/>
      <c r="D622" s="737" t="s">
        <v>268</v>
      </c>
      <c r="E622" s="619"/>
      <c r="F622" s="619"/>
      <c r="G622" s="753"/>
      <c r="H622" s="755" t="s">
        <v>46</v>
      </c>
      <c r="I622" s="269"/>
      <c r="J622" s="214">
        <v>0</v>
      </c>
      <c r="K622" s="163"/>
      <c r="L622" s="163"/>
      <c r="M622" s="163"/>
      <c r="N622" s="163"/>
      <c r="O622" s="163"/>
      <c r="P622" s="163"/>
      <c r="Q622" s="571"/>
      <c r="R622" s="571"/>
      <c r="S622" s="571"/>
      <c r="T622" s="571"/>
      <c r="U622" s="571"/>
      <c r="V622" s="571"/>
      <c r="W622" s="571"/>
      <c r="X622" s="571"/>
      <c r="Y622" s="571"/>
      <c r="Z622" s="571"/>
    </row>
    <row r="623" spans="1:26" ht="18.75" hidden="1">
      <c r="A623" s="601"/>
      <c r="B623" s="611"/>
      <c r="C623" s="611"/>
      <c r="D623" s="611"/>
      <c r="E623" s="619"/>
      <c r="F623" s="619"/>
      <c r="G623" s="753"/>
      <c r="H623" s="755" t="s">
        <v>34</v>
      </c>
      <c r="I623" s="269"/>
      <c r="J623" s="214">
        <v>0</v>
      </c>
      <c r="K623" s="163"/>
      <c r="L623" s="163"/>
      <c r="M623" s="163"/>
      <c r="N623" s="163"/>
      <c r="O623" s="163"/>
      <c r="P623" s="163"/>
      <c r="Q623" s="571"/>
      <c r="R623" s="571"/>
      <c r="S623" s="571"/>
      <c r="T623" s="571"/>
      <c r="U623" s="571"/>
      <c r="V623" s="571"/>
      <c r="W623" s="571"/>
      <c r="X623" s="571"/>
      <c r="Y623" s="571"/>
      <c r="Z623" s="571"/>
    </row>
    <row r="624" spans="1:26" ht="18.75" hidden="1">
      <c r="A624" s="601"/>
      <c r="B624" s="611"/>
      <c r="C624" s="611"/>
      <c r="D624" s="737" t="s">
        <v>264</v>
      </c>
      <c r="E624" s="619"/>
      <c r="F624" s="619"/>
      <c r="G624" s="753"/>
      <c r="H624" s="755" t="s">
        <v>46</v>
      </c>
      <c r="I624" s="269"/>
      <c r="J624" s="214">
        <v>0</v>
      </c>
      <c r="K624" s="163"/>
      <c r="L624" s="163"/>
      <c r="M624" s="163"/>
      <c r="N624" s="163"/>
      <c r="O624" s="163"/>
      <c r="P624" s="163"/>
      <c r="Q624" s="571"/>
      <c r="R624" s="571"/>
      <c r="S624" s="571"/>
      <c r="T624" s="571"/>
      <c r="U624" s="571"/>
      <c r="V624" s="571"/>
      <c r="W624" s="571"/>
      <c r="X624" s="571"/>
      <c r="Y624" s="571"/>
      <c r="Z624" s="571"/>
    </row>
    <row r="625" spans="1:26" ht="18.75" hidden="1">
      <c r="A625" s="601"/>
      <c r="B625" s="611"/>
      <c r="C625" s="611"/>
      <c r="D625" s="611"/>
      <c r="E625" s="619"/>
      <c r="F625" s="619"/>
      <c r="G625" s="753"/>
      <c r="H625" s="755" t="s">
        <v>34</v>
      </c>
      <c r="I625" s="269"/>
      <c r="J625" s="214">
        <v>0</v>
      </c>
      <c r="K625" s="163"/>
      <c r="L625" s="163"/>
      <c r="M625" s="163"/>
      <c r="N625" s="163"/>
      <c r="O625" s="163"/>
      <c r="P625" s="163"/>
      <c r="Q625" s="571"/>
      <c r="R625" s="571"/>
      <c r="S625" s="571"/>
      <c r="T625" s="571"/>
      <c r="U625" s="571"/>
      <c r="V625" s="571"/>
      <c r="W625" s="571"/>
      <c r="X625" s="571"/>
      <c r="Y625" s="571"/>
      <c r="Z625" s="571"/>
    </row>
    <row r="626" spans="1:26" ht="18.75" hidden="1">
      <c r="A626" s="601"/>
      <c r="B626" s="611"/>
      <c r="C626" s="611"/>
      <c r="D626" s="737" t="s">
        <v>269</v>
      </c>
      <c r="E626" s="619"/>
      <c r="F626" s="619"/>
      <c r="G626" s="753"/>
      <c r="H626" s="755" t="s">
        <v>46</v>
      </c>
      <c r="I626" s="269"/>
      <c r="J626" s="214">
        <v>0</v>
      </c>
      <c r="K626" s="163"/>
      <c r="L626" s="163"/>
      <c r="M626" s="163"/>
      <c r="N626" s="163"/>
      <c r="O626" s="163"/>
      <c r="P626" s="163"/>
      <c r="Q626" s="571"/>
      <c r="R626" s="571"/>
      <c r="S626" s="571"/>
      <c r="T626" s="571"/>
      <c r="U626" s="571"/>
      <c r="V626" s="571"/>
      <c r="W626" s="571"/>
      <c r="X626" s="571"/>
      <c r="Y626" s="571"/>
      <c r="Z626" s="571"/>
    </row>
    <row r="627" spans="1:26" ht="18.75" hidden="1">
      <c r="A627" s="723"/>
      <c r="B627" s="724"/>
      <c r="C627" s="724"/>
      <c r="D627" s="724"/>
      <c r="E627" s="725"/>
      <c r="F627" s="725"/>
      <c r="G627" s="726"/>
      <c r="H627" s="421" t="s">
        <v>34</v>
      </c>
      <c r="I627" s="499"/>
      <c r="J627" s="423">
        <v>0</v>
      </c>
      <c r="K627" s="384"/>
      <c r="L627" s="384"/>
      <c r="M627" s="384"/>
      <c r="N627" s="384"/>
      <c r="O627" s="384"/>
      <c r="P627" s="384"/>
      <c r="Q627" s="571"/>
      <c r="R627" s="571"/>
      <c r="S627" s="571"/>
      <c r="T627" s="571"/>
      <c r="U627" s="571"/>
      <c r="V627" s="571"/>
      <c r="W627" s="571"/>
      <c r="X627" s="571"/>
      <c r="Y627" s="571"/>
      <c r="Z627" s="571"/>
    </row>
    <row r="628" spans="1:26" ht="19.5">
      <c r="A628" s="727">
        <v>7</v>
      </c>
      <c r="B628" s="728" t="s">
        <v>270</v>
      </c>
      <c r="C628" s="729"/>
      <c r="D628" s="729"/>
      <c r="E628" s="729"/>
      <c r="F628" s="729"/>
      <c r="G628" s="730"/>
      <c r="H628" s="731" t="s">
        <v>35</v>
      </c>
      <c r="I628" s="732">
        <f t="shared" ref="I628:J628" ca="1" si="262">I651</f>
        <v>90</v>
      </c>
      <c r="J628" s="732">
        <f t="shared" ca="1" si="262"/>
        <v>0</v>
      </c>
      <c r="K628" s="733">
        <f ca="1">IF(I628&gt;0,J628*100/I628,0)</f>
        <v>0</v>
      </c>
      <c r="L628" s="734"/>
      <c r="M628" s="734"/>
      <c r="N628" s="734"/>
      <c r="O628" s="734"/>
      <c r="P628" s="734"/>
      <c r="Q628" s="571"/>
      <c r="R628" s="571"/>
      <c r="S628" s="571"/>
      <c r="T628" s="571"/>
      <c r="U628" s="571"/>
      <c r="V628" s="571"/>
      <c r="W628" s="571"/>
      <c r="X628" s="571"/>
      <c r="Y628" s="571"/>
      <c r="Z628" s="571"/>
    </row>
    <row r="629" spans="1:26" ht="19.5">
      <c r="A629" s="590"/>
      <c r="B629" s="754"/>
      <c r="C629" s="754" t="s">
        <v>16</v>
      </c>
      <c r="D629" s="863" t="s">
        <v>17</v>
      </c>
      <c r="E629" s="857"/>
      <c r="F629" s="857"/>
      <c r="G629" s="189"/>
      <c r="H629" s="591" t="s">
        <v>12</v>
      </c>
      <c r="I629" s="269"/>
      <c r="J629" s="269"/>
      <c r="K629" s="496"/>
      <c r="L629" s="195">
        <f t="shared" ref="L629:N629" ca="1" si="263">L630+L631</f>
        <v>332910</v>
      </c>
      <c r="M629" s="195">
        <f t="shared" si="263"/>
        <v>0</v>
      </c>
      <c r="N629" s="195">
        <f t="shared" si="263"/>
        <v>13000</v>
      </c>
      <c r="O629" s="195">
        <f t="shared" ref="O629:O634" ca="1" si="264">IF(L629&gt;0,N629*100/L629,0)</f>
        <v>3.9049592983088521</v>
      </c>
      <c r="P629" s="195">
        <f t="shared" ref="P629:P634" si="265">IF(M629&gt;0,N629*100/M629,0)</f>
        <v>0</v>
      </c>
      <c r="Q629" s="571"/>
      <c r="R629" s="571"/>
      <c r="S629" s="571"/>
      <c r="T629" s="571"/>
      <c r="U629" s="571"/>
      <c r="V629" s="571"/>
      <c r="W629" s="571"/>
      <c r="X629" s="571"/>
      <c r="Y629" s="571"/>
      <c r="Z629" s="571"/>
    </row>
    <row r="630" spans="1:26" ht="18.75" hidden="1">
      <c r="A630" s="592"/>
      <c r="B630" s="750"/>
      <c r="C630" s="750"/>
      <c r="D630" s="711"/>
      <c r="E630" s="750" t="s">
        <v>184</v>
      </c>
      <c r="F630" s="750"/>
      <c r="G630" s="596"/>
      <c r="H630" s="165" t="s">
        <v>12</v>
      </c>
      <c r="I630" s="610"/>
      <c r="J630" s="610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597"/>
      <c r="R630" s="597"/>
      <c r="S630" s="597"/>
      <c r="T630" s="597"/>
      <c r="U630" s="597"/>
      <c r="V630" s="597"/>
      <c r="W630" s="597"/>
      <c r="X630" s="597"/>
      <c r="Y630" s="597"/>
      <c r="Z630" s="597"/>
    </row>
    <row r="631" spans="1:26" ht="18.75" hidden="1">
      <c r="A631" s="592"/>
      <c r="B631" s="600"/>
      <c r="C631" s="750"/>
      <c r="D631" s="711"/>
      <c r="E631" s="750" t="s">
        <v>185</v>
      </c>
      <c r="F631" s="750"/>
      <c r="G631" s="596"/>
      <c r="H631" s="165" t="s">
        <v>12</v>
      </c>
      <c r="I631" s="610"/>
      <c r="J631" s="610"/>
      <c r="K631" s="93"/>
      <c r="L631" s="93">
        <f t="shared" ca="1" si="266"/>
        <v>332910</v>
      </c>
      <c r="M631" s="93">
        <f t="shared" si="266"/>
        <v>0</v>
      </c>
      <c r="N631" s="93">
        <f t="shared" si="266"/>
        <v>13000</v>
      </c>
      <c r="O631" s="93">
        <f t="shared" ca="1" si="264"/>
        <v>3.9049592983088521</v>
      </c>
      <c r="P631" s="93">
        <f t="shared" si="265"/>
        <v>0</v>
      </c>
      <c r="Q631" s="597"/>
      <c r="R631" s="597"/>
      <c r="S631" s="597"/>
      <c r="T631" s="597"/>
      <c r="U631" s="597"/>
      <c r="V631" s="597"/>
      <c r="W631" s="597"/>
      <c r="X631" s="597"/>
      <c r="Y631" s="597"/>
      <c r="Z631" s="597"/>
    </row>
    <row r="632" spans="1:26" ht="18.75">
      <c r="A632" s="590"/>
      <c r="B632" s="568"/>
      <c r="C632" s="754"/>
      <c r="D632" s="599" t="s">
        <v>20</v>
      </c>
      <c r="E632" s="754"/>
      <c r="F632" s="754"/>
      <c r="G632" s="189"/>
      <c r="H632" s="161" t="s">
        <v>12</v>
      </c>
      <c r="I632" s="184"/>
      <c r="J632" s="184"/>
      <c r="K632" s="163"/>
      <c r="L632" s="496">
        <f t="shared" ref="L632:N632" ca="1" si="267">L633+L634</f>
        <v>332910</v>
      </c>
      <c r="M632" s="496">
        <f t="shared" si="267"/>
        <v>0</v>
      </c>
      <c r="N632" s="496">
        <f t="shared" si="267"/>
        <v>13000</v>
      </c>
      <c r="O632" s="496">
        <f t="shared" ca="1" si="264"/>
        <v>3.9049592983088521</v>
      </c>
      <c r="P632" s="496">
        <f t="shared" si="265"/>
        <v>0</v>
      </c>
      <c r="Q632" s="571"/>
      <c r="R632" s="571"/>
      <c r="S632" s="571"/>
      <c r="T632" s="571"/>
      <c r="U632" s="571"/>
      <c r="V632" s="571"/>
      <c r="W632" s="571"/>
      <c r="X632" s="571"/>
      <c r="Y632" s="571"/>
      <c r="Z632" s="571"/>
    </row>
    <row r="633" spans="1:26" ht="18.75" hidden="1">
      <c r="A633" s="592"/>
      <c r="B633" s="600"/>
      <c r="C633" s="750"/>
      <c r="D633" s="711"/>
      <c r="E633" s="750" t="s">
        <v>184</v>
      </c>
      <c r="F633" s="750"/>
      <c r="G633" s="596"/>
      <c r="H633" s="165" t="s">
        <v>12</v>
      </c>
      <c r="I633" s="610"/>
      <c r="J633" s="610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597"/>
      <c r="R633" s="597"/>
      <c r="S633" s="597"/>
      <c r="T633" s="597"/>
      <c r="U633" s="597"/>
      <c r="V633" s="597"/>
      <c r="W633" s="597"/>
      <c r="X633" s="597"/>
      <c r="Y633" s="597"/>
      <c r="Z633" s="597"/>
    </row>
    <row r="634" spans="1:26" ht="18.75" hidden="1">
      <c r="A634" s="592"/>
      <c r="B634" s="600"/>
      <c r="C634" s="750"/>
      <c r="D634" s="711"/>
      <c r="E634" s="750" t="s">
        <v>185</v>
      </c>
      <c r="F634" s="750"/>
      <c r="G634" s="596"/>
      <c r="H634" s="165" t="s">
        <v>12</v>
      </c>
      <c r="I634" s="610"/>
      <c r="J634" s="610"/>
      <c r="K634" s="93"/>
      <c r="L634" s="93">
        <f ca="1">IFERROR(__xludf.DUMMYFUNCTION("IMPORTRANGE(""https://docs.google.com/spreadsheets/d/1QqKyyYR6Q21VydFLVH3TRQUabQu_ym0Zz7PgGX0-kHA/edit?usp=sharing"",""แผน!HN58"")"),332910)</f>
        <v>332910</v>
      </c>
      <c r="M634" s="93">
        <v>0</v>
      </c>
      <c r="N634" s="93">
        <f>N635+N636+N637+N638</f>
        <v>13000</v>
      </c>
      <c r="O634" s="93">
        <f t="shared" ca="1" si="264"/>
        <v>3.9049592983088521</v>
      </c>
      <c r="P634" s="93">
        <f t="shared" si="265"/>
        <v>0</v>
      </c>
      <c r="Q634" s="597"/>
      <c r="R634" s="597"/>
      <c r="S634" s="597"/>
      <c r="T634" s="597"/>
      <c r="U634" s="597"/>
      <c r="V634" s="597"/>
      <c r="W634" s="597"/>
      <c r="X634" s="597"/>
      <c r="Y634" s="597"/>
      <c r="Z634" s="597"/>
    </row>
    <row r="635" spans="1:26" ht="18.75">
      <c r="A635" s="567"/>
      <c r="B635" s="568"/>
      <c r="C635" s="754"/>
      <c r="D635" s="754"/>
      <c r="E635" s="754"/>
      <c r="F635" s="754" t="s">
        <v>186</v>
      </c>
      <c r="G635" s="189"/>
      <c r="H635" s="161" t="s">
        <v>12</v>
      </c>
      <c r="I635" s="269"/>
      <c r="J635" s="269"/>
      <c r="K635" s="496"/>
      <c r="L635" s="496"/>
      <c r="M635" s="496"/>
      <c r="N635" s="817">
        <v>0</v>
      </c>
      <c r="O635" s="496"/>
      <c r="P635" s="496"/>
      <c r="Q635" s="571"/>
      <c r="R635" s="571"/>
      <c r="S635" s="571"/>
      <c r="T635" s="571"/>
      <c r="U635" s="571"/>
      <c r="V635" s="571"/>
      <c r="W635" s="571"/>
      <c r="X635" s="571"/>
      <c r="Y635" s="571"/>
      <c r="Z635" s="571"/>
    </row>
    <row r="636" spans="1:26" ht="18.75">
      <c r="A636" s="567"/>
      <c r="B636" s="568"/>
      <c r="C636" s="754"/>
      <c r="D636" s="754"/>
      <c r="E636" s="754"/>
      <c r="F636" s="754" t="s">
        <v>187</v>
      </c>
      <c r="G636" s="189"/>
      <c r="H636" s="161" t="s">
        <v>12</v>
      </c>
      <c r="I636" s="269"/>
      <c r="J636" s="269"/>
      <c r="K636" s="496"/>
      <c r="L636" s="496"/>
      <c r="M636" s="496"/>
      <c r="N636" s="817">
        <v>0</v>
      </c>
      <c r="O636" s="496"/>
      <c r="P636" s="496"/>
      <c r="Q636" s="571"/>
      <c r="R636" s="571"/>
      <c r="S636" s="571"/>
      <c r="T636" s="571"/>
      <c r="U636" s="571"/>
      <c r="V636" s="571"/>
      <c r="W636" s="571"/>
      <c r="X636" s="571"/>
      <c r="Y636" s="571"/>
      <c r="Z636" s="571"/>
    </row>
    <row r="637" spans="1:26" ht="18.75">
      <c r="A637" s="567"/>
      <c r="B637" s="568"/>
      <c r="C637" s="754"/>
      <c r="D637" s="754"/>
      <c r="E637" s="754"/>
      <c r="F637" s="754" t="s">
        <v>188</v>
      </c>
      <c r="G637" s="189"/>
      <c r="H637" s="161" t="s">
        <v>12</v>
      </c>
      <c r="I637" s="269"/>
      <c r="J637" s="269"/>
      <c r="K637" s="496"/>
      <c r="L637" s="496"/>
      <c r="M637" s="496"/>
      <c r="N637" s="817">
        <v>13000</v>
      </c>
      <c r="O637" s="496"/>
      <c r="P637" s="496"/>
      <c r="Q637" s="571"/>
      <c r="R637" s="571"/>
      <c r="S637" s="571"/>
      <c r="T637" s="571"/>
      <c r="U637" s="571"/>
      <c r="V637" s="571"/>
      <c r="W637" s="571"/>
      <c r="X637" s="571"/>
      <c r="Y637" s="571"/>
      <c r="Z637" s="571"/>
    </row>
    <row r="638" spans="1:26" ht="18.75">
      <c r="A638" s="567"/>
      <c r="B638" s="568"/>
      <c r="C638" s="754"/>
      <c r="D638" s="754"/>
      <c r="E638" s="754"/>
      <c r="F638" s="754" t="s">
        <v>189</v>
      </c>
      <c r="G638" s="189"/>
      <c r="H638" s="161" t="s">
        <v>12</v>
      </c>
      <c r="I638" s="269"/>
      <c r="J638" s="269"/>
      <c r="K638" s="496"/>
      <c r="L638" s="496"/>
      <c r="M638" s="496"/>
      <c r="N638" s="817">
        <v>0</v>
      </c>
      <c r="O638" s="496"/>
      <c r="P638" s="496"/>
      <c r="Q638" s="571"/>
      <c r="R638" s="571"/>
      <c r="S638" s="571"/>
      <c r="T638" s="571"/>
      <c r="U638" s="571"/>
      <c r="V638" s="571"/>
      <c r="W638" s="571"/>
      <c r="X638" s="571"/>
      <c r="Y638" s="571"/>
      <c r="Z638" s="571"/>
    </row>
    <row r="639" spans="1:26" ht="18.75">
      <c r="A639" s="590"/>
      <c r="B639" s="568"/>
      <c r="C639" s="754"/>
      <c r="D639" s="599" t="s">
        <v>21</v>
      </c>
      <c r="E639" s="754"/>
      <c r="F639" s="754"/>
      <c r="G639" s="189"/>
      <c r="H639" s="168" t="s">
        <v>12</v>
      </c>
      <c r="I639" s="184"/>
      <c r="J639" s="184"/>
      <c r="K639" s="163"/>
      <c r="L639" s="496">
        <f t="shared" ref="L639:N639" ca="1" si="268">L640+L641</f>
        <v>0</v>
      </c>
      <c r="M639" s="496">
        <f t="shared" si="268"/>
        <v>0</v>
      </c>
      <c r="N639" s="496">
        <f t="shared" si="268"/>
        <v>0</v>
      </c>
      <c r="O639" s="496">
        <f t="shared" ref="O639:O641" ca="1" si="269">IF(L639&gt;0,N639*100/L639,0)</f>
        <v>0</v>
      </c>
      <c r="P639" s="496">
        <f t="shared" ref="P639:P641" si="270">IF(M639&gt;0,N639*100/M639,0)</f>
        <v>0</v>
      </c>
      <c r="Q639" s="571"/>
      <c r="R639" s="571"/>
      <c r="S639" s="571"/>
      <c r="T639" s="571"/>
      <c r="U639" s="571"/>
      <c r="V639" s="571"/>
      <c r="W639" s="571"/>
      <c r="X639" s="571"/>
      <c r="Y639" s="571"/>
      <c r="Z639" s="571"/>
    </row>
    <row r="640" spans="1:26" ht="18.75" hidden="1">
      <c r="A640" s="592"/>
      <c r="B640" s="600"/>
      <c r="C640" s="750"/>
      <c r="D640" s="750"/>
      <c r="E640" s="750" t="s">
        <v>18</v>
      </c>
      <c r="F640" s="750"/>
      <c r="G640" s="596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597"/>
      <c r="R640" s="597"/>
      <c r="S640" s="597"/>
      <c r="T640" s="597"/>
      <c r="U640" s="597"/>
      <c r="V640" s="597"/>
      <c r="W640" s="597"/>
      <c r="X640" s="597"/>
      <c r="Y640" s="597"/>
      <c r="Z640" s="597"/>
    </row>
    <row r="641" spans="1:26" ht="18.75" hidden="1">
      <c r="A641" s="592"/>
      <c r="B641" s="600"/>
      <c r="C641" s="750"/>
      <c r="D641" s="750"/>
      <c r="E641" s="750" t="s">
        <v>19</v>
      </c>
      <c r="F641" s="750"/>
      <c r="G641" s="596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IFERROR(__xludf.DUMMYFUNCTION("IMPORTRANGE(""https://docs.google.com/spreadsheets/d/1QqKyyYR6Q21VydFLVH3TRQUabQu_ym0Zz7PgGX0-kHA/edit?usp=sharing"",""แผน!HQ58"")"),0)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597"/>
      <c r="R641" s="597"/>
      <c r="S641" s="597"/>
      <c r="T641" s="597"/>
      <c r="U641" s="597"/>
      <c r="V641" s="597"/>
      <c r="W641" s="597"/>
      <c r="X641" s="597"/>
      <c r="Y641" s="597"/>
      <c r="Z641" s="597"/>
    </row>
    <row r="642" spans="1:26" ht="19.5">
      <c r="A642" s="601"/>
      <c r="B642" s="611"/>
      <c r="C642" s="754" t="s">
        <v>16</v>
      </c>
      <c r="D642" s="839" t="s">
        <v>38</v>
      </c>
      <c r="E642" s="752"/>
      <c r="F642" s="752"/>
      <c r="G642" s="606"/>
      <c r="H642" s="753"/>
      <c r="I642" s="184"/>
      <c r="J642" s="184"/>
      <c r="K642" s="163"/>
      <c r="L642" s="163"/>
      <c r="M642" s="163"/>
      <c r="N642" s="163"/>
      <c r="O642" s="163"/>
      <c r="P642" s="163"/>
      <c r="Q642" s="571"/>
      <c r="R642" s="571"/>
      <c r="S642" s="571"/>
      <c r="T642" s="571"/>
      <c r="U642" s="571"/>
      <c r="V642" s="571"/>
      <c r="W642" s="571"/>
      <c r="X642" s="571"/>
      <c r="Y642" s="571"/>
      <c r="Z642" s="571"/>
    </row>
    <row r="643" spans="1:26" ht="18.75">
      <c r="A643" s="735"/>
      <c r="B643" s="568"/>
      <c r="C643" s="754"/>
      <c r="D643" s="619"/>
      <c r="E643" s="737" t="s">
        <v>271</v>
      </c>
      <c r="F643" s="619"/>
      <c r="G643" s="753"/>
      <c r="H643" s="755" t="s">
        <v>272</v>
      </c>
      <c r="I643" s="269">
        <f ca="1">IFERROR(__xludf.DUMMYFUNCTION("IMPORTRANGE(""https://docs.google.com/spreadsheets/d/1QqKyyYR6Q21VydFLVH3TRQUabQu_ym0Zz7PgGX0-kHA/edit?usp=sharing"",""แผน!HR58"")"),0)</f>
        <v>0</v>
      </c>
      <c r="J643" s="214">
        <v>0</v>
      </c>
      <c r="K643" s="163">
        <f t="shared" ref="K643:K652" ca="1" si="271">IF(I643&gt;0,J643*100/I643,0)</f>
        <v>0</v>
      </c>
      <c r="L643" s="163"/>
      <c r="M643" s="163"/>
      <c r="N643" s="496"/>
      <c r="O643" s="163"/>
      <c r="P643" s="163"/>
      <c r="Q643" s="571"/>
      <c r="R643" s="571"/>
      <c r="S643" s="571"/>
      <c r="T643" s="571"/>
      <c r="U643" s="571"/>
      <c r="V643" s="571"/>
      <c r="W643" s="571"/>
      <c r="X643" s="571"/>
      <c r="Y643" s="571"/>
      <c r="Z643" s="571"/>
    </row>
    <row r="644" spans="1:26" ht="18.75">
      <c r="A644" s="735"/>
      <c r="B644" s="568"/>
      <c r="C644" s="754"/>
      <c r="D644" s="619"/>
      <c r="E644" s="737" t="s">
        <v>273</v>
      </c>
      <c r="F644" s="619"/>
      <c r="G644" s="753"/>
      <c r="H644" s="755" t="s">
        <v>274</v>
      </c>
      <c r="I644" s="269">
        <f ca="1">IFERROR(__xludf.DUMMYFUNCTION("IMPORTRANGE(""https://docs.google.com/spreadsheets/d/1QqKyyYR6Q21VydFLVH3TRQUabQu_ym0Zz7PgGX0-kHA/edit?usp=sharing"",""แผน!HR58"")"),0)</f>
        <v>0</v>
      </c>
      <c r="J644" s="214">
        <v>0</v>
      </c>
      <c r="K644" s="163">
        <f t="shared" ca="1" si="271"/>
        <v>0</v>
      </c>
      <c r="L644" s="163"/>
      <c r="M644" s="163"/>
      <c r="N644" s="496"/>
      <c r="O644" s="163"/>
      <c r="P644" s="163"/>
      <c r="Q644" s="571"/>
      <c r="R644" s="571"/>
      <c r="S644" s="571"/>
      <c r="T644" s="571"/>
      <c r="U644" s="571"/>
      <c r="V644" s="571"/>
      <c r="W644" s="571"/>
      <c r="X644" s="571"/>
      <c r="Y644" s="571"/>
      <c r="Z644" s="571"/>
    </row>
    <row r="645" spans="1:26" ht="18.75">
      <c r="A645" s="735"/>
      <c r="B645" s="568"/>
      <c r="C645" s="754"/>
      <c r="D645" s="619"/>
      <c r="E645" s="737" t="s">
        <v>275</v>
      </c>
      <c r="F645" s="619"/>
      <c r="G645" s="753"/>
      <c r="H645" s="755" t="s">
        <v>34</v>
      </c>
      <c r="I645" s="269">
        <v>0</v>
      </c>
      <c r="J645" s="269">
        <f ca="1">IFERROR(__xludf.DUMMYFUNCTION("IMPORTRANGE(""https://docs.google.com/spreadsheets/d/1XWAQStnk-4SwqDmLtmXYiTMKHgktTP8We1SCoS47DrQ/edit?usp=sharing"",""จัดที่ดิน!AS58"")"),0)</f>
        <v>0</v>
      </c>
      <c r="K645" s="163">
        <f t="shared" si="271"/>
        <v>0</v>
      </c>
      <c r="L645" s="163"/>
      <c r="M645" s="163"/>
      <c r="N645" s="496"/>
      <c r="O645" s="163"/>
      <c r="P645" s="163"/>
      <c r="Q645" s="571"/>
      <c r="R645" s="571"/>
      <c r="S645" s="571"/>
      <c r="T645" s="571"/>
      <c r="U645" s="571"/>
      <c r="V645" s="571"/>
      <c r="W645" s="571"/>
      <c r="X645" s="571"/>
      <c r="Y645" s="571"/>
      <c r="Z645" s="571"/>
    </row>
    <row r="646" spans="1:26" ht="18.75">
      <c r="A646" s="735"/>
      <c r="B646" s="568"/>
      <c r="C646" s="754"/>
      <c r="D646" s="619"/>
      <c r="E646" s="619"/>
      <c r="F646" s="619"/>
      <c r="G646" s="753"/>
      <c r="H646" s="755" t="s">
        <v>46</v>
      </c>
      <c r="I646" s="269">
        <v>0</v>
      </c>
      <c r="J646" s="269">
        <f ca="1">IFERROR(__xludf.DUMMYFUNCTION("IMPORTRANGE(""https://docs.google.com/spreadsheets/d/1XWAQStnk-4SwqDmLtmXYiTMKHgktTP8We1SCoS47DrQ/edit?usp=sharing"",""จัดที่ดิน!AT58"")"),0)</f>
        <v>0</v>
      </c>
      <c r="K646" s="496">
        <f t="shared" si="271"/>
        <v>0</v>
      </c>
      <c r="L646" s="163"/>
      <c r="M646" s="163"/>
      <c r="N646" s="496"/>
      <c r="O646" s="163"/>
      <c r="P646" s="163"/>
      <c r="Q646" s="571"/>
      <c r="R646" s="571"/>
      <c r="S646" s="571"/>
      <c r="T646" s="571"/>
      <c r="U646" s="571"/>
      <c r="V646" s="571"/>
      <c r="W646" s="571"/>
      <c r="X646" s="571"/>
      <c r="Y646" s="571"/>
      <c r="Z646" s="571"/>
    </row>
    <row r="647" spans="1:26" ht="18.75">
      <c r="A647" s="735"/>
      <c r="B647" s="568"/>
      <c r="C647" s="754"/>
      <c r="D647" s="619"/>
      <c r="E647" s="737" t="s">
        <v>162</v>
      </c>
      <c r="F647" s="619"/>
      <c r="G647" s="753"/>
      <c r="H647" s="755" t="s">
        <v>35</v>
      </c>
      <c r="I647" s="269">
        <f ca="1">IFERROR(__xludf.DUMMYFUNCTION("IMPORTRANGE(""https://docs.google.com/spreadsheets/d/1QqKyyYR6Q21VydFLVH3TRQUabQu_ym0Zz7PgGX0-kHA/edit?usp=sharing"",""แผน!HS58"")"),90)</f>
        <v>90</v>
      </c>
      <c r="J647" s="269">
        <f ca="1">IFERROR(__xludf.DUMMYFUNCTION("IMPORTRANGE(""https://docs.google.com/spreadsheets/d/1XWAQStnk-4SwqDmLtmXYiTMKHgktTP8We1SCoS47DrQ/edit?usp=sharing"",""จัดที่ดิน!AU58"")"),0)</f>
        <v>0</v>
      </c>
      <c r="K647" s="163">
        <f t="shared" ca="1" si="271"/>
        <v>0</v>
      </c>
      <c r="L647" s="163"/>
      <c r="M647" s="163"/>
      <c r="N647" s="163"/>
      <c r="O647" s="163"/>
      <c r="P647" s="163"/>
      <c r="Q647" s="571"/>
      <c r="R647" s="571"/>
      <c r="S647" s="571"/>
      <c r="T647" s="571"/>
      <c r="U647" s="571"/>
      <c r="V647" s="571"/>
      <c r="W647" s="571"/>
      <c r="X647" s="571"/>
      <c r="Y647" s="571"/>
      <c r="Z647" s="571"/>
    </row>
    <row r="648" spans="1:26" ht="18.75">
      <c r="A648" s="735"/>
      <c r="B648" s="568"/>
      <c r="C648" s="754"/>
      <c r="D648" s="619"/>
      <c r="E648" s="619"/>
      <c r="F648" s="619"/>
      <c r="G648" s="753"/>
      <c r="H648" s="755" t="s">
        <v>46</v>
      </c>
      <c r="I648" s="269">
        <v>0</v>
      </c>
      <c r="J648" s="269">
        <f ca="1">IFERROR(__xludf.DUMMYFUNCTION("IMPORTRANGE(""https://docs.google.com/spreadsheets/d/1XWAQStnk-4SwqDmLtmXYiTMKHgktTP8We1SCoS47DrQ/edit?usp=sharing"",""จัดที่ดิน!AV58"")"),0)</f>
        <v>0</v>
      </c>
      <c r="K648" s="496">
        <f t="shared" si="271"/>
        <v>0</v>
      </c>
      <c r="L648" s="163"/>
      <c r="M648" s="163"/>
      <c r="N648" s="163"/>
      <c r="O648" s="163"/>
      <c r="P648" s="163"/>
      <c r="Q648" s="571"/>
      <c r="R648" s="571"/>
      <c r="S648" s="571"/>
      <c r="T648" s="571"/>
      <c r="U648" s="571"/>
      <c r="V648" s="571"/>
      <c r="W648" s="571"/>
      <c r="X648" s="571"/>
      <c r="Y648" s="571"/>
      <c r="Z648" s="571"/>
    </row>
    <row r="649" spans="1:26" ht="18.75">
      <c r="A649" s="735"/>
      <c r="B649" s="568"/>
      <c r="C649" s="754"/>
      <c r="D649" s="619"/>
      <c r="E649" s="737" t="s">
        <v>276</v>
      </c>
      <c r="F649" s="619"/>
      <c r="G649" s="753"/>
      <c r="H649" s="755" t="s">
        <v>35</v>
      </c>
      <c r="I649" s="269">
        <f ca="1">IFERROR(__xludf.DUMMYFUNCTION("IMPORTRANGE(""https://docs.google.com/spreadsheets/d/1QqKyyYR6Q21VydFLVH3TRQUabQu_ym0Zz7PgGX0-kHA/edit?usp=sharing"",""แผน!HS58"")"),90)</f>
        <v>90</v>
      </c>
      <c r="J649" s="269">
        <f ca="1">IFERROR(__xludf.DUMMYFUNCTION("IMPORTRANGE(""https://docs.google.com/spreadsheets/d/1XWAQStnk-4SwqDmLtmXYiTMKHgktTP8We1SCoS47DrQ/edit?usp=sharing"",""จัดที่ดิน!AW58"")"),0)</f>
        <v>0</v>
      </c>
      <c r="K649" s="163">
        <f t="shared" ca="1" si="271"/>
        <v>0</v>
      </c>
      <c r="L649" s="163"/>
      <c r="M649" s="163"/>
      <c r="N649" s="163"/>
      <c r="O649" s="163"/>
      <c r="P649" s="163"/>
      <c r="Q649" s="571"/>
      <c r="R649" s="571"/>
      <c r="S649" s="571"/>
      <c r="T649" s="571"/>
      <c r="U649" s="571"/>
      <c r="V649" s="571"/>
      <c r="W649" s="571"/>
      <c r="X649" s="571"/>
      <c r="Y649" s="571"/>
      <c r="Z649" s="571"/>
    </row>
    <row r="650" spans="1:26" ht="18.75">
      <c r="A650" s="735"/>
      <c r="B650" s="568"/>
      <c r="C650" s="754"/>
      <c r="D650" s="619"/>
      <c r="E650" s="619"/>
      <c r="F650" s="619"/>
      <c r="G650" s="753"/>
      <c r="H650" s="755" t="s">
        <v>46</v>
      </c>
      <c r="I650" s="269">
        <v>0</v>
      </c>
      <c r="J650" s="269">
        <f ca="1">IFERROR(__xludf.DUMMYFUNCTION("IMPORTRANGE(""https://docs.google.com/spreadsheets/d/1XWAQStnk-4SwqDmLtmXYiTMKHgktTP8We1SCoS47DrQ/edit?usp=sharing"",""จัดที่ดิน!AX58"")"),0)</f>
        <v>0</v>
      </c>
      <c r="K650" s="496">
        <f t="shared" si="271"/>
        <v>0</v>
      </c>
      <c r="L650" s="163"/>
      <c r="M650" s="163"/>
      <c r="N650" s="163"/>
      <c r="O650" s="163"/>
      <c r="P650" s="163"/>
      <c r="Q650" s="571"/>
      <c r="R650" s="571"/>
      <c r="S650" s="571"/>
      <c r="T650" s="571"/>
      <c r="U650" s="571"/>
      <c r="V650" s="571"/>
      <c r="W650" s="571"/>
      <c r="X650" s="571"/>
      <c r="Y650" s="571"/>
      <c r="Z650" s="571"/>
    </row>
    <row r="651" spans="1:26" ht="18.75">
      <c r="A651" s="735"/>
      <c r="B651" s="568"/>
      <c r="C651" s="754"/>
      <c r="D651" s="619"/>
      <c r="E651" s="737" t="s">
        <v>277</v>
      </c>
      <c r="F651" s="619"/>
      <c r="G651" s="753"/>
      <c r="H651" s="755" t="s">
        <v>35</v>
      </c>
      <c r="I651" s="269">
        <f ca="1">IFERROR(__xludf.DUMMYFUNCTION("IMPORTRANGE(""https://docs.google.com/spreadsheets/d/1QqKyyYR6Q21VydFLVH3TRQUabQu_ym0Zz7PgGX0-kHA/edit?usp=sharing"",""แผน!HS58"")"),90)</f>
        <v>90</v>
      </c>
      <c r="J651" s="269">
        <f ca="1">IFERROR(__xludf.DUMMYFUNCTION("IMPORTRANGE(""https://docs.google.com/spreadsheets/d/1XWAQStnk-4SwqDmLtmXYiTMKHgktTP8We1SCoS47DrQ/edit?usp=sharing"",""จัดที่ดิน!AY58"")"),0)</f>
        <v>0</v>
      </c>
      <c r="K651" s="163">
        <f t="shared" ca="1" si="271"/>
        <v>0</v>
      </c>
      <c r="L651" s="163"/>
      <c r="M651" s="163"/>
      <c r="N651" s="163"/>
      <c r="O651" s="163"/>
      <c r="P651" s="163"/>
      <c r="Q651" s="571"/>
      <c r="R651" s="571"/>
      <c r="S651" s="571"/>
      <c r="T651" s="571"/>
      <c r="U651" s="571"/>
      <c r="V651" s="571"/>
      <c r="W651" s="571"/>
      <c r="X651" s="571"/>
      <c r="Y651" s="571"/>
      <c r="Z651" s="571"/>
    </row>
    <row r="652" spans="1:26" ht="18.75">
      <c r="A652" s="738"/>
      <c r="B652" s="739"/>
      <c r="C652" s="740"/>
      <c r="D652" s="725"/>
      <c r="E652" s="725"/>
      <c r="F652" s="725"/>
      <c r="G652" s="726"/>
      <c r="H652" s="498" t="s">
        <v>46</v>
      </c>
      <c r="I652" s="499">
        <v>0</v>
      </c>
      <c r="J652" s="499">
        <f ca="1">IFERROR(__xludf.DUMMYFUNCTION("IMPORTRANGE(""https://docs.google.com/spreadsheets/d/1XWAQStnk-4SwqDmLtmXYiTMKHgktTP8We1SCoS47DrQ/edit?usp=sharing"",""จัดที่ดิน!AZ58"")"),0)</f>
        <v>0</v>
      </c>
      <c r="K652" s="500">
        <f t="shared" si="271"/>
        <v>0</v>
      </c>
      <c r="L652" s="384"/>
      <c r="M652" s="384"/>
      <c r="N652" s="384"/>
      <c r="O652" s="384"/>
      <c r="P652" s="384"/>
      <c r="Q652" s="571"/>
      <c r="R652" s="571"/>
      <c r="S652" s="571"/>
      <c r="T652" s="571"/>
      <c r="U652" s="571"/>
      <c r="V652" s="571"/>
      <c r="W652" s="571"/>
      <c r="X652" s="571"/>
      <c r="Y652" s="571"/>
      <c r="Z652" s="571"/>
    </row>
    <row r="653" spans="1:26" ht="19.5" hidden="1">
      <c r="A653" s="741">
        <v>8</v>
      </c>
      <c r="B653" s="728" t="s">
        <v>278</v>
      </c>
      <c r="C653" s="729"/>
      <c r="D653" s="729"/>
      <c r="E653" s="729"/>
      <c r="F653" s="729"/>
      <c r="G653" s="730"/>
      <c r="H653" s="730"/>
      <c r="I653" s="742"/>
      <c r="J653" s="742"/>
      <c r="K653" s="734"/>
      <c r="L653" s="734"/>
      <c r="M653" s="734"/>
      <c r="N653" s="734"/>
      <c r="O653" s="734"/>
      <c r="P653" s="734"/>
      <c r="Q653" s="571"/>
      <c r="R653" s="571"/>
      <c r="S653" s="571"/>
      <c r="T653" s="571"/>
      <c r="U653" s="571"/>
      <c r="V653" s="571"/>
      <c r="W653" s="571"/>
      <c r="X653" s="571"/>
      <c r="Y653" s="571"/>
      <c r="Z653" s="571"/>
    </row>
    <row r="654" spans="1:26" ht="19.5" hidden="1">
      <c r="A654" s="666"/>
      <c r="B654" s="665" t="s">
        <v>279</v>
      </c>
      <c r="C654" s="666"/>
      <c r="D654" s="666"/>
      <c r="E654" s="666"/>
      <c r="F654" s="666"/>
      <c r="G654" s="667"/>
      <c r="H654" s="698" t="s">
        <v>46</v>
      </c>
      <c r="I654" s="699">
        <f t="shared" ref="I654:J654" ca="1" si="272">I669</f>
        <v>0</v>
      </c>
      <c r="J654" s="699">
        <f t="shared" si="272"/>
        <v>0</v>
      </c>
      <c r="K654" s="670">
        <f ca="1">IF(I654&gt;0,J654*100/I654,0)</f>
        <v>0</v>
      </c>
      <c r="L654" s="671"/>
      <c r="M654" s="671"/>
      <c r="N654" s="671"/>
      <c r="O654" s="671"/>
      <c r="P654" s="671"/>
      <c r="Q654" s="571"/>
      <c r="R654" s="571"/>
      <c r="S654" s="571"/>
      <c r="T654" s="571"/>
      <c r="U654" s="571"/>
      <c r="V654" s="571"/>
      <c r="W654" s="571"/>
      <c r="X654" s="571"/>
      <c r="Y654" s="571"/>
      <c r="Z654" s="571"/>
    </row>
    <row r="655" spans="1:26" ht="19.5" hidden="1">
      <c r="A655" s="590"/>
      <c r="B655" s="754"/>
      <c r="C655" s="754" t="s">
        <v>16</v>
      </c>
      <c r="D655" s="863" t="s">
        <v>17</v>
      </c>
      <c r="E655" s="857"/>
      <c r="F655" s="857"/>
      <c r="G655" s="189"/>
      <c r="H655" s="591" t="s">
        <v>12</v>
      </c>
      <c r="I655" s="269"/>
      <c r="J655" s="269"/>
      <c r="K655" s="496"/>
      <c r="L655" s="195">
        <f t="shared" ref="L655:N655" ca="1" si="273">L656+L657</f>
        <v>0</v>
      </c>
      <c r="M655" s="195">
        <f t="shared" si="273"/>
        <v>0</v>
      </c>
      <c r="N655" s="195">
        <f t="shared" si="273"/>
        <v>0</v>
      </c>
      <c r="O655" s="195">
        <f t="shared" ref="O655:O660" ca="1" si="274">IF(L655&gt;0,N655*100/L655,0)</f>
        <v>0</v>
      </c>
      <c r="P655" s="195">
        <f t="shared" ref="P655:P660" si="275">IF(M655&gt;0,N655*100/M655,0)</f>
        <v>0</v>
      </c>
      <c r="Q655" s="571"/>
      <c r="R655" s="571"/>
      <c r="S655" s="571"/>
      <c r="T655" s="571"/>
      <c r="U655" s="571"/>
      <c r="V655" s="571"/>
      <c r="W655" s="571"/>
      <c r="X655" s="571"/>
      <c r="Y655" s="571"/>
      <c r="Z655" s="571"/>
    </row>
    <row r="656" spans="1:26" ht="18.75" hidden="1">
      <c r="A656" s="592"/>
      <c r="B656" s="750"/>
      <c r="C656" s="750"/>
      <c r="D656" s="711"/>
      <c r="E656" s="750" t="s">
        <v>184</v>
      </c>
      <c r="F656" s="750"/>
      <c r="G656" s="596"/>
      <c r="H656" s="165" t="s">
        <v>12</v>
      </c>
      <c r="I656" s="610"/>
      <c r="J656" s="610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597"/>
      <c r="R656" s="597"/>
      <c r="S656" s="597"/>
      <c r="T656" s="597"/>
      <c r="U656" s="597"/>
      <c r="V656" s="597"/>
      <c r="W656" s="597"/>
      <c r="X656" s="597"/>
      <c r="Y656" s="597"/>
      <c r="Z656" s="597"/>
    </row>
    <row r="657" spans="1:26" ht="18.75" hidden="1">
      <c r="A657" s="592"/>
      <c r="B657" s="600"/>
      <c r="C657" s="750"/>
      <c r="D657" s="711"/>
      <c r="E657" s="750" t="s">
        <v>185</v>
      </c>
      <c r="F657" s="750"/>
      <c r="G657" s="596"/>
      <c r="H657" s="165" t="s">
        <v>12</v>
      </c>
      <c r="I657" s="610"/>
      <c r="J657" s="610"/>
      <c r="K657" s="93"/>
      <c r="L657" s="93">
        <f t="shared" ca="1" si="276"/>
        <v>0</v>
      </c>
      <c r="M657" s="93">
        <f t="shared" si="276"/>
        <v>0</v>
      </c>
      <c r="N657" s="93">
        <f t="shared" si="276"/>
        <v>0</v>
      </c>
      <c r="O657" s="93">
        <f t="shared" ca="1" si="274"/>
        <v>0</v>
      </c>
      <c r="P657" s="93">
        <f t="shared" si="275"/>
        <v>0</v>
      </c>
      <c r="Q657" s="597"/>
      <c r="R657" s="597"/>
      <c r="S657" s="597"/>
      <c r="T657" s="597"/>
      <c r="U657" s="597"/>
      <c r="V657" s="597"/>
      <c r="W657" s="597"/>
      <c r="X657" s="597"/>
      <c r="Y657" s="597"/>
      <c r="Z657" s="597"/>
    </row>
    <row r="658" spans="1:26" ht="18.75" hidden="1">
      <c r="A658" s="590"/>
      <c r="B658" s="568"/>
      <c r="C658" s="754"/>
      <c r="D658" s="599" t="s">
        <v>20</v>
      </c>
      <c r="E658" s="754"/>
      <c r="F658" s="754"/>
      <c r="G658" s="189"/>
      <c r="H658" s="161" t="s">
        <v>12</v>
      </c>
      <c r="I658" s="184"/>
      <c r="J658" s="184"/>
      <c r="K658" s="163"/>
      <c r="L658" s="496">
        <f t="shared" ref="L658:N658" ca="1" si="277">L659+L660</f>
        <v>0</v>
      </c>
      <c r="M658" s="496">
        <f t="shared" si="277"/>
        <v>0</v>
      </c>
      <c r="N658" s="496">
        <f t="shared" si="277"/>
        <v>0</v>
      </c>
      <c r="O658" s="496">
        <f t="shared" ca="1" si="274"/>
        <v>0</v>
      </c>
      <c r="P658" s="496">
        <f t="shared" si="275"/>
        <v>0</v>
      </c>
      <c r="Q658" s="571"/>
      <c r="R658" s="571"/>
      <c r="S658" s="571"/>
      <c r="T658" s="571"/>
      <c r="U658" s="571"/>
      <c r="V658" s="571"/>
      <c r="W658" s="571"/>
      <c r="X658" s="571"/>
      <c r="Y658" s="571"/>
      <c r="Z658" s="571"/>
    </row>
    <row r="659" spans="1:26" ht="18.75" hidden="1">
      <c r="A659" s="592"/>
      <c r="B659" s="600"/>
      <c r="C659" s="750"/>
      <c r="D659" s="711"/>
      <c r="E659" s="750" t="s">
        <v>184</v>
      </c>
      <c r="F659" s="750"/>
      <c r="G659" s="596"/>
      <c r="H659" s="165" t="s">
        <v>12</v>
      </c>
      <c r="I659" s="610"/>
      <c r="J659" s="610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597"/>
      <c r="R659" s="597"/>
      <c r="S659" s="597"/>
      <c r="T659" s="597"/>
      <c r="U659" s="597"/>
      <c r="V659" s="597"/>
      <c r="W659" s="597"/>
      <c r="X659" s="597"/>
      <c r="Y659" s="597"/>
      <c r="Z659" s="597"/>
    </row>
    <row r="660" spans="1:26" ht="18.75" hidden="1">
      <c r="A660" s="592"/>
      <c r="B660" s="600"/>
      <c r="C660" s="750"/>
      <c r="D660" s="711"/>
      <c r="E660" s="750" t="s">
        <v>185</v>
      </c>
      <c r="F660" s="750"/>
      <c r="G660" s="596"/>
      <c r="H660" s="165" t="s">
        <v>12</v>
      </c>
      <c r="I660" s="610"/>
      <c r="J660" s="610"/>
      <c r="K660" s="93"/>
      <c r="L660" s="93">
        <f ca="1">IFERROR(__xludf.DUMMYFUNCTION("IMPORTRANGE(""https://docs.google.com/spreadsheets/d/1QqKyyYR6Q21VydFLVH3TRQUabQu_ym0Zz7PgGX0-kHA/edit?usp=sharing"",""แผน!HV58"")"),0)</f>
        <v>0</v>
      </c>
      <c r="M660" s="93">
        <v>0</v>
      </c>
      <c r="N660" s="93">
        <f>N661+N662+N663+N664</f>
        <v>0</v>
      </c>
      <c r="O660" s="93">
        <f t="shared" ca="1" si="274"/>
        <v>0</v>
      </c>
      <c r="P660" s="93">
        <f t="shared" si="275"/>
        <v>0</v>
      </c>
      <c r="Q660" s="597"/>
      <c r="R660" s="597"/>
      <c r="S660" s="597"/>
      <c r="T660" s="597"/>
      <c r="U660" s="597"/>
      <c r="V660" s="597"/>
      <c r="W660" s="597"/>
      <c r="X660" s="597"/>
      <c r="Y660" s="597"/>
      <c r="Z660" s="597"/>
    </row>
    <row r="661" spans="1:26" ht="18.75" hidden="1">
      <c r="A661" s="567"/>
      <c r="B661" s="568"/>
      <c r="C661" s="754"/>
      <c r="D661" s="754"/>
      <c r="E661" s="754"/>
      <c r="F661" s="754" t="s">
        <v>186</v>
      </c>
      <c r="G661" s="189"/>
      <c r="H661" s="161" t="s">
        <v>12</v>
      </c>
      <c r="I661" s="269"/>
      <c r="J661" s="269"/>
      <c r="K661" s="496"/>
      <c r="L661" s="496"/>
      <c r="M661" s="496"/>
      <c r="N661" s="817">
        <v>0</v>
      </c>
      <c r="O661" s="496"/>
      <c r="P661" s="496"/>
      <c r="Q661" s="571"/>
      <c r="R661" s="571"/>
      <c r="S661" s="571"/>
      <c r="T661" s="571"/>
      <c r="U661" s="571"/>
      <c r="V661" s="571"/>
      <c r="W661" s="571"/>
      <c r="X661" s="571"/>
      <c r="Y661" s="571"/>
      <c r="Z661" s="571"/>
    </row>
    <row r="662" spans="1:26" ht="18.75" hidden="1">
      <c r="A662" s="567"/>
      <c r="B662" s="568"/>
      <c r="C662" s="754"/>
      <c r="D662" s="754"/>
      <c r="E662" s="754"/>
      <c r="F662" s="754" t="s">
        <v>187</v>
      </c>
      <c r="G662" s="189"/>
      <c r="H662" s="161" t="s">
        <v>12</v>
      </c>
      <c r="I662" s="269"/>
      <c r="J662" s="269"/>
      <c r="K662" s="496"/>
      <c r="L662" s="496"/>
      <c r="M662" s="496"/>
      <c r="N662" s="817">
        <v>0</v>
      </c>
      <c r="O662" s="496"/>
      <c r="P662" s="496"/>
      <c r="Q662" s="571"/>
      <c r="R662" s="571"/>
      <c r="S662" s="571"/>
      <c r="T662" s="571"/>
      <c r="U662" s="571"/>
      <c r="V662" s="571"/>
      <c r="W662" s="571"/>
      <c r="X662" s="571"/>
      <c r="Y662" s="571"/>
      <c r="Z662" s="571"/>
    </row>
    <row r="663" spans="1:26" ht="18.75" hidden="1">
      <c r="A663" s="567"/>
      <c r="B663" s="568"/>
      <c r="C663" s="568"/>
      <c r="D663" s="754"/>
      <c r="E663" s="754"/>
      <c r="F663" s="754" t="s">
        <v>188</v>
      </c>
      <c r="G663" s="189"/>
      <c r="H663" s="161" t="s">
        <v>12</v>
      </c>
      <c r="I663" s="269"/>
      <c r="J663" s="269"/>
      <c r="K663" s="496"/>
      <c r="L663" s="496"/>
      <c r="M663" s="496"/>
      <c r="N663" s="817">
        <v>0</v>
      </c>
      <c r="O663" s="496"/>
      <c r="P663" s="496"/>
      <c r="Q663" s="571"/>
      <c r="R663" s="571"/>
      <c r="S663" s="571"/>
      <c r="T663" s="571"/>
      <c r="U663" s="571"/>
      <c r="V663" s="571"/>
      <c r="W663" s="571"/>
      <c r="X663" s="571"/>
      <c r="Y663" s="571"/>
      <c r="Z663" s="571"/>
    </row>
    <row r="664" spans="1:26" ht="18.75" hidden="1">
      <c r="A664" s="567"/>
      <c r="B664" s="568"/>
      <c r="C664" s="568"/>
      <c r="D664" s="568"/>
      <c r="E664" s="754"/>
      <c r="F664" s="754" t="s">
        <v>189</v>
      </c>
      <c r="G664" s="189"/>
      <c r="H664" s="161" t="s">
        <v>12</v>
      </c>
      <c r="I664" s="269"/>
      <c r="J664" s="269"/>
      <c r="K664" s="496"/>
      <c r="L664" s="496"/>
      <c r="M664" s="496"/>
      <c r="N664" s="817">
        <v>0</v>
      </c>
      <c r="O664" s="496"/>
      <c r="P664" s="496"/>
      <c r="Q664" s="571"/>
      <c r="R664" s="571"/>
      <c r="S664" s="571"/>
      <c r="T664" s="571"/>
      <c r="U664" s="571"/>
      <c r="V664" s="571"/>
      <c r="W664" s="571"/>
      <c r="X664" s="571"/>
      <c r="Y664" s="571"/>
      <c r="Z664" s="571"/>
    </row>
    <row r="665" spans="1:26" ht="18.75" hidden="1">
      <c r="A665" s="590"/>
      <c r="B665" s="568"/>
      <c r="C665" s="568"/>
      <c r="D665" s="599" t="s">
        <v>21</v>
      </c>
      <c r="E665" s="754"/>
      <c r="F665" s="754"/>
      <c r="G665" s="189"/>
      <c r="H665" s="168" t="s">
        <v>12</v>
      </c>
      <c r="I665" s="184"/>
      <c r="J665" s="184"/>
      <c r="K665" s="163"/>
      <c r="L665" s="496">
        <f t="shared" ref="L665:N665" si="278">L666+L667</f>
        <v>0</v>
      </c>
      <c r="M665" s="496">
        <f t="shared" si="278"/>
        <v>0</v>
      </c>
      <c r="N665" s="496">
        <f t="shared" si="278"/>
        <v>0</v>
      </c>
      <c r="O665" s="496">
        <f t="shared" ref="O665:O667" si="279">IF(L665&gt;0,N665*100/L665,0)</f>
        <v>0</v>
      </c>
      <c r="P665" s="496">
        <f t="shared" ref="P665:P667" si="280">IF(M665&gt;0,N665*100/M665,0)</f>
        <v>0</v>
      </c>
      <c r="Q665" s="571"/>
      <c r="R665" s="571"/>
      <c r="S665" s="571"/>
      <c r="T665" s="571"/>
      <c r="U665" s="571"/>
      <c r="V665" s="571"/>
      <c r="W665" s="571"/>
      <c r="X665" s="571"/>
      <c r="Y665" s="571"/>
      <c r="Z665" s="571"/>
    </row>
    <row r="666" spans="1:26" ht="18.75" hidden="1">
      <c r="A666" s="592"/>
      <c r="B666" s="600"/>
      <c r="C666" s="600"/>
      <c r="D666" s="600"/>
      <c r="E666" s="750" t="s">
        <v>18</v>
      </c>
      <c r="F666" s="750"/>
      <c r="G666" s="596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597"/>
      <c r="R666" s="597"/>
      <c r="S666" s="597"/>
      <c r="T666" s="597"/>
      <c r="U666" s="597"/>
      <c r="V666" s="597"/>
      <c r="W666" s="597"/>
      <c r="X666" s="597"/>
      <c r="Y666" s="597"/>
      <c r="Z666" s="597"/>
    </row>
    <row r="667" spans="1:26" ht="18.75" hidden="1">
      <c r="A667" s="592"/>
      <c r="B667" s="600"/>
      <c r="C667" s="600"/>
      <c r="D667" s="600"/>
      <c r="E667" s="750" t="s">
        <v>19</v>
      </c>
      <c r="F667" s="750"/>
      <c r="G667" s="596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597"/>
      <c r="R667" s="597"/>
      <c r="S667" s="597"/>
      <c r="T667" s="597"/>
      <c r="U667" s="597"/>
      <c r="V667" s="597"/>
      <c r="W667" s="597"/>
      <c r="X667" s="597"/>
      <c r="Y667" s="597"/>
      <c r="Z667" s="597"/>
    </row>
    <row r="668" spans="1:26" ht="19.5" hidden="1">
      <c r="A668" s="601"/>
      <c r="B668" s="611"/>
      <c r="C668" s="568" t="s">
        <v>16</v>
      </c>
      <c r="D668" s="836" t="s">
        <v>38</v>
      </c>
      <c r="E668" s="752"/>
      <c r="F668" s="752"/>
      <c r="G668" s="606"/>
      <c r="H668" s="753"/>
      <c r="I668" s="184"/>
      <c r="J668" s="184"/>
      <c r="K668" s="163"/>
      <c r="L668" s="163"/>
      <c r="M668" s="163"/>
      <c r="N668" s="163"/>
      <c r="O668" s="163"/>
      <c r="P668" s="163"/>
      <c r="Q668" s="571"/>
      <c r="R668" s="571"/>
      <c r="S668" s="571"/>
      <c r="T668" s="571"/>
      <c r="U668" s="571"/>
      <c r="V668" s="571"/>
      <c r="W668" s="571"/>
      <c r="X668" s="571"/>
      <c r="Y668" s="571"/>
      <c r="Z668" s="571"/>
    </row>
    <row r="669" spans="1:26" ht="19.5" hidden="1">
      <c r="A669" s="601"/>
      <c r="B669" s="611"/>
      <c r="C669" s="611"/>
      <c r="D669" s="611" t="s">
        <v>280</v>
      </c>
      <c r="E669" s="619"/>
      <c r="F669" s="619"/>
      <c r="G669" s="753"/>
      <c r="H669" s="758" t="s">
        <v>46</v>
      </c>
      <c r="I669" s="674">
        <f ca="1">IFERROR(__xludf.DUMMYFUNCTION("IMPORTRANGE(""https://docs.google.com/spreadsheets/d/1QqKyyYR6Q21VydFLVH3TRQUabQu_ym0Zz7PgGX0-kHA/edit?usp=sharing"",""แผน!IA58"")"),0)</f>
        <v>0</v>
      </c>
      <c r="J669" s="674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1"/>
      <c r="R669" s="571"/>
      <c r="S669" s="571"/>
      <c r="T669" s="571"/>
      <c r="U669" s="571"/>
      <c r="V669" s="571"/>
      <c r="W669" s="571"/>
      <c r="X669" s="571"/>
      <c r="Y669" s="571"/>
      <c r="Z669" s="571"/>
    </row>
    <row r="670" spans="1:26" ht="18.75" hidden="1">
      <c r="A670" s="601"/>
      <c r="B670" s="611"/>
      <c r="C670" s="611"/>
      <c r="D670" s="611"/>
      <c r="E670" s="619" t="s">
        <v>281</v>
      </c>
      <c r="F670" s="619"/>
      <c r="G670" s="753"/>
      <c r="H670" s="755" t="s">
        <v>69</v>
      </c>
      <c r="I670" s="269">
        <f ca="1">IFERROR(__xludf.DUMMYFUNCTION("IMPORTRANGE(""https://docs.google.com/spreadsheets/d/1QqKyyYR6Q21VydFLVH3TRQUabQu_ym0Zz7PgGX0-kHA/edit?usp=sharing"",""แผน!HZ58"")"),0)</f>
        <v>0</v>
      </c>
      <c r="J670" s="214">
        <v>0</v>
      </c>
      <c r="K670" s="496">
        <f ca="1">IF(I670&gt;0,(J670*100)/I670,0)</f>
        <v>0</v>
      </c>
      <c r="L670" s="163"/>
      <c r="M670" s="163"/>
      <c r="N670" s="163"/>
      <c r="O670" s="163"/>
      <c r="P670" s="163"/>
      <c r="Q670" s="571"/>
      <c r="R670" s="571"/>
      <c r="S670" s="571"/>
      <c r="T670" s="571"/>
      <c r="U670" s="571"/>
      <c r="V670" s="571"/>
      <c r="W670" s="571"/>
      <c r="X670" s="571"/>
      <c r="Y670" s="571"/>
      <c r="Z670" s="571"/>
    </row>
    <row r="671" spans="1:26" ht="18.75" hidden="1">
      <c r="A671" s="601"/>
      <c r="B671" s="611"/>
      <c r="C671" s="611"/>
      <c r="D671" s="611"/>
      <c r="E671" s="619" t="s">
        <v>282</v>
      </c>
      <c r="F671" s="619"/>
      <c r="G671" s="753"/>
      <c r="H671" s="755" t="s">
        <v>69</v>
      </c>
      <c r="I671" s="269">
        <f ca="1">IFERROR(__xludf.DUMMYFUNCTION("IMPORTRANGE(""https://docs.google.com/spreadsheets/d/1QqKyyYR6Q21VydFLVH3TRQUabQu_ym0Zz7PgGX0-kHA/edit?usp=sharing"",""แผน!HZ58"")"),0)</f>
        <v>0</v>
      </c>
      <c r="J671" s="214">
        <v>0</v>
      </c>
      <c r="K671" s="496">
        <f ca="1">IF(I$671&gt;0,J671*100/I$671,0)</f>
        <v>0</v>
      </c>
      <c r="L671" s="163"/>
      <c r="M671" s="163"/>
      <c r="N671" s="163"/>
      <c r="O671" s="163"/>
      <c r="P671" s="163"/>
      <c r="Q671" s="571"/>
      <c r="R671" s="571"/>
      <c r="S671" s="571"/>
      <c r="T671" s="571"/>
      <c r="U671" s="571"/>
      <c r="V671" s="571"/>
      <c r="W671" s="571"/>
      <c r="X671" s="571"/>
      <c r="Y671" s="571"/>
      <c r="Z671" s="571"/>
    </row>
    <row r="672" spans="1:26" ht="18.75" hidden="1">
      <c r="A672" s="601"/>
      <c r="B672" s="611"/>
      <c r="C672" s="611"/>
      <c r="D672" s="611"/>
      <c r="E672" s="619" t="s">
        <v>283</v>
      </c>
      <c r="F672" s="619"/>
      <c r="G672" s="753"/>
      <c r="H672" s="755" t="s">
        <v>46</v>
      </c>
      <c r="I672" s="269"/>
      <c r="J672" s="214">
        <v>0</v>
      </c>
      <c r="K672" s="496">
        <f t="shared" ref="K672:K675" ca="1" si="281">IF(I$669&gt;0,J672*100/I$669,0)</f>
        <v>0</v>
      </c>
      <c r="L672" s="163"/>
      <c r="M672" s="163"/>
      <c r="N672" s="163"/>
      <c r="O672" s="163"/>
      <c r="P672" s="163"/>
      <c r="Q672" s="571"/>
      <c r="R672" s="571"/>
      <c r="S672" s="571"/>
      <c r="T672" s="571"/>
      <c r="U672" s="571"/>
      <c r="V672" s="571"/>
      <c r="W672" s="571"/>
      <c r="X672" s="571"/>
      <c r="Y672" s="571"/>
      <c r="Z672" s="571"/>
    </row>
    <row r="673" spans="1:26" ht="18.75" hidden="1">
      <c r="A673" s="601"/>
      <c r="B673" s="611"/>
      <c r="C673" s="611"/>
      <c r="D673" s="611"/>
      <c r="E673" s="619" t="s">
        <v>284</v>
      </c>
      <c r="F673" s="619"/>
      <c r="G673" s="753"/>
      <c r="H673" s="755" t="s">
        <v>46</v>
      </c>
      <c r="I673" s="269"/>
      <c r="J673" s="214">
        <v>0</v>
      </c>
      <c r="K673" s="496">
        <f t="shared" ca="1" si="281"/>
        <v>0</v>
      </c>
      <c r="L673" s="163"/>
      <c r="M673" s="163"/>
      <c r="N673" s="163"/>
      <c r="O673" s="163"/>
      <c r="P673" s="163"/>
      <c r="Q673" s="571"/>
      <c r="R673" s="571"/>
      <c r="S673" s="571"/>
      <c r="T673" s="571"/>
      <c r="U673" s="571"/>
      <c r="V673" s="571"/>
      <c r="W673" s="571"/>
      <c r="X673" s="571"/>
      <c r="Y673" s="571"/>
      <c r="Z673" s="571"/>
    </row>
    <row r="674" spans="1:26" ht="18.75" hidden="1">
      <c r="A674" s="601"/>
      <c r="B674" s="611"/>
      <c r="C674" s="611"/>
      <c r="D674" s="611"/>
      <c r="E674" s="619" t="s">
        <v>285</v>
      </c>
      <c r="F674" s="619"/>
      <c r="G674" s="753"/>
      <c r="H674" s="755" t="s">
        <v>46</v>
      </c>
      <c r="I674" s="269"/>
      <c r="J674" s="214">
        <v>0</v>
      </c>
      <c r="K674" s="496">
        <f t="shared" ca="1" si="281"/>
        <v>0</v>
      </c>
      <c r="L674" s="163"/>
      <c r="M674" s="163"/>
      <c r="N674" s="163"/>
      <c r="O674" s="163"/>
      <c r="P674" s="163"/>
      <c r="Q674" s="571"/>
      <c r="R674" s="571"/>
      <c r="S674" s="571"/>
      <c r="T674" s="571"/>
      <c r="U674" s="571"/>
      <c r="V674" s="571"/>
      <c r="W674" s="571"/>
      <c r="X674" s="571"/>
      <c r="Y674" s="571"/>
      <c r="Z674" s="571"/>
    </row>
    <row r="675" spans="1:26" ht="19.5" hidden="1">
      <c r="A675" s="601"/>
      <c r="B675" s="611"/>
      <c r="C675" s="611"/>
      <c r="D675" s="611"/>
      <c r="E675" s="619" t="s">
        <v>286</v>
      </c>
      <c r="F675" s="619"/>
      <c r="G675" s="753"/>
      <c r="H675" s="755" t="s">
        <v>46</v>
      </c>
      <c r="I675" s="269"/>
      <c r="J675" s="674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71"/>
      <c r="R675" s="571"/>
      <c r="S675" s="571"/>
      <c r="T675" s="571"/>
      <c r="U675" s="571"/>
      <c r="V675" s="571"/>
      <c r="W675" s="571"/>
      <c r="X675" s="571"/>
      <c r="Y675" s="571"/>
      <c r="Z675" s="571"/>
    </row>
    <row r="676" spans="1:26" ht="18.75" hidden="1">
      <c r="A676" s="601"/>
      <c r="B676" s="611"/>
      <c r="C676" s="611"/>
      <c r="D676" s="611"/>
      <c r="E676" s="619"/>
      <c r="F676" s="619" t="s">
        <v>287</v>
      </c>
      <c r="G676" s="753"/>
      <c r="H676" s="755" t="s">
        <v>46</v>
      </c>
      <c r="I676" s="269"/>
      <c r="J676" s="214">
        <v>0</v>
      </c>
      <c r="K676" s="496"/>
      <c r="L676" s="163"/>
      <c r="M676" s="163"/>
      <c r="N676" s="163"/>
      <c r="O676" s="163"/>
      <c r="P676" s="163"/>
      <c r="Q676" s="571"/>
      <c r="R676" s="571"/>
      <c r="S676" s="571"/>
      <c r="T676" s="571"/>
      <c r="U676" s="571"/>
      <c r="V676" s="571"/>
      <c r="W676" s="571"/>
      <c r="X676" s="571"/>
      <c r="Y676" s="571"/>
      <c r="Z676" s="571"/>
    </row>
    <row r="677" spans="1:26" ht="18.75" hidden="1">
      <c r="A677" s="601"/>
      <c r="B677" s="611"/>
      <c r="C677" s="611"/>
      <c r="D677" s="611"/>
      <c r="E677" s="619"/>
      <c r="F677" s="619" t="s">
        <v>288</v>
      </c>
      <c r="G677" s="753"/>
      <c r="H677" s="755" t="s">
        <v>46</v>
      </c>
      <c r="I677" s="269"/>
      <c r="J677" s="214">
        <v>0</v>
      </c>
      <c r="K677" s="496"/>
      <c r="L677" s="163"/>
      <c r="M677" s="163"/>
      <c r="N677" s="163"/>
      <c r="O677" s="163"/>
      <c r="P677" s="163"/>
      <c r="Q677" s="571"/>
      <c r="R677" s="571"/>
      <c r="S677" s="571"/>
      <c r="T677" s="571"/>
      <c r="U677" s="571"/>
      <c r="V677" s="571"/>
      <c r="W677" s="571"/>
      <c r="X677" s="571"/>
      <c r="Y677" s="571"/>
      <c r="Z677" s="571"/>
    </row>
    <row r="678" spans="1:26" ht="19.5" hidden="1">
      <c r="A678" s="601"/>
      <c r="B678" s="611"/>
      <c r="C678" s="611"/>
      <c r="D678" s="611" t="s">
        <v>289</v>
      </c>
      <c r="E678" s="619"/>
      <c r="F678" s="619"/>
      <c r="G678" s="753"/>
      <c r="H678" s="755" t="s">
        <v>46</v>
      </c>
      <c r="I678" s="674">
        <f ca="1">IFERROR(__xludf.DUMMYFUNCTION("IMPORTRANGE(""https://docs.google.com/spreadsheets/d/1QqKyyYR6Q21VydFLVH3TRQUabQu_ym0Zz7PgGX0-kHA/edit?usp=sharing"",""แผน!IB58"")"),0)</f>
        <v>0</v>
      </c>
      <c r="J678" s="674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1"/>
      <c r="R678" s="571"/>
      <c r="S678" s="571"/>
      <c r="T678" s="571"/>
      <c r="U678" s="571"/>
      <c r="V678" s="571"/>
      <c r="W678" s="571"/>
      <c r="X678" s="571"/>
      <c r="Y678" s="571"/>
      <c r="Z678" s="571"/>
    </row>
    <row r="679" spans="1:26" ht="18.75" hidden="1">
      <c r="A679" s="601"/>
      <c r="B679" s="611"/>
      <c r="C679" s="611"/>
      <c r="D679" s="611"/>
      <c r="E679" s="619" t="s">
        <v>290</v>
      </c>
      <c r="F679" s="619"/>
      <c r="G679" s="753"/>
      <c r="H679" s="755" t="s">
        <v>46</v>
      </c>
      <c r="I679" s="269"/>
      <c r="J679" s="269">
        <f>J680+J681</f>
        <v>0</v>
      </c>
      <c r="K679" s="496"/>
      <c r="L679" s="163"/>
      <c r="M679" s="163"/>
      <c r="N679" s="163"/>
      <c r="O679" s="163"/>
      <c r="P679" s="163"/>
      <c r="Q679" s="571"/>
      <c r="R679" s="571"/>
      <c r="S679" s="571"/>
      <c r="T679" s="571"/>
      <c r="U679" s="571"/>
      <c r="V679" s="571"/>
      <c r="W679" s="571"/>
      <c r="X679" s="571"/>
      <c r="Y679" s="571"/>
      <c r="Z679" s="571"/>
    </row>
    <row r="680" spans="1:26" ht="18.75" hidden="1">
      <c r="A680" s="601"/>
      <c r="B680" s="611"/>
      <c r="C680" s="611"/>
      <c r="D680" s="611"/>
      <c r="E680" s="619"/>
      <c r="F680" s="619" t="s">
        <v>287</v>
      </c>
      <c r="G680" s="753"/>
      <c r="H680" s="755" t="s">
        <v>46</v>
      </c>
      <c r="I680" s="269"/>
      <c r="J680" s="214">
        <v>0</v>
      </c>
      <c r="K680" s="496"/>
      <c r="L680" s="163"/>
      <c r="M680" s="163"/>
      <c r="N680" s="163"/>
      <c r="O680" s="163"/>
      <c r="P680" s="163"/>
      <c r="Q680" s="571"/>
      <c r="R680" s="571"/>
      <c r="S680" s="571"/>
      <c r="T680" s="571"/>
      <c r="U680" s="571"/>
      <c r="V680" s="571"/>
      <c r="W680" s="571"/>
      <c r="X680" s="571"/>
      <c r="Y680" s="571"/>
      <c r="Z680" s="571"/>
    </row>
    <row r="681" spans="1:26" ht="18.75" hidden="1">
      <c r="A681" s="601"/>
      <c r="B681" s="611"/>
      <c r="C681" s="611"/>
      <c r="D681" s="611"/>
      <c r="E681" s="619"/>
      <c r="F681" s="619" t="s">
        <v>288</v>
      </c>
      <c r="G681" s="753"/>
      <c r="H681" s="755" t="s">
        <v>46</v>
      </c>
      <c r="I681" s="269"/>
      <c r="J681" s="214">
        <v>0</v>
      </c>
      <c r="K681" s="496"/>
      <c r="L681" s="163"/>
      <c r="M681" s="163"/>
      <c r="N681" s="163"/>
      <c r="O681" s="163"/>
      <c r="P681" s="163"/>
      <c r="Q681" s="571"/>
      <c r="R681" s="571"/>
      <c r="S681" s="571"/>
      <c r="T681" s="571"/>
      <c r="U681" s="571"/>
      <c r="V681" s="571"/>
      <c r="W681" s="571"/>
      <c r="X681" s="571"/>
      <c r="Y681" s="571"/>
      <c r="Z681" s="571"/>
    </row>
    <row r="682" spans="1:26" ht="18.75" hidden="1">
      <c r="A682" s="601"/>
      <c r="B682" s="611"/>
      <c r="C682" s="611"/>
      <c r="D682" s="611"/>
      <c r="E682" s="619" t="s">
        <v>291</v>
      </c>
      <c r="F682" s="619"/>
      <c r="G682" s="753"/>
      <c r="H682" s="755" t="s">
        <v>46</v>
      </c>
      <c r="I682" s="269"/>
      <c r="J682" s="214">
        <v>0</v>
      </c>
      <c r="K682" s="496"/>
      <c r="L682" s="163"/>
      <c r="M682" s="163"/>
      <c r="N682" s="163"/>
      <c r="O682" s="163"/>
      <c r="P682" s="163"/>
      <c r="Q682" s="571"/>
      <c r="R682" s="571"/>
      <c r="S682" s="571"/>
      <c r="T682" s="571"/>
      <c r="U682" s="571"/>
      <c r="V682" s="571"/>
      <c r="W682" s="571"/>
      <c r="X682" s="571"/>
      <c r="Y682" s="571"/>
      <c r="Z682" s="571"/>
    </row>
    <row r="683" spans="1:26" ht="18.75" hidden="1">
      <c r="A683" s="601"/>
      <c r="B683" s="611"/>
      <c r="C683" s="611"/>
      <c r="D683" s="611"/>
      <c r="E683" s="619"/>
      <c r="F683" s="619" t="s">
        <v>292</v>
      </c>
      <c r="G683" s="753"/>
      <c r="H683" s="755" t="s">
        <v>46</v>
      </c>
      <c r="I683" s="269"/>
      <c r="J683" s="214">
        <v>0</v>
      </c>
      <c r="K683" s="496"/>
      <c r="L683" s="163"/>
      <c r="M683" s="163"/>
      <c r="N683" s="163"/>
      <c r="O683" s="163"/>
      <c r="P683" s="163"/>
      <c r="Q683" s="571"/>
      <c r="R683" s="571"/>
      <c r="S683" s="571"/>
      <c r="T683" s="571"/>
      <c r="U683" s="571"/>
      <c r="V683" s="571"/>
      <c r="W683" s="571"/>
      <c r="X683" s="571"/>
      <c r="Y683" s="571"/>
      <c r="Z683" s="571"/>
    </row>
    <row r="684" spans="1:26" ht="19.5" hidden="1">
      <c r="A684" s="744"/>
      <c r="B684" s="745" t="s">
        <v>293</v>
      </c>
      <c r="C684" s="744"/>
      <c r="D684" s="744"/>
      <c r="E684" s="744"/>
      <c r="F684" s="744"/>
      <c r="G684" s="746"/>
      <c r="H684" s="746"/>
      <c r="I684" s="747"/>
      <c r="J684" s="747"/>
      <c r="K684" s="748"/>
      <c r="L684" s="748"/>
      <c r="M684" s="748"/>
      <c r="N684" s="748"/>
      <c r="O684" s="748"/>
      <c r="P684" s="748"/>
      <c r="Q684" s="571"/>
      <c r="R684" s="571"/>
      <c r="S684" s="571"/>
      <c r="T684" s="571"/>
      <c r="U684" s="571"/>
      <c r="V684" s="571"/>
      <c r="W684" s="571"/>
      <c r="X684" s="571"/>
      <c r="Y684" s="571"/>
      <c r="Z684" s="571"/>
    </row>
    <row r="685" spans="1:26" ht="19.5" hidden="1">
      <c r="A685" s="590"/>
      <c r="B685" s="754"/>
      <c r="C685" s="754" t="s">
        <v>16</v>
      </c>
      <c r="D685" s="863" t="s">
        <v>17</v>
      </c>
      <c r="E685" s="857"/>
      <c r="F685" s="857"/>
      <c r="G685" s="189"/>
      <c r="H685" s="591" t="s">
        <v>12</v>
      </c>
      <c r="I685" s="269"/>
      <c r="J685" s="269"/>
      <c r="K685" s="496"/>
      <c r="L685" s="195">
        <f t="shared" ref="L685:N685" ca="1" si="282">L686+L687</f>
        <v>0</v>
      </c>
      <c r="M685" s="195">
        <f t="shared" si="282"/>
        <v>0</v>
      </c>
      <c r="N685" s="195">
        <f t="shared" si="282"/>
        <v>0</v>
      </c>
      <c r="O685" s="195">
        <f t="shared" ref="O685:O688" ca="1" si="283">IF(L685&gt;0,N685*100/L685,0)</f>
        <v>0</v>
      </c>
      <c r="P685" s="195">
        <f t="shared" ref="P685:P688" si="284">IF(M685&gt;0,N685*100/M685,0)</f>
        <v>0</v>
      </c>
      <c r="Q685" s="571"/>
      <c r="R685" s="571"/>
      <c r="S685" s="571"/>
      <c r="T685" s="571"/>
      <c r="U685" s="571"/>
      <c r="V685" s="571"/>
      <c r="W685" s="571"/>
      <c r="X685" s="571"/>
      <c r="Y685" s="571"/>
      <c r="Z685" s="571"/>
    </row>
    <row r="686" spans="1:26" ht="18.75" hidden="1">
      <c r="A686" s="592"/>
      <c r="B686" s="750"/>
      <c r="C686" s="750"/>
      <c r="D686" s="711"/>
      <c r="E686" s="750" t="s">
        <v>184</v>
      </c>
      <c r="F686" s="750"/>
      <c r="G686" s="596"/>
      <c r="H686" s="165" t="s">
        <v>12</v>
      </c>
      <c r="I686" s="610"/>
      <c r="J686" s="610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597"/>
      <c r="R686" s="597"/>
      <c r="S686" s="597"/>
      <c r="T686" s="597"/>
      <c r="U686" s="597"/>
      <c r="V686" s="597"/>
      <c r="W686" s="597"/>
      <c r="X686" s="597"/>
      <c r="Y686" s="597"/>
      <c r="Z686" s="597"/>
    </row>
    <row r="687" spans="1:26" ht="18.75" hidden="1">
      <c r="A687" s="592"/>
      <c r="B687" s="600"/>
      <c r="C687" s="750"/>
      <c r="D687" s="711"/>
      <c r="E687" s="750" t="s">
        <v>185</v>
      </c>
      <c r="F687" s="750"/>
      <c r="G687" s="596"/>
      <c r="H687" s="165" t="s">
        <v>12</v>
      </c>
      <c r="I687" s="610"/>
      <c r="J687" s="610"/>
      <c r="K687" s="93"/>
      <c r="L687" s="93">
        <f t="shared" ca="1" si="285"/>
        <v>0</v>
      </c>
      <c r="M687" s="93">
        <f t="shared" si="285"/>
        <v>0</v>
      </c>
      <c r="N687" s="93">
        <f t="shared" si="285"/>
        <v>0</v>
      </c>
      <c r="O687" s="93">
        <f t="shared" ca="1" si="283"/>
        <v>0</v>
      </c>
      <c r="P687" s="93">
        <f t="shared" si="284"/>
        <v>0</v>
      </c>
      <c r="Q687" s="597"/>
      <c r="R687" s="597"/>
      <c r="S687" s="597"/>
      <c r="T687" s="597"/>
      <c r="U687" s="597"/>
      <c r="V687" s="597"/>
      <c r="W687" s="597"/>
      <c r="X687" s="597"/>
      <c r="Y687" s="597"/>
      <c r="Z687" s="597"/>
    </row>
    <row r="688" spans="1:26" ht="18.75" hidden="1">
      <c r="A688" s="590"/>
      <c r="B688" s="568"/>
      <c r="C688" s="754"/>
      <c r="D688" s="599" t="s">
        <v>20</v>
      </c>
      <c r="E688" s="754"/>
      <c r="F688" s="754"/>
      <c r="G688" s="189"/>
      <c r="H688" s="161" t="s">
        <v>12</v>
      </c>
      <c r="I688" s="184"/>
      <c r="J688" s="184"/>
      <c r="K688" s="163"/>
      <c r="L688" s="496">
        <f t="shared" ref="L688:N688" ca="1" si="286">L689+L690</f>
        <v>0</v>
      </c>
      <c r="M688" s="496">
        <f t="shared" si="286"/>
        <v>0</v>
      </c>
      <c r="N688" s="496">
        <f t="shared" si="286"/>
        <v>0</v>
      </c>
      <c r="O688" s="496">
        <f t="shared" ca="1" si="283"/>
        <v>0</v>
      </c>
      <c r="P688" s="496">
        <f t="shared" si="284"/>
        <v>0</v>
      </c>
      <c r="Q688" s="571"/>
      <c r="R688" s="571"/>
      <c r="S688" s="571"/>
      <c r="T688" s="571"/>
      <c r="U688" s="571"/>
      <c r="V688" s="571"/>
      <c r="W688" s="571"/>
      <c r="X688" s="571"/>
      <c r="Y688" s="571"/>
      <c r="Z688" s="571"/>
    </row>
    <row r="689" spans="1:26" ht="18.75" hidden="1">
      <c r="A689" s="592"/>
      <c r="B689" s="600"/>
      <c r="C689" s="750"/>
      <c r="D689" s="711"/>
      <c r="E689" s="750" t="s">
        <v>184</v>
      </c>
      <c r="F689" s="750"/>
      <c r="G689" s="596"/>
      <c r="H689" s="165" t="s">
        <v>12</v>
      </c>
      <c r="I689" s="610"/>
      <c r="J689" s="610"/>
      <c r="K689" s="93"/>
      <c r="L689" s="93">
        <v>0</v>
      </c>
      <c r="M689" s="93">
        <v>0</v>
      </c>
      <c r="N689" s="93">
        <v>0</v>
      </c>
      <c r="O689" s="93"/>
      <c r="P689" s="93"/>
      <c r="Q689" s="597"/>
      <c r="R689" s="597"/>
      <c r="S689" s="597"/>
      <c r="T689" s="597"/>
      <c r="U689" s="597"/>
      <c r="V689" s="597"/>
      <c r="W689" s="597"/>
      <c r="X689" s="597"/>
      <c r="Y689" s="597"/>
      <c r="Z689" s="597"/>
    </row>
    <row r="690" spans="1:26" ht="18.75" hidden="1">
      <c r="A690" s="592"/>
      <c r="B690" s="600"/>
      <c r="C690" s="750"/>
      <c r="D690" s="711"/>
      <c r="E690" s="750" t="s">
        <v>185</v>
      </c>
      <c r="F690" s="750"/>
      <c r="G690" s="596"/>
      <c r="H690" s="165" t="s">
        <v>12</v>
      </c>
      <c r="I690" s="610"/>
      <c r="J690" s="610"/>
      <c r="K690" s="93"/>
      <c r="L690" s="93">
        <f ca="1">IFERROR(__xludf.DUMMYFUNCTION("IMPORTRANGE(""https://docs.google.com/spreadsheets/d/1QqKyyYR6Q21VydFLVH3TRQUabQu_ym0Zz7PgGX0-kHA/edit?usp=sharing"",""แผน!HW58"")"),0)</f>
        <v>0</v>
      </c>
      <c r="M690" s="93">
        <v>0</v>
      </c>
      <c r="N690" s="93">
        <f>N691+N692+N693+N694</f>
        <v>0</v>
      </c>
      <c r="O690" s="93">
        <f ca="1">IF(L690&gt;0,N690*100/L690,0)</f>
        <v>0</v>
      </c>
      <c r="P690" s="93">
        <f>IF(M690&gt;0,N690*100/M690,0)</f>
        <v>0</v>
      </c>
      <c r="Q690" s="597"/>
      <c r="R690" s="597"/>
      <c r="S690" s="597"/>
      <c r="T690" s="597"/>
      <c r="U690" s="597"/>
      <c r="V690" s="597"/>
      <c r="W690" s="597"/>
      <c r="X690" s="597"/>
      <c r="Y690" s="597"/>
      <c r="Z690" s="597"/>
    </row>
    <row r="691" spans="1:26" ht="18.75" hidden="1">
      <c r="A691" s="567"/>
      <c r="B691" s="568"/>
      <c r="C691" s="754"/>
      <c r="D691" s="754"/>
      <c r="E691" s="754"/>
      <c r="F691" s="754" t="s">
        <v>186</v>
      </c>
      <c r="G691" s="189"/>
      <c r="H691" s="161" t="s">
        <v>12</v>
      </c>
      <c r="I691" s="269"/>
      <c r="J691" s="269"/>
      <c r="K691" s="496"/>
      <c r="L691" s="496"/>
      <c r="M691" s="496"/>
      <c r="N691" s="817">
        <v>0</v>
      </c>
      <c r="O691" s="496"/>
      <c r="P691" s="496"/>
      <c r="Q691" s="571"/>
      <c r="R691" s="571"/>
      <c r="S691" s="571"/>
      <c r="T691" s="571"/>
      <c r="U691" s="571"/>
      <c r="V691" s="571"/>
      <c r="W691" s="571"/>
      <c r="X691" s="571"/>
      <c r="Y691" s="571"/>
      <c r="Z691" s="571"/>
    </row>
    <row r="692" spans="1:26" ht="18.75" hidden="1">
      <c r="A692" s="567"/>
      <c r="B692" s="568"/>
      <c r="C692" s="754"/>
      <c r="D692" s="754"/>
      <c r="E692" s="754"/>
      <c r="F692" s="754" t="s">
        <v>187</v>
      </c>
      <c r="G692" s="189"/>
      <c r="H692" s="161" t="s">
        <v>12</v>
      </c>
      <c r="I692" s="269"/>
      <c r="J692" s="269"/>
      <c r="K692" s="496"/>
      <c r="L692" s="496"/>
      <c r="M692" s="496"/>
      <c r="N692" s="817">
        <v>0</v>
      </c>
      <c r="O692" s="496"/>
      <c r="P692" s="496"/>
      <c r="Q692" s="571"/>
      <c r="R692" s="571"/>
      <c r="S692" s="571"/>
      <c r="T692" s="571"/>
      <c r="U692" s="571"/>
      <c r="V692" s="571"/>
      <c r="W692" s="571"/>
      <c r="X692" s="571"/>
      <c r="Y692" s="571"/>
      <c r="Z692" s="571"/>
    </row>
    <row r="693" spans="1:26" ht="18.75" hidden="1">
      <c r="A693" s="567"/>
      <c r="B693" s="568"/>
      <c r="C693" s="754"/>
      <c r="D693" s="754"/>
      <c r="E693" s="754"/>
      <c r="F693" s="754" t="s">
        <v>188</v>
      </c>
      <c r="G693" s="189"/>
      <c r="H693" s="161" t="s">
        <v>12</v>
      </c>
      <c r="I693" s="269"/>
      <c r="J693" s="269"/>
      <c r="K693" s="496"/>
      <c r="L693" s="496"/>
      <c r="M693" s="496"/>
      <c r="N693" s="817">
        <v>0</v>
      </c>
      <c r="O693" s="496"/>
      <c r="P693" s="496"/>
      <c r="Q693" s="571"/>
      <c r="R693" s="571"/>
      <c r="S693" s="571"/>
      <c r="T693" s="571"/>
      <c r="U693" s="571"/>
      <c r="V693" s="571"/>
      <c r="W693" s="571"/>
      <c r="X693" s="571"/>
      <c r="Y693" s="571"/>
      <c r="Z693" s="571"/>
    </row>
    <row r="694" spans="1:26" ht="18.75" hidden="1">
      <c r="A694" s="567"/>
      <c r="B694" s="568"/>
      <c r="C694" s="754"/>
      <c r="D694" s="754"/>
      <c r="E694" s="754"/>
      <c r="F694" s="754" t="s">
        <v>189</v>
      </c>
      <c r="G694" s="189"/>
      <c r="H694" s="161" t="s">
        <v>12</v>
      </c>
      <c r="I694" s="269"/>
      <c r="J694" s="269"/>
      <c r="K694" s="496"/>
      <c r="L694" s="496"/>
      <c r="M694" s="496"/>
      <c r="N694" s="817">
        <v>0</v>
      </c>
      <c r="O694" s="496"/>
      <c r="P694" s="496"/>
      <c r="Q694" s="571"/>
      <c r="R694" s="571"/>
      <c r="S694" s="571"/>
      <c r="T694" s="571"/>
      <c r="U694" s="571"/>
      <c r="V694" s="571"/>
      <c r="W694" s="571"/>
      <c r="X694" s="571"/>
      <c r="Y694" s="571"/>
      <c r="Z694" s="571"/>
    </row>
    <row r="695" spans="1:26" ht="18.75" hidden="1">
      <c r="A695" s="590"/>
      <c r="B695" s="568"/>
      <c r="C695" s="754"/>
      <c r="D695" s="599" t="s">
        <v>21</v>
      </c>
      <c r="E695" s="754"/>
      <c r="F695" s="754"/>
      <c r="G695" s="189"/>
      <c r="H695" s="168" t="s">
        <v>12</v>
      </c>
      <c r="I695" s="184"/>
      <c r="J695" s="184"/>
      <c r="K695" s="163"/>
      <c r="L695" s="496">
        <f t="shared" ref="L695:N695" si="287">L696+L697</f>
        <v>0</v>
      </c>
      <c r="M695" s="496">
        <f t="shared" si="287"/>
        <v>0</v>
      </c>
      <c r="N695" s="496">
        <f t="shared" si="287"/>
        <v>0</v>
      </c>
      <c r="O695" s="496">
        <f t="shared" ref="O695:O697" si="288">IF(L695&gt;0,N695*100/L695,0)</f>
        <v>0</v>
      </c>
      <c r="P695" s="496">
        <f t="shared" ref="P695:P697" si="289">IF(M695&gt;0,N695*100/M695,0)</f>
        <v>0</v>
      </c>
      <c r="Q695" s="571"/>
      <c r="R695" s="571"/>
      <c r="S695" s="571"/>
      <c r="T695" s="571"/>
      <c r="U695" s="571"/>
      <c r="V695" s="571"/>
      <c r="W695" s="571"/>
      <c r="X695" s="571"/>
      <c r="Y695" s="571"/>
      <c r="Z695" s="571"/>
    </row>
    <row r="696" spans="1:26" ht="18.75" hidden="1">
      <c r="A696" s="592"/>
      <c r="B696" s="600"/>
      <c r="C696" s="750"/>
      <c r="D696" s="750"/>
      <c r="E696" s="750" t="s">
        <v>18</v>
      </c>
      <c r="F696" s="750"/>
      <c r="G696" s="596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597"/>
      <c r="R696" s="597"/>
      <c r="S696" s="597"/>
      <c r="T696" s="597"/>
      <c r="U696" s="597"/>
      <c r="V696" s="597"/>
      <c r="W696" s="597"/>
      <c r="X696" s="597"/>
      <c r="Y696" s="597"/>
      <c r="Z696" s="597"/>
    </row>
    <row r="697" spans="1:26" ht="18.75" hidden="1">
      <c r="A697" s="592"/>
      <c r="B697" s="600"/>
      <c r="C697" s="750"/>
      <c r="D697" s="750"/>
      <c r="E697" s="750" t="s">
        <v>19</v>
      </c>
      <c r="F697" s="750"/>
      <c r="G697" s="596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597"/>
      <c r="R697" s="597"/>
      <c r="S697" s="597"/>
      <c r="T697" s="597"/>
      <c r="U697" s="597"/>
      <c r="V697" s="597"/>
      <c r="W697" s="597"/>
      <c r="X697" s="597"/>
      <c r="Y697" s="597"/>
      <c r="Z697" s="597"/>
    </row>
    <row r="698" spans="1:26" ht="19.5" hidden="1">
      <c r="A698" s="601"/>
      <c r="B698" s="611"/>
      <c r="C698" s="754" t="s">
        <v>16</v>
      </c>
      <c r="D698" s="840" t="s">
        <v>38</v>
      </c>
      <c r="E698" s="752"/>
      <c r="F698" s="752"/>
      <c r="G698" s="606"/>
      <c r="H698" s="753"/>
      <c r="I698" s="184"/>
      <c r="J698" s="184"/>
      <c r="K698" s="163"/>
      <c r="L698" s="163"/>
      <c r="M698" s="163"/>
      <c r="N698" s="163"/>
      <c r="O698" s="163"/>
      <c r="P698" s="163"/>
      <c r="Q698" s="571"/>
      <c r="R698" s="571"/>
      <c r="S698" s="571"/>
      <c r="T698" s="571"/>
      <c r="U698" s="571"/>
      <c r="V698" s="571"/>
      <c r="W698" s="571"/>
      <c r="X698" s="571"/>
      <c r="Y698" s="571"/>
      <c r="Z698" s="571"/>
    </row>
    <row r="699" spans="1:26" ht="18.75" hidden="1">
      <c r="A699" s="735"/>
      <c r="B699" s="754"/>
      <c r="C699" s="754"/>
      <c r="D699" s="754" t="s">
        <v>294</v>
      </c>
      <c r="E699" s="754"/>
      <c r="F699" s="754"/>
      <c r="G699" s="189"/>
      <c r="H699" s="755" t="s">
        <v>46</v>
      </c>
      <c r="I699" s="756">
        <f ca="1">IFERROR(__xludf.DUMMYFUNCTION("IMPORTRANGE(""https://docs.google.com/spreadsheets/d/1QqKyyYR6Q21VydFLVH3TRQUabQu_ym0Zz7PgGX0-kHA/edit?usp=sharing"",""แผน!IC58"")"),0)</f>
        <v>0</v>
      </c>
      <c r="J699" s="269">
        <f ca="1">IFERROR(__xludf.DUMMYFUNCTION("IMPORTRANGE(""https://docs.google.com/spreadsheets/d/1XWAQStnk-4SwqDmLtmXYiTMKHgktTP8We1SCoS47DrQ/edit?usp=sharing"",""จัดที่ดิน!BB58"")"),0)</f>
        <v>0</v>
      </c>
      <c r="K699" s="496">
        <f t="shared" ref="K699:K701" ca="1" si="290">IF(I699&gt;0,J699*100/I699,0)</f>
        <v>0</v>
      </c>
      <c r="L699" s="496"/>
      <c r="M699" s="189"/>
      <c r="N699" s="757"/>
      <c r="O699" s="496"/>
      <c r="P699" s="496"/>
      <c r="Q699" s="571"/>
      <c r="R699" s="571"/>
      <c r="S699" s="571"/>
      <c r="T699" s="571"/>
      <c r="U699" s="571"/>
      <c r="V699" s="571"/>
      <c r="W699" s="571"/>
      <c r="X699" s="571"/>
      <c r="Y699" s="571"/>
      <c r="Z699" s="571"/>
    </row>
    <row r="700" spans="1:26" ht="18.75" hidden="1">
      <c r="A700" s="735"/>
      <c r="B700" s="754"/>
      <c r="C700" s="754"/>
      <c r="D700" s="754" t="s">
        <v>295</v>
      </c>
      <c r="E700" s="754"/>
      <c r="F700" s="754"/>
      <c r="G700" s="189"/>
      <c r="H700" s="755" t="s">
        <v>35</v>
      </c>
      <c r="I700" s="756">
        <f ca="1">IFERROR(__xludf.DUMMYFUNCTION("IMPORTRANGE(""https://docs.google.com/spreadsheets/d/1QqKyyYR6Q21VydFLVH3TRQUabQu_ym0Zz7PgGX0-kHA/edit?usp=sharing"",""แผน!ID58"")"),0)</f>
        <v>0</v>
      </c>
      <c r="J700" s="269">
        <f ca="1">IFERROR(__xludf.DUMMYFUNCTION("IMPORTRANGE(""https://docs.google.com/spreadsheets/d/1XWAQStnk-4SwqDmLtmXYiTMKHgktTP8We1SCoS47DrQ/edit?usp=sharing"",""จัดที่ดิน!BD58"")"),0)</f>
        <v>0</v>
      </c>
      <c r="K700" s="496">
        <f t="shared" ca="1" si="290"/>
        <v>0</v>
      </c>
      <c r="L700" s="496"/>
      <c r="M700" s="189"/>
      <c r="N700" s="757"/>
      <c r="O700" s="496"/>
      <c r="P700" s="496"/>
      <c r="Q700" s="571"/>
      <c r="R700" s="571"/>
      <c r="S700" s="571"/>
      <c r="T700" s="571"/>
      <c r="U700" s="571"/>
      <c r="V700" s="571"/>
      <c r="W700" s="571"/>
      <c r="X700" s="571"/>
      <c r="Y700" s="571"/>
      <c r="Z700" s="571"/>
    </row>
    <row r="701" spans="1:26" ht="19.5" hidden="1">
      <c r="A701" s="735"/>
      <c r="B701" s="754"/>
      <c r="C701" s="754"/>
      <c r="D701" s="754" t="s">
        <v>296</v>
      </c>
      <c r="E701" s="754"/>
      <c r="F701" s="754"/>
      <c r="G701" s="189"/>
      <c r="H701" s="758" t="s">
        <v>46</v>
      </c>
      <c r="I701" s="759">
        <f ca="1">IFERROR(__xludf.DUMMYFUNCTION("IMPORTRANGE(""https://docs.google.com/spreadsheets/d/1QqKyyYR6Q21VydFLVH3TRQUabQu_ym0Zz7PgGX0-kHA/edit?usp=sharing"",""แผน!IE58"")"),0)</f>
        <v>0</v>
      </c>
      <c r="J701" s="674">
        <f>J704+J707</f>
        <v>0</v>
      </c>
      <c r="K701" s="195">
        <f t="shared" ca="1" si="290"/>
        <v>0</v>
      </c>
      <c r="L701" s="496"/>
      <c r="M701" s="189"/>
      <c r="N701" s="757"/>
      <c r="O701" s="496"/>
      <c r="P701" s="496"/>
      <c r="Q701" s="571"/>
      <c r="R701" s="571"/>
      <c r="S701" s="571"/>
      <c r="T701" s="571"/>
      <c r="U701" s="571"/>
      <c r="V701" s="571"/>
      <c r="W701" s="571"/>
      <c r="X701" s="571"/>
      <c r="Y701" s="571"/>
      <c r="Z701" s="571"/>
    </row>
    <row r="702" spans="1:26" ht="18.75" hidden="1">
      <c r="A702" s="735"/>
      <c r="B702" s="754"/>
      <c r="C702" s="754"/>
      <c r="D702" s="754"/>
      <c r="E702" s="754" t="s">
        <v>297</v>
      </c>
      <c r="F702" s="754"/>
      <c r="G702" s="189"/>
      <c r="H702" s="755" t="s">
        <v>35</v>
      </c>
      <c r="I702" s="756"/>
      <c r="J702" s="214">
        <v>0</v>
      </c>
      <c r="K702" s="496"/>
      <c r="L702" s="496"/>
      <c r="M702" s="189"/>
      <c r="N702" s="757"/>
      <c r="O702" s="496"/>
      <c r="P702" s="496"/>
      <c r="Q702" s="571"/>
      <c r="R702" s="571"/>
      <c r="S702" s="571"/>
      <c r="T702" s="571"/>
      <c r="U702" s="571"/>
      <c r="V702" s="571"/>
      <c r="W702" s="571"/>
      <c r="X702" s="571"/>
      <c r="Y702" s="571"/>
      <c r="Z702" s="571"/>
    </row>
    <row r="703" spans="1:26" ht="18.75" hidden="1">
      <c r="A703" s="735"/>
      <c r="B703" s="754"/>
      <c r="C703" s="754"/>
      <c r="D703" s="754"/>
      <c r="E703" s="754"/>
      <c r="F703" s="754"/>
      <c r="G703" s="189"/>
      <c r="H703" s="755" t="s">
        <v>34</v>
      </c>
      <c r="I703" s="756"/>
      <c r="J703" s="214">
        <v>0</v>
      </c>
      <c r="K703" s="496"/>
      <c r="L703" s="496"/>
      <c r="M703" s="189"/>
      <c r="N703" s="757"/>
      <c r="O703" s="496"/>
      <c r="P703" s="496"/>
      <c r="Q703" s="571"/>
      <c r="R703" s="571"/>
      <c r="S703" s="571"/>
      <c r="T703" s="571"/>
      <c r="U703" s="571"/>
      <c r="V703" s="571"/>
      <c r="W703" s="571"/>
      <c r="X703" s="571"/>
      <c r="Y703" s="571"/>
      <c r="Z703" s="571"/>
    </row>
    <row r="704" spans="1:26" ht="18.75" hidden="1">
      <c r="A704" s="735"/>
      <c r="B704" s="754"/>
      <c r="C704" s="754"/>
      <c r="D704" s="754"/>
      <c r="E704" s="754"/>
      <c r="F704" s="754"/>
      <c r="G704" s="189"/>
      <c r="H704" s="755" t="s">
        <v>46</v>
      </c>
      <c r="I704" s="756">
        <f ca="1">IFERROR(__xludf.DUMMYFUNCTION("IMPORTRANGE(""https://docs.google.com/spreadsheets/d/1QqKyyYR6Q21VydFLVH3TRQUabQu_ym0Zz7PgGX0-kHA/edit?usp=sharing"",""แผน!IF58"")"),0)</f>
        <v>0</v>
      </c>
      <c r="J704" s="214">
        <v>0</v>
      </c>
      <c r="K704" s="496"/>
      <c r="L704" s="496"/>
      <c r="M704" s="189"/>
      <c r="N704" s="757"/>
      <c r="O704" s="496"/>
      <c r="P704" s="496"/>
      <c r="Q704" s="571"/>
      <c r="R704" s="571"/>
      <c r="S704" s="571"/>
      <c r="T704" s="571"/>
      <c r="U704" s="571"/>
      <c r="V704" s="571"/>
      <c r="W704" s="571"/>
      <c r="X704" s="571"/>
      <c r="Y704" s="571"/>
      <c r="Z704" s="571"/>
    </row>
    <row r="705" spans="1:26" ht="18.75" hidden="1">
      <c r="A705" s="735"/>
      <c r="B705" s="754"/>
      <c r="C705" s="754"/>
      <c r="D705" s="754"/>
      <c r="E705" s="754" t="s">
        <v>298</v>
      </c>
      <c r="F705" s="754"/>
      <c r="G705" s="189"/>
      <c r="H705" s="755" t="s">
        <v>35</v>
      </c>
      <c r="I705" s="756"/>
      <c r="J705" s="214">
        <v>0</v>
      </c>
      <c r="K705" s="496"/>
      <c r="L705" s="496"/>
      <c r="M705" s="189"/>
      <c r="N705" s="757"/>
      <c r="O705" s="496"/>
      <c r="P705" s="496"/>
      <c r="Q705" s="571"/>
      <c r="R705" s="571"/>
      <c r="S705" s="571"/>
      <c r="T705" s="571"/>
      <c r="U705" s="571"/>
      <c r="V705" s="571"/>
      <c r="W705" s="571"/>
      <c r="X705" s="571"/>
      <c r="Y705" s="571"/>
      <c r="Z705" s="571"/>
    </row>
    <row r="706" spans="1:26" ht="18.75" hidden="1">
      <c r="A706" s="735"/>
      <c r="B706" s="754"/>
      <c r="C706" s="754"/>
      <c r="D706" s="754"/>
      <c r="E706" s="754"/>
      <c r="F706" s="754"/>
      <c r="G706" s="189"/>
      <c r="H706" s="755" t="s">
        <v>34</v>
      </c>
      <c r="I706" s="756"/>
      <c r="J706" s="214">
        <v>0</v>
      </c>
      <c r="K706" s="496"/>
      <c r="L706" s="496"/>
      <c r="M706" s="189"/>
      <c r="N706" s="757"/>
      <c r="O706" s="496"/>
      <c r="P706" s="496"/>
      <c r="Q706" s="571"/>
      <c r="R706" s="571"/>
      <c r="S706" s="571"/>
      <c r="T706" s="571"/>
      <c r="U706" s="571"/>
      <c r="V706" s="571"/>
      <c r="W706" s="571"/>
      <c r="X706" s="571"/>
      <c r="Y706" s="571"/>
      <c r="Z706" s="571"/>
    </row>
    <row r="707" spans="1:26" ht="18.75" hidden="1">
      <c r="A707" s="735"/>
      <c r="B707" s="754"/>
      <c r="C707" s="754"/>
      <c r="D707" s="754"/>
      <c r="E707" s="754"/>
      <c r="F707" s="754"/>
      <c r="G707" s="189"/>
      <c r="H707" s="755" t="s">
        <v>46</v>
      </c>
      <c r="I707" s="756">
        <f ca="1">IFERROR(__xludf.DUMMYFUNCTION("IMPORTRANGE(""https://docs.google.com/spreadsheets/d/1QqKyyYR6Q21VydFLVH3TRQUabQu_ym0Zz7PgGX0-kHA/edit?usp=sharing"",""แผน!IG58"")"),0)</f>
        <v>0</v>
      </c>
      <c r="J707" s="214">
        <v>0</v>
      </c>
      <c r="K707" s="496"/>
      <c r="L707" s="496"/>
      <c r="M707" s="189"/>
      <c r="N707" s="757"/>
      <c r="O707" s="496"/>
      <c r="P707" s="496"/>
      <c r="Q707" s="571"/>
      <c r="R707" s="571"/>
      <c r="S707" s="571"/>
      <c r="T707" s="571"/>
      <c r="U707" s="571"/>
      <c r="V707" s="571"/>
      <c r="W707" s="571"/>
      <c r="X707" s="571"/>
      <c r="Y707" s="571"/>
      <c r="Z707" s="571"/>
    </row>
    <row r="708" spans="1:26" ht="19.5" hidden="1">
      <c r="A708" s="735"/>
      <c r="B708" s="754"/>
      <c r="C708" s="754"/>
      <c r="D708" s="760" t="s">
        <v>299</v>
      </c>
      <c r="E708" s="754"/>
      <c r="F708" s="754"/>
      <c r="G708" s="189"/>
      <c r="H708" s="758" t="s">
        <v>46</v>
      </c>
      <c r="I708" s="759">
        <f ca="1">IFERROR(__xludf.DUMMYFUNCTION("IMPORTRANGE(""https://docs.google.com/spreadsheets/d/1QqKyyYR6Q21VydFLVH3TRQUabQu_ym0Zz7PgGX0-kHA/edit?usp=sharing"",""แผน!IH58"")"),0)</f>
        <v>0</v>
      </c>
      <c r="J708" s="674">
        <f>J714+J717</f>
        <v>0</v>
      </c>
      <c r="K708" s="195">
        <f ca="1">IF(I708&gt;0,J708*100/I708,0)</f>
        <v>0</v>
      </c>
      <c r="L708" s="496"/>
      <c r="M708" s="189"/>
      <c r="N708" s="757"/>
      <c r="O708" s="496"/>
      <c r="P708" s="496"/>
      <c r="Q708" s="571"/>
      <c r="R708" s="571"/>
      <c r="S708" s="571"/>
      <c r="T708" s="571"/>
      <c r="U708" s="571"/>
      <c r="V708" s="571"/>
      <c r="W708" s="571"/>
      <c r="X708" s="571"/>
      <c r="Y708" s="571"/>
      <c r="Z708" s="571"/>
    </row>
    <row r="709" spans="1:26" ht="18.75" hidden="1">
      <c r="A709" s="735"/>
      <c r="B709" s="754"/>
      <c r="C709" s="754"/>
      <c r="D709" s="754"/>
      <c r="E709" s="754" t="s">
        <v>300</v>
      </c>
      <c r="F709" s="754"/>
      <c r="G709" s="189"/>
      <c r="H709" s="755" t="s">
        <v>34</v>
      </c>
      <c r="I709" s="756"/>
      <c r="J709" s="214">
        <v>0</v>
      </c>
      <c r="K709" s="496"/>
      <c r="L709" s="757"/>
      <c r="M709" s="189"/>
      <c r="N709" s="757"/>
      <c r="O709" s="496"/>
      <c r="P709" s="496"/>
      <c r="Q709" s="571"/>
      <c r="R709" s="571"/>
      <c r="S709" s="571"/>
      <c r="T709" s="571"/>
      <c r="U709" s="571"/>
      <c r="V709" s="571"/>
      <c r="W709" s="571"/>
      <c r="X709" s="571"/>
      <c r="Y709" s="571"/>
      <c r="Z709" s="571"/>
    </row>
    <row r="710" spans="1:26" ht="18.75" hidden="1">
      <c r="A710" s="735"/>
      <c r="B710" s="754"/>
      <c r="C710" s="754"/>
      <c r="D710" s="754"/>
      <c r="E710" s="754"/>
      <c r="F710" s="754"/>
      <c r="G710" s="189"/>
      <c r="H710" s="755" t="s">
        <v>46</v>
      </c>
      <c r="I710" s="756"/>
      <c r="J710" s="214">
        <v>0</v>
      </c>
      <c r="K710" s="496"/>
      <c r="L710" s="757"/>
      <c r="M710" s="189"/>
      <c r="N710" s="757"/>
      <c r="O710" s="496"/>
      <c r="P710" s="496"/>
      <c r="Q710" s="571"/>
      <c r="R710" s="571"/>
      <c r="S710" s="571"/>
      <c r="T710" s="571"/>
      <c r="U710" s="571"/>
      <c r="V710" s="571"/>
      <c r="W710" s="571"/>
      <c r="X710" s="571"/>
      <c r="Y710" s="571"/>
      <c r="Z710" s="571"/>
    </row>
    <row r="711" spans="1:26" ht="18.75" hidden="1">
      <c r="A711" s="735"/>
      <c r="B711" s="754"/>
      <c r="C711" s="754"/>
      <c r="D711" s="754"/>
      <c r="E711" s="754" t="s">
        <v>301</v>
      </c>
      <c r="F711" s="754"/>
      <c r="G711" s="189"/>
      <c r="H711" s="753"/>
      <c r="I711" s="756"/>
      <c r="J711" s="269"/>
      <c r="K711" s="496"/>
      <c r="L711" s="757"/>
      <c r="M711" s="189"/>
      <c r="N711" s="757"/>
      <c r="O711" s="496"/>
      <c r="P711" s="496"/>
      <c r="Q711" s="571"/>
      <c r="R711" s="571"/>
      <c r="S711" s="571"/>
      <c r="T711" s="571"/>
      <c r="U711" s="571"/>
      <c r="V711" s="571"/>
      <c r="W711" s="571"/>
      <c r="X711" s="571"/>
      <c r="Y711" s="571"/>
      <c r="Z711" s="571"/>
    </row>
    <row r="712" spans="1:26" ht="18.75" hidden="1">
      <c r="A712" s="735"/>
      <c r="B712" s="754"/>
      <c r="C712" s="754"/>
      <c r="D712" s="754"/>
      <c r="E712" s="754"/>
      <c r="F712" s="754" t="s">
        <v>302</v>
      </c>
      <c r="G712" s="189"/>
      <c r="H712" s="755" t="s">
        <v>35</v>
      </c>
      <c r="I712" s="756"/>
      <c r="J712" s="214">
        <v>0</v>
      </c>
      <c r="K712" s="496"/>
      <c r="L712" s="757"/>
      <c r="M712" s="189"/>
      <c r="N712" s="757"/>
      <c r="O712" s="496"/>
      <c r="P712" s="496"/>
      <c r="Q712" s="571"/>
      <c r="R712" s="571"/>
      <c r="S712" s="571"/>
      <c r="T712" s="571"/>
      <c r="U712" s="571"/>
      <c r="V712" s="571"/>
      <c r="W712" s="571"/>
      <c r="X712" s="571"/>
      <c r="Y712" s="571"/>
      <c r="Z712" s="571"/>
    </row>
    <row r="713" spans="1:26" ht="18.75" hidden="1">
      <c r="A713" s="735"/>
      <c r="B713" s="754"/>
      <c r="C713" s="754"/>
      <c r="D713" s="754"/>
      <c r="E713" s="754"/>
      <c r="F713" s="754"/>
      <c r="G713" s="189"/>
      <c r="H713" s="755" t="s">
        <v>34</v>
      </c>
      <c r="I713" s="756"/>
      <c r="J713" s="214">
        <v>0</v>
      </c>
      <c r="K713" s="496"/>
      <c r="L713" s="757"/>
      <c r="M713" s="189"/>
      <c r="N713" s="757"/>
      <c r="O713" s="496"/>
      <c r="P713" s="496"/>
      <c r="Q713" s="571"/>
      <c r="R713" s="571"/>
      <c r="S713" s="571"/>
      <c r="T713" s="571"/>
      <c r="U713" s="571"/>
      <c r="V713" s="571"/>
      <c r="W713" s="571"/>
      <c r="X713" s="571"/>
      <c r="Y713" s="571"/>
      <c r="Z713" s="571"/>
    </row>
    <row r="714" spans="1:26" ht="18.75" hidden="1">
      <c r="A714" s="735"/>
      <c r="B714" s="754"/>
      <c r="C714" s="754"/>
      <c r="D714" s="754"/>
      <c r="E714" s="754"/>
      <c r="F714" s="754"/>
      <c r="G714" s="189"/>
      <c r="H714" s="755" t="s">
        <v>46</v>
      </c>
      <c r="I714" s="756"/>
      <c r="J714" s="214">
        <v>0</v>
      </c>
      <c r="K714" s="496"/>
      <c r="L714" s="757"/>
      <c r="M714" s="189"/>
      <c r="N714" s="757"/>
      <c r="O714" s="496"/>
      <c r="P714" s="496"/>
      <c r="Q714" s="571"/>
      <c r="R714" s="571"/>
      <c r="S714" s="571"/>
      <c r="T714" s="571"/>
      <c r="U714" s="571"/>
      <c r="V714" s="571"/>
      <c r="W714" s="571"/>
      <c r="X714" s="571"/>
      <c r="Y714" s="571"/>
      <c r="Z714" s="571"/>
    </row>
    <row r="715" spans="1:26" ht="18.75" hidden="1">
      <c r="A715" s="735"/>
      <c r="B715" s="754"/>
      <c r="C715" s="754"/>
      <c r="D715" s="754"/>
      <c r="E715" s="754"/>
      <c r="F715" s="754" t="s">
        <v>303</v>
      </c>
      <c r="G715" s="189"/>
      <c r="H715" s="755" t="s">
        <v>35</v>
      </c>
      <c r="I715" s="756"/>
      <c r="J715" s="214">
        <v>0</v>
      </c>
      <c r="K715" s="496"/>
      <c r="L715" s="757"/>
      <c r="M715" s="189"/>
      <c r="N715" s="757"/>
      <c r="O715" s="496"/>
      <c r="P715" s="496"/>
      <c r="Q715" s="571"/>
      <c r="R715" s="571"/>
      <c r="S715" s="571"/>
      <c r="T715" s="571"/>
      <c r="U715" s="571"/>
      <c r="V715" s="571"/>
      <c r="W715" s="571"/>
      <c r="X715" s="571"/>
      <c r="Y715" s="571"/>
      <c r="Z715" s="571"/>
    </row>
    <row r="716" spans="1:26" ht="18.75" hidden="1">
      <c r="A716" s="735"/>
      <c r="B716" s="754"/>
      <c r="C716" s="754"/>
      <c r="D716" s="754"/>
      <c r="E716" s="754"/>
      <c r="F716" s="754"/>
      <c r="G716" s="189"/>
      <c r="H716" s="755" t="s">
        <v>34</v>
      </c>
      <c r="I716" s="756"/>
      <c r="J716" s="214">
        <v>0</v>
      </c>
      <c r="K716" s="496"/>
      <c r="L716" s="757"/>
      <c r="M716" s="189"/>
      <c r="N716" s="757"/>
      <c r="O716" s="496"/>
      <c r="P716" s="496"/>
      <c r="Q716" s="571"/>
      <c r="R716" s="571"/>
      <c r="S716" s="571"/>
      <c r="T716" s="571"/>
      <c r="U716" s="571"/>
      <c r="V716" s="571"/>
      <c r="W716" s="571"/>
      <c r="X716" s="571"/>
      <c r="Y716" s="571"/>
      <c r="Z716" s="571"/>
    </row>
    <row r="717" spans="1:26" ht="18.75" hidden="1">
      <c r="A717" s="735"/>
      <c r="B717" s="754"/>
      <c r="C717" s="754"/>
      <c r="D717" s="754"/>
      <c r="E717" s="754"/>
      <c r="F717" s="754"/>
      <c r="G717" s="189"/>
      <c r="H717" s="755" t="s">
        <v>46</v>
      </c>
      <c r="I717" s="756"/>
      <c r="J717" s="214">
        <v>0</v>
      </c>
      <c r="K717" s="496"/>
      <c r="L717" s="757"/>
      <c r="M717" s="189"/>
      <c r="N717" s="757"/>
      <c r="O717" s="496"/>
      <c r="P717" s="496"/>
      <c r="Q717" s="571"/>
      <c r="R717" s="571"/>
      <c r="S717" s="571"/>
      <c r="T717" s="571"/>
      <c r="U717" s="571"/>
      <c r="V717" s="571"/>
      <c r="W717" s="571"/>
      <c r="X717" s="571"/>
      <c r="Y717" s="571"/>
      <c r="Z717" s="571"/>
    </row>
    <row r="718" spans="1:26" ht="18.75" hidden="1">
      <c r="A718" s="735"/>
      <c r="B718" s="754"/>
      <c r="C718" s="754"/>
      <c r="D718" s="754" t="s">
        <v>304</v>
      </c>
      <c r="E718" s="754"/>
      <c r="F718" s="754"/>
      <c r="G718" s="189"/>
      <c r="H718" s="755" t="s">
        <v>35</v>
      </c>
      <c r="I718" s="756"/>
      <c r="J718" s="269">
        <f ca="1">IFERROR(__xludf.DUMMYFUNCTION("IMPORTRANGE(""https://docs.google.com/spreadsheets/d/1XWAQStnk-4SwqDmLtmXYiTMKHgktTP8We1SCoS47DrQ/edit?usp=sharing"",""จัดที่ดิน!BF58"")"),0)</f>
        <v>0</v>
      </c>
      <c r="K718" s="496"/>
      <c r="L718" s="496"/>
      <c r="M718" s="189"/>
      <c r="N718" s="757"/>
      <c r="O718" s="496"/>
      <c r="P718" s="496"/>
      <c r="Q718" s="571"/>
      <c r="R718" s="571"/>
      <c r="S718" s="571"/>
      <c r="T718" s="571"/>
      <c r="U718" s="571"/>
      <c r="V718" s="571"/>
      <c r="W718" s="571"/>
      <c r="X718" s="571"/>
      <c r="Y718" s="571"/>
      <c r="Z718" s="571"/>
    </row>
    <row r="719" spans="1:26" ht="18.75" hidden="1">
      <c r="A719" s="735"/>
      <c r="B719" s="754"/>
      <c r="C719" s="754"/>
      <c r="D719" s="754"/>
      <c r="E719" s="754"/>
      <c r="F719" s="754"/>
      <c r="G719" s="189"/>
      <c r="H719" s="755" t="s">
        <v>34</v>
      </c>
      <c r="I719" s="756"/>
      <c r="J719" s="269">
        <f ca="1">IFERROR(__xludf.DUMMYFUNCTION("IMPORTRANGE(""https://docs.google.com/spreadsheets/d/1XWAQStnk-4SwqDmLtmXYiTMKHgktTP8We1SCoS47DrQ/edit?usp=sharing"",""จัดที่ดิน!BG58"")"),0)</f>
        <v>0</v>
      </c>
      <c r="K719" s="496"/>
      <c r="L719" s="757"/>
      <c r="M719" s="189"/>
      <c r="N719" s="757"/>
      <c r="O719" s="496"/>
      <c r="P719" s="496"/>
      <c r="Q719" s="571"/>
      <c r="R719" s="571"/>
      <c r="S719" s="571"/>
      <c r="T719" s="571"/>
      <c r="U719" s="571"/>
      <c r="V719" s="571"/>
      <c r="W719" s="571"/>
      <c r="X719" s="571"/>
      <c r="Y719" s="571"/>
      <c r="Z719" s="571"/>
    </row>
    <row r="720" spans="1:26" ht="18.75" hidden="1">
      <c r="A720" s="735"/>
      <c r="B720" s="754"/>
      <c r="C720" s="754"/>
      <c r="D720" s="754"/>
      <c r="E720" s="754"/>
      <c r="F720" s="754"/>
      <c r="G720" s="189"/>
      <c r="H720" s="755" t="s">
        <v>46</v>
      </c>
      <c r="I720" s="756">
        <f ca="1">IFERROR(__xludf.DUMMYFUNCTION("IMPORTRANGE(""https://docs.google.com/spreadsheets/d/1QqKyyYR6Q21VydFLVH3TRQUabQu_ym0Zz7PgGX0-kHA/edit?usp=sharing"",""แผน!II58"")"),0)</f>
        <v>0</v>
      </c>
      <c r="J720" s="269">
        <f ca="1">IFERROR(__xludf.DUMMYFUNCTION("IMPORTRANGE(""https://docs.google.com/spreadsheets/d/1XWAQStnk-4SwqDmLtmXYiTMKHgktTP8We1SCoS47DrQ/edit?usp=sharing"",""จัดที่ดิน!BH58"")"),0)</f>
        <v>0</v>
      </c>
      <c r="K720" s="496">
        <f t="shared" ref="K720:K723" ca="1" si="291">IF(I720&gt;0,J720*100/I720,0)</f>
        <v>0</v>
      </c>
      <c r="L720" s="757"/>
      <c r="M720" s="189"/>
      <c r="N720" s="757"/>
      <c r="O720" s="496"/>
      <c r="P720" s="496"/>
      <c r="Q720" s="571"/>
      <c r="R720" s="571"/>
      <c r="S720" s="571"/>
      <c r="T720" s="571"/>
      <c r="U720" s="571"/>
      <c r="V720" s="571"/>
      <c r="W720" s="571"/>
      <c r="X720" s="571"/>
      <c r="Y720" s="571"/>
      <c r="Z720" s="571"/>
    </row>
    <row r="721" spans="1:26" ht="19.5" hidden="1">
      <c r="A721" s="735"/>
      <c r="B721" s="754"/>
      <c r="C721" s="754"/>
      <c r="D721" s="754" t="s">
        <v>305</v>
      </c>
      <c r="E721" s="754"/>
      <c r="F721" s="754"/>
      <c r="G721" s="189"/>
      <c r="H721" s="758" t="s">
        <v>35</v>
      </c>
      <c r="I721" s="759">
        <f ca="1">IFERROR(__xludf.DUMMYFUNCTION("IMPORTRANGE(""https://docs.google.com/spreadsheets/d/1QqKyyYR6Q21VydFLVH3TRQUabQu_ym0Zz7PgGX0-kHA/edit?usp=sharing"",""แผน!IJ58"")"),0)</f>
        <v>0</v>
      </c>
      <c r="J721" s="674">
        <f ca="1">J723+J726</f>
        <v>0</v>
      </c>
      <c r="K721" s="195">
        <f t="shared" ca="1" si="291"/>
        <v>0</v>
      </c>
      <c r="L721" s="757"/>
      <c r="M721" s="189"/>
      <c r="N721" s="757"/>
      <c r="O721" s="496"/>
      <c r="P721" s="496"/>
      <c r="Q721" s="571"/>
      <c r="R721" s="571"/>
      <c r="S721" s="571"/>
      <c r="T721" s="571"/>
      <c r="U721" s="571"/>
      <c r="V721" s="571"/>
      <c r="W721" s="571"/>
      <c r="X721" s="571"/>
      <c r="Y721" s="571"/>
      <c r="Z721" s="571"/>
    </row>
    <row r="722" spans="1:26" ht="19.5" hidden="1">
      <c r="A722" s="735"/>
      <c r="B722" s="754"/>
      <c r="C722" s="754"/>
      <c r="D722" s="754"/>
      <c r="E722" s="754"/>
      <c r="F722" s="754"/>
      <c r="G722" s="189"/>
      <c r="H722" s="758" t="s">
        <v>46</v>
      </c>
      <c r="I722" s="759">
        <f ca="1">IFERROR(__xludf.DUMMYFUNCTION("IMPORTRANGE(""https://docs.google.com/spreadsheets/d/1QqKyyYR6Q21VydFLVH3TRQUabQu_ym0Zz7PgGX0-kHA/edit?usp=sharing"",""แผน!IK58"")"),0)</f>
        <v>0</v>
      </c>
      <c r="J722" s="674">
        <f ca="1">J725+J728</f>
        <v>0</v>
      </c>
      <c r="K722" s="195">
        <f t="shared" ca="1" si="291"/>
        <v>0</v>
      </c>
      <c r="L722" s="496"/>
      <c r="M722" s="189"/>
      <c r="N722" s="757"/>
      <c r="O722" s="496"/>
      <c r="P722" s="496"/>
      <c r="Q722" s="571"/>
      <c r="R722" s="571"/>
      <c r="S722" s="571"/>
      <c r="T722" s="571"/>
      <c r="U722" s="571"/>
      <c r="V722" s="571"/>
      <c r="W722" s="571"/>
      <c r="X722" s="571"/>
      <c r="Y722" s="571"/>
      <c r="Z722" s="571"/>
    </row>
    <row r="723" spans="1:26" ht="18.75" hidden="1">
      <c r="A723" s="735"/>
      <c r="B723" s="754"/>
      <c r="C723" s="754"/>
      <c r="D723" s="754"/>
      <c r="E723" s="754" t="s">
        <v>306</v>
      </c>
      <c r="F723" s="754"/>
      <c r="G723" s="189"/>
      <c r="H723" s="755" t="s">
        <v>35</v>
      </c>
      <c r="I723" s="756">
        <f ca="1">IFERROR(__xludf.DUMMYFUNCTION("IMPORTRANGE(""https://docs.google.com/spreadsheets/d/1QqKyyYR6Q21VydFLVH3TRQUabQu_ym0Zz7PgGX0-kHA/edit?usp=sharing"",""แผน!IL58"")"),0)</f>
        <v>0</v>
      </c>
      <c r="J723" s="269">
        <f ca="1">IFERROR(__xludf.DUMMYFUNCTION("IMPORTRANGE(""https://docs.google.com/spreadsheets/d/1XWAQStnk-4SwqDmLtmXYiTMKHgktTP8We1SCoS47DrQ/edit?usp=sharing"",""จัดที่ดิน!BM58"")"),0)</f>
        <v>0</v>
      </c>
      <c r="K723" s="496">
        <f t="shared" ca="1" si="291"/>
        <v>0</v>
      </c>
      <c r="L723" s="496"/>
      <c r="M723" s="189"/>
      <c r="N723" s="757"/>
      <c r="O723" s="496"/>
      <c r="P723" s="496"/>
      <c r="Q723" s="571"/>
      <c r="R723" s="571"/>
      <c r="S723" s="571"/>
      <c r="T723" s="571"/>
      <c r="U723" s="571"/>
      <c r="V723" s="571"/>
      <c r="W723" s="571"/>
      <c r="X723" s="571"/>
      <c r="Y723" s="571"/>
      <c r="Z723" s="571"/>
    </row>
    <row r="724" spans="1:26" ht="18.75" hidden="1">
      <c r="A724" s="735"/>
      <c r="B724" s="754"/>
      <c r="C724" s="754"/>
      <c r="D724" s="754"/>
      <c r="E724" s="754"/>
      <c r="F724" s="754"/>
      <c r="G724" s="189"/>
      <c r="H724" s="755" t="s">
        <v>34</v>
      </c>
      <c r="I724" s="756"/>
      <c r="J724" s="269">
        <f ca="1">IFERROR(__xludf.DUMMYFUNCTION("IMPORTRANGE(""https://docs.google.com/spreadsheets/d/1XWAQStnk-4SwqDmLtmXYiTMKHgktTP8We1SCoS47DrQ/edit?usp=sharing"",""จัดที่ดิน!BN58"")"),0)</f>
        <v>0</v>
      </c>
      <c r="K724" s="496"/>
      <c r="L724" s="757"/>
      <c r="M724" s="189"/>
      <c r="N724" s="757"/>
      <c r="O724" s="496"/>
      <c r="P724" s="496"/>
      <c r="Q724" s="571"/>
      <c r="R724" s="571"/>
      <c r="S724" s="571"/>
      <c r="T724" s="571"/>
      <c r="U724" s="571"/>
      <c r="V724" s="571"/>
      <c r="W724" s="571"/>
      <c r="X724" s="571"/>
      <c r="Y724" s="571"/>
      <c r="Z724" s="571"/>
    </row>
    <row r="725" spans="1:26" ht="18.75" hidden="1">
      <c r="A725" s="735"/>
      <c r="B725" s="754"/>
      <c r="C725" s="754"/>
      <c r="D725" s="754"/>
      <c r="E725" s="754"/>
      <c r="F725" s="754"/>
      <c r="G725" s="189"/>
      <c r="H725" s="755" t="s">
        <v>46</v>
      </c>
      <c r="I725" s="756">
        <f ca="1">IFERROR(__xludf.DUMMYFUNCTION("IMPORTRANGE(""https://docs.google.com/spreadsheets/d/1QqKyyYR6Q21VydFLVH3TRQUabQu_ym0Zz7PgGX0-kHA/edit?usp=sharing"",""แผน!IM58"")"),0)</f>
        <v>0</v>
      </c>
      <c r="J725" s="269">
        <f ca="1">IFERROR(__xludf.DUMMYFUNCTION("IMPORTRANGE(""https://docs.google.com/spreadsheets/d/1XWAQStnk-4SwqDmLtmXYiTMKHgktTP8We1SCoS47DrQ/edit?usp=sharing"",""จัดที่ดิน!BO58"")"),0)</f>
        <v>0</v>
      </c>
      <c r="K725" s="496">
        <f t="shared" ref="K725:K726" ca="1" si="292">IF(I725&gt;0,J725*100/I725,0)</f>
        <v>0</v>
      </c>
      <c r="L725" s="757"/>
      <c r="M725" s="189"/>
      <c r="N725" s="757"/>
      <c r="O725" s="496"/>
      <c r="P725" s="496"/>
      <c r="Q725" s="571"/>
      <c r="R725" s="571"/>
      <c r="S725" s="571"/>
      <c r="T725" s="571"/>
      <c r="U725" s="571"/>
      <c r="V725" s="571"/>
      <c r="W725" s="571"/>
      <c r="X725" s="571"/>
      <c r="Y725" s="571"/>
      <c r="Z725" s="571"/>
    </row>
    <row r="726" spans="1:26" ht="18.75" hidden="1">
      <c r="A726" s="735"/>
      <c r="B726" s="754"/>
      <c r="C726" s="754"/>
      <c r="D726" s="754"/>
      <c r="E726" s="754" t="s">
        <v>307</v>
      </c>
      <c r="F726" s="754"/>
      <c r="G726" s="189"/>
      <c r="H726" s="755" t="s">
        <v>35</v>
      </c>
      <c r="I726" s="756">
        <f ca="1">IFERROR(__xludf.DUMMYFUNCTION("IMPORTRANGE(""https://docs.google.com/spreadsheets/d/1QqKyyYR6Q21VydFLVH3TRQUabQu_ym0Zz7PgGX0-kHA/edit?usp=sharing"",""แผน!IN58"")"),0)</f>
        <v>0</v>
      </c>
      <c r="J726" s="269">
        <f ca="1">IFERROR(__xludf.DUMMYFUNCTION("IMPORTRANGE(""https://docs.google.com/spreadsheets/d/1XWAQStnk-4SwqDmLtmXYiTMKHgktTP8We1SCoS47DrQ/edit?usp=sharing"",""จัดที่ดิน!BR58"")"),0)</f>
        <v>0</v>
      </c>
      <c r="K726" s="496">
        <f t="shared" ca="1" si="292"/>
        <v>0</v>
      </c>
      <c r="L726" s="496"/>
      <c r="M726" s="189"/>
      <c r="N726" s="757"/>
      <c r="O726" s="496"/>
      <c r="P726" s="496"/>
      <c r="Q726" s="571"/>
      <c r="R726" s="571"/>
      <c r="S726" s="571"/>
      <c r="T726" s="571"/>
      <c r="U726" s="571"/>
      <c r="V726" s="571"/>
      <c r="W726" s="571"/>
      <c r="X726" s="571"/>
      <c r="Y726" s="571"/>
      <c r="Z726" s="571"/>
    </row>
    <row r="727" spans="1:26" ht="18.75" hidden="1">
      <c r="A727" s="735"/>
      <c r="B727" s="754"/>
      <c r="C727" s="754"/>
      <c r="D727" s="754"/>
      <c r="E727" s="754"/>
      <c r="F727" s="754"/>
      <c r="G727" s="189"/>
      <c r="H727" s="755" t="s">
        <v>34</v>
      </c>
      <c r="I727" s="756"/>
      <c r="J727" s="269">
        <f ca="1">IFERROR(__xludf.DUMMYFUNCTION("IMPORTRANGE(""https://docs.google.com/spreadsheets/d/1XWAQStnk-4SwqDmLtmXYiTMKHgktTP8We1SCoS47DrQ/edit?usp=sharing"",""จัดที่ดิน!BS58"")"),0)</f>
        <v>0</v>
      </c>
      <c r="K727" s="496"/>
      <c r="L727" s="757"/>
      <c r="M727" s="189"/>
      <c r="N727" s="757"/>
      <c r="O727" s="496"/>
      <c r="P727" s="496"/>
      <c r="Q727" s="571"/>
      <c r="R727" s="571"/>
      <c r="S727" s="571"/>
      <c r="T727" s="571"/>
      <c r="U727" s="571"/>
      <c r="V727" s="571"/>
      <c r="W727" s="571"/>
      <c r="X727" s="571"/>
      <c r="Y727" s="571"/>
      <c r="Z727" s="571"/>
    </row>
    <row r="728" spans="1:26" ht="18.75" hidden="1">
      <c r="A728" s="735"/>
      <c r="B728" s="754"/>
      <c r="C728" s="754"/>
      <c r="D728" s="754"/>
      <c r="E728" s="754"/>
      <c r="F728" s="754"/>
      <c r="G728" s="189"/>
      <c r="H728" s="755" t="s">
        <v>46</v>
      </c>
      <c r="I728" s="756">
        <f ca="1">IFERROR(__xludf.DUMMYFUNCTION("IMPORTRANGE(""https://docs.google.com/spreadsheets/d/1QqKyyYR6Q21VydFLVH3TRQUabQu_ym0Zz7PgGX0-kHA/edit?usp=sharing"",""แผน!IO58"")"),0)</f>
        <v>0</v>
      </c>
      <c r="J728" s="269">
        <f ca="1">IFERROR(__xludf.DUMMYFUNCTION("IMPORTRANGE(""https://docs.google.com/spreadsheets/d/1XWAQStnk-4SwqDmLtmXYiTMKHgktTP8We1SCoS47DrQ/edit?usp=sharing"",""จัดที่ดิน!BT58"")"),0)</f>
        <v>0</v>
      </c>
      <c r="K728" s="496">
        <f t="shared" ref="K728:K729" ca="1" si="293">IF(I728&gt;0,J728*100/I728,0)</f>
        <v>0</v>
      </c>
      <c r="L728" s="757"/>
      <c r="M728" s="189"/>
      <c r="N728" s="757"/>
      <c r="O728" s="496"/>
      <c r="P728" s="496"/>
      <c r="Q728" s="571"/>
      <c r="R728" s="571"/>
      <c r="S728" s="571"/>
      <c r="T728" s="571"/>
      <c r="U728" s="571"/>
      <c r="V728" s="571"/>
      <c r="W728" s="571"/>
      <c r="X728" s="571"/>
      <c r="Y728" s="571"/>
      <c r="Z728" s="571"/>
    </row>
    <row r="729" spans="1:26" ht="19.5" hidden="1">
      <c r="A729" s="735"/>
      <c r="B729" s="754"/>
      <c r="C729" s="754"/>
      <c r="D729" s="754" t="s">
        <v>308</v>
      </c>
      <c r="E729" s="754"/>
      <c r="F729" s="754"/>
      <c r="G729" s="189"/>
      <c r="H729" s="758" t="s">
        <v>46</v>
      </c>
      <c r="I729" s="759">
        <f ca="1">IFERROR(__xludf.DUMMYFUNCTION("IMPORTRANGE(""https://docs.google.com/spreadsheets/d/1QqKyyYR6Q21VydFLVH3TRQUabQu_ym0Zz7PgGX0-kHA/edit?usp=sharing"",""แผน!IP58"")"),0)</f>
        <v>0</v>
      </c>
      <c r="J729" s="674">
        <f>J732+J735</f>
        <v>0</v>
      </c>
      <c r="K729" s="195">
        <f t="shared" ca="1" si="293"/>
        <v>0</v>
      </c>
      <c r="L729" s="496"/>
      <c r="M729" s="189"/>
      <c r="N729" s="757"/>
      <c r="O729" s="496"/>
      <c r="P729" s="496"/>
      <c r="Q729" s="571"/>
      <c r="R729" s="571"/>
      <c r="S729" s="571"/>
      <c r="T729" s="571"/>
      <c r="U729" s="571"/>
      <c r="V729" s="571"/>
      <c r="W729" s="571"/>
      <c r="X729" s="571"/>
      <c r="Y729" s="571"/>
      <c r="Z729" s="571"/>
    </row>
    <row r="730" spans="1:26" ht="18.75" hidden="1">
      <c r="A730" s="735"/>
      <c r="B730" s="754"/>
      <c r="C730" s="754"/>
      <c r="D730" s="754"/>
      <c r="E730" s="754" t="s">
        <v>309</v>
      </c>
      <c r="F730" s="754"/>
      <c r="G730" s="189"/>
      <c r="H730" s="755" t="s">
        <v>35</v>
      </c>
      <c r="I730" s="756"/>
      <c r="J730" s="214">
        <v>0</v>
      </c>
      <c r="K730" s="496"/>
      <c r="L730" s="757"/>
      <c r="M730" s="496"/>
      <c r="N730" s="757"/>
      <c r="O730" s="496"/>
      <c r="P730" s="496"/>
      <c r="Q730" s="571"/>
      <c r="R730" s="571"/>
      <c r="S730" s="571"/>
      <c r="T730" s="571"/>
      <c r="U730" s="571"/>
      <c r="V730" s="571"/>
      <c r="W730" s="571"/>
      <c r="X730" s="571"/>
      <c r="Y730" s="571"/>
      <c r="Z730" s="571"/>
    </row>
    <row r="731" spans="1:26" ht="18.75" hidden="1">
      <c r="A731" s="735"/>
      <c r="B731" s="754"/>
      <c r="C731" s="754"/>
      <c r="D731" s="754"/>
      <c r="E731" s="754"/>
      <c r="F731" s="754"/>
      <c r="G731" s="189"/>
      <c r="H731" s="755" t="s">
        <v>34</v>
      </c>
      <c r="I731" s="756"/>
      <c r="J731" s="214">
        <v>0</v>
      </c>
      <c r="K731" s="496"/>
      <c r="L731" s="757"/>
      <c r="M731" s="496"/>
      <c r="N731" s="757"/>
      <c r="O731" s="496"/>
      <c r="P731" s="496"/>
      <c r="Q731" s="571"/>
      <c r="R731" s="571"/>
      <c r="S731" s="571"/>
      <c r="T731" s="571"/>
      <c r="U731" s="571"/>
      <c r="V731" s="571"/>
      <c r="W731" s="571"/>
      <c r="X731" s="571"/>
      <c r="Y731" s="571"/>
      <c r="Z731" s="571"/>
    </row>
    <row r="732" spans="1:26" ht="18.75" hidden="1">
      <c r="A732" s="735"/>
      <c r="B732" s="754"/>
      <c r="C732" s="754"/>
      <c r="D732" s="754"/>
      <c r="E732" s="754"/>
      <c r="F732" s="754"/>
      <c r="G732" s="189"/>
      <c r="H732" s="755" t="s">
        <v>46</v>
      </c>
      <c r="I732" s="756"/>
      <c r="J732" s="214">
        <v>0</v>
      </c>
      <c r="K732" s="496"/>
      <c r="L732" s="757"/>
      <c r="M732" s="496"/>
      <c r="N732" s="757"/>
      <c r="O732" s="496"/>
      <c r="P732" s="496"/>
      <c r="Q732" s="571"/>
      <c r="R732" s="571"/>
      <c r="S732" s="571"/>
      <c r="T732" s="571"/>
      <c r="U732" s="571"/>
      <c r="V732" s="571"/>
      <c r="W732" s="571"/>
      <c r="X732" s="571"/>
      <c r="Y732" s="571"/>
      <c r="Z732" s="571"/>
    </row>
    <row r="733" spans="1:26" ht="18.75" hidden="1">
      <c r="A733" s="735"/>
      <c r="B733" s="754"/>
      <c r="C733" s="754"/>
      <c r="D733" s="754"/>
      <c r="E733" s="754" t="s">
        <v>310</v>
      </c>
      <c r="F733" s="754"/>
      <c r="G733" s="189"/>
      <c r="H733" s="755" t="s">
        <v>35</v>
      </c>
      <c r="I733" s="756"/>
      <c r="J733" s="214">
        <v>0</v>
      </c>
      <c r="K733" s="496"/>
      <c r="L733" s="757"/>
      <c r="M733" s="496"/>
      <c r="N733" s="757"/>
      <c r="O733" s="496"/>
      <c r="P733" s="496"/>
      <c r="Q733" s="571"/>
      <c r="R733" s="571"/>
      <c r="S733" s="571"/>
      <c r="T733" s="571"/>
      <c r="U733" s="571"/>
      <c r="V733" s="571"/>
      <c r="W733" s="571"/>
      <c r="X733" s="571"/>
      <c r="Y733" s="571"/>
      <c r="Z733" s="571"/>
    </row>
    <row r="734" spans="1:26" ht="18.75" hidden="1">
      <c r="A734" s="735"/>
      <c r="B734" s="754"/>
      <c r="C734" s="754"/>
      <c r="D734" s="754"/>
      <c r="E734" s="754"/>
      <c r="F734" s="754"/>
      <c r="G734" s="189"/>
      <c r="H734" s="755" t="s">
        <v>34</v>
      </c>
      <c r="I734" s="756"/>
      <c r="J734" s="214">
        <v>0</v>
      </c>
      <c r="K734" s="496"/>
      <c r="L734" s="757"/>
      <c r="M734" s="496"/>
      <c r="N734" s="757"/>
      <c r="O734" s="496"/>
      <c r="P734" s="496"/>
      <c r="Q734" s="571"/>
      <c r="R734" s="571"/>
      <c r="S734" s="571"/>
      <c r="T734" s="571"/>
      <c r="U734" s="571"/>
      <c r="V734" s="571"/>
      <c r="W734" s="571"/>
      <c r="X734" s="571"/>
      <c r="Y734" s="571"/>
      <c r="Z734" s="571"/>
    </row>
    <row r="735" spans="1:26" ht="19.5" hidden="1">
      <c r="A735" s="761"/>
      <c r="B735" s="762" t="s">
        <v>311</v>
      </c>
      <c r="C735" s="725"/>
      <c r="D735" s="725"/>
      <c r="E735" s="725"/>
      <c r="F735" s="725"/>
      <c r="G735" s="726"/>
      <c r="H735" s="421" t="s">
        <v>46</v>
      </c>
      <c r="I735" s="763"/>
      <c r="J735" s="423">
        <v>0</v>
      </c>
      <c r="K735" s="500"/>
      <c r="L735" s="764"/>
      <c r="M735" s="500"/>
      <c r="N735" s="764"/>
      <c r="O735" s="500"/>
      <c r="P735" s="500"/>
      <c r="Q735" s="571"/>
      <c r="R735" s="571"/>
      <c r="S735" s="571"/>
      <c r="T735" s="571"/>
      <c r="U735" s="571"/>
      <c r="V735" s="571"/>
      <c r="W735" s="571"/>
      <c r="X735" s="571"/>
      <c r="Y735" s="571"/>
      <c r="Z735" s="571"/>
    </row>
    <row r="736" spans="1:26" ht="19.5" hidden="1">
      <c r="A736" s="765">
        <v>9</v>
      </c>
      <c r="B736" s="766" t="s">
        <v>312</v>
      </c>
      <c r="C736" s="767"/>
      <c r="D736" s="767"/>
      <c r="E736" s="767"/>
      <c r="F736" s="767"/>
      <c r="G736" s="768"/>
      <c r="H736" s="769" t="s">
        <v>46</v>
      </c>
      <c r="I736" s="770"/>
      <c r="J736" s="770">
        <f>J751</f>
        <v>0</v>
      </c>
      <c r="K736" s="771">
        <f>IF(I736&gt;0,J736*100/I736,0)</f>
        <v>0</v>
      </c>
      <c r="L736" s="772"/>
      <c r="M736" s="772"/>
      <c r="N736" s="772"/>
      <c r="O736" s="772"/>
      <c r="P736" s="772"/>
      <c r="Q736" s="597"/>
      <c r="R736" s="597"/>
      <c r="S736" s="597"/>
      <c r="T736" s="597"/>
      <c r="U736" s="597"/>
      <c r="V736" s="597"/>
      <c r="W736" s="597"/>
      <c r="X736" s="597"/>
      <c r="Y736" s="597"/>
      <c r="Z736" s="597"/>
    </row>
    <row r="737" spans="1:26" ht="19.5" hidden="1">
      <c r="A737" s="592"/>
      <c r="B737" s="750"/>
      <c r="C737" s="750" t="s">
        <v>16</v>
      </c>
      <c r="D737" s="864" t="s">
        <v>17</v>
      </c>
      <c r="E737" s="857"/>
      <c r="F737" s="857"/>
      <c r="G737" s="596"/>
      <c r="H737" s="639" t="s">
        <v>12</v>
      </c>
      <c r="I737" s="610"/>
      <c r="J737" s="610"/>
      <c r="K737" s="93"/>
      <c r="L737" s="640">
        <f t="shared" ref="L737:N737" si="294">L738+L739</f>
        <v>0</v>
      </c>
      <c r="M737" s="640">
        <f t="shared" si="294"/>
        <v>0</v>
      </c>
      <c r="N737" s="640">
        <f t="shared" si="294"/>
        <v>0</v>
      </c>
      <c r="O737" s="640">
        <f t="shared" ref="O737:O742" si="295">IF(L737&gt;0,N737*100/L737,0)</f>
        <v>0</v>
      </c>
      <c r="P737" s="640">
        <f t="shared" ref="P737:P742" si="296">IF(M737&gt;0,N737*100/M737,0)</f>
        <v>0</v>
      </c>
      <c r="Q737" s="597"/>
      <c r="R737" s="597"/>
      <c r="S737" s="597"/>
      <c r="T737" s="597"/>
      <c r="U737" s="597"/>
      <c r="V737" s="597"/>
      <c r="W737" s="597"/>
      <c r="X737" s="597"/>
      <c r="Y737" s="597"/>
      <c r="Z737" s="597"/>
    </row>
    <row r="738" spans="1:26" ht="18.75" hidden="1">
      <c r="A738" s="592"/>
      <c r="B738" s="750"/>
      <c r="C738" s="750"/>
      <c r="D738" s="711"/>
      <c r="E738" s="750" t="s">
        <v>184</v>
      </c>
      <c r="F738" s="750"/>
      <c r="G738" s="596"/>
      <c r="H738" s="165" t="s">
        <v>12</v>
      </c>
      <c r="I738" s="610"/>
      <c r="J738" s="610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597"/>
      <c r="R738" s="597"/>
      <c r="S738" s="597"/>
      <c r="T738" s="597"/>
      <c r="U738" s="597"/>
      <c r="V738" s="597"/>
      <c r="W738" s="597"/>
      <c r="X738" s="597"/>
      <c r="Y738" s="597"/>
      <c r="Z738" s="597"/>
    </row>
    <row r="739" spans="1:26" ht="18.75" hidden="1">
      <c r="A739" s="592"/>
      <c r="B739" s="600"/>
      <c r="C739" s="750"/>
      <c r="D739" s="711"/>
      <c r="E739" s="750" t="s">
        <v>185</v>
      </c>
      <c r="F739" s="750"/>
      <c r="G739" s="596"/>
      <c r="H739" s="165" t="s">
        <v>12</v>
      </c>
      <c r="I739" s="610"/>
      <c r="J739" s="610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597"/>
      <c r="R739" s="597"/>
      <c r="S739" s="597"/>
      <c r="T739" s="597"/>
      <c r="U739" s="597"/>
      <c r="V739" s="597"/>
      <c r="W739" s="597"/>
      <c r="X739" s="597"/>
      <c r="Y739" s="597"/>
      <c r="Z739" s="597"/>
    </row>
    <row r="740" spans="1:26" ht="19.5" hidden="1">
      <c r="A740" s="592"/>
      <c r="B740" s="600"/>
      <c r="C740" s="750"/>
      <c r="D740" s="638" t="s">
        <v>20</v>
      </c>
      <c r="E740" s="750"/>
      <c r="F740" s="750"/>
      <c r="G740" s="596"/>
      <c r="H740" s="639" t="s">
        <v>12</v>
      </c>
      <c r="I740" s="166"/>
      <c r="J740" s="166"/>
      <c r="K740" s="167"/>
      <c r="L740" s="640">
        <f t="shared" ref="L740:N740" si="298">L741+L742</f>
        <v>0</v>
      </c>
      <c r="M740" s="640">
        <f t="shared" si="298"/>
        <v>0</v>
      </c>
      <c r="N740" s="640">
        <f t="shared" si="298"/>
        <v>0</v>
      </c>
      <c r="O740" s="640">
        <f t="shared" si="295"/>
        <v>0</v>
      </c>
      <c r="P740" s="640">
        <f t="shared" si="296"/>
        <v>0</v>
      </c>
      <c r="Q740" s="597"/>
      <c r="R740" s="597"/>
      <c r="S740" s="597"/>
      <c r="T740" s="597"/>
      <c r="U740" s="597"/>
      <c r="V740" s="597"/>
      <c r="W740" s="597"/>
      <c r="X740" s="597"/>
      <c r="Y740" s="597"/>
      <c r="Z740" s="597"/>
    </row>
    <row r="741" spans="1:26" ht="18.75" hidden="1">
      <c r="A741" s="592"/>
      <c r="B741" s="600"/>
      <c r="C741" s="750"/>
      <c r="D741" s="711"/>
      <c r="E741" s="750" t="s">
        <v>184</v>
      </c>
      <c r="F741" s="750"/>
      <c r="G741" s="596"/>
      <c r="H741" s="165" t="s">
        <v>12</v>
      </c>
      <c r="I741" s="610"/>
      <c r="J741" s="610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597"/>
      <c r="R741" s="597"/>
      <c r="S741" s="597"/>
      <c r="T741" s="597"/>
      <c r="U741" s="597"/>
      <c r="V741" s="597"/>
      <c r="W741" s="597"/>
      <c r="X741" s="597"/>
      <c r="Y741" s="597"/>
      <c r="Z741" s="597"/>
    </row>
    <row r="742" spans="1:26" ht="18.75" hidden="1">
      <c r="A742" s="592"/>
      <c r="B742" s="600"/>
      <c r="C742" s="750"/>
      <c r="D742" s="711"/>
      <c r="E742" s="750" t="s">
        <v>185</v>
      </c>
      <c r="F742" s="750"/>
      <c r="G742" s="596"/>
      <c r="H742" s="165" t="s">
        <v>12</v>
      </c>
      <c r="I742" s="610"/>
      <c r="J742" s="610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597"/>
      <c r="R742" s="597"/>
      <c r="S742" s="597"/>
      <c r="T742" s="597"/>
      <c r="U742" s="597"/>
      <c r="V742" s="597"/>
      <c r="W742" s="597"/>
      <c r="X742" s="597"/>
      <c r="Y742" s="597"/>
      <c r="Z742" s="597"/>
    </row>
    <row r="743" spans="1:26" ht="18.75" hidden="1">
      <c r="A743" s="642"/>
      <c r="B743" s="600"/>
      <c r="C743" s="750"/>
      <c r="D743" s="750"/>
      <c r="E743" s="750"/>
      <c r="F743" s="750" t="s">
        <v>186</v>
      </c>
      <c r="G743" s="596"/>
      <c r="H743" s="165" t="s">
        <v>12</v>
      </c>
      <c r="I743" s="610"/>
      <c r="J743" s="610"/>
      <c r="K743" s="93"/>
      <c r="L743" s="93"/>
      <c r="M743" s="93"/>
      <c r="N743" s="93"/>
      <c r="O743" s="93"/>
      <c r="P743" s="93"/>
      <c r="Q743" s="597"/>
      <c r="R743" s="597"/>
      <c r="S743" s="597"/>
      <c r="T743" s="597"/>
      <c r="U743" s="597"/>
      <c r="V743" s="597"/>
      <c r="W743" s="597"/>
      <c r="X743" s="597"/>
      <c r="Y743" s="597"/>
      <c r="Z743" s="597"/>
    </row>
    <row r="744" spans="1:26" ht="18.75" hidden="1">
      <c r="A744" s="642"/>
      <c r="B744" s="600"/>
      <c r="C744" s="750"/>
      <c r="D744" s="750"/>
      <c r="E744" s="750"/>
      <c r="F744" s="750" t="s">
        <v>187</v>
      </c>
      <c r="G744" s="596"/>
      <c r="H744" s="165" t="s">
        <v>12</v>
      </c>
      <c r="I744" s="610"/>
      <c r="J744" s="610"/>
      <c r="K744" s="93"/>
      <c r="L744" s="93"/>
      <c r="M744" s="93"/>
      <c r="N744" s="93"/>
      <c r="O744" s="93"/>
      <c r="P744" s="93"/>
      <c r="Q744" s="597"/>
      <c r="R744" s="597"/>
      <c r="S744" s="597"/>
      <c r="T744" s="597"/>
      <c r="U744" s="597"/>
      <c r="V744" s="597"/>
      <c r="W744" s="597"/>
      <c r="X744" s="597"/>
      <c r="Y744" s="597"/>
      <c r="Z744" s="597"/>
    </row>
    <row r="745" spans="1:26" ht="18.75" hidden="1">
      <c r="A745" s="642"/>
      <c r="B745" s="600"/>
      <c r="C745" s="750"/>
      <c r="D745" s="750"/>
      <c r="E745" s="750"/>
      <c r="F745" s="750" t="s">
        <v>188</v>
      </c>
      <c r="G745" s="596"/>
      <c r="H745" s="165" t="s">
        <v>12</v>
      </c>
      <c r="I745" s="610"/>
      <c r="J745" s="610"/>
      <c r="K745" s="93"/>
      <c r="L745" s="93"/>
      <c r="M745" s="93"/>
      <c r="N745" s="93"/>
      <c r="O745" s="93"/>
      <c r="P745" s="93"/>
      <c r="Q745" s="597"/>
      <c r="R745" s="597"/>
      <c r="S745" s="597"/>
      <c r="T745" s="597"/>
      <c r="U745" s="597"/>
      <c r="V745" s="597"/>
      <c r="W745" s="597"/>
      <c r="X745" s="597"/>
      <c r="Y745" s="597"/>
      <c r="Z745" s="597"/>
    </row>
    <row r="746" spans="1:26" ht="18.75" hidden="1">
      <c r="A746" s="642"/>
      <c r="B746" s="600"/>
      <c r="C746" s="750"/>
      <c r="D746" s="750"/>
      <c r="E746" s="750"/>
      <c r="F746" s="750" t="s">
        <v>189</v>
      </c>
      <c r="G746" s="596"/>
      <c r="H746" s="165" t="s">
        <v>12</v>
      </c>
      <c r="I746" s="610"/>
      <c r="J746" s="610"/>
      <c r="K746" s="93"/>
      <c r="L746" s="93"/>
      <c r="M746" s="93"/>
      <c r="N746" s="93"/>
      <c r="O746" s="93"/>
      <c r="P746" s="93"/>
      <c r="Q746" s="597"/>
      <c r="R746" s="597"/>
      <c r="S746" s="597"/>
      <c r="T746" s="597"/>
      <c r="U746" s="597"/>
      <c r="V746" s="597"/>
      <c r="W746" s="597"/>
      <c r="X746" s="597"/>
      <c r="Y746" s="597"/>
      <c r="Z746" s="597"/>
    </row>
    <row r="747" spans="1:26" ht="19.5" hidden="1">
      <c r="A747" s="592"/>
      <c r="B747" s="600"/>
      <c r="C747" s="750"/>
      <c r="D747" s="638" t="s">
        <v>21</v>
      </c>
      <c r="E747" s="750"/>
      <c r="F747" s="750"/>
      <c r="G747" s="596"/>
      <c r="H747" s="774" t="s">
        <v>12</v>
      </c>
      <c r="I747" s="166"/>
      <c r="J747" s="166"/>
      <c r="K747" s="167"/>
      <c r="L747" s="640">
        <f t="shared" ref="L747:N747" si="299">L748+L749</f>
        <v>0</v>
      </c>
      <c r="M747" s="640">
        <f t="shared" si="299"/>
        <v>0</v>
      </c>
      <c r="N747" s="640">
        <f t="shared" si="299"/>
        <v>0</v>
      </c>
      <c r="O747" s="640">
        <f t="shared" ref="O747:O749" si="300">IF(L747&gt;0,N747*100/L747,0)</f>
        <v>0</v>
      </c>
      <c r="P747" s="640">
        <f t="shared" ref="P747:P749" si="301">IF(M747&gt;0,N747*100/M747,0)</f>
        <v>0</v>
      </c>
      <c r="Q747" s="597"/>
      <c r="R747" s="597"/>
      <c r="S747" s="597"/>
      <c r="T747" s="597"/>
      <c r="U747" s="597"/>
      <c r="V747" s="597"/>
      <c r="W747" s="597"/>
      <c r="X747" s="597"/>
      <c r="Y747" s="597"/>
      <c r="Z747" s="597"/>
    </row>
    <row r="748" spans="1:26" ht="18.75" hidden="1">
      <c r="A748" s="592"/>
      <c r="B748" s="600"/>
      <c r="C748" s="750"/>
      <c r="D748" s="750"/>
      <c r="E748" s="750" t="s">
        <v>18</v>
      </c>
      <c r="F748" s="750"/>
      <c r="G748" s="596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597"/>
      <c r="R748" s="597"/>
      <c r="S748" s="597"/>
      <c r="T748" s="597"/>
      <c r="U748" s="597"/>
      <c r="V748" s="597"/>
      <c r="W748" s="597"/>
      <c r="X748" s="597"/>
      <c r="Y748" s="597"/>
      <c r="Z748" s="597"/>
    </row>
    <row r="749" spans="1:26" ht="18.75" hidden="1">
      <c r="A749" s="592"/>
      <c r="B749" s="600"/>
      <c r="C749" s="750"/>
      <c r="D749" s="750"/>
      <c r="E749" s="750" t="s">
        <v>19</v>
      </c>
      <c r="F749" s="750"/>
      <c r="G749" s="596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597"/>
      <c r="R749" s="597"/>
      <c r="S749" s="597"/>
      <c r="T749" s="597"/>
      <c r="U749" s="597"/>
      <c r="V749" s="597"/>
      <c r="W749" s="597"/>
      <c r="X749" s="597"/>
      <c r="Y749" s="597"/>
      <c r="Z749" s="597"/>
    </row>
    <row r="750" spans="1:26" ht="19.5" hidden="1">
      <c r="A750" s="607"/>
      <c r="B750" s="609"/>
      <c r="C750" s="750" t="s">
        <v>16</v>
      </c>
      <c r="D750" s="841" t="s">
        <v>38</v>
      </c>
      <c r="E750" s="644"/>
      <c r="F750" s="644"/>
      <c r="G750" s="645"/>
      <c r="H750" s="365"/>
      <c r="I750" s="166"/>
      <c r="J750" s="166"/>
      <c r="K750" s="167"/>
      <c r="L750" s="167"/>
      <c r="M750" s="167"/>
      <c r="N750" s="167"/>
      <c r="O750" s="167"/>
      <c r="P750" s="167"/>
      <c r="Q750" s="597"/>
      <c r="R750" s="597"/>
      <c r="S750" s="597"/>
      <c r="T750" s="597"/>
      <c r="U750" s="597"/>
      <c r="V750" s="597"/>
      <c r="W750" s="597"/>
      <c r="X750" s="597"/>
      <c r="Y750" s="597"/>
      <c r="Z750" s="597"/>
    </row>
    <row r="751" spans="1:26" ht="18.75" hidden="1">
      <c r="A751" s="642"/>
      <c r="B751" s="600"/>
      <c r="C751" s="750"/>
      <c r="D751" s="750"/>
      <c r="E751" s="750" t="s">
        <v>313</v>
      </c>
      <c r="F751" s="750"/>
      <c r="G751" s="596"/>
      <c r="H751" s="165" t="s">
        <v>46</v>
      </c>
      <c r="I751" s="610"/>
      <c r="J751" s="610"/>
      <c r="K751" s="93"/>
      <c r="L751" s="93"/>
      <c r="M751" s="93"/>
      <c r="N751" s="93"/>
      <c r="O751" s="93"/>
      <c r="P751" s="93"/>
      <c r="Q751" s="597"/>
      <c r="R751" s="597"/>
      <c r="S751" s="597"/>
      <c r="T751" s="597"/>
      <c r="U751" s="597"/>
      <c r="V751" s="597"/>
      <c r="W751" s="597"/>
      <c r="X751" s="597"/>
      <c r="Y751" s="597"/>
      <c r="Z751" s="597"/>
    </row>
    <row r="752" spans="1:26" ht="18.75" hidden="1">
      <c r="A752" s="642"/>
      <c r="B752" s="600"/>
      <c r="C752" s="750"/>
      <c r="D752" s="750"/>
      <c r="E752" s="750"/>
      <c r="F752" s="750"/>
      <c r="G752" s="596"/>
      <c r="H752" s="165" t="s">
        <v>314</v>
      </c>
      <c r="I752" s="610"/>
      <c r="J752" s="610"/>
      <c r="K752" s="93"/>
      <c r="L752" s="93"/>
      <c r="M752" s="93"/>
      <c r="N752" s="93"/>
      <c r="O752" s="93"/>
      <c r="P752" s="93"/>
      <c r="Q752" s="597"/>
      <c r="R752" s="597"/>
      <c r="S752" s="597"/>
      <c r="T752" s="597"/>
      <c r="U752" s="597"/>
      <c r="V752" s="597"/>
      <c r="W752" s="597"/>
      <c r="X752" s="597"/>
      <c r="Y752" s="597"/>
      <c r="Z752" s="597"/>
    </row>
    <row r="753" spans="1:26" ht="19.5" hidden="1">
      <c r="A753" s="776">
        <v>10</v>
      </c>
      <c r="B753" s="777" t="s">
        <v>315</v>
      </c>
      <c r="C753" s="778"/>
      <c r="D753" s="778"/>
      <c r="E753" s="778"/>
      <c r="F753" s="778"/>
      <c r="G753" s="779"/>
      <c r="H753" s="780" t="s">
        <v>46</v>
      </c>
      <c r="I753" s="781"/>
      <c r="J753" s="781">
        <f>J768</f>
        <v>0</v>
      </c>
      <c r="K753" s="782">
        <f>IF(I753&gt;0,J753*100/I753,0)</f>
        <v>0</v>
      </c>
      <c r="L753" s="783"/>
      <c r="M753" s="783"/>
      <c r="N753" s="783"/>
      <c r="O753" s="783"/>
      <c r="P753" s="783"/>
      <c r="Q753" s="597"/>
      <c r="R753" s="597"/>
      <c r="S753" s="597"/>
      <c r="T753" s="597"/>
      <c r="U753" s="597"/>
      <c r="V753" s="597"/>
      <c r="W753" s="597"/>
      <c r="X753" s="597"/>
      <c r="Y753" s="597"/>
      <c r="Z753" s="597"/>
    </row>
    <row r="754" spans="1:26" ht="19.5" hidden="1">
      <c r="A754" s="592"/>
      <c r="B754" s="750"/>
      <c r="C754" s="750" t="s">
        <v>16</v>
      </c>
      <c r="D754" s="864" t="s">
        <v>17</v>
      </c>
      <c r="E754" s="857"/>
      <c r="F754" s="857"/>
      <c r="G754" s="596"/>
      <c r="H754" s="639" t="s">
        <v>12</v>
      </c>
      <c r="I754" s="610"/>
      <c r="J754" s="610"/>
      <c r="K754" s="93"/>
      <c r="L754" s="640">
        <f t="shared" ref="L754:N754" si="302">L755+L756</f>
        <v>0</v>
      </c>
      <c r="M754" s="640">
        <f t="shared" si="302"/>
        <v>0</v>
      </c>
      <c r="N754" s="640">
        <f t="shared" si="302"/>
        <v>0</v>
      </c>
      <c r="O754" s="640">
        <f t="shared" ref="O754:O759" si="303">IF(L754&gt;0,N754*100/L754,0)</f>
        <v>0</v>
      </c>
      <c r="P754" s="640">
        <f t="shared" ref="P754:P759" si="304">IF(M754&gt;0,N754*100/M754,0)</f>
        <v>0</v>
      </c>
      <c r="Q754" s="597"/>
      <c r="R754" s="597"/>
      <c r="S754" s="597"/>
      <c r="T754" s="597"/>
      <c r="U754" s="597"/>
      <c r="V754" s="597"/>
      <c r="W754" s="597"/>
      <c r="X754" s="597"/>
      <c r="Y754" s="597"/>
      <c r="Z754" s="597"/>
    </row>
    <row r="755" spans="1:26" ht="18.75" hidden="1">
      <c r="A755" s="592"/>
      <c r="B755" s="750"/>
      <c r="C755" s="750"/>
      <c r="D755" s="711"/>
      <c r="E755" s="750" t="s">
        <v>184</v>
      </c>
      <c r="F755" s="750"/>
      <c r="G755" s="596"/>
      <c r="H755" s="165" t="s">
        <v>12</v>
      </c>
      <c r="I755" s="610"/>
      <c r="J755" s="610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597"/>
      <c r="R755" s="597"/>
      <c r="S755" s="597"/>
      <c r="T755" s="597"/>
      <c r="U755" s="597"/>
      <c r="V755" s="597"/>
      <c r="W755" s="597"/>
      <c r="X755" s="597"/>
      <c r="Y755" s="597"/>
      <c r="Z755" s="597"/>
    </row>
    <row r="756" spans="1:26" ht="18.75" hidden="1">
      <c r="A756" s="592"/>
      <c r="B756" s="600"/>
      <c r="C756" s="750"/>
      <c r="D756" s="711"/>
      <c r="E756" s="750" t="s">
        <v>185</v>
      </c>
      <c r="F756" s="750"/>
      <c r="G756" s="596"/>
      <c r="H756" s="165" t="s">
        <v>12</v>
      </c>
      <c r="I756" s="610"/>
      <c r="J756" s="610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597"/>
      <c r="R756" s="597"/>
      <c r="S756" s="597"/>
      <c r="T756" s="597"/>
      <c r="U756" s="597"/>
      <c r="V756" s="597"/>
      <c r="W756" s="597"/>
      <c r="X756" s="597"/>
      <c r="Y756" s="597"/>
      <c r="Z756" s="597"/>
    </row>
    <row r="757" spans="1:26" ht="19.5" hidden="1">
      <c r="A757" s="592"/>
      <c r="B757" s="600"/>
      <c r="C757" s="750"/>
      <c r="D757" s="638" t="s">
        <v>20</v>
      </c>
      <c r="E757" s="750"/>
      <c r="F757" s="750"/>
      <c r="G757" s="596"/>
      <c r="H757" s="639" t="s">
        <v>12</v>
      </c>
      <c r="I757" s="166"/>
      <c r="J757" s="166"/>
      <c r="K757" s="167"/>
      <c r="L757" s="640">
        <f t="shared" ref="L757:N757" si="306">L758+L759</f>
        <v>0</v>
      </c>
      <c r="M757" s="640">
        <f t="shared" si="306"/>
        <v>0</v>
      </c>
      <c r="N757" s="640">
        <f t="shared" si="306"/>
        <v>0</v>
      </c>
      <c r="O757" s="640">
        <f t="shared" si="303"/>
        <v>0</v>
      </c>
      <c r="P757" s="640">
        <f t="shared" si="304"/>
        <v>0</v>
      </c>
      <c r="Q757" s="597"/>
      <c r="R757" s="597"/>
      <c r="S757" s="597"/>
      <c r="T757" s="597"/>
      <c r="U757" s="597"/>
      <c r="V757" s="597"/>
      <c r="W757" s="597"/>
      <c r="X757" s="597"/>
      <c r="Y757" s="597"/>
      <c r="Z757" s="597"/>
    </row>
    <row r="758" spans="1:26" ht="18.75" hidden="1">
      <c r="A758" s="592"/>
      <c r="B758" s="600"/>
      <c r="C758" s="750"/>
      <c r="D758" s="711"/>
      <c r="E758" s="750" t="s">
        <v>184</v>
      </c>
      <c r="F758" s="750"/>
      <c r="G758" s="596"/>
      <c r="H758" s="165" t="s">
        <v>12</v>
      </c>
      <c r="I758" s="610"/>
      <c r="J758" s="610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597"/>
      <c r="R758" s="597"/>
      <c r="S758" s="597"/>
      <c r="T758" s="597"/>
      <c r="U758" s="597"/>
      <c r="V758" s="597"/>
      <c r="W758" s="597"/>
      <c r="X758" s="597"/>
      <c r="Y758" s="597"/>
      <c r="Z758" s="597"/>
    </row>
    <row r="759" spans="1:26" ht="18.75" hidden="1">
      <c r="A759" s="592"/>
      <c r="B759" s="600"/>
      <c r="C759" s="750"/>
      <c r="D759" s="711"/>
      <c r="E759" s="750" t="s">
        <v>185</v>
      </c>
      <c r="F759" s="750"/>
      <c r="G759" s="596"/>
      <c r="H759" s="165" t="s">
        <v>12</v>
      </c>
      <c r="I759" s="610"/>
      <c r="J759" s="610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597"/>
      <c r="R759" s="597"/>
      <c r="S759" s="597"/>
      <c r="T759" s="597"/>
      <c r="U759" s="597"/>
      <c r="V759" s="597"/>
      <c r="W759" s="597"/>
      <c r="X759" s="597"/>
      <c r="Y759" s="597"/>
      <c r="Z759" s="597"/>
    </row>
    <row r="760" spans="1:26" ht="18.75" hidden="1">
      <c r="A760" s="642"/>
      <c r="B760" s="600"/>
      <c r="C760" s="750"/>
      <c r="D760" s="750"/>
      <c r="E760" s="750"/>
      <c r="F760" s="750" t="s">
        <v>186</v>
      </c>
      <c r="G760" s="596"/>
      <c r="H760" s="165" t="s">
        <v>12</v>
      </c>
      <c r="I760" s="610"/>
      <c r="J760" s="610"/>
      <c r="K760" s="93"/>
      <c r="L760" s="93"/>
      <c r="M760" s="93"/>
      <c r="N760" s="93"/>
      <c r="O760" s="93"/>
      <c r="P760" s="93"/>
      <c r="Q760" s="597"/>
      <c r="R760" s="597"/>
      <c r="S760" s="597"/>
      <c r="T760" s="597"/>
      <c r="U760" s="597"/>
      <c r="V760" s="597"/>
      <c r="W760" s="597"/>
      <c r="X760" s="597"/>
      <c r="Y760" s="597"/>
      <c r="Z760" s="597"/>
    </row>
    <row r="761" spans="1:26" ht="18.75" hidden="1">
      <c r="A761" s="642"/>
      <c r="B761" s="600"/>
      <c r="C761" s="750"/>
      <c r="D761" s="750"/>
      <c r="E761" s="750"/>
      <c r="F761" s="750" t="s">
        <v>187</v>
      </c>
      <c r="G761" s="596"/>
      <c r="H761" s="165" t="s">
        <v>12</v>
      </c>
      <c r="I761" s="610"/>
      <c r="J761" s="610"/>
      <c r="K761" s="93"/>
      <c r="L761" s="93"/>
      <c r="M761" s="93"/>
      <c r="N761" s="93"/>
      <c r="O761" s="93"/>
      <c r="P761" s="93"/>
      <c r="Q761" s="597"/>
      <c r="R761" s="597"/>
      <c r="S761" s="597"/>
      <c r="T761" s="597"/>
      <c r="U761" s="597"/>
      <c r="V761" s="597"/>
      <c r="W761" s="597"/>
      <c r="X761" s="597"/>
      <c r="Y761" s="597"/>
      <c r="Z761" s="597"/>
    </row>
    <row r="762" spans="1:26" ht="18.75" hidden="1">
      <c r="A762" s="642"/>
      <c r="B762" s="600"/>
      <c r="C762" s="750"/>
      <c r="D762" s="750"/>
      <c r="E762" s="750"/>
      <c r="F762" s="750" t="s">
        <v>188</v>
      </c>
      <c r="G762" s="596"/>
      <c r="H762" s="165" t="s">
        <v>12</v>
      </c>
      <c r="I762" s="610"/>
      <c r="J762" s="610"/>
      <c r="K762" s="93"/>
      <c r="L762" s="93"/>
      <c r="M762" s="93"/>
      <c r="N762" s="93"/>
      <c r="O762" s="93"/>
      <c r="P762" s="93"/>
      <c r="Q762" s="597"/>
      <c r="R762" s="597"/>
      <c r="S762" s="597"/>
      <c r="T762" s="597"/>
      <c r="U762" s="597"/>
      <c r="V762" s="597"/>
      <c r="W762" s="597"/>
      <c r="X762" s="597"/>
      <c r="Y762" s="597"/>
      <c r="Z762" s="597"/>
    </row>
    <row r="763" spans="1:26" ht="18.75" hidden="1">
      <c r="A763" s="642"/>
      <c r="B763" s="600"/>
      <c r="C763" s="750"/>
      <c r="D763" s="750"/>
      <c r="E763" s="750"/>
      <c r="F763" s="750" t="s">
        <v>189</v>
      </c>
      <c r="G763" s="596"/>
      <c r="H763" s="165" t="s">
        <v>12</v>
      </c>
      <c r="I763" s="610"/>
      <c r="J763" s="610"/>
      <c r="K763" s="93"/>
      <c r="L763" s="93"/>
      <c r="M763" s="93"/>
      <c r="N763" s="93"/>
      <c r="O763" s="93"/>
      <c r="P763" s="93"/>
      <c r="Q763" s="597"/>
      <c r="R763" s="597"/>
      <c r="S763" s="597"/>
      <c r="T763" s="597"/>
      <c r="U763" s="597"/>
      <c r="V763" s="597"/>
      <c r="W763" s="597"/>
      <c r="X763" s="597"/>
      <c r="Y763" s="597"/>
      <c r="Z763" s="597"/>
    </row>
    <row r="764" spans="1:26" ht="19.5" hidden="1">
      <c r="A764" s="592"/>
      <c r="B764" s="600"/>
      <c r="C764" s="750"/>
      <c r="D764" s="638" t="s">
        <v>21</v>
      </c>
      <c r="E764" s="750"/>
      <c r="F764" s="750"/>
      <c r="G764" s="596"/>
      <c r="H764" s="774" t="s">
        <v>12</v>
      </c>
      <c r="I764" s="166"/>
      <c r="J764" s="166"/>
      <c r="K764" s="167"/>
      <c r="L764" s="640">
        <f t="shared" ref="L764:N764" si="307">L765+L766</f>
        <v>0</v>
      </c>
      <c r="M764" s="640">
        <f t="shared" si="307"/>
        <v>0</v>
      </c>
      <c r="N764" s="640">
        <f t="shared" si="307"/>
        <v>0</v>
      </c>
      <c r="O764" s="640">
        <f t="shared" ref="O764:O766" si="308">IF(L764&gt;0,N764*100/L764,0)</f>
        <v>0</v>
      </c>
      <c r="P764" s="640">
        <f t="shared" ref="P764:P766" si="309">IF(M764&gt;0,N764*100/M764,0)</f>
        <v>0</v>
      </c>
      <c r="Q764" s="597"/>
      <c r="R764" s="597"/>
      <c r="S764" s="597"/>
      <c r="T764" s="597"/>
      <c r="U764" s="597"/>
      <c r="V764" s="597"/>
      <c r="W764" s="597"/>
      <c r="X764" s="597"/>
      <c r="Y764" s="597"/>
      <c r="Z764" s="597"/>
    </row>
    <row r="765" spans="1:26" ht="18.75" hidden="1">
      <c r="A765" s="592"/>
      <c r="B765" s="600"/>
      <c r="C765" s="750"/>
      <c r="D765" s="750"/>
      <c r="E765" s="750" t="s">
        <v>18</v>
      </c>
      <c r="F765" s="750"/>
      <c r="G765" s="596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597"/>
      <c r="R765" s="597"/>
      <c r="S765" s="597"/>
      <c r="T765" s="597"/>
      <c r="U765" s="597"/>
      <c r="V765" s="597"/>
      <c r="W765" s="597"/>
      <c r="X765" s="597"/>
      <c r="Y765" s="597"/>
      <c r="Z765" s="597"/>
    </row>
    <row r="766" spans="1:26" ht="18.75" hidden="1">
      <c r="A766" s="592"/>
      <c r="B766" s="600"/>
      <c r="C766" s="750"/>
      <c r="D766" s="750"/>
      <c r="E766" s="750" t="s">
        <v>19</v>
      </c>
      <c r="F766" s="750"/>
      <c r="G766" s="596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597"/>
      <c r="R766" s="597"/>
      <c r="S766" s="597"/>
      <c r="T766" s="597"/>
      <c r="U766" s="597"/>
      <c r="V766" s="597"/>
      <c r="W766" s="597"/>
      <c r="X766" s="597"/>
      <c r="Y766" s="597"/>
      <c r="Z766" s="597"/>
    </row>
    <row r="767" spans="1:26" ht="19.5" hidden="1">
      <c r="A767" s="607"/>
      <c r="B767" s="609"/>
      <c r="C767" s="750" t="s">
        <v>16</v>
      </c>
      <c r="D767" s="841" t="s">
        <v>38</v>
      </c>
      <c r="E767" s="644"/>
      <c r="F767" s="644"/>
      <c r="G767" s="645"/>
      <c r="H767" s="365"/>
      <c r="I767" s="166"/>
      <c r="J767" s="166"/>
      <c r="K767" s="167"/>
      <c r="L767" s="167"/>
      <c r="M767" s="167"/>
      <c r="N767" s="167"/>
      <c r="O767" s="167"/>
      <c r="P767" s="167"/>
      <c r="Q767" s="597"/>
      <c r="R767" s="597"/>
      <c r="S767" s="597"/>
      <c r="T767" s="597"/>
      <c r="U767" s="597"/>
      <c r="V767" s="597"/>
      <c r="W767" s="597"/>
      <c r="X767" s="597"/>
      <c r="Y767" s="597"/>
      <c r="Z767" s="597"/>
    </row>
    <row r="768" spans="1:26" ht="18.75" hidden="1">
      <c r="A768" s="642"/>
      <c r="B768" s="600"/>
      <c r="C768" s="750"/>
      <c r="D768" s="750"/>
      <c r="E768" s="750" t="s">
        <v>316</v>
      </c>
      <c r="F768" s="750"/>
      <c r="G768" s="596"/>
      <c r="H768" s="165" t="s">
        <v>46</v>
      </c>
      <c r="I768" s="610"/>
      <c r="J768" s="610"/>
      <c r="K768" s="93"/>
      <c r="L768" s="93"/>
      <c r="M768" s="93"/>
      <c r="N768" s="93"/>
      <c r="O768" s="93"/>
      <c r="P768" s="93"/>
      <c r="Q768" s="597"/>
      <c r="R768" s="597"/>
      <c r="S768" s="597"/>
      <c r="T768" s="597"/>
      <c r="U768" s="597"/>
      <c r="V768" s="597"/>
      <c r="W768" s="597"/>
      <c r="X768" s="597"/>
      <c r="Y768" s="597"/>
      <c r="Z768" s="597"/>
    </row>
    <row r="769" spans="1:26" ht="19.5" hidden="1">
      <c r="A769" s="784">
        <v>11</v>
      </c>
      <c r="B769" s="785" t="s">
        <v>317</v>
      </c>
      <c r="C769" s="786"/>
      <c r="D769" s="786"/>
      <c r="E769" s="786"/>
      <c r="F769" s="786"/>
      <c r="G769" s="787"/>
      <c r="H769" s="788" t="s">
        <v>46</v>
      </c>
      <c r="I769" s="789"/>
      <c r="J769" s="789">
        <f>J784</f>
        <v>0</v>
      </c>
      <c r="K769" s="790">
        <f>IF(I769&gt;0,J769*100/I769,0)</f>
        <v>0</v>
      </c>
      <c r="L769" s="791"/>
      <c r="M769" s="791"/>
      <c r="N769" s="791"/>
      <c r="O769" s="791"/>
      <c r="P769" s="791"/>
      <c r="Q769" s="597"/>
      <c r="R769" s="597"/>
      <c r="S769" s="597"/>
      <c r="T769" s="597"/>
      <c r="U769" s="597"/>
      <c r="V769" s="597"/>
      <c r="W769" s="597"/>
      <c r="X769" s="597"/>
      <c r="Y769" s="597"/>
      <c r="Z769" s="597"/>
    </row>
    <row r="770" spans="1:26" ht="19.5" hidden="1">
      <c r="A770" s="592"/>
      <c r="B770" s="750"/>
      <c r="C770" s="750" t="s">
        <v>16</v>
      </c>
      <c r="D770" s="864" t="s">
        <v>17</v>
      </c>
      <c r="E770" s="857"/>
      <c r="F770" s="857"/>
      <c r="G770" s="596"/>
      <c r="H770" s="639" t="s">
        <v>12</v>
      </c>
      <c r="I770" s="610"/>
      <c r="J770" s="610"/>
      <c r="K770" s="93"/>
      <c r="L770" s="640">
        <f t="shared" ref="L770:N770" si="310">L771+L772</f>
        <v>0</v>
      </c>
      <c r="M770" s="640">
        <f t="shared" si="310"/>
        <v>0</v>
      </c>
      <c r="N770" s="640">
        <f t="shared" si="310"/>
        <v>0</v>
      </c>
      <c r="O770" s="640">
        <f t="shared" ref="O770:O775" si="311">IF(L770&gt;0,N770*100/L770,0)</f>
        <v>0</v>
      </c>
      <c r="P770" s="640">
        <f t="shared" ref="P770:P775" si="312">IF(M770&gt;0,N770*100/M770,0)</f>
        <v>0</v>
      </c>
      <c r="Q770" s="597"/>
      <c r="R770" s="597"/>
      <c r="S770" s="597"/>
      <c r="T770" s="597"/>
      <c r="U770" s="597"/>
      <c r="V770" s="597"/>
      <c r="W770" s="597"/>
      <c r="X770" s="597"/>
      <c r="Y770" s="597"/>
      <c r="Z770" s="597"/>
    </row>
    <row r="771" spans="1:26" ht="18.75" hidden="1">
      <c r="A771" s="592"/>
      <c r="B771" s="750"/>
      <c r="C771" s="750"/>
      <c r="D771" s="711"/>
      <c r="E771" s="750" t="s">
        <v>184</v>
      </c>
      <c r="F771" s="750"/>
      <c r="G771" s="596"/>
      <c r="H771" s="165" t="s">
        <v>12</v>
      </c>
      <c r="I771" s="610"/>
      <c r="J771" s="610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597"/>
      <c r="R771" s="597"/>
      <c r="S771" s="597"/>
      <c r="T771" s="597"/>
      <c r="U771" s="597"/>
      <c r="V771" s="597"/>
      <c r="W771" s="597"/>
      <c r="X771" s="597"/>
      <c r="Y771" s="597"/>
      <c r="Z771" s="597"/>
    </row>
    <row r="772" spans="1:26" ht="18.75" hidden="1">
      <c r="A772" s="592"/>
      <c r="B772" s="600"/>
      <c r="C772" s="750"/>
      <c r="D772" s="711"/>
      <c r="E772" s="750" t="s">
        <v>185</v>
      </c>
      <c r="F772" s="750"/>
      <c r="G772" s="596"/>
      <c r="H772" s="165" t="s">
        <v>12</v>
      </c>
      <c r="I772" s="610"/>
      <c r="J772" s="610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597"/>
      <c r="R772" s="597"/>
      <c r="S772" s="597"/>
      <c r="T772" s="597"/>
      <c r="U772" s="597"/>
      <c r="V772" s="597"/>
      <c r="W772" s="597"/>
      <c r="X772" s="597"/>
      <c r="Y772" s="597"/>
      <c r="Z772" s="597"/>
    </row>
    <row r="773" spans="1:26" ht="19.5" hidden="1">
      <c r="A773" s="592"/>
      <c r="B773" s="600"/>
      <c r="C773" s="750"/>
      <c r="D773" s="638" t="s">
        <v>20</v>
      </c>
      <c r="E773" s="750"/>
      <c r="F773" s="750"/>
      <c r="G773" s="596"/>
      <c r="H773" s="639" t="s">
        <v>12</v>
      </c>
      <c r="I773" s="166"/>
      <c r="J773" s="166"/>
      <c r="K773" s="167"/>
      <c r="L773" s="640">
        <f t="shared" ref="L773:N773" si="314">L774+L775</f>
        <v>0</v>
      </c>
      <c r="M773" s="640">
        <f t="shared" si="314"/>
        <v>0</v>
      </c>
      <c r="N773" s="640">
        <f t="shared" si="314"/>
        <v>0</v>
      </c>
      <c r="O773" s="640">
        <f t="shared" si="311"/>
        <v>0</v>
      </c>
      <c r="P773" s="640">
        <f t="shared" si="312"/>
        <v>0</v>
      </c>
      <c r="Q773" s="597"/>
      <c r="R773" s="597"/>
      <c r="S773" s="597"/>
      <c r="T773" s="597"/>
      <c r="U773" s="597"/>
      <c r="V773" s="597"/>
      <c r="W773" s="597"/>
      <c r="X773" s="597"/>
      <c r="Y773" s="597"/>
      <c r="Z773" s="597"/>
    </row>
    <row r="774" spans="1:26" ht="18.75" hidden="1">
      <c r="A774" s="592"/>
      <c r="B774" s="600"/>
      <c r="C774" s="750"/>
      <c r="D774" s="711"/>
      <c r="E774" s="750" t="s">
        <v>184</v>
      </c>
      <c r="F774" s="750"/>
      <c r="G774" s="596"/>
      <c r="H774" s="165" t="s">
        <v>12</v>
      </c>
      <c r="I774" s="610"/>
      <c r="J774" s="610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597"/>
      <c r="R774" s="597"/>
      <c r="S774" s="597"/>
      <c r="T774" s="597"/>
      <c r="U774" s="597"/>
      <c r="V774" s="597"/>
      <c r="W774" s="597"/>
      <c r="X774" s="597"/>
      <c r="Y774" s="597"/>
      <c r="Z774" s="597"/>
    </row>
    <row r="775" spans="1:26" ht="18.75" hidden="1">
      <c r="A775" s="592"/>
      <c r="B775" s="600"/>
      <c r="C775" s="750"/>
      <c r="D775" s="711"/>
      <c r="E775" s="750" t="s">
        <v>185</v>
      </c>
      <c r="F775" s="750"/>
      <c r="G775" s="596"/>
      <c r="H775" s="165" t="s">
        <v>12</v>
      </c>
      <c r="I775" s="610"/>
      <c r="J775" s="610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597"/>
      <c r="R775" s="597"/>
      <c r="S775" s="597"/>
      <c r="T775" s="597"/>
      <c r="U775" s="597"/>
      <c r="V775" s="597"/>
      <c r="W775" s="597"/>
      <c r="X775" s="597"/>
      <c r="Y775" s="597"/>
      <c r="Z775" s="597"/>
    </row>
    <row r="776" spans="1:26" ht="18.75" hidden="1">
      <c r="A776" s="642"/>
      <c r="B776" s="600"/>
      <c r="C776" s="750"/>
      <c r="D776" s="750"/>
      <c r="E776" s="750"/>
      <c r="F776" s="750" t="s">
        <v>186</v>
      </c>
      <c r="G776" s="596"/>
      <c r="H776" s="165" t="s">
        <v>12</v>
      </c>
      <c r="I776" s="610"/>
      <c r="J776" s="610"/>
      <c r="K776" s="93"/>
      <c r="L776" s="93"/>
      <c r="M776" s="93"/>
      <c r="N776" s="93"/>
      <c r="O776" s="93"/>
      <c r="P776" s="93"/>
      <c r="Q776" s="597"/>
      <c r="R776" s="597"/>
      <c r="S776" s="597"/>
      <c r="T776" s="597"/>
      <c r="U776" s="597"/>
      <c r="V776" s="597"/>
      <c r="W776" s="597"/>
      <c r="X776" s="597"/>
      <c r="Y776" s="597"/>
      <c r="Z776" s="597"/>
    </row>
    <row r="777" spans="1:26" ht="18.75" hidden="1">
      <c r="A777" s="642"/>
      <c r="B777" s="600"/>
      <c r="C777" s="750"/>
      <c r="D777" s="750"/>
      <c r="E777" s="750"/>
      <c r="F777" s="750" t="s">
        <v>187</v>
      </c>
      <c r="G777" s="596"/>
      <c r="H777" s="165" t="s">
        <v>12</v>
      </c>
      <c r="I777" s="610"/>
      <c r="J777" s="610"/>
      <c r="K777" s="93"/>
      <c r="L777" s="93"/>
      <c r="M777" s="93"/>
      <c r="N777" s="93"/>
      <c r="O777" s="93"/>
      <c r="P777" s="93"/>
      <c r="Q777" s="597"/>
      <c r="R777" s="597"/>
      <c r="S777" s="597"/>
      <c r="T777" s="597"/>
      <c r="U777" s="597"/>
      <c r="V777" s="597"/>
      <c r="W777" s="597"/>
      <c r="X777" s="597"/>
      <c r="Y777" s="597"/>
      <c r="Z777" s="597"/>
    </row>
    <row r="778" spans="1:26" ht="18.75" hidden="1">
      <c r="A778" s="642"/>
      <c r="B778" s="600"/>
      <c r="C778" s="750"/>
      <c r="D778" s="750"/>
      <c r="E778" s="750"/>
      <c r="F778" s="750" t="s">
        <v>188</v>
      </c>
      <c r="G778" s="596"/>
      <c r="H778" s="165" t="s">
        <v>12</v>
      </c>
      <c r="I778" s="610"/>
      <c r="J778" s="610"/>
      <c r="K778" s="93"/>
      <c r="L778" s="93"/>
      <c r="M778" s="93"/>
      <c r="N778" s="93"/>
      <c r="O778" s="93"/>
      <c r="P778" s="93"/>
      <c r="Q778" s="597"/>
      <c r="R778" s="597"/>
      <c r="S778" s="597"/>
      <c r="T778" s="597"/>
      <c r="U778" s="597"/>
      <c r="V778" s="597"/>
      <c r="W778" s="597"/>
      <c r="X778" s="597"/>
      <c r="Y778" s="597"/>
      <c r="Z778" s="597"/>
    </row>
    <row r="779" spans="1:26" ht="18.75" hidden="1">
      <c r="A779" s="642"/>
      <c r="B779" s="600"/>
      <c r="C779" s="750"/>
      <c r="D779" s="750"/>
      <c r="E779" s="750"/>
      <c r="F779" s="750" t="s">
        <v>189</v>
      </c>
      <c r="G779" s="596"/>
      <c r="H779" s="165" t="s">
        <v>12</v>
      </c>
      <c r="I779" s="610"/>
      <c r="J779" s="610"/>
      <c r="K779" s="93"/>
      <c r="L779" s="93"/>
      <c r="M779" s="93"/>
      <c r="N779" s="93"/>
      <c r="O779" s="93"/>
      <c r="P779" s="93"/>
      <c r="Q779" s="597"/>
      <c r="R779" s="597"/>
      <c r="S779" s="597"/>
      <c r="T779" s="597"/>
      <c r="U779" s="597"/>
      <c r="V779" s="597"/>
      <c r="W779" s="597"/>
      <c r="X779" s="597"/>
      <c r="Y779" s="597"/>
      <c r="Z779" s="597"/>
    </row>
    <row r="780" spans="1:26" ht="19.5" hidden="1">
      <c r="A780" s="592"/>
      <c r="B780" s="600"/>
      <c r="C780" s="750"/>
      <c r="D780" s="638" t="s">
        <v>21</v>
      </c>
      <c r="E780" s="750"/>
      <c r="F780" s="750"/>
      <c r="G780" s="596"/>
      <c r="H780" s="774" t="s">
        <v>12</v>
      </c>
      <c r="I780" s="166"/>
      <c r="J780" s="166"/>
      <c r="K780" s="167"/>
      <c r="L780" s="640">
        <f t="shared" ref="L780:N780" si="315">L781+L782</f>
        <v>0</v>
      </c>
      <c r="M780" s="640">
        <f t="shared" si="315"/>
        <v>0</v>
      </c>
      <c r="N780" s="640">
        <f t="shared" si="315"/>
        <v>0</v>
      </c>
      <c r="O780" s="640">
        <f t="shared" ref="O780:O782" si="316">IF(L780&gt;0,N780*100/L780,0)</f>
        <v>0</v>
      </c>
      <c r="P780" s="640">
        <f t="shared" ref="P780:P782" si="317">IF(M780&gt;0,N780*100/M780,0)</f>
        <v>0</v>
      </c>
      <c r="Q780" s="597"/>
      <c r="R780" s="597"/>
      <c r="S780" s="597"/>
      <c r="T780" s="597"/>
      <c r="U780" s="597"/>
      <c r="V780" s="597"/>
      <c r="W780" s="597"/>
      <c r="X780" s="597"/>
      <c r="Y780" s="597"/>
      <c r="Z780" s="597"/>
    </row>
    <row r="781" spans="1:26" ht="18.75" hidden="1">
      <c r="A781" s="592"/>
      <c r="B781" s="600"/>
      <c r="C781" s="750"/>
      <c r="D781" s="750"/>
      <c r="E781" s="750" t="s">
        <v>18</v>
      </c>
      <c r="F781" s="750"/>
      <c r="G781" s="596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597"/>
      <c r="R781" s="597"/>
      <c r="S781" s="597"/>
      <c r="T781" s="597"/>
      <c r="U781" s="597"/>
      <c r="V781" s="597"/>
      <c r="W781" s="597"/>
      <c r="X781" s="597"/>
      <c r="Y781" s="597"/>
      <c r="Z781" s="597"/>
    </row>
    <row r="782" spans="1:26" ht="18.75" hidden="1">
      <c r="A782" s="592"/>
      <c r="B782" s="600"/>
      <c r="C782" s="750"/>
      <c r="D782" s="750"/>
      <c r="E782" s="750" t="s">
        <v>19</v>
      </c>
      <c r="F782" s="750"/>
      <c r="G782" s="596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597"/>
      <c r="R782" s="597"/>
      <c r="S782" s="597"/>
      <c r="T782" s="597"/>
      <c r="U782" s="597"/>
      <c r="V782" s="597"/>
      <c r="W782" s="597"/>
      <c r="X782" s="597"/>
      <c r="Y782" s="597"/>
      <c r="Z782" s="597"/>
    </row>
    <row r="783" spans="1:26" ht="19.5" hidden="1">
      <c r="A783" s="607"/>
      <c r="B783" s="609"/>
      <c r="C783" s="750" t="s">
        <v>16</v>
      </c>
      <c r="D783" s="841" t="s">
        <v>38</v>
      </c>
      <c r="E783" s="644"/>
      <c r="F783" s="644"/>
      <c r="G783" s="645"/>
      <c r="H783" s="792"/>
      <c r="I783" s="166"/>
      <c r="J783" s="166"/>
      <c r="K783" s="167"/>
      <c r="L783" s="167"/>
      <c r="M783" s="167"/>
      <c r="N783" s="167"/>
      <c r="O783" s="167"/>
      <c r="P783" s="167"/>
      <c r="Q783" s="597"/>
      <c r="R783" s="597"/>
      <c r="S783" s="597"/>
      <c r="T783" s="597"/>
      <c r="U783" s="597"/>
      <c r="V783" s="597"/>
      <c r="W783" s="597"/>
      <c r="X783" s="597"/>
      <c r="Y783" s="597"/>
      <c r="Z783" s="597"/>
    </row>
    <row r="784" spans="1:26" ht="18.75" hidden="1">
      <c r="A784" s="642"/>
      <c r="B784" s="600"/>
      <c r="C784" s="750"/>
      <c r="D784" s="750"/>
      <c r="E784" s="750" t="s">
        <v>318</v>
      </c>
      <c r="F784" s="750"/>
      <c r="G784" s="596"/>
      <c r="H784" s="165" t="s">
        <v>46</v>
      </c>
      <c r="I784" s="610"/>
      <c r="J784" s="610"/>
      <c r="K784" s="93"/>
      <c r="L784" s="93"/>
      <c r="M784" s="93"/>
      <c r="N784" s="93"/>
      <c r="O784" s="93"/>
      <c r="P784" s="93"/>
      <c r="Q784" s="597"/>
      <c r="R784" s="597"/>
      <c r="S784" s="597"/>
      <c r="T784" s="597"/>
      <c r="U784" s="597"/>
      <c r="V784" s="597"/>
      <c r="W784" s="597"/>
      <c r="X784" s="597"/>
      <c r="Y784" s="597"/>
      <c r="Z784" s="597"/>
    </row>
    <row r="785" spans="1:26" ht="19.5" hidden="1">
      <c r="A785" s="793">
        <v>12</v>
      </c>
      <c r="B785" s="794" t="s">
        <v>319</v>
      </c>
      <c r="C785" s="795"/>
      <c r="D785" s="795"/>
      <c r="E785" s="795"/>
      <c r="F785" s="795"/>
      <c r="G785" s="796"/>
      <c r="H785" s="797" t="s">
        <v>46</v>
      </c>
      <c r="I785" s="798">
        <f t="shared" ref="I785:J785" ca="1" si="318">I800</f>
        <v>0</v>
      </c>
      <c r="J785" s="799">
        <f t="shared" ca="1" si="318"/>
        <v>0</v>
      </c>
      <c r="K785" s="800">
        <f ca="1">IF(I785&gt;0,J785*100/I785,0)</f>
        <v>0</v>
      </c>
      <c r="L785" s="801"/>
      <c r="M785" s="801"/>
      <c r="N785" s="801"/>
      <c r="O785" s="801"/>
      <c r="P785" s="801"/>
      <c r="Q785" s="571"/>
      <c r="R785" s="571"/>
      <c r="S785" s="571"/>
      <c r="T785" s="571"/>
      <c r="U785" s="571"/>
      <c r="V785" s="571"/>
      <c r="W785" s="571"/>
      <c r="X785" s="571"/>
      <c r="Y785" s="571"/>
      <c r="Z785" s="571"/>
    </row>
    <row r="786" spans="1:26" ht="19.5" hidden="1">
      <c r="A786" s="590"/>
      <c r="B786" s="568"/>
      <c r="C786" s="754" t="s">
        <v>16</v>
      </c>
      <c r="D786" s="863" t="s">
        <v>17</v>
      </c>
      <c r="E786" s="857"/>
      <c r="F786" s="857"/>
      <c r="G786" s="189"/>
      <c r="H786" s="591" t="s">
        <v>12</v>
      </c>
      <c r="I786" s="269"/>
      <c r="J786" s="269"/>
      <c r="K786" s="496"/>
      <c r="L786" s="195">
        <f t="shared" ref="L786:N786" ca="1" si="319">L787+L788</f>
        <v>0</v>
      </c>
      <c r="M786" s="195">
        <f t="shared" si="319"/>
        <v>0</v>
      </c>
      <c r="N786" s="195">
        <f t="shared" si="319"/>
        <v>0</v>
      </c>
      <c r="O786" s="195">
        <f t="shared" ref="O786:O791" ca="1" si="320">IF(L786&gt;0,N786*100/L786,0)</f>
        <v>0</v>
      </c>
      <c r="P786" s="195">
        <f t="shared" ref="P786:P791" si="321">IF(M786&gt;0,N786*100/M786,0)</f>
        <v>0</v>
      </c>
      <c r="Q786" s="571"/>
      <c r="R786" s="571"/>
      <c r="S786" s="571"/>
      <c r="T786" s="571"/>
      <c r="U786" s="571"/>
      <c r="V786" s="571"/>
      <c r="W786" s="571"/>
      <c r="X786" s="571"/>
      <c r="Y786" s="571"/>
      <c r="Z786" s="571"/>
    </row>
    <row r="787" spans="1:26" ht="18.75" hidden="1">
      <c r="A787" s="592"/>
      <c r="B787" s="600"/>
      <c r="C787" s="750"/>
      <c r="D787" s="711"/>
      <c r="E787" s="750" t="s">
        <v>184</v>
      </c>
      <c r="F787" s="750"/>
      <c r="G787" s="596"/>
      <c r="H787" s="165" t="s">
        <v>12</v>
      </c>
      <c r="I787" s="610"/>
      <c r="J787" s="610"/>
      <c r="K787" s="93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597"/>
      <c r="R787" s="597"/>
      <c r="S787" s="597"/>
      <c r="T787" s="597"/>
      <c r="U787" s="597"/>
      <c r="V787" s="597"/>
      <c r="W787" s="597"/>
      <c r="X787" s="597"/>
      <c r="Y787" s="597"/>
      <c r="Z787" s="597"/>
    </row>
    <row r="788" spans="1:26" ht="18.75" hidden="1">
      <c r="A788" s="592"/>
      <c r="B788" s="600"/>
      <c r="C788" s="600"/>
      <c r="D788" s="609"/>
      <c r="E788" s="750" t="s">
        <v>185</v>
      </c>
      <c r="F788" s="750"/>
      <c r="G788" s="596"/>
      <c r="H788" s="165" t="s">
        <v>12</v>
      </c>
      <c r="I788" s="610"/>
      <c r="J788" s="610"/>
      <c r="K788" s="93"/>
      <c r="L788" s="93">
        <f t="shared" ca="1" si="322"/>
        <v>0</v>
      </c>
      <c r="M788" s="93">
        <f t="shared" si="322"/>
        <v>0</v>
      </c>
      <c r="N788" s="93">
        <f t="shared" si="322"/>
        <v>0</v>
      </c>
      <c r="O788" s="93">
        <f t="shared" ca="1" si="320"/>
        <v>0</v>
      </c>
      <c r="P788" s="93">
        <f t="shared" si="321"/>
        <v>0</v>
      </c>
      <c r="Q788" s="597"/>
      <c r="R788" s="597"/>
      <c r="S788" s="597"/>
      <c r="T788" s="597"/>
      <c r="U788" s="597"/>
      <c r="V788" s="597"/>
      <c r="W788" s="597"/>
      <c r="X788" s="597"/>
      <c r="Y788" s="597"/>
      <c r="Z788" s="597"/>
    </row>
    <row r="789" spans="1:26" ht="18.75" hidden="1">
      <c r="A789" s="590"/>
      <c r="B789" s="568"/>
      <c r="C789" s="568"/>
      <c r="D789" s="599" t="s">
        <v>20</v>
      </c>
      <c r="E789" s="754"/>
      <c r="F789" s="754"/>
      <c r="G789" s="189"/>
      <c r="H789" s="161" t="s">
        <v>12</v>
      </c>
      <c r="I789" s="184"/>
      <c r="J789" s="184"/>
      <c r="K789" s="163"/>
      <c r="L789" s="496">
        <f t="shared" ref="L789:N789" ca="1" si="323">L790+L791</f>
        <v>0</v>
      </c>
      <c r="M789" s="496">
        <f t="shared" si="323"/>
        <v>0</v>
      </c>
      <c r="N789" s="496">
        <f t="shared" si="323"/>
        <v>0</v>
      </c>
      <c r="O789" s="496">
        <f t="shared" ca="1" si="320"/>
        <v>0</v>
      </c>
      <c r="P789" s="496">
        <f t="shared" si="321"/>
        <v>0</v>
      </c>
      <c r="Q789" s="571"/>
      <c r="R789" s="571"/>
      <c r="S789" s="571"/>
      <c r="T789" s="571"/>
      <c r="U789" s="571"/>
      <c r="V789" s="571"/>
      <c r="W789" s="571"/>
      <c r="X789" s="571"/>
      <c r="Y789" s="571"/>
      <c r="Z789" s="571"/>
    </row>
    <row r="790" spans="1:26" ht="18.75" hidden="1">
      <c r="A790" s="592"/>
      <c r="B790" s="600"/>
      <c r="C790" s="600"/>
      <c r="D790" s="609"/>
      <c r="E790" s="750" t="s">
        <v>184</v>
      </c>
      <c r="F790" s="750"/>
      <c r="G790" s="596"/>
      <c r="H790" s="165" t="s">
        <v>12</v>
      </c>
      <c r="I790" s="610"/>
      <c r="J790" s="610"/>
      <c r="K790" s="93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597"/>
      <c r="R790" s="597"/>
      <c r="S790" s="597"/>
      <c r="T790" s="597"/>
      <c r="U790" s="597"/>
      <c r="V790" s="597"/>
      <c r="W790" s="597"/>
      <c r="X790" s="597"/>
      <c r="Y790" s="597"/>
      <c r="Z790" s="597"/>
    </row>
    <row r="791" spans="1:26" ht="18.75" hidden="1">
      <c r="A791" s="592"/>
      <c r="B791" s="600"/>
      <c r="C791" s="600"/>
      <c r="D791" s="609"/>
      <c r="E791" s="750" t="s">
        <v>185</v>
      </c>
      <c r="F791" s="750"/>
      <c r="G791" s="596"/>
      <c r="H791" s="165" t="s">
        <v>12</v>
      </c>
      <c r="I791" s="610"/>
      <c r="J791" s="610"/>
      <c r="K791" s="93"/>
      <c r="L791" s="93">
        <f ca="1">IFERROR(__xludf.DUMMYFUNCTION("IMPORTRANGE(""https://docs.google.com/spreadsheets/d/1QqKyyYR6Q21VydFLVH3TRQUabQu_ym0Zz7PgGX0-kHA/edit?usp=sharing"",""แผน!JJ58"")"),0)</f>
        <v>0</v>
      </c>
      <c r="M791" s="93">
        <v>0</v>
      </c>
      <c r="N791" s="93">
        <f>N792+N793+N794+N795</f>
        <v>0</v>
      </c>
      <c r="O791" s="93">
        <f t="shared" ca="1" si="320"/>
        <v>0</v>
      </c>
      <c r="P791" s="93">
        <f t="shared" si="321"/>
        <v>0</v>
      </c>
      <c r="Q791" s="597"/>
      <c r="R791" s="597"/>
      <c r="S791" s="597"/>
      <c r="T791" s="597"/>
      <c r="U791" s="597"/>
      <c r="V791" s="597"/>
      <c r="W791" s="597"/>
      <c r="X791" s="597"/>
      <c r="Y791" s="597"/>
      <c r="Z791" s="597"/>
    </row>
    <row r="792" spans="1:26" ht="18.75" hidden="1">
      <c r="A792" s="567"/>
      <c r="B792" s="568"/>
      <c r="C792" s="754"/>
      <c r="D792" s="754"/>
      <c r="E792" s="754"/>
      <c r="F792" s="754" t="s">
        <v>186</v>
      </c>
      <c r="G792" s="189"/>
      <c r="H792" s="161" t="s">
        <v>12</v>
      </c>
      <c r="I792" s="269"/>
      <c r="J792" s="269"/>
      <c r="K792" s="496"/>
      <c r="L792" s="496"/>
      <c r="M792" s="496"/>
      <c r="N792" s="817">
        <v>0</v>
      </c>
      <c r="O792" s="496"/>
      <c r="P792" s="496"/>
      <c r="Q792" s="571"/>
      <c r="R792" s="571"/>
      <c r="S792" s="571"/>
      <c r="T792" s="571"/>
      <c r="U792" s="571"/>
      <c r="V792" s="571"/>
      <c r="W792" s="571"/>
      <c r="X792" s="571"/>
      <c r="Y792" s="571"/>
      <c r="Z792" s="571"/>
    </row>
    <row r="793" spans="1:26" ht="18.75" hidden="1">
      <c r="A793" s="567"/>
      <c r="B793" s="568"/>
      <c r="C793" s="754"/>
      <c r="D793" s="754"/>
      <c r="E793" s="754"/>
      <c r="F793" s="754" t="s">
        <v>187</v>
      </c>
      <c r="G793" s="189"/>
      <c r="H793" s="161" t="s">
        <v>12</v>
      </c>
      <c r="I793" s="269"/>
      <c r="J793" s="269"/>
      <c r="K793" s="496"/>
      <c r="L793" s="496"/>
      <c r="M793" s="496"/>
      <c r="N793" s="817">
        <v>0</v>
      </c>
      <c r="O793" s="496"/>
      <c r="P793" s="496"/>
      <c r="Q793" s="571"/>
      <c r="R793" s="571"/>
      <c r="S793" s="571"/>
      <c r="T793" s="571"/>
      <c r="U793" s="571"/>
      <c r="V793" s="571"/>
      <c r="W793" s="571"/>
      <c r="X793" s="571"/>
      <c r="Y793" s="571"/>
      <c r="Z793" s="571"/>
    </row>
    <row r="794" spans="1:26" ht="18.75" hidden="1">
      <c r="A794" s="567"/>
      <c r="B794" s="568"/>
      <c r="C794" s="754"/>
      <c r="D794" s="754"/>
      <c r="E794" s="754"/>
      <c r="F794" s="754" t="s">
        <v>188</v>
      </c>
      <c r="G794" s="189"/>
      <c r="H794" s="161" t="s">
        <v>12</v>
      </c>
      <c r="I794" s="269"/>
      <c r="J794" s="269"/>
      <c r="K794" s="496"/>
      <c r="L794" s="496"/>
      <c r="M794" s="496"/>
      <c r="N794" s="817">
        <v>0</v>
      </c>
      <c r="O794" s="496"/>
      <c r="P794" s="496"/>
      <c r="Q794" s="571"/>
      <c r="R794" s="571"/>
      <c r="S794" s="571"/>
      <c r="T794" s="571"/>
      <c r="U794" s="571"/>
      <c r="V794" s="571"/>
      <c r="W794" s="571"/>
      <c r="X794" s="571"/>
      <c r="Y794" s="571"/>
      <c r="Z794" s="571"/>
    </row>
    <row r="795" spans="1:26" ht="18.75" hidden="1">
      <c r="A795" s="567"/>
      <c r="B795" s="568"/>
      <c r="C795" s="754"/>
      <c r="D795" s="754"/>
      <c r="E795" s="754"/>
      <c r="F795" s="754" t="s">
        <v>189</v>
      </c>
      <c r="G795" s="189"/>
      <c r="H795" s="161" t="s">
        <v>12</v>
      </c>
      <c r="I795" s="269"/>
      <c r="J795" s="269"/>
      <c r="K795" s="496"/>
      <c r="L795" s="496"/>
      <c r="M795" s="496"/>
      <c r="N795" s="817">
        <v>0</v>
      </c>
      <c r="O795" s="496"/>
      <c r="P795" s="496"/>
      <c r="Q795" s="571"/>
      <c r="R795" s="571"/>
      <c r="S795" s="571"/>
      <c r="T795" s="571"/>
      <c r="U795" s="571"/>
      <c r="V795" s="571"/>
      <c r="W795" s="571"/>
      <c r="X795" s="571"/>
      <c r="Y795" s="571"/>
      <c r="Z795" s="571"/>
    </row>
    <row r="796" spans="1:26" ht="18.75" hidden="1">
      <c r="A796" s="590"/>
      <c r="B796" s="568"/>
      <c r="C796" s="754"/>
      <c r="D796" s="599" t="s">
        <v>21</v>
      </c>
      <c r="E796" s="754"/>
      <c r="F796" s="754"/>
      <c r="G796" s="189"/>
      <c r="H796" s="168" t="s">
        <v>12</v>
      </c>
      <c r="I796" s="184"/>
      <c r="J796" s="184"/>
      <c r="K796" s="163"/>
      <c r="L796" s="496">
        <f t="shared" ref="L796:N796" si="324">L797+L798</f>
        <v>0</v>
      </c>
      <c r="M796" s="496">
        <f t="shared" si="324"/>
        <v>0</v>
      </c>
      <c r="N796" s="496">
        <f t="shared" si="324"/>
        <v>0</v>
      </c>
      <c r="O796" s="496">
        <f t="shared" ref="O796:O798" si="325">IF(L796&gt;0,N796*100/L796,0)</f>
        <v>0</v>
      </c>
      <c r="P796" s="496">
        <f t="shared" ref="P796:P798" si="326">IF(M796&gt;0,N796*100/M796,0)</f>
        <v>0</v>
      </c>
      <c r="Q796" s="571"/>
      <c r="R796" s="571"/>
      <c r="S796" s="571"/>
      <c r="T796" s="571"/>
      <c r="U796" s="571"/>
      <c r="V796" s="571"/>
      <c r="W796" s="571"/>
      <c r="X796" s="571"/>
      <c r="Y796" s="571"/>
      <c r="Z796" s="571"/>
    </row>
    <row r="797" spans="1:26" ht="18.75" hidden="1">
      <c r="A797" s="592"/>
      <c r="B797" s="600"/>
      <c r="C797" s="750"/>
      <c r="D797" s="750"/>
      <c r="E797" s="750" t="s">
        <v>18</v>
      </c>
      <c r="F797" s="750"/>
      <c r="G797" s="596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597"/>
      <c r="R797" s="597"/>
      <c r="S797" s="597"/>
      <c r="T797" s="597"/>
      <c r="U797" s="597"/>
      <c r="V797" s="597"/>
      <c r="W797" s="597"/>
      <c r="X797" s="597"/>
      <c r="Y797" s="597"/>
      <c r="Z797" s="597"/>
    </row>
    <row r="798" spans="1:26" ht="18.75" hidden="1">
      <c r="A798" s="592"/>
      <c r="B798" s="600"/>
      <c r="C798" s="750"/>
      <c r="D798" s="750"/>
      <c r="E798" s="750" t="s">
        <v>19</v>
      </c>
      <c r="F798" s="750"/>
      <c r="G798" s="596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597"/>
      <c r="R798" s="597"/>
      <c r="S798" s="597"/>
      <c r="T798" s="597"/>
      <c r="U798" s="597"/>
      <c r="V798" s="597"/>
      <c r="W798" s="597"/>
      <c r="X798" s="597"/>
      <c r="Y798" s="597"/>
      <c r="Z798" s="597"/>
    </row>
    <row r="799" spans="1:26" ht="19.5" hidden="1">
      <c r="A799" s="601"/>
      <c r="B799" s="611"/>
      <c r="C799" s="754" t="s">
        <v>16</v>
      </c>
      <c r="D799" s="840" t="s">
        <v>38</v>
      </c>
      <c r="E799" s="752"/>
      <c r="F799" s="752"/>
      <c r="G799" s="606"/>
      <c r="H799" s="802"/>
      <c r="I799" s="184"/>
      <c r="J799" s="184"/>
      <c r="K799" s="163"/>
      <c r="L799" s="163"/>
      <c r="M799" s="163"/>
      <c r="N799" s="163"/>
      <c r="O799" s="163"/>
      <c r="P799" s="163"/>
      <c r="Q799" s="571"/>
      <c r="R799" s="571"/>
      <c r="S799" s="571"/>
      <c r="T799" s="571"/>
      <c r="U799" s="571"/>
      <c r="V799" s="571"/>
      <c r="W799" s="571"/>
      <c r="X799" s="571"/>
      <c r="Y799" s="571"/>
      <c r="Z799" s="571"/>
    </row>
    <row r="800" spans="1:26" ht="18.75" hidden="1">
      <c r="A800" s="601"/>
      <c r="B800" s="611"/>
      <c r="C800" s="611"/>
      <c r="D800" s="611"/>
      <c r="E800" s="619"/>
      <c r="F800" s="619" t="s">
        <v>320</v>
      </c>
      <c r="G800" s="753"/>
      <c r="H800" s="185" t="s">
        <v>46</v>
      </c>
      <c r="I800" s="184">
        <f ca="1">IFERROR(__xludf.DUMMYFUNCTION("IMPORTRANGE(""https://docs.google.com/spreadsheets/d/1QqKyyYR6Q21VydFLVH3TRQUabQu_ym0Zz7PgGX0-kHA/edit?usp=sharing"",""แผน!JN58"")"),0)</f>
        <v>0</v>
      </c>
      <c r="J800" s="184">
        <f ca="1">IFERROR(__xludf.DUMMYFUNCTION("IMPORTRANGE(""https://docs.google.com/spreadsheets/d/1MaWodYyGHDf7siQLGxnXhG4mBNTNIuy296niS2xXulU/edit?usp=sharing"",""RTK!H58"")"),0)</f>
        <v>0</v>
      </c>
      <c r="K800" s="496">
        <f ca="1">IF(I800&gt;0,J800*100/I800,0)</f>
        <v>0</v>
      </c>
      <c r="L800" s="496"/>
      <c r="M800" s="496"/>
      <c r="N800" s="496"/>
      <c r="O800" s="163"/>
      <c r="P800" s="163"/>
      <c r="Q800" s="571"/>
      <c r="R800" s="571"/>
      <c r="S800" s="571"/>
      <c r="T800" s="571"/>
      <c r="U800" s="571"/>
      <c r="V800" s="571"/>
      <c r="W800" s="571"/>
      <c r="X800" s="571"/>
      <c r="Y800" s="571"/>
      <c r="Z800" s="571"/>
    </row>
    <row r="801" spans="1:26" ht="18.75" hidden="1">
      <c r="A801" s="601"/>
      <c r="B801" s="611"/>
      <c r="C801" s="611"/>
      <c r="D801" s="611"/>
      <c r="E801" s="619"/>
      <c r="F801" s="619"/>
      <c r="G801" s="753"/>
      <c r="H801" s="161" t="s">
        <v>34</v>
      </c>
      <c r="I801" s="184"/>
      <c r="J801" s="269">
        <f ca="1">IFERROR(__xludf.DUMMYFUNCTION("IMPORTRANGE(""https://docs.google.com/spreadsheets/d/1MaWodYyGHDf7siQLGxnXhG4mBNTNIuy296niS2xXulU/edit?usp=sharing"",""RTK!I58"")"),0)</f>
        <v>0</v>
      </c>
      <c r="K801" s="496"/>
      <c r="L801" s="496"/>
      <c r="M801" s="496"/>
      <c r="N801" s="496"/>
      <c r="O801" s="163"/>
      <c r="P801" s="163"/>
      <c r="Q801" s="571"/>
      <c r="R801" s="571"/>
      <c r="S801" s="571"/>
      <c r="T801" s="571"/>
      <c r="U801" s="571"/>
      <c r="V801" s="571"/>
      <c r="W801" s="571"/>
      <c r="X801" s="571"/>
      <c r="Y801" s="571"/>
      <c r="Z801" s="571"/>
    </row>
    <row r="802" spans="1:26" ht="18.75" hidden="1">
      <c r="A802" s="607"/>
      <c r="B802" s="609"/>
      <c r="C802" s="609"/>
      <c r="D802" s="609"/>
      <c r="E802" s="711"/>
      <c r="F802" s="711" t="s">
        <v>321</v>
      </c>
      <c r="G802" s="365"/>
      <c r="H802" s="646" t="s">
        <v>46</v>
      </c>
      <c r="I802" s="166"/>
      <c r="J802" s="610"/>
      <c r="K802" s="167">
        <f>IF(I802&gt;0,J802*100/I802,0)</f>
        <v>0</v>
      </c>
      <c r="L802" s="167"/>
      <c r="M802" s="167"/>
      <c r="N802" s="167"/>
      <c r="O802" s="167"/>
      <c r="P802" s="167"/>
      <c r="Q802" s="597"/>
      <c r="R802" s="597"/>
      <c r="S802" s="597"/>
      <c r="T802" s="597"/>
      <c r="U802" s="597"/>
      <c r="V802" s="597"/>
      <c r="W802" s="597"/>
      <c r="X802" s="597"/>
      <c r="Y802" s="597"/>
      <c r="Z802" s="597"/>
    </row>
    <row r="803" spans="1:26" ht="18.75" hidden="1">
      <c r="A803" s="607"/>
      <c r="B803" s="609"/>
      <c r="C803" s="609"/>
      <c r="D803" s="609"/>
      <c r="E803" s="711"/>
      <c r="F803" s="711"/>
      <c r="G803" s="365"/>
      <c r="H803" s="646" t="s">
        <v>34</v>
      </c>
      <c r="I803" s="166"/>
      <c r="J803" s="610"/>
      <c r="K803" s="167"/>
      <c r="L803" s="167"/>
      <c r="M803" s="167"/>
      <c r="N803" s="167"/>
      <c r="O803" s="167"/>
      <c r="P803" s="167"/>
      <c r="Q803" s="597"/>
      <c r="R803" s="597"/>
      <c r="S803" s="597"/>
      <c r="T803" s="597"/>
      <c r="U803" s="597"/>
      <c r="V803" s="597"/>
      <c r="W803" s="597"/>
      <c r="X803" s="597"/>
      <c r="Y803" s="597"/>
      <c r="Z803" s="597"/>
    </row>
    <row r="804" spans="1:26" ht="19.5" hidden="1">
      <c r="A804" s="784">
        <v>13</v>
      </c>
      <c r="B804" s="785" t="s">
        <v>322</v>
      </c>
      <c r="C804" s="786"/>
      <c r="D804" s="803"/>
      <c r="E804" s="786"/>
      <c r="F804" s="786"/>
      <c r="G804" s="787"/>
      <c r="H804" s="788" t="s">
        <v>46</v>
      </c>
      <c r="I804" s="789"/>
      <c r="J804" s="789">
        <f>J819</f>
        <v>0</v>
      </c>
      <c r="K804" s="790">
        <f>IF(I804&gt;0,J804*100/I804,0)</f>
        <v>0</v>
      </c>
      <c r="L804" s="791"/>
      <c r="M804" s="791"/>
      <c r="N804" s="791"/>
      <c r="O804" s="791"/>
      <c r="P804" s="791"/>
      <c r="Q804" s="597"/>
      <c r="R804" s="597"/>
      <c r="S804" s="597"/>
      <c r="T804" s="597"/>
      <c r="U804" s="597"/>
      <c r="V804" s="597"/>
      <c r="W804" s="597"/>
      <c r="X804" s="597"/>
      <c r="Y804" s="597"/>
      <c r="Z804" s="597"/>
    </row>
    <row r="805" spans="1:26" ht="19.5" hidden="1">
      <c r="A805" s="592"/>
      <c r="B805" s="750"/>
      <c r="C805" s="750" t="s">
        <v>16</v>
      </c>
      <c r="D805" s="864" t="s">
        <v>17</v>
      </c>
      <c r="E805" s="857"/>
      <c r="F805" s="857"/>
      <c r="G805" s="596"/>
      <c r="H805" s="639" t="s">
        <v>12</v>
      </c>
      <c r="I805" s="610"/>
      <c r="J805" s="610"/>
      <c r="K805" s="93"/>
      <c r="L805" s="640">
        <f t="shared" ref="L805:N805" si="327">L806+L807</f>
        <v>0</v>
      </c>
      <c r="M805" s="640">
        <f t="shared" si="327"/>
        <v>0</v>
      </c>
      <c r="N805" s="640">
        <f t="shared" si="327"/>
        <v>0</v>
      </c>
      <c r="O805" s="640">
        <f t="shared" ref="O805:O810" si="328">IF(L805&gt;0,N805*100/L805,0)</f>
        <v>0</v>
      </c>
      <c r="P805" s="640">
        <f t="shared" ref="P805:P810" si="329">IF(M805&gt;0,N805*100/M805,0)</f>
        <v>0</v>
      </c>
      <c r="Q805" s="597"/>
      <c r="R805" s="597"/>
      <c r="S805" s="597"/>
      <c r="T805" s="597"/>
      <c r="U805" s="597"/>
      <c r="V805" s="597"/>
      <c r="W805" s="597"/>
      <c r="X805" s="597"/>
      <c r="Y805" s="597"/>
      <c r="Z805" s="597"/>
    </row>
    <row r="806" spans="1:26" ht="18.75" hidden="1">
      <c r="A806" s="592"/>
      <c r="B806" s="750"/>
      <c r="C806" s="750"/>
      <c r="D806" s="609"/>
      <c r="E806" s="750" t="s">
        <v>184</v>
      </c>
      <c r="F806" s="750"/>
      <c r="G806" s="596"/>
      <c r="H806" s="165" t="s">
        <v>12</v>
      </c>
      <c r="I806" s="610"/>
      <c r="J806" s="610"/>
      <c r="K806" s="93"/>
      <c r="L806" s="93">
        <f t="shared" ref="L806:N807" si="330">L809+L816</f>
        <v>0</v>
      </c>
      <c r="M806" s="93">
        <f t="shared" si="330"/>
        <v>0</v>
      </c>
      <c r="N806" s="93">
        <f t="shared" si="330"/>
        <v>0</v>
      </c>
      <c r="O806" s="93">
        <f t="shared" si="328"/>
        <v>0</v>
      </c>
      <c r="P806" s="93">
        <f t="shared" si="329"/>
        <v>0</v>
      </c>
      <c r="Q806" s="597"/>
      <c r="R806" s="597"/>
      <c r="S806" s="597"/>
      <c r="T806" s="597"/>
      <c r="U806" s="597"/>
      <c r="V806" s="597"/>
      <c r="W806" s="597"/>
      <c r="X806" s="597"/>
      <c r="Y806" s="597"/>
      <c r="Z806" s="597"/>
    </row>
    <row r="807" spans="1:26" ht="18.75" hidden="1">
      <c r="A807" s="592"/>
      <c r="B807" s="750"/>
      <c r="C807" s="750"/>
      <c r="D807" s="609"/>
      <c r="E807" s="750" t="s">
        <v>185</v>
      </c>
      <c r="F807" s="750"/>
      <c r="G807" s="596"/>
      <c r="H807" s="165" t="s">
        <v>12</v>
      </c>
      <c r="I807" s="610"/>
      <c r="J807" s="610"/>
      <c r="K807" s="93"/>
      <c r="L807" s="93">
        <f t="shared" si="330"/>
        <v>0</v>
      </c>
      <c r="M807" s="93">
        <f t="shared" si="330"/>
        <v>0</v>
      </c>
      <c r="N807" s="93">
        <f t="shared" si="330"/>
        <v>0</v>
      </c>
      <c r="O807" s="93">
        <f t="shared" si="328"/>
        <v>0</v>
      </c>
      <c r="P807" s="93">
        <f t="shared" si="329"/>
        <v>0</v>
      </c>
      <c r="Q807" s="597"/>
      <c r="R807" s="597"/>
      <c r="S807" s="597"/>
      <c r="T807" s="597"/>
      <c r="U807" s="597"/>
      <c r="V807" s="597"/>
      <c r="W807" s="597"/>
      <c r="X807" s="597"/>
      <c r="Y807" s="597"/>
      <c r="Z807" s="597"/>
    </row>
    <row r="808" spans="1:26" ht="19.5" hidden="1">
      <c r="A808" s="592"/>
      <c r="B808" s="600"/>
      <c r="C808" s="750"/>
      <c r="D808" s="869" t="s">
        <v>20</v>
      </c>
      <c r="E808" s="857"/>
      <c r="F808" s="857"/>
      <c r="G808" s="596"/>
      <c r="H808" s="639" t="s">
        <v>12</v>
      </c>
      <c r="I808" s="166"/>
      <c r="J808" s="166"/>
      <c r="K808" s="167"/>
      <c r="L808" s="640">
        <f t="shared" ref="L808:N808" si="331">L809+L810</f>
        <v>0</v>
      </c>
      <c r="M808" s="640">
        <f t="shared" si="331"/>
        <v>0</v>
      </c>
      <c r="N808" s="640">
        <f t="shared" si="331"/>
        <v>0</v>
      </c>
      <c r="O808" s="640">
        <f t="shared" si="328"/>
        <v>0</v>
      </c>
      <c r="P808" s="640">
        <f t="shared" si="329"/>
        <v>0</v>
      </c>
      <c r="Q808" s="597"/>
      <c r="R808" s="597"/>
      <c r="S808" s="597"/>
      <c r="T808" s="597"/>
      <c r="U808" s="597"/>
      <c r="V808" s="597"/>
      <c r="W808" s="597"/>
      <c r="X808" s="597"/>
      <c r="Y808" s="597"/>
      <c r="Z808" s="597"/>
    </row>
    <row r="809" spans="1:26" ht="18.75" hidden="1">
      <c r="A809" s="592"/>
      <c r="B809" s="750"/>
      <c r="C809" s="750"/>
      <c r="D809" s="609"/>
      <c r="E809" s="750" t="s">
        <v>184</v>
      </c>
      <c r="F809" s="750"/>
      <c r="G809" s="596"/>
      <c r="H809" s="165" t="s">
        <v>12</v>
      </c>
      <c r="I809" s="610"/>
      <c r="J809" s="610"/>
      <c r="K809" s="93"/>
      <c r="L809" s="93">
        <v>0</v>
      </c>
      <c r="M809" s="93">
        <v>0</v>
      </c>
      <c r="N809" s="93">
        <v>0</v>
      </c>
      <c r="O809" s="93">
        <f t="shared" si="328"/>
        <v>0</v>
      </c>
      <c r="P809" s="93">
        <f t="shared" si="329"/>
        <v>0</v>
      </c>
      <c r="Q809" s="597"/>
      <c r="R809" s="597"/>
      <c r="S809" s="597"/>
      <c r="T809" s="597"/>
      <c r="U809" s="597"/>
      <c r="V809" s="597"/>
      <c r="W809" s="597"/>
      <c r="X809" s="597"/>
      <c r="Y809" s="597"/>
      <c r="Z809" s="597"/>
    </row>
    <row r="810" spans="1:26" ht="18.75" hidden="1">
      <c r="A810" s="592"/>
      <c r="B810" s="750"/>
      <c r="C810" s="750"/>
      <c r="D810" s="609"/>
      <c r="E810" s="750" t="s">
        <v>185</v>
      </c>
      <c r="F810" s="750"/>
      <c r="G810" s="596"/>
      <c r="H810" s="165" t="s">
        <v>12</v>
      </c>
      <c r="I810" s="610"/>
      <c r="J810" s="610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8"/>
        <v>0</v>
      </c>
      <c r="P810" s="93">
        <f t="shared" si="329"/>
        <v>0</v>
      </c>
      <c r="Q810" s="597"/>
      <c r="R810" s="597"/>
      <c r="S810" s="597"/>
      <c r="T810" s="597"/>
      <c r="U810" s="597"/>
      <c r="V810" s="597"/>
      <c r="W810" s="597"/>
      <c r="X810" s="597"/>
      <c r="Y810" s="597"/>
      <c r="Z810" s="597"/>
    </row>
    <row r="811" spans="1:26" ht="18.75" hidden="1">
      <c r="A811" s="642"/>
      <c r="B811" s="600"/>
      <c r="C811" s="750"/>
      <c r="D811" s="600"/>
      <c r="E811" s="750"/>
      <c r="F811" s="750" t="s">
        <v>186</v>
      </c>
      <c r="G811" s="596"/>
      <c r="H811" s="165" t="s">
        <v>12</v>
      </c>
      <c r="I811" s="610"/>
      <c r="J811" s="610"/>
      <c r="K811" s="93"/>
      <c r="L811" s="93"/>
      <c r="M811" s="93"/>
      <c r="N811" s="93"/>
      <c r="O811" s="93"/>
      <c r="P811" s="93"/>
      <c r="Q811" s="597"/>
      <c r="R811" s="597"/>
      <c r="S811" s="597"/>
      <c r="T811" s="597"/>
      <c r="U811" s="597"/>
      <c r="V811" s="597"/>
      <c r="W811" s="597"/>
      <c r="X811" s="597"/>
      <c r="Y811" s="597"/>
      <c r="Z811" s="597"/>
    </row>
    <row r="812" spans="1:26" ht="18.75" hidden="1">
      <c r="A812" s="642"/>
      <c r="B812" s="600"/>
      <c r="C812" s="750"/>
      <c r="D812" s="600"/>
      <c r="E812" s="750"/>
      <c r="F812" s="750" t="s">
        <v>187</v>
      </c>
      <c r="G812" s="596"/>
      <c r="H812" s="165" t="s">
        <v>12</v>
      </c>
      <c r="I812" s="610"/>
      <c r="J812" s="610"/>
      <c r="K812" s="93"/>
      <c r="L812" s="93"/>
      <c r="M812" s="93"/>
      <c r="N812" s="93"/>
      <c r="O812" s="93"/>
      <c r="P812" s="93"/>
      <c r="Q812" s="597"/>
      <c r="R812" s="597"/>
      <c r="S812" s="597"/>
      <c r="T812" s="597"/>
      <c r="U812" s="597"/>
      <c r="V812" s="597"/>
      <c r="W812" s="597"/>
      <c r="X812" s="597"/>
      <c r="Y812" s="597"/>
      <c r="Z812" s="597"/>
    </row>
    <row r="813" spans="1:26" ht="18.75" hidden="1">
      <c r="A813" s="642"/>
      <c r="B813" s="600"/>
      <c r="C813" s="750"/>
      <c r="D813" s="600"/>
      <c r="E813" s="750"/>
      <c r="F813" s="750" t="s">
        <v>188</v>
      </c>
      <c r="G813" s="596"/>
      <c r="H813" s="165" t="s">
        <v>12</v>
      </c>
      <c r="I813" s="610"/>
      <c r="J813" s="610"/>
      <c r="K813" s="93"/>
      <c r="L813" s="93"/>
      <c r="M813" s="93"/>
      <c r="N813" s="93"/>
      <c r="O813" s="93"/>
      <c r="P813" s="93"/>
      <c r="Q813" s="597"/>
      <c r="R813" s="597"/>
      <c r="S813" s="597"/>
      <c r="T813" s="597"/>
      <c r="U813" s="597"/>
      <c r="V813" s="597"/>
      <c r="W813" s="597"/>
      <c r="X813" s="597"/>
      <c r="Y813" s="597"/>
      <c r="Z813" s="597"/>
    </row>
    <row r="814" spans="1:26" ht="18.75" hidden="1">
      <c r="A814" s="642"/>
      <c r="B814" s="600"/>
      <c r="C814" s="750"/>
      <c r="D814" s="600"/>
      <c r="E814" s="750"/>
      <c r="F814" s="750" t="s">
        <v>189</v>
      </c>
      <c r="G814" s="596"/>
      <c r="H814" s="165" t="s">
        <v>12</v>
      </c>
      <c r="I814" s="610"/>
      <c r="J814" s="610"/>
      <c r="K814" s="93"/>
      <c r="L814" s="93"/>
      <c r="M814" s="93"/>
      <c r="N814" s="93"/>
      <c r="O814" s="93"/>
      <c r="P814" s="93"/>
      <c r="Q814" s="597"/>
      <c r="R814" s="597"/>
      <c r="S814" s="597"/>
      <c r="T814" s="597"/>
      <c r="U814" s="597"/>
      <c r="V814" s="597"/>
      <c r="W814" s="597"/>
      <c r="X814" s="597"/>
      <c r="Y814" s="597"/>
      <c r="Z814" s="597"/>
    </row>
    <row r="815" spans="1:26" ht="19.5" hidden="1">
      <c r="A815" s="592"/>
      <c r="B815" s="600"/>
      <c r="C815" s="750"/>
      <c r="D815" s="869" t="s">
        <v>21</v>
      </c>
      <c r="E815" s="857"/>
      <c r="F815" s="857"/>
      <c r="G815" s="596"/>
      <c r="H815" s="774" t="s">
        <v>12</v>
      </c>
      <c r="I815" s="166"/>
      <c r="J815" s="166"/>
      <c r="K815" s="167"/>
      <c r="L815" s="640">
        <f t="shared" ref="L815:N815" si="332">L816+L817</f>
        <v>0</v>
      </c>
      <c r="M815" s="640">
        <f t="shared" si="332"/>
        <v>0</v>
      </c>
      <c r="N815" s="640">
        <f t="shared" si="332"/>
        <v>0</v>
      </c>
      <c r="O815" s="640">
        <f t="shared" ref="O815:O817" si="333">IF(L815&gt;0,N815*100/L815,0)</f>
        <v>0</v>
      </c>
      <c r="P815" s="640">
        <f t="shared" ref="P815:P817" si="334">IF(M815&gt;0,N815*100/M815,0)</f>
        <v>0</v>
      </c>
      <c r="Q815" s="597"/>
      <c r="R815" s="597"/>
      <c r="S815" s="597"/>
      <c r="T815" s="597"/>
      <c r="U815" s="597"/>
      <c r="V815" s="597"/>
      <c r="W815" s="597"/>
      <c r="X815" s="597"/>
      <c r="Y815" s="597"/>
      <c r="Z815" s="597"/>
    </row>
    <row r="816" spans="1:26" ht="18.75" hidden="1">
      <c r="A816" s="592"/>
      <c r="B816" s="600"/>
      <c r="C816" s="750"/>
      <c r="D816" s="600"/>
      <c r="E816" s="750" t="s">
        <v>18</v>
      </c>
      <c r="F816" s="750"/>
      <c r="G816" s="596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3"/>
        <v>0</v>
      </c>
      <c r="P816" s="93">
        <f t="shared" si="334"/>
        <v>0</v>
      </c>
      <c r="Q816" s="597"/>
      <c r="R816" s="597"/>
      <c r="S816" s="597"/>
      <c r="T816" s="597"/>
      <c r="U816" s="597"/>
      <c r="V816" s="597"/>
      <c r="W816" s="597"/>
      <c r="X816" s="597"/>
      <c r="Y816" s="597"/>
      <c r="Z816" s="597"/>
    </row>
    <row r="817" spans="1:26" ht="18.75" hidden="1">
      <c r="A817" s="592"/>
      <c r="B817" s="600"/>
      <c r="C817" s="750"/>
      <c r="D817" s="600"/>
      <c r="E817" s="750" t="s">
        <v>19</v>
      </c>
      <c r="F817" s="750"/>
      <c r="G817" s="596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3"/>
        <v>0</v>
      </c>
      <c r="P817" s="93">
        <f t="shared" si="334"/>
        <v>0</v>
      </c>
      <c r="Q817" s="597"/>
      <c r="R817" s="597"/>
      <c r="S817" s="597"/>
      <c r="T817" s="597"/>
      <c r="U817" s="597"/>
      <c r="V817" s="597"/>
      <c r="W817" s="597"/>
      <c r="X817" s="597"/>
      <c r="Y817" s="597"/>
      <c r="Z817" s="597"/>
    </row>
    <row r="818" spans="1:26" ht="19.5" hidden="1">
      <c r="A818" s="607"/>
      <c r="B818" s="609"/>
      <c r="C818" s="750" t="s">
        <v>16</v>
      </c>
      <c r="D818" s="842" t="s">
        <v>38</v>
      </c>
      <c r="E818" s="644"/>
      <c r="F818" s="644"/>
      <c r="G818" s="645"/>
      <c r="H818" s="365"/>
      <c r="I818" s="166"/>
      <c r="J818" s="166"/>
      <c r="K818" s="167"/>
      <c r="L818" s="167"/>
      <c r="M818" s="167"/>
      <c r="N818" s="167"/>
      <c r="O818" s="167"/>
      <c r="P818" s="167"/>
      <c r="Q818" s="597"/>
      <c r="R818" s="597"/>
      <c r="S818" s="597"/>
      <c r="T818" s="597"/>
      <c r="U818" s="597"/>
      <c r="V818" s="597"/>
      <c r="W818" s="597"/>
      <c r="X818" s="597"/>
      <c r="Y818" s="597"/>
      <c r="Z818" s="597"/>
    </row>
    <row r="819" spans="1:26" ht="19.5" hidden="1" thickBot="1">
      <c r="A819" s="805"/>
      <c r="B819" s="806"/>
      <c r="C819" s="808"/>
      <c r="D819" s="806"/>
      <c r="E819" s="808" t="s">
        <v>323</v>
      </c>
      <c r="F819" s="808"/>
      <c r="G819" s="809"/>
      <c r="H819" s="810" t="s">
        <v>46</v>
      </c>
      <c r="I819" s="811"/>
      <c r="J819" s="811"/>
      <c r="K819" s="812"/>
      <c r="L819" s="812"/>
      <c r="M819" s="812"/>
      <c r="N819" s="812"/>
      <c r="O819" s="812"/>
      <c r="P819" s="812"/>
      <c r="Q819" s="597"/>
      <c r="R819" s="597"/>
      <c r="S819" s="597"/>
      <c r="T819" s="597"/>
      <c r="U819" s="597"/>
      <c r="V819" s="597"/>
      <c r="W819" s="597"/>
      <c r="X819" s="597"/>
      <c r="Y819" s="597"/>
      <c r="Z819" s="597"/>
    </row>
    <row r="820" spans="1:26" ht="19.5">
      <c r="A820" s="813" t="s">
        <v>331</v>
      </c>
      <c r="B820" s="814"/>
      <c r="C820" s="814"/>
      <c r="D820" s="815"/>
      <c r="E820" s="814"/>
      <c r="F820" s="814"/>
      <c r="G820" s="816"/>
      <c r="H820" s="816"/>
      <c r="I820" s="214"/>
      <c r="J820" s="214"/>
      <c r="K820" s="817"/>
      <c r="L820" s="817"/>
      <c r="M820" s="817"/>
      <c r="N820" s="817"/>
      <c r="O820" s="817"/>
      <c r="P820" s="817"/>
      <c r="Q820" s="571"/>
      <c r="R820" s="571"/>
      <c r="S820" s="571"/>
      <c r="T820" s="571"/>
      <c r="U820" s="571"/>
      <c r="V820" s="571"/>
      <c r="W820" s="571"/>
      <c r="X820" s="571"/>
      <c r="Y820" s="571"/>
      <c r="Z820" s="571"/>
    </row>
    <row r="821" spans="1:26" ht="18.75">
      <c r="A821" s="735"/>
      <c r="B821" s="754" t="s">
        <v>325</v>
      </c>
      <c r="C821" s="754"/>
      <c r="D821" s="568"/>
      <c r="E821" s="754"/>
      <c r="F821" s="754"/>
      <c r="G821" s="189"/>
      <c r="H821" s="616" t="s">
        <v>12</v>
      </c>
      <c r="I821" s="269">
        <f ca="1">IFERROR(__xludf.DUMMYFUNCTION("IMPORTRANGE(""https://docs.google.com/spreadsheets/d/19vJNZY_5yjcGF2XGBMNZRCAIB0Kwfpjp8YEOfu-bneM/edit?usp=sharing"",""งานกองทุน!D58"")"),2329000)</f>
        <v>2329000</v>
      </c>
      <c r="J821" s="269">
        <f ca="1">IFERROR(__xludf.DUMMYFUNCTION("IMPORTRANGE(""https://docs.google.com/spreadsheets/d/19vJNZY_5yjcGF2XGBMNZRCAIB0Kwfpjp8YEOfu-bneM/edit?usp=sharing"",""งานกองทุน!F58"")"),0)</f>
        <v>0</v>
      </c>
      <c r="K821" s="496">
        <f t="shared" ref="K821:K828" ca="1" si="335">IF(I821&gt;0,J821*100/I821,0)</f>
        <v>0</v>
      </c>
      <c r="L821" s="496"/>
      <c r="M821" s="496"/>
      <c r="N821" s="496"/>
      <c r="O821" s="496"/>
      <c r="P821" s="496"/>
      <c r="Q821" s="571"/>
      <c r="R821" s="571"/>
      <c r="S821" s="571"/>
      <c r="T821" s="571"/>
      <c r="U821" s="571"/>
      <c r="V821" s="571"/>
      <c r="W821" s="571"/>
      <c r="X821" s="571"/>
      <c r="Y821" s="571"/>
      <c r="Z821" s="571"/>
    </row>
    <row r="822" spans="1:26" ht="18.75">
      <c r="A822" s="735"/>
      <c r="B822" s="754"/>
      <c r="C822" s="754"/>
      <c r="D822" s="568"/>
      <c r="E822" s="754"/>
      <c r="F822" s="754"/>
      <c r="G822" s="189"/>
      <c r="H822" s="616" t="s">
        <v>35</v>
      </c>
      <c r="I822" s="269">
        <f ca="1">IFERROR(__xludf.DUMMYFUNCTION("IMPORTRANGE(""https://docs.google.com/spreadsheets/d/19vJNZY_5yjcGF2XGBMNZRCAIB0Kwfpjp8YEOfu-bneM/edit?usp=sharing"",""งานกองทุน!C58"")"),110)</f>
        <v>110</v>
      </c>
      <c r="J822" s="269">
        <f ca="1">IFERROR(__xludf.DUMMYFUNCTION("IMPORTRANGE(""https://docs.google.com/spreadsheets/d/19vJNZY_5yjcGF2XGBMNZRCAIB0Kwfpjp8YEOfu-bneM/edit?usp=sharing"",""งานกองทุน!E58"")"),0)</f>
        <v>0</v>
      </c>
      <c r="K822" s="496">
        <f t="shared" ca="1" si="335"/>
        <v>0</v>
      </c>
      <c r="L822" s="496"/>
      <c r="M822" s="496"/>
      <c r="N822" s="496"/>
      <c r="O822" s="496"/>
      <c r="P822" s="496"/>
      <c r="Q822" s="571"/>
      <c r="R822" s="571"/>
      <c r="S822" s="571"/>
      <c r="T822" s="571"/>
      <c r="U822" s="571"/>
      <c r="V822" s="571"/>
      <c r="W822" s="571"/>
      <c r="X822" s="571"/>
      <c r="Y822" s="571"/>
      <c r="Z822" s="571"/>
    </row>
    <row r="823" spans="1:26" ht="18.75">
      <c r="A823" s="735"/>
      <c r="B823" s="754" t="s">
        <v>326</v>
      </c>
      <c r="C823" s="754"/>
      <c r="D823" s="568"/>
      <c r="E823" s="754"/>
      <c r="F823" s="754"/>
      <c r="G823" s="189"/>
      <c r="H823" s="616" t="s">
        <v>12</v>
      </c>
      <c r="I823" s="269">
        <f ca="1">IFERROR(__xludf.DUMMYFUNCTION("IMPORTRANGE(""https://docs.google.com/spreadsheets/d/19vJNZY_5yjcGF2XGBMNZRCAIB0Kwfpjp8YEOfu-bneM/edit?usp=sharing"",""งานกองทุน!I58"")"),965915.34)</f>
        <v>965915.34</v>
      </c>
      <c r="J823" s="269">
        <f ca="1">IFERROR(__xludf.DUMMYFUNCTION("IMPORTRANGE(""https://docs.google.com/spreadsheets/d/19vJNZY_5yjcGF2XGBMNZRCAIB0Kwfpjp8YEOfu-bneM/edit?usp=sharing"",""งานกองทุน!K58"")"),105196.97)</f>
        <v>105196.97</v>
      </c>
      <c r="K823" s="496">
        <f t="shared" ca="1" si="335"/>
        <v>10.8909099631858</v>
      </c>
      <c r="L823" s="496"/>
      <c r="M823" s="496"/>
      <c r="N823" s="496"/>
      <c r="O823" s="496"/>
      <c r="P823" s="496"/>
      <c r="Q823" s="571"/>
      <c r="R823" s="571"/>
      <c r="S823" s="571"/>
      <c r="T823" s="571"/>
      <c r="U823" s="571"/>
      <c r="V823" s="571"/>
      <c r="W823" s="571"/>
      <c r="X823" s="571"/>
      <c r="Y823" s="571"/>
      <c r="Z823" s="571"/>
    </row>
    <row r="824" spans="1:26" ht="18.75">
      <c r="A824" s="735"/>
      <c r="B824" s="754"/>
      <c r="C824" s="754"/>
      <c r="D824" s="568"/>
      <c r="E824" s="754"/>
      <c r="F824" s="754"/>
      <c r="G824" s="189"/>
      <c r="H824" s="616" t="s">
        <v>35</v>
      </c>
      <c r="I824" s="269">
        <f ca="1">IFERROR(__xludf.DUMMYFUNCTION("IMPORTRANGE(""https://docs.google.com/spreadsheets/d/19vJNZY_5yjcGF2XGBMNZRCAIB0Kwfpjp8YEOfu-bneM/edit?usp=sharing"",""งานกองทุน!H58"")"),37)</f>
        <v>37</v>
      </c>
      <c r="J824" s="269">
        <f ca="1">IFERROR(__xludf.DUMMYFUNCTION("IMPORTRANGE(""https://docs.google.com/spreadsheets/d/19vJNZY_5yjcGF2XGBMNZRCAIB0Kwfpjp8YEOfu-bneM/edit?usp=sharing"",""งานกองทุน!J58"")"),13)</f>
        <v>13</v>
      </c>
      <c r="K824" s="496">
        <f t="shared" ca="1" si="335"/>
        <v>35.135135135135137</v>
      </c>
      <c r="L824" s="496"/>
      <c r="M824" s="496"/>
      <c r="N824" s="496"/>
      <c r="O824" s="496"/>
      <c r="P824" s="496"/>
      <c r="Q824" s="571"/>
      <c r="R824" s="571"/>
      <c r="S824" s="571"/>
      <c r="T824" s="571"/>
      <c r="U824" s="571"/>
      <c r="V824" s="571"/>
      <c r="W824" s="571"/>
      <c r="X824" s="571"/>
      <c r="Y824" s="571"/>
      <c r="Z824" s="571"/>
    </row>
    <row r="825" spans="1:26" ht="18.75">
      <c r="A825" s="735"/>
      <c r="B825" s="754" t="s">
        <v>327</v>
      </c>
      <c r="C825" s="754"/>
      <c r="D825" s="568"/>
      <c r="E825" s="754"/>
      <c r="F825" s="754"/>
      <c r="G825" s="189"/>
      <c r="H825" s="616" t="s">
        <v>12</v>
      </c>
      <c r="I825" s="269">
        <f ca="1">IFERROR(__xludf.DUMMYFUNCTION("IMPORTRANGE(""https://docs.google.com/spreadsheets/d/19vJNZY_5yjcGF2XGBMNZRCAIB0Kwfpjp8YEOfu-bneM/edit?usp=sharing"",""งานกองทุน!N58"")"),0)</f>
        <v>0</v>
      </c>
      <c r="J825" s="269">
        <f ca="1">IFERROR(__xludf.DUMMYFUNCTION("IMPORTRANGE(""https://docs.google.com/spreadsheets/d/19vJNZY_5yjcGF2XGBMNZRCAIB0Kwfpjp8YEOfu-bneM/edit?usp=sharing"",""งานกองทุน!P58"")"),0)</f>
        <v>0</v>
      </c>
      <c r="K825" s="496">
        <f t="shared" ca="1" si="335"/>
        <v>0</v>
      </c>
      <c r="L825" s="496"/>
      <c r="M825" s="496"/>
      <c r="N825" s="496"/>
      <c r="O825" s="496"/>
      <c r="P825" s="496"/>
      <c r="Q825" s="571"/>
      <c r="R825" s="571"/>
      <c r="S825" s="571"/>
      <c r="T825" s="571"/>
      <c r="U825" s="571"/>
      <c r="V825" s="571"/>
      <c r="W825" s="571"/>
      <c r="X825" s="571"/>
      <c r="Y825" s="571"/>
      <c r="Z825" s="571"/>
    </row>
    <row r="826" spans="1:26" ht="18.75">
      <c r="A826" s="735"/>
      <c r="B826" s="754"/>
      <c r="C826" s="754"/>
      <c r="D826" s="568"/>
      <c r="E826" s="754"/>
      <c r="F826" s="754"/>
      <c r="G826" s="189"/>
      <c r="H826" s="616" t="s">
        <v>35</v>
      </c>
      <c r="I826" s="269">
        <f ca="1">IFERROR(__xludf.DUMMYFUNCTION("IMPORTRANGE(""https://docs.google.com/spreadsheets/d/19vJNZY_5yjcGF2XGBMNZRCAIB0Kwfpjp8YEOfu-bneM/edit?usp=sharing"",""งานกองทุน!M58"")"),0)</f>
        <v>0</v>
      </c>
      <c r="J826" s="269">
        <f ca="1">IFERROR(__xludf.DUMMYFUNCTION("IMPORTRANGE(""https://docs.google.com/spreadsheets/d/19vJNZY_5yjcGF2XGBMNZRCAIB0Kwfpjp8YEOfu-bneM/edit?usp=sharing"",""งานกองทุน!O58"")"),0)</f>
        <v>0</v>
      </c>
      <c r="K826" s="496">
        <f t="shared" ca="1" si="335"/>
        <v>0</v>
      </c>
      <c r="L826" s="496"/>
      <c r="M826" s="496"/>
      <c r="N826" s="496"/>
      <c r="O826" s="496"/>
      <c r="P826" s="496"/>
      <c r="Q826" s="571"/>
      <c r="R826" s="571"/>
      <c r="S826" s="571"/>
      <c r="T826" s="571"/>
      <c r="U826" s="571"/>
      <c r="V826" s="571"/>
      <c r="W826" s="571"/>
      <c r="X826" s="571"/>
      <c r="Y826" s="571"/>
      <c r="Z826" s="571"/>
    </row>
    <row r="827" spans="1:26" ht="18.75">
      <c r="A827" s="735"/>
      <c r="B827" s="754" t="s">
        <v>328</v>
      </c>
      <c r="C827" s="754"/>
      <c r="D827" s="568"/>
      <c r="E827" s="754"/>
      <c r="F827" s="754"/>
      <c r="G827" s="189"/>
      <c r="H827" s="616" t="s">
        <v>12</v>
      </c>
      <c r="I827" s="269">
        <f ca="1">IFERROR(__xludf.DUMMYFUNCTION("IMPORTRANGE(""https://docs.google.com/spreadsheets/d/19vJNZY_5yjcGF2XGBMNZRCAIB0Kwfpjp8YEOfu-bneM/edit?usp=sharing"",""งานกองทุน!S58"")"),3330000)</f>
        <v>3330000</v>
      </c>
      <c r="J827" s="269">
        <f ca="1">IFERROR(__xludf.DUMMYFUNCTION("IMPORTRANGE(""https://docs.google.com/spreadsheets/d/19vJNZY_5yjcGF2XGBMNZRCAIB0Kwfpjp8YEOfu-bneM/edit?usp=sharing"",""งานกองทุน!U58"")"),0)</f>
        <v>0</v>
      </c>
      <c r="K827" s="496">
        <f t="shared" ca="1" si="335"/>
        <v>0</v>
      </c>
      <c r="L827" s="496"/>
      <c r="M827" s="496"/>
      <c r="N827" s="496"/>
      <c r="O827" s="496"/>
      <c r="P827" s="496"/>
      <c r="Q827" s="571"/>
      <c r="R827" s="571"/>
      <c r="S827" s="571"/>
      <c r="T827" s="571"/>
      <c r="U827" s="571"/>
      <c r="V827" s="571"/>
      <c r="W827" s="571"/>
      <c r="X827" s="571"/>
      <c r="Y827" s="571"/>
      <c r="Z827" s="571"/>
    </row>
    <row r="828" spans="1:26" ht="18.75">
      <c r="A828" s="738"/>
      <c r="B828" s="740"/>
      <c r="C828" s="740"/>
      <c r="D828" s="739"/>
      <c r="E828" s="740"/>
      <c r="F828" s="740"/>
      <c r="G828" s="818"/>
      <c r="H828" s="819" t="s">
        <v>35</v>
      </c>
      <c r="I828" s="499">
        <f ca="1">IFERROR(__xludf.DUMMYFUNCTION("IMPORTRANGE(""https://docs.google.com/spreadsheets/d/19vJNZY_5yjcGF2XGBMNZRCAIB0Kwfpjp8YEOfu-bneM/edit?usp=sharing"",""งานกองทุน!R58"")"),133)</f>
        <v>133</v>
      </c>
      <c r="J828" s="499">
        <f ca="1">IFERROR(__xludf.DUMMYFUNCTION("IMPORTRANGE(""https://docs.google.com/spreadsheets/d/19vJNZY_5yjcGF2XGBMNZRCAIB0Kwfpjp8YEOfu-bneM/edit?usp=sharing"",""งานกองทุน!T58"")"),0)</f>
        <v>0</v>
      </c>
      <c r="K828" s="500">
        <f t="shared" ca="1" si="335"/>
        <v>0</v>
      </c>
      <c r="L828" s="500"/>
      <c r="M828" s="500"/>
      <c r="N828" s="500"/>
      <c r="O828" s="500"/>
      <c r="P828" s="500"/>
      <c r="Q828" s="571"/>
      <c r="R828" s="571"/>
      <c r="S828" s="571"/>
      <c r="T828" s="571"/>
      <c r="U828" s="571"/>
      <c r="V828" s="571"/>
      <c r="W828" s="571"/>
      <c r="X828" s="571"/>
      <c r="Y828" s="571"/>
      <c r="Z828" s="571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544:F544"/>
    <mergeCell ref="A7:G7"/>
    <mergeCell ref="A17:G17"/>
    <mergeCell ref="A27:G27"/>
    <mergeCell ref="B40:G40"/>
    <mergeCell ref="A50:G50"/>
    <mergeCell ref="B51:G51"/>
    <mergeCell ref="D419:F419"/>
    <mergeCell ref="D444:F444"/>
    <mergeCell ref="D467:F467"/>
    <mergeCell ref="D502:F502"/>
    <mergeCell ref="D523:F523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 gridLines="1"/>
  <pageMargins left="0.23622047244094491" right="0.23622047244094491" top="0.74803149606299213" bottom="0.74803149606299213" header="0" footer="0"/>
  <pageSetup paperSize="9" scale="42" fitToHeight="0" pageOrder="overThenDown" orientation="portrait" cellComments="atEnd" r:id="rId1"/>
  <headerFooter>
    <oddFooter>&amp;Cหน้า &amp;P/&amp;N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EC82FD-AEFA-4615-A449-3D464F50F6AB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activeCell="A2" sqref="A2:P2"/>
      <selection pane="bottomLeft" activeCell="A2" sqref="A2:P2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9" width="16.85546875" bestFit="1" customWidth="1"/>
    <col min="10" max="10" width="14.42578125" bestFit="1" customWidth="1"/>
    <col min="11" max="11" width="12.5703125" customWidth="1"/>
    <col min="12" max="13" width="21.28515625" bestFit="1" customWidth="1"/>
    <col min="14" max="14" width="18.7109375" bestFit="1" customWidth="1"/>
    <col min="15" max="16" width="17.5703125" customWidth="1"/>
  </cols>
  <sheetData>
    <row r="1" spans="1:26" ht="19.5">
      <c r="A1" s="844" t="s">
        <v>0</v>
      </c>
      <c r="B1" s="845"/>
      <c r="C1" s="845"/>
      <c r="D1" s="845"/>
      <c r="E1" s="845"/>
      <c r="F1" s="845"/>
      <c r="G1" s="845"/>
      <c r="H1" s="845"/>
      <c r="I1" s="845"/>
      <c r="J1" s="845"/>
      <c r="K1" s="845"/>
      <c r="L1" s="845"/>
      <c r="M1" s="845"/>
      <c r="N1" s="845"/>
      <c r="O1" s="845"/>
      <c r="P1" s="845"/>
    </row>
    <row r="2" spans="1:26" ht="19.5">
      <c r="A2" s="844" t="s">
        <v>340</v>
      </c>
      <c r="B2" s="845"/>
      <c r="C2" s="845"/>
      <c r="D2" s="845"/>
      <c r="E2" s="845"/>
      <c r="F2" s="845"/>
      <c r="G2" s="845"/>
      <c r="H2" s="845"/>
      <c r="I2" s="845"/>
      <c r="J2" s="845"/>
      <c r="K2" s="845"/>
      <c r="L2" s="845"/>
      <c r="M2" s="845"/>
      <c r="N2" s="845"/>
      <c r="O2" s="845"/>
      <c r="P2" s="845"/>
    </row>
    <row r="3" spans="1:26" ht="19.5">
      <c r="A3" s="844" t="s">
        <v>347</v>
      </c>
      <c r="B3" s="845"/>
      <c r="C3" s="845"/>
      <c r="D3" s="845"/>
      <c r="E3" s="845"/>
      <c r="F3" s="845"/>
      <c r="G3" s="845"/>
      <c r="H3" s="845"/>
      <c r="I3" s="845"/>
      <c r="J3" s="845"/>
      <c r="K3" s="845"/>
      <c r="L3" s="845"/>
      <c r="M3" s="845"/>
      <c r="N3" s="845"/>
      <c r="O3" s="845"/>
      <c r="P3" s="845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52" t="s">
        <v>2</v>
      </c>
      <c r="B5" s="845"/>
      <c r="C5" s="845"/>
      <c r="D5" s="845"/>
      <c r="E5" s="845"/>
      <c r="F5" s="845"/>
      <c r="G5" s="853"/>
      <c r="H5" s="846" t="s">
        <v>3</v>
      </c>
      <c r="I5" s="848" t="s">
        <v>4</v>
      </c>
      <c r="J5" s="849"/>
      <c r="K5" s="847"/>
      <c r="L5" s="850" t="s">
        <v>5</v>
      </c>
      <c r="M5" s="847"/>
      <c r="N5" s="851" t="s">
        <v>6</v>
      </c>
      <c r="O5" s="849"/>
      <c r="P5" s="847"/>
    </row>
    <row r="6" spans="1:26" ht="19.5">
      <c r="A6" s="854"/>
      <c r="B6" s="849"/>
      <c r="C6" s="849"/>
      <c r="D6" s="849"/>
      <c r="E6" s="849"/>
      <c r="F6" s="849"/>
      <c r="G6" s="847"/>
      <c r="H6" s="847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55" t="s">
        <v>15</v>
      </c>
      <c r="B7" s="849"/>
      <c r="C7" s="849"/>
      <c r="D7" s="849"/>
      <c r="E7" s="849"/>
      <c r="F7" s="849"/>
      <c r="G7" s="847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3238710</v>
      </c>
      <c r="M8" s="22">
        <f t="shared" ca="1" si="0"/>
        <v>1476880</v>
      </c>
      <c r="N8" s="22">
        <f t="shared" ca="1" si="0"/>
        <v>714992.78</v>
      </c>
      <c r="O8" s="22">
        <f t="shared" ref="O8:O16" ca="1" si="1">IF(L8&gt;0,N8*100/L8,0)</f>
        <v>22.076468099953377</v>
      </c>
      <c r="P8" s="22">
        <f t="shared" ref="P8:P16" ca="1" si="2">IF(M8&gt;0,N8*100/M8,0)</f>
        <v>48.412381506960621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3238710</v>
      </c>
      <c r="M10" s="30">
        <f t="shared" ca="1" si="3"/>
        <v>1476880</v>
      </c>
      <c r="N10" s="30">
        <f t="shared" ca="1" si="3"/>
        <v>714992.78</v>
      </c>
      <c r="O10" s="30">
        <f t="shared" ca="1" si="1"/>
        <v>22.076468099953377</v>
      </c>
      <c r="P10" s="30">
        <f t="shared" ca="1" si="2"/>
        <v>48.412381506960621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16" t="s">
        <v>12</v>
      </c>
      <c r="I11" s="269"/>
      <c r="J11" s="269"/>
      <c r="K11" s="496"/>
      <c r="L11" s="496">
        <f t="shared" ref="L11:N11" ca="1" si="4">L12+L13</f>
        <v>3065310</v>
      </c>
      <c r="M11" s="496">
        <f t="shared" ca="1" si="4"/>
        <v>1303480</v>
      </c>
      <c r="N11" s="496">
        <f t="shared" ca="1" si="4"/>
        <v>541592.78</v>
      </c>
      <c r="O11" s="496">
        <f t="shared" ca="1" si="1"/>
        <v>17.66845049929697</v>
      </c>
      <c r="P11" s="496">
        <f t="shared" ca="1" si="2"/>
        <v>41.549757572037926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2" t="s">
        <v>18</v>
      </c>
      <c r="F12" s="40"/>
      <c r="G12" s="42"/>
      <c r="H12" s="43" t="s">
        <v>12</v>
      </c>
      <c r="I12" s="610"/>
      <c r="J12" s="610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2" t="s">
        <v>19</v>
      </c>
      <c r="F13" s="40"/>
      <c r="G13" s="42"/>
      <c r="H13" s="43" t="s">
        <v>12</v>
      </c>
      <c r="I13" s="610"/>
      <c r="J13" s="610"/>
      <c r="K13" s="93"/>
      <c r="L13" s="93">
        <f t="shared" ca="1" si="5"/>
        <v>3065310</v>
      </c>
      <c r="M13" s="93">
        <f t="shared" ca="1" si="5"/>
        <v>1303480</v>
      </c>
      <c r="N13" s="93">
        <f t="shared" ca="1" si="5"/>
        <v>541592.78</v>
      </c>
      <c r="O13" s="93">
        <f t="shared" ca="1" si="1"/>
        <v>17.66845049929697</v>
      </c>
      <c r="P13" s="93">
        <f t="shared" ca="1" si="2"/>
        <v>41.549757572037926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16" t="s">
        <v>12</v>
      </c>
      <c r="I14" s="269"/>
      <c r="J14" s="269"/>
      <c r="K14" s="496"/>
      <c r="L14" s="496">
        <f t="shared" ref="L14:N14" ca="1" si="6">L15+L16</f>
        <v>173400</v>
      </c>
      <c r="M14" s="496">
        <f t="shared" ca="1" si="6"/>
        <v>173400</v>
      </c>
      <c r="N14" s="496">
        <f t="shared" ca="1" si="6"/>
        <v>173400</v>
      </c>
      <c r="O14" s="496">
        <f t="shared" ca="1" si="1"/>
        <v>100</v>
      </c>
      <c r="P14" s="496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2" t="s">
        <v>18</v>
      </c>
      <c r="F15" s="40"/>
      <c r="G15" s="42"/>
      <c r="H15" s="43" t="s">
        <v>12</v>
      </c>
      <c r="I15" s="610"/>
      <c r="J15" s="610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173400</v>
      </c>
      <c r="M16" s="52">
        <f t="shared" ca="1" si="7"/>
        <v>173400</v>
      </c>
      <c r="N16" s="52">
        <f t="shared" ca="1" si="7"/>
        <v>173400</v>
      </c>
      <c r="O16" s="52">
        <f t="shared" ca="1" si="1"/>
        <v>100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55" t="s">
        <v>22</v>
      </c>
      <c r="B17" s="849"/>
      <c r="C17" s="849"/>
      <c r="D17" s="849"/>
      <c r="E17" s="849"/>
      <c r="F17" s="849"/>
      <c r="G17" s="847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2769500</v>
      </c>
      <c r="M18" s="22">
        <f t="shared" ca="1" si="8"/>
        <v>1476880</v>
      </c>
      <c r="N18" s="22">
        <f t="shared" ca="1" si="8"/>
        <v>714992.78</v>
      </c>
      <c r="O18" s="22">
        <f t="shared" ref="O18:O26" ca="1" si="9">IF(L18&gt;0,N18*100/L18,0)</f>
        <v>25.816673767828128</v>
      </c>
      <c r="P18" s="22">
        <f t="shared" ref="P18:P26" ca="1" si="10">IF(M18&gt;0,N18*100/M18,0)</f>
        <v>48.412381506960621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2769500</v>
      </c>
      <c r="M20" s="30">
        <f t="shared" ca="1" si="11"/>
        <v>1476880</v>
      </c>
      <c r="N20" s="30">
        <f t="shared" ca="1" si="11"/>
        <v>714992.78</v>
      </c>
      <c r="O20" s="30">
        <f t="shared" ca="1" si="9"/>
        <v>25.816673767828128</v>
      </c>
      <c r="P20" s="30">
        <f t="shared" ca="1" si="10"/>
        <v>48.412381506960621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16" t="s">
        <v>12</v>
      </c>
      <c r="I21" s="269"/>
      <c r="J21" s="269"/>
      <c r="K21" s="496"/>
      <c r="L21" s="496">
        <f t="shared" ref="L21:N21" ca="1" si="12">L22+L23</f>
        <v>2596100</v>
      </c>
      <c r="M21" s="496">
        <f t="shared" ca="1" si="12"/>
        <v>1303480</v>
      </c>
      <c r="N21" s="496">
        <f t="shared" ca="1" si="12"/>
        <v>541592.78</v>
      </c>
      <c r="O21" s="496">
        <f t="shared" ca="1" si="9"/>
        <v>20.861784214783714</v>
      </c>
      <c r="P21" s="496">
        <f t="shared" ca="1" si="10"/>
        <v>41.549757572037926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2" t="s">
        <v>18</v>
      </c>
      <c r="F22" s="40"/>
      <c r="G22" s="42"/>
      <c r="H22" s="43" t="s">
        <v>12</v>
      </c>
      <c r="I22" s="610"/>
      <c r="J22" s="610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2" t="s">
        <v>19</v>
      </c>
      <c r="F23" s="40"/>
      <c r="G23" s="42"/>
      <c r="H23" s="43" t="s">
        <v>12</v>
      </c>
      <c r="I23" s="610"/>
      <c r="J23" s="610"/>
      <c r="K23" s="93"/>
      <c r="L23" s="93">
        <f t="shared" ca="1" si="13"/>
        <v>2596100</v>
      </c>
      <c r="M23" s="93">
        <f t="shared" ca="1" si="13"/>
        <v>1303480</v>
      </c>
      <c r="N23" s="93">
        <f t="shared" ca="1" si="13"/>
        <v>541592.78</v>
      </c>
      <c r="O23" s="93">
        <f t="shared" ca="1" si="9"/>
        <v>20.861784214783714</v>
      </c>
      <c r="P23" s="93">
        <f t="shared" ca="1" si="10"/>
        <v>41.549757572037926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16" t="s">
        <v>12</v>
      </c>
      <c r="I24" s="269"/>
      <c r="J24" s="269"/>
      <c r="K24" s="496"/>
      <c r="L24" s="496">
        <f t="shared" ref="L24:N24" ca="1" si="14">L25+L26</f>
        <v>173400</v>
      </c>
      <c r="M24" s="496">
        <f t="shared" ca="1" si="14"/>
        <v>173400</v>
      </c>
      <c r="N24" s="496">
        <f t="shared" ca="1" si="14"/>
        <v>173400</v>
      </c>
      <c r="O24" s="496">
        <f t="shared" ca="1" si="9"/>
        <v>100</v>
      </c>
      <c r="P24" s="496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2" t="s">
        <v>18</v>
      </c>
      <c r="F25" s="40"/>
      <c r="G25" s="42"/>
      <c r="H25" s="43" t="s">
        <v>12</v>
      </c>
      <c r="I25" s="610"/>
      <c r="J25" s="610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173400</v>
      </c>
      <c r="M26" s="52">
        <f t="shared" ca="1" si="15"/>
        <v>173400</v>
      </c>
      <c r="N26" s="52">
        <f t="shared" ca="1" si="15"/>
        <v>173400</v>
      </c>
      <c r="O26" s="52">
        <f t="shared" ca="1" si="9"/>
        <v>100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55" t="s">
        <v>23</v>
      </c>
      <c r="B27" s="849"/>
      <c r="C27" s="849"/>
      <c r="D27" s="849"/>
      <c r="E27" s="849"/>
      <c r="F27" s="849"/>
      <c r="G27" s="847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469210</v>
      </c>
      <c r="M28" s="22">
        <f t="shared" si="16"/>
        <v>0</v>
      </c>
      <c r="N28" s="22">
        <f t="shared" si="16"/>
        <v>0</v>
      </c>
      <c r="O28" s="22">
        <f t="shared" ref="O28:O37" ca="1" si="17">IF(L28&gt;0,N28*100/L28,0)</f>
        <v>0</v>
      </c>
      <c r="P28" s="22">
        <f t="shared" ref="P28:P37" si="18">IF(M28&gt;0,N28*100/M28,0)</f>
        <v>0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469210</v>
      </c>
      <c r="M30" s="30">
        <f t="shared" si="19"/>
        <v>0</v>
      </c>
      <c r="N30" s="30">
        <f t="shared" si="19"/>
        <v>0</v>
      </c>
      <c r="O30" s="30">
        <f t="shared" ca="1" si="17"/>
        <v>0</v>
      </c>
      <c r="P30" s="30">
        <f t="shared" si="18"/>
        <v>0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16" t="s">
        <v>12</v>
      </c>
      <c r="I31" s="269"/>
      <c r="J31" s="269"/>
      <c r="K31" s="496"/>
      <c r="L31" s="496">
        <f t="shared" ref="L31:N31" ca="1" si="20">L32+L33</f>
        <v>469210</v>
      </c>
      <c r="M31" s="496">
        <f t="shared" si="20"/>
        <v>0</v>
      </c>
      <c r="N31" s="496">
        <f t="shared" si="20"/>
        <v>0</v>
      </c>
      <c r="O31" s="496">
        <f t="shared" ca="1" si="17"/>
        <v>0</v>
      </c>
      <c r="P31" s="496">
        <f t="shared" si="18"/>
        <v>0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2" t="s">
        <v>18</v>
      </c>
      <c r="F32" s="40"/>
      <c r="G32" s="42"/>
      <c r="H32" s="43" t="s">
        <v>12</v>
      </c>
      <c r="I32" s="610"/>
      <c r="J32" s="610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2" t="s">
        <v>19</v>
      </c>
      <c r="F33" s="40"/>
      <c r="G33" s="42"/>
      <c r="H33" s="43" t="s">
        <v>12</v>
      </c>
      <c r="I33" s="610"/>
      <c r="J33" s="610"/>
      <c r="K33" s="93"/>
      <c r="L33" s="93">
        <f t="shared" ca="1" si="21"/>
        <v>469210</v>
      </c>
      <c r="M33" s="93">
        <f t="shared" si="21"/>
        <v>0</v>
      </c>
      <c r="N33" s="93">
        <f t="shared" si="21"/>
        <v>0</v>
      </c>
      <c r="O33" s="93">
        <f t="shared" ca="1" si="17"/>
        <v>0</v>
      </c>
      <c r="P33" s="93">
        <f t="shared" si="18"/>
        <v>0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16" t="s">
        <v>12</v>
      </c>
      <c r="I34" s="269"/>
      <c r="J34" s="269"/>
      <c r="K34" s="496"/>
      <c r="L34" s="496">
        <f t="shared" ref="L34:N34" ca="1" si="22">L35+L36</f>
        <v>0</v>
      </c>
      <c r="M34" s="496">
        <f t="shared" si="22"/>
        <v>0</v>
      </c>
      <c r="N34" s="496">
        <f t="shared" si="22"/>
        <v>0</v>
      </c>
      <c r="O34" s="496">
        <f t="shared" ca="1" si="17"/>
        <v>0</v>
      </c>
      <c r="P34" s="496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2" t="s">
        <v>18</v>
      </c>
      <c r="F35" s="40"/>
      <c r="G35" s="42"/>
      <c r="H35" s="43" t="s">
        <v>12</v>
      </c>
      <c r="I35" s="610"/>
      <c r="J35" s="610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53" t="s">
        <v>24</v>
      </c>
      <c r="B37" s="54"/>
      <c r="C37" s="54"/>
      <c r="D37" s="54"/>
      <c r="E37" s="54"/>
      <c r="F37" s="54"/>
      <c r="G37" s="55"/>
      <c r="H37" s="56"/>
      <c r="I37" s="423"/>
      <c r="J37" s="423"/>
      <c r="K37" s="58"/>
      <c r="L37" s="59">
        <f t="shared" ref="L37:N37" ca="1" si="24">L41+L53+L66+L88+L119+L132+L149+L165+L181+L261+L277+L298+L315+L328+L345+L389+L402</f>
        <v>2769500</v>
      </c>
      <c r="M37" s="59">
        <f t="shared" ca="1" si="24"/>
        <v>1476880</v>
      </c>
      <c r="N37" s="59">
        <f t="shared" ca="1" si="24"/>
        <v>714992.78</v>
      </c>
      <c r="O37" s="59">
        <f t="shared" ca="1" si="17"/>
        <v>25.816673767828128</v>
      </c>
      <c r="P37" s="59">
        <f t="shared" ca="1" si="18"/>
        <v>48.412381506960621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56" t="s">
        <v>27</v>
      </c>
      <c r="C40" s="857"/>
      <c r="D40" s="857"/>
      <c r="E40" s="857"/>
      <c r="F40" s="857"/>
      <c r="G40" s="858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20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314150</v>
      </c>
      <c r="M41" s="85">
        <f t="shared" ca="1" si="25"/>
        <v>165850</v>
      </c>
      <c r="N41" s="85">
        <f t="shared" ca="1" si="25"/>
        <v>74243</v>
      </c>
      <c r="O41" s="85">
        <f t="shared" ref="O41:O49" ca="1" si="26">IF(L41&gt;0,N41*100/L41,0)</f>
        <v>23.63297787681044</v>
      </c>
      <c r="P41" s="85">
        <f t="shared" ref="P41:P49" ca="1" si="27">IF(M41&gt;0,N41*100/M41,0)</f>
        <v>44.765149231233039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314150</v>
      </c>
      <c r="M43" s="92">
        <f t="shared" ca="1" si="28"/>
        <v>165850</v>
      </c>
      <c r="N43" s="92">
        <f t="shared" ca="1" si="28"/>
        <v>74243</v>
      </c>
      <c r="O43" s="92">
        <f t="shared" ca="1" si="26"/>
        <v>23.63297787681044</v>
      </c>
      <c r="P43" s="92">
        <f t="shared" ca="1" si="27"/>
        <v>44.765149231233039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16" t="s">
        <v>12</v>
      </c>
      <c r="I44" s="269"/>
      <c r="J44" s="269"/>
      <c r="K44" s="496"/>
      <c r="L44" s="496">
        <f t="shared" ref="L44:N44" ca="1" si="29">L45+L46</f>
        <v>314150</v>
      </c>
      <c r="M44" s="496">
        <f t="shared" ca="1" si="29"/>
        <v>165850</v>
      </c>
      <c r="N44" s="496">
        <f t="shared" ca="1" si="29"/>
        <v>74243</v>
      </c>
      <c r="O44" s="496">
        <f t="shared" ca="1" si="26"/>
        <v>23.63297787681044</v>
      </c>
      <c r="P44" s="496">
        <f t="shared" ca="1" si="27"/>
        <v>44.765149231233039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2" t="s">
        <v>18</v>
      </c>
      <c r="F45" s="40"/>
      <c r="G45" s="42"/>
      <c r="H45" s="43" t="s">
        <v>12</v>
      </c>
      <c r="I45" s="610"/>
      <c r="J45" s="610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2" t="s">
        <v>19</v>
      </c>
      <c r="F46" s="40"/>
      <c r="G46" s="42"/>
      <c r="H46" s="43" t="s">
        <v>12</v>
      </c>
      <c r="I46" s="610"/>
      <c r="J46" s="610"/>
      <c r="K46" s="93"/>
      <c r="L46" s="93">
        <f ca="1">IFERROR(__xludf.DUMMYFUNCTION("IMPORTRANGE(""https://docs.google.com/spreadsheets/d/1MeEWN-I1oV_STSDYn1IFDPWt_1FKiwhDph83XaGc0o0/edit?usp=sharing"",""งบพรบ!M59"")"),314150)</f>
        <v>314150</v>
      </c>
      <c r="M46" s="93">
        <f ca="1">IFERROR(__xludf.DUMMYFUNCTION("IMPORTRANGE(""https://docs.google.com/spreadsheets/d/1MeEWN-I1oV_STSDYn1IFDPWt_1FKiwhDph83XaGc0o0/edit?usp=sharing"",""งบพรบ!R59"")"),165850)</f>
        <v>165850</v>
      </c>
      <c r="N46" s="93">
        <f ca="1">IFERROR(__xludf.DUMMYFUNCTION("IMPORTRANGE(""https://docs.google.com/spreadsheets/d/1MeEWN-I1oV_STSDYn1IFDPWt_1FKiwhDph83XaGc0o0/edit?usp=sharing"",""งบพรบ!T59"")"),74243)</f>
        <v>74243</v>
      </c>
      <c r="O46" s="93">
        <f t="shared" ca="1" si="26"/>
        <v>23.63297787681044</v>
      </c>
      <c r="P46" s="93">
        <f t="shared" ca="1" si="27"/>
        <v>44.765149231233039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16" t="s">
        <v>12</v>
      </c>
      <c r="I47" s="269"/>
      <c r="J47" s="269"/>
      <c r="K47" s="496"/>
      <c r="L47" s="496">
        <f t="shared" ref="L47:N47" ca="1" si="30">L48+L49</f>
        <v>0</v>
      </c>
      <c r="M47" s="496">
        <f t="shared" ca="1" si="30"/>
        <v>0</v>
      </c>
      <c r="N47" s="496">
        <f t="shared" ca="1" si="30"/>
        <v>0</v>
      </c>
      <c r="O47" s="496">
        <f t="shared" ca="1" si="26"/>
        <v>0</v>
      </c>
      <c r="P47" s="496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2" t="s">
        <v>18</v>
      </c>
      <c r="F48" s="40"/>
      <c r="G48" s="42"/>
      <c r="H48" s="43" t="s">
        <v>12</v>
      </c>
      <c r="I48" s="610"/>
      <c r="J48" s="610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IFERROR(__xludf.DUMMYFUNCTION("IMPORTRANGE(""https://docs.google.com/spreadsheets/d/1MeEWN-I1oV_STSDYn1IFDPWt_1FKiwhDph83XaGc0o0/edit?usp=sharing"",""งบพรบ!P59"")"),0)</f>
        <v>0</v>
      </c>
      <c r="M49" s="52">
        <f ca="1">IFERROR(__xludf.DUMMYFUNCTION("IMPORTRANGE(""https://docs.google.com/spreadsheets/d/1MeEWN-I1oV_STSDYn1IFDPWt_1FKiwhDph83XaGc0o0/edit?usp=sharing"",""งบพรบ!S59"")"),0)</f>
        <v>0</v>
      </c>
      <c r="N49" s="52">
        <f ca="1">IFERROR(__xludf.DUMMYFUNCTION("IMPORTRANGE(""https://docs.google.com/spreadsheets/d/1MeEWN-I1oV_STSDYn1IFDPWt_1FKiwhDph83XaGc0o0/edit?usp=sharing"",""งบพรบ!U59"")"),0)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59" t="s">
        <v>28</v>
      </c>
      <c r="B50" s="849"/>
      <c r="C50" s="849"/>
      <c r="D50" s="849"/>
      <c r="E50" s="849"/>
      <c r="F50" s="849"/>
      <c r="G50" s="847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60" t="s">
        <v>29</v>
      </c>
      <c r="C51" s="857"/>
      <c r="D51" s="857"/>
      <c r="E51" s="857"/>
      <c r="F51" s="857"/>
      <c r="G51" s="858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21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647000</v>
      </c>
      <c r="M53" s="116">
        <f t="shared" ca="1" si="31"/>
        <v>323500</v>
      </c>
      <c r="N53" s="116">
        <f t="shared" ca="1" si="31"/>
        <v>204686.1</v>
      </c>
      <c r="O53" s="116">
        <f t="shared" ref="O53:O61" ca="1" si="32">IF(L53&gt;0,N53*100/L53,0)</f>
        <v>31.636182380216383</v>
      </c>
      <c r="P53" s="116">
        <f t="shared" ref="P53:P61" ca="1" si="33">IF(M53&gt;0,N53*100/M53,0)</f>
        <v>63.272364760432765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647000</v>
      </c>
      <c r="M55" s="123">
        <f t="shared" ca="1" si="34"/>
        <v>323500</v>
      </c>
      <c r="N55" s="123">
        <f t="shared" ca="1" si="34"/>
        <v>204686.1</v>
      </c>
      <c r="O55" s="123">
        <f t="shared" ca="1" si="32"/>
        <v>31.636182380216383</v>
      </c>
      <c r="P55" s="123">
        <f t="shared" ca="1" si="33"/>
        <v>63.272364760432765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16" t="s">
        <v>12</v>
      </c>
      <c r="I56" s="269"/>
      <c r="J56" s="269"/>
      <c r="K56" s="496"/>
      <c r="L56" s="496">
        <f t="shared" ref="L56:N56" ca="1" si="35">L57+L58</f>
        <v>647000</v>
      </c>
      <c r="M56" s="496">
        <f t="shared" ca="1" si="35"/>
        <v>323500</v>
      </c>
      <c r="N56" s="496">
        <f t="shared" ca="1" si="35"/>
        <v>204686.1</v>
      </c>
      <c r="O56" s="496">
        <f t="shared" ca="1" si="32"/>
        <v>31.636182380216383</v>
      </c>
      <c r="P56" s="496">
        <f t="shared" ca="1" si="33"/>
        <v>63.272364760432765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2" t="s">
        <v>18</v>
      </c>
      <c r="F57" s="40"/>
      <c r="G57" s="42"/>
      <c r="H57" s="43" t="s">
        <v>12</v>
      </c>
      <c r="I57" s="610"/>
      <c r="J57" s="610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2" t="s">
        <v>19</v>
      </c>
      <c r="F58" s="40"/>
      <c r="G58" s="42"/>
      <c r="H58" s="43" t="s">
        <v>12</v>
      </c>
      <c r="I58" s="610"/>
      <c r="J58" s="610"/>
      <c r="K58" s="93"/>
      <c r="L58" s="93">
        <f ca="1">IFERROR(__xludf.DUMMYFUNCTION("IMPORTRANGE(""https://docs.google.com/spreadsheets/d/1MeEWN-I1oV_STSDYn1IFDPWt_1FKiwhDph83XaGc0o0/edit?usp=sharing"",""งบพรบ!W59"")"),647000)</f>
        <v>647000</v>
      </c>
      <c r="M58" s="93">
        <f ca="1">IFERROR(__xludf.DUMMYFUNCTION("IMPORTRANGE(""https://docs.google.com/spreadsheets/d/1MeEWN-I1oV_STSDYn1IFDPWt_1FKiwhDph83XaGc0o0/edit?usp=sharing"",""งบพรบ!AB59"")"),323500)</f>
        <v>323500</v>
      </c>
      <c r="N58" s="93">
        <f ca="1">IFERROR(__xludf.DUMMYFUNCTION("IMPORTRANGE(""https://docs.google.com/spreadsheets/d/1MeEWN-I1oV_STSDYn1IFDPWt_1FKiwhDph83XaGc0o0/edit?usp=sharing"",""งบพรบ!AD59"")"),204686.1)</f>
        <v>204686.1</v>
      </c>
      <c r="O58" s="93">
        <f t="shared" ca="1" si="32"/>
        <v>31.636182380216383</v>
      </c>
      <c r="P58" s="93">
        <f t="shared" ca="1" si="33"/>
        <v>63.272364760432765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16" t="s">
        <v>12</v>
      </c>
      <c r="I59" s="269"/>
      <c r="J59" s="269"/>
      <c r="K59" s="496"/>
      <c r="L59" s="496">
        <f t="shared" ref="L59:N59" ca="1" si="36">L60+L61</f>
        <v>0</v>
      </c>
      <c r="M59" s="496">
        <f t="shared" ca="1" si="36"/>
        <v>0</v>
      </c>
      <c r="N59" s="496">
        <f t="shared" ca="1" si="36"/>
        <v>0</v>
      </c>
      <c r="O59" s="496">
        <f t="shared" ca="1" si="32"/>
        <v>0</v>
      </c>
      <c r="P59" s="496">
        <f t="shared" ca="1" si="33"/>
        <v>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2" t="s">
        <v>18</v>
      </c>
      <c r="F60" s="40"/>
      <c r="G60" s="42"/>
      <c r="H60" s="43" t="s">
        <v>12</v>
      </c>
      <c r="I60" s="610"/>
      <c r="J60" s="610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IFERROR(__xludf.DUMMYFUNCTION("IMPORTRANGE(""https://docs.google.com/spreadsheets/d/1MeEWN-I1oV_STSDYn1IFDPWt_1FKiwhDph83XaGc0o0/edit?usp=sharing"",""งบพรบ!Z59"")"),0)</f>
        <v>0</v>
      </c>
      <c r="M61" s="52">
        <f ca="1">IFERROR(__xludf.DUMMYFUNCTION("IMPORTRANGE(""https://docs.google.com/spreadsheets/d/1MeEWN-I1oV_STSDYn1IFDPWt_1FKiwhDph83XaGc0o0/edit?usp=sharing"",""งบพรบ!AC59"")"),0)</f>
        <v>0</v>
      </c>
      <c r="N61" s="52">
        <f ca="1">IFERROR(__xludf.DUMMYFUNCTION("IMPORTRANGE(""https://docs.google.com/spreadsheets/d/1MeEWN-I1oV_STSDYn1IFDPWt_1FKiwhDph83XaGc0o0/edit?usp=sharing"",""งบพรบ!AE59"")"),0)</f>
        <v>0</v>
      </c>
      <c r="O61" s="52">
        <f t="shared" ca="1" si="32"/>
        <v>0</v>
      </c>
      <c r="P61" s="52">
        <f t="shared" ca="1" si="33"/>
        <v>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 hidden="1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 hidden="1">
      <c r="A64" s="138"/>
      <c r="B64" s="208" t="s">
        <v>33</v>
      </c>
      <c r="C64" s="140"/>
      <c r="D64" s="141"/>
      <c r="E64" s="140"/>
      <c r="F64" s="140"/>
      <c r="G64" s="142"/>
      <c r="H64" s="143" t="s">
        <v>34</v>
      </c>
      <c r="I64" s="144">
        <f t="shared" ref="I64:J65" ca="1" si="37">I76</f>
        <v>0</v>
      </c>
      <c r="J64" s="144">
        <f t="shared" si="37"/>
        <v>0</v>
      </c>
      <c r="K64" s="145">
        <f t="shared" ref="K64:K65" ca="1" si="38">IF(I64&gt;0,J64*100/I64,0)</f>
        <v>0</v>
      </c>
      <c r="L64" s="146"/>
      <c r="M64" s="146"/>
      <c r="N64" s="146"/>
      <c r="O64" s="146"/>
      <c r="P64" s="146"/>
    </row>
    <row r="65" spans="1:26" ht="19.5" hidden="1">
      <c r="A65" s="138"/>
      <c r="B65" s="140"/>
      <c r="C65" s="140"/>
      <c r="D65" s="141"/>
      <c r="E65" s="140"/>
      <c r="F65" s="140"/>
      <c r="G65" s="142"/>
      <c r="H65" s="143" t="s">
        <v>35</v>
      </c>
      <c r="I65" s="144">
        <f t="shared" ca="1" si="37"/>
        <v>0</v>
      </c>
      <c r="J65" s="144">
        <f t="shared" si="37"/>
        <v>0</v>
      </c>
      <c r="K65" s="145">
        <f t="shared" ca="1" si="38"/>
        <v>0</v>
      </c>
      <c r="L65" s="146"/>
      <c r="M65" s="146"/>
      <c r="N65" s="146"/>
      <c r="O65" s="146"/>
      <c r="P65" s="146"/>
    </row>
    <row r="66" spans="1:26" ht="19.5" hidden="1">
      <c r="A66" s="147"/>
      <c r="B66" s="148"/>
      <c r="C66" s="149" t="s">
        <v>16</v>
      </c>
      <c r="D66" s="822" t="s">
        <v>17</v>
      </c>
      <c r="E66" s="148"/>
      <c r="F66" s="148"/>
      <c r="G66" s="151"/>
      <c r="H66" s="152" t="s">
        <v>12</v>
      </c>
      <c r="I66" s="419"/>
      <c r="J66" s="419"/>
      <c r="K66" s="154"/>
      <c r="L66" s="155">
        <f t="shared" ref="L66:N66" ca="1" si="39">L67+L68</f>
        <v>0</v>
      </c>
      <c r="M66" s="155">
        <f t="shared" ca="1" si="39"/>
        <v>0</v>
      </c>
      <c r="N66" s="155">
        <f t="shared" ca="1" si="39"/>
        <v>0</v>
      </c>
      <c r="O66" s="155">
        <f t="shared" ref="O66:O74" ca="1" si="40">IF(L66&gt;0,N66*100/L66,0)</f>
        <v>0</v>
      </c>
      <c r="P66" s="155">
        <f t="shared" ref="P66:P74" ca="1" si="41">IF(M66&gt;0,N66*100/M66,0)</f>
        <v>0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2" t="s">
        <v>18</v>
      </c>
      <c r="F67" s="40"/>
      <c r="G67" s="157"/>
      <c r="H67" s="158" t="s">
        <v>12</v>
      </c>
      <c r="I67" s="610"/>
      <c r="J67" s="610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2" t="s">
        <v>19</v>
      </c>
      <c r="F68" s="40"/>
      <c r="G68" s="157"/>
      <c r="H68" s="158" t="s">
        <v>12</v>
      </c>
      <c r="I68" s="610"/>
      <c r="J68" s="610"/>
      <c r="K68" s="93"/>
      <c r="L68" s="93">
        <f t="shared" ca="1" si="42"/>
        <v>0</v>
      </c>
      <c r="M68" s="93">
        <f t="shared" ca="1" si="42"/>
        <v>0</v>
      </c>
      <c r="N68" s="93">
        <f t="shared" ca="1" si="42"/>
        <v>0</v>
      </c>
      <c r="O68" s="93">
        <f t="shared" ca="1" si="40"/>
        <v>0</v>
      </c>
      <c r="P68" s="93">
        <f t="shared" ca="1" si="41"/>
        <v>0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 hidden="1">
      <c r="A69" s="159"/>
      <c r="B69" s="33"/>
      <c r="C69" s="281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6">
        <f t="shared" ref="L69:N69" ca="1" si="43">L70+L71</f>
        <v>0</v>
      </c>
      <c r="M69" s="496">
        <f t="shared" ca="1" si="43"/>
        <v>0</v>
      </c>
      <c r="N69" s="496">
        <f t="shared" ca="1" si="43"/>
        <v>0</v>
      </c>
      <c r="O69" s="496">
        <f t="shared" ca="1" si="40"/>
        <v>0</v>
      </c>
      <c r="P69" s="496">
        <f t="shared" ca="1" si="41"/>
        <v>0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2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2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IFERROR(__xludf.DUMMYFUNCTION("IMPORTRANGE(""https://docs.google.com/spreadsheets/d/1MeEWN-I1oV_STSDYn1IFDPWt_1FKiwhDph83XaGc0o0/edit?usp=sharing"",""งบพรบ!AG59"")"),0)</f>
        <v>0</v>
      </c>
      <c r="M71" s="93">
        <f ca="1">IFERROR(__xludf.DUMMYFUNCTION("IMPORTRANGE(""https://docs.google.com/spreadsheets/d/1MeEWN-I1oV_STSDYn1IFDPWt_1FKiwhDph83XaGc0o0/edit?usp=sharing"",""งบพรบ!AL59"")"),0)</f>
        <v>0</v>
      </c>
      <c r="N71" s="93">
        <f ca="1">IFERROR(__xludf.DUMMYFUNCTION("IMPORTRANGE(""https://docs.google.com/spreadsheets/d/1MeEWN-I1oV_STSDYn1IFDPWt_1FKiwhDph83XaGc0o0/edit?usp=sharing"",""งบพรบ!AN59"")"),0)</f>
        <v>0</v>
      </c>
      <c r="O71" s="93">
        <f t="shared" ca="1" si="40"/>
        <v>0</v>
      </c>
      <c r="P71" s="93">
        <f t="shared" ca="1" si="41"/>
        <v>0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 hidden="1">
      <c r="A72" s="159"/>
      <c r="B72" s="33"/>
      <c r="C72" s="281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6">
        <f t="shared" ref="L72:N72" ca="1" si="44">L73+L74</f>
        <v>0</v>
      </c>
      <c r="M72" s="496">
        <f t="shared" ca="1" si="44"/>
        <v>0</v>
      </c>
      <c r="N72" s="496">
        <f t="shared" ca="1" si="44"/>
        <v>0</v>
      </c>
      <c r="O72" s="496">
        <f t="shared" ca="1" si="40"/>
        <v>0</v>
      </c>
      <c r="P72" s="496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2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2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IFERROR(__xludf.DUMMYFUNCTION("IMPORTRANGE(""https://docs.google.com/spreadsheets/d/1MeEWN-I1oV_STSDYn1IFDPWt_1FKiwhDph83XaGc0o0/edit?usp=sharing"",""งบพรบ!AJ59"")"),0)</f>
        <v>0</v>
      </c>
      <c r="M74" s="93">
        <f ca="1">IFERROR(__xludf.DUMMYFUNCTION("IMPORTRANGE(""https://docs.google.com/spreadsheets/d/1MeEWN-I1oV_STSDYn1IFDPWt_1FKiwhDph83XaGc0o0/edit?usp=sharing"",""งบพรบ!AM59"")"),0)</f>
        <v>0</v>
      </c>
      <c r="N74" s="93">
        <f ca="1">IFERROR(__xludf.DUMMYFUNCTION("IMPORTRANGE(""https://docs.google.com/spreadsheets/d/1MeEWN-I1oV_STSDYn1IFDPWt_1FKiwhDph83XaGc0o0/edit?usp=sharing"",""งบพรบ!AO59"")"),0)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 hidden="1">
      <c r="A75" s="170"/>
      <c r="B75" s="171"/>
      <c r="C75" s="164" t="s">
        <v>16</v>
      </c>
      <c r="D75" s="823" t="s">
        <v>38</v>
      </c>
      <c r="E75" s="173"/>
      <c r="F75" s="173"/>
      <c r="G75" s="174"/>
      <c r="H75" s="753"/>
      <c r="I75" s="184"/>
      <c r="J75" s="184"/>
      <c r="K75" s="163"/>
      <c r="L75" s="163"/>
      <c r="M75" s="163"/>
      <c r="N75" s="163"/>
      <c r="O75" s="163"/>
      <c r="P75" s="163"/>
    </row>
    <row r="76" spans="1:26" ht="19.5" hidden="1">
      <c r="A76" s="170"/>
      <c r="B76" s="171"/>
      <c r="C76" s="171"/>
      <c r="D76" s="176" t="s">
        <v>39</v>
      </c>
      <c r="E76" s="446"/>
      <c r="F76" s="178"/>
      <c r="G76" s="179"/>
      <c r="H76" s="180" t="s">
        <v>34</v>
      </c>
      <c r="I76" s="269">
        <f t="shared" ref="I76:J77" ca="1" si="45">I78+I80+I82</f>
        <v>0</v>
      </c>
      <c r="J76" s="269">
        <f t="shared" si="45"/>
        <v>0</v>
      </c>
      <c r="K76" s="163">
        <f t="shared" ref="K76:K84" ca="1" si="46">IF(I76&gt;0,J76*100/I76,0)</f>
        <v>0</v>
      </c>
      <c r="L76" s="163"/>
      <c r="M76" s="163"/>
      <c r="N76" s="163"/>
      <c r="O76" s="163"/>
      <c r="P76" s="163"/>
    </row>
    <row r="77" spans="1:26" ht="19.5" hidden="1">
      <c r="A77" s="170"/>
      <c r="B77" s="171"/>
      <c r="C77" s="171"/>
      <c r="D77" s="171"/>
      <c r="E77" s="178"/>
      <c r="F77" s="178"/>
      <c r="G77" s="179"/>
      <c r="H77" s="180" t="s">
        <v>35</v>
      </c>
      <c r="I77" s="269">
        <f t="shared" ca="1" si="45"/>
        <v>0</v>
      </c>
      <c r="J77" s="269">
        <f t="shared" si="45"/>
        <v>0</v>
      </c>
      <c r="K77" s="163">
        <f t="shared" ca="1" si="46"/>
        <v>0</v>
      </c>
      <c r="L77" s="163"/>
      <c r="M77" s="163"/>
      <c r="N77" s="163"/>
      <c r="O77" s="163"/>
      <c r="P77" s="163"/>
    </row>
    <row r="78" spans="1:26" ht="18.75" hidden="1">
      <c r="A78" s="170"/>
      <c r="B78" s="171"/>
      <c r="C78" s="171"/>
      <c r="D78" s="171"/>
      <c r="E78" s="446" t="s">
        <v>40</v>
      </c>
      <c r="F78" s="446"/>
      <c r="G78" s="179"/>
      <c r="H78" s="755" t="s">
        <v>34</v>
      </c>
      <c r="I78" s="184">
        <f ca="1">IFERROR(__xludf.DUMMYFUNCTION("IMPORTRANGE(""https://docs.google.com/spreadsheets/d/1QqKyyYR6Q21VydFLVH3TRQUabQu_ym0Zz7PgGX0-kHA/edit?usp=sharing"",""แผน!H59"")"),0)</f>
        <v>0</v>
      </c>
      <c r="J78" s="214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 hidden="1">
      <c r="A79" s="170"/>
      <c r="B79" s="171"/>
      <c r="C79" s="171"/>
      <c r="D79" s="171"/>
      <c r="E79" s="178"/>
      <c r="F79" s="178"/>
      <c r="G79" s="179"/>
      <c r="H79" s="755" t="s">
        <v>35</v>
      </c>
      <c r="I79" s="184">
        <f ca="1">IFERROR(__xludf.DUMMYFUNCTION("IMPORTRANGE(""https://docs.google.com/spreadsheets/d/1QqKyyYR6Q21VydFLVH3TRQUabQu_ym0Zz7PgGX0-kHA/edit?usp=sharing"",""แผน!I59"")"),0)</f>
        <v>0</v>
      </c>
      <c r="J79" s="214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 hidden="1">
      <c r="A80" s="170"/>
      <c r="B80" s="171"/>
      <c r="C80" s="171"/>
      <c r="D80" s="171"/>
      <c r="E80" s="446" t="s">
        <v>41</v>
      </c>
      <c r="F80" s="446"/>
      <c r="G80" s="179"/>
      <c r="H80" s="755" t="s">
        <v>34</v>
      </c>
      <c r="I80" s="184">
        <f ca="1">IFERROR(__xludf.DUMMYFUNCTION("IMPORTRANGE(""https://docs.google.com/spreadsheets/d/1QqKyyYR6Q21VydFLVH3TRQUabQu_ym0Zz7PgGX0-kHA/edit?usp=sharing"",""แผน!F59"")"),0)</f>
        <v>0</v>
      </c>
      <c r="J80" s="214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 hidden="1">
      <c r="A81" s="170"/>
      <c r="B81" s="171"/>
      <c r="C81" s="171"/>
      <c r="D81" s="171"/>
      <c r="E81" s="178"/>
      <c r="F81" s="178"/>
      <c r="G81" s="179"/>
      <c r="H81" s="755" t="s">
        <v>35</v>
      </c>
      <c r="I81" s="184">
        <f ca="1">IFERROR(__xludf.DUMMYFUNCTION("IMPORTRANGE(""https://docs.google.com/spreadsheets/d/1QqKyyYR6Q21VydFLVH3TRQUabQu_ym0Zz7PgGX0-kHA/edit?usp=sharing"",""แผน!G59"")"),0)</f>
        <v>0</v>
      </c>
      <c r="J81" s="214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 hidden="1">
      <c r="A82" s="170"/>
      <c r="B82" s="171"/>
      <c r="C82" s="171"/>
      <c r="D82" s="171"/>
      <c r="E82" s="446" t="s">
        <v>42</v>
      </c>
      <c r="F82" s="446"/>
      <c r="G82" s="179"/>
      <c r="H82" s="755" t="s">
        <v>34</v>
      </c>
      <c r="I82" s="184">
        <f ca="1">IFERROR(__xludf.DUMMYFUNCTION("IMPORTRANGE(""https://docs.google.com/spreadsheets/d/1QqKyyYR6Q21VydFLVH3TRQUabQu_ym0Zz7PgGX0-kHA/edit?usp=sharing"",""แผน!D59"")"),0)</f>
        <v>0</v>
      </c>
      <c r="J82" s="214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 hidden="1">
      <c r="A83" s="170"/>
      <c r="B83" s="171"/>
      <c r="C83" s="171"/>
      <c r="D83" s="171"/>
      <c r="E83" s="178"/>
      <c r="F83" s="178"/>
      <c r="G83" s="179"/>
      <c r="H83" s="755" t="s">
        <v>35</v>
      </c>
      <c r="I83" s="184">
        <f ca="1">IFERROR(__xludf.DUMMYFUNCTION("IMPORTRANGE(""https://docs.google.com/spreadsheets/d/1QqKyyYR6Q21VydFLVH3TRQUabQu_ym0Zz7PgGX0-kHA/edit?usp=sharing"",""แผน!E59"")"),0)</f>
        <v>0</v>
      </c>
      <c r="J83" s="214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 hidden="1">
      <c r="A84" s="170"/>
      <c r="B84" s="171"/>
      <c r="C84" s="171"/>
      <c r="D84" s="176" t="s">
        <v>43</v>
      </c>
      <c r="E84" s="446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IFERROR(__xludf.DUMMYFUNCTION("IMPORTRANGE(""https://docs.google.com/spreadsheets/d/1QqKyyYR6Q21VydFLVH3TRQUabQu_ym0Zz7PgGX0-kHA/edit?usp=sharing"",""แผน!J59"")"),0)</f>
        <v>0</v>
      </c>
      <c r="J84" s="214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8" t="s">
        <v>45</v>
      </c>
      <c r="C86" s="140"/>
      <c r="D86" s="141"/>
      <c r="E86" s="140"/>
      <c r="F86" s="140"/>
      <c r="G86" s="142"/>
      <c r="H86" s="143" t="s">
        <v>46</v>
      </c>
      <c r="I86" s="144">
        <f t="shared" ref="I86:J87" ca="1" si="47">I98</f>
        <v>30</v>
      </c>
      <c r="J86" s="144">
        <f t="shared" si="47"/>
        <v>0</v>
      </c>
      <c r="K86" s="145">
        <f t="shared" ref="K86:K87" ca="1" si="48">IF(I86&gt;0,J86*100/I86,0)</f>
        <v>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143" t="s">
        <v>35</v>
      </c>
      <c r="I87" s="144">
        <f t="shared" ca="1" si="47"/>
        <v>10</v>
      </c>
      <c r="J87" s="144">
        <f t="shared" si="47"/>
        <v>0</v>
      </c>
      <c r="K87" s="145">
        <f t="shared" ca="1" si="48"/>
        <v>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22" t="s">
        <v>17</v>
      </c>
      <c r="E88" s="148"/>
      <c r="F88" s="148"/>
      <c r="G88" s="151"/>
      <c r="H88" s="152" t="s">
        <v>12</v>
      </c>
      <c r="I88" s="419"/>
      <c r="J88" s="419"/>
      <c r="K88" s="154"/>
      <c r="L88" s="155">
        <f t="shared" ref="L88:N88" ca="1" si="49">L89+L90</f>
        <v>115940</v>
      </c>
      <c r="M88" s="155">
        <f t="shared" ca="1" si="49"/>
        <v>59690</v>
      </c>
      <c r="N88" s="155">
        <f t="shared" ca="1" si="49"/>
        <v>0</v>
      </c>
      <c r="O88" s="155">
        <f t="shared" ref="O88:O96" ca="1" si="50">IF(L88&gt;0,N88*100/L88,0)</f>
        <v>0</v>
      </c>
      <c r="P88" s="155">
        <f t="shared" ref="P88:P96" ca="1" si="51">IF(M88&gt;0,N88*100/M88,0)</f>
        <v>0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2" t="s">
        <v>18</v>
      </c>
      <c r="F89" s="40"/>
      <c r="G89" s="157"/>
      <c r="H89" s="158" t="s">
        <v>12</v>
      </c>
      <c r="I89" s="610"/>
      <c r="J89" s="610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2" t="s">
        <v>19</v>
      </c>
      <c r="F90" s="40"/>
      <c r="G90" s="157"/>
      <c r="H90" s="158" t="s">
        <v>12</v>
      </c>
      <c r="I90" s="610"/>
      <c r="J90" s="610"/>
      <c r="K90" s="93"/>
      <c r="L90" s="93">
        <f t="shared" ca="1" si="52"/>
        <v>115940</v>
      </c>
      <c r="M90" s="93">
        <f t="shared" ca="1" si="52"/>
        <v>59690</v>
      </c>
      <c r="N90" s="93">
        <f t="shared" ca="1" si="52"/>
        <v>0</v>
      </c>
      <c r="O90" s="93">
        <f t="shared" ca="1" si="50"/>
        <v>0</v>
      </c>
      <c r="P90" s="93">
        <f t="shared" ca="1" si="51"/>
        <v>0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1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6">
        <f t="shared" ref="L91:N91" ca="1" si="53">L92+L93</f>
        <v>115940</v>
      </c>
      <c r="M91" s="496">
        <f t="shared" ca="1" si="53"/>
        <v>59690</v>
      </c>
      <c r="N91" s="496">
        <f t="shared" ca="1" si="53"/>
        <v>0</v>
      </c>
      <c r="O91" s="496">
        <f t="shared" ca="1" si="50"/>
        <v>0</v>
      </c>
      <c r="P91" s="496">
        <f t="shared" ca="1" si="51"/>
        <v>0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2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2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IFERROR(__xludf.DUMMYFUNCTION("IMPORTRANGE(""https://docs.google.com/spreadsheets/d/1MeEWN-I1oV_STSDYn1IFDPWt_1FKiwhDph83XaGc0o0/edit?usp=sharing"",""งบพรบ!AQ59"")"),115940)</f>
        <v>115940</v>
      </c>
      <c r="M93" s="93">
        <f ca="1">IFERROR(__xludf.DUMMYFUNCTION("IMPORTRANGE(""https://docs.google.com/spreadsheets/d/1MeEWN-I1oV_STSDYn1IFDPWt_1FKiwhDph83XaGc0o0/edit?usp=sharing"",""งบพรบ!AV59"")"),59690)</f>
        <v>59690</v>
      </c>
      <c r="N93" s="93">
        <f ca="1">IFERROR(__xludf.DUMMYFUNCTION("IMPORTRANGE(""https://docs.google.com/spreadsheets/d/1MeEWN-I1oV_STSDYn1IFDPWt_1FKiwhDph83XaGc0o0/edit?usp=sharing"",""งบพรบ!AX59"")"),0)</f>
        <v>0</v>
      </c>
      <c r="O93" s="93">
        <f t="shared" ca="1" si="50"/>
        <v>0</v>
      </c>
      <c r="P93" s="93">
        <f t="shared" ca="1" si="51"/>
        <v>0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1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6">
        <f t="shared" ref="L94:N94" ca="1" si="54">L95+L96</f>
        <v>0</v>
      </c>
      <c r="M94" s="496">
        <f t="shared" ca="1" si="54"/>
        <v>0</v>
      </c>
      <c r="N94" s="496">
        <f t="shared" ca="1" si="54"/>
        <v>0</v>
      </c>
      <c r="O94" s="496">
        <f t="shared" ca="1" si="50"/>
        <v>0</v>
      </c>
      <c r="P94" s="496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2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2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IFERROR(__xludf.DUMMYFUNCTION("IMPORTRANGE(""https://docs.google.com/spreadsheets/d/1MeEWN-I1oV_STSDYn1IFDPWt_1FKiwhDph83XaGc0o0/edit?usp=sharing"",""งบพรบ!AT59"")"),0)</f>
        <v>0</v>
      </c>
      <c r="M96" s="93">
        <f ca="1">IFERROR(__xludf.DUMMYFUNCTION("IMPORTRANGE(""https://docs.google.com/spreadsheets/d/1MeEWN-I1oV_STSDYn1IFDPWt_1FKiwhDph83XaGc0o0/edit?usp=sharing"",""งบพรบ!AW59"")"),0)</f>
        <v>0</v>
      </c>
      <c r="N96" s="93">
        <f ca="1">IFERROR(__xludf.DUMMYFUNCTION("IMPORTRANGE(""https://docs.google.com/spreadsheets/d/1MeEWN-I1oV_STSDYn1IFDPWt_1FKiwhDph83XaGc0o0/edit?usp=sharing"",""งบพรบ!AY59"")"),0)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23" t="s">
        <v>38</v>
      </c>
      <c r="E97" s="173"/>
      <c r="F97" s="173"/>
      <c r="G97" s="174"/>
      <c r="H97" s="753"/>
      <c r="I97" s="184"/>
      <c r="J97" s="269"/>
      <c r="K97" s="496"/>
      <c r="L97" s="496"/>
      <c r="M97" s="496"/>
      <c r="N97" s="496"/>
      <c r="O97" s="163"/>
      <c r="P97" s="163"/>
    </row>
    <row r="98" spans="1:16" ht="18.75">
      <c r="A98" s="170"/>
      <c r="B98" s="171"/>
      <c r="C98" s="171"/>
      <c r="D98" s="446" t="s">
        <v>47</v>
      </c>
      <c r="E98" s="446"/>
      <c r="F98" s="178"/>
      <c r="G98" s="179"/>
      <c r="H98" s="616" t="s">
        <v>46</v>
      </c>
      <c r="I98" s="269">
        <f ca="1">IFERROR(__xludf.DUMMYFUNCTION("IMPORTRANGE(""https://docs.google.com/spreadsheets/d/1QqKyyYR6Q21VydFLVH3TRQUabQu_ym0Zz7PgGX0-kHA/edit?usp=sharing"",""แผน!K59"")"),30)</f>
        <v>30</v>
      </c>
      <c r="J98" s="269">
        <f>J102</f>
        <v>0</v>
      </c>
      <c r="K98" s="496">
        <f t="shared" ref="K98:K100" ca="1" si="55">IF(I98&gt;0,J98*100/I98,0)</f>
        <v>0</v>
      </c>
      <c r="L98" s="496"/>
      <c r="M98" s="496"/>
      <c r="N98" s="496"/>
      <c r="O98" s="163"/>
      <c r="P98" s="163"/>
    </row>
    <row r="99" spans="1:16" ht="18.75">
      <c r="A99" s="170"/>
      <c r="B99" s="171"/>
      <c r="C99" s="171"/>
      <c r="D99" s="446" t="s">
        <v>48</v>
      </c>
      <c r="E99" s="446"/>
      <c r="F99" s="178"/>
      <c r="G99" s="179"/>
      <c r="H99" s="616" t="s">
        <v>35</v>
      </c>
      <c r="I99" s="269">
        <f ca="1">IFERROR(__xludf.DUMMYFUNCTION("IMPORTRANGE(""https://docs.google.com/spreadsheets/d/1QqKyyYR6Q21VydFLVH3TRQUabQu_ym0Zz7PgGX0-kHA/edit?usp=sharing"",""แผน!L59"")"),10)</f>
        <v>10</v>
      </c>
      <c r="J99" s="269">
        <f>J104</f>
        <v>0</v>
      </c>
      <c r="K99" s="496">
        <f t="shared" ca="1" si="55"/>
        <v>0</v>
      </c>
      <c r="L99" s="496"/>
      <c r="M99" s="496"/>
      <c r="N99" s="496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16" t="s">
        <v>49</v>
      </c>
      <c r="I100" s="269">
        <f ca="1">IFERROR(__xludf.DUMMYFUNCTION("IMPORTRANGE(""https://docs.google.com/spreadsheets/d/1QqKyyYR6Q21VydFLVH3TRQUabQu_ym0Zz7PgGX0-kHA/edit?usp=sharing"",""แผน!M59"")"),3)</f>
        <v>3</v>
      </c>
      <c r="J100" s="269">
        <f>J107+J110</f>
        <v>0</v>
      </c>
      <c r="K100" s="496">
        <f t="shared" ca="1" si="55"/>
        <v>0</v>
      </c>
      <c r="L100" s="496"/>
      <c r="M100" s="496"/>
      <c r="N100" s="496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16"/>
      <c r="I101" s="269"/>
      <c r="J101" s="269"/>
      <c r="K101" s="496"/>
      <c r="L101" s="496"/>
      <c r="M101" s="496"/>
      <c r="N101" s="496"/>
      <c r="O101" s="163"/>
      <c r="P101" s="163"/>
    </row>
    <row r="102" spans="1:16" ht="18.75">
      <c r="A102" s="170"/>
      <c r="B102" s="171"/>
      <c r="C102" s="171"/>
      <c r="D102" s="178"/>
      <c r="E102" s="619" t="s">
        <v>47</v>
      </c>
      <c r="F102" s="178"/>
      <c r="G102" s="179"/>
      <c r="H102" s="616" t="s">
        <v>46</v>
      </c>
      <c r="I102" s="269">
        <f ca="1">IFERROR(__xludf.DUMMYFUNCTION("IMPORTRANGE(""https://docs.google.com/spreadsheets/d/1QqKyyYR6Q21VydFLVH3TRQUabQu_ym0Zz7PgGX0-kHA/edit?usp=sharing"",""แผน!N59"")"),30)</f>
        <v>30</v>
      </c>
      <c r="J102" s="214">
        <v>0</v>
      </c>
      <c r="K102" s="496">
        <f t="shared" ref="K102:K104" ca="1" si="56">IF(I102&gt;0,J102*100/I102,0)</f>
        <v>0</v>
      </c>
      <c r="L102" s="496"/>
      <c r="M102" s="496"/>
      <c r="N102" s="496"/>
      <c r="O102" s="163"/>
      <c r="P102" s="163"/>
    </row>
    <row r="103" spans="1:16" ht="19.5">
      <c r="A103" s="170"/>
      <c r="B103" s="171"/>
      <c r="C103" s="171"/>
      <c r="D103" s="178"/>
      <c r="E103" s="446" t="s">
        <v>51</v>
      </c>
      <c r="F103" s="178"/>
      <c r="G103" s="179"/>
      <c r="H103" s="616" t="s">
        <v>35</v>
      </c>
      <c r="I103" s="269">
        <f ca="1">IFERROR(__xludf.DUMMYFUNCTION("IMPORTRANGE(""https://docs.google.com/spreadsheets/d/1QqKyyYR6Q21VydFLVH3TRQUabQu_ym0Zz7PgGX0-kHA/edit?usp=sharing"",""แผน!O59"")"),10)</f>
        <v>10</v>
      </c>
      <c r="J103" s="214">
        <v>0</v>
      </c>
      <c r="K103" s="496">
        <f t="shared" ca="1" si="56"/>
        <v>0</v>
      </c>
      <c r="L103" s="496"/>
      <c r="M103" s="496"/>
      <c r="N103" s="496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16" t="s">
        <v>35</v>
      </c>
      <c r="I104" s="269">
        <f ca="1">IFERROR(__xludf.DUMMYFUNCTION("IMPORTRANGE(""https://docs.google.com/spreadsheets/d/1QqKyyYR6Q21VydFLVH3TRQUabQu_ym0Zz7PgGX0-kHA/edit?usp=sharing"",""แผน!O59"")"),10)</f>
        <v>10</v>
      </c>
      <c r="J104" s="214">
        <v>0</v>
      </c>
      <c r="K104" s="496">
        <f t="shared" ca="1" si="56"/>
        <v>0</v>
      </c>
      <c r="L104" s="496"/>
      <c r="M104" s="496"/>
      <c r="N104" s="496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69"/>
      <c r="J105" s="269"/>
      <c r="K105" s="496"/>
      <c r="L105" s="496"/>
      <c r="M105" s="496"/>
      <c r="N105" s="496"/>
      <c r="O105" s="163"/>
      <c r="P105" s="163"/>
    </row>
    <row r="106" spans="1:16" ht="19.5">
      <c r="A106" s="170"/>
      <c r="B106" s="171"/>
      <c r="C106" s="171"/>
      <c r="D106" s="178"/>
      <c r="E106" s="446" t="s">
        <v>54</v>
      </c>
      <c r="F106" s="178"/>
      <c r="G106" s="179"/>
      <c r="H106" s="616" t="s">
        <v>49</v>
      </c>
      <c r="I106" s="269">
        <f ca="1">IFERROR(__xludf.DUMMYFUNCTION("IMPORTRANGE(""https://docs.google.com/spreadsheets/d/1QqKyyYR6Q21VydFLVH3TRQUabQu_ym0Zz7PgGX0-kHA/edit?usp=sharing"",""แผน!P59"")"),2)</f>
        <v>2</v>
      </c>
      <c r="J106" s="214">
        <v>0</v>
      </c>
      <c r="K106" s="496">
        <f t="shared" ref="K106:K107" ca="1" si="57">IF(I106&gt;0,J106*100/I106,0)</f>
        <v>0</v>
      </c>
      <c r="L106" s="496"/>
      <c r="M106" s="496"/>
      <c r="N106" s="496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16" t="s">
        <v>49</v>
      </c>
      <c r="I107" s="269">
        <f ca="1">IFERROR(__xludf.DUMMYFUNCTION("IMPORTRANGE(""https://docs.google.com/spreadsheets/d/1QqKyyYR6Q21VydFLVH3TRQUabQu_ym0Zz7PgGX0-kHA/edit?usp=sharing"",""แผน!P59"")"),2)</f>
        <v>2</v>
      </c>
      <c r="J107" s="214">
        <v>0</v>
      </c>
      <c r="K107" s="496">
        <f t="shared" ca="1" si="57"/>
        <v>0</v>
      </c>
      <c r="L107" s="496"/>
      <c r="M107" s="496"/>
      <c r="N107" s="496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69"/>
      <c r="J108" s="269"/>
      <c r="K108" s="496"/>
      <c r="L108" s="496"/>
      <c r="M108" s="496"/>
      <c r="N108" s="496"/>
      <c r="O108" s="163"/>
      <c r="P108" s="163"/>
    </row>
    <row r="109" spans="1:16" ht="19.5">
      <c r="A109" s="170"/>
      <c r="B109" s="171"/>
      <c r="C109" s="171"/>
      <c r="D109" s="178"/>
      <c r="E109" s="446" t="s">
        <v>57</v>
      </c>
      <c r="F109" s="178"/>
      <c r="G109" s="179"/>
      <c r="H109" s="616" t="s">
        <v>49</v>
      </c>
      <c r="I109" s="269">
        <f ca="1">IFERROR(__xludf.DUMMYFUNCTION("IMPORTRANGE(""https://docs.google.com/spreadsheets/d/1QqKyyYR6Q21VydFLVH3TRQUabQu_ym0Zz7PgGX0-kHA/edit?usp=sharing"",""แผน!Q59"")"),1)</f>
        <v>1</v>
      </c>
      <c r="J109" s="214">
        <v>0</v>
      </c>
      <c r="K109" s="496">
        <f t="shared" ref="K109:K116" ca="1" si="58">IF(I109&gt;0,J109*100/I109,0)</f>
        <v>0</v>
      </c>
      <c r="L109" s="496"/>
      <c r="M109" s="496"/>
      <c r="N109" s="496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16" t="s">
        <v>49</v>
      </c>
      <c r="I110" s="269">
        <f ca="1">IFERROR(__xludf.DUMMYFUNCTION("IMPORTRANGE(""https://docs.google.com/spreadsheets/d/1QqKyyYR6Q21VydFLVH3TRQUabQu_ym0Zz7PgGX0-kHA/edit?usp=sharing"",""แผน!Q59"")"),1)</f>
        <v>1</v>
      </c>
      <c r="J110" s="214">
        <v>0</v>
      </c>
      <c r="K110" s="496">
        <f t="shared" ca="1" si="58"/>
        <v>0</v>
      </c>
      <c r="L110" s="496"/>
      <c r="M110" s="496"/>
      <c r="N110" s="496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58" t="s">
        <v>35</v>
      </c>
      <c r="I111" s="193">
        <f ca="1">IFERROR(__xludf.DUMMYFUNCTION("IMPORTRANGE(""https://docs.google.com/spreadsheets/d/1QqKyyYR6Q21VydFLVH3TRQUabQu_ym0Zz7PgGX0-kHA/edit?usp=sharing"",""แผน!R59"")"),10)</f>
        <v>10</v>
      </c>
      <c r="J111" s="674">
        <f>J114</f>
        <v>0</v>
      </c>
      <c r="K111" s="195">
        <f t="shared" ca="1" si="58"/>
        <v>0</v>
      </c>
      <c r="L111" s="496"/>
      <c r="M111" s="496"/>
      <c r="N111" s="496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3</v>
      </c>
      <c r="J112" s="674">
        <f t="shared" si="59"/>
        <v>0</v>
      </c>
      <c r="K112" s="195">
        <f t="shared" ca="1" si="58"/>
        <v>0</v>
      </c>
      <c r="L112" s="496"/>
      <c r="M112" s="496"/>
      <c r="N112" s="496"/>
      <c r="O112" s="163"/>
      <c r="P112" s="163"/>
    </row>
    <row r="113" spans="1:26" ht="19.5">
      <c r="A113" s="170"/>
      <c r="B113" s="171"/>
      <c r="C113" s="171"/>
      <c r="D113" s="171"/>
      <c r="E113" s="525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IFERROR(__xludf.DUMMYFUNCTION("IMPORTRANGE(""https://docs.google.com/spreadsheets/d/1QqKyyYR6Q21VydFLVH3TRQUabQu_ym0Zz7PgGX0-kHA/edit?usp=sharing"",""แผน!R59"")"),10)</f>
        <v>10</v>
      </c>
      <c r="J113" s="214">
        <v>0</v>
      </c>
      <c r="K113" s="496">
        <f t="shared" ca="1" si="58"/>
        <v>0</v>
      </c>
      <c r="L113" s="496"/>
      <c r="M113" s="496"/>
      <c r="N113" s="496"/>
      <c r="O113" s="163"/>
      <c r="P113" s="163"/>
    </row>
    <row r="114" spans="1:26" ht="19.5">
      <c r="A114" s="170"/>
      <c r="B114" s="171"/>
      <c r="C114" s="171"/>
      <c r="D114" s="171"/>
      <c r="E114" s="446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IFERROR(__xludf.DUMMYFUNCTION("IMPORTRANGE(""https://docs.google.com/spreadsheets/d/1QqKyyYR6Q21VydFLVH3TRQUabQu_ym0Zz7PgGX0-kHA/edit?usp=sharing"",""แผน!R59"")"),10)</f>
        <v>10</v>
      </c>
      <c r="J114" s="214">
        <v>0</v>
      </c>
      <c r="K114" s="496">
        <f t="shared" ca="1" si="58"/>
        <v>0</v>
      </c>
      <c r="L114" s="496"/>
      <c r="M114" s="496"/>
      <c r="N114" s="496"/>
      <c r="O114" s="163"/>
      <c r="P114" s="163"/>
    </row>
    <row r="115" spans="1:26" ht="18.75">
      <c r="A115" s="170"/>
      <c r="B115" s="171"/>
      <c r="C115" s="171"/>
      <c r="D115" s="171"/>
      <c r="E115" s="446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IFERROR(__xludf.DUMMYFUNCTION("IMPORTRANGE(""https://docs.google.com/spreadsheets/d/1QqKyyYR6Q21VydFLVH3TRQUabQu_ym0Zz7PgGX0-kHA/edit?usp=sharing"",""แผน!S59"")"),2)</f>
        <v>2</v>
      </c>
      <c r="J115" s="214">
        <v>0</v>
      </c>
      <c r="K115" s="496">
        <f t="shared" ca="1" si="58"/>
        <v>0</v>
      </c>
      <c r="L115" s="496"/>
      <c r="M115" s="496"/>
      <c r="N115" s="496"/>
      <c r="O115" s="163"/>
      <c r="P115" s="163"/>
    </row>
    <row r="116" spans="1:26" ht="18.75">
      <c r="A116" s="170"/>
      <c r="B116" s="171"/>
      <c r="C116" s="171"/>
      <c r="D116" s="171"/>
      <c r="E116" s="446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IFERROR(__xludf.DUMMYFUNCTION("IMPORTRANGE(""https://docs.google.com/spreadsheets/d/1QqKyyYR6Q21VydFLVH3TRQUabQu_ym0Zz7PgGX0-kHA/edit?usp=sharing"",""แผน!T59"")"),1)</f>
        <v>1</v>
      </c>
      <c r="J116" s="214">
        <v>0</v>
      </c>
      <c r="K116" s="496">
        <f t="shared" ca="1" si="58"/>
        <v>0</v>
      </c>
      <c r="L116" s="496"/>
      <c r="M116" s="496"/>
      <c r="N116" s="496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8" t="s">
        <v>65</v>
      </c>
      <c r="C118" s="204"/>
      <c r="D118" s="141"/>
      <c r="E118" s="140"/>
      <c r="F118" s="140"/>
      <c r="G118" s="142"/>
      <c r="H118" s="143"/>
      <c r="I118" s="205"/>
      <c r="J118" s="205"/>
      <c r="K118" s="146"/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22" t="s">
        <v>17</v>
      </c>
      <c r="E119" s="148"/>
      <c r="F119" s="148"/>
      <c r="G119" s="151"/>
      <c r="H119" s="152" t="s">
        <v>12</v>
      </c>
      <c r="I119" s="419"/>
      <c r="J119" s="419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2" t="s">
        <v>18</v>
      </c>
      <c r="F120" s="40"/>
      <c r="G120" s="157"/>
      <c r="H120" s="158" t="s">
        <v>12</v>
      </c>
      <c r="I120" s="610"/>
      <c r="J120" s="610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2" t="s">
        <v>19</v>
      </c>
      <c r="F121" s="40"/>
      <c r="G121" s="157"/>
      <c r="H121" s="158" t="s">
        <v>12</v>
      </c>
      <c r="I121" s="610"/>
      <c r="J121" s="610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1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6">
        <f t="shared" ref="L122:N122" ca="1" si="64">L123+L124</f>
        <v>0</v>
      </c>
      <c r="M122" s="496">
        <f t="shared" ca="1" si="64"/>
        <v>0</v>
      </c>
      <c r="N122" s="496">
        <f t="shared" ca="1" si="64"/>
        <v>0</v>
      </c>
      <c r="O122" s="496">
        <f t="shared" ca="1" si="61"/>
        <v>0</v>
      </c>
      <c r="P122" s="496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2"/>
      <c r="D123" s="40"/>
      <c r="E123" s="222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2"/>
      <c r="D124" s="40"/>
      <c r="E124" s="222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IFERROR(__xludf.DUMMYFUNCTION("IMPORTRANGE(""https://docs.google.com/spreadsheets/d/1MeEWN-I1oV_STSDYn1IFDPWt_1FKiwhDph83XaGc0o0/edit?usp=sharing"",""งบพรบ!BA59"")"),0)</f>
        <v>0</v>
      </c>
      <c r="M124" s="93">
        <f ca="1">IFERROR(__xludf.DUMMYFUNCTION("IMPORTRANGE(""https://docs.google.com/spreadsheets/d/1MeEWN-I1oV_STSDYn1IFDPWt_1FKiwhDph83XaGc0o0/edit?usp=sharing"",""งบพรบ!BF59"")"),0)</f>
        <v>0</v>
      </c>
      <c r="N124" s="93">
        <f ca="1">IFERROR(__xludf.DUMMYFUNCTION("IMPORTRANGE(""https://docs.google.com/spreadsheets/d/1MeEWN-I1oV_STSDYn1IFDPWt_1FKiwhDph83XaGc0o0/edit?usp=sharing"",""งบพรบ!BH59"")"),0)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1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6">
        <f t="shared" ref="L125:N125" ca="1" si="65">L126+L127</f>
        <v>0</v>
      </c>
      <c r="M125" s="496">
        <f t="shared" ca="1" si="65"/>
        <v>0</v>
      </c>
      <c r="N125" s="496">
        <f t="shared" ca="1" si="65"/>
        <v>0</v>
      </c>
      <c r="O125" s="496">
        <f t="shared" ca="1" si="61"/>
        <v>0</v>
      </c>
      <c r="P125" s="496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2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2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IFERROR(__xludf.DUMMYFUNCTION("IMPORTRANGE(""https://docs.google.com/spreadsheets/d/1MeEWN-I1oV_STSDYn1IFDPWt_1FKiwhDph83XaGc0o0/edit?usp=sharing"",""งบพรบ!BD59"")"),0)</f>
        <v>0</v>
      </c>
      <c r="M127" s="93">
        <f ca="1">IFERROR(__xludf.DUMMYFUNCTION("IMPORTRANGE(""https://docs.google.com/spreadsheets/d/1MeEWN-I1oV_STSDYn1IFDPWt_1FKiwhDph83XaGc0o0/edit?usp=sharing"",""งบพรบ!BG59"")"),0)</f>
        <v>0</v>
      </c>
      <c r="N127" s="93">
        <f ca="1">IFERROR(__xludf.DUMMYFUNCTION("IMPORTRANGE(""https://docs.google.com/spreadsheets/d/1MeEWN-I1oV_STSDYn1IFDPWt_1FKiwhDph83XaGc0o0/edit?usp=sharing"",""งบพรบ!BI59"")"),0)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66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8" t="s">
        <v>67</v>
      </c>
      <c r="C129" s="204"/>
      <c r="D129" s="141"/>
      <c r="E129" s="140"/>
      <c r="F129" s="140"/>
      <c r="G129" s="140"/>
      <c r="H129" s="207"/>
      <c r="I129" s="205"/>
      <c r="J129" s="205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8"/>
      <c r="C130" s="209" t="s">
        <v>68</v>
      </c>
      <c r="D130" s="141"/>
      <c r="E130" s="140"/>
      <c r="F130" s="140"/>
      <c r="G130" s="142"/>
      <c r="H130" s="143" t="s">
        <v>69</v>
      </c>
      <c r="I130" s="144">
        <f t="shared" ref="I130:J130" ca="1" si="66">I146</f>
        <v>0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8"/>
      <c r="C131" s="209" t="s">
        <v>70</v>
      </c>
      <c r="D131" s="141"/>
      <c r="E131" s="140"/>
      <c r="F131" s="140"/>
      <c r="G131" s="142"/>
      <c r="H131" s="143" t="s">
        <v>35</v>
      </c>
      <c r="I131" s="144">
        <f t="shared" ref="I131:J131" ca="1" si="68">I143</f>
        <v>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822" t="s">
        <v>17</v>
      </c>
      <c r="E132" s="148"/>
      <c r="F132" s="148"/>
      <c r="G132" s="151"/>
      <c r="H132" s="152" t="s">
        <v>12</v>
      </c>
      <c r="I132" s="419"/>
      <c r="J132" s="419"/>
      <c r="K132" s="154"/>
      <c r="L132" s="155">
        <f t="shared" ref="L132:N132" ca="1" si="69">L133+L134</f>
        <v>0</v>
      </c>
      <c r="M132" s="155">
        <f t="shared" ca="1" si="69"/>
        <v>0</v>
      </c>
      <c r="N132" s="155">
        <f t="shared" ca="1" si="69"/>
        <v>0</v>
      </c>
      <c r="O132" s="155">
        <f t="shared" ref="O132:O140" ca="1" si="70">IF(L132&gt;0,N132*100/L132,0)</f>
        <v>0</v>
      </c>
      <c r="P132" s="155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2" t="s">
        <v>18</v>
      </c>
      <c r="F133" s="40"/>
      <c r="G133" s="157"/>
      <c r="H133" s="158" t="s">
        <v>12</v>
      </c>
      <c r="I133" s="610"/>
      <c r="J133" s="610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2" t="s">
        <v>19</v>
      </c>
      <c r="F134" s="40"/>
      <c r="G134" s="157"/>
      <c r="H134" s="158" t="s">
        <v>12</v>
      </c>
      <c r="I134" s="610"/>
      <c r="J134" s="610"/>
      <c r="K134" s="93"/>
      <c r="L134" s="93">
        <f t="shared" ca="1" si="72"/>
        <v>0</v>
      </c>
      <c r="M134" s="93">
        <f t="shared" ca="1" si="72"/>
        <v>0</v>
      </c>
      <c r="N134" s="93">
        <f t="shared" ca="1" si="72"/>
        <v>0</v>
      </c>
      <c r="O134" s="93">
        <f t="shared" ca="1" si="70"/>
        <v>0</v>
      </c>
      <c r="P134" s="93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1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6">
        <f t="shared" ref="L135:N135" ca="1" si="73">L136+L137</f>
        <v>0</v>
      </c>
      <c r="M135" s="496">
        <f t="shared" ca="1" si="73"/>
        <v>0</v>
      </c>
      <c r="N135" s="496">
        <f t="shared" ca="1" si="73"/>
        <v>0</v>
      </c>
      <c r="O135" s="496">
        <f t="shared" ca="1" si="70"/>
        <v>0</v>
      </c>
      <c r="P135" s="496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2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2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IFERROR(__xludf.DUMMYFUNCTION("IMPORTRANGE(""https://docs.google.com/spreadsheets/d/1MeEWN-I1oV_STSDYn1IFDPWt_1FKiwhDph83XaGc0o0/edit?usp=sharing"",""งบพรบ!BK59"")"),0)</f>
        <v>0</v>
      </c>
      <c r="M137" s="93">
        <f ca="1">IFERROR(__xludf.DUMMYFUNCTION("IMPORTRANGE(""https://docs.google.com/spreadsheets/d/1MeEWN-I1oV_STSDYn1IFDPWt_1FKiwhDph83XaGc0o0/edit?usp=sharing"",""งบพรบ!BP59"")"),0)</f>
        <v>0</v>
      </c>
      <c r="N137" s="93">
        <f ca="1">IFERROR(__xludf.DUMMYFUNCTION("IMPORTRANGE(""https://docs.google.com/spreadsheets/d/1MeEWN-I1oV_STSDYn1IFDPWt_1FKiwhDph83XaGc0o0/edit?usp=sharing"",""งบพรบ!BR59"")"),0)</f>
        <v>0</v>
      </c>
      <c r="O137" s="93">
        <f t="shared" ca="1" si="70"/>
        <v>0</v>
      </c>
      <c r="P137" s="93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1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6">
        <f t="shared" ref="L138:N138" ca="1" si="74">L139+L140</f>
        <v>0</v>
      </c>
      <c r="M138" s="496">
        <f t="shared" ca="1" si="74"/>
        <v>0</v>
      </c>
      <c r="N138" s="496">
        <f t="shared" ca="1" si="74"/>
        <v>0</v>
      </c>
      <c r="O138" s="496">
        <f t="shared" ca="1" si="70"/>
        <v>0</v>
      </c>
      <c r="P138" s="496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2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2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IFERROR(__xludf.DUMMYFUNCTION("IMPORTRANGE(""https://docs.google.com/spreadsheets/d/1MeEWN-I1oV_STSDYn1IFDPWt_1FKiwhDph83XaGc0o0/edit?usp=sharing"",""งบพรบ!BN59"")"),0)</f>
        <v>0</v>
      </c>
      <c r="M140" s="93">
        <f ca="1">IFERROR(__xludf.DUMMYFUNCTION("IMPORTRANGE(""https://docs.google.com/spreadsheets/d/1MeEWN-I1oV_STSDYn1IFDPWt_1FKiwhDph83XaGc0o0/edit?usp=sharing"",""งบพรบ!BQ59"")"),0)</f>
        <v>0</v>
      </c>
      <c r="N140" s="93">
        <f ca="1">IFERROR(__xludf.DUMMYFUNCTION("IMPORTRANGE(""https://docs.google.com/spreadsheets/d/1MeEWN-I1oV_STSDYn1IFDPWt_1FKiwhDph83XaGc0o0/edit?usp=sharing"",""งบพรบ!BS59"")"),0)</f>
        <v>0</v>
      </c>
      <c r="O140" s="93">
        <f t="shared" ca="1" si="70"/>
        <v>0</v>
      </c>
      <c r="P140" s="93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823" t="s">
        <v>38</v>
      </c>
      <c r="E141" s="173"/>
      <c r="F141" s="173"/>
      <c r="G141" s="174"/>
      <c r="H141" s="168"/>
      <c r="I141" s="269"/>
      <c r="J141" s="269"/>
      <c r="K141" s="496"/>
      <c r="L141" s="496"/>
      <c r="M141" s="496"/>
      <c r="N141" s="496"/>
      <c r="O141" s="496"/>
      <c r="P141" s="496"/>
    </row>
    <row r="142" spans="1:26" ht="19.5" hidden="1">
      <c r="A142" s="159"/>
      <c r="B142" s="33"/>
      <c r="C142" s="210"/>
      <c r="D142" s="281" t="s">
        <v>71</v>
      </c>
      <c r="E142" s="34"/>
      <c r="F142" s="33"/>
      <c r="G142" s="213"/>
      <c r="H142" s="168"/>
      <c r="I142" s="269"/>
      <c r="J142" s="214">
        <v>0</v>
      </c>
      <c r="K142" s="496"/>
      <c r="L142" s="496"/>
      <c r="M142" s="496"/>
      <c r="N142" s="496"/>
      <c r="O142" s="496"/>
      <c r="P142" s="496"/>
    </row>
    <row r="143" spans="1:26" ht="19.5" hidden="1">
      <c r="A143" s="159"/>
      <c r="B143" s="33"/>
      <c r="C143" s="210"/>
      <c r="D143" s="281" t="s">
        <v>72</v>
      </c>
      <c r="E143" s="34"/>
      <c r="F143" s="33"/>
      <c r="G143" s="213"/>
      <c r="H143" s="168" t="s">
        <v>35</v>
      </c>
      <c r="I143" s="269">
        <f ca="1">I145</f>
        <v>0</v>
      </c>
      <c r="J143" s="269">
        <f ca="1">IF(AND(J144&gt;=I144,J145&gt;=I145),J145,0)</f>
        <v>0</v>
      </c>
      <c r="K143" s="496">
        <f t="shared" ref="K143:K146" ca="1" si="75">IF(I143&gt;0,J143*100/I143,0)</f>
        <v>0</v>
      </c>
      <c r="L143" s="496"/>
      <c r="M143" s="496"/>
      <c r="N143" s="496"/>
      <c r="O143" s="496"/>
      <c r="P143" s="496"/>
    </row>
    <row r="144" spans="1:26" ht="19.5" hidden="1">
      <c r="A144" s="159"/>
      <c r="B144" s="33"/>
      <c r="C144" s="210"/>
      <c r="D144" s="178"/>
      <c r="E144" s="281" t="s">
        <v>73</v>
      </c>
      <c r="F144" s="33"/>
      <c r="G144" s="213"/>
      <c r="H144" s="168" t="s">
        <v>35</v>
      </c>
      <c r="I144" s="269">
        <f ca="1">IFERROR(__xludf.DUMMYFUNCTION("IMPORTRANGE(""https://docs.google.com/spreadsheets/d/1QqKyyYR6Q21VydFLVH3TRQUabQu_ym0Zz7PgGX0-kHA/edit?usp=sharing"",""แผน!U59"")"),0)</f>
        <v>0</v>
      </c>
      <c r="J144" s="214">
        <v>0</v>
      </c>
      <c r="K144" s="496">
        <f t="shared" ca="1" si="75"/>
        <v>0</v>
      </c>
      <c r="L144" s="496"/>
      <c r="M144" s="496"/>
      <c r="N144" s="496"/>
      <c r="O144" s="496"/>
      <c r="P144" s="496"/>
    </row>
    <row r="145" spans="1:26" ht="19.5" hidden="1">
      <c r="A145" s="159"/>
      <c r="B145" s="33"/>
      <c r="C145" s="210"/>
      <c r="D145" s="178"/>
      <c r="E145" s="281" t="s">
        <v>74</v>
      </c>
      <c r="F145" s="33"/>
      <c r="G145" s="213"/>
      <c r="H145" s="168" t="s">
        <v>35</v>
      </c>
      <c r="I145" s="269">
        <f ca="1">IFERROR(__xludf.DUMMYFUNCTION("IMPORTRANGE(""https://docs.google.com/spreadsheets/d/1QqKyyYR6Q21VydFLVH3TRQUabQu_ym0Zz7PgGX0-kHA/edit?usp=sharing"",""แผน!V59"")"),0)</f>
        <v>0</v>
      </c>
      <c r="J145" s="214">
        <v>0</v>
      </c>
      <c r="K145" s="496">
        <f t="shared" ca="1" si="75"/>
        <v>0</v>
      </c>
      <c r="L145" s="496"/>
      <c r="M145" s="496"/>
      <c r="N145" s="496"/>
      <c r="O145" s="496"/>
      <c r="P145" s="496"/>
    </row>
    <row r="146" spans="1:26" ht="19.5" hidden="1">
      <c r="A146" s="159"/>
      <c r="B146" s="33"/>
      <c r="C146" s="210"/>
      <c r="D146" s="281" t="s">
        <v>75</v>
      </c>
      <c r="E146" s="34"/>
      <c r="F146" s="33"/>
      <c r="G146" s="213"/>
      <c r="H146" s="168" t="s">
        <v>69</v>
      </c>
      <c r="I146" s="269">
        <f ca="1">IFERROR(__xludf.DUMMYFUNCTION("IMPORTRANGE(""https://docs.google.com/spreadsheets/d/1QqKyyYR6Q21VydFLVH3TRQUabQu_ym0Zz7PgGX0-kHA/edit?usp=sharing"",""แผน!W59"")"),0)</f>
        <v>0</v>
      </c>
      <c r="J146" s="214">
        <v>0</v>
      </c>
      <c r="K146" s="496">
        <f t="shared" ca="1" si="75"/>
        <v>0</v>
      </c>
      <c r="L146" s="496"/>
      <c r="M146" s="496"/>
      <c r="N146" s="496"/>
      <c r="O146" s="496"/>
      <c r="P146" s="496"/>
    </row>
    <row r="147" spans="1:26" ht="19.5" hidden="1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 hidden="1">
      <c r="A148" s="216"/>
      <c r="B148" s="208" t="s">
        <v>77</v>
      </c>
      <c r="C148" s="208"/>
      <c r="D148" s="208"/>
      <c r="E148" s="824"/>
      <c r="F148" s="218"/>
      <c r="G148" s="219"/>
      <c r="H148" s="220" t="s">
        <v>35</v>
      </c>
      <c r="I148" s="144">
        <f t="shared" ref="I148:J148" ca="1" si="76">I159</f>
        <v>0</v>
      </c>
      <c r="J148" s="144">
        <f t="shared" si="76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1"/>
      <c r="R148" s="221"/>
      <c r="S148" s="221"/>
      <c r="T148" s="221"/>
      <c r="U148" s="221"/>
      <c r="V148" s="221"/>
      <c r="W148" s="221"/>
      <c r="X148" s="221"/>
      <c r="Y148" s="221"/>
      <c r="Z148" s="221"/>
    </row>
    <row r="149" spans="1:26" ht="19.5" hidden="1">
      <c r="A149" s="147"/>
      <c r="B149" s="148"/>
      <c r="C149" s="149" t="s">
        <v>16</v>
      </c>
      <c r="D149" s="822" t="s">
        <v>17</v>
      </c>
      <c r="E149" s="148"/>
      <c r="F149" s="148"/>
      <c r="G149" s="151"/>
      <c r="H149" s="152" t="s">
        <v>12</v>
      </c>
      <c r="I149" s="419"/>
      <c r="J149" s="419"/>
      <c r="K149" s="154"/>
      <c r="L149" s="155">
        <f t="shared" ref="L149:N149" ca="1" si="77">L150+L151</f>
        <v>0</v>
      </c>
      <c r="M149" s="155">
        <f t="shared" ca="1" si="77"/>
        <v>0</v>
      </c>
      <c r="N149" s="155">
        <f t="shared" ca="1" si="77"/>
        <v>0</v>
      </c>
      <c r="O149" s="155">
        <f t="shared" ref="O149:O157" ca="1" si="78">IF(L149&gt;0,N149*100/L149,0)</f>
        <v>0</v>
      </c>
      <c r="P149" s="155">
        <f t="shared" ref="P149:P157" ca="1" si="79">IF(M149&gt;0,N149*100/M149,0)</f>
        <v>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2" t="s">
        <v>18</v>
      </c>
      <c r="F150" s="40"/>
      <c r="G150" s="157"/>
      <c r="H150" s="158" t="s">
        <v>12</v>
      </c>
      <c r="I150" s="610"/>
      <c r="J150" s="610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2" t="s">
        <v>19</v>
      </c>
      <c r="F151" s="40"/>
      <c r="G151" s="157"/>
      <c r="H151" s="158" t="s">
        <v>12</v>
      </c>
      <c r="I151" s="610"/>
      <c r="J151" s="610"/>
      <c r="K151" s="93"/>
      <c r="L151" s="93">
        <f t="shared" ca="1" si="80"/>
        <v>0</v>
      </c>
      <c r="M151" s="93">
        <f t="shared" ca="1" si="80"/>
        <v>0</v>
      </c>
      <c r="N151" s="93">
        <f t="shared" ca="1" si="80"/>
        <v>0</v>
      </c>
      <c r="O151" s="93">
        <f t="shared" ca="1" si="78"/>
        <v>0</v>
      </c>
      <c r="P151" s="93">
        <f t="shared" ca="1" si="79"/>
        <v>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 hidden="1">
      <c r="A152" s="159"/>
      <c r="B152" s="33"/>
      <c r="C152" s="281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6">
        <f t="shared" ref="L152:N152" ca="1" si="81">L153+L154</f>
        <v>0</v>
      </c>
      <c r="M152" s="496">
        <f t="shared" ca="1" si="81"/>
        <v>0</v>
      </c>
      <c r="N152" s="496">
        <f t="shared" ca="1" si="81"/>
        <v>0</v>
      </c>
      <c r="O152" s="496">
        <f t="shared" ca="1" si="78"/>
        <v>0</v>
      </c>
      <c r="P152" s="496">
        <f t="shared" ca="1" si="79"/>
        <v>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2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2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IFERROR(__xludf.DUMMYFUNCTION("IMPORTRANGE(""https://docs.google.com/spreadsheets/d/1MeEWN-I1oV_STSDYn1IFDPWt_1FKiwhDph83XaGc0o0/edit?usp=sharing"",""งบพรบ!BU59"")"),0)</f>
        <v>0</v>
      </c>
      <c r="M154" s="93">
        <f ca="1">IFERROR(__xludf.DUMMYFUNCTION("IMPORTRANGE(""https://docs.google.com/spreadsheets/d/1MeEWN-I1oV_STSDYn1IFDPWt_1FKiwhDph83XaGc0o0/edit?usp=sharing"",""งบพรบ!BZ59"")"),0)</f>
        <v>0</v>
      </c>
      <c r="N154" s="93">
        <f ca="1">IFERROR(__xludf.DUMMYFUNCTION("IMPORTRANGE(""https://docs.google.com/spreadsheets/d/1MeEWN-I1oV_STSDYn1IFDPWt_1FKiwhDph83XaGc0o0/edit?usp=sharing"",""งบพรบ!CB59"")"),0)</f>
        <v>0</v>
      </c>
      <c r="O154" s="93">
        <f t="shared" ca="1" si="78"/>
        <v>0</v>
      </c>
      <c r="P154" s="93">
        <f t="shared" ca="1" si="79"/>
        <v>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 hidden="1">
      <c r="A155" s="159"/>
      <c r="B155" s="33"/>
      <c r="C155" s="281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6">
        <f t="shared" ref="L155:N155" ca="1" si="82">L156+L157</f>
        <v>0</v>
      </c>
      <c r="M155" s="496">
        <f t="shared" ca="1" si="82"/>
        <v>0</v>
      </c>
      <c r="N155" s="496">
        <f t="shared" ca="1" si="82"/>
        <v>0</v>
      </c>
      <c r="O155" s="496">
        <f t="shared" ca="1" si="78"/>
        <v>0</v>
      </c>
      <c r="P155" s="496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2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2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IFERROR(__xludf.DUMMYFUNCTION("IMPORTRANGE(""https://docs.google.com/spreadsheets/d/1MeEWN-I1oV_STSDYn1IFDPWt_1FKiwhDph83XaGc0o0/edit?usp=sharing"",""งบพรบ!BX59"")"),0)</f>
        <v>0</v>
      </c>
      <c r="M157" s="93">
        <f ca="1">IFERROR(__xludf.DUMMYFUNCTION("IMPORTRANGE(""https://docs.google.com/spreadsheets/d/1MeEWN-I1oV_STSDYn1IFDPWt_1FKiwhDph83XaGc0o0/edit?usp=sharing"",""งบพรบ!CA59"")"),0)</f>
        <v>0</v>
      </c>
      <c r="N157" s="93">
        <f ca="1">IFERROR(__xludf.DUMMYFUNCTION("IMPORTRANGE(""https://docs.google.com/spreadsheets/d/1MeEWN-I1oV_STSDYn1IFDPWt_1FKiwhDph83XaGc0o0/edit?usp=sharing"",""งบพรบ!CC59"")"),0)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 hidden="1">
      <c r="A158" s="170"/>
      <c r="B158" s="171"/>
      <c r="C158" s="164" t="s">
        <v>16</v>
      </c>
      <c r="D158" s="823" t="s">
        <v>38</v>
      </c>
      <c r="E158" s="173"/>
      <c r="F158" s="173"/>
      <c r="G158" s="174"/>
      <c r="H158" s="168"/>
      <c r="I158" s="269"/>
      <c r="J158" s="269"/>
      <c r="K158" s="496"/>
      <c r="L158" s="496"/>
      <c r="M158" s="496"/>
      <c r="N158" s="496"/>
      <c r="O158" s="496"/>
      <c r="P158" s="496"/>
    </row>
    <row r="159" spans="1:26" ht="19.5" hidden="1">
      <c r="A159" s="159"/>
      <c r="B159" s="33"/>
      <c r="C159" s="210"/>
      <c r="D159" s="281" t="s">
        <v>78</v>
      </c>
      <c r="E159" s="34"/>
      <c r="F159" s="33"/>
      <c r="G159" s="213"/>
      <c r="H159" s="168" t="s">
        <v>35</v>
      </c>
      <c r="I159" s="269">
        <f ca="1">IFERROR(__xludf.DUMMYFUNCTION("IMPORTRANGE(""https://docs.google.com/spreadsheets/d/1QqKyyYR6Q21VydFLVH3TRQUabQu_ym0Zz7PgGX0-kHA/edit?usp=sharing"",""แผน!X59"")"),0)</f>
        <v>0</v>
      </c>
      <c r="J159" s="214">
        <v>0</v>
      </c>
      <c r="K159" s="496">
        <f ca="1">IF(I159&gt;0,J159*100/I159,0)</f>
        <v>0</v>
      </c>
      <c r="L159" s="496"/>
      <c r="M159" s="496"/>
      <c r="N159" s="496"/>
      <c r="O159" s="496"/>
      <c r="P159" s="496"/>
    </row>
    <row r="160" spans="1:26" ht="19.5" hidden="1">
      <c r="A160" s="156"/>
      <c r="B160" s="40"/>
      <c r="C160" s="164"/>
      <c r="D160" s="222" t="s">
        <v>79</v>
      </c>
      <c r="E160" s="223"/>
      <c r="F160" s="40"/>
      <c r="G160" s="157"/>
      <c r="H160" s="169" t="s">
        <v>35</v>
      </c>
      <c r="I160" s="610"/>
      <c r="J160" s="610"/>
      <c r="K160" s="93"/>
      <c r="L160" s="93"/>
      <c r="M160" s="93"/>
      <c r="N160" s="93"/>
      <c r="O160" s="93"/>
      <c r="P160" s="93"/>
      <c r="Q160" s="224"/>
      <c r="R160" s="224"/>
      <c r="S160" s="224"/>
      <c r="T160" s="224"/>
      <c r="U160" s="224"/>
      <c r="V160" s="224"/>
      <c r="W160" s="224"/>
      <c r="X160" s="224"/>
      <c r="Y160" s="224"/>
      <c r="Z160" s="224"/>
    </row>
    <row r="161" spans="1:26" ht="19.5" hidden="1">
      <c r="A161" s="225"/>
      <c r="B161" s="226"/>
      <c r="C161" s="227"/>
      <c r="D161" s="228" t="s">
        <v>80</v>
      </c>
      <c r="E161" s="825"/>
      <c r="F161" s="226"/>
      <c r="G161" s="230"/>
      <c r="H161" s="231" t="s">
        <v>35</v>
      </c>
      <c r="I161" s="232"/>
      <c r="J161" s="232"/>
      <c r="K161" s="233"/>
      <c r="L161" s="233"/>
      <c r="M161" s="233"/>
      <c r="N161" s="233"/>
      <c r="O161" s="233"/>
      <c r="P161" s="233"/>
      <c r="Q161" s="224"/>
      <c r="R161" s="224"/>
      <c r="S161" s="224"/>
      <c r="T161" s="224"/>
      <c r="U161" s="224"/>
      <c r="V161" s="224"/>
      <c r="W161" s="224"/>
      <c r="X161" s="224"/>
      <c r="Y161" s="224"/>
      <c r="Z161" s="224"/>
    </row>
    <row r="162" spans="1:26" ht="19.5">
      <c r="A162" s="234" t="s">
        <v>81</v>
      </c>
      <c r="B162" s="235"/>
      <c r="C162" s="235"/>
      <c r="D162" s="235"/>
      <c r="E162" s="236"/>
      <c r="F162" s="236"/>
      <c r="G162" s="237"/>
      <c r="H162" s="238"/>
      <c r="I162" s="239"/>
      <c r="J162" s="239"/>
      <c r="K162" s="240"/>
      <c r="L162" s="240"/>
      <c r="M162" s="240"/>
      <c r="N162" s="240"/>
      <c r="O162" s="240"/>
      <c r="P162" s="240"/>
    </row>
    <row r="163" spans="1:26" ht="19.5">
      <c r="A163" s="241" t="s">
        <v>82</v>
      </c>
      <c r="B163" s="242"/>
      <c r="C163" s="242"/>
      <c r="D163" s="243"/>
      <c r="E163" s="243"/>
      <c r="F163" s="243"/>
      <c r="G163" s="244"/>
      <c r="H163" s="245"/>
      <c r="I163" s="246"/>
      <c r="J163" s="246"/>
      <c r="K163" s="247"/>
      <c r="L163" s="247"/>
      <c r="M163" s="247"/>
      <c r="N163" s="247"/>
      <c r="O163" s="247"/>
      <c r="P163" s="247"/>
    </row>
    <row r="164" spans="1:26" ht="19.5" hidden="1">
      <c r="A164" s="248"/>
      <c r="B164" s="249" t="s">
        <v>83</v>
      </c>
      <c r="C164" s="250"/>
      <c r="D164" s="173"/>
      <c r="E164" s="173"/>
      <c r="F164" s="173"/>
      <c r="G164" s="174"/>
      <c r="H164" s="251" t="s">
        <v>35</v>
      </c>
      <c r="I164" s="843">
        <f t="shared" ref="I164:J164" ca="1" si="83">I174+I177</f>
        <v>0</v>
      </c>
      <c r="J164" s="843">
        <f t="shared" si="83"/>
        <v>0</v>
      </c>
      <c r="K164" s="254">
        <f ca="1">IF(I164&gt;0,J164*100/I164,0)</f>
        <v>0</v>
      </c>
      <c r="L164" s="254"/>
      <c r="M164" s="254"/>
      <c r="N164" s="254"/>
      <c r="O164" s="254"/>
      <c r="P164" s="254"/>
    </row>
    <row r="165" spans="1:26" ht="19.5" hidden="1">
      <c r="A165" s="147"/>
      <c r="B165" s="148"/>
      <c r="C165" s="149" t="s">
        <v>16</v>
      </c>
      <c r="D165" s="822" t="s">
        <v>17</v>
      </c>
      <c r="E165" s="148"/>
      <c r="F165" s="148"/>
      <c r="G165" s="151"/>
      <c r="H165" s="152" t="s">
        <v>12</v>
      </c>
      <c r="I165" s="419"/>
      <c r="J165" s="419"/>
      <c r="K165" s="154"/>
      <c r="L165" s="154">
        <f t="shared" ref="L165:N165" ca="1" si="84">L166+L167</f>
        <v>0</v>
      </c>
      <c r="M165" s="154">
        <f t="shared" ca="1" si="84"/>
        <v>0</v>
      </c>
      <c r="N165" s="154">
        <f t="shared" ca="1" si="84"/>
        <v>0</v>
      </c>
      <c r="O165" s="154">
        <f t="shared" ref="O165:O173" ca="1" si="85">IF(L165&gt;0,N165*100/L165,0)</f>
        <v>0</v>
      </c>
      <c r="P165" s="154">
        <f t="shared" ref="P165:P173" ca="1" si="86">IF(M165&gt;0,N165*100/M165,0)</f>
        <v>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2" t="s">
        <v>18</v>
      </c>
      <c r="F166" s="40"/>
      <c r="G166" s="157"/>
      <c r="H166" s="158" t="s">
        <v>12</v>
      </c>
      <c r="I166" s="610"/>
      <c r="J166" s="610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2" t="s">
        <v>19</v>
      </c>
      <c r="F167" s="40"/>
      <c r="G167" s="157"/>
      <c r="H167" s="158" t="s">
        <v>12</v>
      </c>
      <c r="I167" s="610"/>
      <c r="J167" s="610"/>
      <c r="K167" s="93"/>
      <c r="L167" s="93">
        <f t="shared" ca="1" si="87"/>
        <v>0</v>
      </c>
      <c r="M167" s="93">
        <f t="shared" ca="1" si="87"/>
        <v>0</v>
      </c>
      <c r="N167" s="93">
        <f t="shared" ca="1" si="87"/>
        <v>0</v>
      </c>
      <c r="O167" s="93">
        <f t="shared" ca="1" si="85"/>
        <v>0</v>
      </c>
      <c r="P167" s="93">
        <f t="shared" ca="1" si="86"/>
        <v>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 hidden="1">
      <c r="A168" s="159"/>
      <c r="B168" s="33"/>
      <c r="C168" s="281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6">
        <f t="shared" ref="L168:N168" ca="1" si="88">L169+L170</f>
        <v>0</v>
      </c>
      <c r="M168" s="496">
        <f t="shared" ca="1" si="88"/>
        <v>0</v>
      </c>
      <c r="N168" s="496">
        <f t="shared" ca="1" si="88"/>
        <v>0</v>
      </c>
      <c r="O168" s="496">
        <f t="shared" ca="1" si="85"/>
        <v>0</v>
      </c>
      <c r="P168" s="496">
        <f t="shared" ca="1" si="86"/>
        <v>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2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2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IFERROR(__xludf.DUMMYFUNCTION("IMPORTRANGE(""https://docs.google.com/spreadsheets/d/1MeEWN-I1oV_STSDYn1IFDPWt_1FKiwhDph83XaGc0o0/edit?usp=sharing"",""งบพรบ!CE59"")"),0)</f>
        <v>0</v>
      </c>
      <c r="M170" s="93">
        <f ca="1">IFERROR(__xludf.DUMMYFUNCTION("IMPORTRANGE(""https://docs.google.com/spreadsheets/d/1MeEWN-I1oV_STSDYn1IFDPWt_1FKiwhDph83XaGc0o0/edit?usp=sharing"",""งบพรบ!CJ59"")"),0)</f>
        <v>0</v>
      </c>
      <c r="N170" s="93">
        <f ca="1">IFERROR(__xludf.DUMMYFUNCTION("IMPORTRANGE(""https://docs.google.com/spreadsheets/d/1MeEWN-I1oV_STSDYn1IFDPWt_1FKiwhDph83XaGc0o0/edit?usp=sharing"",""งบพรบ!CL59"")"),0)</f>
        <v>0</v>
      </c>
      <c r="O170" s="93">
        <f t="shared" ca="1" si="85"/>
        <v>0</v>
      </c>
      <c r="P170" s="93">
        <f t="shared" ca="1" si="86"/>
        <v>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 hidden="1">
      <c r="A171" s="159"/>
      <c r="B171" s="33"/>
      <c r="C171" s="281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6">
        <f t="shared" ref="L171:N171" ca="1" si="89">L172+L173</f>
        <v>0</v>
      </c>
      <c r="M171" s="496">
        <f t="shared" ca="1" si="89"/>
        <v>0</v>
      </c>
      <c r="N171" s="496">
        <f t="shared" ca="1" si="89"/>
        <v>0</v>
      </c>
      <c r="O171" s="496">
        <f t="shared" ca="1" si="85"/>
        <v>0</v>
      </c>
      <c r="P171" s="496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2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2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IFERROR(__xludf.DUMMYFUNCTION("IMPORTRANGE(""https://docs.google.com/spreadsheets/d/1MeEWN-I1oV_STSDYn1IFDPWt_1FKiwhDph83XaGc0o0/edit?usp=sharing"",""งบพรบ!CH59"")"),0)</f>
        <v>0</v>
      </c>
      <c r="M173" s="93">
        <f ca="1">IFERROR(__xludf.DUMMYFUNCTION("IMPORTRANGE(""https://docs.google.com/spreadsheets/d/1MeEWN-I1oV_STSDYn1IFDPWt_1FKiwhDph83XaGc0o0/edit?usp=sharing"",""งบพรบ!CK59"")"),0)</f>
        <v>0</v>
      </c>
      <c r="N173" s="93">
        <f ca="1">IFERROR(__xludf.DUMMYFUNCTION("IMPORTRANGE(""https://docs.google.com/spreadsheets/d/1MeEWN-I1oV_STSDYn1IFDPWt_1FKiwhDph83XaGc0o0/edit?usp=sharing"",""งบพรบ!CM59"")"),0)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 hidden="1">
      <c r="A174" s="255"/>
      <c r="B174" s="256"/>
      <c r="C174" s="257" t="s">
        <v>84</v>
      </c>
      <c r="D174" s="256"/>
      <c r="E174" s="256"/>
      <c r="F174" s="256"/>
      <c r="G174" s="258"/>
      <c r="H174" s="259" t="s">
        <v>35</v>
      </c>
      <c r="I174" s="260">
        <f t="shared" ref="I174:J174" ca="1" si="90">I176</f>
        <v>0</v>
      </c>
      <c r="J174" s="260">
        <f t="shared" si="90"/>
        <v>0</v>
      </c>
      <c r="K174" s="261">
        <f ca="1">IF(I174&gt;0,J174*100/I174,0)</f>
        <v>0</v>
      </c>
      <c r="L174" s="261"/>
      <c r="M174" s="261"/>
      <c r="N174" s="261"/>
      <c r="O174" s="261"/>
      <c r="P174" s="261"/>
    </row>
    <row r="175" spans="1:26" ht="19.5" hidden="1">
      <c r="A175" s="170"/>
      <c r="B175" s="171"/>
      <c r="C175" s="164" t="s">
        <v>16</v>
      </c>
      <c r="D175" s="823" t="s">
        <v>38</v>
      </c>
      <c r="E175" s="173"/>
      <c r="F175" s="173"/>
      <c r="G175" s="174"/>
      <c r="H175" s="753"/>
      <c r="I175" s="184"/>
      <c r="J175" s="184"/>
      <c r="K175" s="163"/>
      <c r="L175" s="163"/>
      <c r="M175" s="163"/>
      <c r="N175" s="163"/>
      <c r="O175" s="163"/>
      <c r="P175" s="163"/>
    </row>
    <row r="176" spans="1:26" ht="18.75" hidden="1">
      <c r="A176" s="170"/>
      <c r="B176" s="171"/>
      <c r="C176" s="171"/>
      <c r="D176" s="737" t="s">
        <v>85</v>
      </c>
      <c r="E176" s="178"/>
      <c r="F176" s="178"/>
      <c r="G176" s="179"/>
      <c r="H176" s="616" t="s">
        <v>35</v>
      </c>
      <c r="I176" s="269">
        <f ca="1">IFERROR(__xludf.DUMMYFUNCTION("IMPORTRANGE(""https://docs.google.com/spreadsheets/d/1QqKyyYR6Q21VydFLVH3TRQUabQu_ym0Zz7PgGX0-kHA/edit?usp=sharing"",""แผน!Y59"")"),0)</f>
        <v>0</v>
      </c>
      <c r="J176" s="214">
        <v>0</v>
      </c>
      <c r="K176" s="163">
        <f ca="1">IF(I176&gt;0,J176*100/I176,0)</f>
        <v>0</v>
      </c>
      <c r="L176" s="163"/>
      <c r="M176" s="163"/>
      <c r="N176" s="163"/>
      <c r="O176" s="163"/>
      <c r="P176" s="163"/>
    </row>
    <row r="177" spans="1:26" ht="19.5" hidden="1">
      <c r="A177" s="255"/>
      <c r="B177" s="263"/>
      <c r="C177" s="264" t="s">
        <v>86</v>
      </c>
      <c r="D177" s="263"/>
      <c r="E177" s="256"/>
      <c r="F177" s="256"/>
      <c r="G177" s="258"/>
      <c r="H177" s="265" t="s">
        <v>35</v>
      </c>
      <c r="I177" s="260"/>
      <c r="J177" s="260">
        <f>J179</f>
        <v>0</v>
      </c>
      <c r="K177" s="261"/>
      <c r="L177" s="261"/>
      <c r="M177" s="261"/>
      <c r="N177" s="261"/>
      <c r="O177" s="261"/>
      <c r="P177" s="261"/>
    </row>
    <row r="178" spans="1:26" ht="19.5" hidden="1">
      <c r="A178" s="170"/>
      <c r="B178" s="171"/>
      <c r="C178" s="164" t="s">
        <v>16</v>
      </c>
      <c r="D178" s="266" t="s">
        <v>38</v>
      </c>
      <c r="E178" s="173"/>
      <c r="F178" s="173"/>
      <c r="G178" s="174"/>
      <c r="H178" s="753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3" t="s">
        <v>87</v>
      </c>
      <c r="E179" s="178"/>
      <c r="F179" s="366"/>
      <c r="G179" s="179"/>
      <c r="H179" s="43" t="s">
        <v>35</v>
      </c>
      <c r="I179" s="269"/>
      <c r="J179" s="269"/>
      <c r="K179" s="163"/>
      <c r="L179" s="163"/>
      <c r="M179" s="163"/>
      <c r="N179" s="163"/>
      <c r="O179" s="163"/>
      <c r="P179" s="163"/>
    </row>
    <row r="180" spans="1:26" ht="19.5">
      <c r="A180" s="248"/>
      <c r="B180" s="249" t="s">
        <v>88</v>
      </c>
      <c r="C180" s="250"/>
      <c r="D180" s="173"/>
      <c r="E180" s="173"/>
      <c r="F180" s="173"/>
      <c r="G180" s="174"/>
      <c r="H180" s="251" t="s">
        <v>35</v>
      </c>
      <c r="I180" s="252">
        <f t="shared" ref="I180:J180" ca="1" si="91">I225+I226</f>
        <v>20</v>
      </c>
      <c r="J180" s="252">
        <f t="shared" si="91"/>
        <v>0</v>
      </c>
      <c r="K180" s="253">
        <f ca="1">IF(I180&gt;0,J180*100/I180,0)</f>
        <v>0</v>
      </c>
      <c r="L180" s="254"/>
      <c r="M180" s="254"/>
      <c r="N180" s="254"/>
      <c r="O180" s="254"/>
      <c r="P180" s="254"/>
    </row>
    <row r="181" spans="1:26" ht="19.5">
      <c r="A181" s="147"/>
      <c r="B181" s="148"/>
      <c r="C181" s="149" t="s">
        <v>16</v>
      </c>
      <c r="D181" s="822" t="s">
        <v>17</v>
      </c>
      <c r="E181" s="148"/>
      <c r="F181" s="148"/>
      <c r="G181" s="151"/>
      <c r="H181" s="152" t="s">
        <v>12</v>
      </c>
      <c r="I181" s="419"/>
      <c r="J181" s="419"/>
      <c r="K181" s="154"/>
      <c r="L181" s="155">
        <f t="shared" ref="L181:N181" ca="1" si="92">L182+L183</f>
        <v>273800</v>
      </c>
      <c r="M181" s="155">
        <f t="shared" ca="1" si="92"/>
        <v>147750</v>
      </c>
      <c r="N181" s="155">
        <f t="shared" ca="1" si="92"/>
        <v>45401.68</v>
      </c>
      <c r="O181" s="155">
        <f t="shared" ref="O181:O189" ca="1" si="93">IF(L181&gt;0,N181*100/L181,0)</f>
        <v>16.582059897735572</v>
      </c>
      <c r="P181" s="155">
        <f t="shared" ref="P181:P189" ca="1" si="94">IF(M181&gt;0,N181*100/M181,0)</f>
        <v>30.728717428087986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2" t="s">
        <v>18</v>
      </c>
      <c r="F182" s="40"/>
      <c r="G182" s="157"/>
      <c r="H182" s="158" t="s">
        <v>12</v>
      </c>
      <c r="I182" s="610"/>
      <c r="J182" s="610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2" t="s">
        <v>19</v>
      </c>
      <c r="F183" s="40"/>
      <c r="G183" s="157"/>
      <c r="H183" s="158" t="s">
        <v>12</v>
      </c>
      <c r="I183" s="610"/>
      <c r="J183" s="610"/>
      <c r="K183" s="93"/>
      <c r="L183" s="93">
        <f t="shared" ca="1" si="95"/>
        <v>273800</v>
      </c>
      <c r="M183" s="93">
        <f t="shared" ca="1" si="95"/>
        <v>147750</v>
      </c>
      <c r="N183" s="93">
        <f t="shared" ca="1" si="95"/>
        <v>45401.68</v>
      </c>
      <c r="O183" s="93">
        <f t="shared" ca="1" si="93"/>
        <v>16.582059897735572</v>
      </c>
      <c r="P183" s="93">
        <f t="shared" ca="1" si="94"/>
        <v>30.728717428087986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1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6">
        <f t="shared" ref="L184:N184" ca="1" si="96">L185+L186</f>
        <v>273800</v>
      </c>
      <c r="M184" s="496">
        <f t="shared" ca="1" si="96"/>
        <v>147750</v>
      </c>
      <c r="N184" s="496">
        <f t="shared" ca="1" si="96"/>
        <v>45401.68</v>
      </c>
      <c r="O184" s="496">
        <f t="shared" ca="1" si="93"/>
        <v>16.582059897735572</v>
      </c>
      <c r="P184" s="496">
        <f t="shared" ca="1" si="94"/>
        <v>30.728717428087986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2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2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IFERROR(__xludf.DUMMYFUNCTION("IMPORTRANGE(""https://docs.google.com/spreadsheets/d/1MeEWN-I1oV_STSDYn1IFDPWt_1FKiwhDph83XaGc0o0/edit?usp=sharing"",""งบพรบ!CO59"")"),273800)</f>
        <v>273800</v>
      </c>
      <c r="M186" s="93">
        <f ca="1">IFERROR(__xludf.DUMMYFUNCTION("IMPORTRANGE(""https://docs.google.com/spreadsheets/d/1MeEWN-I1oV_STSDYn1IFDPWt_1FKiwhDph83XaGc0o0/edit?usp=sharing"",""งบพรบ!CT59"")"),147750)</f>
        <v>147750</v>
      </c>
      <c r="N186" s="93">
        <f ca="1">IFERROR(__xludf.DUMMYFUNCTION("IMPORTRANGE(""https://docs.google.com/spreadsheets/d/1MeEWN-I1oV_STSDYn1IFDPWt_1FKiwhDph83XaGc0o0/edit?usp=sharing"",""งบพรบ!CV59"")"),45401.68)</f>
        <v>45401.68</v>
      </c>
      <c r="O186" s="93">
        <f t="shared" ca="1" si="93"/>
        <v>16.582059897735572</v>
      </c>
      <c r="P186" s="93">
        <f t="shared" ca="1" si="94"/>
        <v>30.728717428087986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1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6">
        <f t="shared" ref="L187:N187" ca="1" si="97">L188+L189</f>
        <v>0</v>
      </c>
      <c r="M187" s="496">
        <f t="shared" ca="1" si="97"/>
        <v>0</v>
      </c>
      <c r="N187" s="496">
        <f t="shared" ca="1" si="97"/>
        <v>0</v>
      </c>
      <c r="O187" s="496">
        <f t="shared" ca="1" si="93"/>
        <v>0</v>
      </c>
      <c r="P187" s="496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2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2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IFERROR(__xludf.DUMMYFUNCTION("IMPORTRANGE(""https://docs.google.com/spreadsheets/d/1MeEWN-I1oV_STSDYn1IFDPWt_1FKiwhDph83XaGc0o0/edit?usp=sharing"",""งบพรบ!CR59"")"),0)</f>
        <v>0</v>
      </c>
      <c r="M189" s="93">
        <f ca="1">IFERROR(__xludf.DUMMYFUNCTION("IMPORTRANGE(""https://docs.google.com/spreadsheets/d/1MeEWN-I1oV_STSDYn1IFDPWt_1FKiwhDph83XaGc0o0/edit?usp=sharing"",""งบพรบ!CU59"")"),0)</f>
        <v>0</v>
      </c>
      <c r="N189" s="93">
        <f ca="1">IFERROR(__xludf.DUMMYFUNCTION("IMPORTRANGE(""https://docs.google.com/spreadsheets/d/1MeEWN-I1oV_STSDYn1IFDPWt_1FKiwhDph83XaGc0o0/edit?usp=sharing"",""งบพรบ!CW59"")"),0)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5"/>
      <c r="B190" s="263"/>
      <c r="C190" s="270" t="s">
        <v>89</v>
      </c>
      <c r="D190" s="256"/>
      <c r="E190" s="256"/>
      <c r="F190" s="256"/>
      <c r="G190" s="258"/>
      <c r="H190" s="259" t="s">
        <v>90</v>
      </c>
      <c r="I190" s="271">
        <f t="shared" ref="I190:J190" ca="1" si="98">I193</f>
        <v>4</v>
      </c>
      <c r="J190" s="271">
        <f t="shared" si="98"/>
        <v>0</v>
      </c>
      <c r="K190" s="272">
        <f ca="1">IF(I190&gt;0,J190*100/I190,0)</f>
        <v>0</v>
      </c>
      <c r="L190" s="261"/>
      <c r="M190" s="261"/>
      <c r="N190" s="261"/>
      <c r="O190" s="261"/>
      <c r="P190" s="261"/>
    </row>
    <row r="191" spans="1:26" ht="19.5">
      <c r="A191" s="147"/>
      <c r="B191" s="148"/>
      <c r="C191" s="149" t="s">
        <v>16</v>
      </c>
      <c r="D191" s="826" t="s">
        <v>17</v>
      </c>
      <c r="E191" s="148"/>
      <c r="F191" s="148"/>
      <c r="G191" s="151"/>
      <c r="H191" s="274" t="s">
        <v>12</v>
      </c>
      <c r="I191" s="419"/>
      <c r="J191" s="419"/>
      <c r="K191" s="154"/>
      <c r="L191" s="155">
        <f ca="1">IFERROR(__xludf.DUMMYFUNCTION("IMPORTRANGE(""https://docs.google.com/spreadsheets/d/1QqKyyYR6Q21VydFLVH3TRQUabQu_ym0Zz7PgGX0-kHA/edit?usp=sharing"",""แผน!Z59"")"),6000)</f>
        <v>6000</v>
      </c>
      <c r="M191" s="155"/>
      <c r="N191" s="275">
        <v>0</v>
      </c>
      <c r="O191" s="155">
        <f ca="1">IF(L191&gt;0,N191*100/L191,0)</f>
        <v>0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0" t="s">
        <v>16</v>
      </c>
      <c r="D192" s="823" t="s">
        <v>38</v>
      </c>
      <c r="E192" s="173"/>
      <c r="F192" s="173"/>
      <c r="G192" s="174"/>
      <c r="H192" s="753"/>
      <c r="I192" s="269"/>
      <c r="J192" s="269"/>
      <c r="K192" s="496"/>
      <c r="L192" s="496"/>
      <c r="M192" s="496"/>
      <c r="N192" s="496"/>
      <c r="O192" s="496"/>
      <c r="P192" s="496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6" t="s">
        <v>91</v>
      </c>
      <c r="E193" s="178"/>
      <c r="F193" s="178"/>
      <c r="G193" s="179"/>
      <c r="H193" s="755" t="s">
        <v>90</v>
      </c>
      <c r="I193" s="269">
        <f ca="1">IFERROR(__xludf.DUMMYFUNCTION("IMPORTRANGE(""https://docs.google.com/spreadsheets/d/1QqKyyYR6Q21VydFLVH3TRQUabQu_ym0Zz7PgGX0-kHA/edit?usp=sharing"",""แผน!AC59"")"),4)</f>
        <v>4</v>
      </c>
      <c r="J193" s="214">
        <v>0</v>
      </c>
      <c r="K193" s="496">
        <f ca="1">IF(I193&gt;0,J193*100/I193,0)</f>
        <v>0</v>
      </c>
      <c r="L193" s="496"/>
      <c r="M193" s="496"/>
      <c r="N193" s="496"/>
      <c r="O193" s="496"/>
      <c r="P193" s="496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6" t="s">
        <v>92</v>
      </c>
      <c r="E194" s="178"/>
      <c r="F194" s="178"/>
      <c r="G194" s="179"/>
      <c r="H194" s="276" t="s">
        <v>35</v>
      </c>
      <c r="I194" s="269"/>
      <c r="J194" s="269">
        <f>J195+J196</f>
        <v>0</v>
      </c>
      <c r="K194" s="496"/>
      <c r="L194" s="496"/>
      <c r="M194" s="496"/>
      <c r="N194" s="496"/>
      <c r="O194" s="496"/>
      <c r="P194" s="496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6" t="s">
        <v>93</v>
      </c>
      <c r="F195" s="178"/>
      <c r="G195" s="179"/>
      <c r="H195" s="276" t="s">
        <v>35</v>
      </c>
      <c r="I195" s="269"/>
      <c r="J195" s="214">
        <v>0</v>
      </c>
      <c r="K195" s="496"/>
      <c r="L195" s="496"/>
      <c r="M195" s="496"/>
      <c r="N195" s="496"/>
      <c r="O195" s="496"/>
      <c r="P195" s="496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6" t="s">
        <v>94</v>
      </c>
      <c r="F196" s="178"/>
      <c r="G196" s="179"/>
      <c r="H196" s="276" t="s">
        <v>35</v>
      </c>
      <c r="I196" s="269"/>
      <c r="J196" s="214">
        <v>0</v>
      </c>
      <c r="K196" s="496"/>
      <c r="L196" s="496"/>
      <c r="M196" s="496"/>
      <c r="N196" s="496"/>
      <c r="O196" s="496"/>
      <c r="P196" s="496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5"/>
      <c r="B197" s="263"/>
      <c r="C197" s="270" t="s">
        <v>95</v>
      </c>
      <c r="D197" s="256"/>
      <c r="E197" s="256"/>
      <c r="F197" s="256"/>
      <c r="G197" s="258"/>
      <c r="H197" s="277" t="s">
        <v>96</v>
      </c>
      <c r="I197" s="271">
        <f t="shared" ref="I197:J197" ca="1" si="99">I204</f>
        <v>1</v>
      </c>
      <c r="J197" s="271">
        <f t="shared" si="99"/>
        <v>0</v>
      </c>
      <c r="K197" s="272">
        <f ca="1">IF(I197&gt;0,J197*100/I197,0)</f>
        <v>0</v>
      </c>
      <c r="L197" s="261"/>
      <c r="M197" s="261"/>
      <c r="N197" s="261"/>
      <c r="O197" s="261"/>
      <c r="P197" s="261"/>
    </row>
    <row r="198" spans="1:26" ht="19.5">
      <c r="A198" s="147"/>
      <c r="B198" s="148"/>
      <c r="C198" s="149" t="s">
        <v>16</v>
      </c>
      <c r="D198" s="826" t="s">
        <v>17</v>
      </c>
      <c r="E198" s="148"/>
      <c r="F198" s="148"/>
      <c r="G198" s="151"/>
      <c r="H198" s="274" t="s">
        <v>12</v>
      </c>
      <c r="I198" s="418"/>
      <c r="J198" s="418"/>
      <c r="K198" s="279"/>
      <c r="L198" s="155">
        <f ca="1">L199+L200+L201+L202</f>
        <v>13000</v>
      </c>
      <c r="M198" s="155"/>
      <c r="N198" s="155">
        <f>N199+N200+N201+N202</f>
        <v>0</v>
      </c>
      <c r="O198" s="155">
        <f ca="1">IF(L198&gt;0,N198*100/L198,0)</f>
        <v>0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0"/>
      <c r="C199" s="33"/>
      <c r="D199" s="281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6">
        <f ca="1">IFERROR(__xludf.DUMMYFUNCTION("IMPORTRANGE(""https://docs.google.com/spreadsheets/d/1QqKyyYR6Q21VydFLVH3TRQUabQu_ym0Zz7PgGX0-kHA/edit?usp=sharing"",""แผน!AE59"")"),1000)</f>
        <v>1000</v>
      </c>
      <c r="M199" s="496"/>
      <c r="N199" s="817">
        <v>0</v>
      </c>
      <c r="O199" s="496"/>
      <c r="P199" s="496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4"/>
      <c r="B200" s="280"/>
      <c r="C200" s="210"/>
      <c r="D200" s="281" t="s">
        <v>98</v>
      </c>
      <c r="E200" s="33"/>
      <c r="F200" s="33"/>
      <c r="G200" s="35"/>
      <c r="H200" s="616" t="s">
        <v>12</v>
      </c>
      <c r="I200" s="269"/>
      <c r="J200" s="269"/>
      <c r="K200" s="496"/>
      <c r="L200" s="496">
        <f ca="1">IFERROR(__xludf.DUMMYFUNCTION("IMPORTRANGE(""https://docs.google.com/spreadsheets/d/1QqKyyYR6Q21VydFLVH3TRQUabQu_ym0Zz7PgGX0-kHA/edit?usp=sharing"",""แผน!AF59"")"),8000)</f>
        <v>8000</v>
      </c>
      <c r="M200" s="496"/>
      <c r="N200" s="817">
        <v>0</v>
      </c>
      <c r="O200" s="496"/>
      <c r="P200" s="496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>
      <c r="A201" s="284"/>
      <c r="B201" s="280"/>
      <c r="C201" s="210"/>
      <c r="D201" s="281" t="s">
        <v>99</v>
      </c>
      <c r="E201" s="33"/>
      <c r="F201" s="33"/>
      <c r="G201" s="35"/>
      <c r="H201" s="616" t="s">
        <v>12</v>
      </c>
      <c r="I201" s="269"/>
      <c r="J201" s="269"/>
      <c r="K201" s="496"/>
      <c r="L201" s="496">
        <f ca="1">IFERROR(__xludf.DUMMYFUNCTION("IMPORTRANGE(""https://docs.google.com/spreadsheets/d/1QqKyyYR6Q21VydFLVH3TRQUabQu_ym0Zz7PgGX0-kHA/edit?usp=sharing"",""แผน!AG59"")"),4000)</f>
        <v>4000</v>
      </c>
      <c r="M201" s="496"/>
      <c r="N201" s="817">
        <v>0</v>
      </c>
      <c r="O201" s="496"/>
      <c r="P201" s="496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>
      <c r="A202" s="284"/>
      <c r="B202" s="280"/>
      <c r="C202" s="210"/>
      <c r="D202" s="281" t="s">
        <v>100</v>
      </c>
      <c r="E202" s="33"/>
      <c r="F202" s="33"/>
      <c r="G202" s="35"/>
      <c r="H202" s="616" t="s">
        <v>12</v>
      </c>
      <c r="I202" s="269"/>
      <c r="J202" s="269"/>
      <c r="K202" s="496"/>
      <c r="L202" s="496">
        <f ca="1">IFERROR(__xludf.DUMMYFUNCTION("IMPORTRANGE(""https://docs.google.com/spreadsheets/d/1QqKyyYR6Q21VydFLVH3TRQUabQu_ym0Zz7PgGX0-kHA/edit?usp=sharing"",""แผน!AH59"")"),0)</f>
        <v>0</v>
      </c>
      <c r="M202" s="496"/>
      <c r="N202" s="817">
        <v>0</v>
      </c>
      <c r="O202" s="496"/>
      <c r="P202" s="496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>
      <c r="A203" s="170"/>
      <c r="B203" s="171"/>
      <c r="C203" s="210" t="s">
        <v>16</v>
      </c>
      <c r="D203" s="823" t="s">
        <v>38</v>
      </c>
      <c r="E203" s="173"/>
      <c r="F203" s="173"/>
      <c r="G203" s="174"/>
      <c r="H203" s="753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53" t="s">
        <v>96</v>
      </c>
      <c r="I204" s="269">
        <f ca="1">IFERROR(__xludf.DUMMYFUNCTION("IMPORTRANGE(""https://docs.google.com/spreadsheets/d/1QqKyyYR6Q21VydFLVH3TRQUabQu_ym0Zz7PgGX0-kHA/edit?usp=sharing"",""แผน!AI59"")"),1)</f>
        <v>1</v>
      </c>
      <c r="J204" s="214">
        <v>0</v>
      </c>
      <c r="K204" s="163">
        <f ca="1">IF(I204&gt;0,J204*100/I204,0)</f>
        <v>0</v>
      </c>
      <c r="L204" s="496"/>
      <c r="M204" s="496"/>
      <c r="N204" s="496"/>
      <c r="O204" s="496"/>
      <c r="P204" s="496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6" t="s">
        <v>59</v>
      </c>
      <c r="E205" s="178"/>
      <c r="F205" s="178"/>
      <c r="G205" s="179"/>
      <c r="H205" s="753"/>
      <c r="I205" s="269"/>
      <c r="J205" s="269"/>
      <c r="K205" s="163"/>
      <c r="L205" s="496"/>
      <c r="M205" s="496"/>
      <c r="N205" s="496"/>
      <c r="O205" s="496"/>
      <c r="P205" s="496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25" t="s">
        <v>102</v>
      </c>
      <c r="F206" s="287"/>
      <c r="G206" s="288"/>
      <c r="H206" s="289" t="s">
        <v>96</v>
      </c>
      <c r="I206" s="269">
        <v>1</v>
      </c>
      <c r="J206" s="214">
        <v>0</v>
      </c>
      <c r="K206" s="163">
        <f t="shared" ref="K206:K208" si="100">IF(I206&gt;0,J206*100/I206,0)</f>
        <v>0</v>
      </c>
      <c r="L206" s="496"/>
      <c r="M206" s="496"/>
      <c r="N206" s="496"/>
      <c r="O206" s="496"/>
      <c r="P206" s="496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6"/>
      <c r="E207" s="446" t="s">
        <v>103</v>
      </c>
      <c r="F207" s="178"/>
      <c r="G207" s="178"/>
      <c r="H207" s="290" t="s">
        <v>104</v>
      </c>
      <c r="I207" s="269">
        <v>0</v>
      </c>
      <c r="J207" s="214">
        <v>0</v>
      </c>
      <c r="K207" s="163">
        <f t="shared" si="100"/>
        <v>0</v>
      </c>
      <c r="L207" s="496"/>
      <c r="M207" s="496"/>
      <c r="N207" s="496"/>
      <c r="O207" s="496"/>
      <c r="P207" s="496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 hidden="1">
      <c r="A208" s="255"/>
      <c r="B208" s="263"/>
      <c r="C208" s="270" t="s">
        <v>105</v>
      </c>
      <c r="D208" s="256"/>
      <c r="E208" s="256"/>
      <c r="F208" s="291"/>
      <c r="G208" s="258"/>
      <c r="H208" s="277" t="s">
        <v>96</v>
      </c>
      <c r="I208" s="271">
        <f t="shared" ref="I208:J208" ca="1" si="101">I215</f>
        <v>0</v>
      </c>
      <c r="J208" s="271">
        <f t="shared" si="101"/>
        <v>0</v>
      </c>
      <c r="K208" s="272">
        <f t="shared" ca="1" si="100"/>
        <v>0</v>
      </c>
      <c r="L208" s="261"/>
      <c r="M208" s="261"/>
      <c r="N208" s="261"/>
      <c r="O208" s="261"/>
      <c r="P208" s="261"/>
    </row>
    <row r="209" spans="1:26" ht="19.5" hidden="1">
      <c r="A209" s="147"/>
      <c r="B209" s="148"/>
      <c r="C209" s="149" t="s">
        <v>16</v>
      </c>
      <c r="D209" s="826" t="s">
        <v>17</v>
      </c>
      <c r="E209" s="148"/>
      <c r="F209" s="148"/>
      <c r="G209" s="151"/>
      <c r="H209" s="274" t="s">
        <v>12</v>
      </c>
      <c r="I209" s="418"/>
      <c r="J209" s="418"/>
      <c r="K209" s="279"/>
      <c r="L209" s="155">
        <f ca="1">L210+L211+L212</f>
        <v>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 hidden="1">
      <c r="A210" s="159"/>
      <c r="B210" s="280"/>
      <c r="C210" s="33"/>
      <c r="D210" s="281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6">
        <f ca="1">IFERROR(__xludf.DUMMYFUNCTION("IMPORTRANGE(""https://docs.google.com/spreadsheets/d/1QqKyyYR6Q21VydFLVH3TRQUabQu_ym0Zz7PgGX0-kHA/edit?usp=sharing"",""แผน!AK59"")"),0)</f>
        <v>0</v>
      </c>
      <c r="M210" s="496"/>
      <c r="N210" s="817">
        <v>0</v>
      </c>
      <c r="O210" s="496"/>
      <c r="P210" s="496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 hidden="1">
      <c r="A211" s="284"/>
      <c r="B211" s="280"/>
      <c r="C211" s="292"/>
      <c r="D211" s="281" t="s">
        <v>99</v>
      </c>
      <c r="E211" s="33"/>
      <c r="F211" s="33"/>
      <c r="G211" s="35"/>
      <c r="H211" s="161" t="s">
        <v>12</v>
      </c>
      <c r="I211" s="269"/>
      <c r="J211" s="269"/>
      <c r="K211" s="496"/>
      <c r="L211" s="496">
        <f ca="1">IFERROR(__xludf.DUMMYFUNCTION("IMPORTRANGE(""https://docs.google.com/spreadsheets/d/1QqKyyYR6Q21VydFLVH3TRQUabQu_ym0Zz7PgGX0-kHA/edit?usp=sharing"",""แผน!AL59"")"),0)</f>
        <v>0</v>
      </c>
      <c r="M211" s="496"/>
      <c r="N211" s="817">
        <v>0</v>
      </c>
      <c r="O211" s="496"/>
      <c r="P211" s="496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 hidden="1">
      <c r="A212" s="284"/>
      <c r="B212" s="280"/>
      <c r="C212" s="292"/>
      <c r="D212" s="281" t="s">
        <v>98</v>
      </c>
      <c r="E212" s="33"/>
      <c r="F212" s="33"/>
      <c r="G212" s="35"/>
      <c r="H212" s="161" t="s">
        <v>12</v>
      </c>
      <c r="I212" s="269"/>
      <c r="J212" s="269"/>
      <c r="K212" s="496"/>
      <c r="L212" s="496">
        <f ca="1">IFERROR(__xludf.DUMMYFUNCTION("IMPORTRANGE(""https://docs.google.com/spreadsheets/d/1QqKyyYR6Q21VydFLVH3TRQUabQu_ym0Zz7PgGX0-kHA/edit?usp=sharing"",""แผน!AM59"")"),0)</f>
        <v>0</v>
      </c>
      <c r="M212" s="496"/>
      <c r="N212" s="817">
        <v>0</v>
      </c>
      <c r="O212" s="496"/>
      <c r="P212" s="496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 hidden="1">
      <c r="A213" s="170"/>
      <c r="B213" s="171"/>
      <c r="C213" s="292" t="s">
        <v>16</v>
      </c>
      <c r="D213" s="823" t="s">
        <v>38</v>
      </c>
      <c r="E213" s="173"/>
      <c r="F213" s="173"/>
      <c r="G213" s="174"/>
      <c r="H213" s="753"/>
      <c r="I213" s="184"/>
      <c r="J213" s="269"/>
      <c r="K213" s="496"/>
      <c r="L213" s="496"/>
      <c r="M213" s="496"/>
      <c r="N213" s="496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 hidden="1">
      <c r="A214" s="170"/>
      <c r="B214" s="171"/>
      <c r="C214" s="171"/>
      <c r="D214" s="176" t="s">
        <v>106</v>
      </c>
      <c r="E214" s="178"/>
      <c r="F214" s="178"/>
      <c r="G214" s="179"/>
      <c r="H214" s="753" t="s">
        <v>96</v>
      </c>
      <c r="I214" s="269">
        <f ca="1">IFERROR(__xludf.DUMMYFUNCTION("IMPORTRANGE(""https://docs.google.com/spreadsheets/d/1QqKyyYR6Q21VydFLVH3TRQUabQu_ym0Zz7PgGX0-kHA/edit?usp=sharing"",""แผน!AN59"")"),0)</f>
        <v>0</v>
      </c>
      <c r="J214" s="214">
        <v>0</v>
      </c>
      <c r="K214" s="496">
        <f t="shared" ref="K214:K216" ca="1" si="102">IF(I214&gt;0,J214*100/I214,0)</f>
        <v>0</v>
      </c>
      <c r="L214" s="496"/>
      <c r="M214" s="496"/>
      <c r="N214" s="496"/>
      <c r="O214" s="496"/>
      <c r="P214" s="496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 hidden="1">
      <c r="A215" s="170"/>
      <c r="B215" s="171"/>
      <c r="C215" s="171"/>
      <c r="D215" s="176" t="s">
        <v>107</v>
      </c>
      <c r="E215" s="178"/>
      <c r="F215" s="178"/>
      <c r="G215" s="179"/>
      <c r="H215" s="753" t="s">
        <v>96</v>
      </c>
      <c r="I215" s="269">
        <f ca="1">IFERROR(__xludf.DUMMYFUNCTION("IMPORTRANGE(""https://docs.google.com/spreadsheets/d/1QqKyyYR6Q21VydFLVH3TRQUabQu_ym0Zz7PgGX0-kHA/edit?usp=sharing"",""แผน!AN59"")"),0)</f>
        <v>0</v>
      </c>
      <c r="J215" s="214">
        <v>0</v>
      </c>
      <c r="K215" s="496">
        <f t="shared" ca="1" si="102"/>
        <v>0</v>
      </c>
      <c r="L215" s="496"/>
      <c r="M215" s="496"/>
      <c r="N215" s="496"/>
      <c r="O215" s="496"/>
      <c r="P215" s="496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5"/>
      <c r="B216" s="263"/>
      <c r="C216" s="270" t="s">
        <v>108</v>
      </c>
      <c r="D216" s="256"/>
      <c r="E216" s="256"/>
      <c r="F216" s="291"/>
      <c r="G216" s="258"/>
      <c r="H216" s="259" t="s">
        <v>109</v>
      </c>
      <c r="I216" s="271">
        <f t="shared" ref="I216:J216" ca="1" si="103">I224</f>
        <v>30000</v>
      </c>
      <c r="J216" s="271">
        <f t="shared" si="103"/>
        <v>0</v>
      </c>
      <c r="K216" s="272">
        <f t="shared" ca="1" si="102"/>
        <v>0</v>
      </c>
      <c r="L216" s="261"/>
      <c r="M216" s="261"/>
      <c r="N216" s="261"/>
      <c r="O216" s="261"/>
      <c r="P216" s="261"/>
    </row>
    <row r="217" spans="1:26" ht="19.5">
      <c r="A217" s="147"/>
      <c r="B217" s="148"/>
      <c r="C217" s="149" t="s">
        <v>16</v>
      </c>
      <c r="D217" s="826" t="s">
        <v>17</v>
      </c>
      <c r="E217" s="148"/>
      <c r="F217" s="148"/>
      <c r="G217" s="151"/>
      <c r="H217" s="274" t="s">
        <v>12</v>
      </c>
      <c r="I217" s="418"/>
      <c r="J217" s="418"/>
      <c r="K217" s="279"/>
      <c r="L217" s="155">
        <f ca="1">L218+L219+L220</f>
        <v>13500</v>
      </c>
      <c r="M217" s="155"/>
      <c r="N217" s="155">
        <f>N218+N219+N220</f>
        <v>0</v>
      </c>
      <c r="O217" s="155">
        <f ca="1">IF(L217&gt;0,N217*100/L217,0)</f>
        <v>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0"/>
      <c r="C218" s="33"/>
      <c r="D218" s="281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6">
        <f ca="1">IFERROR(__xludf.DUMMYFUNCTION("IMPORTRANGE(""https://docs.google.com/spreadsheets/d/1QqKyyYR6Q21VydFLVH3TRQUabQu_ym0Zz7PgGX0-kHA/edit?usp=sharing"",""แผน!AP59"")"),5000)</f>
        <v>5000</v>
      </c>
      <c r="M218" s="496"/>
      <c r="N218" s="817">
        <v>0</v>
      </c>
      <c r="O218" s="496"/>
      <c r="P218" s="496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4"/>
      <c r="B219" s="280"/>
      <c r="C219" s="292"/>
      <c r="D219" s="281" t="s">
        <v>110</v>
      </c>
      <c r="E219" s="33"/>
      <c r="F219" s="33"/>
      <c r="G219" s="35"/>
      <c r="H219" s="161" t="s">
        <v>12</v>
      </c>
      <c r="I219" s="269"/>
      <c r="J219" s="269"/>
      <c r="K219" s="496"/>
      <c r="L219" s="496">
        <f ca="1">IFERROR(__xludf.DUMMYFUNCTION("IMPORTRANGE(""https://docs.google.com/spreadsheets/d/1QqKyyYR6Q21VydFLVH3TRQUabQu_ym0Zz7PgGX0-kHA/edit?usp=sharing"",""แผน!AQ59"")"),8500)</f>
        <v>8500</v>
      </c>
      <c r="M219" s="496"/>
      <c r="N219" s="817">
        <v>0</v>
      </c>
      <c r="O219" s="496"/>
      <c r="P219" s="496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0"/>
      <c r="C220" s="292"/>
      <c r="D220" s="281" t="s">
        <v>98</v>
      </c>
      <c r="E220" s="33"/>
      <c r="F220" s="33"/>
      <c r="G220" s="35"/>
      <c r="H220" s="161" t="s">
        <v>12</v>
      </c>
      <c r="I220" s="269"/>
      <c r="J220" s="269"/>
      <c r="K220" s="496"/>
      <c r="L220" s="496">
        <f ca="1">IFERROR(__xludf.DUMMYFUNCTION("IMPORTRANGE(""https://docs.google.com/spreadsheets/d/1QqKyyYR6Q21VydFLVH3TRQUabQu_ym0Zz7PgGX0-kHA/edit?usp=sharing"",""แผน!AR59"")"),0)</f>
        <v>0</v>
      </c>
      <c r="M220" s="496"/>
      <c r="N220" s="817">
        <v>0</v>
      </c>
      <c r="O220" s="496"/>
      <c r="P220" s="496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70"/>
      <c r="B221" s="171"/>
      <c r="C221" s="292" t="s">
        <v>16</v>
      </c>
      <c r="D221" s="823" t="s">
        <v>38</v>
      </c>
      <c r="E221" s="173"/>
      <c r="F221" s="173"/>
      <c r="G221" s="174"/>
      <c r="H221" s="753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1" t="s">
        <v>111</v>
      </c>
      <c r="E222" s="178"/>
      <c r="F222" s="178"/>
      <c r="G222" s="179"/>
      <c r="H222" s="753"/>
      <c r="I222" s="269"/>
      <c r="J222" s="269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55" t="s">
        <v>109</v>
      </c>
      <c r="I223" s="269">
        <f ca="1">IFERROR(__xludf.DUMMYFUNCTION("IMPORTRANGE(""https://docs.google.com/spreadsheets/d/1QqKyyYR6Q21VydFLVH3TRQUabQu_ym0Zz7PgGX0-kHA/edit?usp=sharing"",""แผน!AT59"")"),30000)</f>
        <v>30000</v>
      </c>
      <c r="J223" s="214">
        <v>0</v>
      </c>
      <c r="K223" s="163">
        <f t="shared" ref="K223:K226" ca="1" si="104">IF(I223&gt;0,J223*100/I223,0)</f>
        <v>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55" t="s">
        <v>109</v>
      </c>
      <c r="I224" s="269">
        <f ca="1">IFERROR(__xludf.DUMMYFUNCTION("IMPORTRANGE(""https://docs.google.com/spreadsheets/d/1QqKyyYR6Q21VydFLVH3TRQUabQu_ym0Zz7PgGX0-kHA/edit?usp=sharing"",""แผน!AT59"")"),30000)</f>
        <v>30000</v>
      </c>
      <c r="J224" s="214">
        <v>0</v>
      </c>
      <c r="K224" s="163">
        <f t="shared" ca="1" si="104"/>
        <v>0</v>
      </c>
      <c r="L224" s="496"/>
      <c r="M224" s="496"/>
      <c r="N224" s="496"/>
      <c r="O224" s="496"/>
      <c r="P224" s="496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1" t="s">
        <v>114</v>
      </c>
      <c r="E225" s="178"/>
      <c r="F225" s="178"/>
      <c r="G225" s="179"/>
      <c r="H225" s="755" t="s">
        <v>35</v>
      </c>
      <c r="I225" s="269">
        <f ca="1">IFERROR(__xludf.DUMMYFUNCTION("IMPORTRANGE(""https://docs.google.com/spreadsheets/d/1QqKyyYR6Q21VydFLVH3TRQUabQu_ym0Zz7PgGX0-kHA/edit?usp=sharing"",""แผน!AS59"")"),0)</f>
        <v>0</v>
      </c>
      <c r="J225" s="214">
        <v>0</v>
      </c>
      <c r="K225" s="163">
        <f t="shared" ca="1" si="104"/>
        <v>0</v>
      </c>
      <c r="L225" s="496"/>
      <c r="M225" s="496"/>
      <c r="N225" s="496"/>
      <c r="O225" s="496"/>
      <c r="P225" s="496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5"/>
      <c r="B226" s="263"/>
      <c r="C226" s="341" t="s">
        <v>115</v>
      </c>
      <c r="D226" s="256"/>
      <c r="E226" s="256"/>
      <c r="F226" s="256"/>
      <c r="G226" s="258"/>
      <c r="H226" s="265" t="s">
        <v>35</v>
      </c>
      <c r="I226" s="344">
        <f t="shared" ref="I226:J226" ca="1" si="105">I237+I248</f>
        <v>20</v>
      </c>
      <c r="J226" s="344">
        <f t="shared" si="105"/>
        <v>0</v>
      </c>
      <c r="K226" s="345">
        <f t="shared" ca="1" si="104"/>
        <v>0</v>
      </c>
      <c r="L226" s="261"/>
      <c r="M226" s="261"/>
      <c r="N226" s="261"/>
      <c r="O226" s="261"/>
      <c r="P226" s="261"/>
    </row>
    <row r="227" spans="1:26" ht="19.5" hidden="1">
      <c r="A227" s="347"/>
      <c r="B227" s="348"/>
      <c r="C227" s="349" t="s">
        <v>16</v>
      </c>
      <c r="D227" s="827" t="s">
        <v>17</v>
      </c>
      <c r="E227" s="348"/>
      <c r="F227" s="348"/>
      <c r="G227" s="351"/>
      <c r="H227" s="352" t="s">
        <v>12</v>
      </c>
      <c r="I227" s="353"/>
      <c r="J227" s="353"/>
      <c r="K227" s="354"/>
      <c r="L227" s="355">
        <f t="shared" ref="L227:L231" ca="1" si="106">L238+L249</f>
        <v>93200</v>
      </c>
      <c r="M227" s="355"/>
      <c r="N227" s="355">
        <f t="shared" ref="N227:N231" si="107">N238+N249</f>
        <v>0</v>
      </c>
      <c r="O227" s="828"/>
      <c r="P227" s="828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6"/>
      <c r="C228" s="40"/>
      <c r="D228" s="222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20000</v>
      </c>
      <c r="M228" s="93"/>
      <c r="N228" s="93">
        <f t="shared" si="107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8"/>
      <c r="B229" s="356"/>
      <c r="C229" s="359"/>
      <c r="D229" s="222" t="s">
        <v>98</v>
      </c>
      <c r="E229" s="40"/>
      <c r="F229" s="40"/>
      <c r="G229" s="42"/>
      <c r="H229" s="165" t="s">
        <v>12</v>
      </c>
      <c r="I229" s="610"/>
      <c r="J229" s="610"/>
      <c r="K229" s="93"/>
      <c r="L229" s="93">
        <f t="shared" ca="1" si="106"/>
        <v>53200</v>
      </c>
      <c r="M229" s="93"/>
      <c r="N229" s="93">
        <f t="shared" si="107"/>
        <v>0</v>
      </c>
      <c r="O229" s="93"/>
      <c r="P229" s="93"/>
      <c r="Q229" s="360"/>
      <c r="R229" s="360"/>
      <c r="S229" s="360"/>
      <c r="T229" s="360"/>
      <c r="U229" s="360"/>
      <c r="V229" s="360"/>
      <c r="W229" s="360"/>
      <c r="X229" s="360"/>
      <c r="Y229" s="360"/>
      <c r="Z229" s="360"/>
    </row>
    <row r="230" spans="1:26" ht="19.5" hidden="1">
      <c r="A230" s="358"/>
      <c r="B230" s="356"/>
      <c r="C230" s="359"/>
      <c r="D230" s="222" t="s">
        <v>116</v>
      </c>
      <c r="E230" s="40"/>
      <c r="F230" s="40"/>
      <c r="G230" s="42"/>
      <c r="H230" s="165" t="s">
        <v>12</v>
      </c>
      <c r="I230" s="610"/>
      <c r="J230" s="610"/>
      <c r="K230" s="93"/>
      <c r="L230" s="93">
        <f t="shared" ca="1" si="106"/>
        <v>10000</v>
      </c>
      <c r="M230" s="93"/>
      <c r="N230" s="93">
        <f t="shared" si="107"/>
        <v>0</v>
      </c>
      <c r="O230" s="93"/>
      <c r="P230" s="93"/>
      <c r="Q230" s="360"/>
      <c r="R230" s="360"/>
      <c r="S230" s="360"/>
      <c r="T230" s="360"/>
      <c r="U230" s="360"/>
      <c r="V230" s="360"/>
      <c r="W230" s="360"/>
      <c r="X230" s="360"/>
      <c r="Y230" s="360"/>
      <c r="Z230" s="360"/>
    </row>
    <row r="231" spans="1:26" ht="19.5" hidden="1">
      <c r="A231" s="358"/>
      <c r="B231" s="356"/>
      <c r="C231" s="359"/>
      <c r="D231" s="222" t="s">
        <v>100</v>
      </c>
      <c r="E231" s="40"/>
      <c r="F231" s="40"/>
      <c r="G231" s="42"/>
      <c r="H231" s="165" t="s">
        <v>12</v>
      </c>
      <c r="I231" s="610"/>
      <c r="J231" s="610"/>
      <c r="K231" s="93"/>
      <c r="L231" s="93">
        <f t="shared" ca="1" si="106"/>
        <v>10000</v>
      </c>
      <c r="M231" s="93"/>
      <c r="N231" s="93">
        <f t="shared" si="107"/>
        <v>0</v>
      </c>
      <c r="O231" s="93"/>
      <c r="P231" s="93"/>
      <c r="Q231" s="360"/>
      <c r="R231" s="360"/>
      <c r="S231" s="360"/>
      <c r="T231" s="360"/>
      <c r="U231" s="360"/>
      <c r="V231" s="360"/>
      <c r="W231" s="360"/>
      <c r="X231" s="360"/>
      <c r="Y231" s="360"/>
      <c r="Z231" s="360"/>
    </row>
    <row r="232" spans="1:26" ht="19.5" hidden="1">
      <c r="A232" s="361"/>
      <c r="B232" s="362"/>
      <c r="C232" s="359" t="s">
        <v>16</v>
      </c>
      <c r="D232" s="266" t="s">
        <v>38</v>
      </c>
      <c r="E232" s="363"/>
      <c r="F232" s="363"/>
      <c r="G232" s="364"/>
      <c r="H232" s="365"/>
      <c r="I232" s="166"/>
      <c r="J232" s="610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1"/>
      <c r="B233" s="362"/>
      <c r="C233" s="362"/>
      <c r="D233" s="366" t="s">
        <v>117</v>
      </c>
      <c r="E233" s="372"/>
      <c r="F233" s="372"/>
      <c r="G233" s="368"/>
      <c r="H233" s="369" t="s">
        <v>35</v>
      </c>
      <c r="I233" s="610">
        <f t="shared" ref="I233:J233" ca="1" si="108">I244+I255</f>
        <v>20</v>
      </c>
      <c r="J233" s="610">
        <f t="shared" si="108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1"/>
      <c r="B234" s="362"/>
      <c r="C234" s="362"/>
      <c r="D234" s="371" t="s">
        <v>43</v>
      </c>
      <c r="E234" s="372"/>
      <c r="F234" s="372"/>
      <c r="G234" s="368"/>
      <c r="H234" s="369"/>
      <c r="I234" s="610"/>
      <c r="J234" s="610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1"/>
      <c r="B235" s="362"/>
      <c r="C235" s="362"/>
      <c r="D235" s="362"/>
      <c r="E235" s="373" t="s">
        <v>118</v>
      </c>
      <c r="F235" s="372"/>
      <c r="G235" s="368"/>
      <c r="H235" s="369" t="s">
        <v>35</v>
      </c>
      <c r="I235" s="610">
        <f t="shared" ref="I235:J236" si="109">I246+I257</f>
        <v>20</v>
      </c>
      <c r="J235" s="610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1"/>
      <c r="B236" s="362"/>
      <c r="C236" s="362"/>
      <c r="D236" s="362"/>
      <c r="E236" s="373" t="s">
        <v>119</v>
      </c>
      <c r="F236" s="372"/>
      <c r="G236" s="368"/>
      <c r="H236" s="369" t="s">
        <v>69</v>
      </c>
      <c r="I236" s="610">
        <f t="shared" si="109"/>
        <v>1</v>
      </c>
      <c r="J236" s="610">
        <f t="shared" si="109"/>
        <v>0</v>
      </c>
      <c r="K236" s="93">
        <f t="shared" si="110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>
      <c r="A237" s="255"/>
      <c r="B237" s="263"/>
      <c r="C237" s="270" t="s">
        <v>341</v>
      </c>
      <c r="D237" s="256"/>
      <c r="E237" s="256"/>
      <c r="F237" s="256"/>
      <c r="G237" s="258"/>
      <c r="H237" s="259" t="s">
        <v>35</v>
      </c>
      <c r="I237" s="271">
        <f t="shared" ref="I237:J237" ca="1" si="111">I244</f>
        <v>20</v>
      </c>
      <c r="J237" s="271">
        <f t="shared" si="111"/>
        <v>0</v>
      </c>
      <c r="K237" s="272">
        <f t="shared" ca="1" si="110"/>
        <v>0</v>
      </c>
      <c r="L237" s="261"/>
      <c r="M237" s="261"/>
      <c r="N237" s="261"/>
      <c r="O237" s="261"/>
      <c r="P237" s="261"/>
    </row>
    <row r="238" spans="1:26" ht="19.5">
      <c r="A238" s="147"/>
      <c r="B238" s="148"/>
      <c r="C238" s="149" t="s">
        <v>16</v>
      </c>
      <c r="D238" s="822" t="s">
        <v>17</v>
      </c>
      <c r="E238" s="148"/>
      <c r="F238" s="148"/>
      <c r="G238" s="151"/>
      <c r="H238" s="274" t="s">
        <v>12</v>
      </c>
      <c r="I238" s="418"/>
      <c r="J238" s="418"/>
      <c r="K238" s="279"/>
      <c r="L238" s="155">
        <f ca="1">L239+L240+L241+L242</f>
        <v>93200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>
      <c r="A239" s="314"/>
      <c r="B239" s="315"/>
      <c r="C239" s="316"/>
      <c r="D239" s="324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282">
        <f ca="1">IFERROR(__xludf.DUMMYFUNCTION("IMPORTRANGE(""https://docs.google.com/spreadsheets/d/1QqKyyYR6Q21VydFLVH3TRQUabQu_ym0Zz7PgGX0-kHA/edit?usp=sharing"",""แผน!AV59"")"),20000)</f>
        <v>20000</v>
      </c>
      <c r="M239" s="282"/>
      <c r="N239" s="829">
        <v>0</v>
      </c>
      <c r="O239" s="282"/>
      <c r="P239" s="28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>
      <c r="A240" s="322"/>
      <c r="B240" s="315"/>
      <c r="C240" s="323"/>
      <c r="D240" s="324" t="s">
        <v>98</v>
      </c>
      <c r="E240" s="316"/>
      <c r="F240" s="316"/>
      <c r="G240" s="318"/>
      <c r="H240" s="319" t="s">
        <v>12</v>
      </c>
      <c r="I240" s="325"/>
      <c r="J240" s="325"/>
      <c r="K240" s="282"/>
      <c r="L240" s="282">
        <f ca="1">IFERROR(__xludf.DUMMYFUNCTION("IMPORTRANGE(""https://docs.google.com/spreadsheets/d/1QqKyyYR6Q21VydFLVH3TRQUabQu_ym0Zz7PgGX0-kHA/edit?usp=sharing"",""แผน!AW59"")"),53200)</f>
        <v>53200</v>
      </c>
      <c r="M240" s="282"/>
      <c r="N240" s="829">
        <v>0</v>
      </c>
      <c r="O240" s="282"/>
      <c r="P240" s="282"/>
      <c r="Q240" s="326"/>
      <c r="R240" s="326"/>
      <c r="S240" s="326"/>
      <c r="T240" s="326"/>
      <c r="U240" s="326"/>
      <c r="V240" s="326"/>
      <c r="W240" s="326"/>
      <c r="X240" s="326"/>
      <c r="Y240" s="326"/>
      <c r="Z240" s="326"/>
    </row>
    <row r="241" spans="1:26" ht="19.5">
      <c r="A241" s="322"/>
      <c r="B241" s="315"/>
      <c r="C241" s="323"/>
      <c r="D241" s="324" t="s">
        <v>116</v>
      </c>
      <c r="E241" s="316"/>
      <c r="F241" s="316"/>
      <c r="G241" s="318"/>
      <c r="H241" s="319" t="s">
        <v>12</v>
      </c>
      <c r="I241" s="325"/>
      <c r="J241" s="325"/>
      <c r="K241" s="282"/>
      <c r="L241" s="282">
        <f ca="1">IFERROR(__xludf.DUMMYFUNCTION("IMPORTRANGE(""https://docs.google.com/spreadsheets/d/1QqKyyYR6Q21VydFLVH3TRQUabQu_ym0Zz7PgGX0-kHA/edit?usp=sharing"",""แผน!AX59"")"),10000)</f>
        <v>10000</v>
      </c>
      <c r="M241" s="282"/>
      <c r="N241" s="829">
        <v>0</v>
      </c>
      <c r="O241" s="282"/>
      <c r="P241" s="282"/>
      <c r="Q241" s="326"/>
      <c r="R241" s="326"/>
      <c r="S241" s="326"/>
      <c r="T241" s="326"/>
      <c r="U241" s="326"/>
      <c r="V241" s="326"/>
      <c r="W241" s="326"/>
      <c r="X241" s="326"/>
      <c r="Y241" s="326"/>
      <c r="Z241" s="326"/>
    </row>
    <row r="242" spans="1:26" ht="19.5">
      <c r="A242" s="322"/>
      <c r="B242" s="315"/>
      <c r="C242" s="323"/>
      <c r="D242" s="324" t="s">
        <v>100</v>
      </c>
      <c r="E242" s="316"/>
      <c r="F242" s="316"/>
      <c r="G242" s="318"/>
      <c r="H242" s="319" t="s">
        <v>12</v>
      </c>
      <c r="I242" s="325"/>
      <c r="J242" s="325"/>
      <c r="K242" s="282"/>
      <c r="L242" s="282">
        <f ca="1">IFERROR(__xludf.DUMMYFUNCTION("IMPORTRANGE(""https://docs.google.com/spreadsheets/d/1QqKyyYR6Q21VydFLVH3TRQUabQu_ym0Zz7PgGX0-kHA/edit?usp=sharing"",""แผน!AY59"")"),10000)</f>
        <v>10000</v>
      </c>
      <c r="M242" s="282"/>
      <c r="N242" s="829">
        <v>0</v>
      </c>
      <c r="O242" s="282"/>
      <c r="P242" s="282"/>
      <c r="Q242" s="326"/>
      <c r="R242" s="326"/>
      <c r="S242" s="326"/>
      <c r="T242" s="326"/>
      <c r="U242" s="326"/>
      <c r="V242" s="326"/>
      <c r="W242" s="326"/>
      <c r="X242" s="326"/>
      <c r="Y242" s="326"/>
      <c r="Z242" s="326"/>
    </row>
    <row r="243" spans="1:26" ht="19.5">
      <c r="A243" s="170"/>
      <c r="B243" s="171"/>
      <c r="C243" s="292" t="s">
        <v>16</v>
      </c>
      <c r="D243" s="823" t="s">
        <v>38</v>
      </c>
      <c r="E243" s="173"/>
      <c r="F243" s="173"/>
      <c r="G243" s="174"/>
      <c r="H243" s="753"/>
      <c r="I243" s="184"/>
      <c r="J243" s="269"/>
      <c r="K243" s="496"/>
      <c r="L243" s="496"/>
      <c r="M243" s="496"/>
      <c r="N243" s="496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>
      <c r="A244" s="170"/>
      <c r="B244" s="171"/>
      <c r="C244" s="171"/>
      <c r="D244" s="446" t="s">
        <v>117</v>
      </c>
      <c r="E244" s="178"/>
      <c r="F244" s="178"/>
      <c r="G244" s="179"/>
      <c r="H244" s="755" t="s">
        <v>35</v>
      </c>
      <c r="I244" s="269">
        <f ca="1">IFERROR(__xludf.DUMMYFUNCTION("IMPORTRANGE(""https://docs.google.com/spreadsheets/d/1QqKyyYR6Q21VydFLVH3TRQUabQu_ym0Zz7PgGX0-kHA/edit?usp=sharing"",""แผน!BE59"")"),20)</f>
        <v>20</v>
      </c>
      <c r="J244" s="214">
        <v>0</v>
      </c>
      <c r="K244" s="496">
        <f ca="1">IF(I244&gt;0,J244*100/I244,0)</f>
        <v>0</v>
      </c>
      <c r="L244" s="496"/>
      <c r="M244" s="496"/>
      <c r="N244" s="496"/>
      <c r="O244" s="496"/>
      <c r="P244" s="496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>
      <c r="A245" s="170"/>
      <c r="B245" s="171"/>
      <c r="C245" s="171"/>
      <c r="D245" s="830" t="s">
        <v>43</v>
      </c>
      <c r="E245" s="178"/>
      <c r="F245" s="178"/>
      <c r="G245" s="179"/>
      <c r="H245" s="755"/>
      <c r="I245" s="269"/>
      <c r="J245" s="269"/>
      <c r="K245" s="496"/>
      <c r="L245" s="496"/>
      <c r="M245" s="496"/>
      <c r="N245" s="496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>
      <c r="A246" s="170"/>
      <c r="B246" s="171"/>
      <c r="C246" s="171"/>
      <c r="D246" s="171"/>
      <c r="E246" s="176" t="s">
        <v>118</v>
      </c>
      <c r="F246" s="178"/>
      <c r="G246" s="179"/>
      <c r="H246" s="755" t="s">
        <v>35</v>
      </c>
      <c r="I246" s="269">
        <v>20</v>
      </c>
      <c r="J246" s="214">
        <v>0</v>
      </c>
      <c r="K246" s="496">
        <f t="shared" ref="K246:K248" si="112">IF(I246&gt;0,J246*100/I246,0)</f>
        <v>0</v>
      </c>
      <c r="L246" s="496"/>
      <c r="M246" s="496"/>
      <c r="N246" s="496"/>
      <c r="O246" s="496"/>
      <c r="P246" s="496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>
      <c r="A247" s="170"/>
      <c r="B247" s="171"/>
      <c r="C247" s="171"/>
      <c r="D247" s="171"/>
      <c r="E247" s="176" t="s">
        <v>119</v>
      </c>
      <c r="F247" s="178"/>
      <c r="G247" s="179"/>
      <c r="H247" s="755" t="s">
        <v>69</v>
      </c>
      <c r="I247" s="269">
        <v>1</v>
      </c>
      <c r="J247" s="214">
        <v>0</v>
      </c>
      <c r="K247" s="496">
        <f t="shared" si="112"/>
        <v>0</v>
      </c>
      <c r="L247" s="496"/>
      <c r="M247" s="496"/>
      <c r="N247" s="496"/>
      <c r="O247" s="496"/>
      <c r="P247" s="496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5"/>
      <c r="B248" s="263"/>
      <c r="C248" s="270" t="s">
        <v>121</v>
      </c>
      <c r="D248" s="256"/>
      <c r="E248" s="256"/>
      <c r="F248" s="256"/>
      <c r="G248" s="258"/>
      <c r="H248" s="259" t="s">
        <v>35</v>
      </c>
      <c r="I248" s="271">
        <f t="shared" ref="I248:J248" ca="1" si="113">I255</f>
        <v>0</v>
      </c>
      <c r="J248" s="271">
        <f t="shared" si="113"/>
        <v>0</v>
      </c>
      <c r="K248" s="272">
        <f t="shared" ca="1" si="112"/>
        <v>0</v>
      </c>
      <c r="L248" s="261"/>
      <c r="M248" s="261"/>
      <c r="N248" s="261"/>
      <c r="O248" s="261"/>
      <c r="P248" s="261"/>
    </row>
    <row r="249" spans="1:26" ht="19.5" hidden="1">
      <c r="A249" s="147"/>
      <c r="B249" s="148"/>
      <c r="C249" s="149" t="s">
        <v>16</v>
      </c>
      <c r="D249" s="826" t="s">
        <v>17</v>
      </c>
      <c r="E249" s="148"/>
      <c r="F249" s="148"/>
      <c r="G249" s="151"/>
      <c r="H249" s="274" t="s">
        <v>12</v>
      </c>
      <c r="I249" s="418"/>
      <c r="J249" s="418"/>
      <c r="K249" s="279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4"/>
      <c r="B250" s="315"/>
      <c r="C250" s="316"/>
      <c r="D250" s="324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282">
        <f ca="1">IFERROR(__xludf.DUMMYFUNCTION("IMPORTRANGE(""https://docs.google.com/spreadsheets/d/1QqKyyYR6Q21VydFLVH3TRQUabQu_ym0Zz7PgGX0-kHA/edit?usp=sharing"",""แผน!AZ59"")"),0)</f>
        <v>0</v>
      </c>
      <c r="M250" s="282"/>
      <c r="N250" s="829">
        <v>0</v>
      </c>
      <c r="O250" s="282"/>
      <c r="P250" s="282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9.5" hidden="1">
      <c r="A251" s="322"/>
      <c r="B251" s="315"/>
      <c r="C251" s="323"/>
      <c r="D251" s="324" t="s">
        <v>98</v>
      </c>
      <c r="E251" s="316"/>
      <c r="F251" s="316"/>
      <c r="G251" s="318"/>
      <c r="H251" s="319" t="s">
        <v>12</v>
      </c>
      <c r="I251" s="325"/>
      <c r="J251" s="325"/>
      <c r="K251" s="282"/>
      <c r="L251" s="282">
        <f ca="1">IFERROR(__xludf.DUMMYFUNCTION("IMPORTRANGE(""https://docs.google.com/spreadsheets/d/1QqKyyYR6Q21VydFLVH3TRQUabQu_ym0Zz7PgGX0-kHA/edit?usp=sharing"",""แผน!BA59"")"),0)</f>
        <v>0</v>
      </c>
      <c r="M251" s="282"/>
      <c r="N251" s="829">
        <v>0</v>
      </c>
      <c r="O251" s="282"/>
      <c r="P251" s="282"/>
      <c r="Q251" s="326"/>
      <c r="R251" s="326"/>
      <c r="S251" s="326"/>
      <c r="T251" s="326"/>
      <c r="U251" s="326"/>
      <c r="V251" s="326"/>
      <c r="W251" s="326"/>
      <c r="X251" s="326"/>
      <c r="Y251" s="326"/>
      <c r="Z251" s="326"/>
    </row>
    <row r="252" spans="1:26" ht="19.5" hidden="1">
      <c r="A252" s="322"/>
      <c r="B252" s="315"/>
      <c r="C252" s="323"/>
      <c r="D252" s="324" t="s">
        <v>116</v>
      </c>
      <c r="E252" s="316"/>
      <c r="F252" s="316"/>
      <c r="G252" s="318"/>
      <c r="H252" s="319" t="s">
        <v>12</v>
      </c>
      <c r="I252" s="325"/>
      <c r="J252" s="325"/>
      <c r="K252" s="282"/>
      <c r="L252" s="282">
        <f ca="1">IFERROR(__xludf.DUMMYFUNCTION("IMPORTRANGE(""https://docs.google.com/spreadsheets/d/1QqKyyYR6Q21VydFLVH3TRQUabQu_ym0Zz7PgGX0-kHA/edit?usp=sharing"",""แผน!BB59"")"),0)</f>
        <v>0</v>
      </c>
      <c r="M252" s="282"/>
      <c r="N252" s="829">
        <v>0</v>
      </c>
      <c r="O252" s="282"/>
      <c r="P252" s="282"/>
      <c r="Q252" s="326"/>
      <c r="R252" s="326"/>
      <c r="S252" s="326"/>
      <c r="T252" s="326"/>
      <c r="U252" s="326"/>
      <c r="V252" s="326"/>
      <c r="W252" s="326"/>
      <c r="X252" s="326"/>
      <c r="Y252" s="326"/>
      <c r="Z252" s="326"/>
    </row>
    <row r="253" spans="1:26" ht="19.5" hidden="1">
      <c r="A253" s="322"/>
      <c r="B253" s="315"/>
      <c r="C253" s="323"/>
      <c r="D253" s="324" t="s">
        <v>100</v>
      </c>
      <c r="E253" s="316"/>
      <c r="F253" s="316"/>
      <c r="G253" s="318"/>
      <c r="H253" s="319" t="s">
        <v>12</v>
      </c>
      <c r="I253" s="325"/>
      <c r="J253" s="325"/>
      <c r="K253" s="282"/>
      <c r="L253" s="282">
        <f ca="1">IFERROR(__xludf.DUMMYFUNCTION("IMPORTRANGE(""https://docs.google.com/spreadsheets/d/1QqKyyYR6Q21VydFLVH3TRQUabQu_ym0Zz7PgGX0-kHA/edit?usp=sharing"",""แผน!BC59"")"),0)</f>
        <v>0</v>
      </c>
      <c r="M253" s="282"/>
      <c r="N253" s="829">
        <v>0</v>
      </c>
      <c r="O253" s="282"/>
      <c r="P253" s="282"/>
      <c r="Q253" s="326"/>
      <c r="R253" s="326"/>
      <c r="S253" s="326"/>
      <c r="T253" s="326"/>
      <c r="U253" s="326"/>
      <c r="V253" s="326"/>
      <c r="W253" s="326"/>
      <c r="X253" s="326"/>
      <c r="Y253" s="326"/>
      <c r="Z253" s="326"/>
    </row>
    <row r="254" spans="1:26" ht="19.5" hidden="1">
      <c r="A254" s="170"/>
      <c r="B254" s="171"/>
      <c r="C254" s="292" t="s">
        <v>16</v>
      </c>
      <c r="D254" s="823" t="s">
        <v>38</v>
      </c>
      <c r="E254" s="173"/>
      <c r="F254" s="173"/>
      <c r="G254" s="174"/>
      <c r="H254" s="753"/>
      <c r="I254" s="184"/>
      <c r="J254" s="269"/>
      <c r="K254" s="496"/>
      <c r="L254" s="496"/>
      <c r="M254" s="496"/>
      <c r="N254" s="496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6" t="s">
        <v>117</v>
      </c>
      <c r="E255" s="178"/>
      <c r="F255" s="178"/>
      <c r="G255" s="179"/>
      <c r="H255" s="755" t="s">
        <v>35</v>
      </c>
      <c r="I255" s="269">
        <f ca="1">IFERROR(__xludf.DUMMYFUNCTION("IMPORTRANGE(""https://docs.google.com/spreadsheets/d/1QqKyyYR6Q21VydFLVH3TRQUabQu_ym0Zz7PgGX0-kHA/edit?usp=sharing"",""แผน!BF59"")"),0)</f>
        <v>0</v>
      </c>
      <c r="J255" s="214">
        <v>0</v>
      </c>
      <c r="K255" s="496">
        <f ca="1">IF(I255&gt;0,J255*100/I255,0)</f>
        <v>0</v>
      </c>
      <c r="L255" s="496"/>
      <c r="M255" s="496"/>
      <c r="N255" s="496"/>
      <c r="O255" s="496"/>
      <c r="P255" s="496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30" t="s">
        <v>43</v>
      </c>
      <c r="E256" s="178"/>
      <c r="F256" s="178"/>
      <c r="G256" s="179"/>
      <c r="H256" s="755"/>
      <c r="I256" s="269"/>
      <c r="J256" s="269"/>
      <c r="K256" s="496"/>
      <c r="L256" s="496"/>
      <c r="M256" s="496"/>
      <c r="N256" s="496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55" t="s">
        <v>35</v>
      </c>
      <c r="I257" s="269"/>
      <c r="J257" s="214">
        <v>0</v>
      </c>
      <c r="K257" s="496">
        <f t="shared" ref="K257:K258" si="114">IF(I257&gt;0,J257*100/I257,0)</f>
        <v>0</v>
      </c>
      <c r="L257" s="496"/>
      <c r="M257" s="496"/>
      <c r="N257" s="496"/>
      <c r="O257" s="496"/>
      <c r="P257" s="496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55" t="s">
        <v>69</v>
      </c>
      <c r="I258" s="269"/>
      <c r="J258" s="214">
        <v>0</v>
      </c>
      <c r="K258" s="496">
        <f t="shared" si="114"/>
        <v>0</v>
      </c>
      <c r="L258" s="496"/>
      <c r="M258" s="496"/>
      <c r="N258" s="496"/>
      <c r="O258" s="496"/>
      <c r="P258" s="496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1" t="s">
        <v>122</v>
      </c>
      <c r="B259" s="242"/>
      <c r="C259" s="242"/>
      <c r="D259" s="243"/>
      <c r="E259" s="243"/>
      <c r="F259" s="243"/>
      <c r="G259" s="244"/>
      <c r="H259" s="245"/>
      <c r="I259" s="246"/>
      <c r="J259" s="246"/>
      <c r="K259" s="247"/>
      <c r="L259" s="247"/>
      <c r="M259" s="247"/>
      <c r="N259" s="247"/>
      <c r="O259" s="247"/>
      <c r="P259" s="247"/>
    </row>
    <row r="260" spans="1:26" ht="19.5">
      <c r="A260" s="248"/>
      <c r="B260" s="249" t="s">
        <v>123</v>
      </c>
      <c r="C260" s="250"/>
      <c r="D260" s="173"/>
      <c r="E260" s="173"/>
      <c r="F260" s="173"/>
      <c r="G260" s="174"/>
      <c r="H260" s="251" t="s">
        <v>35</v>
      </c>
      <c r="I260" s="252">
        <f t="shared" ref="I260:J260" ca="1" si="115">I271</f>
        <v>22</v>
      </c>
      <c r="J260" s="252">
        <f t="shared" si="115"/>
        <v>0</v>
      </c>
      <c r="K260" s="253">
        <f ca="1">IF(I260&gt;0,J260*100/I260,0)</f>
        <v>0</v>
      </c>
      <c r="L260" s="254"/>
      <c r="M260" s="254"/>
      <c r="N260" s="254"/>
      <c r="O260" s="254"/>
      <c r="P260" s="254"/>
    </row>
    <row r="261" spans="1:26" ht="19.5">
      <c r="A261" s="147"/>
      <c r="B261" s="148"/>
      <c r="C261" s="149" t="s">
        <v>16</v>
      </c>
      <c r="D261" s="822" t="s">
        <v>17</v>
      </c>
      <c r="E261" s="148"/>
      <c r="F261" s="148"/>
      <c r="G261" s="151"/>
      <c r="H261" s="152" t="s">
        <v>12</v>
      </c>
      <c r="I261" s="419"/>
      <c r="J261" s="419"/>
      <c r="K261" s="154"/>
      <c r="L261" s="155">
        <f t="shared" ref="L261:N261" ca="1" si="116">L262+L263</f>
        <v>26900</v>
      </c>
      <c r="M261" s="155">
        <f t="shared" ca="1" si="116"/>
        <v>0</v>
      </c>
      <c r="N261" s="155">
        <f t="shared" ca="1" si="116"/>
        <v>0</v>
      </c>
      <c r="O261" s="155">
        <f t="shared" ref="O261:O269" ca="1" si="117">IF(L261&gt;0,N261*100/L261,0)</f>
        <v>0</v>
      </c>
      <c r="P261" s="155">
        <f t="shared" ref="P261:P269" ca="1" si="118">IF(M261&gt;0,N261*100/M261,0)</f>
        <v>0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2" t="s">
        <v>18</v>
      </c>
      <c r="F262" s="40"/>
      <c r="G262" s="157"/>
      <c r="H262" s="158" t="s">
        <v>12</v>
      </c>
      <c r="I262" s="610"/>
      <c r="J262" s="610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2" t="s">
        <v>19</v>
      </c>
      <c r="F263" s="40"/>
      <c r="G263" s="157"/>
      <c r="H263" s="158" t="s">
        <v>12</v>
      </c>
      <c r="I263" s="610"/>
      <c r="J263" s="610"/>
      <c r="K263" s="93"/>
      <c r="L263" s="93">
        <f t="shared" ca="1" si="119"/>
        <v>26900</v>
      </c>
      <c r="M263" s="93">
        <f t="shared" ca="1" si="119"/>
        <v>0</v>
      </c>
      <c r="N263" s="93">
        <f t="shared" ca="1" si="119"/>
        <v>0</v>
      </c>
      <c r="O263" s="93">
        <f t="shared" ca="1" si="117"/>
        <v>0</v>
      </c>
      <c r="P263" s="93">
        <f t="shared" ca="1" si="118"/>
        <v>0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1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6">
        <f t="shared" ref="L264:N264" ca="1" si="120">L265+L266</f>
        <v>26900</v>
      </c>
      <c r="M264" s="496">
        <f t="shared" ca="1" si="120"/>
        <v>0</v>
      </c>
      <c r="N264" s="496">
        <f t="shared" ca="1" si="120"/>
        <v>0</v>
      </c>
      <c r="O264" s="496">
        <f t="shared" ca="1" si="117"/>
        <v>0</v>
      </c>
      <c r="P264" s="496">
        <f t="shared" ca="1" si="118"/>
        <v>0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2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2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IFERROR(__xludf.DUMMYFUNCTION("IMPORTRANGE(""https://docs.google.com/spreadsheets/d/1MeEWN-I1oV_STSDYn1IFDPWt_1FKiwhDph83XaGc0o0/edit?usp=sharing"",""งบพรบ!CY59"")"),26900)</f>
        <v>26900</v>
      </c>
      <c r="M266" s="93">
        <f ca="1">IFERROR(__xludf.DUMMYFUNCTION("IMPORTRANGE(""https://docs.google.com/spreadsheets/d/1MeEWN-I1oV_STSDYn1IFDPWt_1FKiwhDph83XaGc0o0/edit?usp=sharing"",""งบพรบ!DD59"")"),0)</f>
        <v>0</v>
      </c>
      <c r="N266" s="93">
        <f ca="1">IFERROR(__xludf.DUMMYFUNCTION("IMPORTRANGE(""https://docs.google.com/spreadsheets/d/1MeEWN-I1oV_STSDYn1IFDPWt_1FKiwhDph83XaGc0o0/edit?usp=sharing"",""งบพรบ!DF59"")"),0)</f>
        <v>0</v>
      </c>
      <c r="O266" s="93">
        <f t="shared" ca="1" si="117"/>
        <v>0</v>
      </c>
      <c r="P266" s="93">
        <f t="shared" ca="1" si="118"/>
        <v>0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1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6">
        <f t="shared" ref="L267:N267" ca="1" si="121">L268+L269</f>
        <v>0</v>
      </c>
      <c r="M267" s="496">
        <f t="shared" ca="1" si="121"/>
        <v>0</v>
      </c>
      <c r="N267" s="496">
        <f t="shared" ca="1" si="121"/>
        <v>0</v>
      </c>
      <c r="O267" s="496">
        <f t="shared" ca="1" si="117"/>
        <v>0</v>
      </c>
      <c r="P267" s="496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2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2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IFERROR(__xludf.DUMMYFUNCTION("IMPORTRANGE(""https://docs.google.com/spreadsheets/d/1MeEWN-I1oV_STSDYn1IFDPWt_1FKiwhDph83XaGc0o0/edit?usp=sharing"",""งบพรบ!DB59"")"),0)</f>
        <v>0</v>
      </c>
      <c r="M269" s="93">
        <f ca="1">IFERROR(__xludf.DUMMYFUNCTION("IMPORTRANGE(""https://docs.google.com/spreadsheets/d/1MeEWN-I1oV_STSDYn1IFDPWt_1FKiwhDph83XaGc0o0/edit?usp=sharing"",""งบพรบ!DE59"")"),0)</f>
        <v>0</v>
      </c>
      <c r="N269" s="93">
        <f ca="1">IFERROR(__xludf.DUMMYFUNCTION("IMPORTRANGE(""https://docs.google.com/spreadsheets/d/1MeEWN-I1oV_STSDYn1IFDPWt_1FKiwhDph83XaGc0o0/edit?usp=sharing"",""งบพรบ!DG59"")"),0)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1" t="s">
        <v>16</v>
      </c>
      <c r="D270" s="823" t="s">
        <v>38</v>
      </c>
      <c r="E270" s="173"/>
      <c r="F270" s="173"/>
      <c r="G270" s="174"/>
      <c r="H270" s="753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5" t="s">
        <v>124</v>
      </c>
      <c r="E271" s="178"/>
      <c r="F271" s="366"/>
      <c r="G271" s="179"/>
      <c r="H271" s="376" t="s">
        <v>35</v>
      </c>
      <c r="I271" s="269">
        <f ca="1">IFERROR(__xludf.DUMMYFUNCTION("IMPORTRANGE(""https://docs.google.com/spreadsheets/d/1QqKyyYR6Q21VydFLVH3TRQUabQu_ym0Zz7PgGX0-kHA/edit?usp=sharing"",""แผน!EA59"")"),22)</f>
        <v>22</v>
      </c>
      <c r="J271" s="214">
        <v>0</v>
      </c>
      <c r="K271" s="163">
        <f ca="1">IF(I271&gt;0,J271*100/I271,0)</f>
        <v>0</v>
      </c>
      <c r="L271" s="163"/>
      <c r="M271" s="163"/>
      <c r="N271" s="163"/>
      <c r="O271" s="163"/>
      <c r="P271" s="163"/>
    </row>
    <row r="272" spans="1:26" ht="18.75" hidden="1">
      <c r="A272" s="377"/>
      <c r="B272" s="378"/>
      <c r="C272" s="378"/>
      <c r="D272" s="379" t="s">
        <v>125</v>
      </c>
      <c r="E272" s="380"/>
      <c r="F272" s="380"/>
      <c r="G272" s="381"/>
      <c r="H272" s="50" t="s">
        <v>35</v>
      </c>
      <c r="I272" s="499">
        <v>0</v>
      </c>
      <c r="J272" s="499">
        <v>0</v>
      </c>
      <c r="K272" s="384">
        <v>0</v>
      </c>
      <c r="L272" s="384"/>
      <c r="M272" s="384"/>
      <c r="N272" s="384"/>
      <c r="O272" s="384"/>
      <c r="P272" s="384"/>
    </row>
    <row r="273" spans="1:26" ht="19.5">
      <c r="A273" s="385" t="s">
        <v>126</v>
      </c>
      <c r="B273" s="386"/>
      <c r="C273" s="386"/>
      <c r="D273" s="386"/>
      <c r="E273" s="387"/>
      <c r="F273" s="387"/>
      <c r="G273" s="388"/>
      <c r="H273" s="389"/>
      <c r="I273" s="390"/>
      <c r="J273" s="390"/>
      <c r="K273" s="391"/>
      <c r="L273" s="391"/>
      <c r="M273" s="391"/>
      <c r="N273" s="391"/>
      <c r="O273" s="391"/>
      <c r="P273" s="391"/>
    </row>
    <row r="274" spans="1:26" ht="19.5">
      <c r="A274" s="392" t="s">
        <v>127</v>
      </c>
      <c r="B274" s="393"/>
      <c r="C274" s="394"/>
      <c r="D274" s="393"/>
      <c r="E274" s="393"/>
      <c r="F274" s="393"/>
      <c r="G274" s="393"/>
      <c r="H274" s="395"/>
      <c r="I274" s="396"/>
      <c r="J274" s="397"/>
      <c r="K274" s="398"/>
      <c r="L274" s="398"/>
      <c r="M274" s="398"/>
      <c r="N274" s="398"/>
      <c r="O274" s="398"/>
      <c r="P274" s="398"/>
    </row>
    <row r="275" spans="1:26" ht="19.5">
      <c r="A275" s="399"/>
      <c r="B275" s="408" t="s">
        <v>128</v>
      </c>
      <c r="C275" s="401"/>
      <c r="D275" s="402"/>
      <c r="E275" s="401"/>
      <c r="F275" s="401"/>
      <c r="G275" s="403"/>
      <c r="H275" s="404" t="s">
        <v>35</v>
      </c>
      <c r="I275" s="405">
        <f t="shared" ref="I275:J275" ca="1" si="122">I288</f>
        <v>5</v>
      </c>
      <c r="J275" s="405">
        <f t="shared" ca="1" si="122"/>
        <v>0</v>
      </c>
      <c r="K275" s="406">
        <f t="shared" ref="K275:K276" ca="1" si="123">IF(I275&gt;0,J275*100/I275,0)</f>
        <v>0</v>
      </c>
      <c r="L275" s="407"/>
      <c r="M275" s="407"/>
      <c r="N275" s="407"/>
      <c r="O275" s="407"/>
      <c r="P275" s="407"/>
    </row>
    <row r="276" spans="1:26" ht="19.5">
      <c r="A276" s="399"/>
      <c r="B276" s="408"/>
      <c r="C276" s="401"/>
      <c r="D276" s="402"/>
      <c r="E276" s="401"/>
      <c r="F276" s="401"/>
      <c r="G276" s="403"/>
      <c r="H276" s="404" t="s">
        <v>46</v>
      </c>
      <c r="I276" s="831">
        <f t="shared" ref="I276:J276" ca="1" si="124">I287</f>
        <v>50</v>
      </c>
      <c r="J276" s="831">
        <f t="shared" si="124"/>
        <v>0</v>
      </c>
      <c r="K276" s="407">
        <f t="shared" ca="1" si="123"/>
        <v>0</v>
      </c>
      <c r="L276" s="407"/>
      <c r="M276" s="407"/>
      <c r="N276" s="407"/>
      <c r="O276" s="407"/>
      <c r="P276" s="407"/>
    </row>
    <row r="277" spans="1:26" ht="19.5">
      <c r="A277" s="147"/>
      <c r="B277" s="148"/>
      <c r="C277" s="149" t="s">
        <v>16</v>
      </c>
      <c r="D277" s="822" t="s">
        <v>17</v>
      </c>
      <c r="E277" s="148"/>
      <c r="F277" s="148"/>
      <c r="G277" s="151"/>
      <c r="H277" s="152" t="s">
        <v>12</v>
      </c>
      <c r="I277" s="419"/>
      <c r="J277" s="419"/>
      <c r="K277" s="154"/>
      <c r="L277" s="155">
        <f t="shared" ref="L277:N277" ca="1" si="125">L278+L279</f>
        <v>22630</v>
      </c>
      <c r="M277" s="155">
        <f t="shared" ca="1" si="125"/>
        <v>9410</v>
      </c>
      <c r="N277" s="155">
        <f t="shared" ca="1" si="125"/>
        <v>740</v>
      </c>
      <c r="O277" s="155">
        <f t="shared" ref="O277:O285" ca="1" si="126">IF(L277&gt;0,N277*100/L277,0)</f>
        <v>3.2699955810870525</v>
      </c>
      <c r="P277" s="155">
        <f t="shared" ref="P277:P285" ca="1" si="127">IF(M277&gt;0,N277*100/M277,0)</f>
        <v>7.8639744952178532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2" t="s">
        <v>18</v>
      </c>
      <c r="F278" s="40"/>
      <c r="G278" s="157"/>
      <c r="H278" s="158" t="s">
        <v>12</v>
      </c>
      <c r="I278" s="610"/>
      <c r="J278" s="610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2" t="s">
        <v>19</v>
      </c>
      <c r="F279" s="40"/>
      <c r="G279" s="157"/>
      <c r="H279" s="158" t="s">
        <v>12</v>
      </c>
      <c r="I279" s="610"/>
      <c r="J279" s="610"/>
      <c r="K279" s="93"/>
      <c r="L279" s="93">
        <f t="shared" ca="1" si="128"/>
        <v>22630</v>
      </c>
      <c r="M279" s="93">
        <f t="shared" ca="1" si="128"/>
        <v>9410</v>
      </c>
      <c r="N279" s="93">
        <f t="shared" ca="1" si="128"/>
        <v>740</v>
      </c>
      <c r="O279" s="93">
        <f t="shared" ca="1" si="126"/>
        <v>3.2699955810870525</v>
      </c>
      <c r="P279" s="93">
        <f t="shared" ca="1" si="127"/>
        <v>7.8639744952178532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>
      <c r="A280" s="159"/>
      <c r="B280" s="33"/>
      <c r="C280" s="281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6">
        <f t="shared" ref="L280:N280" ca="1" si="129">L281+L282</f>
        <v>22630</v>
      </c>
      <c r="M280" s="496">
        <f t="shared" ca="1" si="129"/>
        <v>9410</v>
      </c>
      <c r="N280" s="496">
        <f t="shared" ca="1" si="129"/>
        <v>740</v>
      </c>
      <c r="O280" s="496">
        <f t="shared" ca="1" si="126"/>
        <v>3.2699955810870525</v>
      </c>
      <c r="P280" s="496">
        <f t="shared" ca="1" si="127"/>
        <v>7.8639744952178532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2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2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IFERROR(__xludf.DUMMYFUNCTION("IMPORTRANGE(""https://docs.google.com/spreadsheets/d/1MeEWN-I1oV_STSDYn1IFDPWt_1FKiwhDph83XaGc0o0/edit?usp=sharing"",""งบพรบ!DI59"")"),22630)</f>
        <v>22630</v>
      </c>
      <c r="M282" s="93">
        <f ca="1">IFERROR(__xludf.DUMMYFUNCTION("IMPORTRANGE(""https://docs.google.com/spreadsheets/d/1MeEWN-I1oV_STSDYn1IFDPWt_1FKiwhDph83XaGc0o0/edit?usp=sharing"",""งบพรบ!DN59"")"),9410)</f>
        <v>9410</v>
      </c>
      <c r="N282" s="93">
        <f ca="1">IFERROR(__xludf.DUMMYFUNCTION("IMPORTRANGE(""https://docs.google.com/spreadsheets/d/1MeEWN-I1oV_STSDYn1IFDPWt_1FKiwhDph83XaGc0o0/edit?usp=sharing"",""งบพรบ!DP59"")"),740)</f>
        <v>740</v>
      </c>
      <c r="O282" s="93">
        <f t="shared" ca="1" si="126"/>
        <v>3.2699955810870525</v>
      </c>
      <c r="P282" s="93">
        <f t="shared" ca="1" si="127"/>
        <v>7.8639744952178532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>
      <c r="A283" s="159"/>
      <c r="B283" s="33"/>
      <c r="C283" s="281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6">
        <f t="shared" ref="L283:N283" ca="1" si="130">L284+L285</f>
        <v>0</v>
      </c>
      <c r="M283" s="496">
        <f t="shared" ca="1" si="130"/>
        <v>0</v>
      </c>
      <c r="N283" s="496">
        <f t="shared" ca="1" si="130"/>
        <v>0</v>
      </c>
      <c r="O283" s="496">
        <f t="shared" ca="1" si="126"/>
        <v>0</v>
      </c>
      <c r="P283" s="496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2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2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IFERROR(__xludf.DUMMYFUNCTION("IMPORTRANGE(""https://docs.google.com/spreadsheets/d/1MeEWN-I1oV_STSDYn1IFDPWt_1FKiwhDph83XaGc0o0/edit?usp=sharing"",""งบพรบ!DL59"")"),0)</f>
        <v>0</v>
      </c>
      <c r="M285" s="93">
        <f ca="1">IFERROR(__xludf.DUMMYFUNCTION("IMPORTRANGE(""https://docs.google.com/spreadsheets/d/1MeEWN-I1oV_STSDYn1IFDPWt_1FKiwhDph83XaGc0o0/edit?usp=sharing"",""งบพรบ!DO59"")"),0)</f>
        <v>0</v>
      </c>
      <c r="N285" s="93">
        <f ca="1">IFERROR(__xludf.DUMMYFUNCTION("IMPORTRANGE(""https://docs.google.com/spreadsheets/d/1MeEWN-I1oV_STSDYn1IFDPWt_1FKiwhDph83XaGc0o0/edit?usp=sharing"",""งบพรบ!DQ59"")"),0)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>
      <c r="A286" s="170"/>
      <c r="B286" s="171"/>
      <c r="C286" s="164" t="s">
        <v>16</v>
      </c>
      <c r="D286" s="823" t="s">
        <v>38</v>
      </c>
      <c r="E286" s="173"/>
      <c r="F286" s="173"/>
      <c r="G286" s="174"/>
      <c r="H286" s="753"/>
      <c r="I286" s="184"/>
      <c r="J286" s="184"/>
      <c r="K286" s="163"/>
      <c r="L286" s="163"/>
      <c r="M286" s="163"/>
      <c r="N286" s="163"/>
      <c r="O286" s="163"/>
      <c r="P286" s="163"/>
    </row>
    <row r="287" spans="1:26" ht="18.75">
      <c r="A287" s="170"/>
      <c r="B287" s="171"/>
      <c r="C287" s="171"/>
      <c r="D287" s="619" t="s">
        <v>129</v>
      </c>
      <c r="E287" s="171"/>
      <c r="F287" s="178"/>
      <c r="G287" s="179"/>
      <c r="H287" s="185" t="s">
        <v>46</v>
      </c>
      <c r="I287" s="269">
        <f ca="1">IFERROR(__xludf.DUMMYFUNCTION("IMPORTRANGE(""https://docs.google.com/spreadsheets/d/1QqKyyYR6Q21VydFLVH3TRQUabQu_ym0Zz7PgGX0-kHA/edit?usp=sharing"",""แผน!EC59"")"),50)</f>
        <v>50</v>
      </c>
      <c r="J287" s="214">
        <v>0</v>
      </c>
      <c r="K287" s="163">
        <f t="shared" ref="K287:K288" ca="1" si="131">IF(I287&gt;0,J287*100/I287,0)</f>
        <v>0</v>
      </c>
      <c r="L287" s="163"/>
      <c r="M287" s="163"/>
      <c r="N287" s="163"/>
      <c r="O287" s="163"/>
      <c r="P287" s="163"/>
    </row>
    <row r="288" spans="1:26" ht="19.5">
      <c r="A288" s="170"/>
      <c r="B288" s="171"/>
      <c r="C288" s="171"/>
      <c r="D288" s="619" t="s">
        <v>130</v>
      </c>
      <c r="E288" s="171"/>
      <c r="F288" s="178"/>
      <c r="G288" s="179"/>
      <c r="H288" s="180" t="s">
        <v>35</v>
      </c>
      <c r="I288" s="674">
        <f ca="1">IFERROR(__xludf.DUMMYFUNCTION("IMPORTRANGE(""https://docs.google.com/spreadsheets/d/1QqKyyYR6Q21VydFLVH3TRQUabQu_ym0Zz7PgGX0-kHA/edit?usp=sharing"",""แผน!EB59"")"),5)</f>
        <v>5</v>
      </c>
      <c r="J288" s="674">
        <f ca="1">IF(AND(J291&gt;=I288,J294&gt;=I288),J294,0)</f>
        <v>0</v>
      </c>
      <c r="K288" s="410">
        <f t="shared" ca="1" si="131"/>
        <v>0</v>
      </c>
      <c r="L288" s="163"/>
      <c r="M288" s="163"/>
      <c r="N288" s="163"/>
      <c r="O288" s="163"/>
      <c r="P288" s="163"/>
    </row>
    <row r="289" spans="1:26" ht="19.5">
      <c r="A289" s="170"/>
      <c r="B289" s="171"/>
      <c r="C289" s="171"/>
      <c r="D289" s="411"/>
      <c r="E289" s="412" t="s">
        <v>131</v>
      </c>
      <c r="F289" s="178"/>
      <c r="G289" s="179"/>
      <c r="H289" s="755"/>
      <c r="I289" s="184"/>
      <c r="J289" s="269"/>
      <c r="K289" s="163"/>
      <c r="L289" s="163"/>
      <c r="M289" s="163"/>
      <c r="N289" s="163"/>
      <c r="O289" s="163"/>
      <c r="P289" s="163"/>
    </row>
    <row r="290" spans="1:26" ht="19.5">
      <c r="A290" s="170"/>
      <c r="B290" s="171"/>
      <c r="C290" s="171"/>
      <c r="D290" s="411"/>
      <c r="E290" s="619" t="s">
        <v>132</v>
      </c>
      <c r="F290" s="178"/>
      <c r="G290" s="179"/>
      <c r="H290" s="755" t="s">
        <v>35</v>
      </c>
      <c r="I290" s="184">
        <f ca="1">IFERROR(__xludf.DUMMYFUNCTION("IMPORTRANGE(""https://docs.google.com/spreadsheets/d/1QqKyyYR6Q21VydFLVH3TRQUabQu_ym0Zz7PgGX0-kHA/edit?usp=sharing"",""แผน!EB59"")"),5)</f>
        <v>5</v>
      </c>
      <c r="J290" s="214">
        <v>0</v>
      </c>
      <c r="K290" s="163">
        <f t="shared" ref="K290:K291" ca="1" si="132">IF(I290&gt;0,J290*100/I290,0)</f>
        <v>0</v>
      </c>
      <c r="L290" s="163"/>
      <c r="M290" s="163"/>
      <c r="N290" s="163"/>
      <c r="O290" s="163"/>
      <c r="P290" s="163"/>
    </row>
    <row r="291" spans="1:26" ht="19.5">
      <c r="A291" s="170"/>
      <c r="B291" s="171"/>
      <c r="C291" s="171"/>
      <c r="D291" s="178"/>
      <c r="E291" s="619" t="s">
        <v>133</v>
      </c>
      <c r="F291" s="178"/>
      <c r="G291" s="179"/>
      <c r="H291" s="755" t="s">
        <v>35</v>
      </c>
      <c r="I291" s="184">
        <f ca="1">IFERROR(__xludf.DUMMYFUNCTION("IMPORTRANGE(""https://docs.google.com/spreadsheets/d/1QqKyyYR6Q21VydFLVH3TRQUabQu_ym0Zz7PgGX0-kHA/edit?usp=sharing"",""แผน!EB59"")"),5)</f>
        <v>5</v>
      </c>
      <c r="J291" s="214">
        <v>0</v>
      </c>
      <c r="K291" s="163">
        <f t="shared" ca="1" si="132"/>
        <v>0</v>
      </c>
      <c r="L291" s="163"/>
      <c r="M291" s="163"/>
      <c r="N291" s="163"/>
      <c r="O291" s="163"/>
      <c r="P291" s="163"/>
    </row>
    <row r="292" spans="1:26" ht="19.5">
      <c r="A292" s="413"/>
      <c r="B292" s="414"/>
      <c r="C292" s="414"/>
      <c r="D292" s="415"/>
      <c r="E292" s="416" t="s">
        <v>134</v>
      </c>
      <c r="F292" s="287"/>
      <c r="G292" s="288"/>
      <c r="H292" s="417"/>
      <c r="I292" s="418"/>
      <c r="J292" s="419"/>
      <c r="K292" s="279"/>
      <c r="L292" s="279"/>
      <c r="M292" s="279"/>
      <c r="N292" s="279"/>
      <c r="O292" s="279"/>
      <c r="P292" s="279"/>
    </row>
    <row r="293" spans="1:26" ht="19.5">
      <c r="A293" s="170"/>
      <c r="B293" s="171"/>
      <c r="C293" s="171"/>
      <c r="D293" s="411"/>
      <c r="E293" s="619" t="s">
        <v>132</v>
      </c>
      <c r="F293" s="178"/>
      <c r="G293" s="179"/>
      <c r="H293" s="755" t="s">
        <v>35</v>
      </c>
      <c r="I293" s="184">
        <f ca="1">IFERROR(__xludf.DUMMYFUNCTION("IMPORTRANGE(""https://docs.google.com/spreadsheets/d/1QqKyyYR6Q21VydFLVH3TRQUabQu_ym0Zz7PgGX0-kHA/edit?usp=sharing"",""แผน!EB59"")"),5)</f>
        <v>5</v>
      </c>
      <c r="J293" s="214">
        <v>0</v>
      </c>
      <c r="K293" s="163">
        <f t="shared" ref="K293:K294" ca="1" si="133">IF(I293&gt;0,J293*100/I293,0)</f>
        <v>0</v>
      </c>
      <c r="L293" s="163"/>
      <c r="M293" s="163"/>
      <c r="N293" s="163"/>
      <c r="O293" s="163"/>
      <c r="P293" s="163"/>
    </row>
    <row r="294" spans="1:26" ht="19.5">
      <c r="A294" s="377"/>
      <c r="B294" s="378"/>
      <c r="C294" s="378"/>
      <c r="D294" s="380"/>
      <c r="E294" s="725" t="s">
        <v>136</v>
      </c>
      <c r="F294" s="380"/>
      <c r="G294" s="381"/>
      <c r="H294" s="421" t="s">
        <v>35</v>
      </c>
      <c r="I294" s="422">
        <f ca="1">IFERROR(__xludf.DUMMYFUNCTION("IMPORTRANGE(""https://docs.google.com/spreadsheets/d/1QqKyyYR6Q21VydFLVH3TRQUabQu_ym0Zz7PgGX0-kHA/edit?usp=sharing"",""แผน!EB59"")"),5)</f>
        <v>5</v>
      </c>
      <c r="J294" s="423">
        <v>0</v>
      </c>
      <c r="K294" s="384">
        <f t="shared" ca="1" si="133"/>
        <v>0</v>
      </c>
      <c r="L294" s="384"/>
      <c r="M294" s="384"/>
      <c r="N294" s="384"/>
      <c r="O294" s="384"/>
      <c r="P294" s="384"/>
    </row>
    <row r="295" spans="1:26" ht="19.5">
      <c r="A295" s="424" t="s">
        <v>137</v>
      </c>
      <c r="B295" s="425"/>
      <c r="C295" s="425"/>
      <c r="D295" s="425"/>
      <c r="E295" s="426"/>
      <c r="F295" s="426"/>
      <c r="G295" s="427"/>
      <c r="H295" s="428"/>
      <c r="I295" s="429"/>
      <c r="J295" s="429"/>
      <c r="K295" s="430"/>
      <c r="L295" s="430"/>
      <c r="M295" s="430"/>
      <c r="N295" s="430"/>
      <c r="O295" s="430"/>
      <c r="P295" s="430"/>
    </row>
    <row r="296" spans="1:26" ht="19.5">
      <c r="A296" s="431" t="s">
        <v>138</v>
      </c>
      <c r="B296" s="432"/>
      <c r="C296" s="432"/>
      <c r="D296" s="433"/>
      <c r="E296" s="433"/>
      <c r="F296" s="433"/>
      <c r="G296" s="434"/>
      <c r="H296" s="435"/>
      <c r="I296" s="436"/>
      <c r="J296" s="436"/>
      <c r="K296" s="437"/>
      <c r="L296" s="437"/>
      <c r="M296" s="437"/>
      <c r="N296" s="437"/>
      <c r="O296" s="437"/>
      <c r="P296" s="437"/>
    </row>
    <row r="297" spans="1:26" ht="19.5">
      <c r="A297" s="438"/>
      <c r="B297" s="439" t="s">
        <v>139</v>
      </c>
      <c r="C297" s="440"/>
      <c r="D297" s="440"/>
      <c r="E297" s="440"/>
      <c r="F297" s="440"/>
      <c r="G297" s="441"/>
      <c r="H297" s="442" t="s">
        <v>35</v>
      </c>
      <c r="I297" s="443">
        <f t="shared" ref="I297:J297" ca="1" si="134">I309</f>
        <v>15</v>
      </c>
      <c r="J297" s="443">
        <f t="shared" si="134"/>
        <v>0</v>
      </c>
      <c r="K297" s="444">
        <f ca="1">IF(I297&gt;0,J297*100/I297,0)</f>
        <v>0</v>
      </c>
      <c r="L297" s="445"/>
      <c r="M297" s="445"/>
      <c r="N297" s="445"/>
      <c r="O297" s="445"/>
      <c r="P297" s="445"/>
    </row>
    <row r="298" spans="1:26" ht="19.5">
      <c r="A298" s="147"/>
      <c r="B298" s="148"/>
      <c r="C298" s="149" t="s">
        <v>16</v>
      </c>
      <c r="D298" s="822" t="s">
        <v>17</v>
      </c>
      <c r="E298" s="148"/>
      <c r="F298" s="148"/>
      <c r="G298" s="151"/>
      <c r="H298" s="152" t="s">
        <v>12</v>
      </c>
      <c r="I298" s="419"/>
      <c r="J298" s="419"/>
      <c r="K298" s="154"/>
      <c r="L298" s="155">
        <f t="shared" ref="L298:N298" ca="1" si="135">L299+L300</f>
        <v>206800</v>
      </c>
      <c r="M298" s="155">
        <f t="shared" ca="1" si="135"/>
        <v>102840</v>
      </c>
      <c r="N298" s="155">
        <f t="shared" ca="1" si="135"/>
        <v>25388</v>
      </c>
      <c r="O298" s="155">
        <f t="shared" ref="O298:O306" ca="1" si="136">IF(L298&gt;0,N298*100/L298,0)</f>
        <v>12.276595744680851</v>
      </c>
      <c r="P298" s="155">
        <f t="shared" ref="P298:P306" ca="1" si="137">IF(M298&gt;0,N298*100/M298,0)</f>
        <v>24.686892259821082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2" t="s">
        <v>18</v>
      </c>
      <c r="F299" s="40"/>
      <c r="G299" s="157"/>
      <c r="H299" s="158" t="s">
        <v>12</v>
      </c>
      <c r="I299" s="610"/>
      <c r="J299" s="610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2" t="s">
        <v>19</v>
      </c>
      <c r="F300" s="40"/>
      <c r="G300" s="157"/>
      <c r="H300" s="158" t="s">
        <v>12</v>
      </c>
      <c r="I300" s="610"/>
      <c r="J300" s="610"/>
      <c r="K300" s="93"/>
      <c r="L300" s="93">
        <f t="shared" ca="1" si="138"/>
        <v>206800</v>
      </c>
      <c r="M300" s="93">
        <f t="shared" ca="1" si="138"/>
        <v>102840</v>
      </c>
      <c r="N300" s="93">
        <f t="shared" ca="1" si="138"/>
        <v>25388</v>
      </c>
      <c r="O300" s="93">
        <f t="shared" ca="1" si="136"/>
        <v>12.276595744680851</v>
      </c>
      <c r="P300" s="93">
        <f t="shared" ca="1" si="137"/>
        <v>24.686892259821082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>
      <c r="A301" s="159"/>
      <c r="B301" s="33"/>
      <c r="C301" s="281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6">
        <f t="shared" ref="L301:N301" ca="1" si="139">L302+L303</f>
        <v>206800</v>
      </c>
      <c r="M301" s="496">
        <f t="shared" ca="1" si="139"/>
        <v>102840</v>
      </c>
      <c r="N301" s="496">
        <f t="shared" ca="1" si="139"/>
        <v>25388</v>
      </c>
      <c r="O301" s="496">
        <f t="shared" ca="1" si="136"/>
        <v>12.276595744680851</v>
      </c>
      <c r="P301" s="496">
        <f t="shared" ca="1" si="137"/>
        <v>24.686892259821082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2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2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IFERROR(__xludf.DUMMYFUNCTION("IMPORTRANGE(""https://docs.google.com/spreadsheets/d/1MeEWN-I1oV_STSDYn1IFDPWt_1FKiwhDph83XaGc0o0/edit?usp=sharing"",""งบพรบ!DS59"")"),206800)</f>
        <v>206800</v>
      </c>
      <c r="M303" s="93">
        <f ca="1">IFERROR(__xludf.DUMMYFUNCTION("IMPORTRANGE(""https://docs.google.com/spreadsheets/d/1MeEWN-I1oV_STSDYn1IFDPWt_1FKiwhDph83XaGc0o0/edit?usp=sharing"",""งบพรบ!DX59"")"),102840)</f>
        <v>102840</v>
      </c>
      <c r="N303" s="93">
        <f ca="1">IFERROR(__xludf.DUMMYFUNCTION("IMPORTRANGE(""https://docs.google.com/spreadsheets/d/1MeEWN-I1oV_STSDYn1IFDPWt_1FKiwhDph83XaGc0o0/edit?usp=sharing"",""งบพรบ!DZ59"")"),25388)</f>
        <v>25388</v>
      </c>
      <c r="O303" s="93">
        <f t="shared" ca="1" si="136"/>
        <v>12.276595744680851</v>
      </c>
      <c r="P303" s="93">
        <f t="shared" ca="1" si="137"/>
        <v>24.686892259821082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>
      <c r="A304" s="159"/>
      <c r="B304" s="33"/>
      <c r="C304" s="281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6">
        <f t="shared" ref="L304:N304" ca="1" si="140">L305+L306</f>
        <v>0</v>
      </c>
      <c r="M304" s="496">
        <f t="shared" ca="1" si="140"/>
        <v>0</v>
      </c>
      <c r="N304" s="496">
        <f t="shared" ca="1" si="140"/>
        <v>0</v>
      </c>
      <c r="O304" s="496">
        <f t="shared" ca="1" si="136"/>
        <v>0</v>
      </c>
      <c r="P304" s="496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2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2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IFERROR(__xludf.DUMMYFUNCTION("IMPORTRANGE(""https://docs.google.com/spreadsheets/d/1MeEWN-I1oV_STSDYn1IFDPWt_1FKiwhDph83XaGc0o0/edit?usp=sharing"",""งบพรบ!DV59"")"),0)</f>
        <v>0</v>
      </c>
      <c r="M306" s="93">
        <f ca="1">IFERROR(__xludf.DUMMYFUNCTION("IMPORTRANGE(""https://docs.google.com/spreadsheets/d/1MeEWN-I1oV_STSDYn1IFDPWt_1FKiwhDph83XaGc0o0/edit?usp=sharing"",""งบพรบ!DY59"")"),0)</f>
        <v>0</v>
      </c>
      <c r="N306" s="93">
        <f ca="1">IFERROR(__xludf.DUMMYFUNCTION("IMPORTRANGE(""https://docs.google.com/spreadsheets/d/1MeEWN-I1oV_STSDYn1IFDPWt_1FKiwhDph83XaGc0o0/edit?usp=sharing"",""งบพรบ!EA59"")"),0)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>
      <c r="A307" s="170"/>
      <c r="B307" s="171"/>
      <c r="C307" s="164" t="s">
        <v>16</v>
      </c>
      <c r="D307" s="823" t="s">
        <v>38</v>
      </c>
      <c r="E307" s="173"/>
      <c r="F307" s="173"/>
      <c r="G307" s="174"/>
      <c r="H307" s="753"/>
      <c r="I307" s="269"/>
      <c r="J307" s="269"/>
      <c r="K307" s="496"/>
      <c r="L307" s="496"/>
      <c r="M307" s="496"/>
      <c r="N307" s="496"/>
      <c r="O307" s="496"/>
      <c r="P307" s="496"/>
    </row>
    <row r="308" spans="1:26" ht="18.75">
      <c r="A308" s="170"/>
      <c r="B308" s="171"/>
      <c r="C308" s="171"/>
      <c r="D308" s="446" t="s">
        <v>140</v>
      </c>
      <c r="E308" s="446"/>
      <c r="F308" s="446"/>
      <c r="G308" s="179"/>
      <c r="H308" s="755"/>
      <c r="I308" s="269"/>
      <c r="J308" s="214">
        <v>0</v>
      </c>
      <c r="K308" s="496"/>
      <c r="L308" s="496"/>
      <c r="M308" s="496"/>
      <c r="N308" s="496"/>
      <c r="O308" s="496"/>
      <c r="P308" s="496"/>
    </row>
    <row r="309" spans="1:26" ht="18.75">
      <c r="A309" s="170"/>
      <c r="B309" s="171"/>
      <c r="C309" s="171"/>
      <c r="D309" s="446" t="s">
        <v>141</v>
      </c>
      <c r="E309" s="446"/>
      <c r="F309" s="446"/>
      <c r="G309" s="179"/>
      <c r="H309" s="755" t="s">
        <v>35</v>
      </c>
      <c r="I309" s="269">
        <f ca="1">IFERROR(__xludf.DUMMYFUNCTION("IMPORTRANGE(""https://docs.google.com/spreadsheets/d/1QqKyyYR6Q21VydFLVH3TRQUabQu_ym0Zz7PgGX0-kHA/edit?usp=sharing"",""แผน!ED59"")"),15)</f>
        <v>15</v>
      </c>
      <c r="J309" s="214">
        <v>0</v>
      </c>
      <c r="K309" s="496">
        <f t="shared" ref="K309:K312" ca="1" si="141">IF(I309&gt;0,J309*100/I309,0)</f>
        <v>0</v>
      </c>
      <c r="L309" s="496"/>
      <c r="M309" s="496"/>
      <c r="N309" s="496"/>
      <c r="O309" s="496"/>
      <c r="P309" s="496"/>
    </row>
    <row r="310" spans="1:26" ht="18.75">
      <c r="A310" s="170"/>
      <c r="B310" s="171"/>
      <c r="C310" s="171"/>
      <c r="D310" s="446" t="s">
        <v>142</v>
      </c>
      <c r="E310" s="446"/>
      <c r="F310" s="446"/>
      <c r="G310" s="179"/>
      <c r="H310" s="755" t="s">
        <v>35</v>
      </c>
      <c r="I310" s="269">
        <f ca="1">IFERROR(__xludf.DUMMYFUNCTION("IMPORTRANGE(""https://docs.google.com/spreadsheets/d/1QqKyyYR6Q21VydFLVH3TRQUabQu_ym0Zz7PgGX0-kHA/edit?usp=sharing"",""แผน!ED59"")"),15)</f>
        <v>15</v>
      </c>
      <c r="J310" s="214">
        <v>0</v>
      </c>
      <c r="K310" s="496">
        <f t="shared" ca="1" si="141"/>
        <v>0</v>
      </c>
      <c r="L310" s="496"/>
      <c r="M310" s="496"/>
      <c r="N310" s="496"/>
      <c r="O310" s="496"/>
      <c r="P310" s="496"/>
    </row>
    <row r="311" spans="1:26" ht="18.75">
      <c r="A311" s="170"/>
      <c r="B311" s="171"/>
      <c r="C311" s="171"/>
      <c r="D311" s="446" t="s">
        <v>59</v>
      </c>
      <c r="E311" s="446"/>
      <c r="F311" s="446"/>
      <c r="G311" s="179"/>
      <c r="H311" s="755" t="s">
        <v>35</v>
      </c>
      <c r="I311" s="269">
        <f ca="1">IFERROR(__xludf.DUMMYFUNCTION("IMPORTRANGE(""https://docs.google.com/spreadsheets/d/1QqKyyYR6Q21VydFLVH3TRQUabQu_ym0Zz7PgGX0-kHA/edit?usp=sharing"",""แผน!ED59"")"),15)</f>
        <v>15</v>
      </c>
      <c r="J311" s="214">
        <v>0</v>
      </c>
      <c r="K311" s="496">
        <f t="shared" ca="1" si="141"/>
        <v>0</v>
      </c>
      <c r="L311" s="496"/>
      <c r="M311" s="496"/>
      <c r="N311" s="496"/>
      <c r="O311" s="496"/>
      <c r="P311" s="496"/>
    </row>
    <row r="312" spans="1:26" ht="18.75">
      <c r="A312" s="170"/>
      <c r="B312" s="171"/>
      <c r="C312" s="171"/>
      <c r="D312" s="446" t="s">
        <v>143</v>
      </c>
      <c r="E312" s="446"/>
      <c r="F312" s="446"/>
      <c r="G312" s="179"/>
      <c r="H312" s="755" t="s">
        <v>35</v>
      </c>
      <c r="I312" s="269">
        <f ca="1">IFERROR(__xludf.DUMMYFUNCTION("IMPORTRANGE(""https://docs.google.com/spreadsheets/d/1QqKyyYR6Q21VydFLVH3TRQUabQu_ym0Zz7PgGX0-kHA/edit?usp=sharing"",""แผน!EE59"")"),3)</f>
        <v>3</v>
      </c>
      <c r="J312" s="214">
        <v>0</v>
      </c>
      <c r="K312" s="496">
        <f t="shared" ca="1" si="141"/>
        <v>0</v>
      </c>
      <c r="L312" s="496"/>
      <c r="M312" s="496"/>
      <c r="N312" s="496"/>
      <c r="O312" s="496"/>
      <c r="P312" s="496"/>
    </row>
    <row r="313" spans="1:26" ht="19.5" hidden="1">
      <c r="A313" s="431" t="s">
        <v>144</v>
      </c>
      <c r="B313" s="432"/>
      <c r="C313" s="432"/>
      <c r="D313" s="433"/>
      <c r="E313" s="432"/>
      <c r="F313" s="432"/>
      <c r="G313" s="432"/>
      <c r="H313" s="448"/>
      <c r="I313" s="436"/>
      <c r="J313" s="436"/>
      <c r="K313" s="437"/>
      <c r="L313" s="437"/>
      <c r="M313" s="437"/>
      <c r="N313" s="437"/>
      <c r="O313" s="437"/>
      <c r="P313" s="437"/>
    </row>
    <row r="314" spans="1:26" ht="19.5" hidden="1">
      <c r="A314" s="449"/>
      <c r="B314" s="439" t="s">
        <v>145</v>
      </c>
      <c r="C314" s="450"/>
      <c r="D314" s="451"/>
      <c r="E314" s="440"/>
      <c r="F314" s="440"/>
      <c r="G314" s="441"/>
      <c r="H314" s="442" t="s">
        <v>146</v>
      </c>
      <c r="I314" s="443">
        <f t="shared" ref="I314:J314" ca="1" si="142">I325</f>
        <v>0</v>
      </c>
      <c r="J314" s="443">
        <f t="shared" si="142"/>
        <v>0</v>
      </c>
      <c r="K314" s="444">
        <f ca="1">IF(I314&gt;0,J314*100/I314,0)</f>
        <v>0</v>
      </c>
      <c r="L314" s="445"/>
      <c r="M314" s="445"/>
      <c r="N314" s="445"/>
      <c r="O314" s="445"/>
      <c r="P314" s="445"/>
    </row>
    <row r="315" spans="1:26" ht="19.5" hidden="1">
      <c r="A315" s="147"/>
      <c r="B315" s="148"/>
      <c r="C315" s="149" t="s">
        <v>16</v>
      </c>
      <c r="D315" s="822" t="s">
        <v>17</v>
      </c>
      <c r="E315" s="148"/>
      <c r="F315" s="148"/>
      <c r="G315" s="151"/>
      <c r="H315" s="152" t="s">
        <v>12</v>
      </c>
      <c r="I315" s="419"/>
      <c r="J315" s="419"/>
      <c r="K315" s="154"/>
      <c r="L315" s="155">
        <f t="shared" ref="L315:N315" ca="1" si="143">L316+L317</f>
        <v>0</v>
      </c>
      <c r="M315" s="155">
        <f t="shared" ca="1" si="143"/>
        <v>0</v>
      </c>
      <c r="N315" s="155">
        <f t="shared" ca="1" si="143"/>
        <v>0</v>
      </c>
      <c r="O315" s="155">
        <f t="shared" ref="O315:O323" ca="1" si="144">IF(L315&gt;0,N315*100/L315,0)</f>
        <v>0</v>
      </c>
      <c r="P315" s="155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2" t="s">
        <v>18</v>
      </c>
      <c r="F316" s="40"/>
      <c r="G316" s="157"/>
      <c r="H316" s="158" t="s">
        <v>12</v>
      </c>
      <c r="I316" s="610"/>
      <c r="J316" s="610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2" t="s">
        <v>19</v>
      </c>
      <c r="F317" s="40"/>
      <c r="G317" s="157"/>
      <c r="H317" s="158" t="s">
        <v>12</v>
      </c>
      <c r="I317" s="610"/>
      <c r="J317" s="610"/>
      <c r="K317" s="93"/>
      <c r="L317" s="93">
        <f t="shared" ca="1" si="146"/>
        <v>0</v>
      </c>
      <c r="M317" s="93">
        <f t="shared" ca="1" si="146"/>
        <v>0</v>
      </c>
      <c r="N317" s="93">
        <f t="shared" ca="1" si="146"/>
        <v>0</v>
      </c>
      <c r="O317" s="93">
        <f t="shared" ca="1" si="144"/>
        <v>0</v>
      </c>
      <c r="P317" s="93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1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6">
        <f t="shared" ref="L318:N318" ca="1" si="147">L319+L320</f>
        <v>0</v>
      </c>
      <c r="M318" s="496">
        <f t="shared" ca="1" si="147"/>
        <v>0</v>
      </c>
      <c r="N318" s="496">
        <f t="shared" ca="1" si="147"/>
        <v>0</v>
      </c>
      <c r="O318" s="496">
        <f t="shared" ca="1" si="144"/>
        <v>0</v>
      </c>
      <c r="P318" s="496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2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2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IFERROR(__xludf.DUMMYFUNCTION("IMPORTRANGE(""https://docs.google.com/spreadsheets/d/1MeEWN-I1oV_STSDYn1IFDPWt_1FKiwhDph83XaGc0o0/edit?usp=sharing"",""งบพรบ!EC59"")"),0)</f>
        <v>0</v>
      </c>
      <c r="M320" s="93">
        <f ca="1">IFERROR(__xludf.DUMMYFUNCTION("IMPORTRANGE(""https://docs.google.com/spreadsheets/d/1MeEWN-I1oV_STSDYn1IFDPWt_1FKiwhDph83XaGc0o0/edit?usp=sharing"",""งบพรบ!EH59"")"),0)</f>
        <v>0</v>
      </c>
      <c r="N320" s="93">
        <f ca="1">IFERROR(__xludf.DUMMYFUNCTION("IMPORTRANGE(""https://docs.google.com/spreadsheets/d/1MeEWN-I1oV_STSDYn1IFDPWt_1FKiwhDph83XaGc0o0/edit?usp=sharing"",""งบพรบ!EJ59"")"),0)</f>
        <v>0</v>
      </c>
      <c r="O320" s="93">
        <f t="shared" ca="1" si="144"/>
        <v>0</v>
      </c>
      <c r="P320" s="93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1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6">
        <f t="shared" ref="L321:N321" ca="1" si="148">L322+L323</f>
        <v>0</v>
      </c>
      <c r="M321" s="496">
        <f t="shared" ca="1" si="148"/>
        <v>0</v>
      </c>
      <c r="N321" s="496">
        <f t="shared" ca="1" si="148"/>
        <v>0</v>
      </c>
      <c r="O321" s="496">
        <f t="shared" ca="1" si="144"/>
        <v>0</v>
      </c>
      <c r="P321" s="496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2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2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IFERROR(__xludf.DUMMYFUNCTION("IMPORTRANGE(""https://docs.google.com/spreadsheets/d/1MeEWN-I1oV_STSDYn1IFDPWt_1FKiwhDph83XaGc0o0/edit?usp=sharing"",""งบพรบ!EF59"")"),0)</f>
        <v>0</v>
      </c>
      <c r="M323" s="93">
        <f ca="1">IFERROR(__xludf.DUMMYFUNCTION("IMPORTRANGE(""https://docs.google.com/spreadsheets/d/1MeEWN-I1oV_STSDYn1IFDPWt_1FKiwhDph83XaGc0o0/edit?usp=sharing"",""งบพรบ!EI59"")"),0)</f>
        <v>0</v>
      </c>
      <c r="N323" s="93">
        <f ca="1">IFERROR(__xludf.DUMMYFUNCTION("IMPORTRANGE(""https://docs.google.com/spreadsheets/d/1MeEWN-I1oV_STSDYn1IFDPWt_1FKiwhDph83XaGc0o0/edit?usp=sharing"",""งบพรบ!EK59"")"),0)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23" t="s">
        <v>38</v>
      </c>
      <c r="E324" s="173"/>
      <c r="F324" s="173"/>
      <c r="G324" s="174"/>
      <c r="H324" s="753"/>
      <c r="I324" s="184"/>
      <c r="J324" s="269"/>
      <c r="K324" s="496"/>
      <c r="L324" s="496"/>
      <c r="M324" s="496"/>
      <c r="N324" s="496"/>
      <c r="O324" s="163"/>
      <c r="P324" s="163"/>
    </row>
    <row r="325" spans="1:26" ht="18.75" hidden="1">
      <c r="A325" s="170"/>
      <c r="B325" s="171"/>
      <c r="C325" s="171"/>
      <c r="D325" s="176" t="s">
        <v>147</v>
      </c>
      <c r="E325" s="178"/>
      <c r="F325" s="446"/>
      <c r="G325" s="179"/>
      <c r="H325" s="616" t="s">
        <v>146</v>
      </c>
      <c r="I325" s="269">
        <f ca="1">IFERROR(__xludf.DUMMYFUNCTION("IMPORTRANGE(""https://docs.google.com/spreadsheets/d/1QqKyyYR6Q21VydFLVH3TRQUabQu_ym0Zz7PgGX0-kHA/edit?usp=sharing"",""แผน!EF59"")"),0)</f>
        <v>0</v>
      </c>
      <c r="J325" s="214">
        <v>0</v>
      </c>
      <c r="K325" s="496">
        <f ca="1">IF(I325&gt;0,J325*100/I325,0)</f>
        <v>0</v>
      </c>
      <c r="L325" s="496"/>
      <c r="M325" s="496"/>
      <c r="N325" s="496"/>
      <c r="O325" s="163"/>
      <c r="P325" s="163"/>
    </row>
    <row r="326" spans="1:26" ht="19.5">
      <c r="A326" s="431" t="s">
        <v>148</v>
      </c>
      <c r="B326" s="432"/>
      <c r="C326" s="432"/>
      <c r="D326" s="433"/>
      <c r="E326" s="432"/>
      <c r="F326" s="432"/>
      <c r="G326" s="432"/>
      <c r="H326" s="448"/>
      <c r="I326" s="436"/>
      <c r="J326" s="436"/>
      <c r="K326" s="437"/>
      <c r="L326" s="437"/>
      <c r="M326" s="437"/>
      <c r="N326" s="437"/>
      <c r="O326" s="437"/>
      <c r="P326" s="437"/>
    </row>
    <row r="327" spans="1:26" ht="19.5">
      <c r="A327" s="438"/>
      <c r="B327" s="439" t="s">
        <v>149</v>
      </c>
      <c r="C327" s="451"/>
      <c r="D327" s="440"/>
      <c r="E327" s="440"/>
      <c r="F327" s="440"/>
      <c r="G327" s="441"/>
      <c r="H327" s="442" t="s">
        <v>35</v>
      </c>
      <c r="I327" s="443">
        <f ca="1">IFERROR(__xludf.DUMMYFUNCTION("IMPORTRANGE(""https://docs.google.com/spreadsheets/d/1QqKyyYR6Q21VydFLVH3TRQUabQu_ym0Zz7PgGX0-kHA/edit?usp=sharing"",""แผน!EG59"")"),600)</f>
        <v>600</v>
      </c>
      <c r="J327" s="443">
        <f ca="1">J338+J341+J342+J343</f>
        <v>83</v>
      </c>
      <c r="K327" s="444">
        <f ca="1">IF(I327&gt;0,J327*100/I327,0)</f>
        <v>13.833333333333334</v>
      </c>
      <c r="L327" s="445"/>
      <c r="M327" s="445"/>
      <c r="N327" s="445"/>
      <c r="O327" s="445"/>
      <c r="P327" s="445"/>
    </row>
    <row r="328" spans="1:26" ht="19.5">
      <c r="A328" s="147"/>
      <c r="B328" s="148"/>
      <c r="C328" s="149" t="s">
        <v>16</v>
      </c>
      <c r="D328" s="822" t="s">
        <v>17</v>
      </c>
      <c r="E328" s="148"/>
      <c r="F328" s="148"/>
      <c r="G328" s="151"/>
      <c r="H328" s="152" t="s">
        <v>12</v>
      </c>
      <c r="I328" s="419"/>
      <c r="J328" s="419"/>
      <c r="K328" s="154"/>
      <c r="L328" s="155">
        <f t="shared" ref="L328:N328" ca="1" si="149">L329+L330</f>
        <v>788200</v>
      </c>
      <c r="M328" s="155">
        <f t="shared" ca="1" si="149"/>
        <v>394100</v>
      </c>
      <c r="N328" s="155">
        <f t="shared" ca="1" si="149"/>
        <v>165134</v>
      </c>
      <c r="O328" s="155">
        <f t="shared" ref="O328:O336" ca="1" si="150">IF(L328&gt;0,N328*100/L328,0)</f>
        <v>20.950773915249936</v>
      </c>
      <c r="P328" s="155">
        <f t="shared" ref="P328:P336" ca="1" si="151">IF(M328&gt;0,N328*100/M328,0)</f>
        <v>41.901547830499872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2" t="s">
        <v>18</v>
      </c>
      <c r="F329" s="40"/>
      <c r="G329" s="157"/>
      <c r="H329" s="158" t="s">
        <v>12</v>
      </c>
      <c r="I329" s="610"/>
      <c r="J329" s="610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2" t="s">
        <v>19</v>
      </c>
      <c r="F330" s="40"/>
      <c r="G330" s="157"/>
      <c r="H330" s="158" t="s">
        <v>12</v>
      </c>
      <c r="I330" s="610"/>
      <c r="J330" s="610"/>
      <c r="K330" s="93"/>
      <c r="L330" s="93">
        <f t="shared" ca="1" si="152"/>
        <v>788200</v>
      </c>
      <c r="M330" s="93">
        <f t="shared" ca="1" si="152"/>
        <v>394100</v>
      </c>
      <c r="N330" s="93">
        <f t="shared" ca="1" si="152"/>
        <v>165134</v>
      </c>
      <c r="O330" s="93">
        <f t="shared" ca="1" si="150"/>
        <v>20.950773915249936</v>
      </c>
      <c r="P330" s="93">
        <f t="shared" ca="1" si="151"/>
        <v>41.901547830499872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1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6">
        <f t="shared" ref="L331:N331" ca="1" si="153">L332+L333</f>
        <v>788200</v>
      </c>
      <c r="M331" s="496">
        <f t="shared" ca="1" si="153"/>
        <v>394100</v>
      </c>
      <c r="N331" s="496">
        <f t="shared" ca="1" si="153"/>
        <v>165134</v>
      </c>
      <c r="O331" s="496">
        <f t="shared" ca="1" si="150"/>
        <v>20.950773915249936</v>
      </c>
      <c r="P331" s="496">
        <f t="shared" ca="1" si="151"/>
        <v>41.901547830499872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2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2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IFERROR(__xludf.DUMMYFUNCTION("IMPORTRANGE(""https://docs.google.com/spreadsheets/d/1MeEWN-I1oV_STSDYn1IFDPWt_1FKiwhDph83XaGc0o0/edit?usp=sharing"",""งบพรบ!EM59"")"),788200)</f>
        <v>788200</v>
      </c>
      <c r="M333" s="93">
        <f ca="1">IFERROR(__xludf.DUMMYFUNCTION("IMPORTRANGE(""https://docs.google.com/spreadsheets/d/1MeEWN-I1oV_STSDYn1IFDPWt_1FKiwhDph83XaGc0o0/edit?usp=sharing"",""งบพรบ!ER59"")"),394100)</f>
        <v>394100</v>
      </c>
      <c r="N333" s="93">
        <f ca="1">IFERROR(__xludf.DUMMYFUNCTION("IMPORTRANGE(""https://docs.google.com/spreadsheets/d/1MeEWN-I1oV_STSDYn1IFDPWt_1FKiwhDph83XaGc0o0/edit?usp=sharing"",""งบพรบ!ET59"")"),165134)</f>
        <v>165134</v>
      </c>
      <c r="O333" s="93">
        <f t="shared" ca="1" si="150"/>
        <v>20.950773915249936</v>
      </c>
      <c r="P333" s="93">
        <f t="shared" ca="1" si="151"/>
        <v>41.901547830499872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1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6">
        <f t="shared" ref="L334:N334" ca="1" si="154">L335+L336</f>
        <v>0</v>
      </c>
      <c r="M334" s="496">
        <f t="shared" ca="1" si="154"/>
        <v>0</v>
      </c>
      <c r="N334" s="496">
        <f t="shared" ca="1" si="154"/>
        <v>0</v>
      </c>
      <c r="O334" s="496">
        <f t="shared" ca="1" si="150"/>
        <v>0</v>
      </c>
      <c r="P334" s="496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2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2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IFERROR(__xludf.DUMMYFUNCTION("IMPORTRANGE(""https://docs.google.com/spreadsheets/d/1MeEWN-I1oV_STSDYn1IFDPWt_1FKiwhDph83XaGc0o0/edit?usp=sharing"",""งบพรบ!EP59"")"),0)</f>
        <v>0</v>
      </c>
      <c r="M336" s="93">
        <f ca="1">IFERROR(__xludf.DUMMYFUNCTION("IMPORTRANGE(""https://docs.google.com/spreadsheets/d/1MeEWN-I1oV_STSDYn1IFDPWt_1FKiwhDph83XaGc0o0/edit?usp=sharing"",""งบพรบ!ES59"")"),0)</f>
        <v>0</v>
      </c>
      <c r="N336" s="93">
        <f ca="1">IFERROR(__xludf.DUMMYFUNCTION("IMPORTRANGE(""https://docs.google.com/spreadsheets/d/1MeEWN-I1oV_STSDYn1IFDPWt_1FKiwhDph83XaGc0o0/edit?usp=sharing"",""งบพรบ!EU59"")"),0)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23" t="s">
        <v>38</v>
      </c>
      <c r="E337" s="173"/>
      <c r="F337" s="173"/>
      <c r="G337" s="174"/>
      <c r="H337" s="753"/>
      <c r="I337" s="184"/>
      <c r="J337" s="269"/>
      <c r="K337" s="496"/>
      <c r="L337" s="496"/>
      <c r="M337" s="496"/>
      <c r="N337" s="496"/>
      <c r="O337" s="163"/>
      <c r="P337" s="163"/>
    </row>
    <row r="338" spans="1:26" ht="18.75">
      <c r="A338" s="284"/>
      <c r="B338" s="33"/>
      <c r="C338" s="280"/>
      <c r="D338" s="446" t="s">
        <v>150</v>
      </c>
      <c r="E338" s="171"/>
      <c r="F338" s="33"/>
      <c r="G338" s="35"/>
      <c r="H338" s="276" t="s">
        <v>35</v>
      </c>
      <c r="I338" s="269">
        <f ca="1">IFERROR(__xludf.DUMMYFUNCTION("IMPORTRANGE(""https://docs.google.com/spreadsheets/d/1QqKyyYR6Q21VydFLVH3TRQUabQu_ym0Zz7PgGX0-kHA/edit?usp=sharing"",""แผน!EG59"")"),600)</f>
        <v>600</v>
      </c>
      <c r="J338" s="269">
        <f ca="1">IFERROR(__xludf.DUMMYFUNCTION("IMPORTRANGE(""https://docs.google.com/spreadsheets/d/1kVcqe37tkHyjCSG3S0O1AXqVkqjo8mSIZil3BcpIysc/edit?usp=sharing"",""ศูนย์!D59"")"),83)</f>
        <v>83</v>
      </c>
      <c r="K338" s="496">
        <f ca="1">IF(I338&gt;0,J338*100/I338,0)</f>
        <v>13.833333333333334</v>
      </c>
      <c r="L338" s="496"/>
      <c r="M338" s="496"/>
      <c r="N338" s="496"/>
      <c r="O338" s="496"/>
      <c r="P338" s="496"/>
    </row>
    <row r="339" spans="1:26" ht="18.75">
      <c r="A339" s="284"/>
      <c r="B339" s="33"/>
      <c r="C339" s="280"/>
      <c r="D339" s="446" t="s">
        <v>151</v>
      </c>
      <c r="E339" s="171"/>
      <c r="F339" s="33"/>
      <c r="G339" s="35"/>
      <c r="H339" s="276"/>
      <c r="I339" s="269"/>
      <c r="J339" s="269"/>
      <c r="K339" s="496"/>
      <c r="L339" s="496"/>
      <c r="M339" s="496"/>
      <c r="N339" s="496"/>
      <c r="O339" s="496"/>
      <c r="P339" s="496"/>
    </row>
    <row r="340" spans="1:26" ht="18.75">
      <c r="A340" s="284"/>
      <c r="B340" s="33"/>
      <c r="C340" s="280"/>
      <c r="D340" s="178"/>
      <c r="E340" s="446" t="s">
        <v>152</v>
      </c>
      <c r="F340" s="33"/>
      <c r="G340" s="35"/>
      <c r="H340" s="276" t="s">
        <v>153</v>
      </c>
      <c r="I340" s="269">
        <f ca="1">IFERROR(__xludf.DUMMYFUNCTION("IMPORTRANGE(""https://docs.google.com/spreadsheets/d/1QqKyyYR6Q21VydFLVH3TRQUabQu_ym0Zz7PgGX0-kHA/edit?usp=sharing"",""แผน!EH59"")"),2)</f>
        <v>2</v>
      </c>
      <c r="J340" s="269">
        <f ca="1">IFERROR(__xludf.DUMMYFUNCTION("IMPORTRANGE(""https://docs.google.com/spreadsheets/d/1kVcqe37tkHyjCSG3S0O1AXqVkqjo8mSIZil3BcpIysc/edit?usp=sharing"",""ศูนย์!E59"")"),0)</f>
        <v>0</v>
      </c>
      <c r="K340" s="496">
        <f ca="1">IF(I340&gt;0,J340*100/I340,0)</f>
        <v>0</v>
      </c>
      <c r="L340" s="496"/>
      <c r="M340" s="496"/>
      <c r="N340" s="496"/>
      <c r="O340" s="496"/>
      <c r="P340" s="496"/>
    </row>
    <row r="341" spans="1:26" ht="18.75">
      <c r="A341" s="284"/>
      <c r="B341" s="33"/>
      <c r="C341" s="280"/>
      <c r="D341" s="178"/>
      <c r="E341" s="446" t="s">
        <v>154</v>
      </c>
      <c r="F341" s="33"/>
      <c r="G341" s="35"/>
      <c r="H341" s="276" t="s">
        <v>35</v>
      </c>
      <c r="I341" s="269"/>
      <c r="J341" s="269">
        <f ca="1">IFERROR(__xludf.DUMMYFUNCTION("IMPORTRANGE(""https://docs.google.com/spreadsheets/d/1kVcqe37tkHyjCSG3S0O1AXqVkqjo8mSIZil3BcpIysc/edit?usp=sharing"",""ศูนย์!F59"")"),0)</f>
        <v>0</v>
      </c>
      <c r="K341" s="496"/>
      <c r="L341" s="496"/>
      <c r="M341" s="496"/>
      <c r="N341" s="496"/>
      <c r="O341" s="496"/>
      <c r="P341" s="496"/>
    </row>
    <row r="342" spans="1:26" ht="18.75">
      <c r="A342" s="284"/>
      <c r="B342" s="33"/>
      <c r="C342" s="280"/>
      <c r="D342" s="446" t="s">
        <v>155</v>
      </c>
      <c r="E342" s="178"/>
      <c r="F342" s="178"/>
      <c r="G342" s="35"/>
      <c r="H342" s="276" t="s">
        <v>35</v>
      </c>
      <c r="I342" s="269"/>
      <c r="J342" s="269">
        <f ca="1">IFERROR(__xludf.DUMMYFUNCTION("IMPORTRANGE(""https://docs.google.com/spreadsheets/d/1kVcqe37tkHyjCSG3S0O1AXqVkqjo8mSIZil3BcpIysc/edit?usp=sharing"",""ศูนย์!G59"")"),0)</f>
        <v>0</v>
      </c>
      <c r="K342" s="496"/>
      <c r="L342" s="496"/>
      <c r="M342" s="496"/>
      <c r="N342" s="496"/>
      <c r="O342" s="496"/>
      <c r="P342" s="496"/>
    </row>
    <row r="343" spans="1:26" ht="18.75">
      <c r="A343" s="284"/>
      <c r="B343" s="33"/>
      <c r="C343" s="280"/>
      <c r="D343" s="446" t="s">
        <v>156</v>
      </c>
      <c r="E343" s="178"/>
      <c r="F343" s="178"/>
      <c r="G343" s="35"/>
      <c r="H343" s="276" t="s">
        <v>35</v>
      </c>
      <c r="I343" s="269"/>
      <c r="J343" s="269">
        <f ca="1">IFERROR(__xludf.DUMMYFUNCTION("IMPORTRANGE(""https://docs.google.com/spreadsheets/d/1kVcqe37tkHyjCSG3S0O1AXqVkqjo8mSIZil3BcpIysc/edit?usp=sharing"",""ศูนย์!H59"")"),0)</f>
        <v>0</v>
      </c>
      <c r="K343" s="496"/>
      <c r="L343" s="496"/>
      <c r="M343" s="496"/>
      <c r="N343" s="496"/>
      <c r="O343" s="496"/>
      <c r="P343" s="496"/>
    </row>
    <row r="344" spans="1:26" ht="19.5">
      <c r="A344" s="438"/>
      <c r="B344" s="439" t="s">
        <v>157</v>
      </c>
      <c r="C344" s="451"/>
      <c r="D344" s="440"/>
      <c r="E344" s="440"/>
      <c r="F344" s="440"/>
      <c r="G344" s="441"/>
      <c r="H344" s="442"/>
      <c r="I344" s="452"/>
      <c r="J344" s="452"/>
      <c r="K344" s="445"/>
      <c r="L344" s="445"/>
      <c r="M344" s="445"/>
      <c r="N344" s="445"/>
      <c r="O344" s="445"/>
      <c r="P344" s="445"/>
    </row>
    <row r="345" spans="1:26" ht="19.5">
      <c r="A345" s="147"/>
      <c r="B345" s="148"/>
      <c r="C345" s="149" t="s">
        <v>16</v>
      </c>
      <c r="D345" s="822" t="s">
        <v>17</v>
      </c>
      <c r="E345" s="148"/>
      <c r="F345" s="148"/>
      <c r="G345" s="151"/>
      <c r="H345" s="152" t="s">
        <v>12</v>
      </c>
      <c r="I345" s="419"/>
      <c r="J345" s="419"/>
      <c r="K345" s="154"/>
      <c r="L345" s="155">
        <f t="shared" ref="L345:N345" ca="1" si="155">L346+L347</f>
        <v>374080</v>
      </c>
      <c r="M345" s="155">
        <f t="shared" ca="1" si="155"/>
        <v>273740</v>
      </c>
      <c r="N345" s="155">
        <f t="shared" ca="1" si="155"/>
        <v>199400</v>
      </c>
      <c r="O345" s="155">
        <f t="shared" ref="O345:O353" ca="1" si="156">IF(L345&gt;0,N345*100/L345,0)</f>
        <v>53.304106073567148</v>
      </c>
      <c r="P345" s="155">
        <f t="shared" ref="P345:P353" ca="1" si="157">IF(M345&gt;0,N345*100/M345,0)</f>
        <v>72.84284357419449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2" t="s">
        <v>18</v>
      </c>
      <c r="F346" s="40"/>
      <c r="G346" s="157"/>
      <c r="H346" s="158" t="s">
        <v>12</v>
      </c>
      <c r="I346" s="610"/>
      <c r="J346" s="610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2" t="s">
        <v>19</v>
      </c>
      <c r="F347" s="40"/>
      <c r="G347" s="157"/>
      <c r="H347" s="158" t="s">
        <v>12</v>
      </c>
      <c r="I347" s="610"/>
      <c r="J347" s="610"/>
      <c r="K347" s="93"/>
      <c r="L347" s="93">
        <f t="shared" ca="1" si="158"/>
        <v>374080</v>
      </c>
      <c r="M347" s="93">
        <f t="shared" ca="1" si="158"/>
        <v>273740</v>
      </c>
      <c r="N347" s="93">
        <f t="shared" ca="1" si="158"/>
        <v>199400</v>
      </c>
      <c r="O347" s="93">
        <f t="shared" ca="1" si="156"/>
        <v>53.304106073567148</v>
      </c>
      <c r="P347" s="93">
        <f t="shared" ca="1" si="157"/>
        <v>72.84284357419449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1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6">
        <f t="shared" ref="L348:N348" ca="1" si="159">L349+L350</f>
        <v>200680</v>
      </c>
      <c r="M348" s="496">
        <f t="shared" ca="1" si="159"/>
        <v>100340</v>
      </c>
      <c r="N348" s="496">
        <f t="shared" ca="1" si="159"/>
        <v>26000</v>
      </c>
      <c r="O348" s="496">
        <f t="shared" ca="1" si="156"/>
        <v>12.95594977077935</v>
      </c>
      <c r="P348" s="496">
        <f t="shared" ca="1" si="157"/>
        <v>25.9118995415587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2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2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IFERROR(__xludf.DUMMYFUNCTION("IMPORTRANGE(""https://docs.google.com/spreadsheets/d/1MeEWN-I1oV_STSDYn1IFDPWt_1FKiwhDph83XaGc0o0/edit?usp=sharing"",""งบพรบ!EW59"")"),200680)</f>
        <v>200680</v>
      </c>
      <c r="M350" s="93">
        <f ca="1">IFERROR(__xludf.DUMMYFUNCTION("IMPORTRANGE(""https://docs.google.com/spreadsheets/d/1MeEWN-I1oV_STSDYn1IFDPWt_1FKiwhDph83XaGc0o0/edit?usp=sharing"",""งบพรบ!FB59"")"),100340)</f>
        <v>100340</v>
      </c>
      <c r="N350" s="93">
        <f ca="1">IFERROR(__xludf.DUMMYFUNCTION("IMPORTRANGE(""https://docs.google.com/spreadsheets/d/1MeEWN-I1oV_STSDYn1IFDPWt_1FKiwhDph83XaGc0o0/edit?usp=sharing"",""งบพรบ!FD59"")"),26000)</f>
        <v>26000</v>
      </c>
      <c r="O350" s="93">
        <f t="shared" ca="1" si="156"/>
        <v>12.95594977077935</v>
      </c>
      <c r="P350" s="93">
        <f t="shared" ca="1" si="157"/>
        <v>25.9118995415587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1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6">
        <f t="shared" ref="L351:N351" ca="1" si="160">L352+L353</f>
        <v>173400</v>
      </c>
      <c r="M351" s="496">
        <f t="shared" ca="1" si="160"/>
        <v>173400</v>
      </c>
      <c r="N351" s="496">
        <f t="shared" ca="1" si="160"/>
        <v>173400</v>
      </c>
      <c r="O351" s="496">
        <f t="shared" ca="1" si="156"/>
        <v>100</v>
      </c>
      <c r="P351" s="496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2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2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IFERROR(__xludf.DUMMYFUNCTION("IMPORTRANGE(""https://docs.google.com/spreadsheets/d/1MeEWN-I1oV_STSDYn1IFDPWt_1FKiwhDph83XaGc0o0/edit?usp=sharing"",""งบพรบ!EZ59"")"),173400)</f>
        <v>173400</v>
      </c>
      <c r="M353" s="93">
        <f ca="1">IFERROR(__xludf.DUMMYFUNCTION("IMPORTRANGE(""https://docs.google.com/spreadsheets/d/1MeEWN-I1oV_STSDYn1IFDPWt_1FKiwhDph83XaGc0o0/edit?usp=sharing"",""งบพรบ!FC59"")"),173400)</f>
        <v>173400</v>
      </c>
      <c r="N353" s="93">
        <f ca="1">IFERROR(__xludf.DUMMYFUNCTION("IMPORTRANGE(""https://docs.google.com/spreadsheets/d/1MeEWN-I1oV_STSDYn1IFDPWt_1FKiwhDph83XaGc0o0/edit?usp=sharing"",""งบพรบ!FE59"")"),173400)</f>
        <v>173400</v>
      </c>
      <c r="O353" s="93">
        <f t="shared" ca="1" si="156"/>
        <v>100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5"/>
      <c r="B354" s="263"/>
      <c r="C354" s="256"/>
      <c r="D354" s="832" t="s">
        <v>158</v>
      </c>
      <c r="E354" s="256"/>
      <c r="F354" s="256"/>
      <c r="G354" s="258"/>
      <c r="H354" s="454"/>
      <c r="I354" s="260"/>
      <c r="J354" s="260"/>
      <c r="K354" s="261"/>
      <c r="L354" s="261"/>
      <c r="M354" s="261"/>
      <c r="N354" s="261"/>
      <c r="O354" s="261"/>
      <c r="P354" s="261"/>
    </row>
    <row r="355" spans="1:26" ht="19.5">
      <c r="A355" s="455"/>
      <c r="B355" s="456"/>
      <c r="C355" s="457"/>
      <c r="D355" s="833" t="s">
        <v>159</v>
      </c>
      <c r="E355" s="459"/>
      <c r="F355" s="459"/>
      <c r="G355" s="460"/>
      <c r="H355" s="461" t="s">
        <v>35</v>
      </c>
      <c r="I355" s="463">
        <f ca="1">IFERROR(__xludf.DUMMYFUNCTION("IMPORTRANGE(""https://docs.google.com/spreadsheets/d/1QqKyyYR6Q21VydFLVH3TRQUabQu_ym0Zz7PgGX0-kHA/edit?usp=sharing"",""แผน!EP59"")"),0)</f>
        <v>0</v>
      </c>
      <c r="J355" s="463">
        <f ca="1">J362</f>
        <v>0</v>
      </c>
      <c r="K355" s="464">
        <f ca="1">IF(I355&gt;0,J355*100/I355,0)</f>
        <v>0</v>
      </c>
      <c r="L355" s="465"/>
      <c r="M355" s="465"/>
      <c r="N355" s="465"/>
      <c r="O355" s="465"/>
      <c r="P355" s="465"/>
    </row>
    <row r="356" spans="1:26" ht="19.5">
      <c r="A356" s="455"/>
      <c r="B356" s="456"/>
      <c r="C356" s="457"/>
      <c r="D356" s="466" t="s">
        <v>160</v>
      </c>
      <c r="E356" s="459"/>
      <c r="F356" s="459"/>
      <c r="G356" s="460"/>
      <c r="H356" s="467"/>
      <c r="I356" s="468"/>
      <c r="J356" s="468"/>
      <c r="K356" s="465"/>
      <c r="L356" s="465"/>
      <c r="M356" s="465"/>
      <c r="N356" s="465"/>
      <c r="O356" s="465"/>
      <c r="P356" s="465"/>
    </row>
    <row r="357" spans="1:26" ht="19.5">
      <c r="A357" s="170"/>
      <c r="B357" s="171"/>
      <c r="C357" s="164" t="s">
        <v>16</v>
      </c>
      <c r="D357" s="823" t="s">
        <v>38</v>
      </c>
      <c r="E357" s="173"/>
      <c r="F357" s="173"/>
      <c r="G357" s="174"/>
      <c r="H357" s="753"/>
      <c r="I357" s="269"/>
      <c r="J357" s="269"/>
      <c r="K357" s="496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69">
        <v>0</v>
      </c>
      <c r="J358" s="269">
        <f ca="1">IFERROR(__xludf.DUMMYFUNCTION("IMPORTRANGE(""https://docs.google.com/spreadsheets/d/1XWAQStnk-4SwqDmLtmXYiTMKHgktTP8We1SCoS47DrQ/edit?usp=sharing"",""จัดที่ดิน!W59"")"),0)</f>
        <v>0</v>
      </c>
      <c r="K358" s="496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69">
        <f ca="1">IFERROR(__xludf.DUMMYFUNCTION("IMPORTRANGE(""https://docs.google.com/spreadsheets/d/1QqKyyYR6Q21VydFLVH3TRQUabQu_ym0Zz7PgGX0-kHA/edit?usp=sharing"",""แผน!EO59"")"),0)</f>
        <v>0</v>
      </c>
      <c r="J359" s="269">
        <f ca="1">IFERROR(__xludf.DUMMYFUNCTION("IMPORTRANGE(""https://docs.google.com/spreadsheets/d/1XWAQStnk-4SwqDmLtmXYiTMKHgktTP8We1SCoS47DrQ/edit?usp=sharing"",""จัดที่ดิน!X59"")"),0)</f>
        <v>0</v>
      </c>
      <c r="K359" s="496">
        <f t="shared" ca="1" si="161"/>
        <v>0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755" t="s">
        <v>35</v>
      </c>
      <c r="I360" s="269">
        <f ca="1">IFERROR(__xludf.DUMMYFUNCTION("IMPORTRANGE(""https://docs.google.com/spreadsheets/d/1QqKyyYR6Q21VydFLVH3TRQUabQu_ym0Zz7PgGX0-kHA/edit?usp=sharing"",""แผน!EP59"")"),0)</f>
        <v>0</v>
      </c>
      <c r="J360" s="269">
        <f ca="1">IFERROR(__xludf.DUMMYFUNCTION("IMPORTRANGE(""https://docs.google.com/spreadsheets/d/1XWAQStnk-4SwqDmLtmXYiTMKHgktTP8We1SCoS47DrQ/edit?usp=sharing"",""จัดที่ดิน!Y59"")"),0)</f>
        <v>0</v>
      </c>
      <c r="K360" s="496">
        <f t="shared" ca="1" si="161"/>
        <v>0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755" t="s">
        <v>46</v>
      </c>
      <c r="I361" s="269">
        <v>0</v>
      </c>
      <c r="J361" s="269">
        <f ca="1">IFERROR(__xludf.DUMMYFUNCTION("IMPORTRANGE(""https://docs.google.com/spreadsheets/d/1XWAQStnk-4SwqDmLtmXYiTMKHgktTP8We1SCoS47DrQ/edit?usp=sharing"",""จัดที่ดิน!Z59"")"),0)</f>
        <v>0</v>
      </c>
      <c r="K361" s="496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755" t="s">
        <v>35</v>
      </c>
      <c r="I362" s="269">
        <f ca="1">IFERROR(__xludf.DUMMYFUNCTION("IMPORTRANGE(""https://docs.google.com/spreadsheets/d/1QqKyyYR6Q21VydFLVH3TRQUabQu_ym0Zz7PgGX0-kHA/edit?usp=sharing"",""แผน!EP59"")"),0)</f>
        <v>0</v>
      </c>
      <c r="J362" s="269">
        <f ca="1">IFERROR(__xludf.DUMMYFUNCTION("IMPORTRANGE(""https://docs.google.com/spreadsheets/d/1XWAQStnk-4SwqDmLtmXYiTMKHgktTP8We1SCoS47DrQ/edit?usp=sharing"",""จัดที่ดิน!AA59"")"),0)</f>
        <v>0</v>
      </c>
      <c r="K362" s="496">
        <f t="shared" ca="1" si="161"/>
        <v>0</v>
      </c>
      <c r="L362" s="163"/>
      <c r="M362" s="163"/>
      <c r="N362" s="163"/>
      <c r="O362" s="163"/>
      <c r="P362" s="163"/>
    </row>
    <row r="363" spans="1:26" ht="18.75">
      <c r="A363" s="469" t="s">
        <v>164</v>
      </c>
      <c r="B363" s="178"/>
      <c r="C363" s="171"/>
      <c r="D363" s="178"/>
      <c r="E363" s="446"/>
      <c r="F363" s="178"/>
      <c r="G363" s="179"/>
      <c r="H363" s="755" t="s">
        <v>46</v>
      </c>
      <c r="I363" s="269">
        <v>0</v>
      </c>
      <c r="J363" s="269">
        <f ca="1">IFERROR(__xludf.DUMMYFUNCTION("IMPORTRANGE(""https://docs.google.com/spreadsheets/d/1XWAQStnk-4SwqDmLtmXYiTMKHgktTP8We1SCoS47DrQ/edit?usp=sharing"",""จัดที่ดิน!AB59"")"),0)</f>
        <v>0</v>
      </c>
      <c r="K363" s="496">
        <f t="shared" si="161"/>
        <v>0</v>
      </c>
      <c r="L363" s="163"/>
      <c r="M363" s="163"/>
      <c r="N363" s="163"/>
      <c r="O363" s="163"/>
      <c r="P363" s="163"/>
    </row>
    <row r="364" spans="1:26" ht="19.5">
      <c r="A364" s="470"/>
      <c r="B364" s="471"/>
      <c r="C364" s="472"/>
      <c r="D364" s="473" t="s">
        <v>165</v>
      </c>
      <c r="E364" s="474"/>
      <c r="F364" s="474"/>
      <c r="G364" s="475"/>
      <c r="H364" s="476" t="s">
        <v>35</v>
      </c>
      <c r="I364" s="477">
        <f t="shared" ref="I364:J364" ca="1" si="162">I365+I374</f>
        <v>25</v>
      </c>
      <c r="J364" s="477">
        <f t="shared" ca="1" si="162"/>
        <v>0</v>
      </c>
      <c r="K364" s="478">
        <f t="shared" ca="1" si="161"/>
        <v>0</v>
      </c>
      <c r="L364" s="479"/>
      <c r="M364" s="479"/>
      <c r="N364" s="479"/>
      <c r="O364" s="479"/>
      <c r="P364" s="479"/>
      <c r="Q364" s="480"/>
      <c r="R364" s="480"/>
      <c r="S364" s="480"/>
      <c r="T364" s="480"/>
      <c r="U364" s="480"/>
      <c r="V364" s="480"/>
      <c r="W364" s="480"/>
      <c r="X364" s="480"/>
      <c r="Y364" s="480"/>
      <c r="Z364" s="480"/>
    </row>
    <row r="365" spans="1:26" ht="19.5">
      <c r="A365" s="481"/>
      <c r="B365" s="482"/>
      <c r="C365" s="484"/>
      <c r="D365" s="484" t="s">
        <v>166</v>
      </c>
      <c r="E365" s="485"/>
      <c r="F365" s="485"/>
      <c r="G365" s="486"/>
      <c r="H365" s="487" t="s">
        <v>35</v>
      </c>
      <c r="I365" s="489">
        <f ca="1">IFERROR(__xludf.DUMMYFUNCTION("IMPORTRANGE(""https://docs.google.com/spreadsheets/d/1QqKyyYR6Q21VydFLVH3TRQUabQu_ym0Zz7PgGX0-kHA/edit?usp=sharing"",""แผน!EJ59"")"),0)</f>
        <v>0</v>
      </c>
      <c r="J365" s="489">
        <f ca="1">J372</f>
        <v>0</v>
      </c>
      <c r="K365" s="490">
        <f t="shared" ca="1" si="161"/>
        <v>0</v>
      </c>
      <c r="L365" s="491"/>
      <c r="M365" s="491"/>
      <c r="N365" s="491"/>
      <c r="O365" s="491"/>
      <c r="P365" s="491"/>
      <c r="Q365" s="480"/>
      <c r="R365" s="480"/>
      <c r="S365" s="480"/>
      <c r="T365" s="480"/>
      <c r="U365" s="480"/>
      <c r="V365" s="480"/>
      <c r="W365" s="480"/>
      <c r="X365" s="480"/>
      <c r="Y365" s="480"/>
      <c r="Z365" s="480"/>
    </row>
    <row r="366" spans="1:26" ht="19.5">
      <c r="A366" s="481"/>
      <c r="B366" s="482"/>
      <c r="C366" s="484"/>
      <c r="D366" s="492" t="s">
        <v>167</v>
      </c>
      <c r="E366" s="485"/>
      <c r="F366" s="485"/>
      <c r="G366" s="486"/>
      <c r="H366" s="493"/>
      <c r="I366" s="494"/>
      <c r="J366" s="494"/>
      <c r="K366" s="491"/>
      <c r="L366" s="491"/>
      <c r="M366" s="491"/>
      <c r="N366" s="491"/>
      <c r="O366" s="491"/>
      <c r="P366" s="491"/>
      <c r="Q366" s="480"/>
      <c r="R366" s="480"/>
      <c r="S366" s="480"/>
      <c r="T366" s="480"/>
      <c r="U366" s="480"/>
      <c r="V366" s="480"/>
      <c r="W366" s="480"/>
      <c r="X366" s="480"/>
      <c r="Y366" s="480"/>
      <c r="Z366" s="480"/>
    </row>
    <row r="367" spans="1:26" ht="19.5">
      <c r="A367" s="170"/>
      <c r="B367" s="171"/>
      <c r="C367" s="164" t="s">
        <v>16</v>
      </c>
      <c r="D367" s="823" t="s">
        <v>38</v>
      </c>
      <c r="E367" s="173"/>
      <c r="F367" s="173"/>
      <c r="G367" s="174"/>
      <c r="H367" s="753"/>
      <c r="I367" s="269"/>
      <c r="J367" s="269"/>
      <c r="K367" s="496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69">
        <v>0</v>
      </c>
      <c r="J368" s="269">
        <f ca="1">IFERROR(__xludf.DUMMYFUNCTION("IMPORTRANGE(""https://docs.google.com/spreadsheets/d/1XWAQStnk-4SwqDmLtmXYiTMKHgktTP8We1SCoS47DrQ/edit?usp=sharing"",""จัดที่ดิน!E59"")"),0)</f>
        <v>0</v>
      </c>
      <c r="K368" s="496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69">
        <f ca="1">IFERROR(__xludf.DUMMYFUNCTION("IMPORTRANGE(""https://docs.google.com/spreadsheets/d/1QqKyyYR6Q21VydFLVH3TRQUabQu_ym0Zz7PgGX0-kHA/edit?usp=sharing"",""แผน!EI59"")"),0)</f>
        <v>0</v>
      </c>
      <c r="J369" s="269">
        <f ca="1">IFERROR(__xludf.DUMMYFUNCTION("IMPORTRANGE(""https://docs.google.com/spreadsheets/d/1XWAQStnk-4SwqDmLtmXYiTMKHgktTP8We1SCoS47DrQ/edit?usp=sharing"",""จัดที่ดิน!F59"")"),0)</f>
        <v>0</v>
      </c>
      <c r="K369" s="496">
        <f t="shared" ca="1" si="163"/>
        <v>0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55" t="s">
        <v>35</v>
      </c>
      <c r="I370" s="269">
        <f ca="1">IFERROR(__xludf.DUMMYFUNCTION("IMPORTRANGE(""https://docs.google.com/spreadsheets/d/1QqKyyYR6Q21VydFLVH3TRQUabQu_ym0Zz7PgGX0-kHA/edit?usp=sharing"",""แผน!EJ59"")"),0)</f>
        <v>0</v>
      </c>
      <c r="J370" s="269">
        <f ca="1">IFERROR(__xludf.DUMMYFUNCTION("IMPORTRANGE(""https://docs.google.com/spreadsheets/d/1XWAQStnk-4SwqDmLtmXYiTMKHgktTP8We1SCoS47DrQ/edit?usp=sharing"",""จัดที่ดิน!G59"")"),0)</f>
        <v>0</v>
      </c>
      <c r="K370" s="496">
        <f t="shared" ca="1" si="163"/>
        <v>0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55" t="s">
        <v>46</v>
      </c>
      <c r="I371" s="269">
        <v>0</v>
      </c>
      <c r="J371" s="269">
        <f ca="1">IFERROR(__xludf.DUMMYFUNCTION("IMPORTRANGE(""https://docs.google.com/spreadsheets/d/1XWAQStnk-4SwqDmLtmXYiTMKHgktTP8We1SCoS47DrQ/edit?usp=sharing"",""จัดที่ดิน!H59"")"),0)</f>
        <v>0</v>
      </c>
      <c r="K371" s="496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55" t="s">
        <v>35</v>
      </c>
      <c r="I372" s="269">
        <f ca="1">IFERROR(__xludf.DUMMYFUNCTION("IMPORTRANGE(""https://docs.google.com/spreadsheets/d/1QqKyyYR6Q21VydFLVH3TRQUabQu_ym0Zz7PgGX0-kHA/edit?usp=sharing"",""แผน!EJ59"")"),0)</f>
        <v>0</v>
      </c>
      <c r="J372" s="269">
        <f ca="1">IFERROR(__xludf.DUMMYFUNCTION("IMPORTRANGE(""https://docs.google.com/spreadsheets/d/1XWAQStnk-4SwqDmLtmXYiTMKHgktTP8We1SCoS47DrQ/edit?usp=sharing"",""จัดที่ดิน!I59"")"),0)</f>
        <v>0</v>
      </c>
      <c r="K372" s="496">
        <f t="shared" ca="1" si="163"/>
        <v>0</v>
      </c>
      <c r="L372" s="163"/>
      <c r="M372" s="163"/>
      <c r="N372" s="163"/>
      <c r="O372" s="163"/>
      <c r="P372" s="163"/>
    </row>
    <row r="373" spans="1:26" ht="18.75">
      <c r="A373" s="469" t="s">
        <v>164</v>
      </c>
      <c r="B373" s="178"/>
      <c r="C373" s="171"/>
      <c r="D373" s="178"/>
      <c r="E373" s="446"/>
      <c r="F373" s="178"/>
      <c r="G373" s="179"/>
      <c r="H373" s="755" t="s">
        <v>46</v>
      </c>
      <c r="I373" s="269">
        <v>0</v>
      </c>
      <c r="J373" s="269">
        <f ca="1">IFERROR(__xludf.DUMMYFUNCTION("IMPORTRANGE(""https://docs.google.com/spreadsheets/d/1XWAQStnk-4SwqDmLtmXYiTMKHgktTP8We1SCoS47DrQ/edit?usp=sharing"",""จัดที่ดิน!J59"")"),0)</f>
        <v>0</v>
      </c>
      <c r="K373" s="496">
        <f t="shared" si="163"/>
        <v>0</v>
      </c>
      <c r="L373" s="163"/>
      <c r="M373" s="163"/>
      <c r="N373" s="163"/>
      <c r="O373" s="163"/>
      <c r="P373" s="163"/>
    </row>
    <row r="374" spans="1:26" ht="19.5">
      <c r="A374" s="481"/>
      <c r="B374" s="482"/>
      <c r="C374" s="484"/>
      <c r="D374" s="484" t="s">
        <v>168</v>
      </c>
      <c r="E374" s="485"/>
      <c r="F374" s="485"/>
      <c r="G374" s="486"/>
      <c r="H374" s="487" t="s">
        <v>35</v>
      </c>
      <c r="I374" s="495">
        <f ca="1">IFERROR(__xludf.DUMMYFUNCTION("IMPORTRANGE(""https://docs.google.com/spreadsheets/d/1QqKyyYR6Q21VydFLVH3TRQUabQu_ym0Zz7PgGX0-kHA/edit?usp=sharing"",""แผน!EU59"")"),25)</f>
        <v>25</v>
      </c>
      <c r="J374" s="489">
        <f ca="1">J381</f>
        <v>0</v>
      </c>
      <c r="K374" s="490">
        <f t="shared" ca="1" si="163"/>
        <v>0</v>
      </c>
      <c r="L374" s="491"/>
      <c r="M374" s="491"/>
      <c r="N374" s="491"/>
      <c r="O374" s="491"/>
      <c r="P374" s="491"/>
      <c r="Q374" s="480"/>
      <c r="R374" s="480"/>
      <c r="S374" s="480"/>
      <c r="T374" s="480"/>
      <c r="U374" s="480"/>
      <c r="V374" s="480"/>
      <c r="W374" s="480"/>
      <c r="X374" s="480"/>
      <c r="Y374" s="480"/>
      <c r="Z374" s="480"/>
    </row>
    <row r="375" spans="1:26" ht="19.5">
      <c r="A375" s="481"/>
      <c r="B375" s="482"/>
      <c r="C375" s="484"/>
      <c r="D375" s="492" t="s">
        <v>169</v>
      </c>
      <c r="E375" s="485"/>
      <c r="F375" s="485"/>
      <c r="G375" s="486"/>
      <c r="H375" s="493"/>
      <c r="I375" s="494"/>
      <c r="J375" s="494"/>
      <c r="K375" s="491"/>
      <c r="L375" s="491"/>
      <c r="M375" s="491"/>
      <c r="N375" s="491"/>
      <c r="O375" s="491"/>
      <c r="P375" s="491"/>
      <c r="Q375" s="480"/>
      <c r="R375" s="480"/>
      <c r="S375" s="480"/>
      <c r="T375" s="480"/>
      <c r="U375" s="480"/>
      <c r="V375" s="480"/>
      <c r="W375" s="480"/>
      <c r="X375" s="480"/>
      <c r="Y375" s="480"/>
      <c r="Z375" s="480"/>
    </row>
    <row r="376" spans="1:26" ht="19.5">
      <c r="A376" s="170"/>
      <c r="B376" s="171"/>
      <c r="C376" s="164" t="s">
        <v>16</v>
      </c>
      <c r="D376" s="823" t="s">
        <v>38</v>
      </c>
      <c r="E376" s="173"/>
      <c r="F376" s="173"/>
      <c r="G376" s="174"/>
      <c r="H376" s="753"/>
      <c r="I376" s="269"/>
      <c r="J376" s="269"/>
      <c r="K376" s="496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69">
        <v>0</v>
      </c>
      <c r="J377" s="269">
        <f ca="1">IFERROR(__xludf.DUMMYFUNCTION("IMPORTRANGE(""https://docs.google.com/spreadsheets/d/1XWAQStnk-4SwqDmLtmXYiTMKHgktTP8We1SCoS47DrQ/edit?usp=sharing"",""จัดที่ดิน!AH59"")"),0)</f>
        <v>0</v>
      </c>
      <c r="K377" s="496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69">
        <f ca="1">IFERROR(__xludf.DUMMYFUNCTION("IMPORTRANGE(""https://docs.google.com/spreadsheets/d/1QqKyyYR6Q21VydFLVH3TRQUabQu_ym0Zz7PgGX0-kHA/edit?usp=sharing"",""แผน!ET59"")"),0)</f>
        <v>0</v>
      </c>
      <c r="J378" s="269">
        <f ca="1">IFERROR(__xludf.DUMMYFUNCTION("IMPORTRANGE(""https://docs.google.com/spreadsheets/d/1XWAQStnk-4SwqDmLtmXYiTMKHgktTP8We1SCoS47DrQ/edit?usp=sharing"",""จัดที่ดิน!AI59"")"),0)</f>
        <v>0</v>
      </c>
      <c r="K378" s="496">
        <f t="shared" ca="1" si="164"/>
        <v>0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55" t="s">
        <v>35</v>
      </c>
      <c r="I379" s="269">
        <f ca="1">IFERROR(__xludf.DUMMYFUNCTION("IMPORTRANGE(""https://docs.google.com/spreadsheets/d/1QqKyyYR6Q21VydFLVH3TRQUabQu_ym0Zz7PgGX0-kHA/edit?usp=sharing"",""แผน!EU59"")"),25)</f>
        <v>25</v>
      </c>
      <c r="J379" s="269">
        <f ca="1">IFERROR(__xludf.DUMMYFUNCTION("IMPORTRANGE(""https://docs.google.com/spreadsheets/d/1XWAQStnk-4SwqDmLtmXYiTMKHgktTP8We1SCoS47DrQ/edit?usp=sharing"",""จัดที่ดิน!AJ59"")"),0)</f>
        <v>0</v>
      </c>
      <c r="K379" s="496">
        <f t="shared" ca="1" si="164"/>
        <v>0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55" t="s">
        <v>46</v>
      </c>
      <c r="I380" s="269">
        <v>0</v>
      </c>
      <c r="J380" s="269">
        <f ca="1">IFERROR(__xludf.DUMMYFUNCTION("IMPORTRANGE(""https://docs.google.com/spreadsheets/d/1XWAQStnk-4SwqDmLtmXYiTMKHgktTP8We1SCoS47DrQ/edit?usp=sharing"",""จัดที่ดิน!AK59"")"),0)</f>
        <v>0</v>
      </c>
      <c r="K380" s="496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55" t="s">
        <v>35</v>
      </c>
      <c r="I381" s="269">
        <f ca="1">IFERROR(__xludf.DUMMYFUNCTION("IMPORTRANGE(""https://docs.google.com/spreadsheets/d/1QqKyyYR6Q21VydFLVH3TRQUabQu_ym0Zz7PgGX0-kHA/edit?usp=sharing"",""แผน!EU59"")"),25)</f>
        <v>25</v>
      </c>
      <c r="J381" s="269">
        <f ca="1">IFERROR(__xludf.DUMMYFUNCTION("IMPORTRANGE(""https://docs.google.com/spreadsheets/d/1XWAQStnk-4SwqDmLtmXYiTMKHgktTP8We1SCoS47DrQ/edit?usp=sharing"",""จัดที่ดิน!AL59"")"),0)</f>
        <v>0</v>
      </c>
      <c r="K381" s="496">
        <f t="shared" ca="1" si="164"/>
        <v>0</v>
      </c>
      <c r="L381" s="163"/>
      <c r="M381" s="163"/>
      <c r="N381" s="163"/>
      <c r="O381" s="163"/>
      <c r="P381" s="163"/>
    </row>
    <row r="382" spans="1:26" ht="18.75">
      <c r="A382" s="469" t="s">
        <v>164</v>
      </c>
      <c r="B382" s="178"/>
      <c r="C382" s="171"/>
      <c r="D382" s="178"/>
      <c r="E382" s="446"/>
      <c r="F382" s="178"/>
      <c r="G382" s="179"/>
      <c r="H382" s="755" t="s">
        <v>46</v>
      </c>
      <c r="I382" s="269">
        <v>0</v>
      </c>
      <c r="J382" s="269">
        <f ca="1">IFERROR(__xludf.DUMMYFUNCTION("IMPORTRANGE(""https://docs.google.com/spreadsheets/d/1XWAQStnk-4SwqDmLtmXYiTMKHgktTP8We1SCoS47DrQ/edit?usp=sharing"",""จัดที่ดิน!AM59"")"),0)</f>
        <v>0</v>
      </c>
      <c r="K382" s="496">
        <f t="shared" si="164"/>
        <v>0</v>
      </c>
      <c r="L382" s="163"/>
      <c r="M382" s="163"/>
      <c r="N382" s="163"/>
      <c r="O382" s="163"/>
      <c r="P382" s="163"/>
    </row>
    <row r="383" spans="1:26" ht="19.5">
      <c r="A383" s="255"/>
      <c r="B383" s="263"/>
      <c r="C383" s="256"/>
      <c r="D383" s="832" t="s">
        <v>170</v>
      </c>
      <c r="E383" s="256"/>
      <c r="F383" s="256"/>
      <c r="G383" s="258"/>
      <c r="H383" s="454"/>
      <c r="I383" s="260"/>
      <c r="J383" s="260"/>
      <c r="K383" s="261"/>
      <c r="L383" s="261"/>
      <c r="M383" s="261"/>
      <c r="N383" s="261"/>
      <c r="O383" s="261"/>
      <c r="P383" s="261"/>
    </row>
    <row r="384" spans="1:26" ht="19.5">
      <c r="A384" s="170"/>
      <c r="B384" s="171"/>
      <c r="C384" s="33" t="s">
        <v>16</v>
      </c>
      <c r="D384" s="823" t="s">
        <v>38</v>
      </c>
      <c r="E384" s="173"/>
      <c r="F384" s="173"/>
      <c r="G384" s="174"/>
      <c r="H384" s="753"/>
      <c r="I384" s="269"/>
      <c r="J384" s="269"/>
      <c r="K384" s="496"/>
      <c r="L384" s="163"/>
      <c r="M384" s="163"/>
      <c r="N384" s="163"/>
      <c r="O384" s="163"/>
      <c r="P384" s="163"/>
    </row>
    <row r="385" spans="1:26" ht="18.75">
      <c r="A385" s="377"/>
      <c r="B385" s="380"/>
      <c r="C385" s="378"/>
      <c r="D385" s="380"/>
      <c r="E385" s="497" t="s">
        <v>163</v>
      </c>
      <c r="F385" s="380"/>
      <c r="G385" s="381"/>
      <c r="H385" s="498" t="s">
        <v>35</v>
      </c>
      <c r="I385" s="499">
        <f ca="1">IFERROR(__xludf.DUMMYFUNCTION("IMPORTRANGE(""https://docs.google.com/spreadsheets/d/1QqKyyYR6Q21VydFLVH3TRQUabQu_ym0Zz7PgGX0-kHA/edit?usp=sharing"",""แผน!EW59"")"),5)</f>
        <v>5</v>
      </c>
      <c r="J385" s="499">
        <f ca="1">IFERROR(__xludf.DUMMYFUNCTION("IMPORTRANGE(""https://docs.google.com/spreadsheets/d/1XWAQStnk-4SwqDmLtmXYiTMKHgktTP8We1SCoS47DrQ/edit?usp=sharing"",""จัดที่ดิน!AP59"")"),0)</f>
        <v>0</v>
      </c>
      <c r="K385" s="500">
        <f ca="1">IF(I385&gt;0,J385*100/I385,0)</f>
        <v>0</v>
      </c>
      <c r="L385" s="384"/>
      <c r="M385" s="384"/>
      <c r="N385" s="384"/>
      <c r="O385" s="384"/>
      <c r="P385" s="384"/>
    </row>
    <row r="386" spans="1:26" ht="19.5" hidden="1">
      <c r="A386" s="501" t="s">
        <v>171</v>
      </c>
      <c r="B386" s="502"/>
      <c r="C386" s="502"/>
      <c r="D386" s="502"/>
      <c r="E386" s="503"/>
      <c r="F386" s="503"/>
      <c r="G386" s="504"/>
      <c r="H386" s="505"/>
      <c r="I386" s="506"/>
      <c r="J386" s="506"/>
      <c r="K386" s="507"/>
      <c r="L386" s="507"/>
      <c r="M386" s="507"/>
      <c r="N386" s="507"/>
      <c r="O386" s="507"/>
      <c r="P386" s="507"/>
    </row>
    <row r="387" spans="1:26" ht="19.5" hidden="1">
      <c r="A387" s="508" t="s">
        <v>172</v>
      </c>
      <c r="B387" s="509"/>
      <c r="C387" s="509"/>
      <c r="D387" s="510"/>
      <c r="E387" s="509"/>
      <c r="F387" s="509"/>
      <c r="G387" s="509"/>
      <c r="H387" s="511"/>
      <c r="I387" s="512"/>
      <c r="J387" s="512"/>
      <c r="K387" s="513"/>
      <c r="L387" s="513"/>
      <c r="M387" s="513"/>
      <c r="N387" s="513"/>
      <c r="O387" s="513"/>
      <c r="P387" s="513"/>
    </row>
    <row r="388" spans="1:26" ht="19.5" hidden="1">
      <c r="A388" s="514"/>
      <c r="B388" s="515" t="s">
        <v>173</v>
      </c>
      <c r="C388" s="516"/>
      <c r="D388" s="517"/>
      <c r="E388" s="517"/>
      <c r="F388" s="517"/>
      <c r="G388" s="518"/>
      <c r="H388" s="519" t="s">
        <v>69</v>
      </c>
      <c r="I388" s="520">
        <f t="shared" ref="I388:J388" si="165">I400</f>
        <v>0</v>
      </c>
      <c r="J388" s="520">
        <f t="shared" si="165"/>
        <v>0</v>
      </c>
      <c r="K388" s="521">
        <f>IF(I388&gt;0,J388*100/I388,0)</f>
        <v>0</v>
      </c>
      <c r="L388" s="522"/>
      <c r="M388" s="522"/>
      <c r="N388" s="522"/>
      <c r="O388" s="522"/>
      <c r="P388" s="522"/>
    </row>
    <row r="389" spans="1:26" ht="19.5" hidden="1">
      <c r="A389" s="147"/>
      <c r="B389" s="148"/>
      <c r="C389" s="149" t="s">
        <v>16</v>
      </c>
      <c r="D389" s="822" t="s">
        <v>17</v>
      </c>
      <c r="E389" s="148"/>
      <c r="F389" s="148"/>
      <c r="G389" s="151"/>
      <c r="H389" s="152" t="s">
        <v>12</v>
      </c>
      <c r="I389" s="419"/>
      <c r="J389" s="419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2" t="s">
        <v>18</v>
      </c>
      <c r="F390" s="40"/>
      <c r="G390" s="157"/>
      <c r="H390" s="158" t="s">
        <v>12</v>
      </c>
      <c r="I390" s="610"/>
      <c r="J390" s="610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2" t="s">
        <v>19</v>
      </c>
      <c r="F391" s="40"/>
      <c r="G391" s="157"/>
      <c r="H391" s="158" t="s">
        <v>12</v>
      </c>
      <c r="I391" s="610"/>
      <c r="J391" s="610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1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6">
        <f t="shared" ref="L392:N392" ca="1" si="170">L393+L394</f>
        <v>0</v>
      </c>
      <c r="M392" s="496">
        <f t="shared" ca="1" si="170"/>
        <v>0</v>
      </c>
      <c r="N392" s="496">
        <f t="shared" ca="1" si="170"/>
        <v>0</v>
      </c>
      <c r="O392" s="496">
        <f t="shared" ca="1" si="167"/>
        <v>0</v>
      </c>
      <c r="P392" s="496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2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2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IFERROR(__xludf.DUMMYFUNCTION("IMPORTRANGE(""https://docs.google.com/spreadsheets/d/1MeEWN-I1oV_STSDYn1IFDPWt_1FKiwhDph83XaGc0o0/edit?usp=sharing"",""งบพรบ!FG59"")"),0)</f>
        <v>0</v>
      </c>
      <c r="M394" s="93">
        <f ca="1">IFERROR(__xludf.DUMMYFUNCTION("IMPORTRANGE(""https://docs.google.com/spreadsheets/d/1MeEWN-I1oV_STSDYn1IFDPWt_1FKiwhDph83XaGc0o0/edit?usp=sharing"",""งบพรบ!FL59"")"),0)</f>
        <v>0</v>
      </c>
      <c r="N394" s="93">
        <f ca="1">IFERROR(__xludf.DUMMYFUNCTION("IMPORTRANGE(""https://docs.google.com/spreadsheets/d/1MeEWN-I1oV_STSDYn1IFDPWt_1FKiwhDph83XaGc0o0/edit?usp=sharing"",""งบพรบ!FN59"")"),0)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1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6">
        <f t="shared" ref="L395:N395" ca="1" si="171">L396+L397</f>
        <v>0</v>
      </c>
      <c r="M395" s="496">
        <f t="shared" ca="1" si="171"/>
        <v>0</v>
      </c>
      <c r="N395" s="496">
        <f t="shared" ca="1" si="171"/>
        <v>0</v>
      </c>
      <c r="O395" s="496">
        <f t="shared" ca="1" si="167"/>
        <v>0</v>
      </c>
      <c r="P395" s="496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2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2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IFERROR(__xludf.DUMMYFUNCTION("IMPORTRANGE(""https://docs.google.com/spreadsheets/d/1MeEWN-I1oV_STSDYn1IFDPWt_1FKiwhDph83XaGc0o0/edit?usp=sharing"",""งบพรบ!FJ59"")"),0)</f>
        <v>0</v>
      </c>
      <c r="M397" s="93">
        <f ca="1">IFERROR(__xludf.DUMMYFUNCTION("IMPORTRANGE(""https://docs.google.com/spreadsheets/d/1MeEWN-I1oV_STSDYn1IFDPWt_1FKiwhDph83XaGc0o0/edit?usp=sharing"",""งบพรบ!FM59"")"),0)</f>
        <v>0</v>
      </c>
      <c r="N397" s="93">
        <f ca="1">IFERROR(__xludf.DUMMYFUNCTION("IMPORTRANGE(""https://docs.google.com/spreadsheets/d/1MeEWN-I1oV_STSDYn1IFDPWt_1FKiwhDph83XaGc0o0/edit?usp=sharing"",""งบพรบ!FO59"")"),0)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23" t="s">
        <v>38</v>
      </c>
      <c r="E398" s="173"/>
      <c r="F398" s="173"/>
      <c r="G398" s="174"/>
      <c r="H398" s="753"/>
      <c r="I398" s="184"/>
      <c r="J398" s="269"/>
      <c r="K398" s="496"/>
      <c r="L398" s="496"/>
      <c r="M398" s="496"/>
      <c r="N398" s="496"/>
      <c r="O398" s="163"/>
      <c r="P398" s="163"/>
    </row>
    <row r="399" spans="1:26" ht="18.75" hidden="1">
      <c r="A399" s="523"/>
      <c r="B399" s="148"/>
      <c r="C399" s="524"/>
      <c r="D399" s="525" t="s">
        <v>174</v>
      </c>
      <c r="E399" s="414"/>
      <c r="F399" s="148"/>
      <c r="G399" s="151"/>
      <c r="H399" s="526" t="s">
        <v>9</v>
      </c>
      <c r="I399" s="269">
        <v>0</v>
      </c>
      <c r="J399" s="214">
        <v>0</v>
      </c>
      <c r="K399" s="496">
        <f t="shared" ref="K399:K401" si="172">IF(I399&gt;0,J399*100/I399,0)</f>
        <v>0</v>
      </c>
      <c r="L399" s="527"/>
      <c r="M399" s="527"/>
      <c r="N399" s="527"/>
      <c r="O399" s="527"/>
      <c r="P399" s="527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4"/>
      <c r="B400" s="33"/>
      <c r="C400" s="280"/>
      <c r="D400" s="446" t="s">
        <v>175</v>
      </c>
      <c r="E400" s="171"/>
      <c r="F400" s="33"/>
      <c r="G400" s="35"/>
      <c r="H400" s="276" t="s">
        <v>69</v>
      </c>
      <c r="I400" s="269">
        <v>0</v>
      </c>
      <c r="J400" s="214">
        <v>0</v>
      </c>
      <c r="K400" s="496">
        <f t="shared" si="172"/>
        <v>0</v>
      </c>
      <c r="L400" s="496"/>
      <c r="M400" s="496"/>
      <c r="N400" s="496"/>
      <c r="O400" s="496"/>
      <c r="P400" s="496"/>
    </row>
    <row r="401" spans="1:26" ht="19.5" hidden="1">
      <c r="A401" s="514"/>
      <c r="B401" s="515" t="s">
        <v>176</v>
      </c>
      <c r="C401" s="516"/>
      <c r="D401" s="517"/>
      <c r="E401" s="517"/>
      <c r="F401" s="517"/>
      <c r="G401" s="518"/>
      <c r="H401" s="519" t="s">
        <v>69</v>
      </c>
      <c r="I401" s="520">
        <f t="shared" ref="I401:J401" si="173">I412</f>
        <v>0</v>
      </c>
      <c r="J401" s="520">
        <f t="shared" si="173"/>
        <v>0</v>
      </c>
      <c r="K401" s="521">
        <f t="shared" si="172"/>
        <v>0</v>
      </c>
      <c r="L401" s="522"/>
      <c r="M401" s="522"/>
      <c r="N401" s="522"/>
      <c r="O401" s="522"/>
      <c r="P401" s="522"/>
    </row>
    <row r="402" spans="1:26" ht="19.5" hidden="1">
      <c r="A402" s="147"/>
      <c r="B402" s="148"/>
      <c r="C402" s="149" t="s">
        <v>16</v>
      </c>
      <c r="D402" s="822" t="s">
        <v>17</v>
      </c>
      <c r="E402" s="148"/>
      <c r="F402" s="148"/>
      <c r="G402" s="151"/>
      <c r="H402" s="152" t="s">
        <v>12</v>
      </c>
      <c r="I402" s="419"/>
      <c r="J402" s="419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2" t="s">
        <v>18</v>
      </c>
      <c r="F403" s="40"/>
      <c r="G403" s="157"/>
      <c r="H403" s="158" t="s">
        <v>12</v>
      </c>
      <c r="I403" s="610"/>
      <c r="J403" s="610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2" t="s">
        <v>19</v>
      </c>
      <c r="F404" s="40"/>
      <c r="G404" s="157"/>
      <c r="H404" s="158" t="s">
        <v>12</v>
      </c>
      <c r="I404" s="610"/>
      <c r="J404" s="610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1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6">
        <f t="shared" ref="L405:N405" ca="1" si="178">L406+L407</f>
        <v>0</v>
      </c>
      <c r="M405" s="496">
        <f t="shared" ca="1" si="178"/>
        <v>0</v>
      </c>
      <c r="N405" s="496">
        <f t="shared" ca="1" si="178"/>
        <v>0</v>
      </c>
      <c r="O405" s="496">
        <f t="shared" ca="1" si="175"/>
        <v>0</v>
      </c>
      <c r="P405" s="496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2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2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IFERROR(__xludf.DUMMYFUNCTION("IMPORTRANGE(""https://docs.google.com/spreadsheets/d/1MeEWN-I1oV_STSDYn1IFDPWt_1FKiwhDph83XaGc0o0/edit?usp=sharing"",""งบพรบ!FQ59"")"),0)</f>
        <v>0</v>
      </c>
      <c r="M407" s="93">
        <f ca="1">IFERROR(__xludf.DUMMYFUNCTION("IMPORTRANGE(""https://docs.google.com/spreadsheets/d/1MeEWN-I1oV_STSDYn1IFDPWt_1FKiwhDph83XaGc0o0/edit?usp=sharing"",""งบพรบ!FV59"")"),0)</f>
        <v>0</v>
      </c>
      <c r="N407" s="93">
        <f ca="1">IFERROR(__xludf.DUMMYFUNCTION("IMPORTRANGE(""https://docs.google.com/spreadsheets/d/1MeEWN-I1oV_STSDYn1IFDPWt_1FKiwhDph83XaGc0o0/edit?usp=sharing"",""งบพรบ!FX59"")"),0)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1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6">
        <f t="shared" ref="L408:N408" ca="1" si="179">L409+L410</f>
        <v>0</v>
      </c>
      <c r="M408" s="496">
        <f t="shared" ca="1" si="179"/>
        <v>0</v>
      </c>
      <c r="N408" s="496">
        <f t="shared" ca="1" si="179"/>
        <v>0</v>
      </c>
      <c r="O408" s="496">
        <f t="shared" ca="1" si="175"/>
        <v>0</v>
      </c>
      <c r="P408" s="496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2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2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IFERROR(__xludf.DUMMYFUNCTION("IMPORTRANGE(""https://docs.google.com/spreadsheets/d/1MeEWN-I1oV_STSDYn1IFDPWt_1FKiwhDph83XaGc0o0/edit?usp=sharing"",""งบพรบ!FT59"")"),0)</f>
        <v>0</v>
      </c>
      <c r="M410" s="93">
        <f ca="1">IFERROR(__xludf.DUMMYFUNCTION("IMPORTRANGE(""https://docs.google.com/spreadsheets/d/1MeEWN-I1oV_STSDYn1IFDPWt_1FKiwhDph83XaGc0o0/edit?usp=sharing"",""งบพรบ!FW59"")"),0)</f>
        <v>0</v>
      </c>
      <c r="N410" s="93">
        <f ca="1">IFERROR(__xludf.DUMMYFUNCTION("IMPORTRANGE(""https://docs.google.com/spreadsheets/d/1MeEWN-I1oV_STSDYn1IFDPWt_1FKiwhDph83XaGc0o0/edit?usp=sharing"",""งบพรบ!FY59"")"),0)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34" t="s">
        <v>38</v>
      </c>
      <c r="E411" s="529"/>
      <c r="F411" s="529"/>
      <c r="G411" s="530"/>
      <c r="H411" s="753"/>
      <c r="I411" s="269"/>
      <c r="J411" s="269"/>
      <c r="K411" s="496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6" t="s">
        <v>177</v>
      </c>
      <c r="E412" s="178"/>
      <c r="F412" s="178"/>
      <c r="G412" s="179"/>
      <c r="H412" s="531" t="s">
        <v>69</v>
      </c>
      <c r="I412" s="269">
        <v>0</v>
      </c>
      <c r="J412" s="214">
        <v>0</v>
      </c>
      <c r="K412" s="496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2"/>
      <c r="B413" s="533"/>
      <c r="C413" s="533"/>
      <c r="D413" s="534" t="s">
        <v>178</v>
      </c>
      <c r="E413" s="533"/>
      <c r="F413" s="533"/>
      <c r="G413" s="535"/>
      <c r="H413" s="536" t="s">
        <v>179</v>
      </c>
      <c r="I413" s="537">
        <v>0</v>
      </c>
      <c r="J413" s="538">
        <v>0</v>
      </c>
      <c r="K413" s="539">
        <f t="shared" si="180"/>
        <v>0</v>
      </c>
      <c r="L413" s="540"/>
      <c r="M413" s="540"/>
      <c r="N413" s="540"/>
      <c r="O413" s="540"/>
      <c r="P413" s="540"/>
    </row>
    <row r="414" spans="1:26" ht="19.5">
      <c r="A414" s="541" t="s">
        <v>180</v>
      </c>
      <c r="B414" s="542"/>
      <c r="C414" s="542"/>
      <c r="D414" s="542"/>
      <c r="E414" s="542"/>
      <c r="F414" s="542"/>
      <c r="G414" s="543"/>
      <c r="H414" s="544"/>
      <c r="I414" s="545"/>
      <c r="J414" s="545"/>
      <c r="K414" s="546"/>
      <c r="L414" s="547">
        <f t="shared" ref="L414:N414" ca="1" si="181">L419+L444+L467+L502+L523+L544+L629+L655+L685+L737+L754+L770+L786+L805</f>
        <v>469210</v>
      </c>
      <c r="M414" s="547">
        <f t="shared" si="181"/>
        <v>0</v>
      </c>
      <c r="N414" s="547">
        <f t="shared" si="181"/>
        <v>0</v>
      </c>
      <c r="O414" s="547">
        <f ca="1">IF(L414&gt;0,N414*100/L414,0)</f>
        <v>0</v>
      </c>
      <c r="P414" s="547">
        <f>IF(M414&gt;0,N414*100/M414,0)</f>
        <v>0</v>
      </c>
    </row>
    <row r="415" spans="1:26" ht="19.5">
      <c r="A415" s="548" t="s">
        <v>181</v>
      </c>
      <c r="B415" s="549"/>
      <c r="C415" s="549"/>
      <c r="D415" s="549"/>
      <c r="E415" s="549"/>
      <c r="F415" s="549"/>
      <c r="G415" s="549"/>
      <c r="H415" s="550"/>
      <c r="I415" s="551"/>
      <c r="J415" s="551"/>
      <c r="K415" s="552"/>
      <c r="L415" s="553"/>
      <c r="M415" s="553"/>
      <c r="N415" s="553"/>
      <c r="O415" s="553"/>
      <c r="P415" s="553"/>
    </row>
    <row r="416" spans="1:26" ht="19.5">
      <c r="A416" s="548" t="s">
        <v>182</v>
      </c>
      <c r="B416" s="549"/>
      <c r="C416" s="549"/>
      <c r="D416" s="549"/>
      <c r="E416" s="549"/>
      <c r="F416" s="549"/>
      <c r="G416" s="554"/>
      <c r="H416" s="555"/>
      <c r="I416" s="556"/>
      <c r="J416" s="556"/>
      <c r="K416" s="553"/>
      <c r="L416" s="553"/>
      <c r="M416" s="553"/>
      <c r="N416" s="553"/>
      <c r="O416" s="553"/>
      <c r="P416" s="553"/>
    </row>
    <row r="417" spans="1:26" ht="39">
      <c r="A417" s="557">
        <v>1</v>
      </c>
      <c r="B417" s="559" t="s">
        <v>183</v>
      </c>
      <c r="C417" s="559"/>
      <c r="D417" s="560"/>
      <c r="E417" s="560"/>
      <c r="F417" s="560"/>
      <c r="G417" s="561"/>
      <c r="H417" s="562" t="s">
        <v>35</v>
      </c>
      <c r="I417" s="563">
        <f t="shared" ref="I417:J418" ca="1" si="182">I433</f>
        <v>90</v>
      </c>
      <c r="J417" s="563">
        <f t="shared" ca="1" si="182"/>
        <v>0</v>
      </c>
      <c r="K417" s="564">
        <f t="shared" ref="K417:K418" ca="1" si="183">IF(I417&gt;0,J417*100/I417,0)</f>
        <v>0</v>
      </c>
      <c r="L417" s="565"/>
      <c r="M417" s="565"/>
      <c r="N417" s="565"/>
      <c r="O417" s="565"/>
      <c r="P417" s="565"/>
    </row>
    <row r="418" spans="1:26" ht="19.5">
      <c r="A418" s="566"/>
      <c r="B418" s="557"/>
      <c r="C418" s="559"/>
      <c r="D418" s="560"/>
      <c r="E418" s="560"/>
      <c r="F418" s="560"/>
      <c r="G418" s="561"/>
      <c r="H418" s="562" t="s">
        <v>49</v>
      </c>
      <c r="I418" s="563">
        <f t="shared" ca="1" si="182"/>
        <v>2</v>
      </c>
      <c r="J418" s="563">
        <f t="shared" si="182"/>
        <v>0</v>
      </c>
      <c r="K418" s="564">
        <f t="shared" ca="1" si="183"/>
        <v>0</v>
      </c>
      <c r="L418" s="565"/>
      <c r="M418" s="565"/>
      <c r="N418" s="565"/>
      <c r="O418" s="565"/>
      <c r="P418" s="565"/>
    </row>
    <row r="419" spans="1:26" ht="19.5">
      <c r="A419" s="147"/>
      <c r="B419" s="148"/>
      <c r="C419" s="148" t="s">
        <v>16</v>
      </c>
      <c r="D419" s="868" t="s">
        <v>17</v>
      </c>
      <c r="E419" s="862"/>
      <c r="F419" s="862"/>
      <c r="G419" s="151"/>
      <c r="H419" s="274" t="s">
        <v>12</v>
      </c>
      <c r="I419" s="419"/>
      <c r="J419" s="419"/>
      <c r="K419" s="154"/>
      <c r="L419" s="155">
        <f t="shared" ref="L419:N419" ca="1" si="184">L420+L421</f>
        <v>271030</v>
      </c>
      <c r="M419" s="155">
        <f t="shared" si="184"/>
        <v>0</v>
      </c>
      <c r="N419" s="155">
        <f t="shared" si="184"/>
        <v>0</v>
      </c>
      <c r="O419" s="155">
        <f t="shared" ref="O419:O424" ca="1" si="185">IF(L419&gt;0,N419*100/L419,0)</f>
        <v>0</v>
      </c>
      <c r="P419" s="155">
        <f t="shared" ref="P419:P424" si="186">IF(M419&gt;0,N419*100/M419,0)</f>
        <v>0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2"/>
      <c r="E420" s="222" t="s">
        <v>184</v>
      </c>
      <c r="F420" s="40"/>
      <c r="G420" s="157"/>
      <c r="H420" s="165" t="s">
        <v>12</v>
      </c>
      <c r="I420" s="610"/>
      <c r="J420" s="610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2"/>
      <c r="E421" s="222" t="s">
        <v>185</v>
      </c>
      <c r="F421" s="40"/>
      <c r="G421" s="157"/>
      <c r="H421" s="165" t="s">
        <v>12</v>
      </c>
      <c r="I421" s="610"/>
      <c r="J421" s="610"/>
      <c r="K421" s="93"/>
      <c r="L421" s="93">
        <f t="shared" ca="1" si="187"/>
        <v>271030</v>
      </c>
      <c r="M421" s="93">
        <f t="shared" si="187"/>
        <v>0</v>
      </c>
      <c r="N421" s="93">
        <f t="shared" si="187"/>
        <v>0</v>
      </c>
      <c r="O421" s="93">
        <f t="shared" ca="1" si="185"/>
        <v>0</v>
      </c>
      <c r="P421" s="93">
        <f t="shared" si="186"/>
        <v>0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0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6">
        <f t="shared" ref="L422:N422" ca="1" si="188">L423+L424</f>
        <v>271030</v>
      </c>
      <c r="M422" s="496">
        <f t="shared" si="188"/>
        <v>0</v>
      </c>
      <c r="N422" s="496">
        <f t="shared" si="188"/>
        <v>0</v>
      </c>
      <c r="O422" s="496">
        <f t="shared" ca="1" si="185"/>
        <v>0</v>
      </c>
      <c r="P422" s="496">
        <f t="shared" si="186"/>
        <v>0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2"/>
      <c r="E423" s="222" t="s">
        <v>184</v>
      </c>
      <c r="F423" s="40"/>
      <c r="G423" s="157"/>
      <c r="H423" s="165" t="s">
        <v>12</v>
      </c>
      <c r="I423" s="610"/>
      <c r="J423" s="610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2"/>
      <c r="E424" s="222" t="s">
        <v>185</v>
      </c>
      <c r="F424" s="40"/>
      <c r="G424" s="157"/>
      <c r="H424" s="165" t="s">
        <v>12</v>
      </c>
      <c r="I424" s="610"/>
      <c r="J424" s="610"/>
      <c r="K424" s="93"/>
      <c r="L424" s="93">
        <f ca="1">IFERROR(__xludf.DUMMYFUNCTION("IMPORTRANGE(""https://docs.google.com/spreadsheets/d/1QqKyyYR6Q21VydFLVH3TRQUabQu_ym0Zz7PgGX0-kHA/edit?usp=sharing"",""แผน!EY59"")"),271030)</f>
        <v>271030</v>
      </c>
      <c r="M424" s="93">
        <v>0</v>
      </c>
      <c r="N424" s="93">
        <f>N425+N426+N427+N428</f>
        <v>0</v>
      </c>
      <c r="O424" s="93">
        <f t="shared" ca="1" si="185"/>
        <v>0</v>
      </c>
      <c r="P424" s="93">
        <f t="shared" si="186"/>
        <v>0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67"/>
      <c r="B425" s="568"/>
      <c r="C425" s="754"/>
      <c r="D425" s="754"/>
      <c r="E425" s="754"/>
      <c r="F425" s="754" t="s">
        <v>186</v>
      </c>
      <c r="G425" s="189"/>
      <c r="H425" s="161" t="s">
        <v>12</v>
      </c>
      <c r="I425" s="269"/>
      <c r="J425" s="269"/>
      <c r="K425" s="496"/>
      <c r="L425" s="496"/>
      <c r="M425" s="496"/>
      <c r="N425" s="817">
        <v>0</v>
      </c>
      <c r="O425" s="496"/>
      <c r="P425" s="496"/>
      <c r="Q425" s="571"/>
      <c r="R425" s="571"/>
      <c r="S425" s="571"/>
      <c r="T425" s="571"/>
      <c r="U425" s="571"/>
      <c r="V425" s="571"/>
      <c r="W425" s="571"/>
      <c r="X425" s="571"/>
      <c r="Y425" s="571"/>
      <c r="Z425" s="571"/>
    </row>
    <row r="426" spans="1:26" ht="18.75">
      <c r="A426" s="567"/>
      <c r="B426" s="568"/>
      <c r="C426" s="754"/>
      <c r="D426" s="754"/>
      <c r="E426" s="754"/>
      <c r="F426" s="754" t="s">
        <v>187</v>
      </c>
      <c r="G426" s="189"/>
      <c r="H426" s="161" t="s">
        <v>12</v>
      </c>
      <c r="I426" s="269"/>
      <c r="J426" s="269"/>
      <c r="K426" s="496"/>
      <c r="L426" s="496"/>
      <c r="M426" s="496"/>
      <c r="N426" s="817">
        <v>0</v>
      </c>
      <c r="O426" s="496"/>
      <c r="P426" s="496"/>
      <c r="Q426" s="571"/>
      <c r="R426" s="571"/>
      <c r="S426" s="571"/>
      <c r="T426" s="571"/>
      <c r="U426" s="571"/>
      <c r="V426" s="571"/>
      <c r="W426" s="571"/>
      <c r="X426" s="571"/>
      <c r="Y426" s="571"/>
      <c r="Z426" s="571"/>
    </row>
    <row r="427" spans="1:26" ht="18.75">
      <c r="A427" s="567"/>
      <c r="B427" s="568"/>
      <c r="C427" s="754"/>
      <c r="D427" s="754"/>
      <c r="E427" s="754"/>
      <c r="F427" s="754" t="s">
        <v>188</v>
      </c>
      <c r="G427" s="189"/>
      <c r="H427" s="161" t="s">
        <v>12</v>
      </c>
      <c r="I427" s="269"/>
      <c r="J427" s="269"/>
      <c r="K427" s="496"/>
      <c r="L427" s="496"/>
      <c r="M427" s="496"/>
      <c r="N427" s="817">
        <v>0</v>
      </c>
      <c r="O427" s="496"/>
      <c r="P427" s="496"/>
      <c r="Q427" s="571"/>
      <c r="R427" s="571"/>
      <c r="S427" s="571"/>
      <c r="T427" s="571"/>
      <c r="U427" s="571"/>
      <c r="V427" s="571"/>
      <c r="W427" s="571"/>
      <c r="X427" s="571"/>
      <c r="Y427" s="571"/>
      <c r="Z427" s="571"/>
    </row>
    <row r="428" spans="1:26" ht="18.75">
      <c r="A428" s="284"/>
      <c r="B428" s="280"/>
      <c r="C428" s="33"/>
      <c r="D428" s="33"/>
      <c r="E428" s="33"/>
      <c r="F428" s="281" t="s">
        <v>189</v>
      </c>
      <c r="G428" s="213"/>
      <c r="H428" s="161" t="s">
        <v>12</v>
      </c>
      <c r="I428" s="269"/>
      <c r="J428" s="269"/>
      <c r="K428" s="496"/>
      <c r="L428" s="496"/>
      <c r="M428" s="496"/>
      <c r="N428" s="817">
        <v>0</v>
      </c>
      <c r="O428" s="496"/>
      <c r="P428" s="496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0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6">
        <f t="shared" ref="L429:N429" ca="1" si="189">L430+L431</f>
        <v>0</v>
      </c>
      <c r="M429" s="496">
        <f t="shared" si="189"/>
        <v>0</v>
      </c>
      <c r="N429" s="496">
        <f t="shared" si="189"/>
        <v>0</v>
      </c>
      <c r="O429" s="496">
        <f t="shared" ref="O429:O431" ca="1" si="190">IF(L429&gt;0,N429*100/L429,0)</f>
        <v>0</v>
      </c>
      <c r="P429" s="496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6"/>
      <c r="C430" s="40"/>
      <c r="D430" s="40"/>
      <c r="E430" s="222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6"/>
      <c r="C431" s="40"/>
      <c r="D431" s="40"/>
      <c r="E431" s="222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IFERROR(__xludf.DUMMYFUNCTION("IMPORTRANGE(""https://docs.google.com/spreadsheets/d/1QqKyyYR6Q21VydFLVH3TRQUabQu_ym0Zz7PgGX0-kHA/edit?usp=sharing"",""แผน!FB59"")"),0)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3"/>
      <c r="B432" s="414"/>
      <c r="C432" s="148" t="s">
        <v>16</v>
      </c>
      <c r="D432" s="835" t="s">
        <v>38</v>
      </c>
      <c r="E432" s="573"/>
      <c r="F432" s="573"/>
      <c r="G432" s="574"/>
      <c r="H432" s="575"/>
      <c r="I432" s="419"/>
      <c r="J432" s="419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190</v>
      </c>
      <c r="E433" s="178"/>
      <c r="F433" s="178"/>
      <c r="G433" s="179"/>
      <c r="H433" s="196" t="s">
        <v>35</v>
      </c>
      <c r="I433" s="674">
        <f ca="1">I435</f>
        <v>90</v>
      </c>
      <c r="J433" s="674">
        <f ca="1">IF(AND(J435=I435,J437=I437,J439=I439),I437+I439,IF(AND(J435=I437,J437=I437),I437,IF(AND(J435=I439,J439=I439),I439,0)))</f>
        <v>0</v>
      </c>
      <c r="K433" s="195">
        <f t="shared" ref="K433:K435" ca="1" si="192">IF(I433&gt;0,J433*100/I433,0)</f>
        <v>0</v>
      </c>
      <c r="L433" s="496"/>
      <c r="M433" s="496"/>
      <c r="N433" s="496"/>
      <c r="O433" s="496"/>
      <c r="P433" s="496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191</v>
      </c>
      <c r="E434" s="178"/>
      <c r="F434" s="178"/>
      <c r="G434" s="179"/>
      <c r="H434" s="196" t="s">
        <v>49</v>
      </c>
      <c r="I434" s="674">
        <f t="shared" ref="I434:J434" ca="1" si="193">I438+I440</f>
        <v>2</v>
      </c>
      <c r="J434" s="674">
        <f t="shared" si="193"/>
        <v>0</v>
      </c>
      <c r="K434" s="195">
        <f t="shared" ca="1" si="192"/>
        <v>0</v>
      </c>
      <c r="L434" s="496"/>
      <c r="M434" s="496"/>
      <c r="N434" s="496"/>
      <c r="O434" s="496"/>
      <c r="P434" s="496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6" t="s">
        <v>192</v>
      </c>
      <c r="E435" s="178"/>
      <c r="F435" s="178"/>
      <c r="G435" s="179"/>
      <c r="H435" s="616" t="s">
        <v>35</v>
      </c>
      <c r="I435" s="576">
        <f ca="1">IFERROR(__xludf.DUMMYFUNCTION("IMPORTRANGE(""https://docs.google.com/spreadsheets/d/1QqKyyYR6Q21VydFLVH3TRQUabQu_ym0Zz7PgGX0-kHA/edit?usp=sharing"",""แผน!FC59"")"),90)</f>
        <v>90</v>
      </c>
      <c r="J435" s="577">
        <v>0</v>
      </c>
      <c r="K435" s="496">
        <f t="shared" ca="1" si="192"/>
        <v>0</v>
      </c>
      <c r="L435" s="496"/>
      <c r="M435" s="496"/>
      <c r="N435" s="496"/>
      <c r="O435" s="496"/>
      <c r="P435" s="496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6" t="s">
        <v>193</v>
      </c>
      <c r="E436" s="178"/>
      <c r="F436" s="178"/>
      <c r="G436" s="179"/>
      <c r="H436" s="616"/>
      <c r="I436" s="269"/>
      <c r="J436" s="269"/>
      <c r="K436" s="496"/>
      <c r="L436" s="496"/>
      <c r="M436" s="496"/>
      <c r="N436" s="496"/>
      <c r="O436" s="496"/>
      <c r="P436" s="496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6" t="s">
        <v>194</v>
      </c>
      <c r="E437" s="178"/>
      <c r="F437" s="178"/>
      <c r="G437" s="179"/>
      <c r="H437" s="616" t="s">
        <v>35</v>
      </c>
      <c r="I437" s="576">
        <f ca="1">IFERROR(__xludf.DUMMYFUNCTION("IMPORTRANGE(""https://docs.google.com/spreadsheets/d/1QqKyyYR6Q21VydFLVH3TRQUabQu_ym0Zz7PgGX0-kHA/edit?usp=sharing"",""แผน!FD59"")"),70)</f>
        <v>70</v>
      </c>
      <c r="J437" s="577">
        <v>0</v>
      </c>
      <c r="K437" s="496">
        <f t="shared" ref="K437:K443" ca="1" si="194">IF(I437&gt;0,J437*100/I437,0)</f>
        <v>0</v>
      </c>
      <c r="L437" s="496"/>
      <c r="M437" s="496"/>
      <c r="N437" s="496"/>
      <c r="O437" s="496"/>
      <c r="P437" s="496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6" t="s">
        <v>195</v>
      </c>
      <c r="E438" s="178"/>
      <c r="F438" s="178"/>
      <c r="G438" s="179"/>
      <c r="H438" s="616" t="s">
        <v>49</v>
      </c>
      <c r="I438" s="269">
        <f ca="1">IFERROR(__xludf.DUMMYFUNCTION("IMPORTRANGE(""https://docs.google.com/spreadsheets/d/1QqKyyYR6Q21VydFLVH3TRQUabQu_ym0Zz7PgGX0-kHA/edit?usp=sharing"",""แผน!FE59"")"),1)</f>
        <v>1</v>
      </c>
      <c r="J438" s="214">
        <v>0</v>
      </c>
      <c r="K438" s="496">
        <f t="shared" ca="1" si="194"/>
        <v>0</v>
      </c>
      <c r="L438" s="496"/>
      <c r="M438" s="496"/>
      <c r="N438" s="496"/>
      <c r="O438" s="496"/>
      <c r="P438" s="496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6" t="s">
        <v>196</v>
      </c>
      <c r="E439" s="178"/>
      <c r="F439" s="178"/>
      <c r="G439" s="179"/>
      <c r="H439" s="616" t="s">
        <v>35</v>
      </c>
      <c r="I439" s="576">
        <f ca="1">IFERROR(__xludf.DUMMYFUNCTION("IMPORTRANGE(""https://docs.google.com/spreadsheets/d/1QqKyyYR6Q21VydFLVH3TRQUabQu_ym0Zz7PgGX0-kHA/edit?usp=sharing"",""แผน!FF59"")"),20)</f>
        <v>20</v>
      </c>
      <c r="J439" s="577">
        <v>0</v>
      </c>
      <c r="K439" s="496">
        <f t="shared" ca="1" si="194"/>
        <v>0</v>
      </c>
      <c r="L439" s="496"/>
      <c r="M439" s="496"/>
      <c r="N439" s="496"/>
      <c r="O439" s="496"/>
      <c r="P439" s="496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6" t="s">
        <v>197</v>
      </c>
      <c r="E440" s="178"/>
      <c r="F440" s="178"/>
      <c r="G440" s="179"/>
      <c r="H440" s="616" t="s">
        <v>49</v>
      </c>
      <c r="I440" s="269">
        <f ca="1">IFERROR(__xludf.DUMMYFUNCTION("IMPORTRANGE(""https://docs.google.com/spreadsheets/d/1QqKyyYR6Q21VydFLVH3TRQUabQu_ym0Zz7PgGX0-kHA/edit?usp=sharing"",""แผน!FG59"")"),1)</f>
        <v>1</v>
      </c>
      <c r="J440" s="214">
        <v>0</v>
      </c>
      <c r="K440" s="496">
        <f t="shared" ca="1" si="194"/>
        <v>0</v>
      </c>
      <c r="L440" s="496"/>
      <c r="M440" s="496"/>
      <c r="N440" s="496"/>
      <c r="O440" s="496"/>
      <c r="P440" s="496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 hidden="1">
      <c r="A441" s="170"/>
      <c r="B441" s="171"/>
      <c r="C441" s="171"/>
      <c r="D441" s="446" t="s">
        <v>198</v>
      </c>
      <c r="E441" s="178"/>
      <c r="F441" s="178"/>
      <c r="G441" s="179"/>
      <c r="H441" s="616" t="s">
        <v>35</v>
      </c>
      <c r="I441" s="269">
        <f ca="1">IFERROR(__xludf.DUMMYFUNCTION("IMPORTRANGE(""https://docs.google.com/spreadsheets/d/1QqKyyYR6Q21VydFLVH3TRQUabQu_ym0Zz7PgGX0-kHA/edit?usp=sharing"",""แผน!FH59"")"),0)</f>
        <v>0</v>
      </c>
      <c r="J441" s="269">
        <v>0</v>
      </c>
      <c r="K441" s="496">
        <f t="shared" ca="1" si="194"/>
        <v>0</v>
      </c>
      <c r="L441" s="496"/>
      <c r="M441" s="496"/>
      <c r="N441" s="496"/>
      <c r="O441" s="496"/>
      <c r="P441" s="496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78">
        <v>2</v>
      </c>
      <c r="B442" s="579" t="s">
        <v>199</v>
      </c>
      <c r="C442" s="580"/>
      <c r="D442" s="580"/>
      <c r="E442" s="580"/>
      <c r="F442" s="580"/>
      <c r="G442" s="581"/>
      <c r="H442" s="582" t="s">
        <v>35</v>
      </c>
      <c r="I442" s="583">
        <f t="shared" ref="I442:J442" ca="1" si="195">I460</f>
        <v>10</v>
      </c>
      <c r="J442" s="583">
        <f t="shared" si="195"/>
        <v>0</v>
      </c>
      <c r="K442" s="584">
        <f t="shared" ca="1" si="194"/>
        <v>0</v>
      </c>
      <c r="L442" s="585"/>
      <c r="M442" s="585"/>
      <c r="N442" s="585"/>
      <c r="O442" s="585"/>
      <c r="P442" s="585"/>
      <c r="Q442" s="571"/>
      <c r="R442" s="571"/>
      <c r="S442" s="571"/>
      <c r="T442" s="571"/>
      <c r="U442" s="571"/>
      <c r="V442" s="571"/>
      <c r="W442" s="571"/>
      <c r="X442" s="571"/>
      <c r="Y442" s="571"/>
      <c r="Z442" s="571"/>
    </row>
    <row r="443" spans="1:26" ht="19.5">
      <c r="A443" s="586"/>
      <c r="B443" s="587"/>
      <c r="C443" s="588"/>
      <c r="D443" s="588"/>
      <c r="E443" s="588"/>
      <c r="F443" s="588"/>
      <c r="G443" s="589"/>
      <c r="H443" s="562" t="s">
        <v>46</v>
      </c>
      <c r="I443" s="563">
        <f t="shared" ref="I443:J443" ca="1" si="196">I462</f>
        <v>20</v>
      </c>
      <c r="J443" s="563">
        <f t="shared" si="196"/>
        <v>0</v>
      </c>
      <c r="K443" s="564">
        <f t="shared" ca="1" si="194"/>
        <v>0</v>
      </c>
      <c r="L443" s="565"/>
      <c r="M443" s="565"/>
      <c r="N443" s="565"/>
      <c r="O443" s="565"/>
      <c r="P443" s="565"/>
      <c r="Q443" s="571"/>
      <c r="R443" s="571"/>
      <c r="S443" s="571"/>
      <c r="T443" s="571"/>
      <c r="U443" s="571"/>
      <c r="V443" s="571"/>
      <c r="W443" s="571"/>
      <c r="X443" s="571"/>
      <c r="Y443" s="571"/>
      <c r="Z443" s="571"/>
    </row>
    <row r="444" spans="1:26" ht="19.5">
      <c r="A444" s="590"/>
      <c r="B444" s="754"/>
      <c r="C444" s="754" t="s">
        <v>16</v>
      </c>
      <c r="D444" s="863" t="s">
        <v>17</v>
      </c>
      <c r="E444" s="857"/>
      <c r="F444" s="857"/>
      <c r="G444" s="189"/>
      <c r="H444" s="591" t="s">
        <v>12</v>
      </c>
      <c r="I444" s="269"/>
      <c r="J444" s="269"/>
      <c r="K444" s="496"/>
      <c r="L444" s="195">
        <f t="shared" ref="L444:N444" ca="1" si="197">L445+L446</f>
        <v>70060</v>
      </c>
      <c r="M444" s="195">
        <f t="shared" si="197"/>
        <v>0</v>
      </c>
      <c r="N444" s="195">
        <f t="shared" si="197"/>
        <v>0</v>
      </c>
      <c r="O444" s="195">
        <f t="shared" ref="O444:O449" ca="1" si="198">IF(L444&gt;0,N444*100/L444,0)</f>
        <v>0</v>
      </c>
      <c r="P444" s="195">
        <f t="shared" ref="P444:P449" si="199">IF(M444&gt;0,N444*100/M444,0)</f>
        <v>0</v>
      </c>
      <c r="Q444" s="571"/>
      <c r="R444" s="571"/>
      <c r="S444" s="571"/>
      <c r="T444" s="571"/>
      <c r="U444" s="571"/>
      <c r="V444" s="571"/>
      <c r="W444" s="571"/>
      <c r="X444" s="571"/>
      <c r="Y444" s="571"/>
      <c r="Z444" s="571"/>
    </row>
    <row r="445" spans="1:26" ht="18.75" hidden="1">
      <c r="A445" s="592"/>
      <c r="B445" s="750"/>
      <c r="C445" s="750"/>
      <c r="D445" s="711"/>
      <c r="E445" s="750" t="s">
        <v>184</v>
      </c>
      <c r="F445" s="750"/>
      <c r="G445" s="596"/>
      <c r="H445" s="165" t="s">
        <v>12</v>
      </c>
      <c r="I445" s="610"/>
      <c r="J445" s="610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597"/>
      <c r="R445" s="597"/>
      <c r="S445" s="597"/>
      <c r="T445" s="597"/>
      <c r="U445" s="597"/>
      <c r="V445" s="597"/>
      <c r="W445" s="597"/>
      <c r="X445" s="597"/>
      <c r="Y445" s="597"/>
      <c r="Z445" s="597"/>
    </row>
    <row r="446" spans="1:26" ht="18.75" hidden="1">
      <c r="A446" s="592"/>
      <c r="B446" s="600"/>
      <c r="C446" s="750"/>
      <c r="D446" s="711"/>
      <c r="E446" s="750" t="s">
        <v>185</v>
      </c>
      <c r="F446" s="750"/>
      <c r="G446" s="596"/>
      <c r="H446" s="165" t="s">
        <v>12</v>
      </c>
      <c r="I446" s="610"/>
      <c r="J446" s="610"/>
      <c r="K446" s="93"/>
      <c r="L446" s="93">
        <f t="shared" ca="1" si="200"/>
        <v>70060</v>
      </c>
      <c r="M446" s="93">
        <f t="shared" si="200"/>
        <v>0</v>
      </c>
      <c r="N446" s="93">
        <f t="shared" si="200"/>
        <v>0</v>
      </c>
      <c r="O446" s="93">
        <f t="shared" ca="1" si="198"/>
        <v>0</v>
      </c>
      <c r="P446" s="93">
        <f t="shared" si="199"/>
        <v>0</v>
      </c>
      <c r="Q446" s="597"/>
      <c r="R446" s="597"/>
      <c r="S446" s="597"/>
      <c r="T446" s="597"/>
      <c r="U446" s="597"/>
      <c r="V446" s="597"/>
      <c r="W446" s="597"/>
      <c r="X446" s="597"/>
      <c r="Y446" s="597"/>
      <c r="Z446" s="597"/>
    </row>
    <row r="447" spans="1:26" ht="18.75">
      <c r="A447" s="590"/>
      <c r="B447" s="568"/>
      <c r="C447" s="754"/>
      <c r="D447" s="599" t="s">
        <v>20</v>
      </c>
      <c r="E447" s="754"/>
      <c r="F447" s="754"/>
      <c r="G447" s="189"/>
      <c r="H447" s="161" t="s">
        <v>12</v>
      </c>
      <c r="I447" s="184"/>
      <c r="J447" s="184"/>
      <c r="K447" s="163"/>
      <c r="L447" s="496">
        <f t="shared" ref="L447:N447" ca="1" si="201">L448+L449</f>
        <v>70060</v>
      </c>
      <c r="M447" s="496">
        <f t="shared" si="201"/>
        <v>0</v>
      </c>
      <c r="N447" s="496">
        <f t="shared" si="201"/>
        <v>0</v>
      </c>
      <c r="O447" s="496">
        <f t="shared" ca="1" si="198"/>
        <v>0</v>
      </c>
      <c r="P447" s="496">
        <f t="shared" si="199"/>
        <v>0</v>
      </c>
      <c r="Q447" s="571"/>
      <c r="R447" s="571"/>
      <c r="S447" s="571"/>
      <c r="T447" s="571"/>
      <c r="U447" s="571"/>
      <c r="V447" s="571"/>
      <c r="W447" s="571"/>
      <c r="X447" s="571"/>
      <c r="Y447" s="571"/>
      <c r="Z447" s="571"/>
    </row>
    <row r="448" spans="1:26" ht="18.75" hidden="1">
      <c r="A448" s="592"/>
      <c r="B448" s="600"/>
      <c r="C448" s="750"/>
      <c r="D448" s="711"/>
      <c r="E448" s="750" t="s">
        <v>184</v>
      </c>
      <c r="F448" s="750"/>
      <c r="G448" s="596"/>
      <c r="H448" s="165" t="s">
        <v>12</v>
      </c>
      <c r="I448" s="610"/>
      <c r="J448" s="610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597"/>
      <c r="R448" s="597"/>
      <c r="S448" s="597"/>
      <c r="T448" s="597"/>
      <c r="U448" s="597"/>
      <c r="V448" s="597"/>
      <c r="W448" s="597"/>
      <c r="X448" s="597"/>
      <c r="Y448" s="597"/>
      <c r="Z448" s="597"/>
    </row>
    <row r="449" spans="1:26" ht="18.75" hidden="1">
      <c r="A449" s="592"/>
      <c r="B449" s="600"/>
      <c r="C449" s="750"/>
      <c r="D449" s="711"/>
      <c r="E449" s="750" t="s">
        <v>185</v>
      </c>
      <c r="F449" s="750"/>
      <c r="G449" s="596"/>
      <c r="H449" s="165" t="s">
        <v>12</v>
      </c>
      <c r="I449" s="610"/>
      <c r="J449" s="610"/>
      <c r="K449" s="93"/>
      <c r="L449" s="93">
        <f ca="1">IFERROR(__xludf.DUMMYFUNCTION("IMPORTRANGE(""https://docs.google.com/spreadsheets/d/1QqKyyYR6Q21VydFLVH3TRQUabQu_ym0Zz7PgGX0-kHA/edit?usp=sharing"",""แผน!FJ59"")"),70060)</f>
        <v>70060</v>
      </c>
      <c r="M449" s="93">
        <v>0</v>
      </c>
      <c r="N449" s="93">
        <f>N450+N451+N452+N453</f>
        <v>0</v>
      </c>
      <c r="O449" s="93">
        <f t="shared" ca="1" si="198"/>
        <v>0</v>
      </c>
      <c r="P449" s="93">
        <f t="shared" si="199"/>
        <v>0</v>
      </c>
      <c r="Q449" s="597"/>
      <c r="R449" s="597"/>
      <c r="S449" s="597"/>
      <c r="T449" s="597"/>
      <c r="U449" s="597"/>
      <c r="V449" s="597"/>
      <c r="W449" s="597"/>
      <c r="X449" s="597"/>
      <c r="Y449" s="597"/>
      <c r="Z449" s="597"/>
    </row>
    <row r="450" spans="1:26" ht="18.75">
      <c r="A450" s="567"/>
      <c r="B450" s="568"/>
      <c r="C450" s="754"/>
      <c r="D450" s="754"/>
      <c r="E450" s="754"/>
      <c r="F450" s="754" t="s">
        <v>186</v>
      </c>
      <c r="G450" s="189"/>
      <c r="H450" s="161" t="s">
        <v>12</v>
      </c>
      <c r="I450" s="269"/>
      <c r="J450" s="269"/>
      <c r="K450" s="496"/>
      <c r="L450" s="496"/>
      <c r="M450" s="496"/>
      <c r="N450" s="817">
        <v>0</v>
      </c>
      <c r="O450" s="496"/>
      <c r="P450" s="496"/>
      <c r="Q450" s="571"/>
      <c r="R450" s="571"/>
      <c r="S450" s="571"/>
      <c r="T450" s="571"/>
      <c r="U450" s="571"/>
      <c r="V450" s="571"/>
      <c r="W450" s="571"/>
      <c r="X450" s="571"/>
      <c r="Y450" s="571"/>
      <c r="Z450" s="571"/>
    </row>
    <row r="451" spans="1:26" ht="18.75">
      <c r="A451" s="567"/>
      <c r="B451" s="568"/>
      <c r="C451" s="754"/>
      <c r="D451" s="754"/>
      <c r="E451" s="754"/>
      <c r="F451" s="754" t="s">
        <v>187</v>
      </c>
      <c r="G451" s="189"/>
      <c r="H451" s="161" t="s">
        <v>12</v>
      </c>
      <c r="I451" s="269"/>
      <c r="J451" s="269"/>
      <c r="K451" s="496"/>
      <c r="L451" s="496"/>
      <c r="M451" s="496"/>
      <c r="N451" s="817">
        <v>0</v>
      </c>
      <c r="O451" s="496"/>
      <c r="P451" s="496"/>
      <c r="Q451" s="571"/>
      <c r="R451" s="571"/>
      <c r="S451" s="571"/>
      <c r="T451" s="571"/>
      <c r="U451" s="571"/>
      <c r="V451" s="571"/>
      <c r="W451" s="571"/>
      <c r="X451" s="571"/>
      <c r="Y451" s="571"/>
      <c r="Z451" s="571"/>
    </row>
    <row r="452" spans="1:26" ht="18.75">
      <c r="A452" s="567"/>
      <c r="B452" s="568"/>
      <c r="C452" s="568"/>
      <c r="D452" s="568"/>
      <c r="E452" s="568"/>
      <c r="F452" s="754" t="s">
        <v>188</v>
      </c>
      <c r="G452" s="189"/>
      <c r="H452" s="161" t="s">
        <v>12</v>
      </c>
      <c r="I452" s="269"/>
      <c r="J452" s="269"/>
      <c r="K452" s="496"/>
      <c r="L452" s="496"/>
      <c r="M452" s="496"/>
      <c r="N452" s="817">
        <v>0</v>
      </c>
      <c r="O452" s="496"/>
      <c r="P452" s="496"/>
      <c r="Q452" s="571"/>
      <c r="R452" s="571"/>
      <c r="S452" s="571"/>
      <c r="T452" s="571"/>
      <c r="U452" s="571"/>
      <c r="V452" s="571"/>
      <c r="W452" s="571"/>
      <c r="X452" s="571"/>
      <c r="Y452" s="571"/>
      <c r="Z452" s="571"/>
    </row>
    <row r="453" spans="1:26" ht="18.75">
      <c r="A453" s="567"/>
      <c r="B453" s="568"/>
      <c r="C453" s="568"/>
      <c r="D453" s="568"/>
      <c r="E453" s="568"/>
      <c r="F453" s="754" t="s">
        <v>189</v>
      </c>
      <c r="G453" s="189"/>
      <c r="H453" s="161" t="s">
        <v>12</v>
      </c>
      <c r="I453" s="269"/>
      <c r="J453" s="269"/>
      <c r="K453" s="496"/>
      <c r="L453" s="496"/>
      <c r="M453" s="496"/>
      <c r="N453" s="817">
        <v>0</v>
      </c>
      <c r="O453" s="496"/>
      <c r="P453" s="496"/>
      <c r="Q453" s="571"/>
      <c r="R453" s="571"/>
      <c r="S453" s="571"/>
      <c r="T453" s="571"/>
      <c r="U453" s="571"/>
      <c r="V453" s="571"/>
      <c r="W453" s="571"/>
      <c r="X453" s="571"/>
      <c r="Y453" s="571"/>
      <c r="Z453" s="571"/>
    </row>
    <row r="454" spans="1:26" ht="18.75">
      <c r="A454" s="590"/>
      <c r="B454" s="568"/>
      <c r="C454" s="568"/>
      <c r="D454" s="599" t="s">
        <v>21</v>
      </c>
      <c r="E454" s="568"/>
      <c r="F454" s="754"/>
      <c r="G454" s="189"/>
      <c r="H454" s="168" t="s">
        <v>12</v>
      </c>
      <c r="I454" s="184"/>
      <c r="J454" s="184"/>
      <c r="K454" s="163"/>
      <c r="L454" s="496">
        <f t="shared" ref="L454:N454" ca="1" si="202">L455+L456</f>
        <v>0</v>
      </c>
      <c r="M454" s="496">
        <f t="shared" si="202"/>
        <v>0</v>
      </c>
      <c r="N454" s="496">
        <f t="shared" si="202"/>
        <v>0</v>
      </c>
      <c r="O454" s="496">
        <f t="shared" ref="O454:O456" ca="1" si="203">IF(L454&gt;0,N454*100/L454,0)</f>
        <v>0</v>
      </c>
      <c r="P454" s="496">
        <f t="shared" ref="P454:P456" si="204">IF(M454&gt;0,N454*100/M454,0)</f>
        <v>0</v>
      </c>
      <c r="Q454" s="571"/>
      <c r="R454" s="571"/>
      <c r="S454" s="571"/>
      <c r="T454" s="571"/>
      <c r="U454" s="571"/>
      <c r="V454" s="571"/>
      <c r="W454" s="571"/>
      <c r="X454" s="571"/>
      <c r="Y454" s="571"/>
      <c r="Z454" s="571"/>
    </row>
    <row r="455" spans="1:26" ht="18.75" hidden="1">
      <c r="A455" s="592"/>
      <c r="B455" s="600"/>
      <c r="C455" s="600"/>
      <c r="D455" s="600"/>
      <c r="E455" s="600" t="s">
        <v>18</v>
      </c>
      <c r="F455" s="750"/>
      <c r="G455" s="596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597"/>
      <c r="R455" s="597"/>
      <c r="S455" s="597"/>
      <c r="T455" s="597"/>
      <c r="U455" s="597"/>
      <c r="V455" s="597"/>
      <c r="W455" s="597"/>
      <c r="X455" s="597"/>
      <c r="Y455" s="597"/>
      <c r="Z455" s="597"/>
    </row>
    <row r="456" spans="1:26" ht="18.75" hidden="1">
      <c r="A456" s="592"/>
      <c r="B456" s="600"/>
      <c r="C456" s="600"/>
      <c r="D456" s="600"/>
      <c r="E456" s="600" t="s">
        <v>19</v>
      </c>
      <c r="F456" s="750"/>
      <c r="G456" s="596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IFERROR(__xludf.DUMMYFUNCTION("IMPORTRANGE(""https://docs.google.com/spreadsheets/d/1QqKyyYR6Q21VydFLVH3TRQUabQu_ym0Zz7PgGX0-kHA/edit?usp=sharing"",""แผน!FM59"")"),0)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597"/>
      <c r="R456" s="597"/>
      <c r="S456" s="597"/>
      <c r="T456" s="597"/>
      <c r="U456" s="597"/>
      <c r="V456" s="597"/>
      <c r="W456" s="597"/>
      <c r="X456" s="597"/>
      <c r="Y456" s="597"/>
      <c r="Z456" s="597"/>
    </row>
    <row r="457" spans="1:26" ht="19.5">
      <c r="A457" s="601"/>
      <c r="B457" s="611"/>
      <c r="C457" s="568" t="s">
        <v>16</v>
      </c>
      <c r="D457" s="836" t="s">
        <v>38</v>
      </c>
      <c r="E457" s="604"/>
      <c r="F457" s="752"/>
      <c r="G457" s="606"/>
      <c r="H457" s="753"/>
      <c r="I457" s="269"/>
      <c r="J457" s="269"/>
      <c r="K457" s="496"/>
      <c r="L457" s="496"/>
      <c r="M457" s="496"/>
      <c r="N457" s="496"/>
      <c r="O457" s="496"/>
      <c r="P457" s="496"/>
      <c r="Q457" s="571"/>
      <c r="R457" s="571"/>
      <c r="S457" s="571"/>
      <c r="T457" s="571"/>
      <c r="U457" s="571"/>
      <c r="V457" s="571"/>
      <c r="W457" s="571"/>
      <c r="X457" s="571"/>
      <c r="Y457" s="571"/>
      <c r="Z457" s="571"/>
    </row>
    <row r="458" spans="1:26" ht="18.75" hidden="1">
      <c r="A458" s="607"/>
      <c r="B458" s="609"/>
      <c r="C458" s="609"/>
      <c r="D458" s="609" t="s">
        <v>200</v>
      </c>
      <c r="E458" s="609"/>
      <c r="F458" s="711"/>
      <c r="G458" s="365"/>
      <c r="H458" s="369" t="s">
        <v>35</v>
      </c>
      <c r="I458" s="610">
        <v>0</v>
      </c>
      <c r="J458" s="610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597"/>
      <c r="R458" s="597"/>
      <c r="S458" s="597"/>
      <c r="T458" s="597"/>
      <c r="U458" s="597"/>
      <c r="V458" s="597"/>
      <c r="W458" s="597"/>
      <c r="X458" s="597"/>
      <c r="Y458" s="597"/>
      <c r="Z458" s="597"/>
    </row>
    <row r="459" spans="1:26" ht="18.75" hidden="1">
      <c r="A459" s="607"/>
      <c r="B459" s="609"/>
      <c r="C459" s="609"/>
      <c r="D459" s="609" t="s">
        <v>201</v>
      </c>
      <c r="E459" s="609"/>
      <c r="F459" s="711"/>
      <c r="G459" s="365"/>
      <c r="H459" s="369"/>
      <c r="I459" s="610"/>
      <c r="J459" s="610"/>
      <c r="K459" s="93"/>
      <c r="L459" s="93"/>
      <c r="M459" s="93"/>
      <c r="N459" s="93"/>
      <c r="O459" s="93"/>
      <c r="P459" s="93"/>
      <c r="Q459" s="597"/>
      <c r="R459" s="597"/>
      <c r="S459" s="597"/>
      <c r="T459" s="597"/>
      <c r="U459" s="597"/>
      <c r="V459" s="597"/>
      <c r="W459" s="597"/>
      <c r="X459" s="597"/>
      <c r="Y459" s="597"/>
      <c r="Z459" s="597"/>
    </row>
    <row r="460" spans="1:26" ht="18.75">
      <c r="A460" s="601"/>
      <c r="B460" s="611"/>
      <c r="C460" s="611"/>
      <c r="D460" s="611" t="s">
        <v>202</v>
      </c>
      <c r="E460" s="611"/>
      <c r="F460" s="619"/>
      <c r="G460" s="753"/>
      <c r="H460" s="755" t="s">
        <v>35</v>
      </c>
      <c r="I460" s="269">
        <f ca="1">IFERROR(__xludf.DUMMYFUNCTION("IMPORTRANGE(""https://docs.google.com/spreadsheets/d/1QqKyyYR6Q21VydFLVH3TRQUabQu_ym0Zz7PgGX0-kHA/edit?usp=sharing"",""แผน!FN59"")"),10)</f>
        <v>10</v>
      </c>
      <c r="J460" s="214">
        <v>0</v>
      </c>
      <c r="K460" s="496">
        <f ca="1">IF(I460&gt;0,J460*100/I460,0)</f>
        <v>0</v>
      </c>
      <c r="L460" s="496"/>
      <c r="M460" s="496"/>
      <c r="N460" s="496"/>
      <c r="O460" s="496"/>
      <c r="P460" s="496"/>
      <c r="Q460" s="571"/>
      <c r="R460" s="571"/>
      <c r="S460" s="571"/>
      <c r="T460" s="571"/>
      <c r="U460" s="571"/>
      <c r="V460" s="571"/>
      <c r="W460" s="571"/>
      <c r="X460" s="571"/>
      <c r="Y460" s="571"/>
      <c r="Z460" s="571"/>
    </row>
    <row r="461" spans="1:26" ht="18.75">
      <c r="A461" s="601"/>
      <c r="B461" s="611"/>
      <c r="C461" s="611"/>
      <c r="D461" s="611" t="s">
        <v>203</v>
      </c>
      <c r="E461" s="619"/>
      <c r="F461" s="619"/>
      <c r="G461" s="753"/>
      <c r="H461" s="755"/>
      <c r="I461" s="269"/>
      <c r="J461" s="269"/>
      <c r="K461" s="496"/>
      <c r="L461" s="496"/>
      <c r="M461" s="496"/>
      <c r="N461" s="496"/>
      <c r="O461" s="496"/>
      <c r="P461" s="496"/>
      <c r="Q461" s="571"/>
      <c r="R461" s="571"/>
      <c r="S461" s="571"/>
      <c r="T461" s="571"/>
      <c r="U461" s="571"/>
      <c r="V461" s="571"/>
      <c r="W461" s="571"/>
      <c r="X461" s="571"/>
      <c r="Y461" s="571"/>
      <c r="Z461" s="571"/>
    </row>
    <row r="462" spans="1:26" ht="18.75">
      <c r="A462" s="601"/>
      <c r="B462" s="611"/>
      <c r="C462" s="611"/>
      <c r="D462" s="611" t="s">
        <v>204</v>
      </c>
      <c r="E462" s="619"/>
      <c r="F462" s="619"/>
      <c r="G462" s="753"/>
      <c r="H462" s="755" t="s">
        <v>46</v>
      </c>
      <c r="I462" s="269">
        <f ca="1">IFERROR(__xludf.DUMMYFUNCTION("IMPORTRANGE(""https://docs.google.com/spreadsheets/d/1QqKyyYR6Q21VydFLVH3TRQUabQu_ym0Zz7PgGX0-kHA/edit?usp=sharing"",""แผน!FO59"")"),20)</f>
        <v>20</v>
      </c>
      <c r="J462" s="214">
        <v>0</v>
      </c>
      <c r="K462" s="496">
        <f ca="1">IF(I462&gt;0,J462*100/I462,0)</f>
        <v>0</v>
      </c>
      <c r="L462" s="496"/>
      <c r="M462" s="496"/>
      <c r="N462" s="496"/>
      <c r="O462" s="496"/>
      <c r="P462" s="496"/>
      <c r="Q462" s="571"/>
      <c r="R462" s="571"/>
      <c r="S462" s="571"/>
      <c r="T462" s="571"/>
      <c r="U462" s="571"/>
      <c r="V462" s="571"/>
      <c r="W462" s="571"/>
      <c r="X462" s="571"/>
      <c r="Y462" s="571"/>
      <c r="Z462" s="571"/>
    </row>
    <row r="463" spans="1:26" ht="18.75">
      <c r="A463" s="601"/>
      <c r="B463" s="611"/>
      <c r="C463" s="611"/>
      <c r="D463" s="611" t="s">
        <v>59</v>
      </c>
      <c r="E463" s="619"/>
      <c r="F463" s="754"/>
      <c r="G463" s="189"/>
      <c r="H463" s="755" t="s">
        <v>46</v>
      </c>
      <c r="I463" s="269">
        <f ca="1">IFERROR(__xludf.DUMMYFUNCTION("IMPORTRANGE(""https://docs.google.com/spreadsheets/d/1QqKyyYR6Q21VydFLVH3TRQUabQu_ym0Zz7PgGX0-kHA/edit?usp=sharing"",""แผน!FO59"")"),20)</f>
        <v>20</v>
      </c>
      <c r="J463" s="214">
        <v>0</v>
      </c>
      <c r="K463" s="496"/>
      <c r="L463" s="496"/>
      <c r="M463" s="496"/>
      <c r="N463" s="496"/>
      <c r="O463" s="496"/>
      <c r="P463" s="496"/>
      <c r="Q463" s="571"/>
      <c r="R463" s="571"/>
      <c r="S463" s="571"/>
      <c r="T463" s="571"/>
      <c r="U463" s="571"/>
      <c r="V463" s="571"/>
      <c r="W463" s="571"/>
      <c r="X463" s="571"/>
      <c r="Y463" s="571"/>
      <c r="Z463" s="571"/>
    </row>
    <row r="464" spans="1:26" ht="19.5">
      <c r="A464" s="601"/>
      <c r="B464" s="611"/>
      <c r="C464" s="611"/>
      <c r="D464" s="611"/>
      <c r="E464" s="619"/>
      <c r="F464" s="619"/>
      <c r="G464" s="613"/>
      <c r="H464" s="755" t="s">
        <v>35</v>
      </c>
      <c r="I464" s="269">
        <f ca="1">IFERROR(__xludf.DUMMYFUNCTION("IMPORTRANGE(""https://docs.google.com/spreadsheets/d/1QqKyyYR6Q21VydFLVH3TRQUabQu_ym0Zz7PgGX0-kHA/edit?usp=sharing"",""แผน!FN59"")"),10)</f>
        <v>10</v>
      </c>
      <c r="J464" s="214">
        <v>0</v>
      </c>
      <c r="K464" s="496"/>
      <c r="L464" s="496"/>
      <c r="M464" s="496"/>
      <c r="N464" s="496"/>
      <c r="O464" s="496"/>
      <c r="P464" s="496"/>
      <c r="Q464" s="571"/>
      <c r="R464" s="571"/>
      <c r="S464" s="571"/>
      <c r="T464" s="571"/>
      <c r="U464" s="571"/>
      <c r="V464" s="571"/>
      <c r="W464" s="571"/>
      <c r="X464" s="571"/>
      <c r="Y464" s="571"/>
      <c r="Z464" s="571"/>
    </row>
    <row r="465" spans="1:26" ht="19.5" hidden="1">
      <c r="A465" s="578">
        <v>3</v>
      </c>
      <c r="B465" s="579" t="s">
        <v>205</v>
      </c>
      <c r="C465" s="580"/>
      <c r="D465" s="580"/>
      <c r="E465" s="580"/>
      <c r="F465" s="580"/>
      <c r="G465" s="581"/>
      <c r="H465" s="582" t="s">
        <v>35</v>
      </c>
      <c r="I465" s="583">
        <f ca="1">IFERROR(__xludf.DUMMYFUNCTION("IMPORTRANGE(""https://docs.google.com/spreadsheets/d/1QqKyyYR6Q21VydFLVH3TRQUabQu_ym0Zz7PgGX0-kHA/edit?usp=sharing"",""แผน!FX59"")"),0)</f>
        <v>0</v>
      </c>
      <c r="J465" s="583">
        <f>J485+J489+J492</f>
        <v>0</v>
      </c>
      <c r="K465" s="584">
        <f t="shared" ref="K465:K466" ca="1" si="205">IF(I465&gt;0,J465*100/I465,0)</f>
        <v>0</v>
      </c>
      <c r="L465" s="585"/>
      <c r="M465" s="585"/>
      <c r="N465" s="585"/>
      <c r="O465" s="585"/>
      <c r="P465" s="585"/>
      <c r="Q465" s="571"/>
      <c r="R465" s="571"/>
      <c r="S465" s="571"/>
      <c r="T465" s="571"/>
      <c r="U465" s="571"/>
      <c r="V465" s="571"/>
      <c r="W465" s="571"/>
      <c r="X465" s="571"/>
      <c r="Y465" s="571"/>
      <c r="Z465" s="571"/>
    </row>
    <row r="466" spans="1:26" ht="19.5" hidden="1">
      <c r="A466" s="586"/>
      <c r="B466" s="587"/>
      <c r="C466" s="588"/>
      <c r="D466" s="588"/>
      <c r="E466" s="588"/>
      <c r="F466" s="588"/>
      <c r="G466" s="589"/>
      <c r="H466" s="562" t="s">
        <v>46</v>
      </c>
      <c r="I466" s="563">
        <f ca="1">IFERROR(__xludf.DUMMYFUNCTION("IMPORTRANGE(""https://docs.google.com/spreadsheets/d/1QqKyyYR6Q21VydFLVH3TRQUabQu_ym0Zz7PgGX0-kHA/edit?usp=sharing"",""แผน!FW59"")"),0)</f>
        <v>0</v>
      </c>
      <c r="J466" s="563">
        <f>J483+J487</f>
        <v>0</v>
      </c>
      <c r="K466" s="564">
        <f t="shared" ca="1" si="205"/>
        <v>0</v>
      </c>
      <c r="L466" s="565"/>
      <c r="M466" s="565"/>
      <c r="N466" s="565"/>
      <c r="O466" s="565"/>
      <c r="P466" s="565"/>
      <c r="Q466" s="571"/>
      <c r="R466" s="571"/>
      <c r="S466" s="571"/>
      <c r="T466" s="571"/>
      <c r="U466" s="571"/>
      <c r="V466" s="571"/>
      <c r="W466" s="571"/>
      <c r="X466" s="571"/>
      <c r="Y466" s="571"/>
      <c r="Z466" s="571"/>
    </row>
    <row r="467" spans="1:26" ht="19.5" hidden="1">
      <c r="A467" s="590"/>
      <c r="B467" s="754"/>
      <c r="C467" s="754" t="s">
        <v>16</v>
      </c>
      <c r="D467" s="863" t="s">
        <v>17</v>
      </c>
      <c r="E467" s="857"/>
      <c r="F467" s="857"/>
      <c r="G467" s="189"/>
      <c r="H467" s="591" t="s">
        <v>12</v>
      </c>
      <c r="I467" s="269"/>
      <c r="J467" s="269"/>
      <c r="K467" s="496"/>
      <c r="L467" s="195">
        <f t="shared" ref="L467:N467" ca="1" si="206">L468+L469</f>
        <v>0</v>
      </c>
      <c r="M467" s="195">
        <f t="shared" si="206"/>
        <v>0</v>
      </c>
      <c r="N467" s="195">
        <f t="shared" si="206"/>
        <v>0</v>
      </c>
      <c r="O467" s="195">
        <f t="shared" ref="O467:O472" ca="1" si="207">IF(L467&gt;0,N467*100/L467,0)</f>
        <v>0</v>
      </c>
      <c r="P467" s="195">
        <f t="shared" ref="P467:P472" si="208">IF(M467&gt;0,N467*100/M467,0)</f>
        <v>0</v>
      </c>
      <c r="Q467" s="571"/>
      <c r="R467" s="571"/>
      <c r="S467" s="571"/>
      <c r="T467" s="571"/>
      <c r="U467" s="571"/>
      <c r="V467" s="571"/>
      <c r="W467" s="571"/>
      <c r="X467" s="571"/>
      <c r="Y467" s="571"/>
      <c r="Z467" s="571"/>
    </row>
    <row r="468" spans="1:26" ht="18.75" hidden="1">
      <c r="A468" s="592"/>
      <c r="B468" s="750"/>
      <c r="C468" s="750"/>
      <c r="D468" s="711"/>
      <c r="E468" s="750" t="s">
        <v>184</v>
      </c>
      <c r="F468" s="750"/>
      <c r="G468" s="596"/>
      <c r="H468" s="165" t="s">
        <v>12</v>
      </c>
      <c r="I468" s="610"/>
      <c r="J468" s="610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597"/>
      <c r="R468" s="597"/>
      <c r="S468" s="597"/>
      <c r="T468" s="597"/>
      <c r="U468" s="597"/>
      <c r="V468" s="597"/>
      <c r="W468" s="597"/>
      <c r="X468" s="597"/>
      <c r="Y468" s="597"/>
      <c r="Z468" s="597"/>
    </row>
    <row r="469" spans="1:26" ht="18.75" hidden="1">
      <c r="A469" s="592"/>
      <c r="B469" s="600"/>
      <c r="C469" s="750"/>
      <c r="D469" s="711"/>
      <c r="E469" s="750" t="s">
        <v>185</v>
      </c>
      <c r="F469" s="750"/>
      <c r="G469" s="596"/>
      <c r="H469" s="165" t="s">
        <v>12</v>
      </c>
      <c r="I469" s="610"/>
      <c r="J469" s="610"/>
      <c r="K469" s="93"/>
      <c r="L469" s="93">
        <f t="shared" ca="1" si="209"/>
        <v>0</v>
      </c>
      <c r="M469" s="93">
        <f t="shared" si="209"/>
        <v>0</v>
      </c>
      <c r="N469" s="93">
        <f t="shared" si="209"/>
        <v>0</v>
      </c>
      <c r="O469" s="93">
        <f t="shared" ca="1" si="207"/>
        <v>0</v>
      </c>
      <c r="P469" s="93">
        <f t="shared" si="208"/>
        <v>0</v>
      </c>
      <c r="Q469" s="597"/>
      <c r="R469" s="597"/>
      <c r="S469" s="597"/>
      <c r="T469" s="597"/>
      <c r="U469" s="597"/>
      <c r="V469" s="597"/>
      <c r="W469" s="597"/>
      <c r="X469" s="597"/>
      <c r="Y469" s="597"/>
      <c r="Z469" s="597"/>
    </row>
    <row r="470" spans="1:26" ht="18.75" hidden="1">
      <c r="A470" s="590"/>
      <c r="B470" s="568"/>
      <c r="C470" s="754"/>
      <c r="D470" s="599" t="s">
        <v>20</v>
      </c>
      <c r="E470" s="754"/>
      <c r="F470" s="754"/>
      <c r="G470" s="189"/>
      <c r="H470" s="161" t="s">
        <v>12</v>
      </c>
      <c r="I470" s="184"/>
      <c r="J470" s="184"/>
      <c r="K470" s="163"/>
      <c r="L470" s="496">
        <f t="shared" ref="L470:N470" ca="1" si="210">L471+L472</f>
        <v>0</v>
      </c>
      <c r="M470" s="496">
        <f t="shared" si="210"/>
        <v>0</v>
      </c>
      <c r="N470" s="496">
        <f t="shared" si="210"/>
        <v>0</v>
      </c>
      <c r="O470" s="496">
        <f t="shared" ca="1" si="207"/>
        <v>0</v>
      </c>
      <c r="P470" s="496">
        <f t="shared" si="208"/>
        <v>0</v>
      </c>
      <c r="Q470" s="571"/>
      <c r="R470" s="571"/>
      <c r="S470" s="571"/>
      <c r="T470" s="571"/>
      <c r="U470" s="571"/>
      <c r="V470" s="571"/>
      <c r="W470" s="571"/>
      <c r="X470" s="571"/>
      <c r="Y470" s="571"/>
      <c r="Z470" s="571"/>
    </row>
    <row r="471" spans="1:26" ht="18.75" hidden="1">
      <c r="A471" s="592"/>
      <c r="B471" s="600"/>
      <c r="C471" s="750"/>
      <c r="D471" s="711"/>
      <c r="E471" s="750" t="s">
        <v>184</v>
      </c>
      <c r="F471" s="750"/>
      <c r="G471" s="596"/>
      <c r="H471" s="165" t="s">
        <v>12</v>
      </c>
      <c r="I471" s="610"/>
      <c r="J471" s="610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597"/>
      <c r="R471" s="597"/>
      <c r="S471" s="597"/>
      <c r="T471" s="597"/>
      <c r="U471" s="597"/>
      <c r="V471" s="597"/>
      <c r="W471" s="597"/>
      <c r="X471" s="597"/>
      <c r="Y471" s="597"/>
      <c r="Z471" s="597"/>
    </row>
    <row r="472" spans="1:26" ht="18.75" hidden="1">
      <c r="A472" s="592"/>
      <c r="B472" s="600"/>
      <c r="C472" s="750"/>
      <c r="D472" s="711"/>
      <c r="E472" s="750" t="s">
        <v>185</v>
      </c>
      <c r="F472" s="750"/>
      <c r="G472" s="596"/>
      <c r="H472" s="165" t="s">
        <v>12</v>
      </c>
      <c r="I472" s="610"/>
      <c r="J472" s="610"/>
      <c r="K472" s="93"/>
      <c r="L472" s="93">
        <f ca="1">IFERROR(__xludf.DUMMYFUNCTION("IMPORTRANGE(""https://docs.google.com/spreadsheets/d/1QqKyyYR6Q21VydFLVH3TRQUabQu_ym0Zz7PgGX0-kHA/edit?usp=sharing"",""แผน!FS59"")"),0)</f>
        <v>0</v>
      </c>
      <c r="M472" s="93">
        <v>0</v>
      </c>
      <c r="N472" s="93">
        <f>N473+N474+N475+N476</f>
        <v>0</v>
      </c>
      <c r="O472" s="93">
        <f t="shared" ca="1" si="207"/>
        <v>0</v>
      </c>
      <c r="P472" s="93">
        <f t="shared" si="208"/>
        <v>0</v>
      </c>
      <c r="Q472" s="597"/>
      <c r="R472" s="597"/>
      <c r="S472" s="597"/>
      <c r="T472" s="597"/>
      <c r="U472" s="597"/>
      <c r="V472" s="597"/>
      <c r="W472" s="597"/>
      <c r="X472" s="597"/>
      <c r="Y472" s="597"/>
      <c r="Z472" s="597"/>
    </row>
    <row r="473" spans="1:26" ht="18.75" hidden="1">
      <c r="A473" s="567"/>
      <c r="B473" s="568"/>
      <c r="C473" s="754"/>
      <c r="D473" s="754"/>
      <c r="E473" s="754"/>
      <c r="F473" s="754" t="s">
        <v>186</v>
      </c>
      <c r="G473" s="189"/>
      <c r="H473" s="161" t="s">
        <v>12</v>
      </c>
      <c r="I473" s="269"/>
      <c r="J473" s="269"/>
      <c r="K473" s="496"/>
      <c r="L473" s="496"/>
      <c r="M473" s="496"/>
      <c r="N473" s="817">
        <v>0</v>
      </c>
      <c r="O473" s="496"/>
      <c r="P473" s="496"/>
      <c r="Q473" s="571"/>
      <c r="R473" s="571"/>
      <c r="S473" s="571"/>
      <c r="T473" s="571"/>
      <c r="U473" s="571"/>
      <c r="V473" s="571"/>
      <c r="W473" s="571"/>
      <c r="X473" s="571"/>
      <c r="Y473" s="571"/>
      <c r="Z473" s="571"/>
    </row>
    <row r="474" spans="1:26" ht="18.75" hidden="1">
      <c r="A474" s="567"/>
      <c r="B474" s="568"/>
      <c r="C474" s="754"/>
      <c r="D474" s="754"/>
      <c r="E474" s="754"/>
      <c r="F474" s="754" t="s">
        <v>187</v>
      </c>
      <c r="G474" s="189"/>
      <c r="H474" s="161" t="s">
        <v>12</v>
      </c>
      <c r="I474" s="269"/>
      <c r="J474" s="269"/>
      <c r="K474" s="496"/>
      <c r="L474" s="496"/>
      <c r="M474" s="496"/>
      <c r="N474" s="817">
        <v>0</v>
      </c>
      <c r="O474" s="496"/>
      <c r="P474" s="496"/>
      <c r="Q474" s="571"/>
      <c r="R474" s="571"/>
      <c r="S474" s="571"/>
      <c r="T474" s="571"/>
      <c r="U474" s="571"/>
      <c r="V474" s="571"/>
      <c r="W474" s="571"/>
      <c r="X474" s="571"/>
      <c r="Y474" s="571"/>
      <c r="Z474" s="571"/>
    </row>
    <row r="475" spans="1:26" ht="18.75" hidden="1">
      <c r="A475" s="567"/>
      <c r="B475" s="568"/>
      <c r="C475" s="568"/>
      <c r="D475" s="568"/>
      <c r="E475" s="568"/>
      <c r="F475" s="754" t="s">
        <v>188</v>
      </c>
      <c r="G475" s="189"/>
      <c r="H475" s="161" t="s">
        <v>12</v>
      </c>
      <c r="I475" s="269"/>
      <c r="J475" s="269"/>
      <c r="K475" s="496"/>
      <c r="L475" s="496"/>
      <c r="M475" s="496"/>
      <c r="N475" s="817">
        <v>0</v>
      </c>
      <c r="O475" s="496"/>
      <c r="P475" s="496"/>
      <c r="Q475" s="571"/>
      <c r="R475" s="571"/>
      <c r="S475" s="571"/>
      <c r="T475" s="571"/>
      <c r="U475" s="571"/>
      <c r="V475" s="571"/>
      <c r="W475" s="571"/>
      <c r="X475" s="571"/>
      <c r="Y475" s="571"/>
      <c r="Z475" s="571"/>
    </row>
    <row r="476" spans="1:26" ht="18.75" hidden="1">
      <c r="A476" s="567"/>
      <c r="B476" s="568"/>
      <c r="C476" s="568"/>
      <c r="D476" s="568"/>
      <c r="E476" s="568"/>
      <c r="F476" s="754" t="s">
        <v>189</v>
      </c>
      <c r="G476" s="189"/>
      <c r="H476" s="161" t="s">
        <v>12</v>
      </c>
      <c r="I476" s="269"/>
      <c r="J476" s="269"/>
      <c r="K476" s="496"/>
      <c r="L476" s="496"/>
      <c r="M476" s="496"/>
      <c r="N476" s="817">
        <v>0</v>
      </c>
      <c r="O476" s="496"/>
      <c r="P476" s="496"/>
      <c r="Q476" s="571"/>
      <c r="R476" s="571"/>
      <c r="S476" s="571"/>
      <c r="T476" s="571"/>
      <c r="U476" s="571"/>
      <c r="V476" s="571"/>
      <c r="W476" s="571"/>
      <c r="X476" s="571"/>
      <c r="Y476" s="571"/>
      <c r="Z476" s="571"/>
    </row>
    <row r="477" spans="1:26" ht="18.75" hidden="1">
      <c r="A477" s="590"/>
      <c r="B477" s="568"/>
      <c r="C477" s="568"/>
      <c r="D477" s="599" t="s">
        <v>21</v>
      </c>
      <c r="E477" s="568"/>
      <c r="F477" s="568"/>
      <c r="G477" s="189"/>
      <c r="H477" s="168" t="s">
        <v>12</v>
      </c>
      <c r="I477" s="184"/>
      <c r="J477" s="184"/>
      <c r="K477" s="163"/>
      <c r="L477" s="496">
        <f t="shared" ref="L477:N477" ca="1" si="211">L478+L479</f>
        <v>0</v>
      </c>
      <c r="M477" s="496">
        <f t="shared" si="211"/>
        <v>0</v>
      </c>
      <c r="N477" s="496">
        <f t="shared" si="211"/>
        <v>0</v>
      </c>
      <c r="O477" s="496">
        <f t="shared" ref="O477:O479" ca="1" si="212">IF(L477&gt;0,N477*100/L477,0)</f>
        <v>0</v>
      </c>
      <c r="P477" s="496">
        <f t="shared" ref="P477:P479" si="213">IF(M477&gt;0,N477*100/M477,0)</f>
        <v>0</v>
      </c>
      <c r="Q477" s="571"/>
      <c r="R477" s="571"/>
      <c r="S477" s="571"/>
      <c r="T477" s="571"/>
      <c r="U477" s="571"/>
      <c r="V477" s="571"/>
      <c r="W477" s="571"/>
      <c r="X477" s="571"/>
      <c r="Y477" s="571"/>
      <c r="Z477" s="571"/>
    </row>
    <row r="478" spans="1:26" ht="18.75" hidden="1">
      <c r="A478" s="592"/>
      <c r="B478" s="600"/>
      <c r="C478" s="600"/>
      <c r="D478" s="600"/>
      <c r="E478" s="600" t="s">
        <v>18</v>
      </c>
      <c r="F478" s="600"/>
      <c r="G478" s="596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597"/>
      <c r="R478" s="597"/>
      <c r="S478" s="597"/>
      <c r="T478" s="597"/>
      <c r="U478" s="597"/>
      <c r="V478" s="597"/>
      <c r="W478" s="597"/>
      <c r="X478" s="597"/>
      <c r="Y478" s="597"/>
      <c r="Z478" s="597"/>
    </row>
    <row r="479" spans="1:26" ht="18.75" hidden="1">
      <c r="A479" s="592"/>
      <c r="B479" s="600"/>
      <c r="C479" s="600"/>
      <c r="D479" s="600"/>
      <c r="E479" s="600" t="s">
        <v>19</v>
      </c>
      <c r="F479" s="600"/>
      <c r="G479" s="596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IFERROR(__xludf.DUMMYFUNCTION("IMPORTRANGE(""https://docs.google.com/spreadsheets/d/1QqKyyYR6Q21VydFLVH3TRQUabQu_ym0Zz7PgGX0-kHA/edit?usp=sharing"",""แผน!FV59"")"),0)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597"/>
      <c r="R479" s="597"/>
      <c r="S479" s="597"/>
      <c r="T479" s="597"/>
      <c r="U479" s="597"/>
      <c r="V479" s="597"/>
      <c r="W479" s="597"/>
      <c r="X479" s="597"/>
      <c r="Y479" s="597"/>
      <c r="Z479" s="597"/>
    </row>
    <row r="480" spans="1:26" ht="19.5" hidden="1">
      <c r="A480" s="601"/>
      <c r="B480" s="611"/>
      <c r="C480" s="568" t="s">
        <v>16</v>
      </c>
      <c r="D480" s="837" t="s">
        <v>38</v>
      </c>
      <c r="E480" s="604"/>
      <c r="F480" s="752"/>
      <c r="G480" s="606"/>
      <c r="H480" s="753"/>
      <c r="I480" s="269"/>
      <c r="J480" s="269"/>
      <c r="K480" s="496"/>
      <c r="L480" s="496"/>
      <c r="M480" s="496"/>
      <c r="N480" s="496"/>
      <c r="O480" s="496"/>
      <c r="P480" s="496"/>
      <c r="Q480" s="571"/>
      <c r="R480" s="571"/>
      <c r="S480" s="571"/>
      <c r="T480" s="571"/>
      <c r="U480" s="571"/>
      <c r="V480" s="571"/>
      <c r="W480" s="571"/>
      <c r="X480" s="571"/>
      <c r="Y480" s="571"/>
      <c r="Z480" s="571"/>
    </row>
    <row r="481" spans="1:26" ht="19.5" hidden="1">
      <c r="A481" s="601"/>
      <c r="B481" s="611"/>
      <c r="C481" s="611"/>
      <c r="D481" s="618" t="s">
        <v>206</v>
      </c>
      <c r="E481" s="611"/>
      <c r="F481" s="611"/>
      <c r="G481" s="753"/>
      <c r="H481" s="189"/>
      <c r="I481" s="269"/>
      <c r="J481" s="269"/>
      <c r="K481" s="496"/>
      <c r="L481" s="496"/>
      <c r="M481" s="496"/>
      <c r="N481" s="496"/>
      <c r="O481" s="496"/>
      <c r="P481" s="496"/>
      <c r="Q481" s="571"/>
      <c r="R481" s="571"/>
      <c r="S481" s="571"/>
      <c r="T481" s="571"/>
      <c r="U481" s="571"/>
      <c r="V481" s="571"/>
      <c r="W481" s="571"/>
      <c r="X481" s="571"/>
      <c r="Y481" s="571"/>
      <c r="Z481" s="571"/>
    </row>
    <row r="482" spans="1:26" ht="18.75" hidden="1">
      <c r="A482" s="601"/>
      <c r="B482" s="611"/>
      <c r="C482" s="611"/>
      <c r="D482" s="611"/>
      <c r="E482" s="611" t="s">
        <v>207</v>
      </c>
      <c r="F482" s="611"/>
      <c r="G482" s="753"/>
      <c r="H482" s="189"/>
      <c r="I482" s="269"/>
      <c r="J482" s="269"/>
      <c r="K482" s="496"/>
      <c r="L482" s="496"/>
      <c r="M482" s="496"/>
      <c r="N482" s="496"/>
      <c r="O482" s="496"/>
      <c r="P482" s="496"/>
      <c r="Q482" s="571"/>
      <c r="R482" s="571"/>
      <c r="S482" s="571"/>
      <c r="T482" s="571"/>
      <c r="U482" s="571"/>
      <c r="V482" s="571"/>
      <c r="W482" s="571"/>
      <c r="X482" s="571"/>
      <c r="Y482" s="571"/>
      <c r="Z482" s="571"/>
    </row>
    <row r="483" spans="1:26" ht="18.75" hidden="1">
      <c r="A483" s="601"/>
      <c r="B483" s="611"/>
      <c r="C483" s="611"/>
      <c r="D483" s="611"/>
      <c r="E483" s="611"/>
      <c r="F483" s="611" t="s">
        <v>208</v>
      </c>
      <c r="G483" s="753"/>
      <c r="H483" s="616" t="s">
        <v>46</v>
      </c>
      <c r="I483" s="269">
        <f ca="1">IFERROR(__xludf.DUMMYFUNCTION("IMPORTRANGE(""https://docs.google.com/spreadsheets/d/1QqKyyYR6Q21VydFLVH3TRQUabQu_ym0Zz7PgGX0-kHA/edit?usp=sharing"",""แผน!FY59"")"),0)</f>
        <v>0</v>
      </c>
      <c r="J483" s="214">
        <v>0</v>
      </c>
      <c r="K483" s="496">
        <f ca="1">IF(I483&gt;0,J483*100/I483,0)</f>
        <v>0</v>
      </c>
      <c r="L483" s="496"/>
      <c r="M483" s="496"/>
      <c r="N483" s="496"/>
      <c r="O483" s="496"/>
      <c r="P483" s="496"/>
      <c r="Q483" s="571"/>
      <c r="R483" s="571"/>
      <c r="S483" s="571"/>
      <c r="T483" s="571"/>
      <c r="U483" s="571"/>
      <c r="V483" s="571"/>
      <c r="W483" s="571"/>
      <c r="X483" s="571"/>
      <c r="Y483" s="571"/>
      <c r="Z483" s="571"/>
    </row>
    <row r="484" spans="1:26" ht="18.75" hidden="1">
      <c r="A484" s="601"/>
      <c r="B484" s="611"/>
      <c r="C484" s="611"/>
      <c r="D484" s="611"/>
      <c r="E484" s="611"/>
      <c r="F484" s="611" t="s">
        <v>209</v>
      </c>
      <c r="G484" s="753"/>
      <c r="H484" s="616" t="s">
        <v>35</v>
      </c>
      <c r="I484" s="269"/>
      <c r="J484" s="214">
        <v>0</v>
      </c>
      <c r="K484" s="496"/>
      <c r="L484" s="496"/>
      <c r="M484" s="496"/>
      <c r="N484" s="496"/>
      <c r="O484" s="496"/>
      <c r="P484" s="496"/>
      <c r="Q484" s="571"/>
      <c r="R484" s="571"/>
      <c r="S484" s="571"/>
      <c r="T484" s="571"/>
      <c r="U484" s="571"/>
      <c r="V484" s="571"/>
      <c r="W484" s="571"/>
      <c r="X484" s="571"/>
      <c r="Y484" s="571"/>
      <c r="Z484" s="571"/>
    </row>
    <row r="485" spans="1:26" ht="18.75" hidden="1">
      <c r="A485" s="601"/>
      <c r="B485" s="611"/>
      <c r="C485" s="611"/>
      <c r="D485" s="611"/>
      <c r="E485" s="611"/>
      <c r="F485" s="611" t="s">
        <v>210</v>
      </c>
      <c r="G485" s="753"/>
      <c r="H485" s="616" t="s">
        <v>35</v>
      </c>
      <c r="I485" s="269">
        <f ca="1">IFERROR(__xludf.DUMMYFUNCTION("IMPORTRANGE(""https://docs.google.com/spreadsheets/d/1QqKyyYR6Q21VydFLVH3TRQUabQu_ym0Zz7PgGX0-kHA/edit?usp=sharing"",""แผน!FZ59"")"),0)</f>
        <v>0</v>
      </c>
      <c r="J485" s="214">
        <v>0</v>
      </c>
      <c r="K485" s="496">
        <f ca="1">IF(I485&gt;0,J485*100/I485,0)</f>
        <v>0</v>
      </c>
      <c r="L485" s="496"/>
      <c r="M485" s="496"/>
      <c r="N485" s="496"/>
      <c r="O485" s="496"/>
      <c r="P485" s="496"/>
      <c r="Q485" s="571"/>
      <c r="R485" s="571"/>
      <c r="S485" s="571"/>
      <c r="T485" s="571"/>
      <c r="U485" s="571"/>
      <c r="V485" s="571"/>
      <c r="W485" s="571"/>
      <c r="X485" s="571"/>
      <c r="Y485" s="571"/>
      <c r="Z485" s="571"/>
    </row>
    <row r="486" spans="1:26" ht="18.75" hidden="1">
      <c r="A486" s="601"/>
      <c r="B486" s="611"/>
      <c r="C486" s="611"/>
      <c r="D486" s="611"/>
      <c r="E486" s="611" t="s">
        <v>62</v>
      </c>
      <c r="F486" s="611"/>
      <c r="G486" s="753"/>
      <c r="H486" s="616"/>
      <c r="I486" s="269"/>
      <c r="J486" s="269"/>
      <c r="K486" s="496"/>
      <c r="L486" s="496"/>
      <c r="M486" s="496"/>
      <c r="N486" s="496"/>
      <c r="O486" s="496"/>
      <c r="P486" s="496"/>
      <c r="Q486" s="571"/>
      <c r="R486" s="571"/>
      <c r="S486" s="571"/>
      <c r="T486" s="571"/>
      <c r="U486" s="571"/>
      <c r="V486" s="571"/>
      <c r="W486" s="571"/>
      <c r="X486" s="571"/>
      <c r="Y486" s="571"/>
      <c r="Z486" s="571"/>
    </row>
    <row r="487" spans="1:26" ht="18.75" hidden="1">
      <c r="A487" s="601"/>
      <c r="B487" s="611"/>
      <c r="C487" s="611"/>
      <c r="D487" s="611"/>
      <c r="E487" s="611"/>
      <c r="F487" s="611" t="s">
        <v>208</v>
      </c>
      <c r="G487" s="753"/>
      <c r="H487" s="616" t="s">
        <v>46</v>
      </c>
      <c r="I487" s="269">
        <f ca="1">IFERROR(__xludf.DUMMYFUNCTION("IMPORTRANGE(""https://docs.google.com/spreadsheets/d/1QqKyyYR6Q21VydFLVH3TRQUabQu_ym0Zz7PgGX0-kHA/edit?usp=sharing"",""แผน!GA59"")"),0)</f>
        <v>0</v>
      </c>
      <c r="J487" s="214">
        <v>0</v>
      </c>
      <c r="K487" s="496">
        <f ca="1">IF(I487&gt;0,J487*100/I487,0)</f>
        <v>0</v>
      </c>
      <c r="L487" s="496"/>
      <c r="M487" s="496"/>
      <c r="N487" s="496"/>
      <c r="O487" s="496"/>
      <c r="P487" s="496"/>
      <c r="Q487" s="571"/>
      <c r="R487" s="571"/>
      <c r="S487" s="571"/>
      <c r="T487" s="571"/>
      <c r="U487" s="571"/>
      <c r="V487" s="571"/>
      <c r="W487" s="571"/>
      <c r="X487" s="571"/>
      <c r="Y487" s="571"/>
      <c r="Z487" s="571"/>
    </row>
    <row r="488" spans="1:26" ht="18.75" hidden="1">
      <c r="A488" s="601"/>
      <c r="B488" s="611"/>
      <c r="C488" s="611"/>
      <c r="D488" s="611"/>
      <c r="E488" s="611"/>
      <c r="F488" s="611" t="s">
        <v>211</v>
      </c>
      <c r="G488" s="753"/>
      <c r="H488" s="616" t="s">
        <v>35</v>
      </c>
      <c r="I488" s="269"/>
      <c r="J488" s="214">
        <v>0</v>
      </c>
      <c r="K488" s="496"/>
      <c r="L488" s="496"/>
      <c r="M488" s="496"/>
      <c r="N488" s="496"/>
      <c r="O488" s="496"/>
      <c r="P488" s="496"/>
      <c r="Q488" s="571"/>
      <c r="R488" s="571"/>
      <c r="S488" s="571"/>
      <c r="T488" s="571"/>
      <c r="U488" s="571"/>
      <c r="V488" s="571"/>
      <c r="W488" s="571"/>
      <c r="X488" s="571"/>
      <c r="Y488" s="571"/>
      <c r="Z488" s="571"/>
    </row>
    <row r="489" spans="1:26" ht="18.75" hidden="1">
      <c r="A489" s="601"/>
      <c r="B489" s="611"/>
      <c r="C489" s="611"/>
      <c r="D489" s="611"/>
      <c r="E489" s="611"/>
      <c r="F489" s="611" t="s">
        <v>212</v>
      </c>
      <c r="G489" s="753"/>
      <c r="H489" s="616" t="s">
        <v>35</v>
      </c>
      <c r="I489" s="269">
        <f ca="1">IFERROR(__xludf.DUMMYFUNCTION("IMPORTRANGE(""https://docs.google.com/spreadsheets/d/1QqKyyYR6Q21VydFLVH3TRQUabQu_ym0Zz7PgGX0-kHA/edit?usp=sharing"",""แผน!GB59"")"),0)</f>
        <v>0</v>
      </c>
      <c r="J489" s="214">
        <v>0</v>
      </c>
      <c r="K489" s="496">
        <f ca="1">IF(I489&gt;0,J489*100/I489,0)</f>
        <v>0</v>
      </c>
      <c r="L489" s="496"/>
      <c r="M489" s="496"/>
      <c r="N489" s="496"/>
      <c r="O489" s="496"/>
      <c r="P489" s="496"/>
      <c r="Q489" s="571"/>
      <c r="R489" s="571"/>
      <c r="S489" s="571"/>
      <c r="T489" s="571"/>
      <c r="U489" s="571"/>
      <c r="V489" s="571"/>
      <c r="W489" s="571"/>
      <c r="X489" s="571"/>
      <c r="Y489" s="571"/>
      <c r="Z489" s="571"/>
    </row>
    <row r="490" spans="1:26" ht="18.75" hidden="1">
      <c r="A490" s="601"/>
      <c r="B490" s="611"/>
      <c r="C490" s="611"/>
      <c r="D490" s="611"/>
      <c r="E490" s="611" t="s">
        <v>63</v>
      </c>
      <c r="F490" s="619"/>
      <c r="G490" s="753"/>
      <c r="H490" s="616"/>
      <c r="I490" s="269"/>
      <c r="J490" s="269"/>
      <c r="K490" s="496"/>
      <c r="L490" s="496"/>
      <c r="M490" s="496"/>
      <c r="N490" s="496"/>
      <c r="O490" s="496"/>
      <c r="P490" s="496"/>
      <c r="Q490" s="571"/>
      <c r="R490" s="571"/>
      <c r="S490" s="571"/>
      <c r="T490" s="571"/>
      <c r="U490" s="571"/>
      <c r="V490" s="571"/>
      <c r="W490" s="571"/>
      <c r="X490" s="571"/>
      <c r="Y490" s="571"/>
      <c r="Z490" s="571"/>
    </row>
    <row r="491" spans="1:26" ht="18.75" hidden="1">
      <c r="A491" s="601"/>
      <c r="B491" s="611"/>
      <c r="C491" s="611"/>
      <c r="D491" s="611"/>
      <c r="E491" s="611"/>
      <c r="F491" s="611" t="s">
        <v>213</v>
      </c>
      <c r="G491" s="753"/>
      <c r="H491" s="616" t="s">
        <v>35</v>
      </c>
      <c r="I491" s="269"/>
      <c r="J491" s="214">
        <v>0</v>
      </c>
      <c r="K491" s="496"/>
      <c r="L491" s="496"/>
      <c r="M491" s="496"/>
      <c r="N491" s="496"/>
      <c r="O491" s="496"/>
      <c r="P491" s="496"/>
      <c r="Q491" s="571"/>
      <c r="R491" s="571"/>
      <c r="S491" s="571"/>
      <c r="T491" s="571"/>
      <c r="U491" s="571"/>
      <c r="V491" s="571"/>
      <c r="W491" s="571"/>
      <c r="X491" s="571"/>
      <c r="Y491" s="571"/>
      <c r="Z491" s="571"/>
    </row>
    <row r="492" spans="1:26" ht="18.75" hidden="1">
      <c r="A492" s="601"/>
      <c r="B492" s="611"/>
      <c r="C492" s="611"/>
      <c r="D492" s="611"/>
      <c r="E492" s="611"/>
      <c r="F492" s="611" t="s">
        <v>214</v>
      </c>
      <c r="G492" s="753"/>
      <c r="H492" s="616" t="s">
        <v>35</v>
      </c>
      <c r="I492" s="269">
        <f ca="1">IFERROR(__xludf.DUMMYFUNCTION("IMPORTRANGE(""https://docs.google.com/spreadsheets/d/1QqKyyYR6Q21VydFLVH3TRQUabQu_ym0Zz7PgGX0-kHA/edit?usp=sharing"",""แผน!GC59"")"),0)</f>
        <v>0</v>
      </c>
      <c r="J492" s="214">
        <v>0</v>
      </c>
      <c r="K492" s="496">
        <f ca="1">IF(I492&gt;0,J492*100/I492,0)</f>
        <v>0</v>
      </c>
      <c r="L492" s="496"/>
      <c r="M492" s="496"/>
      <c r="N492" s="496"/>
      <c r="O492" s="496"/>
      <c r="P492" s="496"/>
      <c r="Q492" s="571"/>
      <c r="R492" s="571"/>
      <c r="S492" s="571"/>
      <c r="T492" s="571"/>
      <c r="U492" s="571"/>
      <c r="V492" s="571"/>
      <c r="W492" s="571"/>
      <c r="X492" s="571"/>
      <c r="Y492" s="571"/>
      <c r="Z492" s="571"/>
    </row>
    <row r="493" spans="1:26" ht="19.5" hidden="1">
      <c r="A493" s="601"/>
      <c r="B493" s="611"/>
      <c r="C493" s="611"/>
      <c r="D493" s="618" t="s">
        <v>59</v>
      </c>
      <c r="E493" s="611"/>
      <c r="F493" s="619"/>
      <c r="G493" s="753"/>
      <c r="H493" s="189"/>
      <c r="I493" s="269"/>
      <c r="J493" s="269"/>
      <c r="K493" s="496"/>
      <c r="L493" s="496"/>
      <c r="M493" s="496"/>
      <c r="N493" s="496"/>
      <c r="O493" s="496"/>
      <c r="P493" s="496"/>
      <c r="Q493" s="571"/>
      <c r="R493" s="571"/>
      <c r="S493" s="571"/>
      <c r="T493" s="571"/>
      <c r="U493" s="571"/>
      <c r="V493" s="571"/>
      <c r="W493" s="571"/>
      <c r="X493" s="571"/>
      <c r="Y493" s="571"/>
      <c r="Z493" s="571"/>
    </row>
    <row r="494" spans="1:26" ht="18.75" hidden="1">
      <c r="A494" s="601"/>
      <c r="B494" s="611"/>
      <c r="C494" s="611"/>
      <c r="D494" s="611"/>
      <c r="E494" s="611" t="s">
        <v>207</v>
      </c>
      <c r="F494" s="619"/>
      <c r="G494" s="753"/>
      <c r="H494" s="189"/>
      <c r="I494" s="269"/>
      <c r="J494" s="269"/>
      <c r="K494" s="496"/>
      <c r="L494" s="496"/>
      <c r="M494" s="496"/>
      <c r="N494" s="496"/>
      <c r="O494" s="496"/>
      <c r="P494" s="496"/>
      <c r="Q494" s="571"/>
      <c r="R494" s="571"/>
      <c r="S494" s="571"/>
      <c r="T494" s="571"/>
      <c r="U494" s="571"/>
      <c r="V494" s="571"/>
      <c r="W494" s="571"/>
      <c r="X494" s="571"/>
      <c r="Y494" s="571"/>
      <c r="Z494" s="571"/>
    </row>
    <row r="495" spans="1:26" ht="18.75" hidden="1">
      <c r="A495" s="601"/>
      <c r="B495" s="611"/>
      <c r="C495" s="611"/>
      <c r="D495" s="611"/>
      <c r="E495" s="611"/>
      <c r="F495" s="619" t="s">
        <v>215</v>
      </c>
      <c r="G495" s="753"/>
      <c r="H495" s="616" t="s">
        <v>46</v>
      </c>
      <c r="I495" s="269">
        <f ca="1">IFERROR(__xludf.DUMMYFUNCTION("IMPORTRANGE(""https://docs.google.com/spreadsheets/d/1QqKyyYR6Q21VydFLVH3TRQUabQu_ym0Zz7PgGX0-kHA/edit?usp=sharing"",""แผน!FY59"")"),0)</f>
        <v>0</v>
      </c>
      <c r="J495" s="214">
        <v>0</v>
      </c>
      <c r="K495" s="496">
        <f ca="1">IF(I495&gt;0,J495*100/I495,0)</f>
        <v>0</v>
      </c>
      <c r="L495" s="496"/>
      <c r="M495" s="496"/>
      <c r="N495" s="496"/>
      <c r="O495" s="496"/>
      <c r="P495" s="496"/>
      <c r="Q495" s="571"/>
      <c r="R495" s="571"/>
      <c r="S495" s="571"/>
      <c r="T495" s="571"/>
      <c r="U495" s="571"/>
      <c r="V495" s="571"/>
      <c r="W495" s="571"/>
      <c r="X495" s="571"/>
      <c r="Y495" s="571"/>
      <c r="Z495" s="571"/>
    </row>
    <row r="496" spans="1:26" ht="18.75" hidden="1">
      <c r="A496" s="601"/>
      <c r="B496" s="611"/>
      <c r="C496" s="611"/>
      <c r="D496" s="611"/>
      <c r="E496" s="611"/>
      <c r="F496" s="619" t="s">
        <v>216</v>
      </c>
      <c r="G496" s="753"/>
      <c r="H496" s="616" t="s">
        <v>46</v>
      </c>
      <c r="I496" s="269"/>
      <c r="J496" s="214">
        <v>0</v>
      </c>
      <c r="K496" s="496"/>
      <c r="L496" s="496"/>
      <c r="M496" s="496"/>
      <c r="N496" s="496"/>
      <c r="O496" s="496"/>
      <c r="P496" s="496"/>
      <c r="Q496" s="571"/>
      <c r="R496" s="571"/>
      <c r="S496" s="571"/>
      <c r="T496" s="571"/>
      <c r="U496" s="571"/>
      <c r="V496" s="571"/>
      <c r="W496" s="571"/>
      <c r="X496" s="571"/>
      <c r="Y496" s="571"/>
      <c r="Z496" s="571"/>
    </row>
    <row r="497" spans="1:26" ht="18.75" hidden="1">
      <c r="A497" s="601"/>
      <c r="B497" s="611"/>
      <c r="C497" s="611"/>
      <c r="D497" s="611"/>
      <c r="E497" s="611" t="s">
        <v>62</v>
      </c>
      <c r="F497" s="619"/>
      <c r="G497" s="753"/>
      <c r="H497" s="189"/>
      <c r="I497" s="269"/>
      <c r="J497" s="269"/>
      <c r="K497" s="496"/>
      <c r="L497" s="496"/>
      <c r="M497" s="496"/>
      <c r="N497" s="496"/>
      <c r="O497" s="496"/>
      <c r="P497" s="496"/>
      <c r="Q497" s="571"/>
      <c r="R497" s="571"/>
      <c r="S497" s="571"/>
      <c r="T497" s="571"/>
      <c r="U497" s="571"/>
      <c r="V497" s="571"/>
      <c r="W497" s="571"/>
      <c r="X497" s="571"/>
      <c r="Y497" s="571"/>
      <c r="Z497" s="571"/>
    </row>
    <row r="498" spans="1:26" ht="18.75" hidden="1">
      <c r="A498" s="601"/>
      <c r="B498" s="611"/>
      <c r="C498" s="611"/>
      <c r="D498" s="611"/>
      <c r="E498" s="619"/>
      <c r="F498" s="619" t="s">
        <v>217</v>
      </c>
      <c r="G498" s="753"/>
      <c r="H498" s="616" t="s">
        <v>46</v>
      </c>
      <c r="I498" s="269">
        <f ca="1">IFERROR(__xludf.DUMMYFUNCTION("IMPORTRANGE(""https://docs.google.com/spreadsheets/d/1QqKyyYR6Q21VydFLVH3TRQUabQu_ym0Zz7PgGX0-kHA/edit?usp=sharing"",""แผน!GA59"")"),0)</f>
        <v>0</v>
      </c>
      <c r="J498" s="214">
        <v>0</v>
      </c>
      <c r="K498" s="496">
        <f ca="1">IF(I498&gt;0,J498*100/I498,0)</f>
        <v>0</v>
      </c>
      <c r="L498" s="496"/>
      <c r="M498" s="496"/>
      <c r="N498" s="496"/>
      <c r="O498" s="496"/>
      <c r="P498" s="496"/>
      <c r="Q498" s="571"/>
      <c r="R498" s="571"/>
      <c r="S498" s="571"/>
      <c r="T498" s="571"/>
      <c r="U498" s="571"/>
      <c r="V498" s="571"/>
      <c r="W498" s="571"/>
      <c r="X498" s="571"/>
      <c r="Y498" s="571"/>
      <c r="Z498" s="571"/>
    </row>
    <row r="499" spans="1:26" ht="18.75" hidden="1">
      <c r="A499" s="601"/>
      <c r="B499" s="611"/>
      <c r="C499" s="611"/>
      <c r="D499" s="611"/>
      <c r="E499" s="619"/>
      <c r="F499" s="619" t="s">
        <v>218</v>
      </c>
      <c r="G499" s="753"/>
      <c r="H499" s="616" t="s">
        <v>46</v>
      </c>
      <c r="I499" s="269"/>
      <c r="J499" s="214">
        <v>0</v>
      </c>
      <c r="K499" s="496"/>
      <c r="L499" s="496"/>
      <c r="M499" s="496"/>
      <c r="N499" s="496"/>
      <c r="O499" s="496"/>
      <c r="P499" s="496"/>
      <c r="Q499" s="571"/>
      <c r="R499" s="571"/>
      <c r="S499" s="571"/>
      <c r="T499" s="571"/>
      <c r="U499" s="571"/>
      <c r="V499" s="571"/>
      <c r="W499" s="571"/>
      <c r="X499" s="571"/>
      <c r="Y499" s="571"/>
      <c r="Z499" s="571"/>
    </row>
    <row r="500" spans="1:26" ht="19.5" hidden="1">
      <c r="A500" s="620">
        <v>4</v>
      </c>
      <c r="B500" s="621" t="s">
        <v>219</v>
      </c>
      <c r="C500" s="622"/>
      <c r="D500" s="623"/>
      <c r="E500" s="623"/>
      <c r="F500" s="623"/>
      <c r="G500" s="624"/>
      <c r="H500" s="625" t="s">
        <v>109</v>
      </c>
      <c r="I500" s="626"/>
      <c r="J500" s="626">
        <f t="shared" ref="J500:J501" si="214">J516</f>
        <v>0</v>
      </c>
      <c r="K500" s="627">
        <f t="shared" ref="K500:K501" si="215">IF(I500&gt;0,J500*100/I500,0)</f>
        <v>0</v>
      </c>
      <c r="L500" s="628"/>
      <c r="M500" s="628"/>
      <c r="N500" s="628"/>
      <c r="O500" s="628"/>
      <c r="P500" s="628"/>
      <c r="Q500" s="597"/>
      <c r="R500" s="597"/>
      <c r="S500" s="597"/>
      <c r="T500" s="597"/>
      <c r="U500" s="597"/>
      <c r="V500" s="597"/>
      <c r="W500" s="597"/>
      <c r="X500" s="597"/>
      <c r="Y500" s="597"/>
      <c r="Z500" s="597"/>
    </row>
    <row r="501" spans="1:26" ht="19.5" hidden="1">
      <c r="A501" s="629"/>
      <c r="B501" s="631" t="s">
        <v>220</v>
      </c>
      <c r="C501" s="631"/>
      <c r="D501" s="632"/>
      <c r="E501" s="632"/>
      <c r="F501" s="632"/>
      <c r="G501" s="633"/>
      <c r="H501" s="634" t="s">
        <v>35</v>
      </c>
      <c r="I501" s="635"/>
      <c r="J501" s="635">
        <f t="shared" si="214"/>
        <v>0</v>
      </c>
      <c r="K501" s="636">
        <f t="shared" si="215"/>
        <v>0</v>
      </c>
      <c r="L501" s="637"/>
      <c r="M501" s="637"/>
      <c r="N501" s="637"/>
      <c r="O501" s="637"/>
      <c r="P501" s="637"/>
      <c r="Q501" s="597"/>
      <c r="R501" s="597"/>
      <c r="S501" s="597"/>
      <c r="T501" s="597"/>
      <c r="U501" s="597"/>
      <c r="V501" s="597"/>
      <c r="W501" s="597"/>
      <c r="X501" s="597"/>
      <c r="Y501" s="597"/>
      <c r="Z501" s="597"/>
    </row>
    <row r="502" spans="1:26" ht="19.5" hidden="1">
      <c r="A502" s="592"/>
      <c r="B502" s="750"/>
      <c r="C502" s="750" t="s">
        <v>16</v>
      </c>
      <c r="D502" s="864" t="s">
        <v>17</v>
      </c>
      <c r="E502" s="857"/>
      <c r="F502" s="857"/>
      <c r="G502" s="596"/>
      <c r="H502" s="639" t="s">
        <v>12</v>
      </c>
      <c r="I502" s="610"/>
      <c r="J502" s="610"/>
      <c r="K502" s="93"/>
      <c r="L502" s="640">
        <f t="shared" ref="L502:N502" si="216">L503+L504</f>
        <v>0</v>
      </c>
      <c r="M502" s="640">
        <f t="shared" si="216"/>
        <v>0</v>
      </c>
      <c r="N502" s="640">
        <f t="shared" si="216"/>
        <v>0</v>
      </c>
      <c r="O502" s="640">
        <f t="shared" ref="O502:O507" si="217">IF(L502&gt;0,N502*100/L502,0)</f>
        <v>0</v>
      </c>
      <c r="P502" s="640">
        <f t="shared" ref="P502:P507" si="218">IF(M502&gt;0,N502*100/M502,0)</f>
        <v>0</v>
      </c>
      <c r="Q502" s="597"/>
      <c r="R502" s="597"/>
      <c r="S502" s="597"/>
      <c r="T502" s="597"/>
      <c r="U502" s="597"/>
      <c r="V502" s="597"/>
      <c r="W502" s="597"/>
      <c r="X502" s="597"/>
      <c r="Y502" s="597"/>
      <c r="Z502" s="597"/>
    </row>
    <row r="503" spans="1:26" ht="18.75" hidden="1">
      <c r="A503" s="592"/>
      <c r="B503" s="750"/>
      <c r="C503" s="750"/>
      <c r="D503" s="711"/>
      <c r="E503" s="750" t="s">
        <v>184</v>
      </c>
      <c r="F503" s="750"/>
      <c r="G503" s="596"/>
      <c r="H503" s="165" t="s">
        <v>12</v>
      </c>
      <c r="I503" s="610"/>
      <c r="J503" s="610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597"/>
      <c r="R503" s="597"/>
      <c r="S503" s="597"/>
      <c r="T503" s="597"/>
      <c r="U503" s="597"/>
      <c r="V503" s="597"/>
      <c r="W503" s="597"/>
      <c r="X503" s="597"/>
      <c r="Y503" s="597"/>
      <c r="Z503" s="597"/>
    </row>
    <row r="504" spans="1:26" ht="18.75" hidden="1">
      <c r="A504" s="592"/>
      <c r="B504" s="600"/>
      <c r="C504" s="750"/>
      <c r="D504" s="711"/>
      <c r="E504" s="750" t="s">
        <v>185</v>
      </c>
      <c r="F504" s="750"/>
      <c r="G504" s="596"/>
      <c r="H504" s="165" t="s">
        <v>12</v>
      </c>
      <c r="I504" s="610"/>
      <c r="J504" s="610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597"/>
      <c r="R504" s="597"/>
      <c r="S504" s="597"/>
      <c r="T504" s="597"/>
      <c r="U504" s="597"/>
      <c r="V504" s="597"/>
      <c r="W504" s="597"/>
      <c r="X504" s="597"/>
      <c r="Y504" s="597"/>
      <c r="Z504" s="597"/>
    </row>
    <row r="505" spans="1:26" ht="18.75" hidden="1">
      <c r="A505" s="592"/>
      <c r="B505" s="600"/>
      <c r="C505" s="750"/>
      <c r="D505" s="641" t="s">
        <v>20</v>
      </c>
      <c r="E505" s="750"/>
      <c r="F505" s="750"/>
      <c r="G505" s="596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597"/>
      <c r="R505" s="597"/>
      <c r="S505" s="597"/>
      <c r="T505" s="597"/>
      <c r="U505" s="597"/>
      <c r="V505" s="597"/>
      <c r="W505" s="597"/>
      <c r="X505" s="597"/>
      <c r="Y505" s="597"/>
      <c r="Z505" s="597"/>
    </row>
    <row r="506" spans="1:26" ht="18.75" hidden="1">
      <c r="A506" s="592"/>
      <c r="B506" s="600"/>
      <c r="C506" s="750"/>
      <c r="D506" s="711"/>
      <c r="E506" s="750" t="s">
        <v>184</v>
      </c>
      <c r="F506" s="750"/>
      <c r="G506" s="596"/>
      <c r="H506" s="165" t="s">
        <v>12</v>
      </c>
      <c r="I506" s="610"/>
      <c r="J506" s="610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597"/>
      <c r="R506" s="597"/>
      <c r="S506" s="597"/>
      <c r="T506" s="597"/>
      <c r="U506" s="597"/>
      <c r="V506" s="597"/>
      <c r="W506" s="597"/>
      <c r="X506" s="597"/>
      <c r="Y506" s="597"/>
      <c r="Z506" s="597"/>
    </row>
    <row r="507" spans="1:26" ht="18.75" hidden="1">
      <c r="A507" s="592"/>
      <c r="B507" s="600"/>
      <c r="C507" s="750"/>
      <c r="D507" s="711"/>
      <c r="E507" s="750" t="s">
        <v>185</v>
      </c>
      <c r="F507" s="750"/>
      <c r="G507" s="596"/>
      <c r="H507" s="165" t="s">
        <v>12</v>
      </c>
      <c r="I507" s="610"/>
      <c r="J507" s="610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597"/>
      <c r="R507" s="597"/>
      <c r="S507" s="597"/>
      <c r="T507" s="597"/>
      <c r="U507" s="597"/>
      <c r="V507" s="597"/>
      <c r="W507" s="597"/>
      <c r="X507" s="597"/>
      <c r="Y507" s="597"/>
      <c r="Z507" s="597"/>
    </row>
    <row r="508" spans="1:26" ht="18.75" hidden="1">
      <c r="A508" s="642"/>
      <c r="B508" s="600"/>
      <c r="C508" s="750"/>
      <c r="D508" s="750"/>
      <c r="E508" s="750"/>
      <c r="F508" s="750" t="s">
        <v>186</v>
      </c>
      <c r="G508" s="596"/>
      <c r="H508" s="165" t="s">
        <v>12</v>
      </c>
      <c r="I508" s="610"/>
      <c r="J508" s="610"/>
      <c r="K508" s="93"/>
      <c r="L508" s="93"/>
      <c r="M508" s="93"/>
      <c r="N508" s="93">
        <v>0</v>
      </c>
      <c r="O508" s="93"/>
      <c r="P508" s="93"/>
      <c r="Q508" s="597"/>
      <c r="R508" s="597"/>
      <c r="S508" s="597"/>
      <c r="T508" s="597"/>
      <c r="U508" s="597"/>
      <c r="V508" s="597"/>
      <c r="W508" s="597"/>
      <c r="X508" s="597"/>
      <c r="Y508" s="597"/>
      <c r="Z508" s="597"/>
    </row>
    <row r="509" spans="1:26" ht="18.75" hidden="1">
      <c r="A509" s="642"/>
      <c r="B509" s="600"/>
      <c r="C509" s="750"/>
      <c r="D509" s="750"/>
      <c r="E509" s="750"/>
      <c r="F509" s="750" t="s">
        <v>187</v>
      </c>
      <c r="G509" s="596"/>
      <c r="H509" s="165" t="s">
        <v>12</v>
      </c>
      <c r="I509" s="610"/>
      <c r="J509" s="610"/>
      <c r="K509" s="93"/>
      <c r="L509" s="93"/>
      <c r="M509" s="93"/>
      <c r="N509" s="93">
        <v>0</v>
      </c>
      <c r="O509" s="93"/>
      <c r="P509" s="93"/>
      <c r="Q509" s="597"/>
      <c r="R509" s="597"/>
      <c r="S509" s="597"/>
      <c r="T509" s="597"/>
      <c r="U509" s="597"/>
      <c r="V509" s="597"/>
      <c r="W509" s="597"/>
      <c r="X509" s="597"/>
      <c r="Y509" s="597"/>
      <c r="Z509" s="597"/>
    </row>
    <row r="510" spans="1:26" ht="18.75" hidden="1">
      <c r="A510" s="642"/>
      <c r="B510" s="600"/>
      <c r="C510" s="600"/>
      <c r="D510" s="600"/>
      <c r="E510" s="750"/>
      <c r="F510" s="750" t="s">
        <v>188</v>
      </c>
      <c r="G510" s="596"/>
      <c r="H510" s="165" t="s">
        <v>12</v>
      </c>
      <c r="I510" s="610"/>
      <c r="J510" s="610"/>
      <c r="K510" s="93"/>
      <c r="L510" s="93"/>
      <c r="M510" s="93"/>
      <c r="N510" s="93">
        <v>0</v>
      </c>
      <c r="O510" s="93"/>
      <c r="P510" s="93"/>
      <c r="Q510" s="597"/>
      <c r="R510" s="597"/>
      <c r="S510" s="597"/>
      <c r="T510" s="597"/>
      <c r="U510" s="597"/>
      <c r="V510" s="597"/>
      <c r="W510" s="597"/>
      <c r="X510" s="597"/>
      <c r="Y510" s="597"/>
      <c r="Z510" s="597"/>
    </row>
    <row r="511" spans="1:26" ht="18.75" hidden="1">
      <c r="A511" s="642"/>
      <c r="B511" s="600"/>
      <c r="C511" s="600"/>
      <c r="D511" s="600"/>
      <c r="E511" s="750"/>
      <c r="F511" s="750" t="s">
        <v>189</v>
      </c>
      <c r="G511" s="596"/>
      <c r="H511" s="165" t="s">
        <v>12</v>
      </c>
      <c r="I511" s="610"/>
      <c r="J511" s="610"/>
      <c r="K511" s="93"/>
      <c r="L511" s="93"/>
      <c r="M511" s="93"/>
      <c r="N511" s="93">
        <v>0</v>
      </c>
      <c r="O511" s="93"/>
      <c r="P511" s="93"/>
      <c r="Q511" s="597"/>
      <c r="R511" s="597"/>
      <c r="S511" s="597"/>
      <c r="T511" s="597"/>
      <c r="U511" s="597"/>
      <c r="V511" s="597"/>
      <c r="W511" s="597"/>
      <c r="X511" s="597"/>
      <c r="Y511" s="597"/>
      <c r="Z511" s="597"/>
    </row>
    <row r="512" spans="1:26" ht="18.75" hidden="1">
      <c r="A512" s="592"/>
      <c r="B512" s="600"/>
      <c r="C512" s="600"/>
      <c r="D512" s="641" t="s">
        <v>21</v>
      </c>
      <c r="E512" s="600"/>
      <c r="F512" s="750"/>
      <c r="G512" s="596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597"/>
      <c r="R512" s="597"/>
      <c r="S512" s="597"/>
      <c r="T512" s="597"/>
      <c r="U512" s="597"/>
      <c r="V512" s="597"/>
      <c r="W512" s="597"/>
      <c r="X512" s="597"/>
      <c r="Y512" s="597"/>
      <c r="Z512" s="597"/>
    </row>
    <row r="513" spans="1:26" ht="18.75" hidden="1">
      <c r="A513" s="592"/>
      <c r="B513" s="600"/>
      <c r="C513" s="600"/>
      <c r="D513" s="600"/>
      <c r="E513" s="600" t="s">
        <v>18</v>
      </c>
      <c r="F513" s="750"/>
      <c r="G513" s="596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597"/>
      <c r="R513" s="597"/>
      <c r="S513" s="597"/>
      <c r="T513" s="597"/>
      <c r="U513" s="597"/>
      <c r="V513" s="597"/>
      <c r="W513" s="597"/>
      <c r="X513" s="597"/>
      <c r="Y513" s="597"/>
      <c r="Z513" s="597"/>
    </row>
    <row r="514" spans="1:26" ht="18.75" hidden="1">
      <c r="A514" s="592"/>
      <c r="B514" s="600"/>
      <c r="C514" s="600"/>
      <c r="D514" s="750"/>
      <c r="E514" s="600" t="s">
        <v>19</v>
      </c>
      <c r="F514" s="750"/>
      <c r="G514" s="596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597"/>
      <c r="R514" s="597"/>
      <c r="S514" s="597"/>
      <c r="T514" s="597"/>
      <c r="U514" s="597"/>
      <c r="V514" s="597"/>
      <c r="W514" s="597"/>
      <c r="X514" s="597"/>
      <c r="Y514" s="597"/>
      <c r="Z514" s="597"/>
    </row>
    <row r="515" spans="1:26" ht="19.5" hidden="1">
      <c r="A515" s="607"/>
      <c r="B515" s="609"/>
      <c r="C515" s="600" t="s">
        <v>16</v>
      </c>
      <c r="D515" s="838" t="s">
        <v>38</v>
      </c>
      <c r="E515" s="644"/>
      <c r="F515" s="644"/>
      <c r="G515" s="645"/>
      <c r="H515" s="365"/>
      <c r="I515" s="166"/>
      <c r="J515" s="166"/>
      <c r="K515" s="167"/>
      <c r="L515" s="167"/>
      <c r="M515" s="167"/>
      <c r="N515" s="167"/>
      <c r="O515" s="167"/>
      <c r="P515" s="167"/>
      <c r="Q515" s="597"/>
      <c r="R515" s="597"/>
      <c r="S515" s="597"/>
      <c r="T515" s="597"/>
      <c r="U515" s="597"/>
      <c r="V515" s="597"/>
      <c r="W515" s="597"/>
      <c r="X515" s="597"/>
      <c r="Y515" s="597"/>
      <c r="Z515" s="597"/>
    </row>
    <row r="516" spans="1:26" ht="18.75" hidden="1">
      <c r="A516" s="607"/>
      <c r="B516" s="609"/>
      <c r="C516" s="609"/>
      <c r="D516" s="609" t="s">
        <v>221</v>
      </c>
      <c r="E516" s="711"/>
      <c r="F516" s="711"/>
      <c r="G516" s="365"/>
      <c r="H516" s="646" t="s">
        <v>109</v>
      </c>
      <c r="I516" s="610"/>
      <c r="J516" s="610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597"/>
      <c r="R516" s="597"/>
      <c r="S516" s="597"/>
      <c r="T516" s="597"/>
      <c r="U516" s="597"/>
      <c r="V516" s="597"/>
      <c r="W516" s="597"/>
      <c r="X516" s="597"/>
      <c r="Y516" s="597"/>
      <c r="Z516" s="597"/>
    </row>
    <row r="517" spans="1:26" ht="19.5" hidden="1">
      <c r="A517" s="607"/>
      <c r="B517" s="609"/>
      <c r="C517" s="609"/>
      <c r="D517" s="609" t="s">
        <v>222</v>
      </c>
      <c r="E517" s="711"/>
      <c r="F517" s="711"/>
      <c r="G517" s="365"/>
      <c r="H517" s="647" t="s">
        <v>35</v>
      </c>
      <c r="I517" s="648"/>
      <c r="J517" s="648">
        <f>J518+J519</f>
        <v>0</v>
      </c>
      <c r="K517" s="649">
        <f t="shared" si="224"/>
        <v>0</v>
      </c>
      <c r="L517" s="167"/>
      <c r="M517" s="167"/>
      <c r="N517" s="167"/>
      <c r="O517" s="167"/>
      <c r="P517" s="167"/>
      <c r="Q517" s="597"/>
      <c r="R517" s="597"/>
      <c r="S517" s="597"/>
      <c r="T517" s="597"/>
      <c r="U517" s="597"/>
      <c r="V517" s="597"/>
      <c r="W517" s="597"/>
      <c r="X517" s="597"/>
      <c r="Y517" s="597"/>
      <c r="Z517" s="597"/>
    </row>
    <row r="518" spans="1:26" ht="18.75" hidden="1">
      <c r="A518" s="607"/>
      <c r="B518" s="609"/>
      <c r="C518" s="609"/>
      <c r="D518" s="609"/>
      <c r="E518" s="609" t="s">
        <v>223</v>
      </c>
      <c r="F518" s="711"/>
      <c r="G518" s="365"/>
      <c r="H518" s="369" t="s">
        <v>35</v>
      </c>
      <c r="I518" s="610"/>
      <c r="J518" s="610"/>
      <c r="K518" s="167"/>
      <c r="L518" s="167"/>
      <c r="M518" s="167"/>
      <c r="N518" s="167"/>
      <c r="O518" s="167"/>
      <c r="P518" s="167"/>
      <c r="Q518" s="597"/>
      <c r="R518" s="597"/>
      <c r="S518" s="597"/>
      <c r="T518" s="597"/>
      <c r="U518" s="597"/>
      <c r="V518" s="597"/>
      <c r="W518" s="597"/>
      <c r="X518" s="597"/>
      <c r="Y518" s="597"/>
      <c r="Z518" s="597"/>
    </row>
    <row r="519" spans="1:26" ht="18.75" hidden="1">
      <c r="A519" s="607"/>
      <c r="B519" s="609"/>
      <c r="C519" s="609"/>
      <c r="D519" s="609"/>
      <c r="E519" s="609" t="s">
        <v>224</v>
      </c>
      <c r="F519" s="711"/>
      <c r="G519" s="365"/>
      <c r="H519" s="646" t="s">
        <v>35</v>
      </c>
      <c r="I519" s="610"/>
      <c r="J519" s="610"/>
      <c r="K519" s="167"/>
      <c r="L519" s="167"/>
      <c r="M519" s="167"/>
      <c r="N519" s="167"/>
      <c r="O519" s="167"/>
      <c r="P519" s="167"/>
      <c r="Q519" s="597"/>
      <c r="R519" s="597"/>
      <c r="S519" s="597"/>
      <c r="T519" s="597"/>
      <c r="U519" s="597"/>
      <c r="V519" s="597"/>
      <c r="W519" s="597"/>
      <c r="X519" s="597"/>
      <c r="Y519" s="597"/>
      <c r="Z519" s="597"/>
    </row>
    <row r="520" spans="1:26" ht="19.5">
      <c r="A520" s="650" t="s">
        <v>137</v>
      </c>
      <c r="B520" s="651"/>
      <c r="C520" s="651"/>
      <c r="D520" s="652"/>
      <c r="E520" s="652"/>
      <c r="F520" s="652"/>
      <c r="G520" s="653"/>
      <c r="H520" s="654"/>
      <c r="I520" s="655"/>
      <c r="J520" s="655"/>
      <c r="K520" s="656"/>
      <c r="L520" s="656"/>
      <c r="M520" s="656"/>
      <c r="N520" s="656"/>
      <c r="O520" s="656"/>
      <c r="P520" s="656"/>
    </row>
    <row r="521" spans="1:26" ht="19.5" hidden="1">
      <c r="A521" s="657">
        <v>5</v>
      </c>
      <c r="B521" s="658" t="s">
        <v>225</v>
      </c>
      <c r="C521" s="659"/>
      <c r="D521" s="660"/>
      <c r="E521" s="660"/>
      <c r="F521" s="660"/>
      <c r="G521" s="660"/>
      <c r="H521" s="661"/>
      <c r="I521" s="662"/>
      <c r="J521" s="662"/>
      <c r="K521" s="663"/>
      <c r="L521" s="663"/>
      <c r="M521" s="663"/>
      <c r="N521" s="663"/>
      <c r="O521" s="663"/>
      <c r="P521" s="663"/>
      <c r="Q521" s="571"/>
      <c r="R521" s="571"/>
      <c r="S521" s="571"/>
      <c r="T521" s="571"/>
      <c r="U521" s="571"/>
      <c r="V521" s="571"/>
      <c r="W521" s="571"/>
      <c r="X521" s="571"/>
      <c r="Y521" s="571"/>
      <c r="Z521" s="571"/>
    </row>
    <row r="522" spans="1:26" ht="19.5" hidden="1">
      <c r="A522" s="664"/>
      <c r="B522" s="665" t="s">
        <v>226</v>
      </c>
      <c r="C522" s="666"/>
      <c r="D522" s="666"/>
      <c r="E522" s="666"/>
      <c r="F522" s="666"/>
      <c r="G522" s="667"/>
      <c r="H522" s="668" t="s">
        <v>35</v>
      </c>
      <c r="I522" s="699">
        <f t="shared" ref="I522:J522" ca="1" si="225">I537</f>
        <v>0</v>
      </c>
      <c r="J522" s="699">
        <f t="shared" ca="1" si="225"/>
        <v>0</v>
      </c>
      <c r="K522" s="670">
        <f ca="1">IF(I522&gt;0,J522*100/I522,0)</f>
        <v>0</v>
      </c>
      <c r="L522" s="671"/>
      <c r="M522" s="671"/>
      <c r="N522" s="671"/>
      <c r="O522" s="671"/>
      <c r="P522" s="671"/>
      <c r="Q522" s="571"/>
      <c r="R522" s="571"/>
      <c r="S522" s="571"/>
      <c r="T522" s="571"/>
      <c r="U522" s="571"/>
      <c r="V522" s="571"/>
      <c r="W522" s="571"/>
      <c r="X522" s="571"/>
      <c r="Y522" s="571"/>
      <c r="Z522" s="571"/>
    </row>
    <row r="523" spans="1:26" ht="19.5" hidden="1">
      <c r="A523" s="590"/>
      <c r="B523" s="754"/>
      <c r="C523" s="754" t="s">
        <v>16</v>
      </c>
      <c r="D523" s="863" t="s">
        <v>17</v>
      </c>
      <c r="E523" s="857"/>
      <c r="F523" s="857"/>
      <c r="G523" s="189"/>
      <c r="H523" s="591" t="s">
        <v>12</v>
      </c>
      <c r="I523" s="269"/>
      <c r="J523" s="269"/>
      <c r="K523" s="496"/>
      <c r="L523" s="195">
        <f t="shared" ref="L523:N523" ca="1" si="226">L524+L525</f>
        <v>0</v>
      </c>
      <c r="M523" s="195">
        <f t="shared" si="226"/>
        <v>0</v>
      </c>
      <c r="N523" s="195">
        <f t="shared" si="226"/>
        <v>0</v>
      </c>
      <c r="O523" s="195">
        <f t="shared" ref="O523:O528" ca="1" si="227">IF(L523&gt;0,N523*100/L523,0)</f>
        <v>0</v>
      </c>
      <c r="P523" s="195">
        <f t="shared" ref="P523:P528" si="228">IF(M523&gt;0,N523*100/M523,0)</f>
        <v>0</v>
      </c>
      <c r="Q523" s="571"/>
      <c r="R523" s="571"/>
      <c r="S523" s="571"/>
      <c r="T523" s="571"/>
      <c r="U523" s="571"/>
      <c r="V523" s="571"/>
      <c r="W523" s="571"/>
      <c r="X523" s="571"/>
      <c r="Y523" s="571"/>
      <c r="Z523" s="571"/>
    </row>
    <row r="524" spans="1:26" ht="18.75" hidden="1">
      <c r="A524" s="592"/>
      <c r="B524" s="750"/>
      <c r="C524" s="750"/>
      <c r="D524" s="711"/>
      <c r="E524" s="750" t="s">
        <v>184</v>
      </c>
      <c r="F524" s="750"/>
      <c r="G524" s="596"/>
      <c r="H524" s="165" t="s">
        <v>12</v>
      </c>
      <c r="I524" s="610"/>
      <c r="J524" s="610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597"/>
      <c r="R524" s="597"/>
      <c r="S524" s="597"/>
      <c r="T524" s="597"/>
      <c r="U524" s="597"/>
      <c r="V524" s="597"/>
      <c r="W524" s="597"/>
      <c r="X524" s="597"/>
      <c r="Y524" s="597"/>
      <c r="Z524" s="597"/>
    </row>
    <row r="525" spans="1:26" ht="18.75" hidden="1">
      <c r="A525" s="592"/>
      <c r="B525" s="600"/>
      <c r="C525" s="750"/>
      <c r="D525" s="711"/>
      <c r="E525" s="750" t="s">
        <v>185</v>
      </c>
      <c r="F525" s="750"/>
      <c r="G525" s="596"/>
      <c r="H525" s="165" t="s">
        <v>12</v>
      </c>
      <c r="I525" s="610"/>
      <c r="J525" s="610"/>
      <c r="K525" s="93"/>
      <c r="L525" s="93">
        <f t="shared" ca="1" si="229"/>
        <v>0</v>
      </c>
      <c r="M525" s="93">
        <f t="shared" si="229"/>
        <v>0</v>
      </c>
      <c r="N525" s="93">
        <f t="shared" si="229"/>
        <v>0</v>
      </c>
      <c r="O525" s="93">
        <f t="shared" ca="1" si="227"/>
        <v>0</v>
      </c>
      <c r="P525" s="93">
        <f t="shared" si="228"/>
        <v>0</v>
      </c>
      <c r="Q525" s="597"/>
      <c r="R525" s="597"/>
      <c r="S525" s="597"/>
      <c r="T525" s="597"/>
      <c r="U525" s="597"/>
      <c r="V525" s="597"/>
      <c r="W525" s="597"/>
      <c r="X525" s="597"/>
      <c r="Y525" s="597"/>
      <c r="Z525" s="597"/>
    </row>
    <row r="526" spans="1:26" ht="18.75" hidden="1">
      <c r="A526" s="590"/>
      <c r="B526" s="568"/>
      <c r="C526" s="754"/>
      <c r="D526" s="599" t="s">
        <v>20</v>
      </c>
      <c r="E526" s="754"/>
      <c r="F526" s="754"/>
      <c r="G526" s="189"/>
      <c r="H526" s="161" t="s">
        <v>12</v>
      </c>
      <c r="I526" s="184"/>
      <c r="J526" s="184"/>
      <c r="K526" s="163"/>
      <c r="L526" s="496">
        <f t="shared" ref="L526:N526" ca="1" si="230">L527+L528</f>
        <v>0</v>
      </c>
      <c r="M526" s="496">
        <f t="shared" si="230"/>
        <v>0</v>
      </c>
      <c r="N526" s="496">
        <f t="shared" si="230"/>
        <v>0</v>
      </c>
      <c r="O526" s="496">
        <f t="shared" ca="1" si="227"/>
        <v>0</v>
      </c>
      <c r="P526" s="496">
        <f t="shared" si="228"/>
        <v>0</v>
      </c>
      <c r="Q526" s="571"/>
      <c r="R526" s="571"/>
      <c r="S526" s="571"/>
      <c r="T526" s="571"/>
      <c r="U526" s="571"/>
      <c r="V526" s="571"/>
      <c r="W526" s="571"/>
      <c r="X526" s="571"/>
      <c r="Y526" s="571"/>
      <c r="Z526" s="571"/>
    </row>
    <row r="527" spans="1:26" ht="18.75" hidden="1">
      <c r="A527" s="592"/>
      <c r="B527" s="600"/>
      <c r="C527" s="750"/>
      <c r="D527" s="711"/>
      <c r="E527" s="750" t="s">
        <v>184</v>
      </c>
      <c r="F527" s="750"/>
      <c r="G527" s="596"/>
      <c r="H527" s="165" t="s">
        <v>12</v>
      </c>
      <c r="I527" s="610"/>
      <c r="J527" s="610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597"/>
      <c r="R527" s="597"/>
      <c r="S527" s="597"/>
      <c r="T527" s="597"/>
      <c r="U527" s="597"/>
      <c r="V527" s="597"/>
      <c r="W527" s="597"/>
      <c r="X527" s="597"/>
      <c r="Y527" s="597"/>
      <c r="Z527" s="597"/>
    </row>
    <row r="528" spans="1:26" ht="18.75" hidden="1">
      <c r="A528" s="592"/>
      <c r="B528" s="600"/>
      <c r="C528" s="750"/>
      <c r="D528" s="711"/>
      <c r="E528" s="750" t="s">
        <v>185</v>
      </c>
      <c r="F528" s="750"/>
      <c r="G528" s="596"/>
      <c r="H528" s="165" t="s">
        <v>12</v>
      </c>
      <c r="I528" s="610"/>
      <c r="J528" s="610"/>
      <c r="K528" s="93"/>
      <c r="L528" s="93">
        <f ca="1">IFERROR(__xludf.DUMMYFUNCTION("IMPORTRANGE(""https://docs.google.com/spreadsheets/d/1QqKyyYR6Q21VydFLVH3TRQUabQu_ym0Zz7PgGX0-kHA/edit?usp=sharing"",""แผน!GQ59"")"),0)</f>
        <v>0</v>
      </c>
      <c r="M528" s="93">
        <v>0</v>
      </c>
      <c r="N528" s="93">
        <f>N529+N530+N531+N532</f>
        <v>0</v>
      </c>
      <c r="O528" s="93">
        <f t="shared" ca="1" si="227"/>
        <v>0</v>
      </c>
      <c r="P528" s="93">
        <f t="shared" si="228"/>
        <v>0</v>
      </c>
      <c r="Q528" s="597"/>
      <c r="R528" s="597"/>
      <c r="S528" s="597"/>
      <c r="T528" s="597"/>
      <c r="U528" s="597"/>
      <c r="V528" s="597"/>
      <c r="W528" s="597"/>
      <c r="X528" s="597"/>
      <c r="Y528" s="597"/>
      <c r="Z528" s="597"/>
    </row>
    <row r="529" spans="1:26" ht="18.75" hidden="1">
      <c r="A529" s="567"/>
      <c r="B529" s="568"/>
      <c r="C529" s="754"/>
      <c r="D529" s="754"/>
      <c r="E529" s="754"/>
      <c r="F529" s="754" t="s">
        <v>186</v>
      </c>
      <c r="G529" s="189"/>
      <c r="H529" s="161" t="s">
        <v>12</v>
      </c>
      <c r="I529" s="269"/>
      <c r="J529" s="269"/>
      <c r="K529" s="496"/>
      <c r="L529" s="496"/>
      <c r="M529" s="496"/>
      <c r="N529" s="817">
        <v>0</v>
      </c>
      <c r="O529" s="496"/>
      <c r="P529" s="496"/>
      <c r="Q529" s="571"/>
      <c r="R529" s="571"/>
      <c r="S529" s="571"/>
      <c r="T529" s="571"/>
      <c r="U529" s="571"/>
      <c r="V529" s="571"/>
      <c r="W529" s="571"/>
      <c r="X529" s="571"/>
      <c r="Y529" s="571"/>
      <c r="Z529" s="571"/>
    </row>
    <row r="530" spans="1:26" ht="18.75" hidden="1">
      <c r="A530" s="567"/>
      <c r="B530" s="568"/>
      <c r="C530" s="754"/>
      <c r="D530" s="754"/>
      <c r="E530" s="754"/>
      <c r="F530" s="754" t="s">
        <v>187</v>
      </c>
      <c r="G530" s="189"/>
      <c r="H530" s="161" t="s">
        <v>12</v>
      </c>
      <c r="I530" s="269"/>
      <c r="J530" s="269"/>
      <c r="K530" s="496"/>
      <c r="L530" s="496"/>
      <c r="M530" s="496"/>
      <c r="N530" s="817">
        <v>0</v>
      </c>
      <c r="O530" s="496"/>
      <c r="P530" s="496"/>
      <c r="Q530" s="571"/>
      <c r="R530" s="571"/>
      <c r="S530" s="571"/>
      <c r="T530" s="571"/>
      <c r="U530" s="571"/>
      <c r="V530" s="571"/>
      <c r="W530" s="571"/>
      <c r="X530" s="571"/>
      <c r="Y530" s="571"/>
      <c r="Z530" s="571"/>
    </row>
    <row r="531" spans="1:26" ht="18.75" hidden="1">
      <c r="A531" s="567"/>
      <c r="B531" s="568"/>
      <c r="C531" s="754"/>
      <c r="D531" s="754"/>
      <c r="E531" s="754"/>
      <c r="F531" s="754" t="s">
        <v>188</v>
      </c>
      <c r="G531" s="189"/>
      <c r="H531" s="161" t="s">
        <v>12</v>
      </c>
      <c r="I531" s="269"/>
      <c r="J531" s="269"/>
      <c r="K531" s="496"/>
      <c r="L531" s="496"/>
      <c r="M531" s="496"/>
      <c r="N531" s="817">
        <v>0</v>
      </c>
      <c r="O531" s="496"/>
      <c r="P531" s="496"/>
      <c r="Q531" s="571"/>
      <c r="R531" s="571"/>
      <c r="S531" s="571"/>
      <c r="T531" s="571"/>
      <c r="U531" s="571"/>
      <c r="V531" s="571"/>
      <c r="W531" s="571"/>
      <c r="X531" s="571"/>
      <c r="Y531" s="571"/>
      <c r="Z531" s="571"/>
    </row>
    <row r="532" spans="1:26" ht="18.75" hidden="1">
      <c r="A532" s="567"/>
      <c r="B532" s="568"/>
      <c r="C532" s="754"/>
      <c r="D532" s="754"/>
      <c r="E532" s="754"/>
      <c r="F532" s="754" t="s">
        <v>189</v>
      </c>
      <c r="G532" s="189"/>
      <c r="H532" s="161" t="s">
        <v>12</v>
      </c>
      <c r="I532" s="269"/>
      <c r="J532" s="269"/>
      <c r="K532" s="496"/>
      <c r="L532" s="496"/>
      <c r="M532" s="496"/>
      <c r="N532" s="817">
        <v>0</v>
      </c>
      <c r="O532" s="496"/>
      <c r="P532" s="496"/>
      <c r="Q532" s="571"/>
      <c r="R532" s="571"/>
      <c r="S532" s="571"/>
      <c r="T532" s="571"/>
      <c r="U532" s="571"/>
      <c r="V532" s="571"/>
      <c r="W532" s="571"/>
      <c r="X532" s="571"/>
      <c r="Y532" s="571"/>
      <c r="Z532" s="571"/>
    </row>
    <row r="533" spans="1:26" ht="18.75" hidden="1">
      <c r="A533" s="590"/>
      <c r="B533" s="568"/>
      <c r="C533" s="754"/>
      <c r="D533" s="599" t="s">
        <v>21</v>
      </c>
      <c r="E533" s="754"/>
      <c r="F533" s="754"/>
      <c r="G533" s="189"/>
      <c r="H533" s="168" t="s">
        <v>12</v>
      </c>
      <c r="I533" s="184"/>
      <c r="J533" s="184"/>
      <c r="K533" s="163"/>
      <c r="L533" s="496">
        <f t="shared" ref="L533:N533" ca="1" si="231">L534+L535</f>
        <v>0</v>
      </c>
      <c r="M533" s="496">
        <f t="shared" si="231"/>
        <v>0</v>
      </c>
      <c r="N533" s="496">
        <f t="shared" si="231"/>
        <v>0</v>
      </c>
      <c r="O533" s="496">
        <f t="shared" ref="O533:O535" ca="1" si="232">IF(L533&gt;0,N533*100/L533,0)</f>
        <v>0</v>
      </c>
      <c r="P533" s="496">
        <f t="shared" ref="P533:P535" si="233">IF(M533&gt;0,N533*100/M533,0)</f>
        <v>0</v>
      </c>
      <c r="Q533" s="571"/>
      <c r="R533" s="571"/>
      <c r="S533" s="571"/>
      <c r="T533" s="571"/>
      <c r="U533" s="571"/>
      <c r="V533" s="571"/>
      <c r="W533" s="571"/>
      <c r="X533" s="571"/>
      <c r="Y533" s="571"/>
      <c r="Z533" s="571"/>
    </row>
    <row r="534" spans="1:26" ht="18.75" hidden="1">
      <c r="A534" s="592"/>
      <c r="B534" s="600"/>
      <c r="C534" s="750"/>
      <c r="D534" s="750"/>
      <c r="E534" s="750" t="s">
        <v>18</v>
      </c>
      <c r="F534" s="750"/>
      <c r="G534" s="596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597"/>
      <c r="R534" s="597"/>
      <c r="S534" s="597"/>
      <c r="T534" s="597"/>
      <c r="U534" s="597"/>
      <c r="V534" s="597"/>
      <c r="W534" s="597"/>
      <c r="X534" s="597"/>
      <c r="Y534" s="597"/>
      <c r="Z534" s="597"/>
    </row>
    <row r="535" spans="1:26" ht="18.75" hidden="1">
      <c r="A535" s="592"/>
      <c r="B535" s="600"/>
      <c r="C535" s="750"/>
      <c r="D535" s="750"/>
      <c r="E535" s="750" t="s">
        <v>19</v>
      </c>
      <c r="F535" s="750"/>
      <c r="G535" s="596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IFERROR(__xludf.DUMMYFUNCTION("IMPORTRANGE(""https://docs.google.com/spreadsheets/d/1QqKyyYR6Q21VydFLVH3TRQUabQu_ym0Zz7PgGX0-kHA/edit?usp=sharing"",""แผน!GT59"")"),0)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597"/>
      <c r="R535" s="597"/>
      <c r="S535" s="597"/>
      <c r="T535" s="597"/>
      <c r="U535" s="597"/>
      <c r="V535" s="597"/>
      <c r="W535" s="597"/>
      <c r="X535" s="597"/>
      <c r="Y535" s="597"/>
      <c r="Z535" s="597"/>
    </row>
    <row r="536" spans="1:26" ht="19.5" hidden="1">
      <c r="A536" s="601"/>
      <c r="B536" s="611"/>
      <c r="C536" s="754" t="s">
        <v>16</v>
      </c>
      <c r="D536" s="839" t="s">
        <v>38</v>
      </c>
      <c r="E536" s="752"/>
      <c r="F536" s="752"/>
      <c r="G536" s="606"/>
      <c r="H536" s="753"/>
      <c r="I536" s="184"/>
      <c r="J536" s="184"/>
      <c r="K536" s="163"/>
      <c r="L536" s="163"/>
      <c r="M536" s="163"/>
      <c r="N536" s="163"/>
      <c r="O536" s="163"/>
      <c r="P536" s="163"/>
      <c r="Q536" s="571"/>
      <c r="R536" s="571"/>
      <c r="S536" s="571"/>
      <c r="T536" s="571"/>
      <c r="U536" s="571"/>
      <c r="V536" s="571"/>
      <c r="W536" s="571"/>
      <c r="X536" s="571"/>
      <c r="Y536" s="571"/>
      <c r="Z536" s="571"/>
    </row>
    <row r="537" spans="1:26" ht="19.5" hidden="1">
      <c r="A537" s="567"/>
      <c r="B537" s="568"/>
      <c r="C537" s="754"/>
      <c r="D537" s="754" t="s">
        <v>227</v>
      </c>
      <c r="E537" s="754"/>
      <c r="F537" s="754"/>
      <c r="G537" s="189"/>
      <c r="H537" s="616" t="s">
        <v>35</v>
      </c>
      <c r="I537" s="674">
        <f ca="1">IFERROR(__xludf.DUMMYFUNCTION("IMPORTRANGE(""https://docs.google.com/spreadsheets/d/1QqKyyYR6Q21VydFLVH3TRQUabQu_ym0Zz7PgGX0-kHA/edit?usp=sharing"",""แผน!GU59"")"),0)</f>
        <v>0</v>
      </c>
      <c r="J537" s="674">
        <f ca="1">IF(AND(J538=I538,J539=I539,J540=I540,J541=I541),I537,0)</f>
        <v>0</v>
      </c>
      <c r="K537" s="496">
        <f t="shared" ref="K537:K543" ca="1" si="234">IF(I537&gt;0,J537*100/I537,0)</f>
        <v>0</v>
      </c>
      <c r="L537" s="496"/>
      <c r="M537" s="496"/>
      <c r="N537" s="496"/>
      <c r="O537" s="496"/>
      <c r="P537" s="496"/>
      <c r="Q537" s="675"/>
      <c r="R537" s="675"/>
      <c r="S537" s="675"/>
      <c r="T537" s="675"/>
      <c r="U537" s="675"/>
      <c r="V537" s="675"/>
      <c r="W537" s="675"/>
      <c r="X537" s="675"/>
      <c r="Y537" s="675"/>
      <c r="Z537" s="675"/>
    </row>
    <row r="538" spans="1:26" ht="18.75" hidden="1">
      <c r="A538" s="567"/>
      <c r="B538" s="568"/>
      <c r="C538" s="754"/>
      <c r="D538" s="754"/>
      <c r="E538" s="754" t="s">
        <v>228</v>
      </c>
      <c r="F538" s="754"/>
      <c r="G538" s="189"/>
      <c r="H538" s="616" t="s">
        <v>35</v>
      </c>
      <c r="I538" s="269">
        <f ca="1">IFERROR(__xludf.DUMMYFUNCTION("IMPORTRANGE(""https://docs.google.com/spreadsheets/d/1QqKyyYR6Q21VydFLVH3TRQUabQu_ym0Zz7PgGX0-kHA/edit?usp=sharing"",""แผน!GV59"")"),0)</f>
        <v>0</v>
      </c>
      <c r="J538" s="214">
        <v>0</v>
      </c>
      <c r="K538" s="496">
        <f t="shared" ca="1" si="234"/>
        <v>0</v>
      </c>
      <c r="L538" s="496"/>
      <c r="M538" s="496"/>
      <c r="N538" s="496"/>
      <c r="O538" s="496"/>
      <c r="P538" s="496"/>
      <c r="Q538" s="675"/>
      <c r="R538" s="675"/>
      <c r="S538" s="675"/>
      <c r="T538" s="675"/>
      <c r="U538" s="675"/>
      <c r="V538" s="675"/>
      <c r="W538" s="675"/>
      <c r="X538" s="675"/>
      <c r="Y538" s="675"/>
      <c r="Z538" s="675"/>
    </row>
    <row r="539" spans="1:26" ht="18.75" hidden="1">
      <c r="A539" s="567"/>
      <c r="B539" s="568"/>
      <c r="C539" s="754"/>
      <c r="D539" s="754"/>
      <c r="E539" s="754" t="s">
        <v>229</v>
      </c>
      <c r="F539" s="754"/>
      <c r="G539" s="189"/>
      <c r="H539" s="616" t="s">
        <v>35</v>
      </c>
      <c r="I539" s="269">
        <f ca="1">IFERROR(__xludf.DUMMYFUNCTION("IMPORTRANGE(""https://docs.google.com/spreadsheets/d/1QqKyyYR6Q21VydFLVH3TRQUabQu_ym0Zz7PgGX0-kHA/edit?usp=sharing"",""แผน!GW59"")"),0)</f>
        <v>0</v>
      </c>
      <c r="J539" s="214">
        <v>0</v>
      </c>
      <c r="K539" s="496">
        <f t="shared" ca="1" si="234"/>
        <v>0</v>
      </c>
      <c r="L539" s="496"/>
      <c r="M539" s="496"/>
      <c r="N539" s="496"/>
      <c r="O539" s="496"/>
      <c r="P539" s="496"/>
      <c r="Q539" s="675"/>
      <c r="R539" s="675"/>
      <c r="S539" s="675"/>
      <c r="T539" s="675"/>
      <c r="U539" s="675"/>
      <c r="V539" s="675"/>
      <c r="W539" s="675"/>
      <c r="X539" s="675"/>
      <c r="Y539" s="675"/>
      <c r="Z539" s="675"/>
    </row>
    <row r="540" spans="1:26" ht="18.75" hidden="1">
      <c r="A540" s="567"/>
      <c r="B540" s="568"/>
      <c r="C540" s="754"/>
      <c r="D540" s="754"/>
      <c r="E540" s="754" t="s">
        <v>230</v>
      </c>
      <c r="F540" s="754"/>
      <c r="G540" s="189"/>
      <c r="H540" s="616" t="s">
        <v>35</v>
      </c>
      <c r="I540" s="269">
        <f ca="1">IFERROR(__xludf.DUMMYFUNCTION("IMPORTRANGE(""https://docs.google.com/spreadsheets/d/1QqKyyYR6Q21VydFLVH3TRQUabQu_ym0Zz7PgGX0-kHA/edit?usp=sharing"",""แผน!GX59"")"),0)</f>
        <v>0</v>
      </c>
      <c r="J540" s="214">
        <v>0</v>
      </c>
      <c r="K540" s="496">
        <f t="shared" ca="1" si="234"/>
        <v>0</v>
      </c>
      <c r="L540" s="496"/>
      <c r="M540" s="496"/>
      <c r="N540" s="496"/>
      <c r="O540" s="496"/>
      <c r="P540" s="496"/>
      <c r="Q540" s="675"/>
      <c r="R540" s="675"/>
      <c r="S540" s="675"/>
      <c r="T540" s="675"/>
      <c r="U540" s="675"/>
      <c r="V540" s="675"/>
      <c r="W540" s="675"/>
      <c r="X540" s="675"/>
      <c r="Y540" s="675"/>
      <c r="Z540" s="675"/>
    </row>
    <row r="541" spans="1:26" ht="18.75" hidden="1">
      <c r="A541" s="567"/>
      <c r="B541" s="568"/>
      <c r="C541" s="754"/>
      <c r="D541" s="754"/>
      <c r="E541" s="760" t="s">
        <v>231</v>
      </c>
      <c r="F541" s="754"/>
      <c r="G541" s="189"/>
      <c r="H541" s="616" t="s">
        <v>35</v>
      </c>
      <c r="I541" s="269">
        <f ca="1">IFERROR(__xludf.DUMMYFUNCTION("IMPORTRANGE(""https://docs.google.com/spreadsheets/d/1QqKyyYR6Q21VydFLVH3TRQUabQu_ym0Zz7PgGX0-kHA/edit?usp=sharing"",""แผน!GY59"")"),0)</f>
        <v>0</v>
      </c>
      <c r="J541" s="214">
        <v>0</v>
      </c>
      <c r="K541" s="496">
        <f t="shared" ca="1" si="234"/>
        <v>0</v>
      </c>
      <c r="L541" s="496"/>
      <c r="M541" s="496"/>
      <c r="N541" s="496"/>
      <c r="O541" s="496"/>
      <c r="P541" s="496"/>
      <c r="Q541" s="675"/>
      <c r="R541" s="675"/>
      <c r="S541" s="675"/>
      <c r="T541" s="675"/>
      <c r="U541" s="675"/>
      <c r="V541" s="675"/>
      <c r="W541" s="675"/>
      <c r="X541" s="675"/>
      <c r="Y541" s="675"/>
      <c r="Z541" s="675"/>
    </row>
    <row r="542" spans="1:26" ht="18.75" hidden="1">
      <c r="A542" s="567"/>
      <c r="B542" s="568"/>
      <c r="C542" s="754"/>
      <c r="D542" s="754" t="s">
        <v>59</v>
      </c>
      <c r="E542" s="754"/>
      <c r="F542" s="754"/>
      <c r="G542" s="189"/>
      <c r="H542" s="616" t="s">
        <v>35</v>
      </c>
      <c r="I542" s="269">
        <f ca="1">IFERROR(__xludf.DUMMYFUNCTION("IMPORTRANGE(""https://docs.google.com/spreadsheets/d/1QqKyyYR6Q21VydFLVH3TRQUabQu_ym0Zz7PgGX0-kHA/edit?usp=sharing"",""แผน!GZ59"")"),0)</f>
        <v>0</v>
      </c>
      <c r="J542" s="214">
        <v>0</v>
      </c>
      <c r="K542" s="496">
        <f t="shared" ca="1" si="234"/>
        <v>0</v>
      </c>
      <c r="L542" s="496"/>
      <c r="M542" s="496"/>
      <c r="N542" s="496"/>
      <c r="O542" s="496"/>
      <c r="P542" s="496"/>
      <c r="Q542" s="675"/>
      <c r="R542" s="675"/>
      <c r="S542" s="675"/>
      <c r="T542" s="675"/>
      <c r="U542" s="675"/>
      <c r="V542" s="675"/>
      <c r="W542" s="675"/>
      <c r="X542" s="675"/>
      <c r="Y542" s="675"/>
      <c r="Z542" s="675"/>
    </row>
    <row r="543" spans="1:26" ht="19.5">
      <c r="A543" s="657">
        <v>6</v>
      </c>
      <c r="B543" s="678" t="s">
        <v>232</v>
      </c>
      <c r="C543" s="660"/>
      <c r="D543" s="660"/>
      <c r="E543" s="660"/>
      <c r="F543" s="660"/>
      <c r="G543" s="661"/>
      <c r="H543" s="679" t="s">
        <v>46</v>
      </c>
      <c r="I543" s="680">
        <f t="shared" ref="I543:J543" ca="1" si="235">I559</f>
        <v>0</v>
      </c>
      <c r="J543" s="680">
        <f t="shared" si="235"/>
        <v>0</v>
      </c>
      <c r="K543" s="681">
        <f t="shared" ca="1" si="234"/>
        <v>0</v>
      </c>
      <c r="L543" s="663"/>
      <c r="M543" s="663"/>
      <c r="N543" s="663"/>
      <c r="O543" s="663"/>
      <c r="P543" s="663"/>
      <c r="Q543" s="571"/>
      <c r="R543" s="571"/>
      <c r="S543" s="571"/>
      <c r="T543" s="571"/>
      <c r="U543" s="571"/>
      <c r="V543" s="571"/>
      <c r="W543" s="571"/>
      <c r="X543" s="571"/>
      <c r="Y543" s="571"/>
      <c r="Z543" s="571"/>
    </row>
    <row r="544" spans="1:26" ht="19.5">
      <c r="A544" s="682"/>
      <c r="B544" s="683"/>
      <c r="C544" s="683" t="s">
        <v>16</v>
      </c>
      <c r="D544" s="867" t="s">
        <v>17</v>
      </c>
      <c r="E544" s="862"/>
      <c r="F544" s="862"/>
      <c r="G544" s="684"/>
      <c r="H544" s="274" t="s">
        <v>12</v>
      </c>
      <c r="I544" s="419"/>
      <c r="J544" s="419"/>
      <c r="K544" s="154"/>
      <c r="L544" s="155">
        <f t="shared" ref="L544:N544" ca="1" si="236">L545+L546</f>
        <v>66000</v>
      </c>
      <c r="M544" s="155">
        <f t="shared" si="236"/>
        <v>0</v>
      </c>
      <c r="N544" s="155">
        <f t="shared" si="236"/>
        <v>0</v>
      </c>
      <c r="O544" s="155">
        <f t="shared" ref="O544:O549" ca="1" si="237">IF(L544&gt;0,N544*100/L544,0)</f>
        <v>0</v>
      </c>
      <c r="P544" s="155">
        <f t="shared" ref="P544:P549" si="238">IF(M544&gt;0,N544*100/M544,0)</f>
        <v>0</v>
      </c>
      <c r="Q544" s="571"/>
      <c r="R544" s="571"/>
      <c r="S544" s="571"/>
      <c r="T544" s="571"/>
      <c r="U544" s="571"/>
      <c r="V544" s="571"/>
      <c r="W544" s="571"/>
      <c r="X544" s="571"/>
      <c r="Y544" s="571"/>
      <c r="Z544" s="571"/>
    </row>
    <row r="545" spans="1:26" ht="18.75" hidden="1">
      <c r="A545" s="592"/>
      <c r="B545" s="750"/>
      <c r="C545" s="750"/>
      <c r="D545" s="750"/>
      <c r="E545" s="750" t="s">
        <v>184</v>
      </c>
      <c r="F545" s="750"/>
      <c r="G545" s="596"/>
      <c r="H545" s="165" t="s">
        <v>12</v>
      </c>
      <c r="I545" s="610"/>
      <c r="J545" s="610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597"/>
      <c r="R545" s="597"/>
      <c r="S545" s="597"/>
      <c r="T545" s="597"/>
      <c r="U545" s="597"/>
      <c r="V545" s="597"/>
      <c r="W545" s="597"/>
      <c r="X545" s="597"/>
      <c r="Y545" s="597"/>
      <c r="Z545" s="597"/>
    </row>
    <row r="546" spans="1:26" ht="18.75" hidden="1">
      <c r="A546" s="592"/>
      <c r="B546" s="600"/>
      <c r="C546" s="750"/>
      <c r="D546" s="750"/>
      <c r="E546" s="750" t="s">
        <v>185</v>
      </c>
      <c r="F546" s="750"/>
      <c r="G546" s="596"/>
      <c r="H546" s="165" t="s">
        <v>12</v>
      </c>
      <c r="I546" s="610"/>
      <c r="J546" s="610"/>
      <c r="K546" s="93"/>
      <c r="L546" s="93">
        <f t="shared" ca="1" si="239"/>
        <v>66000</v>
      </c>
      <c r="M546" s="93">
        <f t="shared" si="240"/>
        <v>0</v>
      </c>
      <c r="N546" s="93">
        <f t="shared" si="240"/>
        <v>0</v>
      </c>
      <c r="O546" s="93">
        <f t="shared" ca="1" si="237"/>
        <v>0</v>
      </c>
      <c r="P546" s="93">
        <f t="shared" si="238"/>
        <v>0</v>
      </c>
      <c r="Q546" s="597"/>
      <c r="R546" s="597"/>
      <c r="S546" s="597"/>
      <c r="T546" s="597"/>
      <c r="U546" s="597"/>
      <c r="V546" s="597"/>
      <c r="W546" s="597"/>
      <c r="X546" s="597"/>
      <c r="Y546" s="597"/>
      <c r="Z546" s="597"/>
    </row>
    <row r="547" spans="1:26" ht="18.75">
      <c r="A547" s="590"/>
      <c r="B547" s="568"/>
      <c r="C547" s="754"/>
      <c r="D547" s="599" t="s">
        <v>20</v>
      </c>
      <c r="E547" s="754"/>
      <c r="F547" s="754"/>
      <c r="G547" s="189"/>
      <c r="H547" s="161" t="s">
        <v>12</v>
      </c>
      <c r="I547" s="184"/>
      <c r="J547" s="184"/>
      <c r="K547" s="163"/>
      <c r="L547" s="496">
        <f t="shared" ref="L547:N547" ca="1" si="241">L548+L549</f>
        <v>66000</v>
      </c>
      <c r="M547" s="496">
        <f t="shared" si="241"/>
        <v>0</v>
      </c>
      <c r="N547" s="496">
        <f t="shared" si="241"/>
        <v>0</v>
      </c>
      <c r="O547" s="496">
        <f t="shared" ca="1" si="237"/>
        <v>0</v>
      </c>
      <c r="P547" s="496">
        <f t="shared" si="238"/>
        <v>0</v>
      </c>
      <c r="Q547" s="571"/>
      <c r="R547" s="571"/>
      <c r="S547" s="571"/>
      <c r="T547" s="571"/>
      <c r="U547" s="571"/>
      <c r="V547" s="571"/>
      <c r="W547" s="571"/>
      <c r="X547" s="571"/>
      <c r="Y547" s="571"/>
      <c r="Z547" s="571"/>
    </row>
    <row r="548" spans="1:26" ht="18.75" hidden="1">
      <c r="A548" s="592"/>
      <c r="B548" s="600"/>
      <c r="C548" s="750"/>
      <c r="D548" s="711"/>
      <c r="E548" s="750" t="s">
        <v>184</v>
      </c>
      <c r="F548" s="750"/>
      <c r="G548" s="596"/>
      <c r="H548" s="165" t="s">
        <v>12</v>
      </c>
      <c r="I548" s="610"/>
      <c r="J548" s="610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597"/>
      <c r="R548" s="597"/>
      <c r="S548" s="597"/>
      <c r="T548" s="597"/>
      <c r="U548" s="597"/>
      <c r="V548" s="597"/>
      <c r="W548" s="597"/>
      <c r="X548" s="597"/>
      <c r="Y548" s="597"/>
      <c r="Z548" s="597"/>
    </row>
    <row r="549" spans="1:26" ht="18.75" hidden="1">
      <c r="A549" s="592"/>
      <c r="B549" s="600"/>
      <c r="C549" s="750"/>
      <c r="D549" s="711"/>
      <c r="E549" s="750" t="s">
        <v>185</v>
      </c>
      <c r="F549" s="750"/>
      <c r="G549" s="596"/>
      <c r="H549" s="165" t="s">
        <v>12</v>
      </c>
      <c r="I549" s="610"/>
      <c r="J549" s="610"/>
      <c r="K549" s="93"/>
      <c r="L549" s="93">
        <f ca="1">IFERROR(__xludf.DUMMYFUNCTION("IMPORTRANGE(""https://docs.google.com/spreadsheets/d/1QqKyyYR6Q21VydFLVH3TRQUabQu_ym0Zz7PgGX0-kHA/edit?usp=sharing"",""แผน!HB59"")"),66000)</f>
        <v>66000</v>
      </c>
      <c r="M549" s="93">
        <v>0</v>
      </c>
      <c r="N549" s="93">
        <f>N550+N551+N552+N553+N554</f>
        <v>0</v>
      </c>
      <c r="O549" s="93">
        <f t="shared" ca="1" si="237"/>
        <v>0</v>
      </c>
      <c r="P549" s="93">
        <f t="shared" si="238"/>
        <v>0</v>
      </c>
      <c r="Q549" s="597"/>
      <c r="R549" s="597"/>
      <c r="S549" s="597"/>
      <c r="T549" s="597"/>
      <c r="U549" s="597"/>
      <c r="V549" s="597"/>
      <c r="W549" s="597"/>
      <c r="X549" s="597"/>
      <c r="Y549" s="597"/>
      <c r="Z549" s="597"/>
    </row>
    <row r="550" spans="1:26" ht="18.75">
      <c r="A550" s="567"/>
      <c r="B550" s="568"/>
      <c r="C550" s="754"/>
      <c r="D550" s="754"/>
      <c r="E550" s="754"/>
      <c r="F550" s="754" t="s">
        <v>186</v>
      </c>
      <c r="G550" s="189"/>
      <c r="H550" s="161" t="s">
        <v>12</v>
      </c>
      <c r="I550" s="269"/>
      <c r="J550" s="269"/>
      <c r="K550" s="496"/>
      <c r="L550" s="496"/>
      <c r="M550" s="496"/>
      <c r="N550" s="817">
        <v>0</v>
      </c>
      <c r="O550" s="496"/>
      <c r="P550" s="496"/>
      <c r="Q550" s="571"/>
      <c r="R550" s="571"/>
      <c r="S550" s="571"/>
      <c r="T550" s="571"/>
      <c r="U550" s="571"/>
      <c r="V550" s="571"/>
      <c r="W550" s="571"/>
      <c r="X550" s="571"/>
      <c r="Y550" s="571"/>
      <c r="Z550" s="571"/>
    </row>
    <row r="551" spans="1:26" ht="18.75">
      <c r="A551" s="567"/>
      <c r="B551" s="568"/>
      <c r="C551" s="568"/>
      <c r="D551" s="568"/>
      <c r="E551" s="754"/>
      <c r="F551" s="754" t="s">
        <v>187</v>
      </c>
      <c r="G551" s="189"/>
      <c r="H551" s="161" t="s">
        <v>12</v>
      </c>
      <c r="I551" s="269"/>
      <c r="J551" s="269"/>
      <c r="K551" s="496"/>
      <c r="L551" s="496"/>
      <c r="M551" s="496"/>
      <c r="N551" s="817">
        <v>0</v>
      </c>
      <c r="O551" s="496"/>
      <c r="P551" s="496"/>
      <c r="Q551" s="571"/>
      <c r="R551" s="571"/>
      <c r="S551" s="571"/>
      <c r="T551" s="571"/>
      <c r="U551" s="571"/>
      <c r="V551" s="571"/>
      <c r="W551" s="571"/>
      <c r="X551" s="571"/>
      <c r="Y551" s="571"/>
      <c r="Z551" s="571"/>
    </row>
    <row r="552" spans="1:26" ht="18.75">
      <c r="A552" s="567"/>
      <c r="B552" s="568"/>
      <c r="C552" s="754"/>
      <c r="D552" s="754"/>
      <c r="E552" s="754"/>
      <c r="F552" s="754" t="s">
        <v>188</v>
      </c>
      <c r="G552" s="189"/>
      <c r="H552" s="161" t="s">
        <v>12</v>
      </c>
      <c r="I552" s="269"/>
      <c r="J552" s="269"/>
      <c r="K552" s="496"/>
      <c r="L552" s="496"/>
      <c r="M552" s="496"/>
      <c r="N552" s="817">
        <v>0</v>
      </c>
      <c r="O552" s="496"/>
      <c r="P552" s="496"/>
      <c r="Q552" s="571"/>
      <c r="R552" s="571"/>
      <c r="S552" s="571"/>
      <c r="T552" s="571"/>
      <c r="U552" s="571"/>
      <c r="V552" s="571"/>
      <c r="W552" s="571"/>
      <c r="X552" s="571"/>
      <c r="Y552" s="571"/>
      <c r="Z552" s="571"/>
    </row>
    <row r="553" spans="1:26" ht="18.75">
      <c r="A553" s="567"/>
      <c r="B553" s="568"/>
      <c r="C553" s="568"/>
      <c r="D553" s="568"/>
      <c r="E553" s="754"/>
      <c r="F553" s="754" t="s">
        <v>189</v>
      </c>
      <c r="G553" s="189"/>
      <c r="H553" s="161" t="s">
        <v>12</v>
      </c>
      <c r="I553" s="269"/>
      <c r="J553" s="269"/>
      <c r="K553" s="496"/>
      <c r="L553" s="496"/>
      <c r="M553" s="496"/>
      <c r="N553" s="817">
        <v>0</v>
      </c>
      <c r="O553" s="496"/>
      <c r="P553" s="496"/>
      <c r="Q553" s="571"/>
      <c r="R553" s="571"/>
      <c r="S553" s="571"/>
      <c r="T553" s="571"/>
      <c r="U553" s="571"/>
      <c r="V553" s="571"/>
      <c r="W553" s="571"/>
      <c r="X553" s="571"/>
      <c r="Y553" s="571"/>
      <c r="Z553" s="571"/>
    </row>
    <row r="554" spans="1:26" ht="18.75">
      <c r="A554" s="567"/>
      <c r="B554" s="568"/>
      <c r="C554" s="568"/>
      <c r="D554" s="568"/>
      <c r="E554" s="754"/>
      <c r="F554" s="754" t="s">
        <v>233</v>
      </c>
      <c r="G554" s="189"/>
      <c r="H554" s="161" t="s">
        <v>12</v>
      </c>
      <c r="I554" s="269"/>
      <c r="J554" s="269"/>
      <c r="K554" s="496"/>
      <c r="L554" s="496"/>
      <c r="M554" s="496"/>
      <c r="N554" s="817">
        <v>0</v>
      </c>
      <c r="O554" s="496"/>
      <c r="P554" s="496"/>
      <c r="Q554" s="571"/>
      <c r="R554" s="571"/>
      <c r="S554" s="571"/>
      <c r="T554" s="571"/>
      <c r="U554" s="571"/>
      <c r="V554" s="571"/>
      <c r="W554" s="571"/>
      <c r="X554" s="571"/>
      <c r="Y554" s="571"/>
      <c r="Z554" s="571"/>
    </row>
    <row r="555" spans="1:26" ht="18.75">
      <c r="A555" s="590"/>
      <c r="B555" s="568"/>
      <c r="C555" s="568"/>
      <c r="D555" s="599" t="s">
        <v>21</v>
      </c>
      <c r="E555" s="754"/>
      <c r="F555" s="754"/>
      <c r="G555" s="189"/>
      <c r="H555" s="168" t="s">
        <v>12</v>
      </c>
      <c r="I555" s="184"/>
      <c r="J555" s="184"/>
      <c r="K555" s="163"/>
      <c r="L555" s="496">
        <f t="shared" ref="L555:N555" ca="1" si="242">L556+L557</f>
        <v>0</v>
      </c>
      <c r="M555" s="496">
        <f t="shared" si="242"/>
        <v>0</v>
      </c>
      <c r="N555" s="496">
        <f t="shared" si="242"/>
        <v>0</v>
      </c>
      <c r="O555" s="496">
        <f t="shared" ref="O555:O557" ca="1" si="243">IF(L555&gt;0,N555*100/L555,0)</f>
        <v>0</v>
      </c>
      <c r="P555" s="496">
        <f t="shared" ref="P555:P557" si="244">IF(M555&gt;0,N555*100/M555,0)</f>
        <v>0</v>
      </c>
      <c r="Q555" s="571"/>
      <c r="R555" s="571"/>
      <c r="S555" s="571"/>
      <c r="T555" s="571"/>
      <c r="U555" s="571"/>
      <c r="V555" s="571"/>
      <c r="W555" s="571"/>
      <c r="X555" s="571"/>
      <c r="Y555" s="571"/>
      <c r="Z555" s="571"/>
    </row>
    <row r="556" spans="1:26" ht="18.75" hidden="1">
      <c r="A556" s="592"/>
      <c r="B556" s="600"/>
      <c r="C556" s="600"/>
      <c r="D556" s="750"/>
      <c r="E556" s="750" t="s">
        <v>18</v>
      </c>
      <c r="F556" s="750"/>
      <c r="G556" s="596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597"/>
      <c r="R556" s="597"/>
      <c r="S556" s="597"/>
      <c r="T556" s="597"/>
      <c r="U556" s="597"/>
      <c r="V556" s="597"/>
      <c r="W556" s="597"/>
      <c r="X556" s="597"/>
      <c r="Y556" s="597"/>
      <c r="Z556" s="597"/>
    </row>
    <row r="557" spans="1:26" ht="18.75" hidden="1">
      <c r="A557" s="592"/>
      <c r="B557" s="600"/>
      <c r="C557" s="600"/>
      <c r="D557" s="750"/>
      <c r="E557" s="750" t="s">
        <v>19</v>
      </c>
      <c r="F557" s="750"/>
      <c r="G557" s="596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IFERROR(__xludf.DUMMYFUNCTION("IMPORTRANGE(""https://docs.google.com/spreadsheets/d/1QqKyyYR6Q21VydFLVH3TRQUabQu_ym0Zz7PgGX0-kHA/edit?usp=sharing"",""แผน!HF59"")"),0)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597"/>
      <c r="R557" s="597"/>
      <c r="S557" s="597"/>
      <c r="T557" s="597"/>
      <c r="U557" s="597"/>
      <c r="V557" s="597"/>
      <c r="W557" s="597"/>
      <c r="X557" s="597"/>
      <c r="Y557" s="597"/>
      <c r="Z557" s="597"/>
    </row>
    <row r="558" spans="1:26" ht="19.5">
      <c r="A558" s="601"/>
      <c r="B558" s="611"/>
      <c r="C558" s="568" t="s">
        <v>16</v>
      </c>
      <c r="D558" s="839" t="s">
        <v>38</v>
      </c>
      <c r="E558" s="752"/>
      <c r="F558" s="752"/>
      <c r="G558" s="606"/>
      <c r="H558" s="753"/>
      <c r="I558" s="184"/>
      <c r="J558" s="184"/>
      <c r="K558" s="163"/>
      <c r="L558" s="163"/>
      <c r="M558" s="163"/>
      <c r="N558" s="163"/>
      <c r="O558" s="163"/>
      <c r="P558" s="163"/>
      <c r="Q558" s="571"/>
      <c r="R558" s="571"/>
      <c r="S558" s="571"/>
      <c r="T558" s="571"/>
      <c r="U558" s="571"/>
      <c r="V558" s="571"/>
      <c r="W558" s="571"/>
      <c r="X558" s="571"/>
      <c r="Y558" s="571"/>
      <c r="Z558" s="571"/>
    </row>
    <row r="559" spans="1:26" ht="19.5" hidden="1">
      <c r="A559" s="685"/>
      <c r="B559" s="686" t="s">
        <v>234</v>
      </c>
      <c r="C559" s="687"/>
      <c r="D559" s="687"/>
      <c r="E559" s="666"/>
      <c r="F559" s="666"/>
      <c r="G559" s="667"/>
      <c r="H559" s="688" t="s">
        <v>46</v>
      </c>
      <c r="I559" s="699">
        <f t="shared" ref="I559:J559" ca="1" si="245">I576</f>
        <v>0</v>
      </c>
      <c r="J559" s="699">
        <f t="shared" si="245"/>
        <v>0</v>
      </c>
      <c r="K559" s="670">
        <f t="shared" ref="K559:K561" ca="1" si="246">IF(I559&gt;0,J559*100/I559,0)</f>
        <v>0</v>
      </c>
      <c r="L559" s="671"/>
      <c r="M559" s="671"/>
      <c r="N559" s="671"/>
      <c r="O559" s="671"/>
      <c r="P559" s="671"/>
      <c r="Q559" s="571"/>
      <c r="R559" s="571"/>
      <c r="S559" s="571"/>
      <c r="T559" s="571"/>
      <c r="U559" s="571"/>
      <c r="V559" s="571"/>
      <c r="W559" s="571"/>
      <c r="X559" s="571"/>
      <c r="Y559" s="571"/>
      <c r="Z559" s="571"/>
    </row>
    <row r="560" spans="1:26" ht="19.5" hidden="1">
      <c r="A560" s="601"/>
      <c r="B560" s="611"/>
      <c r="C560" s="618" t="s">
        <v>235</v>
      </c>
      <c r="D560" s="611"/>
      <c r="E560" s="619"/>
      <c r="F560" s="619"/>
      <c r="G560" s="753"/>
      <c r="H560" s="758" t="s">
        <v>46</v>
      </c>
      <c r="I560" s="193">
        <f ca="1">IFERROR(__xludf.DUMMYFUNCTION("IMPORTRANGE(""https://docs.google.com/spreadsheets/d/1QqKyyYR6Q21VydFLVH3TRQUabQu_ym0Zz7PgGX0-kHA/edit?usp=sharing"",""แผน!HH59"")"),0)</f>
        <v>0</v>
      </c>
      <c r="J560" s="193">
        <f t="shared" ref="J560:J561" si="247">J562+J564+J566</f>
        <v>0</v>
      </c>
      <c r="K560" s="410">
        <f t="shared" ca="1" si="246"/>
        <v>0</v>
      </c>
      <c r="L560" s="163"/>
      <c r="M560" s="163"/>
      <c r="N560" s="163"/>
      <c r="O560" s="163"/>
      <c r="P560" s="163"/>
      <c r="Q560" s="571"/>
      <c r="R560" s="571"/>
      <c r="S560" s="571"/>
      <c r="T560" s="571"/>
      <c r="U560" s="571"/>
      <c r="V560" s="571"/>
      <c r="W560" s="571"/>
      <c r="X560" s="571"/>
      <c r="Y560" s="571"/>
      <c r="Z560" s="571"/>
    </row>
    <row r="561" spans="1:26" ht="19.5" hidden="1">
      <c r="A561" s="601"/>
      <c r="B561" s="611"/>
      <c r="C561" s="611"/>
      <c r="D561" s="619"/>
      <c r="E561" s="619"/>
      <c r="F561" s="619"/>
      <c r="G561" s="753"/>
      <c r="H561" s="758" t="s">
        <v>34</v>
      </c>
      <c r="I561" s="193">
        <f ca="1">IFERROR(__xludf.DUMMYFUNCTION("IMPORTRANGE(""https://docs.google.com/spreadsheets/d/1QqKyyYR6Q21VydFLVH3TRQUabQu_ym0Zz7PgGX0-kHA/edit?usp=sharing"",""แผน!HG59"")"),0)</f>
        <v>0</v>
      </c>
      <c r="J561" s="193">
        <f t="shared" si="247"/>
        <v>0</v>
      </c>
      <c r="K561" s="410">
        <f t="shared" ca="1" si="246"/>
        <v>0</v>
      </c>
      <c r="L561" s="163"/>
      <c r="M561" s="163"/>
      <c r="N561" s="163"/>
      <c r="O561" s="163"/>
      <c r="P561" s="163"/>
      <c r="Q561" s="571"/>
      <c r="R561" s="571"/>
      <c r="S561" s="571"/>
      <c r="T561" s="571"/>
      <c r="U561" s="571"/>
      <c r="V561" s="571"/>
      <c r="W561" s="571"/>
      <c r="X561" s="571"/>
      <c r="Y561" s="571"/>
      <c r="Z561" s="571"/>
    </row>
    <row r="562" spans="1:26" ht="18.75" hidden="1">
      <c r="A562" s="601"/>
      <c r="B562" s="611"/>
      <c r="C562" s="611"/>
      <c r="D562" s="619" t="s">
        <v>236</v>
      </c>
      <c r="E562" s="619"/>
      <c r="F562" s="619"/>
      <c r="G562" s="753"/>
      <c r="H562" s="755" t="s">
        <v>46</v>
      </c>
      <c r="I562" s="184"/>
      <c r="J562" s="214">
        <v>0</v>
      </c>
      <c r="K562" s="163"/>
      <c r="L562" s="163"/>
      <c r="M562" s="163"/>
      <c r="N562" s="163"/>
      <c r="O562" s="163"/>
      <c r="P562" s="163"/>
      <c r="Q562" s="571"/>
      <c r="R562" s="571"/>
      <c r="S562" s="571"/>
      <c r="T562" s="571"/>
      <c r="U562" s="571"/>
      <c r="V562" s="571"/>
      <c r="W562" s="571"/>
      <c r="X562" s="571"/>
      <c r="Y562" s="571"/>
      <c r="Z562" s="571"/>
    </row>
    <row r="563" spans="1:26" ht="18.75" hidden="1">
      <c r="A563" s="601"/>
      <c r="B563" s="611"/>
      <c r="C563" s="611"/>
      <c r="D563" s="611"/>
      <c r="E563" s="619"/>
      <c r="F563" s="619"/>
      <c r="G563" s="753"/>
      <c r="H563" s="755" t="s">
        <v>34</v>
      </c>
      <c r="I563" s="184"/>
      <c r="J563" s="214">
        <v>0</v>
      </c>
      <c r="K563" s="163"/>
      <c r="L563" s="163"/>
      <c r="M563" s="163"/>
      <c r="N563" s="163"/>
      <c r="O563" s="163"/>
      <c r="P563" s="163"/>
      <c r="Q563" s="571"/>
      <c r="R563" s="571"/>
      <c r="S563" s="571"/>
      <c r="T563" s="571"/>
      <c r="U563" s="571"/>
      <c r="V563" s="571"/>
      <c r="W563" s="571"/>
      <c r="X563" s="571"/>
      <c r="Y563" s="571"/>
      <c r="Z563" s="571"/>
    </row>
    <row r="564" spans="1:26" ht="18.75" hidden="1">
      <c r="A564" s="601"/>
      <c r="B564" s="611"/>
      <c r="C564" s="611"/>
      <c r="D564" s="619" t="s">
        <v>237</v>
      </c>
      <c r="E564" s="619"/>
      <c r="F564" s="619"/>
      <c r="G564" s="753"/>
      <c r="H564" s="755" t="s">
        <v>46</v>
      </c>
      <c r="I564" s="184"/>
      <c r="J564" s="214">
        <v>0</v>
      </c>
      <c r="K564" s="163"/>
      <c r="L564" s="163"/>
      <c r="M564" s="163"/>
      <c r="N564" s="163"/>
      <c r="O564" s="163"/>
      <c r="P564" s="163"/>
      <c r="Q564" s="571"/>
      <c r="R564" s="571"/>
      <c r="S564" s="571"/>
      <c r="T564" s="571"/>
      <c r="U564" s="571"/>
      <c r="V564" s="571"/>
      <c r="W564" s="571"/>
      <c r="X564" s="571"/>
      <c r="Y564" s="571"/>
      <c r="Z564" s="571"/>
    </row>
    <row r="565" spans="1:26" ht="18.75" hidden="1">
      <c r="A565" s="601"/>
      <c r="B565" s="611"/>
      <c r="C565" s="611"/>
      <c r="D565" s="619"/>
      <c r="E565" s="619"/>
      <c r="F565" s="619"/>
      <c r="G565" s="753"/>
      <c r="H565" s="755" t="s">
        <v>34</v>
      </c>
      <c r="I565" s="184"/>
      <c r="J565" s="214">
        <v>0</v>
      </c>
      <c r="K565" s="163"/>
      <c r="L565" s="163"/>
      <c r="M565" s="163"/>
      <c r="N565" s="163"/>
      <c r="O565" s="163"/>
      <c r="P565" s="163"/>
      <c r="Q565" s="571"/>
      <c r="R565" s="571"/>
      <c r="S565" s="571"/>
      <c r="T565" s="571"/>
      <c r="U565" s="571"/>
      <c r="V565" s="571"/>
      <c r="W565" s="571"/>
      <c r="X565" s="571"/>
      <c r="Y565" s="571"/>
      <c r="Z565" s="571"/>
    </row>
    <row r="566" spans="1:26" ht="18.75" hidden="1">
      <c r="A566" s="601"/>
      <c r="B566" s="611"/>
      <c r="C566" s="611"/>
      <c r="D566" s="619" t="s">
        <v>238</v>
      </c>
      <c r="E566" s="619"/>
      <c r="F566" s="619"/>
      <c r="G566" s="753"/>
      <c r="H566" s="755" t="s">
        <v>46</v>
      </c>
      <c r="I566" s="184"/>
      <c r="J566" s="214">
        <v>0</v>
      </c>
      <c r="K566" s="163"/>
      <c r="L566" s="163"/>
      <c r="M566" s="163"/>
      <c r="N566" s="163"/>
      <c r="O566" s="163"/>
      <c r="P566" s="163"/>
      <c r="Q566" s="571"/>
      <c r="R566" s="571"/>
      <c r="S566" s="571"/>
      <c r="T566" s="571"/>
      <c r="U566" s="571"/>
      <c r="V566" s="571"/>
      <c r="W566" s="571"/>
      <c r="X566" s="571"/>
      <c r="Y566" s="571"/>
      <c r="Z566" s="571"/>
    </row>
    <row r="567" spans="1:26" ht="18.75" hidden="1">
      <c r="A567" s="601"/>
      <c r="B567" s="611"/>
      <c r="C567" s="611"/>
      <c r="D567" s="619"/>
      <c r="E567" s="619"/>
      <c r="F567" s="619"/>
      <c r="G567" s="753"/>
      <c r="H567" s="755" t="s">
        <v>34</v>
      </c>
      <c r="I567" s="184"/>
      <c r="J567" s="214">
        <v>0</v>
      </c>
      <c r="K567" s="163"/>
      <c r="L567" s="163"/>
      <c r="M567" s="163"/>
      <c r="N567" s="163"/>
      <c r="O567" s="163"/>
      <c r="P567" s="163"/>
      <c r="Q567" s="571"/>
      <c r="R567" s="571"/>
      <c r="S567" s="571"/>
      <c r="T567" s="571"/>
      <c r="U567" s="571"/>
      <c r="V567" s="571"/>
      <c r="W567" s="571"/>
      <c r="X567" s="571"/>
      <c r="Y567" s="571"/>
      <c r="Z567" s="571"/>
    </row>
    <row r="568" spans="1:26" ht="19.5" hidden="1">
      <c r="A568" s="601"/>
      <c r="B568" s="611"/>
      <c r="C568" s="618" t="s">
        <v>239</v>
      </c>
      <c r="D568" s="619"/>
      <c r="E568" s="619"/>
      <c r="F568" s="619"/>
      <c r="G568" s="753"/>
      <c r="H568" s="758" t="s">
        <v>46</v>
      </c>
      <c r="I568" s="193">
        <f ca="1">IFERROR(__xludf.DUMMYFUNCTION("IMPORTRANGE(""https://docs.google.com/spreadsheets/d/1QqKyyYR6Q21VydFLVH3TRQUabQu_ym0Zz7PgGX0-kHA/edit?usp=sharing"",""แผน!HH59"")"),0)</f>
        <v>0</v>
      </c>
      <c r="J568" s="674">
        <f t="shared" ref="J568:J569" si="248">J570+J572+J574</f>
        <v>0</v>
      </c>
      <c r="K568" s="410">
        <f t="shared" ref="K568:K569" ca="1" si="249">IF(I568&gt;0,J568*100/I568,0)</f>
        <v>0</v>
      </c>
      <c r="L568" s="163"/>
      <c r="M568" s="163"/>
      <c r="N568" s="163"/>
      <c r="O568" s="163"/>
      <c r="P568" s="163"/>
      <c r="Q568" s="571"/>
      <c r="R568" s="571"/>
      <c r="S568" s="571"/>
      <c r="T568" s="571"/>
      <c r="U568" s="571"/>
      <c r="V568" s="571"/>
      <c r="W568" s="571"/>
      <c r="X568" s="571"/>
      <c r="Y568" s="571"/>
      <c r="Z568" s="571"/>
    </row>
    <row r="569" spans="1:26" ht="19.5" hidden="1">
      <c r="A569" s="601"/>
      <c r="B569" s="611"/>
      <c r="C569" s="611"/>
      <c r="D569" s="611"/>
      <c r="E569" s="619"/>
      <c r="F569" s="619"/>
      <c r="G569" s="753"/>
      <c r="H569" s="758" t="s">
        <v>34</v>
      </c>
      <c r="I569" s="193">
        <f ca="1">IFERROR(__xludf.DUMMYFUNCTION("IMPORTRANGE(""https://docs.google.com/spreadsheets/d/1QqKyyYR6Q21VydFLVH3TRQUabQu_ym0Zz7PgGX0-kHA/edit?usp=sharing"",""แผน!HG59"")"),0)</f>
        <v>0</v>
      </c>
      <c r="J569" s="674">
        <f t="shared" si="248"/>
        <v>0</v>
      </c>
      <c r="K569" s="410">
        <f t="shared" ca="1" si="249"/>
        <v>0</v>
      </c>
      <c r="L569" s="163"/>
      <c r="M569" s="163"/>
      <c r="N569" s="163"/>
      <c r="O569" s="163"/>
      <c r="P569" s="163"/>
      <c r="Q569" s="571"/>
      <c r="R569" s="571"/>
      <c r="S569" s="571"/>
      <c r="T569" s="571"/>
      <c r="U569" s="571"/>
      <c r="V569" s="571"/>
      <c r="W569" s="571"/>
      <c r="X569" s="571"/>
      <c r="Y569" s="571"/>
      <c r="Z569" s="571"/>
    </row>
    <row r="570" spans="1:26" ht="18.75" hidden="1">
      <c r="A570" s="601"/>
      <c r="B570" s="611"/>
      <c r="C570" s="611"/>
      <c r="D570" s="619" t="s">
        <v>240</v>
      </c>
      <c r="E570" s="611"/>
      <c r="F570" s="619"/>
      <c r="G570" s="753"/>
      <c r="H570" s="755" t="s">
        <v>46</v>
      </c>
      <c r="I570" s="184"/>
      <c r="J570" s="214">
        <v>0</v>
      </c>
      <c r="K570" s="163"/>
      <c r="L570" s="163"/>
      <c r="M570" s="163"/>
      <c r="N570" s="163"/>
      <c r="O570" s="163"/>
      <c r="P570" s="163"/>
      <c r="Q570" s="571"/>
      <c r="R570" s="571"/>
      <c r="S570" s="571"/>
      <c r="T570" s="571"/>
      <c r="U570" s="571"/>
      <c r="V570" s="571"/>
      <c r="W570" s="571"/>
      <c r="X570" s="571"/>
      <c r="Y570" s="571"/>
      <c r="Z570" s="571"/>
    </row>
    <row r="571" spans="1:26" ht="18.75" hidden="1">
      <c r="A571" s="601"/>
      <c r="B571" s="611"/>
      <c r="C571" s="611"/>
      <c r="D571" s="611"/>
      <c r="E571" s="619"/>
      <c r="F571" s="619"/>
      <c r="G571" s="753"/>
      <c r="H571" s="755" t="s">
        <v>34</v>
      </c>
      <c r="I571" s="184"/>
      <c r="J571" s="214">
        <v>0</v>
      </c>
      <c r="K571" s="163"/>
      <c r="L571" s="163"/>
      <c r="M571" s="163"/>
      <c r="N571" s="163"/>
      <c r="O571" s="163"/>
      <c r="P571" s="163"/>
      <c r="Q571" s="571"/>
      <c r="R571" s="571"/>
      <c r="S571" s="571"/>
      <c r="T571" s="571"/>
      <c r="U571" s="571"/>
      <c r="V571" s="571"/>
      <c r="W571" s="571"/>
      <c r="X571" s="571"/>
      <c r="Y571" s="571"/>
      <c r="Z571" s="571"/>
    </row>
    <row r="572" spans="1:26" ht="18.75" hidden="1">
      <c r="A572" s="601"/>
      <c r="B572" s="611"/>
      <c r="C572" s="611"/>
      <c r="D572" s="619" t="s">
        <v>241</v>
      </c>
      <c r="E572" s="619"/>
      <c r="F572" s="619"/>
      <c r="G572" s="753"/>
      <c r="H572" s="755" t="s">
        <v>46</v>
      </c>
      <c r="I572" s="184"/>
      <c r="J572" s="214">
        <v>0</v>
      </c>
      <c r="K572" s="163"/>
      <c r="L572" s="163"/>
      <c r="M572" s="163"/>
      <c r="N572" s="163"/>
      <c r="O572" s="163"/>
      <c r="P572" s="163"/>
      <c r="Q572" s="571"/>
      <c r="R572" s="571"/>
      <c r="S572" s="571"/>
      <c r="T572" s="571"/>
      <c r="U572" s="571"/>
      <c r="V572" s="571"/>
      <c r="W572" s="571"/>
      <c r="X572" s="571"/>
      <c r="Y572" s="571"/>
      <c r="Z572" s="571"/>
    </row>
    <row r="573" spans="1:26" ht="18.75" hidden="1">
      <c r="A573" s="601"/>
      <c r="B573" s="611"/>
      <c r="C573" s="611"/>
      <c r="D573" s="619"/>
      <c r="E573" s="619"/>
      <c r="F573" s="619"/>
      <c r="G573" s="753"/>
      <c r="H573" s="755" t="s">
        <v>34</v>
      </c>
      <c r="I573" s="184"/>
      <c r="J573" s="214">
        <v>0</v>
      </c>
      <c r="K573" s="163"/>
      <c r="L573" s="163"/>
      <c r="M573" s="163"/>
      <c r="N573" s="163"/>
      <c r="O573" s="163"/>
      <c r="P573" s="163"/>
      <c r="Q573" s="571"/>
      <c r="R573" s="571"/>
      <c r="S573" s="571"/>
      <c r="T573" s="571"/>
      <c r="U573" s="571"/>
      <c r="V573" s="571"/>
      <c r="W573" s="571"/>
      <c r="X573" s="571"/>
      <c r="Y573" s="571"/>
      <c r="Z573" s="571"/>
    </row>
    <row r="574" spans="1:26" ht="18.75" hidden="1">
      <c r="A574" s="601"/>
      <c r="B574" s="611"/>
      <c r="C574" s="611"/>
      <c r="D574" s="619" t="s">
        <v>242</v>
      </c>
      <c r="E574" s="619"/>
      <c r="F574" s="619"/>
      <c r="G574" s="753"/>
      <c r="H574" s="755" t="s">
        <v>46</v>
      </c>
      <c r="I574" s="184"/>
      <c r="J574" s="214">
        <v>0</v>
      </c>
      <c r="K574" s="163"/>
      <c r="L574" s="163"/>
      <c r="M574" s="163"/>
      <c r="N574" s="163"/>
      <c r="O574" s="163"/>
      <c r="P574" s="163"/>
      <c r="Q574" s="571"/>
      <c r="R574" s="571"/>
      <c r="S574" s="571"/>
      <c r="T574" s="571"/>
      <c r="U574" s="571"/>
      <c r="V574" s="571"/>
      <c r="W574" s="571"/>
      <c r="X574" s="571"/>
      <c r="Y574" s="571"/>
      <c r="Z574" s="571"/>
    </row>
    <row r="575" spans="1:26" ht="18.75" hidden="1">
      <c r="A575" s="601"/>
      <c r="B575" s="611"/>
      <c r="C575" s="611"/>
      <c r="D575" s="611"/>
      <c r="E575" s="619"/>
      <c r="F575" s="619"/>
      <c r="G575" s="753"/>
      <c r="H575" s="755" t="s">
        <v>34</v>
      </c>
      <c r="I575" s="184"/>
      <c r="J575" s="214">
        <v>0</v>
      </c>
      <c r="K575" s="163"/>
      <c r="L575" s="163"/>
      <c r="M575" s="163"/>
      <c r="N575" s="163"/>
      <c r="O575" s="163"/>
      <c r="P575" s="163"/>
      <c r="Q575" s="571"/>
      <c r="R575" s="571"/>
      <c r="S575" s="571"/>
      <c r="T575" s="571"/>
      <c r="U575" s="571"/>
      <c r="V575" s="571"/>
      <c r="W575" s="571"/>
      <c r="X575" s="571"/>
      <c r="Y575" s="571"/>
      <c r="Z575" s="571"/>
    </row>
    <row r="576" spans="1:26" ht="19.5" hidden="1">
      <c r="A576" s="601"/>
      <c r="B576" s="611"/>
      <c r="C576" s="618" t="s">
        <v>243</v>
      </c>
      <c r="D576" s="611"/>
      <c r="E576" s="611"/>
      <c r="F576" s="619"/>
      <c r="G576" s="753"/>
      <c r="H576" s="758" t="s">
        <v>46</v>
      </c>
      <c r="I576" s="193">
        <f ca="1">IFERROR(__xludf.DUMMYFUNCTION("IMPORTRANGE(""https://docs.google.com/spreadsheets/d/1QqKyyYR6Q21VydFLVH3TRQUabQu_ym0Zz7PgGX0-kHA/edit?usp=sharing"",""แผน!HH59"")"),0)</f>
        <v>0</v>
      </c>
      <c r="J576" s="674">
        <f t="shared" ref="J576:J577" si="250">J578+J580+J582+J588+J590</f>
        <v>0</v>
      </c>
      <c r="K576" s="410">
        <f t="shared" ref="K576:K577" ca="1" si="251">IF(I576&gt;0,J576*100/I576,0)</f>
        <v>0</v>
      </c>
      <c r="L576" s="163"/>
      <c r="M576" s="163"/>
      <c r="N576" s="163"/>
      <c r="O576" s="163"/>
      <c r="P576" s="163"/>
      <c r="Q576" s="571"/>
      <c r="R576" s="571"/>
      <c r="S576" s="571"/>
      <c r="T576" s="571"/>
      <c r="U576" s="571"/>
      <c r="V576" s="571"/>
      <c r="W576" s="571"/>
      <c r="X576" s="571"/>
      <c r="Y576" s="571"/>
      <c r="Z576" s="571"/>
    </row>
    <row r="577" spans="1:26" ht="19.5" hidden="1">
      <c r="A577" s="601"/>
      <c r="B577" s="611"/>
      <c r="C577" s="611"/>
      <c r="D577" s="611"/>
      <c r="E577" s="619"/>
      <c r="F577" s="619"/>
      <c r="G577" s="753"/>
      <c r="H577" s="758" t="s">
        <v>34</v>
      </c>
      <c r="I577" s="193">
        <f ca="1">IFERROR(__xludf.DUMMYFUNCTION("IMPORTRANGE(""https://docs.google.com/spreadsheets/d/1QqKyyYR6Q21VydFLVH3TRQUabQu_ym0Zz7PgGX0-kHA/edit?usp=sharing"",""แผน!HG59"")"),0)</f>
        <v>0</v>
      </c>
      <c r="J577" s="674">
        <f t="shared" si="250"/>
        <v>0</v>
      </c>
      <c r="K577" s="410">
        <f t="shared" ca="1" si="251"/>
        <v>0</v>
      </c>
      <c r="L577" s="163"/>
      <c r="M577" s="163"/>
      <c r="N577" s="163"/>
      <c r="O577" s="163"/>
      <c r="P577" s="163"/>
      <c r="Q577" s="571"/>
      <c r="R577" s="571"/>
      <c r="S577" s="571"/>
      <c r="T577" s="571"/>
      <c r="U577" s="571"/>
      <c r="V577" s="571"/>
      <c r="W577" s="571"/>
      <c r="X577" s="571"/>
      <c r="Y577" s="571"/>
      <c r="Z577" s="571"/>
    </row>
    <row r="578" spans="1:26" ht="18.75" hidden="1">
      <c r="A578" s="601"/>
      <c r="B578" s="611"/>
      <c r="C578" s="611"/>
      <c r="D578" s="619" t="s">
        <v>244</v>
      </c>
      <c r="E578" s="619"/>
      <c r="F578" s="619"/>
      <c r="G578" s="753"/>
      <c r="H578" s="755" t="s">
        <v>46</v>
      </c>
      <c r="I578" s="184"/>
      <c r="J578" s="214">
        <v>0</v>
      </c>
      <c r="K578" s="163"/>
      <c r="L578" s="163"/>
      <c r="M578" s="163"/>
      <c r="N578" s="163"/>
      <c r="O578" s="163"/>
      <c r="P578" s="163"/>
      <c r="Q578" s="571"/>
      <c r="R578" s="571"/>
      <c r="S578" s="571"/>
      <c r="T578" s="571"/>
      <c r="U578" s="571"/>
      <c r="V578" s="571"/>
      <c r="W578" s="571"/>
      <c r="X578" s="571"/>
      <c r="Y578" s="571"/>
      <c r="Z578" s="571"/>
    </row>
    <row r="579" spans="1:26" ht="18.75" hidden="1">
      <c r="A579" s="601"/>
      <c r="B579" s="611"/>
      <c r="C579" s="611"/>
      <c r="D579" s="611"/>
      <c r="E579" s="619"/>
      <c r="F579" s="619"/>
      <c r="G579" s="753"/>
      <c r="H579" s="755" t="s">
        <v>34</v>
      </c>
      <c r="I579" s="184"/>
      <c r="J579" s="214">
        <v>0</v>
      </c>
      <c r="K579" s="163"/>
      <c r="L579" s="163"/>
      <c r="M579" s="163"/>
      <c r="N579" s="163"/>
      <c r="O579" s="163"/>
      <c r="P579" s="163"/>
      <c r="Q579" s="571"/>
      <c r="R579" s="571"/>
      <c r="S579" s="571"/>
      <c r="T579" s="571"/>
      <c r="U579" s="571"/>
      <c r="V579" s="571"/>
      <c r="W579" s="571"/>
      <c r="X579" s="571"/>
      <c r="Y579" s="571"/>
      <c r="Z579" s="571"/>
    </row>
    <row r="580" spans="1:26" ht="18.75" hidden="1">
      <c r="A580" s="601"/>
      <c r="B580" s="611"/>
      <c r="C580" s="611"/>
      <c r="D580" s="619" t="s">
        <v>245</v>
      </c>
      <c r="E580" s="619"/>
      <c r="F580" s="619"/>
      <c r="G580" s="753"/>
      <c r="H580" s="755" t="s">
        <v>46</v>
      </c>
      <c r="I580" s="184"/>
      <c r="J580" s="214">
        <v>0</v>
      </c>
      <c r="K580" s="163"/>
      <c r="L580" s="163"/>
      <c r="M580" s="163"/>
      <c r="N580" s="163"/>
      <c r="O580" s="163"/>
      <c r="P580" s="163"/>
      <c r="Q580" s="571"/>
      <c r="R580" s="571"/>
      <c r="S580" s="571"/>
      <c r="T580" s="571"/>
      <c r="U580" s="571"/>
      <c r="V580" s="571"/>
      <c r="W580" s="571"/>
      <c r="X580" s="571"/>
      <c r="Y580" s="571"/>
      <c r="Z580" s="571"/>
    </row>
    <row r="581" spans="1:26" ht="18.75" hidden="1">
      <c r="A581" s="601"/>
      <c r="B581" s="611"/>
      <c r="C581" s="611"/>
      <c r="D581" s="611"/>
      <c r="E581" s="619"/>
      <c r="F581" s="619"/>
      <c r="G581" s="753"/>
      <c r="H581" s="755" t="s">
        <v>34</v>
      </c>
      <c r="I581" s="184"/>
      <c r="J581" s="214">
        <v>0</v>
      </c>
      <c r="K581" s="163"/>
      <c r="L581" s="163"/>
      <c r="M581" s="163"/>
      <c r="N581" s="163"/>
      <c r="O581" s="163"/>
      <c r="P581" s="163"/>
      <c r="Q581" s="571"/>
      <c r="R581" s="571"/>
      <c r="S581" s="571"/>
      <c r="T581" s="571"/>
      <c r="U581" s="571"/>
      <c r="V581" s="571"/>
      <c r="W581" s="571"/>
      <c r="X581" s="571"/>
      <c r="Y581" s="571"/>
      <c r="Z581" s="571"/>
    </row>
    <row r="582" spans="1:26" ht="19.5" hidden="1">
      <c r="A582" s="601"/>
      <c r="B582" s="611"/>
      <c r="C582" s="611"/>
      <c r="D582" s="619" t="s">
        <v>246</v>
      </c>
      <c r="E582" s="619"/>
      <c r="F582" s="619"/>
      <c r="G582" s="753"/>
      <c r="H582" s="755" t="s">
        <v>46</v>
      </c>
      <c r="I582" s="184"/>
      <c r="J582" s="674">
        <f t="shared" ref="J582:J583" si="252">J584+J586</f>
        <v>0</v>
      </c>
      <c r="K582" s="410"/>
      <c r="L582" s="163"/>
      <c r="M582" s="163"/>
      <c r="N582" s="163"/>
      <c r="O582" s="163"/>
      <c r="P582" s="163"/>
      <c r="Q582" s="571"/>
      <c r="R582" s="571"/>
      <c r="S582" s="571"/>
      <c r="T582" s="571"/>
      <c r="U582" s="571"/>
      <c r="V582" s="571"/>
      <c r="W582" s="571"/>
      <c r="X582" s="571"/>
      <c r="Y582" s="571"/>
      <c r="Z582" s="571"/>
    </row>
    <row r="583" spans="1:26" ht="19.5" hidden="1">
      <c r="A583" s="601"/>
      <c r="B583" s="611"/>
      <c r="C583" s="611"/>
      <c r="D583" s="611"/>
      <c r="E583" s="619"/>
      <c r="F583" s="619"/>
      <c r="G583" s="753"/>
      <c r="H583" s="755" t="s">
        <v>34</v>
      </c>
      <c r="I583" s="184"/>
      <c r="J583" s="674">
        <f t="shared" si="252"/>
        <v>0</v>
      </c>
      <c r="K583" s="410"/>
      <c r="L583" s="163"/>
      <c r="M583" s="163"/>
      <c r="N583" s="163"/>
      <c r="O583" s="163"/>
      <c r="P583" s="163"/>
      <c r="Q583" s="571"/>
      <c r="R583" s="571"/>
      <c r="S583" s="571"/>
      <c r="T583" s="571"/>
      <c r="U583" s="571"/>
      <c r="V583" s="571"/>
      <c r="W583" s="571"/>
      <c r="X583" s="571"/>
      <c r="Y583" s="571"/>
      <c r="Z583" s="571"/>
    </row>
    <row r="584" spans="1:26" ht="18.75" hidden="1">
      <c r="A584" s="601"/>
      <c r="B584" s="611"/>
      <c r="C584" s="611"/>
      <c r="D584" s="611"/>
      <c r="E584" s="619" t="s">
        <v>247</v>
      </c>
      <c r="F584" s="619"/>
      <c r="G584" s="753"/>
      <c r="H584" s="755" t="s">
        <v>46</v>
      </c>
      <c r="I584" s="184"/>
      <c r="J584" s="214">
        <v>0</v>
      </c>
      <c r="K584" s="163"/>
      <c r="L584" s="163"/>
      <c r="M584" s="163"/>
      <c r="N584" s="163"/>
      <c r="O584" s="163"/>
      <c r="P584" s="163"/>
      <c r="Q584" s="571"/>
      <c r="R584" s="571"/>
      <c r="S584" s="571"/>
      <c r="T584" s="571"/>
      <c r="U584" s="571"/>
      <c r="V584" s="571"/>
      <c r="W584" s="571"/>
      <c r="X584" s="571"/>
      <c r="Y584" s="571"/>
      <c r="Z584" s="571"/>
    </row>
    <row r="585" spans="1:26" ht="18.75" hidden="1">
      <c r="A585" s="601"/>
      <c r="B585" s="611"/>
      <c r="C585" s="611"/>
      <c r="D585" s="611"/>
      <c r="E585" s="619"/>
      <c r="F585" s="619"/>
      <c r="G585" s="753"/>
      <c r="H585" s="755" t="s">
        <v>34</v>
      </c>
      <c r="I585" s="184"/>
      <c r="J585" s="214">
        <v>0</v>
      </c>
      <c r="K585" s="163"/>
      <c r="L585" s="163"/>
      <c r="M585" s="163"/>
      <c r="N585" s="163"/>
      <c r="O585" s="163"/>
      <c r="P585" s="163"/>
      <c r="Q585" s="571"/>
      <c r="R585" s="571"/>
      <c r="S585" s="571"/>
      <c r="T585" s="571"/>
      <c r="U585" s="571"/>
      <c r="V585" s="571"/>
      <c r="W585" s="571"/>
      <c r="X585" s="571"/>
      <c r="Y585" s="571"/>
      <c r="Z585" s="571"/>
    </row>
    <row r="586" spans="1:26" ht="18.75" hidden="1">
      <c r="A586" s="601"/>
      <c r="B586" s="611"/>
      <c r="C586" s="611"/>
      <c r="D586" s="611"/>
      <c r="E586" s="619" t="s">
        <v>248</v>
      </c>
      <c r="F586" s="619"/>
      <c r="G586" s="753"/>
      <c r="H586" s="755" t="s">
        <v>46</v>
      </c>
      <c r="I586" s="184"/>
      <c r="J586" s="214">
        <v>0</v>
      </c>
      <c r="K586" s="163"/>
      <c r="L586" s="163"/>
      <c r="M586" s="163"/>
      <c r="N586" s="163"/>
      <c r="O586" s="163"/>
      <c r="P586" s="163"/>
      <c r="Q586" s="571"/>
      <c r="R586" s="571"/>
      <c r="S586" s="571"/>
      <c r="T586" s="571"/>
      <c r="U586" s="571"/>
      <c r="V586" s="571"/>
      <c r="W586" s="571"/>
      <c r="X586" s="571"/>
      <c r="Y586" s="571"/>
      <c r="Z586" s="571"/>
    </row>
    <row r="587" spans="1:26" ht="18.75" hidden="1">
      <c r="A587" s="601"/>
      <c r="B587" s="611"/>
      <c r="C587" s="611"/>
      <c r="D587" s="611"/>
      <c r="E587" s="611"/>
      <c r="F587" s="619"/>
      <c r="G587" s="753"/>
      <c r="H587" s="755" t="s">
        <v>34</v>
      </c>
      <c r="I587" s="184"/>
      <c r="J587" s="214">
        <v>0</v>
      </c>
      <c r="K587" s="163"/>
      <c r="L587" s="163"/>
      <c r="M587" s="163"/>
      <c r="N587" s="163"/>
      <c r="O587" s="163"/>
      <c r="P587" s="163"/>
      <c r="Q587" s="571"/>
      <c r="R587" s="571"/>
      <c r="S587" s="571"/>
      <c r="T587" s="571"/>
      <c r="U587" s="571"/>
      <c r="V587" s="571"/>
      <c r="W587" s="571"/>
      <c r="X587" s="571"/>
      <c r="Y587" s="571"/>
      <c r="Z587" s="571"/>
    </row>
    <row r="588" spans="1:26" ht="18.75" hidden="1">
      <c r="A588" s="601"/>
      <c r="B588" s="611"/>
      <c r="C588" s="611"/>
      <c r="D588" s="619" t="s">
        <v>249</v>
      </c>
      <c r="E588" s="619"/>
      <c r="F588" s="619"/>
      <c r="G588" s="753"/>
      <c r="H588" s="755" t="s">
        <v>46</v>
      </c>
      <c r="I588" s="184"/>
      <c r="J588" s="214">
        <v>0</v>
      </c>
      <c r="K588" s="163"/>
      <c r="L588" s="163"/>
      <c r="M588" s="163"/>
      <c r="N588" s="163"/>
      <c r="O588" s="163"/>
      <c r="P588" s="163"/>
      <c r="Q588" s="571"/>
      <c r="R588" s="571"/>
      <c r="S588" s="571"/>
      <c r="T588" s="571"/>
      <c r="U588" s="571"/>
      <c r="V588" s="571"/>
      <c r="W588" s="571"/>
      <c r="X588" s="571"/>
      <c r="Y588" s="571"/>
      <c r="Z588" s="571"/>
    </row>
    <row r="589" spans="1:26" ht="18.75" hidden="1">
      <c r="A589" s="601"/>
      <c r="B589" s="611"/>
      <c r="C589" s="611"/>
      <c r="D589" s="611"/>
      <c r="E589" s="611"/>
      <c r="F589" s="619"/>
      <c r="G589" s="753"/>
      <c r="H589" s="755" t="s">
        <v>34</v>
      </c>
      <c r="I589" s="184"/>
      <c r="J589" s="214">
        <v>0</v>
      </c>
      <c r="K589" s="163"/>
      <c r="L589" s="163"/>
      <c r="M589" s="163"/>
      <c r="N589" s="163"/>
      <c r="O589" s="163"/>
      <c r="P589" s="163"/>
      <c r="Q589" s="571"/>
      <c r="R589" s="571"/>
      <c r="S589" s="571"/>
      <c r="T589" s="571"/>
      <c r="U589" s="571"/>
      <c r="V589" s="571"/>
      <c r="W589" s="571"/>
      <c r="X589" s="571"/>
      <c r="Y589" s="571"/>
      <c r="Z589" s="571"/>
    </row>
    <row r="590" spans="1:26" ht="18.75" hidden="1">
      <c r="A590" s="601"/>
      <c r="B590" s="611"/>
      <c r="C590" s="611"/>
      <c r="D590" s="619" t="s">
        <v>250</v>
      </c>
      <c r="E590" s="619"/>
      <c r="F590" s="619"/>
      <c r="G590" s="753"/>
      <c r="H590" s="755" t="s">
        <v>46</v>
      </c>
      <c r="I590" s="184"/>
      <c r="J590" s="214">
        <v>0</v>
      </c>
      <c r="K590" s="163"/>
      <c r="L590" s="163"/>
      <c r="M590" s="163"/>
      <c r="N590" s="163"/>
      <c r="O590" s="163"/>
      <c r="P590" s="163"/>
      <c r="Q590" s="571"/>
      <c r="R590" s="571"/>
      <c r="S590" s="571"/>
      <c r="T590" s="571"/>
      <c r="U590" s="571"/>
      <c r="V590" s="571"/>
      <c r="W590" s="571"/>
      <c r="X590" s="571"/>
      <c r="Y590" s="571"/>
      <c r="Z590" s="571"/>
    </row>
    <row r="591" spans="1:26" ht="18.75" hidden="1">
      <c r="A591" s="689"/>
      <c r="B591" s="690"/>
      <c r="C591" s="690"/>
      <c r="D591" s="690"/>
      <c r="E591" s="571"/>
      <c r="F591" s="571"/>
      <c r="G591" s="691"/>
      <c r="H591" s="692" t="s">
        <v>34</v>
      </c>
      <c r="I591" s="693"/>
      <c r="J591" s="694">
        <v>0</v>
      </c>
      <c r="K591" s="695"/>
      <c r="L591" s="695"/>
      <c r="M591" s="695"/>
      <c r="N591" s="695"/>
      <c r="O591" s="695"/>
      <c r="P591" s="695"/>
      <c r="Q591" s="571"/>
      <c r="R591" s="571"/>
      <c r="S591" s="571"/>
      <c r="T591" s="571"/>
      <c r="U591" s="571"/>
      <c r="V591" s="571"/>
      <c r="W591" s="571"/>
      <c r="X591" s="571"/>
      <c r="Y591" s="571"/>
      <c r="Z591" s="571"/>
    </row>
    <row r="592" spans="1:26" ht="19.5" hidden="1">
      <c r="A592" s="685"/>
      <c r="B592" s="686" t="s">
        <v>251</v>
      </c>
      <c r="C592" s="687"/>
      <c r="D592" s="687"/>
      <c r="E592" s="666"/>
      <c r="F592" s="666"/>
      <c r="G592" s="667"/>
      <c r="H592" s="688" t="s">
        <v>46</v>
      </c>
      <c r="I592" s="699">
        <f t="shared" ref="I592:J592" ca="1" si="253">I593</f>
        <v>0</v>
      </c>
      <c r="J592" s="699">
        <f t="shared" si="253"/>
        <v>0</v>
      </c>
      <c r="K592" s="670">
        <f t="shared" ref="K592:K594" ca="1" si="254">IF(I592&gt;0,J592*100/I592,0)</f>
        <v>0</v>
      </c>
      <c r="L592" s="671"/>
      <c r="M592" s="671"/>
      <c r="N592" s="671"/>
      <c r="O592" s="671"/>
      <c r="P592" s="671"/>
      <c r="Q592" s="571"/>
      <c r="R592" s="571"/>
      <c r="S592" s="571"/>
      <c r="T592" s="571"/>
      <c r="U592" s="571"/>
      <c r="V592" s="571"/>
      <c r="W592" s="571"/>
      <c r="X592" s="571"/>
      <c r="Y592" s="571"/>
      <c r="Z592" s="571"/>
    </row>
    <row r="593" spans="1:26" ht="19.5" hidden="1">
      <c r="A593" s="601"/>
      <c r="B593" s="611"/>
      <c r="C593" s="618" t="s">
        <v>252</v>
      </c>
      <c r="D593" s="611"/>
      <c r="E593" s="611"/>
      <c r="F593" s="619"/>
      <c r="G593" s="753"/>
      <c r="H593" s="758" t="s">
        <v>46</v>
      </c>
      <c r="I593" s="193">
        <f ca="1">IFERROR(__xludf.DUMMYFUNCTION("IMPORTRANGE(""https://docs.google.com/spreadsheets/d/1QqKyyYR6Q21VydFLVH3TRQUabQu_ym0Zz7PgGX0-kHA/edit?usp=sharing"",""แผน!HJ59"")"),0)</f>
        <v>0</v>
      </c>
      <c r="J593" s="193">
        <f t="shared" ref="J593:J594" si="255">J595+J603+J609</f>
        <v>0</v>
      </c>
      <c r="K593" s="410">
        <f t="shared" ca="1" si="254"/>
        <v>0</v>
      </c>
      <c r="L593" s="163"/>
      <c r="M593" s="163"/>
      <c r="N593" s="163"/>
      <c r="O593" s="163"/>
      <c r="P593" s="163"/>
      <c r="Q593" s="571"/>
      <c r="R593" s="571"/>
      <c r="S593" s="571"/>
      <c r="T593" s="571"/>
      <c r="U593" s="571"/>
      <c r="V593" s="571"/>
      <c r="W593" s="571"/>
      <c r="X593" s="571"/>
      <c r="Y593" s="571"/>
      <c r="Z593" s="571"/>
    </row>
    <row r="594" spans="1:26" ht="19.5" hidden="1">
      <c r="A594" s="601"/>
      <c r="B594" s="611"/>
      <c r="C594" s="611"/>
      <c r="D594" s="611"/>
      <c r="E594" s="619"/>
      <c r="F594" s="619"/>
      <c r="G594" s="753"/>
      <c r="H594" s="758" t="s">
        <v>34</v>
      </c>
      <c r="I594" s="193">
        <f ca="1">IFERROR(__xludf.DUMMYFUNCTION("IMPORTRANGE(""https://docs.google.com/spreadsheets/d/1QqKyyYR6Q21VydFLVH3TRQUabQu_ym0Zz7PgGX0-kHA/edit?usp=sharing"",""แผน!HI59"")"),0)</f>
        <v>0</v>
      </c>
      <c r="J594" s="193">
        <f t="shared" si="255"/>
        <v>0</v>
      </c>
      <c r="K594" s="410">
        <f t="shared" ca="1" si="254"/>
        <v>0</v>
      </c>
      <c r="L594" s="163"/>
      <c r="M594" s="163"/>
      <c r="N594" s="163"/>
      <c r="O594" s="163"/>
      <c r="P594" s="163"/>
      <c r="Q594" s="571"/>
      <c r="R594" s="571"/>
      <c r="S594" s="571"/>
      <c r="T594" s="571"/>
      <c r="U594" s="571"/>
      <c r="V594" s="571"/>
      <c r="W594" s="571"/>
      <c r="X594" s="571"/>
      <c r="Y594" s="571"/>
      <c r="Z594" s="571"/>
    </row>
    <row r="595" spans="1:26" ht="18.75" hidden="1">
      <c r="A595" s="601"/>
      <c r="B595" s="611"/>
      <c r="C595" s="611" t="s">
        <v>253</v>
      </c>
      <c r="D595" s="611"/>
      <c r="E595" s="611"/>
      <c r="F595" s="619"/>
      <c r="G595" s="753"/>
      <c r="H595" s="755" t="s">
        <v>46</v>
      </c>
      <c r="I595" s="184"/>
      <c r="J595" s="184">
        <f t="shared" ref="J595:J596" si="256">J597+J599</f>
        <v>0</v>
      </c>
      <c r="K595" s="163"/>
      <c r="L595" s="163"/>
      <c r="M595" s="163"/>
      <c r="N595" s="163"/>
      <c r="O595" s="163"/>
      <c r="P595" s="163"/>
      <c r="Q595" s="571"/>
      <c r="R595" s="571"/>
      <c r="S595" s="571"/>
      <c r="T595" s="571"/>
      <c r="U595" s="571"/>
      <c r="V595" s="571"/>
      <c r="W595" s="571"/>
      <c r="X595" s="571"/>
      <c r="Y595" s="571"/>
      <c r="Z595" s="571"/>
    </row>
    <row r="596" spans="1:26" ht="18.75" hidden="1">
      <c r="A596" s="601"/>
      <c r="B596" s="611"/>
      <c r="C596" s="611"/>
      <c r="D596" s="611"/>
      <c r="E596" s="619"/>
      <c r="F596" s="619"/>
      <c r="G596" s="753"/>
      <c r="H596" s="755" t="s">
        <v>34</v>
      </c>
      <c r="I596" s="184"/>
      <c r="J596" s="184">
        <f t="shared" si="256"/>
        <v>0</v>
      </c>
      <c r="K596" s="163"/>
      <c r="L596" s="163"/>
      <c r="M596" s="163"/>
      <c r="N596" s="163"/>
      <c r="O596" s="163"/>
      <c r="P596" s="163"/>
      <c r="Q596" s="571"/>
      <c r="R596" s="571"/>
      <c r="S596" s="571"/>
      <c r="T596" s="571"/>
      <c r="U596" s="571"/>
      <c r="V596" s="571"/>
      <c r="W596" s="571"/>
      <c r="X596" s="571"/>
      <c r="Y596" s="571"/>
      <c r="Z596" s="571"/>
    </row>
    <row r="597" spans="1:26" ht="18.75" hidden="1">
      <c r="A597" s="601"/>
      <c r="B597" s="611"/>
      <c r="C597" s="611"/>
      <c r="D597" s="737" t="s">
        <v>254</v>
      </c>
      <c r="E597" s="619"/>
      <c r="F597" s="619"/>
      <c r="G597" s="753"/>
      <c r="H597" s="755" t="s">
        <v>46</v>
      </c>
      <c r="I597" s="184"/>
      <c r="J597" s="214">
        <v>0</v>
      </c>
      <c r="K597" s="163"/>
      <c r="L597" s="163"/>
      <c r="M597" s="163"/>
      <c r="N597" s="163"/>
      <c r="O597" s="163"/>
      <c r="P597" s="163"/>
      <c r="Q597" s="571"/>
      <c r="R597" s="571"/>
      <c r="S597" s="571"/>
      <c r="T597" s="571"/>
      <c r="U597" s="571"/>
      <c r="V597" s="571"/>
      <c r="W597" s="571"/>
      <c r="X597" s="571"/>
      <c r="Y597" s="571"/>
      <c r="Z597" s="571"/>
    </row>
    <row r="598" spans="1:26" ht="18.75" hidden="1">
      <c r="A598" s="601"/>
      <c r="B598" s="611"/>
      <c r="C598" s="611"/>
      <c r="D598" s="611"/>
      <c r="E598" s="619"/>
      <c r="F598" s="619"/>
      <c r="G598" s="753"/>
      <c r="H598" s="755" t="s">
        <v>34</v>
      </c>
      <c r="I598" s="269"/>
      <c r="J598" s="214">
        <v>0</v>
      </c>
      <c r="K598" s="163"/>
      <c r="L598" s="163"/>
      <c r="M598" s="163"/>
      <c r="N598" s="163"/>
      <c r="O598" s="163"/>
      <c r="P598" s="163"/>
      <c r="Q598" s="571"/>
      <c r="R598" s="571"/>
      <c r="S598" s="571"/>
      <c r="T598" s="571"/>
      <c r="U598" s="571"/>
      <c r="V598" s="571"/>
      <c r="W598" s="571"/>
      <c r="X598" s="571"/>
      <c r="Y598" s="571"/>
      <c r="Z598" s="571"/>
    </row>
    <row r="599" spans="1:26" ht="18.75" hidden="1">
      <c r="A599" s="601"/>
      <c r="B599" s="611"/>
      <c r="C599" s="611"/>
      <c r="D599" s="737" t="s">
        <v>255</v>
      </c>
      <c r="E599" s="619"/>
      <c r="F599" s="619"/>
      <c r="G599" s="753"/>
      <c r="H599" s="755" t="s">
        <v>46</v>
      </c>
      <c r="I599" s="269"/>
      <c r="J599" s="214">
        <v>0</v>
      </c>
      <c r="K599" s="163"/>
      <c r="L599" s="163"/>
      <c r="M599" s="163"/>
      <c r="N599" s="163"/>
      <c r="O599" s="163"/>
      <c r="P599" s="163"/>
      <c r="Q599" s="571"/>
      <c r="R599" s="571"/>
      <c r="S599" s="571"/>
      <c r="T599" s="571"/>
      <c r="U599" s="571"/>
      <c r="V599" s="571"/>
      <c r="W599" s="571"/>
      <c r="X599" s="571"/>
      <c r="Y599" s="571"/>
      <c r="Z599" s="571"/>
    </row>
    <row r="600" spans="1:26" ht="18.75" hidden="1">
      <c r="A600" s="601"/>
      <c r="B600" s="611"/>
      <c r="C600" s="611"/>
      <c r="D600" s="611"/>
      <c r="E600" s="619"/>
      <c r="F600" s="619"/>
      <c r="G600" s="753"/>
      <c r="H600" s="755" t="s">
        <v>34</v>
      </c>
      <c r="I600" s="269"/>
      <c r="J600" s="214">
        <v>0</v>
      </c>
      <c r="K600" s="163"/>
      <c r="L600" s="163"/>
      <c r="M600" s="163"/>
      <c r="N600" s="163"/>
      <c r="O600" s="163"/>
      <c r="P600" s="163"/>
      <c r="Q600" s="571"/>
      <c r="R600" s="571"/>
      <c r="S600" s="571"/>
      <c r="T600" s="571"/>
      <c r="U600" s="571"/>
      <c r="V600" s="571"/>
      <c r="W600" s="571"/>
      <c r="X600" s="571"/>
      <c r="Y600" s="571"/>
      <c r="Z600" s="571"/>
    </row>
    <row r="601" spans="1:26" ht="18.75" hidden="1">
      <c r="A601" s="601"/>
      <c r="B601" s="611"/>
      <c r="C601" s="611"/>
      <c r="D601" s="737" t="s">
        <v>256</v>
      </c>
      <c r="E601" s="619"/>
      <c r="F601" s="619"/>
      <c r="G601" s="753"/>
      <c r="H601" s="755" t="s">
        <v>46</v>
      </c>
      <c r="I601" s="269"/>
      <c r="J601" s="214">
        <v>0</v>
      </c>
      <c r="K601" s="163"/>
      <c r="L601" s="163"/>
      <c r="M601" s="163"/>
      <c r="N601" s="163"/>
      <c r="O601" s="163"/>
      <c r="P601" s="163"/>
      <c r="Q601" s="571"/>
      <c r="R601" s="571"/>
      <c r="S601" s="571"/>
      <c r="T601" s="571"/>
      <c r="U601" s="571"/>
      <c r="V601" s="571"/>
      <c r="W601" s="571"/>
      <c r="X601" s="571"/>
      <c r="Y601" s="571"/>
      <c r="Z601" s="571"/>
    </row>
    <row r="602" spans="1:26" ht="18.75" hidden="1">
      <c r="A602" s="601"/>
      <c r="B602" s="611"/>
      <c r="C602" s="611"/>
      <c r="D602" s="611"/>
      <c r="E602" s="619"/>
      <c r="F602" s="619"/>
      <c r="G602" s="753"/>
      <c r="H602" s="755" t="s">
        <v>34</v>
      </c>
      <c r="I602" s="269"/>
      <c r="J602" s="214">
        <v>0</v>
      </c>
      <c r="K602" s="163"/>
      <c r="L602" s="163"/>
      <c r="M602" s="163"/>
      <c r="N602" s="163"/>
      <c r="O602" s="163"/>
      <c r="P602" s="163"/>
      <c r="Q602" s="571"/>
      <c r="R602" s="571"/>
      <c r="S602" s="571"/>
      <c r="T602" s="571"/>
      <c r="U602" s="571"/>
      <c r="V602" s="571"/>
      <c r="W602" s="571"/>
      <c r="X602" s="571"/>
      <c r="Y602" s="571"/>
      <c r="Z602" s="571"/>
    </row>
    <row r="603" spans="1:26" ht="18.75" hidden="1">
      <c r="A603" s="601"/>
      <c r="B603" s="611"/>
      <c r="C603" s="696" t="s">
        <v>257</v>
      </c>
      <c r="D603" s="611"/>
      <c r="E603" s="611"/>
      <c r="F603" s="619"/>
      <c r="G603" s="753"/>
      <c r="H603" s="755" t="s">
        <v>46</v>
      </c>
      <c r="I603" s="269"/>
      <c r="J603" s="269">
        <f t="shared" ref="J603:J604" si="257">J605+J607</f>
        <v>0</v>
      </c>
      <c r="K603" s="163"/>
      <c r="L603" s="163"/>
      <c r="M603" s="163"/>
      <c r="N603" s="163"/>
      <c r="O603" s="163"/>
      <c r="P603" s="163"/>
      <c r="Q603" s="571"/>
      <c r="R603" s="571"/>
      <c r="S603" s="571"/>
      <c r="T603" s="571"/>
      <c r="U603" s="571"/>
      <c r="V603" s="571"/>
      <c r="W603" s="571"/>
      <c r="X603" s="571"/>
      <c r="Y603" s="571"/>
      <c r="Z603" s="571"/>
    </row>
    <row r="604" spans="1:26" ht="18.75" hidden="1">
      <c r="A604" s="601"/>
      <c r="B604" s="611"/>
      <c r="C604" s="611"/>
      <c r="D604" s="611"/>
      <c r="E604" s="619"/>
      <c r="F604" s="619"/>
      <c r="G604" s="753"/>
      <c r="H604" s="755" t="s">
        <v>34</v>
      </c>
      <c r="I604" s="269"/>
      <c r="J604" s="269">
        <f t="shared" si="257"/>
        <v>0</v>
      </c>
      <c r="K604" s="163"/>
      <c r="L604" s="163"/>
      <c r="M604" s="163"/>
      <c r="N604" s="163"/>
      <c r="O604" s="163"/>
      <c r="P604" s="163"/>
      <c r="Q604" s="571"/>
      <c r="R604" s="571"/>
      <c r="S604" s="571"/>
      <c r="T604" s="571"/>
      <c r="U604" s="571"/>
      <c r="V604" s="571"/>
      <c r="W604" s="571"/>
      <c r="X604" s="571"/>
      <c r="Y604" s="571"/>
      <c r="Z604" s="571"/>
    </row>
    <row r="605" spans="1:26" ht="18.75" hidden="1">
      <c r="A605" s="601"/>
      <c r="B605" s="611"/>
      <c r="C605" s="611"/>
      <c r="D605" s="696" t="s">
        <v>258</v>
      </c>
      <c r="E605" s="619"/>
      <c r="F605" s="619"/>
      <c r="G605" s="753"/>
      <c r="H605" s="755" t="s">
        <v>46</v>
      </c>
      <c r="I605" s="269"/>
      <c r="J605" s="214">
        <v>0</v>
      </c>
      <c r="K605" s="163"/>
      <c r="L605" s="163"/>
      <c r="M605" s="163"/>
      <c r="N605" s="163"/>
      <c r="O605" s="163"/>
      <c r="P605" s="163"/>
      <c r="Q605" s="571"/>
      <c r="R605" s="571"/>
      <c r="S605" s="571"/>
      <c r="T605" s="571"/>
      <c r="U605" s="571"/>
      <c r="V605" s="571"/>
      <c r="W605" s="571"/>
      <c r="X605" s="571"/>
      <c r="Y605" s="571"/>
      <c r="Z605" s="571"/>
    </row>
    <row r="606" spans="1:26" ht="18.75" hidden="1">
      <c r="A606" s="601"/>
      <c r="B606" s="611"/>
      <c r="C606" s="611"/>
      <c r="D606" s="611"/>
      <c r="E606" s="611"/>
      <c r="F606" s="619"/>
      <c r="G606" s="753"/>
      <c r="H606" s="755" t="s">
        <v>34</v>
      </c>
      <c r="I606" s="269"/>
      <c r="J606" s="214">
        <v>0</v>
      </c>
      <c r="K606" s="163"/>
      <c r="L606" s="163"/>
      <c r="M606" s="163"/>
      <c r="N606" s="163"/>
      <c r="O606" s="163"/>
      <c r="P606" s="163"/>
      <c r="Q606" s="571"/>
      <c r="R606" s="571"/>
      <c r="S606" s="571"/>
      <c r="T606" s="571"/>
      <c r="U606" s="571"/>
      <c r="V606" s="571"/>
      <c r="W606" s="571"/>
      <c r="X606" s="571"/>
      <c r="Y606" s="571"/>
      <c r="Z606" s="571"/>
    </row>
    <row r="607" spans="1:26" ht="18.75" hidden="1">
      <c r="A607" s="601"/>
      <c r="B607" s="611"/>
      <c r="C607" s="611"/>
      <c r="D607" s="696" t="s">
        <v>259</v>
      </c>
      <c r="E607" s="611"/>
      <c r="F607" s="619"/>
      <c r="G607" s="753"/>
      <c r="H607" s="755" t="s">
        <v>46</v>
      </c>
      <c r="I607" s="269"/>
      <c r="J607" s="214">
        <v>0</v>
      </c>
      <c r="K607" s="163"/>
      <c r="L607" s="163"/>
      <c r="M607" s="163"/>
      <c r="N607" s="163"/>
      <c r="O607" s="163"/>
      <c r="P607" s="163"/>
      <c r="Q607" s="571"/>
      <c r="R607" s="571"/>
      <c r="S607" s="571"/>
      <c r="T607" s="571"/>
      <c r="U607" s="571"/>
      <c r="V607" s="571"/>
      <c r="W607" s="571"/>
      <c r="X607" s="571"/>
      <c r="Y607" s="571"/>
      <c r="Z607" s="571"/>
    </row>
    <row r="608" spans="1:26" ht="18.75" hidden="1">
      <c r="A608" s="601"/>
      <c r="B608" s="611"/>
      <c r="C608" s="611"/>
      <c r="D608" s="611"/>
      <c r="E608" s="619"/>
      <c r="F608" s="619"/>
      <c r="G608" s="753"/>
      <c r="H608" s="755" t="s">
        <v>34</v>
      </c>
      <c r="I608" s="269"/>
      <c r="J608" s="214">
        <v>0</v>
      </c>
      <c r="K608" s="163"/>
      <c r="L608" s="163"/>
      <c r="M608" s="163"/>
      <c r="N608" s="163"/>
      <c r="O608" s="163"/>
      <c r="P608" s="163"/>
      <c r="Q608" s="571"/>
      <c r="R608" s="571"/>
      <c r="S608" s="571"/>
      <c r="T608" s="571"/>
      <c r="U608" s="571"/>
      <c r="V608" s="571"/>
      <c r="W608" s="571"/>
      <c r="X608" s="571"/>
      <c r="Y608" s="571"/>
      <c r="Z608" s="571"/>
    </row>
    <row r="609" spans="1:26" ht="18.75" hidden="1">
      <c r="A609" s="601"/>
      <c r="B609" s="611"/>
      <c r="C609" s="611" t="s">
        <v>260</v>
      </c>
      <c r="D609" s="611"/>
      <c r="E609" s="611"/>
      <c r="F609" s="619"/>
      <c r="G609" s="753"/>
      <c r="H609" s="755" t="s">
        <v>46</v>
      </c>
      <c r="I609" s="269"/>
      <c r="J609" s="214">
        <v>0</v>
      </c>
      <c r="K609" s="163"/>
      <c r="L609" s="163"/>
      <c r="M609" s="163"/>
      <c r="N609" s="163"/>
      <c r="O609" s="163"/>
      <c r="P609" s="163"/>
      <c r="Q609" s="571"/>
      <c r="R609" s="571"/>
      <c r="S609" s="571"/>
      <c r="T609" s="571"/>
      <c r="U609" s="571"/>
      <c r="V609" s="571"/>
      <c r="W609" s="571"/>
      <c r="X609" s="571"/>
      <c r="Y609" s="571"/>
      <c r="Z609" s="571"/>
    </row>
    <row r="610" spans="1:26" ht="18.75" hidden="1">
      <c r="A610" s="601"/>
      <c r="B610" s="611"/>
      <c r="C610" s="611"/>
      <c r="D610" s="611"/>
      <c r="E610" s="619"/>
      <c r="F610" s="619"/>
      <c r="G610" s="753"/>
      <c r="H610" s="755" t="s">
        <v>34</v>
      </c>
      <c r="I610" s="269"/>
      <c r="J610" s="214">
        <v>0</v>
      </c>
      <c r="K610" s="163"/>
      <c r="L610" s="163"/>
      <c r="M610" s="163"/>
      <c r="N610" s="163"/>
      <c r="O610" s="163"/>
      <c r="P610" s="163"/>
      <c r="Q610" s="571"/>
      <c r="R610" s="571"/>
      <c r="S610" s="571"/>
      <c r="T610" s="571"/>
      <c r="U610" s="571"/>
      <c r="V610" s="571"/>
      <c r="W610" s="571"/>
      <c r="X610" s="571"/>
      <c r="Y610" s="571"/>
      <c r="Z610" s="571"/>
    </row>
    <row r="611" spans="1:26" ht="19.5" hidden="1">
      <c r="A611" s="685"/>
      <c r="B611" s="697" t="s">
        <v>261</v>
      </c>
      <c r="C611" s="687"/>
      <c r="D611" s="687"/>
      <c r="E611" s="666"/>
      <c r="F611" s="666"/>
      <c r="G611" s="667"/>
      <c r="H611" s="698" t="s">
        <v>46</v>
      </c>
      <c r="I611" s="699">
        <v>0</v>
      </c>
      <c r="J611" s="699">
        <f>J614+J616</f>
        <v>0</v>
      </c>
      <c r="K611" s="670">
        <f t="shared" ref="K611:K613" si="258">IF(I611&gt;0,J611*100/I611,0)</f>
        <v>0</v>
      </c>
      <c r="L611" s="671"/>
      <c r="M611" s="671"/>
      <c r="N611" s="671"/>
      <c r="O611" s="671"/>
      <c r="P611" s="671"/>
      <c r="Q611" s="571"/>
      <c r="R611" s="571"/>
      <c r="S611" s="571"/>
      <c r="T611" s="571"/>
      <c r="U611" s="571"/>
      <c r="V611" s="571"/>
      <c r="W611" s="571"/>
      <c r="X611" s="571"/>
      <c r="Y611" s="571"/>
      <c r="Z611" s="571"/>
    </row>
    <row r="612" spans="1:26" ht="19.5" hidden="1">
      <c r="A612" s="700"/>
      <c r="B612" s="710"/>
      <c r="C612" s="702" t="s">
        <v>262</v>
      </c>
      <c r="D612" s="710"/>
      <c r="E612" s="710"/>
      <c r="F612" s="703"/>
      <c r="G612" s="704"/>
      <c r="H612" s="705" t="s">
        <v>46</v>
      </c>
      <c r="I612" s="707">
        <v>0</v>
      </c>
      <c r="J612" s="707">
        <f t="shared" ref="J612:J613" si="259">J614+J616</f>
        <v>0</v>
      </c>
      <c r="K612" s="708">
        <f t="shared" si="258"/>
        <v>0</v>
      </c>
      <c r="L612" s="709"/>
      <c r="M612" s="709"/>
      <c r="N612" s="709"/>
      <c r="O612" s="709"/>
      <c r="P612" s="709"/>
      <c r="Q612" s="597"/>
      <c r="R612" s="597"/>
      <c r="S612" s="597"/>
      <c r="T612" s="597"/>
      <c r="U612" s="597"/>
      <c r="V612" s="597"/>
      <c r="W612" s="597"/>
      <c r="X612" s="597"/>
      <c r="Y612" s="597"/>
      <c r="Z612" s="597"/>
    </row>
    <row r="613" spans="1:26" ht="19.5" hidden="1">
      <c r="A613" s="700"/>
      <c r="B613" s="710"/>
      <c r="C613" s="710" t="s">
        <v>263</v>
      </c>
      <c r="D613" s="710"/>
      <c r="E613" s="710"/>
      <c r="F613" s="703"/>
      <c r="G613" s="704"/>
      <c r="H613" s="705" t="s">
        <v>34</v>
      </c>
      <c r="I613" s="707">
        <v>0</v>
      </c>
      <c r="J613" s="707">
        <f t="shared" si="259"/>
        <v>0</v>
      </c>
      <c r="K613" s="708">
        <f t="shared" si="258"/>
        <v>0</v>
      </c>
      <c r="L613" s="709"/>
      <c r="M613" s="709"/>
      <c r="N613" s="709"/>
      <c r="O613" s="709"/>
      <c r="P613" s="709"/>
      <c r="Q613" s="597"/>
      <c r="R613" s="597"/>
      <c r="S613" s="597"/>
      <c r="T613" s="597"/>
      <c r="U613" s="597"/>
      <c r="V613" s="597"/>
      <c r="W613" s="597"/>
      <c r="X613" s="597"/>
      <c r="Y613" s="597"/>
      <c r="Z613" s="597"/>
    </row>
    <row r="614" spans="1:26" ht="18.75" hidden="1">
      <c r="A614" s="607"/>
      <c r="B614" s="609"/>
      <c r="C614" s="609"/>
      <c r="D614" s="711" t="s">
        <v>264</v>
      </c>
      <c r="E614" s="609"/>
      <c r="F614" s="711"/>
      <c r="G614" s="365"/>
      <c r="H614" s="369" t="s">
        <v>46</v>
      </c>
      <c r="I614" s="610"/>
      <c r="J614" s="610">
        <v>0</v>
      </c>
      <c r="K614" s="167"/>
      <c r="L614" s="167"/>
      <c r="M614" s="167"/>
      <c r="N614" s="167"/>
      <c r="O614" s="167"/>
      <c r="P614" s="167"/>
      <c r="Q614" s="597"/>
      <c r="R614" s="597"/>
      <c r="S614" s="597"/>
      <c r="T614" s="597"/>
      <c r="U614" s="597"/>
      <c r="V614" s="597"/>
      <c r="W614" s="597"/>
      <c r="X614" s="597"/>
      <c r="Y614" s="597"/>
      <c r="Z614" s="597"/>
    </row>
    <row r="615" spans="1:26" ht="18.75" hidden="1">
      <c r="A615" s="607"/>
      <c r="B615" s="609"/>
      <c r="C615" s="609"/>
      <c r="D615" s="609"/>
      <c r="E615" s="609"/>
      <c r="F615" s="711"/>
      <c r="G615" s="365"/>
      <c r="H615" s="369" t="s">
        <v>34</v>
      </c>
      <c r="I615" s="610"/>
      <c r="J615" s="610">
        <v>0</v>
      </c>
      <c r="K615" s="167"/>
      <c r="L615" s="167"/>
      <c r="M615" s="167"/>
      <c r="N615" s="167"/>
      <c r="O615" s="167"/>
      <c r="P615" s="167"/>
      <c r="Q615" s="597"/>
      <c r="R615" s="597"/>
      <c r="S615" s="597"/>
      <c r="T615" s="597"/>
      <c r="U615" s="597"/>
      <c r="V615" s="597"/>
      <c r="W615" s="597"/>
      <c r="X615" s="597"/>
      <c r="Y615" s="597"/>
      <c r="Z615" s="597"/>
    </row>
    <row r="616" spans="1:26" ht="18.75" hidden="1">
      <c r="A616" s="607"/>
      <c r="B616" s="609"/>
      <c r="C616" s="609"/>
      <c r="D616" s="712" t="s">
        <v>264</v>
      </c>
      <c r="E616" s="711"/>
      <c r="F616" s="711"/>
      <c r="G616" s="365"/>
      <c r="H616" s="369" t="s">
        <v>46</v>
      </c>
      <c r="I616" s="610"/>
      <c r="J616" s="610">
        <v>0</v>
      </c>
      <c r="K616" s="167"/>
      <c r="L616" s="167"/>
      <c r="M616" s="167"/>
      <c r="N616" s="167"/>
      <c r="O616" s="167"/>
      <c r="P616" s="167"/>
      <c r="Q616" s="597"/>
      <c r="R616" s="597"/>
      <c r="S616" s="597"/>
      <c r="T616" s="597"/>
      <c r="U616" s="597"/>
      <c r="V616" s="597"/>
      <c r="W616" s="597"/>
      <c r="X616" s="597"/>
      <c r="Y616" s="597"/>
      <c r="Z616" s="597"/>
    </row>
    <row r="617" spans="1:26" ht="18.75" hidden="1">
      <c r="A617" s="607"/>
      <c r="B617" s="609"/>
      <c r="C617" s="609"/>
      <c r="D617" s="609"/>
      <c r="E617" s="711"/>
      <c r="F617" s="711"/>
      <c r="G617" s="365"/>
      <c r="H617" s="369" t="s">
        <v>34</v>
      </c>
      <c r="I617" s="610"/>
      <c r="J617" s="610">
        <v>0</v>
      </c>
      <c r="K617" s="167"/>
      <c r="L617" s="167"/>
      <c r="M617" s="167"/>
      <c r="N617" s="167"/>
      <c r="O617" s="167"/>
      <c r="P617" s="167"/>
      <c r="Q617" s="597"/>
      <c r="R617" s="597"/>
      <c r="S617" s="597"/>
      <c r="T617" s="597"/>
      <c r="U617" s="597"/>
      <c r="V617" s="597"/>
      <c r="W617" s="597"/>
      <c r="X617" s="597"/>
      <c r="Y617" s="597"/>
      <c r="Z617" s="597"/>
    </row>
    <row r="618" spans="1:26" ht="18.75" hidden="1">
      <c r="A618" s="607"/>
      <c r="B618" s="609"/>
      <c r="C618" s="609"/>
      <c r="D618" s="712" t="s">
        <v>265</v>
      </c>
      <c r="E618" s="711"/>
      <c r="F618" s="711"/>
      <c r="G618" s="365"/>
      <c r="H618" s="369" t="s">
        <v>46</v>
      </c>
      <c r="I618" s="610"/>
      <c r="J618" s="610">
        <v>0</v>
      </c>
      <c r="K618" s="167"/>
      <c r="L618" s="167"/>
      <c r="M618" s="167"/>
      <c r="N618" s="167"/>
      <c r="O618" s="167"/>
      <c r="P618" s="167"/>
      <c r="Q618" s="597"/>
      <c r="R618" s="597"/>
      <c r="S618" s="597"/>
      <c r="T618" s="597"/>
      <c r="U618" s="597"/>
      <c r="V618" s="597"/>
      <c r="W618" s="597"/>
      <c r="X618" s="597"/>
      <c r="Y618" s="597"/>
      <c r="Z618" s="597"/>
    </row>
    <row r="619" spans="1:26" ht="18.75" hidden="1">
      <c r="A619" s="607"/>
      <c r="B619" s="609"/>
      <c r="C619" s="609"/>
      <c r="D619" s="609"/>
      <c r="E619" s="711"/>
      <c r="F619" s="711"/>
      <c r="G619" s="365"/>
      <c r="H619" s="369" t="s">
        <v>34</v>
      </c>
      <c r="I619" s="610"/>
      <c r="J619" s="610">
        <v>0</v>
      </c>
      <c r="K619" s="167"/>
      <c r="L619" s="167"/>
      <c r="M619" s="167"/>
      <c r="N619" s="167"/>
      <c r="O619" s="167"/>
      <c r="P619" s="167"/>
      <c r="Q619" s="597"/>
      <c r="R619" s="597"/>
      <c r="S619" s="597"/>
      <c r="T619" s="597"/>
      <c r="U619" s="597"/>
      <c r="V619" s="597"/>
      <c r="W619" s="597"/>
      <c r="X619" s="597"/>
      <c r="Y619" s="597"/>
      <c r="Z619" s="597"/>
    </row>
    <row r="620" spans="1:26" ht="19.5" hidden="1">
      <c r="A620" s="713"/>
      <c r="B620" s="722"/>
      <c r="C620" s="715" t="s">
        <v>266</v>
      </c>
      <c r="D620" s="722"/>
      <c r="E620" s="722"/>
      <c r="F620" s="716"/>
      <c r="G620" s="717"/>
      <c r="H620" s="718" t="s">
        <v>46</v>
      </c>
      <c r="I620" s="719">
        <f ca="1">IFERROR(__xludf.DUMMYFUNCTION("IMPORTRANGE(""https://docs.google.com/spreadsheets/d/1QqKyyYR6Q21VydFLVH3TRQUabQu_ym0Zz7PgGX0-kHA/edit?usp=sharing"",""แผน!HL59"")"),0)</f>
        <v>0</v>
      </c>
      <c r="J620" s="719">
        <f t="shared" ref="J620:J621" si="260">J622+J624+J626</f>
        <v>0</v>
      </c>
      <c r="K620" s="720">
        <f t="shared" ref="K620:K621" ca="1" si="261">IF(I620&gt;0,J620*100/I620,0)</f>
        <v>0</v>
      </c>
      <c r="L620" s="721"/>
      <c r="M620" s="721"/>
      <c r="N620" s="721"/>
      <c r="O620" s="721"/>
      <c r="P620" s="721"/>
      <c r="Q620" s="571"/>
      <c r="R620" s="571"/>
      <c r="S620" s="571"/>
      <c r="T620" s="571"/>
      <c r="U620" s="571"/>
      <c r="V620" s="571"/>
      <c r="W620" s="571"/>
      <c r="X620" s="571"/>
      <c r="Y620" s="571"/>
      <c r="Z620" s="571"/>
    </row>
    <row r="621" spans="1:26" ht="19.5" hidden="1">
      <c r="A621" s="713"/>
      <c r="B621" s="722"/>
      <c r="C621" s="722" t="s">
        <v>267</v>
      </c>
      <c r="D621" s="722"/>
      <c r="E621" s="722"/>
      <c r="F621" s="716"/>
      <c r="G621" s="717"/>
      <c r="H621" s="718" t="s">
        <v>34</v>
      </c>
      <c r="I621" s="719">
        <f ca="1">IFERROR(__xludf.DUMMYFUNCTION("IMPORTRANGE(""https://docs.google.com/spreadsheets/d/1QqKyyYR6Q21VydFLVH3TRQUabQu_ym0Zz7PgGX0-kHA/edit?usp=sharing"",""แผน!HK59"")"),0)</f>
        <v>0</v>
      </c>
      <c r="J621" s="719">
        <f t="shared" si="260"/>
        <v>0</v>
      </c>
      <c r="K621" s="720">
        <f t="shared" ca="1" si="261"/>
        <v>0</v>
      </c>
      <c r="L621" s="721"/>
      <c r="M621" s="721"/>
      <c r="N621" s="721"/>
      <c r="O621" s="721"/>
      <c r="P621" s="721"/>
      <c r="Q621" s="571"/>
      <c r="R621" s="571"/>
      <c r="S621" s="571"/>
      <c r="T621" s="571"/>
      <c r="U621" s="571"/>
      <c r="V621" s="571"/>
      <c r="W621" s="571"/>
      <c r="X621" s="571"/>
      <c r="Y621" s="571"/>
      <c r="Z621" s="571"/>
    </row>
    <row r="622" spans="1:26" ht="18.75" hidden="1">
      <c r="A622" s="601"/>
      <c r="B622" s="611"/>
      <c r="C622" s="611"/>
      <c r="D622" s="737" t="s">
        <v>268</v>
      </c>
      <c r="E622" s="619"/>
      <c r="F622" s="619"/>
      <c r="G622" s="753"/>
      <c r="H622" s="755" t="s">
        <v>46</v>
      </c>
      <c r="I622" s="269"/>
      <c r="J622" s="214">
        <v>0</v>
      </c>
      <c r="K622" s="163"/>
      <c r="L622" s="163"/>
      <c r="M622" s="163"/>
      <c r="N622" s="163"/>
      <c r="O622" s="163"/>
      <c r="P622" s="163"/>
      <c r="Q622" s="571"/>
      <c r="R622" s="571"/>
      <c r="S622" s="571"/>
      <c r="T622" s="571"/>
      <c r="U622" s="571"/>
      <c r="V622" s="571"/>
      <c r="W622" s="571"/>
      <c r="X622" s="571"/>
      <c r="Y622" s="571"/>
      <c r="Z622" s="571"/>
    </row>
    <row r="623" spans="1:26" ht="18.75" hidden="1">
      <c r="A623" s="601"/>
      <c r="B623" s="611"/>
      <c r="C623" s="611"/>
      <c r="D623" s="611"/>
      <c r="E623" s="619"/>
      <c r="F623" s="619"/>
      <c r="G623" s="753"/>
      <c r="H623" s="755" t="s">
        <v>34</v>
      </c>
      <c r="I623" s="269"/>
      <c r="J623" s="214">
        <v>0</v>
      </c>
      <c r="K623" s="163"/>
      <c r="L623" s="163"/>
      <c r="M623" s="163"/>
      <c r="N623" s="163"/>
      <c r="O623" s="163"/>
      <c r="P623" s="163"/>
      <c r="Q623" s="571"/>
      <c r="R623" s="571"/>
      <c r="S623" s="571"/>
      <c r="T623" s="571"/>
      <c r="U623" s="571"/>
      <c r="V623" s="571"/>
      <c r="W623" s="571"/>
      <c r="X623" s="571"/>
      <c r="Y623" s="571"/>
      <c r="Z623" s="571"/>
    </row>
    <row r="624" spans="1:26" ht="18.75" hidden="1">
      <c r="A624" s="601"/>
      <c r="B624" s="611"/>
      <c r="C624" s="611"/>
      <c r="D624" s="737" t="s">
        <v>264</v>
      </c>
      <c r="E624" s="619"/>
      <c r="F624" s="619"/>
      <c r="G624" s="753"/>
      <c r="H624" s="755" t="s">
        <v>46</v>
      </c>
      <c r="I624" s="269"/>
      <c r="J624" s="214">
        <v>0</v>
      </c>
      <c r="K624" s="163"/>
      <c r="L624" s="163"/>
      <c r="M624" s="163"/>
      <c r="N624" s="163"/>
      <c r="O624" s="163"/>
      <c r="P624" s="163"/>
      <c r="Q624" s="571"/>
      <c r="R624" s="571"/>
      <c r="S624" s="571"/>
      <c r="T624" s="571"/>
      <c r="U624" s="571"/>
      <c r="V624" s="571"/>
      <c r="W624" s="571"/>
      <c r="X624" s="571"/>
      <c r="Y624" s="571"/>
      <c r="Z624" s="571"/>
    </row>
    <row r="625" spans="1:26" ht="18.75" hidden="1">
      <c r="A625" s="601"/>
      <c r="B625" s="611"/>
      <c r="C625" s="611"/>
      <c r="D625" s="611"/>
      <c r="E625" s="619"/>
      <c r="F625" s="619"/>
      <c r="G625" s="753"/>
      <c r="H625" s="755" t="s">
        <v>34</v>
      </c>
      <c r="I625" s="269"/>
      <c r="J625" s="214">
        <v>0</v>
      </c>
      <c r="K625" s="163"/>
      <c r="L625" s="163"/>
      <c r="M625" s="163"/>
      <c r="N625" s="163"/>
      <c r="O625" s="163"/>
      <c r="P625" s="163"/>
      <c r="Q625" s="571"/>
      <c r="R625" s="571"/>
      <c r="S625" s="571"/>
      <c r="T625" s="571"/>
      <c r="U625" s="571"/>
      <c r="V625" s="571"/>
      <c r="W625" s="571"/>
      <c r="X625" s="571"/>
      <c r="Y625" s="571"/>
      <c r="Z625" s="571"/>
    </row>
    <row r="626" spans="1:26" ht="18.75" hidden="1">
      <c r="A626" s="601"/>
      <c r="B626" s="611"/>
      <c r="C626" s="611"/>
      <c r="D626" s="737" t="s">
        <v>269</v>
      </c>
      <c r="E626" s="619"/>
      <c r="F626" s="619"/>
      <c r="G626" s="753"/>
      <c r="H626" s="755" t="s">
        <v>46</v>
      </c>
      <c r="I626" s="269"/>
      <c r="J626" s="214">
        <v>0</v>
      </c>
      <c r="K626" s="163"/>
      <c r="L626" s="163"/>
      <c r="M626" s="163"/>
      <c r="N626" s="163"/>
      <c r="O626" s="163"/>
      <c r="P626" s="163"/>
      <c r="Q626" s="571"/>
      <c r="R626" s="571"/>
      <c r="S626" s="571"/>
      <c r="T626" s="571"/>
      <c r="U626" s="571"/>
      <c r="V626" s="571"/>
      <c r="W626" s="571"/>
      <c r="X626" s="571"/>
      <c r="Y626" s="571"/>
      <c r="Z626" s="571"/>
    </row>
    <row r="627" spans="1:26" ht="18.75" hidden="1">
      <c r="A627" s="723"/>
      <c r="B627" s="724"/>
      <c r="C627" s="724"/>
      <c r="D627" s="724"/>
      <c r="E627" s="725"/>
      <c r="F627" s="725"/>
      <c r="G627" s="726"/>
      <c r="H627" s="421" t="s">
        <v>34</v>
      </c>
      <c r="I627" s="499"/>
      <c r="J627" s="423">
        <v>0</v>
      </c>
      <c r="K627" s="384"/>
      <c r="L627" s="384"/>
      <c r="M627" s="384"/>
      <c r="N627" s="384"/>
      <c r="O627" s="384"/>
      <c r="P627" s="384"/>
      <c r="Q627" s="571"/>
      <c r="R627" s="571"/>
      <c r="S627" s="571"/>
      <c r="T627" s="571"/>
      <c r="U627" s="571"/>
      <c r="V627" s="571"/>
      <c r="W627" s="571"/>
      <c r="X627" s="571"/>
      <c r="Y627" s="571"/>
      <c r="Z627" s="571"/>
    </row>
    <row r="628" spans="1:26" ht="19.5" hidden="1">
      <c r="A628" s="727">
        <v>7</v>
      </c>
      <c r="B628" s="728" t="s">
        <v>270</v>
      </c>
      <c r="C628" s="729"/>
      <c r="D628" s="729"/>
      <c r="E628" s="729"/>
      <c r="F628" s="729"/>
      <c r="G628" s="730"/>
      <c r="H628" s="731" t="s">
        <v>35</v>
      </c>
      <c r="I628" s="732">
        <f t="shared" ref="I628:J628" ca="1" si="262">I651</f>
        <v>0</v>
      </c>
      <c r="J628" s="732">
        <f t="shared" ca="1" si="262"/>
        <v>0</v>
      </c>
      <c r="K628" s="733">
        <f ca="1">IF(I628&gt;0,J628*100/I628,0)</f>
        <v>0</v>
      </c>
      <c r="L628" s="734"/>
      <c r="M628" s="734"/>
      <c r="N628" s="734"/>
      <c r="O628" s="734"/>
      <c r="P628" s="734"/>
      <c r="Q628" s="571"/>
      <c r="R628" s="571"/>
      <c r="S628" s="571"/>
      <c r="T628" s="571"/>
      <c r="U628" s="571"/>
      <c r="V628" s="571"/>
      <c r="W628" s="571"/>
      <c r="X628" s="571"/>
      <c r="Y628" s="571"/>
      <c r="Z628" s="571"/>
    </row>
    <row r="629" spans="1:26" ht="19.5" hidden="1">
      <c r="A629" s="590"/>
      <c r="B629" s="754"/>
      <c r="C629" s="754" t="s">
        <v>16</v>
      </c>
      <c r="D629" s="863" t="s">
        <v>17</v>
      </c>
      <c r="E629" s="857"/>
      <c r="F629" s="857"/>
      <c r="G629" s="189"/>
      <c r="H629" s="591" t="s">
        <v>12</v>
      </c>
      <c r="I629" s="269"/>
      <c r="J629" s="269"/>
      <c r="K629" s="496"/>
      <c r="L629" s="195">
        <f t="shared" ref="L629:N629" ca="1" si="263">L630+L631</f>
        <v>0</v>
      </c>
      <c r="M629" s="195">
        <f t="shared" si="263"/>
        <v>0</v>
      </c>
      <c r="N629" s="195">
        <f t="shared" si="263"/>
        <v>0</v>
      </c>
      <c r="O629" s="195">
        <f t="shared" ref="O629:O634" ca="1" si="264">IF(L629&gt;0,N629*100/L629,0)</f>
        <v>0</v>
      </c>
      <c r="P629" s="195">
        <f t="shared" ref="P629:P634" si="265">IF(M629&gt;0,N629*100/M629,0)</f>
        <v>0</v>
      </c>
      <c r="Q629" s="571"/>
      <c r="R629" s="571"/>
      <c r="S629" s="571"/>
      <c r="T629" s="571"/>
      <c r="U629" s="571"/>
      <c r="V629" s="571"/>
      <c r="W629" s="571"/>
      <c r="X629" s="571"/>
      <c r="Y629" s="571"/>
      <c r="Z629" s="571"/>
    </row>
    <row r="630" spans="1:26" ht="18.75" hidden="1">
      <c r="A630" s="592"/>
      <c r="B630" s="750"/>
      <c r="C630" s="750"/>
      <c r="D630" s="711"/>
      <c r="E630" s="750" t="s">
        <v>184</v>
      </c>
      <c r="F630" s="750"/>
      <c r="G630" s="596"/>
      <c r="H630" s="165" t="s">
        <v>12</v>
      </c>
      <c r="I630" s="610"/>
      <c r="J630" s="610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597"/>
      <c r="R630" s="597"/>
      <c r="S630" s="597"/>
      <c r="T630" s="597"/>
      <c r="U630" s="597"/>
      <c r="V630" s="597"/>
      <c r="W630" s="597"/>
      <c r="X630" s="597"/>
      <c r="Y630" s="597"/>
      <c r="Z630" s="597"/>
    </row>
    <row r="631" spans="1:26" ht="18.75" hidden="1">
      <c r="A631" s="592"/>
      <c r="B631" s="600"/>
      <c r="C631" s="750"/>
      <c r="D631" s="711"/>
      <c r="E631" s="750" t="s">
        <v>185</v>
      </c>
      <c r="F631" s="750"/>
      <c r="G631" s="596"/>
      <c r="H631" s="165" t="s">
        <v>12</v>
      </c>
      <c r="I631" s="610"/>
      <c r="J631" s="610"/>
      <c r="K631" s="93"/>
      <c r="L631" s="93">
        <f t="shared" ca="1" si="266"/>
        <v>0</v>
      </c>
      <c r="M631" s="93">
        <f t="shared" si="266"/>
        <v>0</v>
      </c>
      <c r="N631" s="93">
        <f t="shared" si="266"/>
        <v>0</v>
      </c>
      <c r="O631" s="93">
        <f t="shared" ca="1" si="264"/>
        <v>0</v>
      </c>
      <c r="P631" s="93">
        <f t="shared" si="265"/>
        <v>0</v>
      </c>
      <c r="Q631" s="597"/>
      <c r="R631" s="597"/>
      <c r="S631" s="597"/>
      <c r="T631" s="597"/>
      <c r="U631" s="597"/>
      <c r="V631" s="597"/>
      <c r="W631" s="597"/>
      <c r="X631" s="597"/>
      <c r="Y631" s="597"/>
      <c r="Z631" s="597"/>
    </row>
    <row r="632" spans="1:26" ht="18.75" hidden="1">
      <c r="A632" s="590"/>
      <c r="B632" s="568"/>
      <c r="C632" s="754"/>
      <c r="D632" s="599" t="s">
        <v>20</v>
      </c>
      <c r="E632" s="754"/>
      <c r="F632" s="754"/>
      <c r="G632" s="189"/>
      <c r="H632" s="161" t="s">
        <v>12</v>
      </c>
      <c r="I632" s="184"/>
      <c r="J632" s="184"/>
      <c r="K632" s="163"/>
      <c r="L632" s="496">
        <f t="shared" ref="L632:N632" ca="1" si="267">L633+L634</f>
        <v>0</v>
      </c>
      <c r="M632" s="496">
        <f t="shared" si="267"/>
        <v>0</v>
      </c>
      <c r="N632" s="496">
        <f t="shared" si="267"/>
        <v>0</v>
      </c>
      <c r="O632" s="496">
        <f t="shared" ca="1" si="264"/>
        <v>0</v>
      </c>
      <c r="P632" s="496">
        <f t="shared" si="265"/>
        <v>0</v>
      </c>
      <c r="Q632" s="571"/>
      <c r="R632" s="571"/>
      <c r="S632" s="571"/>
      <c r="T632" s="571"/>
      <c r="U632" s="571"/>
      <c r="V632" s="571"/>
      <c r="W632" s="571"/>
      <c r="X632" s="571"/>
      <c r="Y632" s="571"/>
      <c r="Z632" s="571"/>
    </row>
    <row r="633" spans="1:26" ht="18.75" hidden="1">
      <c r="A633" s="592"/>
      <c r="B633" s="600"/>
      <c r="C633" s="750"/>
      <c r="D633" s="711"/>
      <c r="E633" s="750" t="s">
        <v>184</v>
      </c>
      <c r="F633" s="750"/>
      <c r="G633" s="596"/>
      <c r="H633" s="165" t="s">
        <v>12</v>
      </c>
      <c r="I633" s="610"/>
      <c r="J633" s="610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597"/>
      <c r="R633" s="597"/>
      <c r="S633" s="597"/>
      <c r="T633" s="597"/>
      <c r="U633" s="597"/>
      <c r="V633" s="597"/>
      <c r="W633" s="597"/>
      <c r="X633" s="597"/>
      <c r="Y633" s="597"/>
      <c r="Z633" s="597"/>
    </row>
    <row r="634" spans="1:26" ht="18.75" hidden="1">
      <c r="A634" s="592"/>
      <c r="B634" s="600"/>
      <c r="C634" s="750"/>
      <c r="D634" s="711"/>
      <c r="E634" s="750" t="s">
        <v>185</v>
      </c>
      <c r="F634" s="750"/>
      <c r="G634" s="596"/>
      <c r="H634" s="165" t="s">
        <v>12</v>
      </c>
      <c r="I634" s="610"/>
      <c r="J634" s="610"/>
      <c r="K634" s="93"/>
      <c r="L634" s="93">
        <f ca="1">IFERROR(__xludf.DUMMYFUNCTION("IMPORTRANGE(""https://docs.google.com/spreadsheets/d/1QqKyyYR6Q21VydFLVH3TRQUabQu_ym0Zz7PgGX0-kHA/edit?usp=sharing"",""แผน!HN59"")"),0)</f>
        <v>0</v>
      </c>
      <c r="M634" s="93">
        <v>0</v>
      </c>
      <c r="N634" s="93">
        <f>N635+N636+N637+N638</f>
        <v>0</v>
      </c>
      <c r="O634" s="93">
        <f t="shared" ca="1" si="264"/>
        <v>0</v>
      </c>
      <c r="P634" s="93">
        <f t="shared" si="265"/>
        <v>0</v>
      </c>
      <c r="Q634" s="597"/>
      <c r="R634" s="597"/>
      <c r="S634" s="597"/>
      <c r="T634" s="597"/>
      <c r="U634" s="597"/>
      <c r="V634" s="597"/>
      <c r="W634" s="597"/>
      <c r="X634" s="597"/>
      <c r="Y634" s="597"/>
      <c r="Z634" s="597"/>
    </row>
    <row r="635" spans="1:26" ht="18.75" hidden="1">
      <c r="A635" s="567"/>
      <c r="B635" s="568"/>
      <c r="C635" s="754"/>
      <c r="D635" s="754"/>
      <c r="E635" s="754"/>
      <c r="F635" s="754" t="s">
        <v>186</v>
      </c>
      <c r="G635" s="189"/>
      <c r="H635" s="161" t="s">
        <v>12</v>
      </c>
      <c r="I635" s="269"/>
      <c r="J635" s="269"/>
      <c r="K635" s="496"/>
      <c r="L635" s="496"/>
      <c r="M635" s="496"/>
      <c r="N635" s="817">
        <v>0</v>
      </c>
      <c r="O635" s="496"/>
      <c r="P635" s="496"/>
      <c r="Q635" s="571"/>
      <c r="R635" s="571"/>
      <c r="S635" s="571"/>
      <c r="T635" s="571"/>
      <c r="U635" s="571"/>
      <c r="V635" s="571"/>
      <c r="W635" s="571"/>
      <c r="X635" s="571"/>
      <c r="Y635" s="571"/>
      <c r="Z635" s="571"/>
    </row>
    <row r="636" spans="1:26" ht="18.75" hidden="1">
      <c r="A636" s="567"/>
      <c r="B636" s="568"/>
      <c r="C636" s="754"/>
      <c r="D636" s="754"/>
      <c r="E636" s="754"/>
      <c r="F636" s="754" t="s">
        <v>187</v>
      </c>
      <c r="G636" s="189"/>
      <c r="H636" s="161" t="s">
        <v>12</v>
      </c>
      <c r="I636" s="269"/>
      <c r="J636" s="269"/>
      <c r="K636" s="496"/>
      <c r="L636" s="496"/>
      <c r="M636" s="496"/>
      <c r="N636" s="817">
        <v>0</v>
      </c>
      <c r="O636" s="496"/>
      <c r="P636" s="496"/>
      <c r="Q636" s="571"/>
      <c r="R636" s="571"/>
      <c r="S636" s="571"/>
      <c r="T636" s="571"/>
      <c r="U636" s="571"/>
      <c r="V636" s="571"/>
      <c r="W636" s="571"/>
      <c r="X636" s="571"/>
      <c r="Y636" s="571"/>
      <c r="Z636" s="571"/>
    </row>
    <row r="637" spans="1:26" ht="18.75" hidden="1">
      <c r="A637" s="567"/>
      <c r="B637" s="568"/>
      <c r="C637" s="754"/>
      <c r="D637" s="754"/>
      <c r="E637" s="754"/>
      <c r="F637" s="754" t="s">
        <v>188</v>
      </c>
      <c r="G637" s="189"/>
      <c r="H637" s="161" t="s">
        <v>12</v>
      </c>
      <c r="I637" s="269"/>
      <c r="J637" s="269"/>
      <c r="K637" s="496"/>
      <c r="L637" s="496"/>
      <c r="M637" s="496"/>
      <c r="N637" s="817">
        <v>0</v>
      </c>
      <c r="O637" s="496"/>
      <c r="P637" s="496"/>
      <c r="Q637" s="571"/>
      <c r="R637" s="571"/>
      <c r="S637" s="571"/>
      <c r="T637" s="571"/>
      <c r="U637" s="571"/>
      <c r="V637" s="571"/>
      <c r="W637" s="571"/>
      <c r="X637" s="571"/>
      <c r="Y637" s="571"/>
      <c r="Z637" s="571"/>
    </row>
    <row r="638" spans="1:26" ht="18.75" hidden="1">
      <c r="A638" s="567"/>
      <c r="B638" s="568"/>
      <c r="C638" s="754"/>
      <c r="D638" s="754"/>
      <c r="E638" s="754"/>
      <c r="F638" s="754" t="s">
        <v>189</v>
      </c>
      <c r="G638" s="189"/>
      <c r="H638" s="161" t="s">
        <v>12</v>
      </c>
      <c r="I638" s="269"/>
      <c r="J638" s="269"/>
      <c r="K638" s="496"/>
      <c r="L638" s="496"/>
      <c r="M638" s="496"/>
      <c r="N638" s="817">
        <v>0</v>
      </c>
      <c r="O638" s="496"/>
      <c r="P638" s="496"/>
      <c r="Q638" s="571"/>
      <c r="R638" s="571"/>
      <c r="S638" s="571"/>
      <c r="T638" s="571"/>
      <c r="U638" s="571"/>
      <c r="V638" s="571"/>
      <c r="W638" s="571"/>
      <c r="X638" s="571"/>
      <c r="Y638" s="571"/>
      <c r="Z638" s="571"/>
    </row>
    <row r="639" spans="1:26" ht="18.75" hidden="1">
      <c r="A639" s="590"/>
      <c r="B639" s="568"/>
      <c r="C639" s="754"/>
      <c r="D639" s="599" t="s">
        <v>21</v>
      </c>
      <c r="E639" s="754"/>
      <c r="F639" s="754"/>
      <c r="G639" s="189"/>
      <c r="H639" s="168" t="s">
        <v>12</v>
      </c>
      <c r="I639" s="184"/>
      <c r="J639" s="184"/>
      <c r="K639" s="163"/>
      <c r="L639" s="496">
        <f t="shared" ref="L639:N639" ca="1" si="268">L640+L641</f>
        <v>0</v>
      </c>
      <c r="M639" s="496">
        <f t="shared" si="268"/>
        <v>0</v>
      </c>
      <c r="N639" s="496">
        <f t="shared" si="268"/>
        <v>0</v>
      </c>
      <c r="O639" s="496">
        <f t="shared" ref="O639:O641" ca="1" si="269">IF(L639&gt;0,N639*100/L639,0)</f>
        <v>0</v>
      </c>
      <c r="P639" s="496">
        <f t="shared" ref="P639:P641" si="270">IF(M639&gt;0,N639*100/M639,0)</f>
        <v>0</v>
      </c>
      <c r="Q639" s="571"/>
      <c r="R639" s="571"/>
      <c r="S639" s="571"/>
      <c r="T639" s="571"/>
      <c r="U639" s="571"/>
      <c r="V639" s="571"/>
      <c r="W639" s="571"/>
      <c r="X639" s="571"/>
      <c r="Y639" s="571"/>
      <c r="Z639" s="571"/>
    </row>
    <row r="640" spans="1:26" ht="18.75" hidden="1">
      <c r="A640" s="592"/>
      <c r="B640" s="600"/>
      <c r="C640" s="750"/>
      <c r="D640" s="750"/>
      <c r="E640" s="750" t="s">
        <v>18</v>
      </c>
      <c r="F640" s="750"/>
      <c r="G640" s="596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597"/>
      <c r="R640" s="597"/>
      <c r="S640" s="597"/>
      <c r="T640" s="597"/>
      <c r="U640" s="597"/>
      <c r="V640" s="597"/>
      <c r="W640" s="597"/>
      <c r="X640" s="597"/>
      <c r="Y640" s="597"/>
      <c r="Z640" s="597"/>
    </row>
    <row r="641" spans="1:26" ht="18.75" hidden="1">
      <c r="A641" s="592"/>
      <c r="B641" s="600"/>
      <c r="C641" s="750"/>
      <c r="D641" s="750"/>
      <c r="E641" s="750" t="s">
        <v>19</v>
      </c>
      <c r="F641" s="750"/>
      <c r="G641" s="596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IFERROR(__xludf.DUMMYFUNCTION("IMPORTRANGE(""https://docs.google.com/spreadsheets/d/1QqKyyYR6Q21VydFLVH3TRQUabQu_ym0Zz7PgGX0-kHA/edit?usp=sharing"",""แผน!HQ59"")"),0)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597"/>
      <c r="R641" s="597"/>
      <c r="S641" s="597"/>
      <c r="T641" s="597"/>
      <c r="U641" s="597"/>
      <c r="V641" s="597"/>
      <c r="W641" s="597"/>
      <c r="X641" s="597"/>
      <c r="Y641" s="597"/>
      <c r="Z641" s="597"/>
    </row>
    <row r="642" spans="1:26" ht="19.5" hidden="1">
      <c r="A642" s="601"/>
      <c r="B642" s="611"/>
      <c r="C642" s="754" t="s">
        <v>16</v>
      </c>
      <c r="D642" s="839" t="s">
        <v>38</v>
      </c>
      <c r="E642" s="752"/>
      <c r="F642" s="752"/>
      <c r="G642" s="606"/>
      <c r="H642" s="753"/>
      <c r="I642" s="184"/>
      <c r="J642" s="184"/>
      <c r="K642" s="163"/>
      <c r="L642" s="163"/>
      <c r="M642" s="163"/>
      <c r="N642" s="163"/>
      <c r="O642" s="163"/>
      <c r="P642" s="163"/>
      <c r="Q642" s="571"/>
      <c r="R642" s="571"/>
      <c r="S642" s="571"/>
      <c r="T642" s="571"/>
      <c r="U642" s="571"/>
      <c r="V642" s="571"/>
      <c r="W642" s="571"/>
      <c r="X642" s="571"/>
      <c r="Y642" s="571"/>
      <c r="Z642" s="571"/>
    </row>
    <row r="643" spans="1:26" ht="18.75" hidden="1">
      <c r="A643" s="735"/>
      <c r="B643" s="568"/>
      <c r="C643" s="754"/>
      <c r="D643" s="619"/>
      <c r="E643" s="737" t="s">
        <v>271</v>
      </c>
      <c r="F643" s="619"/>
      <c r="G643" s="753"/>
      <c r="H643" s="755" t="s">
        <v>272</v>
      </c>
      <c r="I643" s="269">
        <f ca="1">IFERROR(__xludf.DUMMYFUNCTION("IMPORTRANGE(""https://docs.google.com/spreadsheets/d/1QqKyyYR6Q21VydFLVH3TRQUabQu_ym0Zz7PgGX0-kHA/edit?usp=sharing"",""แผน!HR59"")"),0)</f>
        <v>0</v>
      </c>
      <c r="J643" s="214">
        <v>0</v>
      </c>
      <c r="K643" s="163">
        <f t="shared" ref="K643:K652" ca="1" si="271">IF(I643&gt;0,J643*100/I643,0)</f>
        <v>0</v>
      </c>
      <c r="L643" s="163"/>
      <c r="M643" s="163"/>
      <c r="N643" s="496"/>
      <c r="O643" s="163"/>
      <c r="P643" s="163"/>
      <c r="Q643" s="571"/>
      <c r="R643" s="571"/>
      <c r="S643" s="571"/>
      <c r="T643" s="571"/>
      <c r="U643" s="571"/>
      <c r="V643" s="571"/>
      <c r="W643" s="571"/>
      <c r="X643" s="571"/>
      <c r="Y643" s="571"/>
      <c r="Z643" s="571"/>
    </row>
    <row r="644" spans="1:26" ht="18.75" hidden="1">
      <c r="A644" s="735"/>
      <c r="B644" s="568"/>
      <c r="C644" s="754"/>
      <c r="D644" s="619"/>
      <c r="E644" s="737" t="s">
        <v>273</v>
      </c>
      <c r="F644" s="619"/>
      <c r="G644" s="753"/>
      <c r="H644" s="755" t="s">
        <v>274</v>
      </c>
      <c r="I644" s="269">
        <f ca="1">IFERROR(__xludf.DUMMYFUNCTION("IMPORTRANGE(""https://docs.google.com/spreadsheets/d/1QqKyyYR6Q21VydFLVH3TRQUabQu_ym0Zz7PgGX0-kHA/edit?usp=sharing"",""แผน!HR59"")"),0)</f>
        <v>0</v>
      </c>
      <c r="J644" s="214">
        <v>0</v>
      </c>
      <c r="K644" s="163">
        <f t="shared" ca="1" si="271"/>
        <v>0</v>
      </c>
      <c r="L644" s="163"/>
      <c r="M644" s="163"/>
      <c r="N644" s="496"/>
      <c r="O644" s="163"/>
      <c r="P644" s="163"/>
      <c r="Q644" s="571"/>
      <c r="R644" s="571"/>
      <c r="S644" s="571"/>
      <c r="T644" s="571"/>
      <c r="U644" s="571"/>
      <c r="V644" s="571"/>
      <c r="W644" s="571"/>
      <c r="X644" s="571"/>
      <c r="Y644" s="571"/>
      <c r="Z644" s="571"/>
    </row>
    <row r="645" spans="1:26" ht="18.75" hidden="1">
      <c r="A645" s="735"/>
      <c r="B645" s="568"/>
      <c r="C645" s="754"/>
      <c r="D645" s="619"/>
      <c r="E645" s="737" t="s">
        <v>275</v>
      </c>
      <c r="F645" s="619"/>
      <c r="G645" s="753"/>
      <c r="H645" s="755" t="s">
        <v>34</v>
      </c>
      <c r="I645" s="269">
        <v>0</v>
      </c>
      <c r="J645" s="269">
        <f ca="1">IFERROR(__xludf.DUMMYFUNCTION("IMPORTRANGE(""https://docs.google.com/spreadsheets/d/1XWAQStnk-4SwqDmLtmXYiTMKHgktTP8We1SCoS47DrQ/edit?usp=sharing"",""จัดที่ดิน!AS59"")"),0)</f>
        <v>0</v>
      </c>
      <c r="K645" s="163">
        <f t="shared" si="271"/>
        <v>0</v>
      </c>
      <c r="L645" s="163"/>
      <c r="M645" s="163"/>
      <c r="N645" s="496"/>
      <c r="O645" s="163"/>
      <c r="P645" s="163"/>
      <c r="Q645" s="571"/>
      <c r="R645" s="571"/>
      <c r="S645" s="571"/>
      <c r="T645" s="571"/>
      <c r="U645" s="571"/>
      <c r="V645" s="571"/>
      <c r="W645" s="571"/>
      <c r="X645" s="571"/>
      <c r="Y645" s="571"/>
      <c r="Z645" s="571"/>
    </row>
    <row r="646" spans="1:26" ht="18.75" hidden="1">
      <c r="A646" s="735"/>
      <c r="B646" s="568"/>
      <c r="C646" s="754"/>
      <c r="D646" s="619"/>
      <c r="E646" s="619"/>
      <c r="F646" s="619"/>
      <c r="G646" s="753"/>
      <c r="H646" s="755" t="s">
        <v>46</v>
      </c>
      <c r="I646" s="269">
        <v>0</v>
      </c>
      <c r="J646" s="269">
        <f ca="1">IFERROR(__xludf.DUMMYFUNCTION("IMPORTRANGE(""https://docs.google.com/spreadsheets/d/1XWAQStnk-4SwqDmLtmXYiTMKHgktTP8We1SCoS47DrQ/edit?usp=sharing"",""จัดที่ดิน!AT59"")"),0)</f>
        <v>0</v>
      </c>
      <c r="K646" s="496">
        <f t="shared" si="271"/>
        <v>0</v>
      </c>
      <c r="L646" s="163"/>
      <c r="M646" s="163"/>
      <c r="N646" s="496"/>
      <c r="O646" s="163"/>
      <c r="P646" s="163"/>
      <c r="Q646" s="571"/>
      <c r="R646" s="571"/>
      <c r="S646" s="571"/>
      <c r="T646" s="571"/>
      <c r="U646" s="571"/>
      <c r="V646" s="571"/>
      <c r="W646" s="571"/>
      <c r="X646" s="571"/>
      <c r="Y646" s="571"/>
      <c r="Z646" s="571"/>
    </row>
    <row r="647" spans="1:26" ht="18.75" hidden="1">
      <c r="A647" s="735"/>
      <c r="B647" s="568"/>
      <c r="C647" s="754"/>
      <c r="D647" s="619"/>
      <c r="E647" s="737" t="s">
        <v>162</v>
      </c>
      <c r="F647" s="619"/>
      <c r="G647" s="753"/>
      <c r="H647" s="755" t="s">
        <v>35</v>
      </c>
      <c r="I647" s="269">
        <f ca="1">IFERROR(__xludf.DUMMYFUNCTION("IMPORTRANGE(""https://docs.google.com/spreadsheets/d/1QqKyyYR6Q21VydFLVH3TRQUabQu_ym0Zz7PgGX0-kHA/edit?usp=sharing"",""แผน!HS59"")"),0)</f>
        <v>0</v>
      </c>
      <c r="J647" s="269">
        <f ca="1">IFERROR(__xludf.DUMMYFUNCTION("IMPORTRANGE(""https://docs.google.com/spreadsheets/d/1XWAQStnk-4SwqDmLtmXYiTMKHgktTP8We1SCoS47DrQ/edit?usp=sharing"",""จัดที่ดิน!AU59"")"),0)</f>
        <v>0</v>
      </c>
      <c r="K647" s="163">
        <f t="shared" ca="1" si="271"/>
        <v>0</v>
      </c>
      <c r="L647" s="163"/>
      <c r="M647" s="163"/>
      <c r="N647" s="163"/>
      <c r="O647" s="163"/>
      <c r="P647" s="163"/>
      <c r="Q647" s="571"/>
      <c r="R647" s="571"/>
      <c r="S647" s="571"/>
      <c r="T647" s="571"/>
      <c r="U647" s="571"/>
      <c r="V647" s="571"/>
      <c r="W647" s="571"/>
      <c r="X647" s="571"/>
      <c r="Y647" s="571"/>
      <c r="Z647" s="571"/>
    </row>
    <row r="648" spans="1:26" ht="18.75" hidden="1">
      <c r="A648" s="735"/>
      <c r="B648" s="568"/>
      <c r="C648" s="754"/>
      <c r="D648" s="619"/>
      <c r="E648" s="619"/>
      <c r="F648" s="619"/>
      <c r="G648" s="753"/>
      <c r="H648" s="755" t="s">
        <v>46</v>
      </c>
      <c r="I648" s="269">
        <v>0</v>
      </c>
      <c r="J648" s="269">
        <f ca="1">IFERROR(__xludf.DUMMYFUNCTION("IMPORTRANGE(""https://docs.google.com/spreadsheets/d/1XWAQStnk-4SwqDmLtmXYiTMKHgktTP8We1SCoS47DrQ/edit?usp=sharing"",""จัดที่ดิน!AV59"")"),0)</f>
        <v>0</v>
      </c>
      <c r="K648" s="496">
        <f t="shared" si="271"/>
        <v>0</v>
      </c>
      <c r="L648" s="163"/>
      <c r="M648" s="163"/>
      <c r="N648" s="163"/>
      <c r="O648" s="163"/>
      <c r="P648" s="163"/>
      <c r="Q648" s="571"/>
      <c r="R648" s="571"/>
      <c r="S648" s="571"/>
      <c r="T648" s="571"/>
      <c r="U648" s="571"/>
      <c r="V648" s="571"/>
      <c r="W648" s="571"/>
      <c r="X648" s="571"/>
      <c r="Y648" s="571"/>
      <c r="Z648" s="571"/>
    </row>
    <row r="649" spans="1:26" ht="18.75" hidden="1">
      <c r="A649" s="735"/>
      <c r="B649" s="568"/>
      <c r="C649" s="754"/>
      <c r="D649" s="619"/>
      <c r="E649" s="737" t="s">
        <v>276</v>
      </c>
      <c r="F649" s="619"/>
      <c r="G649" s="753"/>
      <c r="H649" s="755" t="s">
        <v>35</v>
      </c>
      <c r="I649" s="269">
        <f ca="1">IFERROR(__xludf.DUMMYFUNCTION("IMPORTRANGE(""https://docs.google.com/spreadsheets/d/1QqKyyYR6Q21VydFLVH3TRQUabQu_ym0Zz7PgGX0-kHA/edit?usp=sharing"",""แผน!HS59"")"),0)</f>
        <v>0</v>
      </c>
      <c r="J649" s="269">
        <f ca="1">IFERROR(__xludf.DUMMYFUNCTION("IMPORTRANGE(""https://docs.google.com/spreadsheets/d/1XWAQStnk-4SwqDmLtmXYiTMKHgktTP8We1SCoS47DrQ/edit?usp=sharing"",""จัดที่ดิน!AW59"")"),0)</f>
        <v>0</v>
      </c>
      <c r="K649" s="163">
        <f t="shared" ca="1" si="271"/>
        <v>0</v>
      </c>
      <c r="L649" s="163"/>
      <c r="M649" s="163"/>
      <c r="N649" s="163"/>
      <c r="O649" s="163"/>
      <c r="P649" s="163"/>
      <c r="Q649" s="571"/>
      <c r="R649" s="571"/>
      <c r="S649" s="571"/>
      <c r="T649" s="571"/>
      <c r="U649" s="571"/>
      <c r="V649" s="571"/>
      <c r="W649" s="571"/>
      <c r="X649" s="571"/>
      <c r="Y649" s="571"/>
      <c r="Z649" s="571"/>
    </row>
    <row r="650" spans="1:26" ht="18.75" hidden="1">
      <c r="A650" s="735"/>
      <c r="B650" s="568"/>
      <c r="C650" s="754"/>
      <c r="D650" s="619"/>
      <c r="E650" s="619"/>
      <c r="F650" s="619"/>
      <c r="G650" s="753"/>
      <c r="H650" s="755" t="s">
        <v>46</v>
      </c>
      <c r="I650" s="269">
        <v>0</v>
      </c>
      <c r="J650" s="269">
        <f ca="1">IFERROR(__xludf.DUMMYFUNCTION("IMPORTRANGE(""https://docs.google.com/spreadsheets/d/1XWAQStnk-4SwqDmLtmXYiTMKHgktTP8We1SCoS47DrQ/edit?usp=sharing"",""จัดที่ดิน!AX59"")"),0)</f>
        <v>0</v>
      </c>
      <c r="K650" s="496">
        <f t="shared" si="271"/>
        <v>0</v>
      </c>
      <c r="L650" s="163"/>
      <c r="M650" s="163"/>
      <c r="N650" s="163"/>
      <c r="O650" s="163"/>
      <c r="P650" s="163"/>
      <c r="Q650" s="571"/>
      <c r="R650" s="571"/>
      <c r="S650" s="571"/>
      <c r="T650" s="571"/>
      <c r="U650" s="571"/>
      <c r="V650" s="571"/>
      <c r="W650" s="571"/>
      <c r="X650" s="571"/>
      <c r="Y650" s="571"/>
      <c r="Z650" s="571"/>
    </row>
    <row r="651" spans="1:26" ht="18.75" hidden="1">
      <c r="A651" s="735"/>
      <c r="B651" s="568"/>
      <c r="C651" s="754"/>
      <c r="D651" s="619"/>
      <c r="E651" s="737" t="s">
        <v>277</v>
      </c>
      <c r="F651" s="619"/>
      <c r="G651" s="753"/>
      <c r="H651" s="755" t="s">
        <v>35</v>
      </c>
      <c r="I651" s="269">
        <f ca="1">IFERROR(__xludf.DUMMYFUNCTION("IMPORTRANGE(""https://docs.google.com/spreadsheets/d/1QqKyyYR6Q21VydFLVH3TRQUabQu_ym0Zz7PgGX0-kHA/edit?usp=sharing"",""แผน!HS59"")"),0)</f>
        <v>0</v>
      </c>
      <c r="J651" s="269">
        <f ca="1">IFERROR(__xludf.DUMMYFUNCTION("IMPORTRANGE(""https://docs.google.com/spreadsheets/d/1XWAQStnk-4SwqDmLtmXYiTMKHgktTP8We1SCoS47DrQ/edit?usp=sharing"",""จัดที่ดิน!AY59"")"),0)</f>
        <v>0</v>
      </c>
      <c r="K651" s="163">
        <f t="shared" ca="1" si="271"/>
        <v>0</v>
      </c>
      <c r="L651" s="163"/>
      <c r="M651" s="163"/>
      <c r="N651" s="163"/>
      <c r="O651" s="163"/>
      <c r="P651" s="163"/>
      <c r="Q651" s="571"/>
      <c r="R651" s="571"/>
      <c r="S651" s="571"/>
      <c r="T651" s="571"/>
      <c r="U651" s="571"/>
      <c r="V651" s="571"/>
      <c r="W651" s="571"/>
      <c r="X651" s="571"/>
      <c r="Y651" s="571"/>
      <c r="Z651" s="571"/>
    </row>
    <row r="652" spans="1:26" ht="18.75" hidden="1">
      <c r="A652" s="738"/>
      <c r="B652" s="739"/>
      <c r="C652" s="740"/>
      <c r="D652" s="725"/>
      <c r="E652" s="725"/>
      <c r="F652" s="725"/>
      <c r="G652" s="726"/>
      <c r="H652" s="498" t="s">
        <v>46</v>
      </c>
      <c r="I652" s="499">
        <v>0</v>
      </c>
      <c r="J652" s="499">
        <f ca="1">IFERROR(__xludf.DUMMYFUNCTION("IMPORTRANGE(""https://docs.google.com/spreadsheets/d/1XWAQStnk-4SwqDmLtmXYiTMKHgktTP8We1SCoS47DrQ/edit?usp=sharing"",""จัดที่ดิน!AZ59"")"),0)</f>
        <v>0</v>
      </c>
      <c r="K652" s="500">
        <f t="shared" si="271"/>
        <v>0</v>
      </c>
      <c r="L652" s="384"/>
      <c r="M652" s="384"/>
      <c r="N652" s="384"/>
      <c r="O652" s="384"/>
      <c r="P652" s="384"/>
      <c r="Q652" s="571"/>
      <c r="R652" s="571"/>
      <c r="S652" s="571"/>
      <c r="T652" s="571"/>
      <c r="U652" s="571"/>
      <c r="V652" s="571"/>
      <c r="W652" s="571"/>
      <c r="X652" s="571"/>
      <c r="Y652" s="571"/>
      <c r="Z652" s="571"/>
    </row>
    <row r="653" spans="1:26" ht="19.5">
      <c r="A653" s="741">
        <v>8</v>
      </c>
      <c r="B653" s="728" t="s">
        <v>278</v>
      </c>
      <c r="C653" s="729"/>
      <c r="D653" s="729"/>
      <c r="E653" s="729"/>
      <c r="F653" s="729"/>
      <c r="G653" s="730"/>
      <c r="H653" s="730"/>
      <c r="I653" s="742"/>
      <c r="J653" s="742"/>
      <c r="K653" s="734"/>
      <c r="L653" s="734"/>
      <c r="M653" s="734"/>
      <c r="N653" s="734"/>
      <c r="O653" s="734"/>
      <c r="P653" s="734"/>
      <c r="Q653" s="571"/>
      <c r="R653" s="571"/>
      <c r="S653" s="571"/>
      <c r="T653" s="571"/>
      <c r="U653" s="571"/>
      <c r="V653" s="571"/>
      <c r="W653" s="571"/>
      <c r="X653" s="571"/>
      <c r="Y653" s="571"/>
      <c r="Z653" s="571"/>
    </row>
    <row r="654" spans="1:26" ht="19.5">
      <c r="A654" s="666"/>
      <c r="B654" s="665" t="s">
        <v>279</v>
      </c>
      <c r="C654" s="666"/>
      <c r="D654" s="666"/>
      <c r="E654" s="666"/>
      <c r="F654" s="666"/>
      <c r="G654" s="667"/>
      <c r="H654" s="698" t="s">
        <v>46</v>
      </c>
      <c r="I654" s="699">
        <f t="shared" ref="I654:J654" ca="1" si="272">I669</f>
        <v>50</v>
      </c>
      <c r="J654" s="699">
        <f t="shared" si="272"/>
        <v>0</v>
      </c>
      <c r="K654" s="670">
        <f ca="1">IF(I654&gt;0,J654*100/I654,0)</f>
        <v>0</v>
      </c>
      <c r="L654" s="671"/>
      <c r="M654" s="671"/>
      <c r="N654" s="671"/>
      <c r="O654" s="671"/>
      <c r="P654" s="671"/>
      <c r="Q654" s="571"/>
      <c r="R654" s="571"/>
      <c r="S654" s="571"/>
      <c r="T654" s="571"/>
      <c r="U654" s="571"/>
      <c r="V654" s="571"/>
      <c r="W654" s="571"/>
      <c r="X654" s="571"/>
      <c r="Y654" s="571"/>
      <c r="Z654" s="571"/>
    </row>
    <row r="655" spans="1:26" ht="19.5">
      <c r="A655" s="590"/>
      <c r="B655" s="754"/>
      <c r="C655" s="754" t="s">
        <v>16</v>
      </c>
      <c r="D655" s="863" t="s">
        <v>17</v>
      </c>
      <c r="E655" s="857"/>
      <c r="F655" s="857"/>
      <c r="G655" s="189"/>
      <c r="H655" s="591" t="s">
        <v>12</v>
      </c>
      <c r="I655" s="269"/>
      <c r="J655" s="269"/>
      <c r="K655" s="496"/>
      <c r="L655" s="195">
        <f t="shared" ref="L655:N655" ca="1" si="273">L656+L657</f>
        <v>7800</v>
      </c>
      <c r="M655" s="195">
        <f t="shared" si="273"/>
        <v>0</v>
      </c>
      <c r="N655" s="195">
        <f t="shared" si="273"/>
        <v>0</v>
      </c>
      <c r="O655" s="195">
        <f t="shared" ref="O655:O660" ca="1" si="274">IF(L655&gt;0,N655*100/L655,0)</f>
        <v>0</v>
      </c>
      <c r="P655" s="195">
        <f t="shared" ref="P655:P660" si="275">IF(M655&gt;0,N655*100/M655,0)</f>
        <v>0</v>
      </c>
      <c r="Q655" s="571"/>
      <c r="R655" s="571"/>
      <c r="S655" s="571"/>
      <c r="T655" s="571"/>
      <c r="U655" s="571"/>
      <c r="V655" s="571"/>
      <c r="W655" s="571"/>
      <c r="X655" s="571"/>
      <c r="Y655" s="571"/>
      <c r="Z655" s="571"/>
    </row>
    <row r="656" spans="1:26" ht="18.75" hidden="1">
      <c r="A656" s="592"/>
      <c r="B656" s="750"/>
      <c r="C656" s="750"/>
      <c r="D656" s="711"/>
      <c r="E656" s="750" t="s">
        <v>184</v>
      </c>
      <c r="F656" s="750"/>
      <c r="G656" s="596"/>
      <c r="H656" s="165" t="s">
        <v>12</v>
      </c>
      <c r="I656" s="610"/>
      <c r="J656" s="610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597"/>
      <c r="R656" s="597"/>
      <c r="S656" s="597"/>
      <c r="T656" s="597"/>
      <c r="U656" s="597"/>
      <c r="V656" s="597"/>
      <c r="W656" s="597"/>
      <c r="X656" s="597"/>
      <c r="Y656" s="597"/>
      <c r="Z656" s="597"/>
    </row>
    <row r="657" spans="1:26" ht="18.75" hidden="1">
      <c r="A657" s="592"/>
      <c r="B657" s="600"/>
      <c r="C657" s="750"/>
      <c r="D657" s="711"/>
      <c r="E657" s="750" t="s">
        <v>185</v>
      </c>
      <c r="F657" s="750"/>
      <c r="G657" s="596"/>
      <c r="H657" s="165" t="s">
        <v>12</v>
      </c>
      <c r="I657" s="610"/>
      <c r="J657" s="610"/>
      <c r="K657" s="93"/>
      <c r="L657" s="93">
        <f t="shared" ca="1" si="276"/>
        <v>7800</v>
      </c>
      <c r="M657" s="93">
        <f t="shared" si="276"/>
        <v>0</v>
      </c>
      <c r="N657" s="93">
        <f t="shared" si="276"/>
        <v>0</v>
      </c>
      <c r="O657" s="93">
        <f t="shared" ca="1" si="274"/>
        <v>0</v>
      </c>
      <c r="P657" s="93">
        <f t="shared" si="275"/>
        <v>0</v>
      </c>
      <c r="Q657" s="597"/>
      <c r="R657" s="597"/>
      <c r="S657" s="597"/>
      <c r="T657" s="597"/>
      <c r="U657" s="597"/>
      <c r="V657" s="597"/>
      <c r="W657" s="597"/>
      <c r="X657" s="597"/>
      <c r="Y657" s="597"/>
      <c r="Z657" s="597"/>
    </row>
    <row r="658" spans="1:26" ht="18.75">
      <c r="A658" s="590"/>
      <c r="B658" s="568"/>
      <c r="C658" s="754"/>
      <c r="D658" s="599" t="s">
        <v>20</v>
      </c>
      <c r="E658" s="754"/>
      <c r="F658" s="754"/>
      <c r="G658" s="189"/>
      <c r="H658" s="161" t="s">
        <v>12</v>
      </c>
      <c r="I658" s="184"/>
      <c r="J658" s="184"/>
      <c r="K658" s="163"/>
      <c r="L658" s="496">
        <f t="shared" ref="L658:N658" ca="1" si="277">L659+L660</f>
        <v>7800</v>
      </c>
      <c r="M658" s="496">
        <f t="shared" si="277"/>
        <v>0</v>
      </c>
      <c r="N658" s="496">
        <f t="shared" si="277"/>
        <v>0</v>
      </c>
      <c r="O658" s="496">
        <f t="shared" ca="1" si="274"/>
        <v>0</v>
      </c>
      <c r="P658" s="496">
        <f t="shared" si="275"/>
        <v>0</v>
      </c>
      <c r="Q658" s="571"/>
      <c r="R658" s="571"/>
      <c r="S658" s="571"/>
      <c r="T658" s="571"/>
      <c r="U658" s="571"/>
      <c r="V658" s="571"/>
      <c r="W658" s="571"/>
      <c r="X658" s="571"/>
      <c r="Y658" s="571"/>
      <c r="Z658" s="571"/>
    </row>
    <row r="659" spans="1:26" ht="18.75" hidden="1">
      <c r="A659" s="592"/>
      <c r="B659" s="600"/>
      <c r="C659" s="750"/>
      <c r="D659" s="711"/>
      <c r="E659" s="750" t="s">
        <v>184</v>
      </c>
      <c r="F659" s="750"/>
      <c r="G659" s="596"/>
      <c r="H659" s="165" t="s">
        <v>12</v>
      </c>
      <c r="I659" s="610"/>
      <c r="J659" s="610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597"/>
      <c r="R659" s="597"/>
      <c r="S659" s="597"/>
      <c r="T659" s="597"/>
      <c r="U659" s="597"/>
      <c r="V659" s="597"/>
      <c r="W659" s="597"/>
      <c r="X659" s="597"/>
      <c r="Y659" s="597"/>
      <c r="Z659" s="597"/>
    </row>
    <row r="660" spans="1:26" ht="18.75" hidden="1">
      <c r="A660" s="592"/>
      <c r="B660" s="600"/>
      <c r="C660" s="750"/>
      <c r="D660" s="711"/>
      <c r="E660" s="750" t="s">
        <v>185</v>
      </c>
      <c r="F660" s="750"/>
      <c r="G660" s="596"/>
      <c r="H660" s="165" t="s">
        <v>12</v>
      </c>
      <c r="I660" s="610"/>
      <c r="J660" s="610"/>
      <c r="K660" s="93"/>
      <c r="L660" s="93">
        <f ca="1">IFERROR(__xludf.DUMMYFUNCTION("IMPORTRANGE(""https://docs.google.com/spreadsheets/d/1QqKyyYR6Q21VydFLVH3TRQUabQu_ym0Zz7PgGX0-kHA/edit?usp=sharing"",""แผน!HV59"")"),7800)</f>
        <v>7800</v>
      </c>
      <c r="M660" s="93">
        <v>0</v>
      </c>
      <c r="N660" s="93">
        <f>N661+N662+N663+N664</f>
        <v>0</v>
      </c>
      <c r="O660" s="93">
        <f t="shared" ca="1" si="274"/>
        <v>0</v>
      </c>
      <c r="P660" s="93">
        <f t="shared" si="275"/>
        <v>0</v>
      </c>
      <c r="Q660" s="597"/>
      <c r="R660" s="597"/>
      <c r="S660" s="597"/>
      <c r="T660" s="597"/>
      <c r="U660" s="597"/>
      <c r="V660" s="597"/>
      <c r="W660" s="597"/>
      <c r="X660" s="597"/>
      <c r="Y660" s="597"/>
      <c r="Z660" s="597"/>
    </row>
    <row r="661" spans="1:26" ht="18.75">
      <c r="A661" s="567"/>
      <c r="B661" s="568"/>
      <c r="C661" s="754"/>
      <c r="D661" s="754"/>
      <c r="E661" s="754"/>
      <c r="F661" s="754" t="s">
        <v>186</v>
      </c>
      <c r="G661" s="189"/>
      <c r="H661" s="161" t="s">
        <v>12</v>
      </c>
      <c r="I661" s="269"/>
      <c r="J661" s="269"/>
      <c r="K661" s="496"/>
      <c r="L661" s="496"/>
      <c r="M661" s="496"/>
      <c r="N661" s="817">
        <v>0</v>
      </c>
      <c r="O661" s="496"/>
      <c r="P661" s="496"/>
      <c r="Q661" s="571"/>
      <c r="R661" s="571"/>
      <c r="S661" s="571"/>
      <c r="T661" s="571"/>
      <c r="U661" s="571"/>
      <c r="V661" s="571"/>
      <c r="W661" s="571"/>
      <c r="X661" s="571"/>
      <c r="Y661" s="571"/>
      <c r="Z661" s="571"/>
    </row>
    <row r="662" spans="1:26" ht="18.75">
      <c r="A662" s="567"/>
      <c r="B662" s="568"/>
      <c r="C662" s="754"/>
      <c r="D662" s="754"/>
      <c r="E662" s="754"/>
      <c r="F662" s="754" t="s">
        <v>187</v>
      </c>
      <c r="G662" s="189"/>
      <c r="H662" s="161" t="s">
        <v>12</v>
      </c>
      <c r="I662" s="269"/>
      <c r="J662" s="269"/>
      <c r="K662" s="496"/>
      <c r="L662" s="496"/>
      <c r="M662" s="496"/>
      <c r="N662" s="817">
        <v>0</v>
      </c>
      <c r="O662" s="496"/>
      <c r="P662" s="496"/>
      <c r="Q662" s="571"/>
      <c r="R662" s="571"/>
      <c r="S662" s="571"/>
      <c r="T662" s="571"/>
      <c r="U662" s="571"/>
      <c r="V662" s="571"/>
      <c r="W662" s="571"/>
      <c r="X662" s="571"/>
      <c r="Y662" s="571"/>
      <c r="Z662" s="571"/>
    </row>
    <row r="663" spans="1:26" ht="18.75">
      <c r="A663" s="567"/>
      <c r="B663" s="568"/>
      <c r="C663" s="568"/>
      <c r="D663" s="754"/>
      <c r="E663" s="754"/>
      <c r="F663" s="754" t="s">
        <v>188</v>
      </c>
      <c r="G663" s="189"/>
      <c r="H663" s="161" t="s">
        <v>12</v>
      </c>
      <c r="I663" s="269"/>
      <c r="J663" s="269"/>
      <c r="K663" s="496"/>
      <c r="L663" s="496"/>
      <c r="M663" s="496"/>
      <c r="N663" s="817">
        <v>0</v>
      </c>
      <c r="O663" s="496"/>
      <c r="P663" s="496"/>
      <c r="Q663" s="571"/>
      <c r="R663" s="571"/>
      <c r="S663" s="571"/>
      <c r="T663" s="571"/>
      <c r="U663" s="571"/>
      <c r="V663" s="571"/>
      <c r="W663" s="571"/>
      <c r="X663" s="571"/>
      <c r="Y663" s="571"/>
      <c r="Z663" s="571"/>
    </row>
    <row r="664" spans="1:26" ht="18.75">
      <c r="A664" s="567"/>
      <c r="B664" s="568"/>
      <c r="C664" s="568"/>
      <c r="D664" s="568"/>
      <c r="E664" s="754"/>
      <c r="F664" s="754" t="s">
        <v>189</v>
      </c>
      <c r="G664" s="189"/>
      <c r="H664" s="161" t="s">
        <v>12</v>
      </c>
      <c r="I664" s="269"/>
      <c r="J664" s="269"/>
      <c r="K664" s="496"/>
      <c r="L664" s="496"/>
      <c r="M664" s="496"/>
      <c r="N664" s="817">
        <v>0</v>
      </c>
      <c r="O664" s="496"/>
      <c r="P664" s="496"/>
      <c r="Q664" s="571"/>
      <c r="R664" s="571"/>
      <c r="S664" s="571"/>
      <c r="T664" s="571"/>
      <c r="U664" s="571"/>
      <c r="V664" s="571"/>
      <c r="W664" s="571"/>
      <c r="X664" s="571"/>
      <c r="Y664" s="571"/>
      <c r="Z664" s="571"/>
    </row>
    <row r="665" spans="1:26" ht="18.75">
      <c r="A665" s="590"/>
      <c r="B665" s="568"/>
      <c r="C665" s="568"/>
      <c r="D665" s="599" t="s">
        <v>21</v>
      </c>
      <c r="E665" s="754"/>
      <c r="F665" s="754"/>
      <c r="G665" s="189"/>
      <c r="H665" s="168" t="s">
        <v>12</v>
      </c>
      <c r="I665" s="184"/>
      <c r="J665" s="184"/>
      <c r="K665" s="163"/>
      <c r="L665" s="496">
        <f t="shared" ref="L665:N665" si="278">L666+L667</f>
        <v>0</v>
      </c>
      <c r="M665" s="496">
        <f t="shared" si="278"/>
        <v>0</v>
      </c>
      <c r="N665" s="496">
        <f t="shared" si="278"/>
        <v>0</v>
      </c>
      <c r="O665" s="496">
        <f t="shared" ref="O665:O667" si="279">IF(L665&gt;0,N665*100/L665,0)</f>
        <v>0</v>
      </c>
      <c r="P665" s="496">
        <f t="shared" ref="P665:P667" si="280">IF(M665&gt;0,N665*100/M665,0)</f>
        <v>0</v>
      </c>
      <c r="Q665" s="571"/>
      <c r="R665" s="571"/>
      <c r="S665" s="571"/>
      <c r="T665" s="571"/>
      <c r="U665" s="571"/>
      <c r="V665" s="571"/>
      <c r="W665" s="571"/>
      <c r="X665" s="571"/>
      <c r="Y665" s="571"/>
      <c r="Z665" s="571"/>
    </row>
    <row r="666" spans="1:26" ht="18.75" hidden="1">
      <c r="A666" s="592"/>
      <c r="B666" s="600"/>
      <c r="C666" s="600"/>
      <c r="D666" s="600"/>
      <c r="E666" s="750" t="s">
        <v>18</v>
      </c>
      <c r="F666" s="750"/>
      <c r="G666" s="596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597"/>
      <c r="R666" s="597"/>
      <c r="S666" s="597"/>
      <c r="T666" s="597"/>
      <c r="U666" s="597"/>
      <c r="V666" s="597"/>
      <c r="W666" s="597"/>
      <c r="X666" s="597"/>
      <c r="Y666" s="597"/>
      <c r="Z666" s="597"/>
    </row>
    <row r="667" spans="1:26" ht="18.75" hidden="1">
      <c r="A667" s="592"/>
      <c r="B667" s="600"/>
      <c r="C667" s="600"/>
      <c r="D667" s="600"/>
      <c r="E667" s="750" t="s">
        <v>19</v>
      </c>
      <c r="F667" s="750"/>
      <c r="G667" s="596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597"/>
      <c r="R667" s="597"/>
      <c r="S667" s="597"/>
      <c r="T667" s="597"/>
      <c r="U667" s="597"/>
      <c r="V667" s="597"/>
      <c r="W667" s="597"/>
      <c r="X667" s="597"/>
      <c r="Y667" s="597"/>
      <c r="Z667" s="597"/>
    </row>
    <row r="668" spans="1:26" ht="19.5">
      <c r="A668" s="601"/>
      <c r="B668" s="611"/>
      <c r="C668" s="568" t="s">
        <v>16</v>
      </c>
      <c r="D668" s="836" t="s">
        <v>38</v>
      </c>
      <c r="E668" s="752"/>
      <c r="F668" s="752"/>
      <c r="G668" s="606"/>
      <c r="H668" s="753"/>
      <c r="I668" s="184"/>
      <c r="J668" s="184"/>
      <c r="K668" s="163"/>
      <c r="L668" s="163"/>
      <c r="M668" s="163"/>
      <c r="N668" s="163"/>
      <c r="O668" s="163"/>
      <c r="P668" s="163"/>
      <c r="Q668" s="571"/>
      <c r="R668" s="571"/>
      <c r="S668" s="571"/>
      <c r="T668" s="571"/>
      <c r="U668" s="571"/>
      <c r="V668" s="571"/>
      <c r="W668" s="571"/>
      <c r="X668" s="571"/>
      <c r="Y668" s="571"/>
      <c r="Z668" s="571"/>
    </row>
    <row r="669" spans="1:26" ht="19.5">
      <c r="A669" s="601"/>
      <c r="B669" s="611"/>
      <c r="C669" s="611"/>
      <c r="D669" s="611" t="s">
        <v>280</v>
      </c>
      <c r="E669" s="619"/>
      <c r="F669" s="619"/>
      <c r="G669" s="753"/>
      <c r="H669" s="758" t="s">
        <v>46</v>
      </c>
      <c r="I669" s="674">
        <f ca="1">IFERROR(__xludf.DUMMYFUNCTION("IMPORTRANGE(""https://docs.google.com/spreadsheets/d/1QqKyyYR6Q21VydFLVH3TRQUabQu_ym0Zz7PgGX0-kHA/edit?usp=sharing"",""แผน!IA59"")"),50)</f>
        <v>50</v>
      </c>
      <c r="J669" s="674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1"/>
      <c r="R669" s="571"/>
      <c r="S669" s="571"/>
      <c r="T669" s="571"/>
      <c r="U669" s="571"/>
      <c r="V669" s="571"/>
      <c r="W669" s="571"/>
      <c r="X669" s="571"/>
      <c r="Y669" s="571"/>
      <c r="Z669" s="571"/>
    </row>
    <row r="670" spans="1:26" ht="18.75">
      <c r="A670" s="601"/>
      <c r="B670" s="611"/>
      <c r="C670" s="611"/>
      <c r="D670" s="611"/>
      <c r="E670" s="619" t="s">
        <v>281</v>
      </c>
      <c r="F670" s="619"/>
      <c r="G670" s="753"/>
      <c r="H670" s="755" t="s">
        <v>69</v>
      </c>
      <c r="I670" s="269">
        <f ca="1">IFERROR(__xludf.DUMMYFUNCTION("IMPORTRANGE(""https://docs.google.com/spreadsheets/d/1QqKyyYR6Q21VydFLVH3TRQUabQu_ym0Zz7PgGX0-kHA/edit?usp=sharing"",""แผน!HZ59"")"),3)</f>
        <v>3</v>
      </c>
      <c r="J670" s="214">
        <v>0</v>
      </c>
      <c r="K670" s="496">
        <f ca="1">IF(I670&gt;0,(J670*100)/I670,0)</f>
        <v>0</v>
      </c>
      <c r="L670" s="163"/>
      <c r="M670" s="163"/>
      <c r="N670" s="163"/>
      <c r="O670" s="163"/>
      <c r="P670" s="163"/>
      <c r="Q670" s="571"/>
      <c r="R670" s="571"/>
      <c r="S670" s="571"/>
      <c r="T670" s="571"/>
      <c r="U670" s="571"/>
      <c r="V670" s="571"/>
      <c r="W670" s="571"/>
      <c r="X670" s="571"/>
      <c r="Y670" s="571"/>
      <c r="Z670" s="571"/>
    </row>
    <row r="671" spans="1:26" ht="18.75">
      <c r="A671" s="601"/>
      <c r="B671" s="611"/>
      <c r="C671" s="611"/>
      <c r="D671" s="611"/>
      <c r="E671" s="619" t="s">
        <v>282</v>
      </c>
      <c r="F671" s="619"/>
      <c r="G671" s="753"/>
      <c r="H671" s="755" t="s">
        <v>69</v>
      </c>
      <c r="I671" s="269">
        <f ca="1">IFERROR(__xludf.DUMMYFUNCTION("IMPORTRANGE(""https://docs.google.com/spreadsheets/d/1QqKyyYR6Q21VydFLVH3TRQUabQu_ym0Zz7PgGX0-kHA/edit?usp=sharing"",""แผน!HZ59"")"),3)</f>
        <v>3</v>
      </c>
      <c r="J671" s="214">
        <v>0</v>
      </c>
      <c r="K671" s="496">
        <f ca="1">IF(I$671&gt;0,J671*100/I$671,0)</f>
        <v>0</v>
      </c>
      <c r="L671" s="163"/>
      <c r="M671" s="163"/>
      <c r="N671" s="163"/>
      <c r="O671" s="163"/>
      <c r="P671" s="163"/>
      <c r="Q671" s="571"/>
      <c r="R671" s="571"/>
      <c r="S671" s="571"/>
      <c r="T671" s="571"/>
      <c r="U671" s="571"/>
      <c r="V671" s="571"/>
      <c r="W671" s="571"/>
      <c r="X671" s="571"/>
      <c r="Y671" s="571"/>
      <c r="Z671" s="571"/>
    </row>
    <row r="672" spans="1:26" ht="18.75">
      <c r="A672" s="601"/>
      <c r="B672" s="611"/>
      <c r="C672" s="611"/>
      <c r="D672" s="611"/>
      <c r="E672" s="619" t="s">
        <v>283</v>
      </c>
      <c r="F672" s="619"/>
      <c r="G672" s="753"/>
      <c r="H672" s="755" t="s">
        <v>46</v>
      </c>
      <c r="I672" s="269"/>
      <c r="J672" s="214">
        <v>0</v>
      </c>
      <c r="K672" s="496">
        <f t="shared" ref="K672:K675" ca="1" si="281">IF(I$669&gt;0,J672*100/I$669,0)</f>
        <v>0</v>
      </c>
      <c r="L672" s="163"/>
      <c r="M672" s="163"/>
      <c r="N672" s="163"/>
      <c r="O672" s="163"/>
      <c r="P672" s="163"/>
      <c r="Q672" s="571"/>
      <c r="R672" s="571"/>
      <c r="S672" s="571"/>
      <c r="T672" s="571"/>
      <c r="U672" s="571"/>
      <c r="V672" s="571"/>
      <c r="W672" s="571"/>
      <c r="X672" s="571"/>
      <c r="Y672" s="571"/>
      <c r="Z672" s="571"/>
    </row>
    <row r="673" spans="1:26" ht="18.75">
      <c r="A673" s="601"/>
      <c r="B673" s="611"/>
      <c r="C673" s="611"/>
      <c r="D673" s="611"/>
      <c r="E673" s="619" t="s">
        <v>284</v>
      </c>
      <c r="F673" s="619"/>
      <c r="G673" s="753"/>
      <c r="H673" s="755" t="s">
        <v>46</v>
      </c>
      <c r="I673" s="269"/>
      <c r="J673" s="214">
        <v>0</v>
      </c>
      <c r="K673" s="496">
        <f t="shared" ca="1" si="281"/>
        <v>0</v>
      </c>
      <c r="L673" s="163"/>
      <c r="M673" s="163"/>
      <c r="N673" s="163"/>
      <c r="O673" s="163"/>
      <c r="P673" s="163"/>
      <c r="Q673" s="571"/>
      <c r="R673" s="571"/>
      <c r="S673" s="571"/>
      <c r="T673" s="571"/>
      <c r="U673" s="571"/>
      <c r="V673" s="571"/>
      <c r="W673" s="571"/>
      <c r="X673" s="571"/>
      <c r="Y673" s="571"/>
      <c r="Z673" s="571"/>
    </row>
    <row r="674" spans="1:26" ht="18.75">
      <c r="A674" s="601"/>
      <c r="B674" s="611"/>
      <c r="C674" s="611"/>
      <c r="D674" s="611"/>
      <c r="E674" s="619" t="s">
        <v>285</v>
      </c>
      <c r="F674" s="619"/>
      <c r="G674" s="753"/>
      <c r="H674" s="755" t="s">
        <v>46</v>
      </c>
      <c r="I674" s="269"/>
      <c r="J674" s="214">
        <v>0</v>
      </c>
      <c r="K674" s="496">
        <f t="shared" ca="1" si="281"/>
        <v>0</v>
      </c>
      <c r="L674" s="163"/>
      <c r="M674" s="163"/>
      <c r="N674" s="163"/>
      <c r="O674" s="163"/>
      <c r="P674" s="163"/>
      <c r="Q674" s="571"/>
      <c r="R674" s="571"/>
      <c r="S674" s="571"/>
      <c r="T674" s="571"/>
      <c r="U674" s="571"/>
      <c r="V674" s="571"/>
      <c r="W674" s="571"/>
      <c r="X674" s="571"/>
      <c r="Y674" s="571"/>
      <c r="Z674" s="571"/>
    </row>
    <row r="675" spans="1:26" ht="19.5">
      <c r="A675" s="601"/>
      <c r="B675" s="611"/>
      <c r="C675" s="611"/>
      <c r="D675" s="611"/>
      <c r="E675" s="619" t="s">
        <v>286</v>
      </c>
      <c r="F675" s="619"/>
      <c r="G675" s="753"/>
      <c r="H675" s="755" t="s">
        <v>46</v>
      </c>
      <c r="I675" s="269"/>
      <c r="J675" s="674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71"/>
      <c r="R675" s="571"/>
      <c r="S675" s="571"/>
      <c r="T675" s="571"/>
      <c r="U675" s="571"/>
      <c r="V675" s="571"/>
      <c r="W675" s="571"/>
      <c r="X675" s="571"/>
      <c r="Y675" s="571"/>
      <c r="Z675" s="571"/>
    </row>
    <row r="676" spans="1:26" ht="18.75">
      <c r="A676" s="601"/>
      <c r="B676" s="611"/>
      <c r="C676" s="611"/>
      <c r="D676" s="611"/>
      <c r="E676" s="619"/>
      <c r="F676" s="619" t="s">
        <v>287</v>
      </c>
      <c r="G676" s="753"/>
      <c r="H676" s="755" t="s">
        <v>46</v>
      </c>
      <c r="I676" s="269"/>
      <c r="J676" s="214">
        <v>0</v>
      </c>
      <c r="K676" s="496"/>
      <c r="L676" s="163"/>
      <c r="M676" s="163"/>
      <c r="N676" s="163"/>
      <c r="O676" s="163"/>
      <c r="P676" s="163"/>
      <c r="Q676" s="571"/>
      <c r="R676" s="571"/>
      <c r="S676" s="571"/>
      <c r="T676" s="571"/>
      <c r="U676" s="571"/>
      <c r="V676" s="571"/>
      <c r="W676" s="571"/>
      <c r="X676" s="571"/>
      <c r="Y676" s="571"/>
      <c r="Z676" s="571"/>
    </row>
    <row r="677" spans="1:26" ht="18.75">
      <c r="A677" s="601"/>
      <c r="B677" s="611"/>
      <c r="C677" s="611"/>
      <c r="D677" s="611"/>
      <c r="E677" s="619"/>
      <c r="F677" s="619" t="s">
        <v>288</v>
      </c>
      <c r="G677" s="753"/>
      <c r="H677" s="755" t="s">
        <v>46</v>
      </c>
      <c r="I677" s="269"/>
      <c r="J677" s="214">
        <v>0</v>
      </c>
      <c r="K677" s="496"/>
      <c r="L677" s="163"/>
      <c r="M677" s="163"/>
      <c r="N677" s="163"/>
      <c r="O677" s="163"/>
      <c r="P677" s="163"/>
      <c r="Q677" s="571"/>
      <c r="R677" s="571"/>
      <c r="S677" s="571"/>
      <c r="T677" s="571"/>
      <c r="U677" s="571"/>
      <c r="V677" s="571"/>
      <c r="W677" s="571"/>
      <c r="X677" s="571"/>
      <c r="Y677" s="571"/>
      <c r="Z677" s="571"/>
    </row>
    <row r="678" spans="1:26" ht="19.5">
      <c r="A678" s="601"/>
      <c r="B678" s="611"/>
      <c r="C678" s="611"/>
      <c r="D678" s="611" t="s">
        <v>289</v>
      </c>
      <c r="E678" s="619"/>
      <c r="F678" s="619"/>
      <c r="G678" s="753"/>
      <c r="H678" s="755" t="s">
        <v>46</v>
      </c>
      <c r="I678" s="674">
        <f ca="1">IFERROR(__xludf.DUMMYFUNCTION("IMPORTRANGE(""https://docs.google.com/spreadsheets/d/1QqKyyYR6Q21VydFLVH3TRQUabQu_ym0Zz7PgGX0-kHA/edit?usp=sharing"",""แผน!IB59"")"),0)</f>
        <v>0</v>
      </c>
      <c r="J678" s="674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1"/>
      <c r="R678" s="571"/>
      <c r="S678" s="571"/>
      <c r="T678" s="571"/>
      <c r="U678" s="571"/>
      <c r="V678" s="571"/>
      <c r="W678" s="571"/>
      <c r="X678" s="571"/>
      <c r="Y678" s="571"/>
      <c r="Z678" s="571"/>
    </row>
    <row r="679" spans="1:26" ht="18.75">
      <c r="A679" s="601"/>
      <c r="B679" s="611"/>
      <c r="C679" s="611"/>
      <c r="D679" s="611"/>
      <c r="E679" s="619" t="s">
        <v>290</v>
      </c>
      <c r="F679" s="619"/>
      <c r="G679" s="753"/>
      <c r="H679" s="755" t="s">
        <v>46</v>
      </c>
      <c r="I679" s="269"/>
      <c r="J679" s="269">
        <f>J680+J681</f>
        <v>0</v>
      </c>
      <c r="K679" s="496"/>
      <c r="L679" s="163"/>
      <c r="M679" s="163"/>
      <c r="N679" s="163"/>
      <c r="O679" s="163"/>
      <c r="P679" s="163"/>
      <c r="Q679" s="571"/>
      <c r="R679" s="571"/>
      <c r="S679" s="571"/>
      <c r="T679" s="571"/>
      <c r="U679" s="571"/>
      <c r="V679" s="571"/>
      <c r="W679" s="571"/>
      <c r="X679" s="571"/>
      <c r="Y679" s="571"/>
      <c r="Z679" s="571"/>
    </row>
    <row r="680" spans="1:26" ht="18.75">
      <c r="A680" s="601"/>
      <c r="B680" s="611"/>
      <c r="C680" s="611"/>
      <c r="D680" s="611"/>
      <c r="E680" s="619"/>
      <c r="F680" s="619" t="s">
        <v>287</v>
      </c>
      <c r="G680" s="753"/>
      <c r="H680" s="755" t="s">
        <v>46</v>
      </c>
      <c r="I680" s="269"/>
      <c r="J680" s="214">
        <v>0</v>
      </c>
      <c r="K680" s="496"/>
      <c r="L680" s="163"/>
      <c r="M680" s="163"/>
      <c r="N680" s="163"/>
      <c r="O680" s="163"/>
      <c r="P680" s="163"/>
      <c r="Q680" s="571"/>
      <c r="R680" s="571"/>
      <c r="S680" s="571"/>
      <c r="T680" s="571"/>
      <c r="U680" s="571"/>
      <c r="V680" s="571"/>
      <c r="W680" s="571"/>
      <c r="X680" s="571"/>
      <c r="Y680" s="571"/>
      <c r="Z680" s="571"/>
    </row>
    <row r="681" spans="1:26" ht="18.75">
      <c r="A681" s="601"/>
      <c r="B681" s="611"/>
      <c r="C681" s="611"/>
      <c r="D681" s="611"/>
      <c r="E681" s="619"/>
      <c r="F681" s="619" t="s">
        <v>288</v>
      </c>
      <c r="G681" s="753"/>
      <c r="H681" s="755" t="s">
        <v>46</v>
      </c>
      <c r="I681" s="269"/>
      <c r="J681" s="214">
        <v>0</v>
      </c>
      <c r="K681" s="496"/>
      <c r="L681" s="163"/>
      <c r="M681" s="163"/>
      <c r="N681" s="163"/>
      <c r="O681" s="163"/>
      <c r="P681" s="163"/>
      <c r="Q681" s="571"/>
      <c r="R681" s="571"/>
      <c r="S681" s="571"/>
      <c r="T681" s="571"/>
      <c r="U681" s="571"/>
      <c r="V681" s="571"/>
      <c r="W681" s="571"/>
      <c r="X681" s="571"/>
      <c r="Y681" s="571"/>
      <c r="Z681" s="571"/>
    </row>
    <row r="682" spans="1:26" ht="18.75">
      <c r="A682" s="601"/>
      <c r="B682" s="611"/>
      <c r="C682" s="611"/>
      <c r="D682" s="611"/>
      <c r="E682" s="619" t="s">
        <v>291</v>
      </c>
      <c r="F682" s="619"/>
      <c r="G682" s="753"/>
      <c r="H682" s="755" t="s">
        <v>46</v>
      </c>
      <c r="I682" s="269"/>
      <c r="J682" s="214">
        <v>0</v>
      </c>
      <c r="K682" s="496"/>
      <c r="L682" s="163"/>
      <c r="M682" s="163"/>
      <c r="N682" s="163"/>
      <c r="O682" s="163"/>
      <c r="P682" s="163"/>
      <c r="Q682" s="571"/>
      <c r="R682" s="571"/>
      <c r="S682" s="571"/>
      <c r="T682" s="571"/>
      <c r="U682" s="571"/>
      <c r="V682" s="571"/>
      <c r="W682" s="571"/>
      <c r="X682" s="571"/>
      <c r="Y682" s="571"/>
      <c r="Z682" s="571"/>
    </row>
    <row r="683" spans="1:26" ht="18.75">
      <c r="A683" s="601"/>
      <c r="B683" s="611"/>
      <c r="C683" s="611"/>
      <c r="D683" s="611"/>
      <c r="E683" s="619"/>
      <c r="F683" s="619" t="s">
        <v>292</v>
      </c>
      <c r="G683" s="753"/>
      <c r="H683" s="755" t="s">
        <v>46</v>
      </c>
      <c r="I683" s="269"/>
      <c r="J683" s="214">
        <v>0</v>
      </c>
      <c r="K683" s="496"/>
      <c r="L683" s="163"/>
      <c r="M683" s="163"/>
      <c r="N683" s="163"/>
      <c r="O683" s="163"/>
      <c r="P683" s="163"/>
      <c r="Q683" s="571"/>
      <c r="R683" s="571"/>
      <c r="S683" s="571"/>
      <c r="T683" s="571"/>
      <c r="U683" s="571"/>
      <c r="V683" s="571"/>
      <c r="W683" s="571"/>
      <c r="X683" s="571"/>
      <c r="Y683" s="571"/>
      <c r="Z683" s="571"/>
    </row>
    <row r="684" spans="1:26" ht="19.5">
      <c r="A684" s="744"/>
      <c r="B684" s="745" t="s">
        <v>293</v>
      </c>
      <c r="C684" s="744"/>
      <c r="D684" s="744"/>
      <c r="E684" s="744"/>
      <c r="F684" s="744"/>
      <c r="G684" s="746"/>
      <c r="H684" s="746"/>
      <c r="I684" s="747"/>
      <c r="J684" s="747"/>
      <c r="K684" s="748"/>
      <c r="L684" s="748"/>
      <c r="M684" s="748"/>
      <c r="N684" s="748"/>
      <c r="O684" s="748"/>
      <c r="P684" s="748"/>
      <c r="Q684" s="571"/>
      <c r="R684" s="571"/>
      <c r="S684" s="571"/>
      <c r="T684" s="571"/>
      <c r="U684" s="571"/>
      <c r="V684" s="571"/>
      <c r="W684" s="571"/>
      <c r="X684" s="571"/>
      <c r="Y684" s="571"/>
      <c r="Z684" s="571"/>
    </row>
    <row r="685" spans="1:26" ht="19.5">
      <c r="A685" s="590"/>
      <c r="B685" s="754"/>
      <c r="C685" s="754" t="s">
        <v>16</v>
      </c>
      <c r="D685" s="863" t="s">
        <v>17</v>
      </c>
      <c r="E685" s="857"/>
      <c r="F685" s="857"/>
      <c r="G685" s="189"/>
      <c r="H685" s="591" t="s">
        <v>12</v>
      </c>
      <c r="I685" s="269"/>
      <c r="J685" s="269"/>
      <c r="K685" s="496"/>
      <c r="L685" s="195">
        <f t="shared" ref="L685:N685" ca="1" si="282">L686+L687</f>
        <v>54320</v>
      </c>
      <c r="M685" s="195">
        <f t="shared" si="282"/>
        <v>0</v>
      </c>
      <c r="N685" s="195">
        <f t="shared" si="282"/>
        <v>0</v>
      </c>
      <c r="O685" s="195">
        <f t="shared" ref="O685:O688" ca="1" si="283">IF(L685&gt;0,N685*100/L685,0)</f>
        <v>0</v>
      </c>
      <c r="P685" s="195">
        <f t="shared" ref="P685:P688" si="284">IF(M685&gt;0,N685*100/M685,0)</f>
        <v>0</v>
      </c>
      <c r="Q685" s="571"/>
      <c r="R685" s="571"/>
      <c r="S685" s="571"/>
      <c r="T685" s="571"/>
      <c r="U685" s="571"/>
      <c r="V685" s="571"/>
      <c r="W685" s="571"/>
      <c r="X685" s="571"/>
      <c r="Y685" s="571"/>
      <c r="Z685" s="571"/>
    </row>
    <row r="686" spans="1:26" ht="18.75" hidden="1">
      <c r="A686" s="592"/>
      <c r="B686" s="750"/>
      <c r="C686" s="750"/>
      <c r="D686" s="711"/>
      <c r="E686" s="750" t="s">
        <v>184</v>
      </c>
      <c r="F686" s="750"/>
      <c r="G686" s="596"/>
      <c r="H686" s="165" t="s">
        <v>12</v>
      </c>
      <c r="I686" s="610"/>
      <c r="J686" s="610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597"/>
      <c r="R686" s="597"/>
      <c r="S686" s="597"/>
      <c r="T686" s="597"/>
      <c r="U686" s="597"/>
      <c r="V686" s="597"/>
      <c r="W686" s="597"/>
      <c r="X686" s="597"/>
      <c r="Y686" s="597"/>
      <c r="Z686" s="597"/>
    </row>
    <row r="687" spans="1:26" ht="18.75" hidden="1">
      <c r="A687" s="592"/>
      <c r="B687" s="600"/>
      <c r="C687" s="750"/>
      <c r="D687" s="711"/>
      <c r="E687" s="750" t="s">
        <v>185</v>
      </c>
      <c r="F687" s="750"/>
      <c r="G687" s="596"/>
      <c r="H687" s="165" t="s">
        <v>12</v>
      </c>
      <c r="I687" s="610"/>
      <c r="J687" s="610"/>
      <c r="K687" s="93"/>
      <c r="L687" s="93">
        <f t="shared" ca="1" si="285"/>
        <v>54320</v>
      </c>
      <c r="M687" s="93">
        <f t="shared" si="285"/>
        <v>0</v>
      </c>
      <c r="N687" s="93">
        <f t="shared" si="285"/>
        <v>0</v>
      </c>
      <c r="O687" s="93">
        <f t="shared" ca="1" si="283"/>
        <v>0</v>
      </c>
      <c r="P687" s="93">
        <f t="shared" si="284"/>
        <v>0</v>
      </c>
      <c r="Q687" s="597"/>
      <c r="R687" s="597"/>
      <c r="S687" s="597"/>
      <c r="T687" s="597"/>
      <c r="U687" s="597"/>
      <c r="V687" s="597"/>
      <c r="W687" s="597"/>
      <c r="X687" s="597"/>
      <c r="Y687" s="597"/>
      <c r="Z687" s="597"/>
    </row>
    <row r="688" spans="1:26" ht="18.75">
      <c r="A688" s="590"/>
      <c r="B688" s="568"/>
      <c r="C688" s="754"/>
      <c r="D688" s="599" t="s">
        <v>20</v>
      </c>
      <c r="E688" s="754"/>
      <c r="F688" s="754"/>
      <c r="G688" s="189"/>
      <c r="H688" s="161" t="s">
        <v>12</v>
      </c>
      <c r="I688" s="184"/>
      <c r="J688" s="184"/>
      <c r="K688" s="163"/>
      <c r="L688" s="496">
        <f t="shared" ref="L688:N688" ca="1" si="286">L689+L690</f>
        <v>54320</v>
      </c>
      <c r="M688" s="496">
        <f t="shared" si="286"/>
        <v>0</v>
      </c>
      <c r="N688" s="496">
        <f t="shared" si="286"/>
        <v>0</v>
      </c>
      <c r="O688" s="496">
        <f t="shared" ca="1" si="283"/>
        <v>0</v>
      </c>
      <c r="P688" s="496">
        <f t="shared" si="284"/>
        <v>0</v>
      </c>
      <c r="Q688" s="571"/>
      <c r="R688" s="571"/>
      <c r="S688" s="571"/>
      <c r="T688" s="571"/>
      <c r="U688" s="571"/>
      <c r="V688" s="571"/>
      <c r="W688" s="571"/>
      <c r="X688" s="571"/>
      <c r="Y688" s="571"/>
      <c r="Z688" s="571"/>
    </row>
    <row r="689" spans="1:26" ht="18.75" hidden="1">
      <c r="A689" s="592"/>
      <c r="B689" s="600"/>
      <c r="C689" s="750"/>
      <c r="D689" s="711"/>
      <c r="E689" s="750" t="s">
        <v>184</v>
      </c>
      <c r="F689" s="750"/>
      <c r="G689" s="596"/>
      <c r="H689" s="165" t="s">
        <v>12</v>
      </c>
      <c r="I689" s="610"/>
      <c r="J689" s="610"/>
      <c r="K689" s="93"/>
      <c r="L689" s="93">
        <v>0</v>
      </c>
      <c r="M689" s="93">
        <v>0</v>
      </c>
      <c r="N689" s="93">
        <v>0</v>
      </c>
      <c r="O689" s="93"/>
      <c r="P689" s="93"/>
      <c r="Q689" s="597"/>
      <c r="R689" s="597"/>
      <c r="S689" s="597"/>
      <c r="T689" s="597"/>
      <c r="U689" s="597"/>
      <c r="V689" s="597"/>
      <c r="W689" s="597"/>
      <c r="X689" s="597"/>
      <c r="Y689" s="597"/>
      <c r="Z689" s="597"/>
    </row>
    <row r="690" spans="1:26" ht="18.75" hidden="1">
      <c r="A690" s="592"/>
      <c r="B690" s="600"/>
      <c r="C690" s="750"/>
      <c r="D690" s="711"/>
      <c r="E690" s="750" t="s">
        <v>185</v>
      </c>
      <c r="F690" s="750"/>
      <c r="G690" s="596"/>
      <c r="H690" s="165" t="s">
        <v>12</v>
      </c>
      <c r="I690" s="610"/>
      <c r="J690" s="610"/>
      <c r="K690" s="93"/>
      <c r="L690" s="93">
        <f ca="1">IFERROR(__xludf.DUMMYFUNCTION("IMPORTRANGE(""https://docs.google.com/spreadsheets/d/1QqKyyYR6Q21VydFLVH3TRQUabQu_ym0Zz7PgGX0-kHA/edit?usp=sharing"",""แผน!HW59"")"),54320)</f>
        <v>54320</v>
      </c>
      <c r="M690" s="93">
        <v>0</v>
      </c>
      <c r="N690" s="93">
        <f>N691+N692+N693+N694</f>
        <v>0</v>
      </c>
      <c r="O690" s="93">
        <f ca="1">IF(L690&gt;0,N690*100/L690,0)</f>
        <v>0</v>
      </c>
      <c r="P690" s="93">
        <f>IF(M690&gt;0,N690*100/M690,0)</f>
        <v>0</v>
      </c>
      <c r="Q690" s="597"/>
      <c r="R690" s="597"/>
      <c r="S690" s="597"/>
      <c r="T690" s="597"/>
      <c r="U690" s="597"/>
      <c r="V690" s="597"/>
      <c r="W690" s="597"/>
      <c r="X690" s="597"/>
      <c r="Y690" s="597"/>
      <c r="Z690" s="597"/>
    </row>
    <row r="691" spans="1:26" ht="18.75">
      <c r="A691" s="567"/>
      <c r="B691" s="568"/>
      <c r="C691" s="754"/>
      <c r="D691" s="754"/>
      <c r="E691" s="754"/>
      <c r="F691" s="754" t="s">
        <v>186</v>
      </c>
      <c r="G691" s="189"/>
      <c r="H691" s="161" t="s">
        <v>12</v>
      </c>
      <c r="I691" s="269"/>
      <c r="J691" s="269"/>
      <c r="K691" s="496"/>
      <c r="L691" s="496"/>
      <c r="M691" s="496"/>
      <c r="N691" s="817">
        <v>0</v>
      </c>
      <c r="O691" s="496"/>
      <c r="P691" s="496"/>
      <c r="Q691" s="571"/>
      <c r="R691" s="571"/>
      <c r="S691" s="571"/>
      <c r="T691" s="571"/>
      <c r="U691" s="571"/>
      <c r="V691" s="571"/>
      <c r="W691" s="571"/>
      <c r="X691" s="571"/>
      <c r="Y691" s="571"/>
      <c r="Z691" s="571"/>
    </row>
    <row r="692" spans="1:26" ht="18.75">
      <c r="A692" s="567"/>
      <c r="B692" s="568"/>
      <c r="C692" s="754"/>
      <c r="D692" s="754"/>
      <c r="E692" s="754"/>
      <c r="F692" s="754" t="s">
        <v>187</v>
      </c>
      <c r="G692" s="189"/>
      <c r="H692" s="161" t="s">
        <v>12</v>
      </c>
      <c r="I692" s="269"/>
      <c r="J692" s="269"/>
      <c r="K692" s="496"/>
      <c r="L692" s="496"/>
      <c r="M692" s="496"/>
      <c r="N692" s="817">
        <v>0</v>
      </c>
      <c r="O692" s="496"/>
      <c r="P692" s="496"/>
      <c r="Q692" s="571"/>
      <c r="R692" s="571"/>
      <c r="S692" s="571"/>
      <c r="T692" s="571"/>
      <c r="U692" s="571"/>
      <c r="V692" s="571"/>
      <c r="W692" s="571"/>
      <c r="X692" s="571"/>
      <c r="Y692" s="571"/>
      <c r="Z692" s="571"/>
    </row>
    <row r="693" spans="1:26" ht="18.75">
      <c r="A693" s="567"/>
      <c r="B693" s="568"/>
      <c r="C693" s="754"/>
      <c r="D693" s="754"/>
      <c r="E693" s="754"/>
      <c r="F693" s="754" t="s">
        <v>188</v>
      </c>
      <c r="G693" s="189"/>
      <c r="H693" s="161" t="s">
        <v>12</v>
      </c>
      <c r="I693" s="269"/>
      <c r="J693" s="269"/>
      <c r="K693" s="496"/>
      <c r="L693" s="496"/>
      <c r="M693" s="496"/>
      <c r="N693" s="817">
        <v>0</v>
      </c>
      <c r="O693" s="496"/>
      <c r="P693" s="496"/>
      <c r="Q693" s="571"/>
      <c r="R693" s="571"/>
      <c r="S693" s="571"/>
      <c r="T693" s="571"/>
      <c r="U693" s="571"/>
      <c r="V693" s="571"/>
      <c r="W693" s="571"/>
      <c r="X693" s="571"/>
      <c r="Y693" s="571"/>
      <c r="Z693" s="571"/>
    </row>
    <row r="694" spans="1:26" ht="18.75">
      <c r="A694" s="567"/>
      <c r="B694" s="568"/>
      <c r="C694" s="754"/>
      <c r="D694" s="754"/>
      <c r="E694" s="754"/>
      <c r="F694" s="754" t="s">
        <v>189</v>
      </c>
      <c r="G694" s="189"/>
      <c r="H694" s="161" t="s">
        <v>12</v>
      </c>
      <c r="I694" s="269"/>
      <c r="J694" s="269"/>
      <c r="K694" s="496"/>
      <c r="L694" s="496"/>
      <c r="M694" s="496"/>
      <c r="N694" s="817">
        <v>0</v>
      </c>
      <c r="O694" s="496"/>
      <c r="P694" s="496"/>
      <c r="Q694" s="571"/>
      <c r="R694" s="571"/>
      <c r="S694" s="571"/>
      <c r="T694" s="571"/>
      <c r="U694" s="571"/>
      <c r="V694" s="571"/>
      <c r="W694" s="571"/>
      <c r="X694" s="571"/>
      <c r="Y694" s="571"/>
      <c r="Z694" s="571"/>
    </row>
    <row r="695" spans="1:26" ht="18.75">
      <c r="A695" s="590"/>
      <c r="B695" s="568"/>
      <c r="C695" s="754"/>
      <c r="D695" s="599" t="s">
        <v>21</v>
      </c>
      <c r="E695" s="754"/>
      <c r="F695" s="754"/>
      <c r="G695" s="189"/>
      <c r="H695" s="168" t="s">
        <v>12</v>
      </c>
      <c r="I695" s="184"/>
      <c r="J695" s="184"/>
      <c r="K695" s="163"/>
      <c r="L695" s="496">
        <f t="shared" ref="L695:N695" si="287">L696+L697</f>
        <v>0</v>
      </c>
      <c r="M695" s="496">
        <f t="shared" si="287"/>
        <v>0</v>
      </c>
      <c r="N695" s="496">
        <f t="shared" si="287"/>
        <v>0</v>
      </c>
      <c r="O695" s="496">
        <f t="shared" ref="O695:O697" si="288">IF(L695&gt;0,N695*100/L695,0)</f>
        <v>0</v>
      </c>
      <c r="P695" s="496">
        <f t="shared" ref="P695:P697" si="289">IF(M695&gt;0,N695*100/M695,0)</f>
        <v>0</v>
      </c>
      <c r="Q695" s="571"/>
      <c r="R695" s="571"/>
      <c r="S695" s="571"/>
      <c r="T695" s="571"/>
      <c r="U695" s="571"/>
      <c r="V695" s="571"/>
      <c r="W695" s="571"/>
      <c r="X695" s="571"/>
      <c r="Y695" s="571"/>
      <c r="Z695" s="571"/>
    </row>
    <row r="696" spans="1:26" ht="18.75" hidden="1">
      <c r="A696" s="592"/>
      <c r="B696" s="600"/>
      <c r="C696" s="750"/>
      <c r="D696" s="750"/>
      <c r="E696" s="750" t="s">
        <v>18</v>
      </c>
      <c r="F696" s="750"/>
      <c r="G696" s="596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597"/>
      <c r="R696" s="597"/>
      <c r="S696" s="597"/>
      <c r="T696" s="597"/>
      <c r="U696" s="597"/>
      <c r="V696" s="597"/>
      <c r="W696" s="597"/>
      <c r="X696" s="597"/>
      <c r="Y696" s="597"/>
      <c r="Z696" s="597"/>
    </row>
    <row r="697" spans="1:26" ht="18.75" hidden="1">
      <c r="A697" s="592"/>
      <c r="B697" s="600"/>
      <c r="C697" s="750"/>
      <c r="D697" s="750"/>
      <c r="E697" s="750" t="s">
        <v>19</v>
      </c>
      <c r="F697" s="750"/>
      <c r="G697" s="596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597"/>
      <c r="R697" s="597"/>
      <c r="S697" s="597"/>
      <c r="T697" s="597"/>
      <c r="U697" s="597"/>
      <c r="V697" s="597"/>
      <c r="W697" s="597"/>
      <c r="X697" s="597"/>
      <c r="Y697" s="597"/>
      <c r="Z697" s="597"/>
    </row>
    <row r="698" spans="1:26" ht="19.5">
      <c r="A698" s="601"/>
      <c r="B698" s="611"/>
      <c r="C698" s="754" t="s">
        <v>16</v>
      </c>
      <c r="D698" s="840" t="s">
        <v>38</v>
      </c>
      <c r="E698" s="752"/>
      <c r="F698" s="752"/>
      <c r="G698" s="606"/>
      <c r="H698" s="753"/>
      <c r="I698" s="184"/>
      <c r="J698" s="184"/>
      <c r="K698" s="163"/>
      <c r="L698" s="163"/>
      <c r="M698" s="163"/>
      <c r="N698" s="163"/>
      <c r="O698" s="163"/>
      <c r="P698" s="163"/>
      <c r="Q698" s="571"/>
      <c r="R698" s="571"/>
      <c r="S698" s="571"/>
      <c r="T698" s="571"/>
      <c r="U698" s="571"/>
      <c r="V698" s="571"/>
      <c r="W698" s="571"/>
      <c r="X698" s="571"/>
      <c r="Y698" s="571"/>
      <c r="Z698" s="571"/>
    </row>
    <row r="699" spans="1:26" ht="18.75">
      <c r="A699" s="735"/>
      <c r="B699" s="754"/>
      <c r="C699" s="754"/>
      <c r="D699" s="754" t="s">
        <v>294</v>
      </c>
      <c r="E699" s="754"/>
      <c r="F699" s="754"/>
      <c r="G699" s="189"/>
      <c r="H699" s="755" t="s">
        <v>46</v>
      </c>
      <c r="I699" s="756">
        <f ca="1">IFERROR(__xludf.DUMMYFUNCTION("IMPORTRANGE(""https://docs.google.com/spreadsheets/d/1QqKyyYR6Q21VydFLVH3TRQUabQu_ym0Zz7PgGX0-kHA/edit?usp=sharing"",""แผน!IC59"")"),0)</f>
        <v>0</v>
      </c>
      <c r="J699" s="269">
        <f ca="1">IFERROR(__xludf.DUMMYFUNCTION("IMPORTRANGE(""https://docs.google.com/spreadsheets/d/1XWAQStnk-4SwqDmLtmXYiTMKHgktTP8We1SCoS47DrQ/edit?usp=sharing"",""จัดที่ดิน!BB59"")"),0)</f>
        <v>0</v>
      </c>
      <c r="K699" s="496">
        <f t="shared" ref="K699:K701" ca="1" si="290">IF(I699&gt;0,J699*100/I699,0)</f>
        <v>0</v>
      </c>
      <c r="L699" s="496"/>
      <c r="M699" s="189"/>
      <c r="N699" s="757"/>
      <c r="O699" s="496"/>
      <c r="P699" s="496"/>
      <c r="Q699" s="571"/>
      <c r="R699" s="571"/>
      <c r="S699" s="571"/>
      <c r="T699" s="571"/>
      <c r="U699" s="571"/>
      <c r="V699" s="571"/>
      <c r="W699" s="571"/>
      <c r="X699" s="571"/>
      <c r="Y699" s="571"/>
      <c r="Z699" s="571"/>
    </row>
    <row r="700" spans="1:26" ht="18.75">
      <c r="A700" s="735"/>
      <c r="B700" s="754"/>
      <c r="C700" s="754"/>
      <c r="D700" s="754" t="s">
        <v>295</v>
      </c>
      <c r="E700" s="754"/>
      <c r="F700" s="754"/>
      <c r="G700" s="189"/>
      <c r="H700" s="755" t="s">
        <v>35</v>
      </c>
      <c r="I700" s="756">
        <f ca="1">IFERROR(__xludf.DUMMYFUNCTION("IMPORTRANGE(""https://docs.google.com/spreadsheets/d/1QqKyyYR6Q21VydFLVH3TRQUabQu_ym0Zz7PgGX0-kHA/edit?usp=sharing"",""แผน!ID59"")"),0)</f>
        <v>0</v>
      </c>
      <c r="J700" s="269">
        <f ca="1">IFERROR(__xludf.DUMMYFUNCTION("IMPORTRANGE(""https://docs.google.com/spreadsheets/d/1XWAQStnk-4SwqDmLtmXYiTMKHgktTP8We1SCoS47DrQ/edit?usp=sharing"",""จัดที่ดิน!BD59"")"),0)</f>
        <v>0</v>
      </c>
      <c r="K700" s="496">
        <f t="shared" ca="1" si="290"/>
        <v>0</v>
      </c>
      <c r="L700" s="496"/>
      <c r="M700" s="189"/>
      <c r="N700" s="757"/>
      <c r="O700" s="496"/>
      <c r="P700" s="496"/>
      <c r="Q700" s="571"/>
      <c r="R700" s="571"/>
      <c r="S700" s="571"/>
      <c r="T700" s="571"/>
      <c r="U700" s="571"/>
      <c r="V700" s="571"/>
      <c r="W700" s="571"/>
      <c r="X700" s="571"/>
      <c r="Y700" s="571"/>
      <c r="Z700" s="571"/>
    </row>
    <row r="701" spans="1:26" ht="19.5">
      <c r="A701" s="735"/>
      <c r="B701" s="754"/>
      <c r="C701" s="754"/>
      <c r="D701" s="754" t="s">
        <v>296</v>
      </c>
      <c r="E701" s="754"/>
      <c r="F701" s="754"/>
      <c r="G701" s="189"/>
      <c r="H701" s="758" t="s">
        <v>46</v>
      </c>
      <c r="I701" s="759">
        <f ca="1">IFERROR(__xludf.DUMMYFUNCTION("IMPORTRANGE(""https://docs.google.com/spreadsheets/d/1QqKyyYR6Q21VydFLVH3TRQUabQu_ym0Zz7PgGX0-kHA/edit?usp=sharing"",""แผน!IE59"")"),541)</f>
        <v>541</v>
      </c>
      <c r="J701" s="674">
        <f>J704+J707</f>
        <v>0</v>
      </c>
      <c r="K701" s="195">
        <f t="shared" ca="1" si="290"/>
        <v>0</v>
      </c>
      <c r="L701" s="496"/>
      <c r="M701" s="189"/>
      <c r="N701" s="757"/>
      <c r="O701" s="496"/>
      <c r="P701" s="496"/>
      <c r="Q701" s="571"/>
      <c r="R701" s="571"/>
      <c r="S701" s="571"/>
      <c r="T701" s="571"/>
      <c r="U701" s="571"/>
      <c r="V701" s="571"/>
      <c r="W701" s="571"/>
      <c r="X701" s="571"/>
      <c r="Y701" s="571"/>
      <c r="Z701" s="571"/>
    </row>
    <row r="702" spans="1:26" ht="18.75">
      <c r="A702" s="735"/>
      <c r="B702" s="754"/>
      <c r="C702" s="754"/>
      <c r="D702" s="754"/>
      <c r="E702" s="754" t="s">
        <v>297</v>
      </c>
      <c r="F702" s="754"/>
      <c r="G702" s="189"/>
      <c r="H702" s="755" t="s">
        <v>35</v>
      </c>
      <c r="I702" s="756"/>
      <c r="J702" s="214">
        <v>0</v>
      </c>
      <c r="K702" s="496"/>
      <c r="L702" s="496"/>
      <c r="M702" s="189"/>
      <c r="N702" s="757"/>
      <c r="O702" s="496"/>
      <c r="P702" s="496"/>
      <c r="Q702" s="571"/>
      <c r="R702" s="571"/>
      <c r="S702" s="571"/>
      <c r="T702" s="571"/>
      <c r="U702" s="571"/>
      <c r="V702" s="571"/>
      <c r="W702" s="571"/>
      <c r="X702" s="571"/>
      <c r="Y702" s="571"/>
      <c r="Z702" s="571"/>
    </row>
    <row r="703" spans="1:26" ht="18.75">
      <c r="A703" s="735"/>
      <c r="B703" s="754"/>
      <c r="C703" s="754"/>
      <c r="D703" s="754"/>
      <c r="E703" s="754"/>
      <c r="F703" s="754"/>
      <c r="G703" s="189"/>
      <c r="H703" s="755" t="s">
        <v>34</v>
      </c>
      <c r="I703" s="756"/>
      <c r="J703" s="214">
        <v>0</v>
      </c>
      <c r="K703" s="496"/>
      <c r="L703" s="496"/>
      <c r="M703" s="189"/>
      <c r="N703" s="757"/>
      <c r="O703" s="496"/>
      <c r="P703" s="496"/>
      <c r="Q703" s="571"/>
      <c r="R703" s="571"/>
      <c r="S703" s="571"/>
      <c r="T703" s="571"/>
      <c r="U703" s="571"/>
      <c r="V703" s="571"/>
      <c r="W703" s="571"/>
      <c r="X703" s="571"/>
      <c r="Y703" s="571"/>
      <c r="Z703" s="571"/>
    </row>
    <row r="704" spans="1:26" ht="18.75">
      <c r="A704" s="735"/>
      <c r="B704" s="754"/>
      <c r="C704" s="754"/>
      <c r="D704" s="754"/>
      <c r="E704" s="754"/>
      <c r="F704" s="754"/>
      <c r="G704" s="189"/>
      <c r="H704" s="755" t="s">
        <v>46</v>
      </c>
      <c r="I704" s="756">
        <f ca="1">IFERROR(__xludf.DUMMYFUNCTION("IMPORTRANGE(""https://docs.google.com/spreadsheets/d/1QqKyyYR6Q21VydFLVH3TRQUabQu_ym0Zz7PgGX0-kHA/edit?usp=sharing"",""แผน!IF59"")"),541)</f>
        <v>541</v>
      </c>
      <c r="J704" s="214">
        <v>0</v>
      </c>
      <c r="K704" s="496"/>
      <c r="L704" s="496"/>
      <c r="M704" s="189"/>
      <c r="N704" s="757"/>
      <c r="O704" s="496"/>
      <c r="P704" s="496"/>
      <c r="Q704" s="571"/>
      <c r="R704" s="571"/>
      <c r="S704" s="571"/>
      <c r="T704" s="571"/>
      <c r="U704" s="571"/>
      <c r="V704" s="571"/>
      <c r="W704" s="571"/>
      <c r="X704" s="571"/>
      <c r="Y704" s="571"/>
      <c r="Z704" s="571"/>
    </row>
    <row r="705" spans="1:26" ht="18.75">
      <c r="A705" s="735"/>
      <c r="B705" s="754"/>
      <c r="C705" s="754"/>
      <c r="D705" s="754"/>
      <c r="E705" s="754" t="s">
        <v>298</v>
      </c>
      <c r="F705" s="754"/>
      <c r="G705" s="189"/>
      <c r="H705" s="755" t="s">
        <v>35</v>
      </c>
      <c r="I705" s="756"/>
      <c r="J705" s="214">
        <v>0</v>
      </c>
      <c r="K705" s="496"/>
      <c r="L705" s="496"/>
      <c r="M705" s="189"/>
      <c r="N705" s="757"/>
      <c r="O705" s="496"/>
      <c r="P705" s="496"/>
      <c r="Q705" s="571"/>
      <c r="R705" s="571"/>
      <c r="S705" s="571"/>
      <c r="T705" s="571"/>
      <c r="U705" s="571"/>
      <c r="V705" s="571"/>
      <c r="W705" s="571"/>
      <c r="X705" s="571"/>
      <c r="Y705" s="571"/>
      <c r="Z705" s="571"/>
    </row>
    <row r="706" spans="1:26" ht="18.75">
      <c r="A706" s="735"/>
      <c r="B706" s="754"/>
      <c r="C706" s="754"/>
      <c r="D706" s="754"/>
      <c r="E706" s="754"/>
      <c r="F706" s="754"/>
      <c r="G706" s="189"/>
      <c r="H706" s="755" t="s">
        <v>34</v>
      </c>
      <c r="I706" s="756"/>
      <c r="J706" s="214">
        <v>0</v>
      </c>
      <c r="K706" s="496"/>
      <c r="L706" s="496"/>
      <c r="M706" s="189"/>
      <c r="N706" s="757"/>
      <c r="O706" s="496"/>
      <c r="P706" s="496"/>
      <c r="Q706" s="571"/>
      <c r="R706" s="571"/>
      <c r="S706" s="571"/>
      <c r="T706" s="571"/>
      <c r="U706" s="571"/>
      <c r="V706" s="571"/>
      <c r="W706" s="571"/>
      <c r="X706" s="571"/>
      <c r="Y706" s="571"/>
      <c r="Z706" s="571"/>
    </row>
    <row r="707" spans="1:26" ht="18.75">
      <c r="A707" s="735"/>
      <c r="B707" s="754"/>
      <c r="C707" s="754"/>
      <c r="D707" s="754"/>
      <c r="E707" s="754"/>
      <c r="F707" s="754"/>
      <c r="G707" s="189"/>
      <c r="H707" s="755" t="s">
        <v>46</v>
      </c>
      <c r="I707" s="756">
        <f ca="1">IFERROR(__xludf.DUMMYFUNCTION("IMPORTRANGE(""https://docs.google.com/spreadsheets/d/1QqKyyYR6Q21VydFLVH3TRQUabQu_ym0Zz7PgGX0-kHA/edit?usp=sharing"",""แผน!IG59"")"),0)</f>
        <v>0</v>
      </c>
      <c r="J707" s="214">
        <v>0</v>
      </c>
      <c r="K707" s="496"/>
      <c r="L707" s="496"/>
      <c r="M707" s="189"/>
      <c r="N707" s="757"/>
      <c r="O707" s="496"/>
      <c r="P707" s="496"/>
      <c r="Q707" s="571"/>
      <c r="R707" s="571"/>
      <c r="S707" s="571"/>
      <c r="T707" s="571"/>
      <c r="U707" s="571"/>
      <c r="V707" s="571"/>
      <c r="W707" s="571"/>
      <c r="X707" s="571"/>
      <c r="Y707" s="571"/>
      <c r="Z707" s="571"/>
    </row>
    <row r="708" spans="1:26" ht="19.5">
      <c r="A708" s="735"/>
      <c r="B708" s="754"/>
      <c r="C708" s="754"/>
      <c r="D708" s="760" t="s">
        <v>299</v>
      </c>
      <c r="E708" s="754"/>
      <c r="F708" s="754"/>
      <c r="G708" s="189"/>
      <c r="H708" s="758" t="s">
        <v>46</v>
      </c>
      <c r="I708" s="759">
        <f ca="1">IFERROR(__xludf.DUMMYFUNCTION("IMPORTRANGE(""https://docs.google.com/spreadsheets/d/1QqKyyYR6Q21VydFLVH3TRQUabQu_ym0Zz7PgGX0-kHA/edit?usp=sharing"",""แผน!IH59"")"),131)</f>
        <v>131</v>
      </c>
      <c r="J708" s="674">
        <f>J714+J717</f>
        <v>0</v>
      </c>
      <c r="K708" s="195">
        <f ca="1">IF(I708&gt;0,J708*100/I708,0)</f>
        <v>0</v>
      </c>
      <c r="L708" s="496"/>
      <c r="M708" s="189"/>
      <c r="N708" s="757"/>
      <c r="O708" s="496"/>
      <c r="P708" s="496"/>
      <c r="Q708" s="571"/>
      <c r="R708" s="571"/>
      <c r="S708" s="571"/>
      <c r="T708" s="571"/>
      <c r="U708" s="571"/>
      <c r="V708" s="571"/>
      <c r="W708" s="571"/>
      <c r="X708" s="571"/>
      <c r="Y708" s="571"/>
      <c r="Z708" s="571"/>
    </row>
    <row r="709" spans="1:26" ht="18.75">
      <c r="A709" s="735"/>
      <c r="B709" s="754"/>
      <c r="C709" s="754"/>
      <c r="D709" s="754"/>
      <c r="E709" s="754" t="s">
        <v>300</v>
      </c>
      <c r="F709" s="754"/>
      <c r="G709" s="189"/>
      <c r="H709" s="755" t="s">
        <v>34</v>
      </c>
      <c r="I709" s="756"/>
      <c r="J709" s="214">
        <v>0</v>
      </c>
      <c r="K709" s="496"/>
      <c r="L709" s="757"/>
      <c r="M709" s="189"/>
      <c r="N709" s="757"/>
      <c r="O709" s="496"/>
      <c r="P709" s="496"/>
      <c r="Q709" s="571"/>
      <c r="R709" s="571"/>
      <c r="S709" s="571"/>
      <c r="T709" s="571"/>
      <c r="U709" s="571"/>
      <c r="V709" s="571"/>
      <c r="W709" s="571"/>
      <c r="X709" s="571"/>
      <c r="Y709" s="571"/>
      <c r="Z709" s="571"/>
    </row>
    <row r="710" spans="1:26" ht="18.75">
      <c r="A710" s="735"/>
      <c r="B710" s="754"/>
      <c r="C710" s="754"/>
      <c r="D710" s="754"/>
      <c r="E710" s="754"/>
      <c r="F710" s="754"/>
      <c r="G710" s="189"/>
      <c r="H710" s="755" t="s">
        <v>46</v>
      </c>
      <c r="I710" s="756"/>
      <c r="J710" s="214">
        <v>0</v>
      </c>
      <c r="K710" s="496"/>
      <c r="L710" s="757"/>
      <c r="M710" s="189"/>
      <c r="N710" s="757"/>
      <c r="O710" s="496"/>
      <c r="P710" s="496"/>
      <c r="Q710" s="571"/>
      <c r="R710" s="571"/>
      <c r="S710" s="571"/>
      <c r="T710" s="571"/>
      <c r="U710" s="571"/>
      <c r="V710" s="571"/>
      <c r="W710" s="571"/>
      <c r="X710" s="571"/>
      <c r="Y710" s="571"/>
      <c r="Z710" s="571"/>
    </row>
    <row r="711" spans="1:26" ht="18.75">
      <c r="A711" s="735"/>
      <c r="B711" s="754"/>
      <c r="C711" s="754"/>
      <c r="D711" s="754"/>
      <c r="E711" s="754" t="s">
        <v>301</v>
      </c>
      <c r="F711" s="754"/>
      <c r="G711" s="189"/>
      <c r="H711" s="753"/>
      <c r="I711" s="756"/>
      <c r="J711" s="269"/>
      <c r="K711" s="496"/>
      <c r="L711" s="757"/>
      <c r="M711" s="189"/>
      <c r="N711" s="757"/>
      <c r="O711" s="496"/>
      <c r="P711" s="496"/>
      <c r="Q711" s="571"/>
      <c r="R711" s="571"/>
      <c r="S711" s="571"/>
      <c r="T711" s="571"/>
      <c r="U711" s="571"/>
      <c r="V711" s="571"/>
      <c r="W711" s="571"/>
      <c r="X711" s="571"/>
      <c r="Y711" s="571"/>
      <c r="Z711" s="571"/>
    </row>
    <row r="712" spans="1:26" ht="18.75">
      <c r="A712" s="735"/>
      <c r="B712" s="754"/>
      <c r="C712" s="754"/>
      <c r="D712" s="754"/>
      <c r="E712" s="754"/>
      <c r="F712" s="754" t="s">
        <v>302</v>
      </c>
      <c r="G712" s="189"/>
      <c r="H712" s="755" t="s">
        <v>35</v>
      </c>
      <c r="I712" s="756"/>
      <c r="J712" s="214">
        <v>0</v>
      </c>
      <c r="K712" s="496"/>
      <c r="L712" s="757"/>
      <c r="M712" s="189"/>
      <c r="N712" s="757"/>
      <c r="O712" s="496"/>
      <c r="P712" s="496"/>
      <c r="Q712" s="571"/>
      <c r="R712" s="571"/>
      <c r="S712" s="571"/>
      <c r="T712" s="571"/>
      <c r="U712" s="571"/>
      <c r="V712" s="571"/>
      <c r="W712" s="571"/>
      <c r="X712" s="571"/>
      <c r="Y712" s="571"/>
      <c r="Z712" s="571"/>
    </row>
    <row r="713" spans="1:26" ht="18.75">
      <c r="A713" s="735"/>
      <c r="B713" s="754"/>
      <c r="C713" s="754"/>
      <c r="D713" s="754"/>
      <c r="E713" s="754"/>
      <c r="F713" s="754"/>
      <c r="G713" s="189"/>
      <c r="H713" s="755" t="s">
        <v>34</v>
      </c>
      <c r="I713" s="756"/>
      <c r="J713" s="214">
        <v>0</v>
      </c>
      <c r="K713" s="496"/>
      <c r="L713" s="757"/>
      <c r="M713" s="189"/>
      <c r="N713" s="757"/>
      <c r="O713" s="496"/>
      <c r="P713" s="496"/>
      <c r="Q713" s="571"/>
      <c r="R713" s="571"/>
      <c r="S713" s="571"/>
      <c r="T713" s="571"/>
      <c r="U713" s="571"/>
      <c r="V713" s="571"/>
      <c r="W713" s="571"/>
      <c r="X713" s="571"/>
      <c r="Y713" s="571"/>
      <c r="Z713" s="571"/>
    </row>
    <row r="714" spans="1:26" ht="18.75">
      <c r="A714" s="735"/>
      <c r="B714" s="754"/>
      <c r="C714" s="754"/>
      <c r="D714" s="754"/>
      <c r="E714" s="754"/>
      <c r="F714" s="754"/>
      <c r="G714" s="189"/>
      <c r="H714" s="755" t="s">
        <v>46</v>
      </c>
      <c r="I714" s="756"/>
      <c r="J714" s="214">
        <v>0</v>
      </c>
      <c r="K714" s="496"/>
      <c r="L714" s="757"/>
      <c r="M714" s="189"/>
      <c r="N714" s="757"/>
      <c r="O714" s="496"/>
      <c r="P714" s="496"/>
      <c r="Q714" s="571"/>
      <c r="R714" s="571"/>
      <c r="S714" s="571"/>
      <c r="T714" s="571"/>
      <c r="U714" s="571"/>
      <c r="V714" s="571"/>
      <c r="W714" s="571"/>
      <c r="X714" s="571"/>
      <c r="Y714" s="571"/>
      <c r="Z714" s="571"/>
    </row>
    <row r="715" spans="1:26" ht="18.75">
      <c r="A715" s="735"/>
      <c r="B715" s="754"/>
      <c r="C715" s="754"/>
      <c r="D715" s="754"/>
      <c r="E715" s="754"/>
      <c r="F715" s="754" t="s">
        <v>303</v>
      </c>
      <c r="G715" s="189"/>
      <c r="H715" s="755" t="s">
        <v>35</v>
      </c>
      <c r="I715" s="756"/>
      <c r="J715" s="214">
        <v>0</v>
      </c>
      <c r="K715" s="496"/>
      <c r="L715" s="757"/>
      <c r="M715" s="189"/>
      <c r="N715" s="757"/>
      <c r="O715" s="496"/>
      <c r="P715" s="496"/>
      <c r="Q715" s="571"/>
      <c r="R715" s="571"/>
      <c r="S715" s="571"/>
      <c r="T715" s="571"/>
      <c r="U715" s="571"/>
      <c r="V715" s="571"/>
      <c r="W715" s="571"/>
      <c r="X715" s="571"/>
      <c r="Y715" s="571"/>
      <c r="Z715" s="571"/>
    </row>
    <row r="716" spans="1:26" ht="18.75">
      <c r="A716" s="735"/>
      <c r="B716" s="754"/>
      <c r="C716" s="754"/>
      <c r="D716" s="754"/>
      <c r="E716" s="754"/>
      <c r="F716" s="754"/>
      <c r="G716" s="189"/>
      <c r="H716" s="755" t="s">
        <v>34</v>
      </c>
      <c r="I716" s="756"/>
      <c r="J716" s="214">
        <v>0</v>
      </c>
      <c r="K716" s="496"/>
      <c r="L716" s="757"/>
      <c r="M716" s="189"/>
      <c r="N716" s="757"/>
      <c r="O716" s="496"/>
      <c r="P716" s="496"/>
      <c r="Q716" s="571"/>
      <c r="R716" s="571"/>
      <c r="S716" s="571"/>
      <c r="T716" s="571"/>
      <c r="U716" s="571"/>
      <c r="V716" s="571"/>
      <c r="W716" s="571"/>
      <c r="X716" s="571"/>
      <c r="Y716" s="571"/>
      <c r="Z716" s="571"/>
    </row>
    <row r="717" spans="1:26" ht="18.75">
      <c r="A717" s="735"/>
      <c r="B717" s="754"/>
      <c r="C717" s="754"/>
      <c r="D717" s="754"/>
      <c r="E717" s="754"/>
      <c r="F717" s="754"/>
      <c r="G717" s="189"/>
      <c r="H717" s="755" t="s">
        <v>46</v>
      </c>
      <c r="I717" s="756"/>
      <c r="J717" s="214">
        <v>0</v>
      </c>
      <c r="K717" s="496"/>
      <c r="L717" s="757"/>
      <c r="M717" s="189"/>
      <c r="N717" s="757"/>
      <c r="O717" s="496"/>
      <c r="P717" s="496"/>
      <c r="Q717" s="571"/>
      <c r="R717" s="571"/>
      <c r="S717" s="571"/>
      <c r="T717" s="571"/>
      <c r="U717" s="571"/>
      <c r="V717" s="571"/>
      <c r="W717" s="571"/>
      <c r="X717" s="571"/>
      <c r="Y717" s="571"/>
      <c r="Z717" s="571"/>
    </row>
    <row r="718" spans="1:26" ht="18.75">
      <c r="A718" s="735"/>
      <c r="B718" s="754"/>
      <c r="C718" s="754"/>
      <c r="D718" s="754" t="s">
        <v>304</v>
      </c>
      <c r="E718" s="754"/>
      <c r="F718" s="754"/>
      <c r="G718" s="189"/>
      <c r="H718" s="755" t="s">
        <v>35</v>
      </c>
      <c r="I718" s="756"/>
      <c r="J718" s="269">
        <f ca="1">IFERROR(__xludf.DUMMYFUNCTION("IMPORTRANGE(""https://docs.google.com/spreadsheets/d/1XWAQStnk-4SwqDmLtmXYiTMKHgktTP8We1SCoS47DrQ/edit?usp=sharing"",""จัดที่ดิน!BF59"")"),0)</f>
        <v>0</v>
      </c>
      <c r="K718" s="496"/>
      <c r="L718" s="496"/>
      <c r="M718" s="189"/>
      <c r="N718" s="757"/>
      <c r="O718" s="496"/>
      <c r="P718" s="496"/>
      <c r="Q718" s="571"/>
      <c r="R718" s="571"/>
      <c r="S718" s="571"/>
      <c r="T718" s="571"/>
      <c r="U718" s="571"/>
      <c r="V718" s="571"/>
      <c r="W718" s="571"/>
      <c r="X718" s="571"/>
      <c r="Y718" s="571"/>
      <c r="Z718" s="571"/>
    </row>
    <row r="719" spans="1:26" ht="18.75">
      <c r="A719" s="735"/>
      <c r="B719" s="754"/>
      <c r="C719" s="754"/>
      <c r="D719" s="754"/>
      <c r="E719" s="754"/>
      <c r="F719" s="754"/>
      <c r="G719" s="189"/>
      <c r="H719" s="755" t="s">
        <v>34</v>
      </c>
      <c r="I719" s="756"/>
      <c r="J719" s="269">
        <f ca="1">IFERROR(__xludf.DUMMYFUNCTION("IMPORTRANGE(""https://docs.google.com/spreadsheets/d/1XWAQStnk-4SwqDmLtmXYiTMKHgktTP8We1SCoS47DrQ/edit?usp=sharing"",""จัดที่ดิน!BG59"")"),0)</f>
        <v>0</v>
      </c>
      <c r="K719" s="496"/>
      <c r="L719" s="757"/>
      <c r="M719" s="189"/>
      <c r="N719" s="757"/>
      <c r="O719" s="496"/>
      <c r="P719" s="496"/>
      <c r="Q719" s="571"/>
      <c r="R719" s="571"/>
      <c r="S719" s="571"/>
      <c r="T719" s="571"/>
      <c r="U719" s="571"/>
      <c r="V719" s="571"/>
      <c r="W719" s="571"/>
      <c r="X719" s="571"/>
      <c r="Y719" s="571"/>
      <c r="Z719" s="571"/>
    </row>
    <row r="720" spans="1:26" ht="18.75">
      <c r="A720" s="735"/>
      <c r="B720" s="754"/>
      <c r="C720" s="754"/>
      <c r="D720" s="754"/>
      <c r="E720" s="754"/>
      <c r="F720" s="754"/>
      <c r="G720" s="189"/>
      <c r="H720" s="755" t="s">
        <v>46</v>
      </c>
      <c r="I720" s="756">
        <f ca="1">IFERROR(__xludf.DUMMYFUNCTION("IMPORTRANGE(""https://docs.google.com/spreadsheets/d/1QqKyyYR6Q21VydFLVH3TRQUabQu_ym0Zz7PgGX0-kHA/edit?usp=sharing"",""แผน!II59"")"),312)</f>
        <v>312</v>
      </c>
      <c r="J720" s="269">
        <f ca="1">IFERROR(__xludf.DUMMYFUNCTION("IMPORTRANGE(""https://docs.google.com/spreadsheets/d/1XWAQStnk-4SwqDmLtmXYiTMKHgktTP8We1SCoS47DrQ/edit?usp=sharing"",""จัดที่ดิน!BH59"")"),0)</f>
        <v>0</v>
      </c>
      <c r="K720" s="496">
        <f t="shared" ref="K720:K723" ca="1" si="291">IF(I720&gt;0,J720*100/I720,0)</f>
        <v>0</v>
      </c>
      <c r="L720" s="757"/>
      <c r="M720" s="189"/>
      <c r="N720" s="757"/>
      <c r="O720" s="496"/>
      <c r="P720" s="496"/>
      <c r="Q720" s="571"/>
      <c r="R720" s="571"/>
      <c r="S720" s="571"/>
      <c r="T720" s="571"/>
      <c r="U720" s="571"/>
      <c r="V720" s="571"/>
      <c r="W720" s="571"/>
      <c r="X720" s="571"/>
      <c r="Y720" s="571"/>
      <c r="Z720" s="571"/>
    </row>
    <row r="721" spans="1:26" ht="19.5">
      <c r="A721" s="735"/>
      <c r="B721" s="754"/>
      <c r="C721" s="754"/>
      <c r="D721" s="754" t="s">
        <v>305</v>
      </c>
      <c r="E721" s="754"/>
      <c r="F721" s="754"/>
      <c r="G721" s="189"/>
      <c r="H721" s="758" t="s">
        <v>35</v>
      </c>
      <c r="I721" s="759">
        <f ca="1">IFERROR(__xludf.DUMMYFUNCTION("IMPORTRANGE(""https://docs.google.com/spreadsheets/d/1QqKyyYR6Q21VydFLVH3TRQUabQu_ym0Zz7PgGX0-kHA/edit?usp=sharing"",""แผน!IJ59"")"),36)</f>
        <v>36</v>
      </c>
      <c r="J721" s="674">
        <f ca="1">J723+J726</f>
        <v>0</v>
      </c>
      <c r="K721" s="195">
        <f t="shared" ca="1" si="291"/>
        <v>0</v>
      </c>
      <c r="L721" s="757"/>
      <c r="M721" s="189"/>
      <c r="N721" s="757"/>
      <c r="O721" s="496"/>
      <c r="P721" s="496"/>
      <c r="Q721" s="571"/>
      <c r="R721" s="571"/>
      <c r="S721" s="571"/>
      <c r="T721" s="571"/>
      <c r="U721" s="571"/>
      <c r="V721" s="571"/>
      <c r="W721" s="571"/>
      <c r="X721" s="571"/>
      <c r="Y721" s="571"/>
      <c r="Z721" s="571"/>
    </row>
    <row r="722" spans="1:26" ht="19.5">
      <c r="A722" s="735"/>
      <c r="B722" s="754"/>
      <c r="C722" s="754"/>
      <c r="D722" s="754"/>
      <c r="E722" s="754"/>
      <c r="F722" s="754"/>
      <c r="G722" s="189"/>
      <c r="H722" s="758" t="s">
        <v>46</v>
      </c>
      <c r="I722" s="759">
        <f ca="1">IFERROR(__xludf.DUMMYFUNCTION("IMPORTRANGE(""https://docs.google.com/spreadsheets/d/1QqKyyYR6Q21VydFLVH3TRQUabQu_ym0Zz7PgGX0-kHA/edit?usp=sharing"",""แผน!IK59"")"),351)</f>
        <v>351</v>
      </c>
      <c r="J722" s="674">
        <f ca="1">J725+J728</f>
        <v>0</v>
      </c>
      <c r="K722" s="195">
        <f t="shared" ca="1" si="291"/>
        <v>0</v>
      </c>
      <c r="L722" s="496"/>
      <c r="M722" s="189"/>
      <c r="N722" s="757"/>
      <c r="O722" s="496"/>
      <c r="P722" s="496"/>
      <c r="Q722" s="571"/>
      <c r="R722" s="571"/>
      <c r="S722" s="571"/>
      <c r="T722" s="571"/>
      <c r="U722" s="571"/>
      <c r="V722" s="571"/>
      <c r="W722" s="571"/>
      <c r="X722" s="571"/>
      <c r="Y722" s="571"/>
      <c r="Z722" s="571"/>
    </row>
    <row r="723" spans="1:26" ht="18.75">
      <c r="A723" s="735"/>
      <c r="B723" s="754"/>
      <c r="C723" s="754"/>
      <c r="D723" s="754"/>
      <c r="E723" s="754" t="s">
        <v>306</v>
      </c>
      <c r="F723" s="754"/>
      <c r="G723" s="189"/>
      <c r="H723" s="755" t="s">
        <v>35</v>
      </c>
      <c r="I723" s="756">
        <f ca="1">IFERROR(__xludf.DUMMYFUNCTION("IMPORTRANGE(""https://docs.google.com/spreadsheets/d/1QqKyyYR6Q21VydFLVH3TRQUabQu_ym0Zz7PgGX0-kHA/edit?usp=sharing"",""แผน!IL59"")"),17)</f>
        <v>17</v>
      </c>
      <c r="J723" s="269">
        <f ca="1">IFERROR(__xludf.DUMMYFUNCTION("IMPORTRANGE(""https://docs.google.com/spreadsheets/d/1XWAQStnk-4SwqDmLtmXYiTMKHgktTP8We1SCoS47DrQ/edit?usp=sharing"",""จัดที่ดิน!BM59"")"),0)</f>
        <v>0</v>
      </c>
      <c r="K723" s="496">
        <f t="shared" ca="1" si="291"/>
        <v>0</v>
      </c>
      <c r="L723" s="496"/>
      <c r="M723" s="189"/>
      <c r="N723" s="757"/>
      <c r="O723" s="496"/>
      <c r="P723" s="496"/>
      <c r="Q723" s="571"/>
      <c r="R723" s="571"/>
      <c r="S723" s="571"/>
      <c r="T723" s="571"/>
      <c r="U723" s="571"/>
      <c r="V723" s="571"/>
      <c r="W723" s="571"/>
      <c r="X723" s="571"/>
      <c r="Y723" s="571"/>
      <c r="Z723" s="571"/>
    </row>
    <row r="724" spans="1:26" ht="18.75">
      <c r="A724" s="735"/>
      <c r="B724" s="754"/>
      <c r="C724" s="754"/>
      <c r="D724" s="754"/>
      <c r="E724" s="754"/>
      <c r="F724" s="754"/>
      <c r="G724" s="189"/>
      <c r="H724" s="755" t="s">
        <v>34</v>
      </c>
      <c r="I724" s="756"/>
      <c r="J724" s="269">
        <f ca="1">IFERROR(__xludf.DUMMYFUNCTION("IMPORTRANGE(""https://docs.google.com/spreadsheets/d/1XWAQStnk-4SwqDmLtmXYiTMKHgktTP8We1SCoS47DrQ/edit?usp=sharing"",""จัดที่ดิน!BN59"")"),0)</f>
        <v>0</v>
      </c>
      <c r="K724" s="496"/>
      <c r="L724" s="757"/>
      <c r="M724" s="189"/>
      <c r="N724" s="757"/>
      <c r="O724" s="496"/>
      <c r="P724" s="496"/>
      <c r="Q724" s="571"/>
      <c r="R724" s="571"/>
      <c r="S724" s="571"/>
      <c r="T724" s="571"/>
      <c r="U724" s="571"/>
      <c r="V724" s="571"/>
      <c r="W724" s="571"/>
      <c r="X724" s="571"/>
      <c r="Y724" s="571"/>
      <c r="Z724" s="571"/>
    </row>
    <row r="725" spans="1:26" ht="18.75">
      <c r="A725" s="735"/>
      <c r="B725" s="754"/>
      <c r="C725" s="754"/>
      <c r="D725" s="754"/>
      <c r="E725" s="754"/>
      <c r="F725" s="754"/>
      <c r="G725" s="189"/>
      <c r="H725" s="755" t="s">
        <v>46</v>
      </c>
      <c r="I725" s="756">
        <f ca="1">IFERROR(__xludf.DUMMYFUNCTION("IMPORTRANGE(""https://docs.google.com/spreadsheets/d/1QqKyyYR6Q21VydFLVH3TRQUabQu_ym0Zz7PgGX0-kHA/edit?usp=sharing"",""แผน!IM59"")"),220)</f>
        <v>220</v>
      </c>
      <c r="J725" s="269">
        <f ca="1">IFERROR(__xludf.DUMMYFUNCTION("IMPORTRANGE(""https://docs.google.com/spreadsheets/d/1XWAQStnk-4SwqDmLtmXYiTMKHgktTP8We1SCoS47DrQ/edit?usp=sharing"",""จัดที่ดิน!BO59"")"),0)</f>
        <v>0</v>
      </c>
      <c r="K725" s="496">
        <f t="shared" ref="K725:K726" ca="1" si="292">IF(I725&gt;0,J725*100/I725,0)</f>
        <v>0</v>
      </c>
      <c r="L725" s="757"/>
      <c r="M725" s="189"/>
      <c r="N725" s="757"/>
      <c r="O725" s="496"/>
      <c r="P725" s="496"/>
      <c r="Q725" s="571"/>
      <c r="R725" s="571"/>
      <c r="S725" s="571"/>
      <c r="T725" s="571"/>
      <c r="U725" s="571"/>
      <c r="V725" s="571"/>
      <c r="W725" s="571"/>
      <c r="X725" s="571"/>
      <c r="Y725" s="571"/>
      <c r="Z725" s="571"/>
    </row>
    <row r="726" spans="1:26" ht="18.75">
      <c r="A726" s="735"/>
      <c r="B726" s="754"/>
      <c r="C726" s="754"/>
      <c r="D726" s="754"/>
      <c r="E726" s="754" t="s">
        <v>307</v>
      </c>
      <c r="F726" s="754"/>
      <c r="G726" s="189"/>
      <c r="H726" s="755" t="s">
        <v>35</v>
      </c>
      <c r="I726" s="756">
        <f ca="1">IFERROR(__xludf.DUMMYFUNCTION("IMPORTRANGE(""https://docs.google.com/spreadsheets/d/1QqKyyYR6Q21VydFLVH3TRQUabQu_ym0Zz7PgGX0-kHA/edit?usp=sharing"",""แผน!IN59"")"),19)</f>
        <v>19</v>
      </c>
      <c r="J726" s="269">
        <f ca="1">IFERROR(__xludf.DUMMYFUNCTION("IMPORTRANGE(""https://docs.google.com/spreadsheets/d/1XWAQStnk-4SwqDmLtmXYiTMKHgktTP8We1SCoS47DrQ/edit?usp=sharing"",""จัดที่ดิน!BR59"")"),0)</f>
        <v>0</v>
      </c>
      <c r="K726" s="496">
        <f t="shared" ca="1" si="292"/>
        <v>0</v>
      </c>
      <c r="L726" s="496"/>
      <c r="M726" s="189"/>
      <c r="N726" s="757"/>
      <c r="O726" s="496"/>
      <c r="P726" s="496"/>
      <c r="Q726" s="571"/>
      <c r="R726" s="571"/>
      <c r="S726" s="571"/>
      <c r="T726" s="571"/>
      <c r="U726" s="571"/>
      <c r="V726" s="571"/>
      <c r="W726" s="571"/>
      <c r="X726" s="571"/>
      <c r="Y726" s="571"/>
      <c r="Z726" s="571"/>
    </row>
    <row r="727" spans="1:26" ht="18.75">
      <c r="A727" s="735"/>
      <c r="B727" s="754"/>
      <c r="C727" s="754"/>
      <c r="D727" s="754"/>
      <c r="E727" s="754"/>
      <c r="F727" s="754"/>
      <c r="G727" s="189"/>
      <c r="H727" s="755" t="s">
        <v>34</v>
      </c>
      <c r="I727" s="756"/>
      <c r="J727" s="269">
        <f ca="1">IFERROR(__xludf.DUMMYFUNCTION("IMPORTRANGE(""https://docs.google.com/spreadsheets/d/1XWAQStnk-4SwqDmLtmXYiTMKHgktTP8We1SCoS47DrQ/edit?usp=sharing"",""จัดที่ดิน!BS59"")"),0)</f>
        <v>0</v>
      </c>
      <c r="K727" s="496"/>
      <c r="L727" s="757"/>
      <c r="M727" s="189"/>
      <c r="N727" s="757"/>
      <c r="O727" s="496"/>
      <c r="P727" s="496"/>
      <c r="Q727" s="571"/>
      <c r="R727" s="571"/>
      <c r="S727" s="571"/>
      <c r="T727" s="571"/>
      <c r="U727" s="571"/>
      <c r="V727" s="571"/>
      <c r="W727" s="571"/>
      <c r="X727" s="571"/>
      <c r="Y727" s="571"/>
      <c r="Z727" s="571"/>
    </row>
    <row r="728" spans="1:26" ht="18.75">
      <c r="A728" s="735"/>
      <c r="B728" s="754"/>
      <c r="C728" s="754"/>
      <c r="D728" s="754"/>
      <c r="E728" s="754"/>
      <c r="F728" s="754"/>
      <c r="G728" s="189"/>
      <c r="H728" s="755" t="s">
        <v>46</v>
      </c>
      <c r="I728" s="756">
        <f ca="1">IFERROR(__xludf.DUMMYFUNCTION("IMPORTRANGE(""https://docs.google.com/spreadsheets/d/1QqKyyYR6Q21VydFLVH3TRQUabQu_ym0Zz7PgGX0-kHA/edit?usp=sharing"",""แผน!IO59"")"),131)</f>
        <v>131</v>
      </c>
      <c r="J728" s="269">
        <f ca="1">IFERROR(__xludf.DUMMYFUNCTION("IMPORTRANGE(""https://docs.google.com/spreadsheets/d/1XWAQStnk-4SwqDmLtmXYiTMKHgktTP8We1SCoS47DrQ/edit?usp=sharing"",""จัดที่ดิน!BT59"")"),0)</f>
        <v>0</v>
      </c>
      <c r="K728" s="496">
        <f t="shared" ref="K728:K729" ca="1" si="293">IF(I728&gt;0,J728*100/I728,0)</f>
        <v>0</v>
      </c>
      <c r="L728" s="757"/>
      <c r="M728" s="189"/>
      <c r="N728" s="757"/>
      <c r="O728" s="496"/>
      <c r="P728" s="496"/>
      <c r="Q728" s="571"/>
      <c r="R728" s="571"/>
      <c r="S728" s="571"/>
      <c r="T728" s="571"/>
      <c r="U728" s="571"/>
      <c r="V728" s="571"/>
      <c r="W728" s="571"/>
      <c r="X728" s="571"/>
      <c r="Y728" s="571"/>
      <c r="Z728" s="571"/>
    </row>
    <row r="729" spans="1:26" ht="19.5">
      <c r="A729" s="735"/>
      <c r="B729" s="754"/>
      <c r="C729" s="754"/>
      <c r="D729" s="754" t="s">
        <v>308</v>
      </c>
      <c r="E729" s="754"/>
      <c r="F729" s="754"/>
      <c r="G729" s="189"/>
      <c r="H729" s="758" t="s">
        <v>46</v>
      </c>
      <c r="I729" s="759">
        <f ca="1">IFERROR(__xludf.DUMMYFUNCTION("IMPORTRANGE(""https://docs.google.com/spreadsheets/d/1QqKyyYR6Q21VydFLVH3TRQUabQu_ym0Zz7PgGX0-kHA/edit?usp=sharing"",""แผน!IP59"")"),131)</f>
        <v>131</v>
      </c>
      <c r="J729" s="674">
        <f>J732+J735</f>
        <v>0</v>
      </c>
      <c r="K729" s="195">
        <f t="shared" ca="1" si="293"/>
        <v>0</v>
      </c>
      <c r="L729" s="496"/>
      <c r="M729" s="189"/>
      <c r="N729" s="757"/>
      <c r="O729" s="496"/>
      <c r="P729" s="496"/>
      <c r="Q729" s="571"/>
      <c r="R729" s="571"/>
      <c r="S729" s="571"/>
      <c r="T729" s="571"/>
      <c r="U729" s="571"/>
      <c r="V729" s="571"/>
      <c r="W729" s="571"/>
      <c r="X729" s="571"/>
      <c r="Y729" s="571"/>
      <c r="Z729" s="571"/>
    </row>
    <row r="730" spans="1:26" ht="18.75">
      <c r="A730" s="735"/>
      <c r="B730" s="754"/>
      <c r="C730" s="754"/>
      <c r="D730" s="754"/>
      <c r="E730" s="754" t="s">
        <v>309</v>
      </c>
      <c r="F730" s="754"/>
      <c r="G730" s="189"/>
      <c r="H730" s="755" t="s">
        <v>35</v>
      </c>
      <c r="I730" s="756"/>
      <c r="J730" s="214">
        <v>0</v>
      </c>
      <c r="K730" s="496"/>
      <c r="L730" s="757"/>
      <c r="M730" s="496"/>
      <c r="N730" s="757"/>
      <c r="O730" s="496"/>
      <c r="P730" s="496"/>
      <c r="Q730" s="571"/>
      <c r="R730" s="571"/>
      <c r="S730" s="571"/>
      <c r="T730" s="571"/>
      <c r="U730" s="571"/>
      <c r="V730" s="571"/>
      <c r="W730" s="571"/>
      <c r="X730" s="571"/>
      <c r="Y730" s="571"/>
      <c r="Z730" s="571"/>
    </row>
    <row r="731" spans="1:26" ht="18.75">
      <c r="A731" s="735"/>
      <c r="B731" s="754"/>
      <c r="C731" s="754"/>
      <c r="D731" s="754"/>
      <c r="E731" s="754"/>
      <c r="F731" s="754"/>
      <c r="G731" s="189"/>
      <c r="H731" s="755" t="s">
        <v>34</v>
      </c>
      <c r="I731" s="756"/>
      <c r="J731" s="214">
        <v>0</v>
      </c>
      <c r="K731" s="496"/>
      <c r="L731" s="757"/>
      <c r="M731" s="496"/>
      <c r="N731" s="757"/>
      <c r="O731" s="496"/>
      <c r="P731" s="496"/>
      <c r="Q731" s="571"/>
      <c r="R731" s="571"/>
      <c r="S731" s="571"/>
      <c r="T731" s="571"/>
      <c r="U731" s="571"/>
      <c r="V731" s="571"/>
      <c r="W731" s="571"/>
      <c r="X731" s="571"/>
      <c r="Y731" s="571"/>
      <c r="Z731" s="571"/>
    </row>
    <row r="732" spans="1:26" ht="18.75">
      <c r="A732" s="735"/>
      <c r="B732" s="754"/>
      <c r="C732" s="754"/>
      <c r="D732" s="754"/>
      <c r="E732" s="754"/>
      <c r="F732" s="754"/>
      <c r="G732" s="189"/>
      <c r="H732" s="755" t="s">
        <v>46</v>
      </c>
      <c r="I732" s="756"/>
      <c r="J732" s="214">
        <v>0</v>
      </c>
      <c r="K732" s="496"/>
      <c r="L732" s="757"/>
      <c r="M732" s="496"/>
      <c r="N732" s="757"/>
      <c r="O732" s="496"/>
      <c r="P732" s="496"/>
      <c r="Q732" s="571"/>
      <c r="R732" s="571"/>
      <c r="S732" s="571"/>
      <c r="T732" s="571"/>
      <c r="U732" s="571"/>
      <c r="V732" s="571"/>
      <c r="W732" s="571"/>
      <c r="X732" s="571"/>
      <c r="Y732" s="571"/>
      <c r="Z732" s="571"/>
    </row>
    <row r="733" spans="1:26" ht="18.75">
      <c r="A733" s="735"/>
      <c r="B733" s="754"/>
      <c r="C733" s="754"/>
      <c r="D733" s="754"/>
      <c r="E733" s="754" t="s">
        <v>310</v>
      </c>
      <c r="F733" s="754"/>
      <c r="G733" s="189"/>
      <c r="H733" s="755" t="s">
        <v>35</v>
      </c>
      <c r="I733" s="756"/>
      <c r="J733" s="214">
        <v>0</v>
      </c>
      <c r="K733" s="496"/>
      <c r="L733" s="757"/>
      <c r="M733" s="496"/>
      <c r="N733" s="757"/>
      <c r="O733" s="496"/>
      <c r="P733" s="496"/>
      <c r="Q733" s="571"/>
      <c r="R733" s="571"/>
      <c r="S733" s="571"/>
      <c r="T733" s="571"/>
      <c r="U733" s="571"/>
      <c r="V733" s="571"/>
      <c r="W733" s="571"/>
      <c r="X733" s="571"/>
      <c r="Y733" s="571"/>
      <c r="Z733" s="571"/>
    </row>
    <row r="734" spans="1:26" ht="18.75">
      <c r="A734" s="735"/>
      <c r="B734" s="754"/>
      <c r="C734" s="754"/>
      <c r="D734" s="754"/>
      <c r="E734" s="754"/>
      <c r="F734" s="754"/>
      <c r="G734" s="189"/>
      <c r="H734" s="755" t="s">
        <v>34</v>
      </c>
      <c r="I734" s="756"/>
      <c r="J734" s="214">
        <v>0</v>
      </c>
      <c r="K734" s="496"/>
      <c r="L734" s="757"/>
      <c r="M734" s="496"/>
      <c r="N734" s="757"/>
      <c r="O734" s="496"/>
      <c r="P734" s="496"/>
      <c r="Q734" s="571"/>
      <c r="R734" s="571"/>
      <c r="S734" s="571"/>
      <c r="T734" s="571"/>
      <c r="U734" s="571"/>
      <c r="V734" s="571"/>
      <c r="W734" s="571"/>
      <c r="X734" s="571"/>
      <c r="Y734" s="571"/>
      <c r="Z734" s="571"/>
    </row>
    <row r="735" spans="1:26" ht="19.5">
      <c r="A735" s="761"/>
      <c r="B735" s="762" t="s">
        <v>311</v>
      </c>
      <c r="C735" s="725"/>
      <c r="D735" s="725"/>
      <c r="E735" s="725"/>
      <c r="F735" s="725"/>
      <c r="G735" s="726"/>
      <c r="H735" s="421" t="s">
        <v>46</v>
      </c>
      <c r="I735" s="763"/>
      <c r="J735" s="423">
        <v>0</v>
      </c>
      <c r="K735" s="500"/>
      <c r="L735" s="764"/>
      <c r="M735" s="500"/>
      <c r="N735" s="764"/>
      <c r="O735" s="500"/>
      <c r="P735" s="500"/>
      <c r="Q735" s="571"/>
      <c r="R735" s="571"/>
      <c r="S735" s="571"/>
      <c r="T735" s="571"/>
      <c r="U735" s="571"/>
      <c r="V735" s="571"/>
      <c r="W735" s="571"/>
      <c r="X735" s="571"/>
      <c r="Y735" s="571"/>
      <c r="Z735" s="571"/>
    </row>
    <row r="736" spans="1:26" ht="19.5" hidden="1">
      <c r="A736" s="765">
        <v>9</v>
      </c>
      <c r="B736" s="766" t="s">
        <v>312</v>
      </c>
      <c r="C736" s="767"/>
      <c r="D736" s="767"/>
      <c r="E736" s="767"/>
      <c r="F736" s="767"/>
      <c r="G736" s="768"/>
      <c r="H736" s="769" t="s">
        <v>46</v>
      </c>
      <c r="I736" s="770"/>
      <c r="J736" s="770">
        <f>J751</f>
        <v>0</v>
      </c>
      <c r="K736" s="771">
        <f>IF(I736&gt;0,J736*100/I736,0)</f>
        <v>0</v>
      </c>
      <c r="L736" s="772"/>
      <c r="M736" s="772"/>
      <c r="N736" s="772"/>
      <c r="O736" s="772"/>
      <c r="P736" s="772"/>
      <c r="Q736" s="597"/>
      <c r="R736" s="597"/>
      <c r="S736" s="597"/>
      <c r="T736" s="597"/>
      <c r="U736" s="597"/>
      <c r="V736" s="597"/>
      <c r="W736" s="597"/>
      <c r="X736" s="597"/>
      <c r="Y736" s="597"/>
      <c r="Z736" s="597"/>
    </row>
    <row r="737" spans="1:26" ht="19.5" hidden="1">
      <c r="A737" s="592"/>
      <c r="B737" s="750"/>
      <c r="C737" s="750" t="s">
        <v>16</v>
      </c>
      <c r="D737" s="864" t="s">
        <v>17</v>
      </c>
      <c r="E737" s="857"/>
      <c r="F737" s="857"/>
      <c r="G737" s="596"/>
      <c r="H737" s="639" t="s">
        <v>12</v>
      </c>
      <c r="I737" s="610"/>
      <c r="J737" s="610"/>
      <c r="K737" s="93"/>
      <c r="L737" s="640">
        <f t="shared" ref="L737:N737" si="294">L738+L739</f>
        <v>0</v>
      </c>
      <c r="M737" s="640">
        <f t="shared" si="294"/>
        <v>0</v>
      </c>
      <c r="N737" s="640">
        <f t="shared" si="294"/>
        <v>0</v>
      </c>
      <c r="O737" s="640">
        <f t="shared" ref="O737:O742" si="295">IF(L737&gt;0,N737*100/L737,0)</f>
        <v>0</v>
      </c>
      <c r="P737" s="640">
        <f t="shared" ref="P737:P742" si="296">IF(M737&gt;0,N737*100/M737,0)</f>
        <v>0</v>
      </c>
      <c r="Q737" s="597"/>
      <c r="R737" s="597"/>
      <c r="S737" s="597"/>
      <c r="T737" s="597"/>
      <c r="U737" s="597"/>
      <c r="V737" s="597"/>
      <c r="W737" s="597"/>
      <c r="X737" s="597"/>
      <c r="Y737" s="597"/>
      <c r="Z737" s="597"/>
    </row>
    <row r="738" spans="1:26" ht="18.75" hidden="1">
      <c r="A738" s="592"/>
      <c r="B738" s="750"/>
      <c r="C738" s="750"/>
      <c r="D738" s="711"/>
      <c r="E738" s="750" t="s">
        <v>184</v>
      </c>
      <c r="F738" s="750"/>
      <c r="G738" s="596"/>
      <c r="H738" s="165" t="s">
        <v>12</v>
      </c>
      <c r="I738" s="610"/>
      <c r="J738" s="610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597"/>
      <c r="R738" s="597"/>
      <c r="S738" s="597"/>
      <c r="T738" s="597"/>
      <c r="U738" s="597"/>
      <c r="V738" s="597"/>
      <c r="W738" s="597"/>
      <c r="X738" s="597"/>
      <c r="Y738" s="597"/>
      <c r="Z738" s="597"/>
    </row>
    <row r="739" spans="1:26" ht="18.75" hidden="1">
      <c r="A739" s="592"/>
      <c r="B739" s="600"/>
      <c r="C739" s="750"/>
      <c r="D739" s="711"/>
      <c r="E739" s="750" t="s">
        <v>185</v>
      </c>
      <c r="F739" s="750"/>
      <c r="G739" s="596"/>
      <c r="H739" s="165" t="s">
        <v>12</v>
      </c>
      <c r="I739" s="610"/>
      <c r="J739" s="610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597"/>
      <c r="R739" s="597"/>
      <c r="S739" s="597"/>
      <c r="T739" s="597"/>
      <c r="U739" s="597"/>
      <c r="V739" s="597"/>
      <c r="W739" s="597"/>
      <c r="X739" s="597"/>
      <c r="Y739" s="597"/>
      <c r="Z739" s="597"/>
    </row>
    <row r="740" spans="1:26" ht="19.5" hidden="1">
      <c r="A740" s="592"/>
      <c r="B740" s="600"/>
      <c r="C740" s="750"/>
      <c r="D740" s="638" t="s">
        <v>20</v>
      </c>
      <c r="E740" s="750"/>
      <c r="F740" s="750"/>
      <c r="G740" s="596"/>
      <c r="H740" s="639" t="s">
        <v>12</v>
      </c>
      <c r="I740" s="166"/>
      <c r="J740" s="166"/>
      <c r="K740" s="167"/>
      <c r="L740" s="640">
        <f t="shared" ref="L740:N740" si="298">L741+L742</f>
        <v>0</v>
      </c>
      <c r="M740" s="640">
        <f t="shared" si="298"/>
        <v>0</v>
      </c>
      <c r="N740" s="640">
        <f t="shared" si="298"/>
        <v>0</v>
      </c>
      <c r="O740" s="640">
        <f t="shared" si="295"/>
        <v>0</v>
      </c>
      <c r="P740" s="640">
        <f t="shared" si="296"/>
        <v>0</v>
      </c>
      <c r="Q740" s="597"/>
      <c r="R740" s="597"/>
      <c r="S740" s="597"/>
      <c r="T740" s="597"/>
      <c r="U740" s="597"/>
      <c r="V740" s="597"/>
      <c r="W740" s="597"/>
      <c r="X740" s="597"/>
      <c r="Y740" s="597"/>
      <c r="Z740" s="597"/>
    </row>
    <row r="741" spans="1:26" ht="18.75" hidden="1">
      <c r="A741" s="592"/>
      <c r="B741" s="600"/>
      <c r="C741" s="750"/>
      <c r="D741" s="711"/>
      <c r="E741" s="750" t="s">
        <v>184</v>
      </c>
      <c r="F741" s="750"/>
      <c r="G741" s="596"/>
      <c r="H741" s="165" t="s">
        <v>12</v>
      </c>
      <c r="I741" s="610"/>
      <c r="J741" s="610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597"/>
      <c r="R741" s="597"/>
      <c r="S741" s="597"/>
      <c r="T741" s="597"/>
      <c r="U741" s="597"/>
      <c r="V741" s="597"/>
      <c r="W741" s="597"/>
      <c r="X741" s="597"/>
      <c r="Y741" s="597"/>
      <c r="Z741" s="597"/>
    </row>
    <row r="742" spans="1:26" ht="18.75" hidden="1">
      <c r="A742" s="592"/>
      <c r="B742" s="600"/>
      <c r="C742" s="750"/>
      <c r="D742" s="711"/>
      <c r="E742" s="750" t="s">
        <v>185</v>
      </c>
      <c r="F742" s="750"/>
      <c r="G742" s="596"/>
      <c r="H742" s="165" t="s">
        <v>12</v>
      </c>
      <c r="I742" s="610"/>
      <c r="J742" s="610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597"/>
      <c r="R742" s="597"/>
      <c r="S742" s="597"/>
      <c r="T742" s="597"/>
      <c r="U742" s="597"/>
      <c r="V742" s="597"/>
      <c r="W742" s="597"/>
      <c r="X742" s="597"/>
      <c r="Y742" s="597"/>
      <c r="Z742" s="597"/>
    </row>
    <row r="743" spans="1:26" ht="18.75" hidden="1">
      <c r="A743" s="642"/>
      <c r="B743" s="600"/>
      <c r="C743" s="750"/>
      <c r="D743" s="750"/>
      <c r="E743" s="750"/>
      <c r="F743" s="750" t="s">
        <v>186</v>
      </c>
      <c r="G743" s="596"/>
      <c r="H743" s="165" t="s">
        <v>12</v>
      </c>
      <c r="I743" s="610"/>
      <c r="J743" s="610"/>
      <c r="K743" s="93"/>
      <c r="L743" s="93"/>
      <c r="M743" s="93"/>
      <c r="N743" s="93"/>
      <c r="O743" s="93"/>
      <c r="P743" s="93"/>
      <c r="Q743" s="597"/>
      <c r="R743" s="597"/>
      <c r="S743" s="597"/>
      <c r="T743" s="597"/>
      <c r="U743" s="597"/>
      <c r="V743" s="597"/>
      <c r="W743" s="597"/>
      <c r="X743" s="597"/>
      <c r="Y743" s="597"/>
      <c r="Z743" s="597"/>
    </row>
    <row r="744" spans="1:26" ht="18.75" hidden="1">
      <c r="A744" s="642"/>
      <c r="B744" s="600"/>
      <c r="C744" s="750"/>
      <c r="D744" s="750"/>
      <c r="E744" s="750"/>
      <c r="F744" s="750" t="s">
        <v>187</v>
      </c>
      <c r="G744" s="596"/>
      <c r="H744" s="165" t="s">
        <v>12</v>
      </c>
      <c r="I744" s="610"/>
      <c r="J744" s="610"/>
      <c r="K744" s="93"/>
      <c r="L744" s="93"/>
      <c r="M744" s="93"/>
      <c r="N744" s="93"/>
      <c r="O744" s="93"/>
      <c r="P744" s="93"/>
      <c r="Q744" s="597"/>
      <c r="R744" s="597"/>
      <c r="S744" s="597"/>
      <c r="T744" s="597"/>
      <c r="U744" s="597"/>
      <c r="V744" s="597"/>
      <c r="W744" s="597"/>
      <c r="X744" s="597"/>
      <c r="Y744" s="597"/>
      <c r="Z744" s="597"/>
    </row>
    <row r="745" spans="1:26" ht="18.75" hidden="1">
      <c r="A745" s="642"/>
      <c r="B745" s="600"/>
      <c r="C745" s="750"/>
      <c r="D745" s="750"/>
      <c r="E745" s="750"/>
      <c r="F745" s="750" t="s">
        <v>188</v>
      </c>
      <c r="G745" s="596"/>
      <c r="H745" s="165" t="s">
        <v>12</v>
      </c>
      <c r="I745" s="610"/>
      <c r="J745" s="610"/>
      <c r="K745" s="93"/>
      <c r="L745" s="93"/>
      <c r="M745" s="93"/>
      <c r="N745" s="93"/>
      <c r="O745" s="93"/>
      <c r="P745" s="93"/>
      <c r="Q745" s="597"/>
      <c r="R745" s="597"/>
      <c r="S745" s="597"/>
      <c r="T745" s="597"/>
      <c r="U745" s="597"/>
      <c r="V745" s="597"/>
      <c r="W745" s="597"/>
      <c r="X745" s="597"/>
      <c r="Y745" s="597"/>
      <c r="Z745" s="597"/>
    </row>
    <row r="746" spans="1:26" ht="18.75" hidden="1">
      <c r="A746" s="642"/>
      <c r="B746" s="600"/>
      <c r="C746" s="750"/>
      <c r="D746" s="750"/>
      <c r="E746" s="750"/>
      <c r="F746" s="750" t="s">
        <v>189</v>
      </c>
      <c r="G746" s="596"/>
      <c r="H746" s="165" t="s">
        <v>12</v>
      </c>
      <c r="I746" s="610"/>
      <c r="J746" s="610"/>
      <c r="K746" s="93"/>
      <c r="L746" s="93"/>
      <c r="M746" s="93"/>
      <c r="N746" s="93"/>
      <c r="O746" s="93"/>
      <c r="P746" s="93"/>
      <c r="Q746" s="597"/>
      <c r="R746" s="597"/>
      <c r="S746" s="597"/>
      <c r="T746" s="597"/>
      <c r="U746" s="597"/>
      <c r="V746" s="597"/>
      <c r="W746" s="597"/>
      <c r="X746" s="597"/>
      <c r="Y746" s="597"/>
      <c r="Z746" s="597"/>
    </row>
    <row r="747" spans="1:26" ht="19.5" hidden="1">
      <c r="A747" s="592"/>
      <c r="B747" s="600"/>
      <c r="C747" s="750"/>
      <c r="D747" s="638" t="s">
        <v>21</v>
      </c>
      <c r="E747" s="750"/>
      <c r="F747" s="750"/>
      <c r="G747" s="596"/>
      <c r="H747" s="774" t="s">
        <v>12</v>
      </c>
      <c r="I747" s="166"/>
      <c r="J747" s="166"/>
      <c r="K747" s="167"/>
      <c r="L747" s="640">
        <f t="shared" ref="L747:N747" si="299">L748+L749</f>
        <v>0</v>
      </c>
      <c r="M747" s="640">
        <f t="shared" si="299"/>
        <v>0</v>
      </c>
      <c r="N747" s="640">
        <f t="shared" si="299"/>
        <v>0</v>
      </c>
      <c r="O747" s="640">
        <f t="shared" ref="O747:O749" si="300">IF(L747&gt;0,N747*100/L747,0)</f>
        <v>0</v>
      </c>
      <c r="P747" s="640">
        <f t="shared" ref="P747:P749" si="301">IF(M747&gt;0,N747*100/M747,0)</f>
        <v>0</v>
      </c>
      <c r="Q747" s="597"/>
      <c r="R747" s="597"/>
      <c r="S747" s="597"/>
      <c r="T747" s="597"/>
      <c r="U747" s="597"/>
      <c r="V747" s="597"/>
      <c r="W747" s="597"/>
      <c r="X747" s="597"/>
      <c r="Y747" s="597"/>
      <c r="Z747" s="597"/>
    </row>
    <row r="748" spans="1:26" ht="18.75" hidden="1">
      <c r="A748" s="592"/>
      <c r="B748" s="600"/>
      <c r="C748" s="750"/>
      <c r="D748" s="750"/>
      <c r="E748" s="750" t="s">
        <v>18</v>
      </c>
      <c r="F748" s="750"/>
      <c r="G748" s="596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597"/>
      <c r="R748" s="597"/>
      <c r="S748" s="597"/>
      <c r="T748" s="597"/>
      <c r="U748" s="597"/>
      <c r="V748" s="597"/>
      <c r="W748" s="597"/>
      <c r="X748" s="597"/>
      <c r="Y748" s="597"/>
      <c r="Z748" s="597"/>
    </row>
    <row r="749" spans="1:26" ht="18.75" hidden="1">
      <c r="A749" s="592"/>
      <c r="B749" s="600"/>
      <c r="C749" s="750"/>
      <c r="D749" s="750"/>
      <c r="E749" s="750" t="s">
        <v>19</v>
      </c>
      <c r="F749" s="750"/>
      <c r="G749" s="596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597"/>
      <c r="R749" s="597"/>
      <c r="S749" s="597"/>
      <c r="T749" s="597"/>
      <c r="U749" s="597"/>
      <c r="V749" s="597"/>
      <c r="W749" s="597"/>
      <c r="X749" s="597"/>
      <c r="Y749" s="597"/>
      <c r="Z749" s="597"/>
    </row>
    <row r="750" spans="1:26" ht="19.5" hidden="1">
      <c r="A750" s="607"/>
      <c r="B750" s="609"/>
      <c r="C750" s="750" t="s">
        <v>16</v>
      </c>
      <c r="D750" s="841" t="s">
        <v>38</v>
      </c>
      <c r="E750" s="644"/>
      <c r="F750" s="644"/>
      <c r="G750" s="645"/>
      <c r="H750" s="365"/>
      <c r="I750" s="166"/>
      <c r="J750" s="166"/>
      <c r="K750" s="167"/>
      <c r="L750" s="167"/>
      <c r="M750" s="167"/>
      <c r="N750" s="167"/>
      <c r="O750" s="167"/>
      <c r="P750" s="167"/>
      <c r="Q750" s="597"/>
      <c r="R750" s="597"/>
      <c r="S750" s="597"/>
      <c r="T750" s="597"/>
      <c r="U750" s="597"/>
      <c r="V750" s="597"/>
      <c r="W750" s="597"/>
      <c r="X750" s="597"/>
      <c r="Y750" s="597"/>
      <c r="Z750" s="597"/>
    </row>
    <row r="751" spans="1:26" ht="18.75" hidden="1">
      <c r="A751" s="642"/>
      <c r="B751" s="600"/>
      <c r="C751" s="750"/>
      <c r="D751" s="750"/>
      <c r="E751" s="750" t="s">
        <v>313</v>
      </c>
      <c r="F751" s="750"/>
      <c r="G751" s="596"/>
      <c r="H751" s="165" t="s">
        <v>46</v>
      </c>
      <c r="I751" s="610"/>
      <c r="J751" s="610"/>
      <c r="K751" s="93"/>
      <c r="L751" s="93"/>
      <c r="M751" s="93"/>
      <c r="N751" s="93"/>
      <c r="O751" s="93"/>
      <c r="P751" s="93"/>
      <c r="Q751" s="597"/>
      <c r="R751" s="597"/>
      <c r="S751" s="597"/>
      <c r="T751" s="597"/>
      <c r="U751" s="597"/>
      <c r="V751" s="597"/>
      <c r="W751" s="597"/>
      <c r="X751" s="597"/>
      <c r="Y751" s="597"/>
      <c r="Z751" s="597"/>
    </row>
    <row r="752" spans="1:26" ht="18.75" hidden="1">
      <c r="A752" s="642"/>
      <c r="B752" s="600"/>
      <c r="C752" s="750"/>
      <c r="D752" s="750"/>
      <c r="E752" s="750"/>
      <c r="F752" s="750"/>
      <c r="G752" s="596"/>
      <c r="H752" s="165" t="s">
        <v>314</v>
      </c>
      <c r="I752" s="610"/>
      <c r="J752" s="610"/>
      <c r="K752" s="93"/>
      <c r="L752" s="93"/>
      <c r="M752" s="93"/>
      <c r="N752" s="93"/>
      <c r="O752" s="93"/>
      <c r="P752" s="93"/>
      <c r="Q752" s="597"/>
      <c r="R752" s="597"/>
      <c r="S752" s="597"/>
      <c r="T752" s="597"/>
      <c r="U752" s="597"/>
      <c r="V752" s="597"/>
      <c r="W752" s="597"/>
      <c r="X752" s="597"/>
      <c r="Y752" s="597"/>
      <c r="Z752" s="597"/>
    </row>
    <row r="753" spans="1:26" ht="19.5" hidden="1">
      <c r="A753" s="776">
        <v>10</v>
      </c>
      <c r="B753" s="777" t="s">
        <v>315</v>
      </c>
      <c r="C753" s="778"/>
      <c r="D753" s="778"/>
      <c r="E753" s="778"/>
      <c r="F753" s="778"/>
      <c r="G753" s="779"/>
      <c r="H753" s="780" t="s">
        <v>46</v>
      </c>
      <c r="I753" s="781"/>
      <c r="J753" s="781">
        <f>J768</f>
        <v>0</v>
      </c>
      <c r="K753" s="782">
        <f>IF(I753&gt;0,J753*100/I753,0)</f>
        <v>0</v>
      </c>
      <c r="L753" s="783"/>
      <c r="M753" s="783"/>
      <c r="N753" s="783"/>
      <c r="O753" s="783"/>
      <c r="P753" s="783"/>
      <c r="Q753" s="597"/>
      <c r="R753" s="597"/>
      <c r="S753" s="597"/>
      <c r="T753" s="597"/>
      <c r="U753" s="597"/>
      <c r="V753" s="597"/>
      <c r="W753" s="597"/>
      <c r="X753" s="597"/>
      <c r="Y753" s="597"/>
      <c r="Z753" s="597"/>
    </row>
    <row r="754" spans="1:26" ht="19.5" hidden="1">
      <c r="A754" s="592"/>
      <c r="B754" s="750"/>
      <c r="C754" s="750" t="s">
        <v>16</v>
      </c>
      <c r="D754" s="864" t="s">
        <v>17</v>
      </c>
      <c r="E754" s="857"/>
      <c r="F754" s="857"/>
      <c r="G754" s="596"/>
      <c r="H754" s="639" t="s">
        <v>12</v>
      </c>
      <c r="I754" s="610"/>
      <c r="J754" s="610"/>
      <c r="K754" s="93"/>
      <c r="L754" s="640">
        <f t="shared" ref="L754:N754" si="302">L755+L756</f>
        <v>0</v>
      </c>
      <c r="M754" s="640">
        <f t="shared" si="302"/>
        <v>0</v>
      </c>
      <c r="N754" s="640">
        <f t="shared" si="302"/>
        <v>0</v>
      </c>
      <c r="O754" s="640">
        <f t="shared" ref="O754:O759" si="303">IF(L754&gt;0,N754*100/L754,0)</f>
        <v>0</v>
      </c>
      <c r="P754" s="640">
        <f t="shared" ref="P754:P759" si="304">IF(M754&gt;0,N754*100/M754,0)</f>
        <v>0</v>
      </c>
      <c r="Q754" s="597"/>
      <c r="R754" s="597"/>
      <c r="S754" s="597"/>
      <c r="T754" s="597"/>
      <c r="U754" s="597"/>
      <c r="V754" s="597"/>
      <c r="W754" s="597"/>
      <c r="X754" s="597"/>
      <c r="Y754" s="597"/>
      <c r="Z754" s="597"/>
    </row>
    <row r="755" spans="1:26" ht="18.75" hidden="1">
      <c r="A755" s="592"/>
      <c r="B755" s="750"/>
      <c r="C755" s="750"/>
      <c r="D755" s="711"/>
      <c r="E755" s="750" t="s">
        <v>184</v>
      </c>
      <c r="F755" s="750"/>
      <c r="G755" s="596"/>
      <c r="H755" s="165" t="s">
        <v>12</v>
      </c>
      <c r="I755" s="610"/>
      <c r="J755" s="610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597"/>
      <c r="R755" s="597"/>
      <c r="S755" s="597"/>
      <c r="T755" s="597"/>
      <c r="U755" s="597"/>
      <c r="V755" s="597"/>
      <c r="W755" s="597"/>
      <c r="X755" s="597"/>
      <c r="Y755" s="597"/>
      <c r="Z755" s="597"/>
    </row>
    <row r="756" spans="1:26" ht="18.75" hidden="1">
      <c r="A756" s="592"/>
      <c r="B756" s="600"/>
      <c r="C756" s="750"/>
      <c r="D756" s="711"/>
      <c r="E756" s="750" t="s">
        <v>185</v>
      </c>
      <c r="F756" s="750"/>
      <c r="G756" s="596"/>
      <c r="H756" s="165" t="s">
        <v>12</v>
      </c>
      <c r="I756" s="610"/>
      <c r="J756" s="610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597"/>
      <c r="R756" s="597"/>
      <c r="S756" s="597"/>
      <c r="T756" s="597"/>
      <c r="U756" s="597"/>
      <c r="V756" s="597"/>
      <c r="W756" s="597"/>
      <c r="X756" s="597"/>
      <c r="Y756" s="597"/>
      <c r="Z756" s="597"/>
    </row>
    <row r="757" spans="1:26" ht="19.5" hidden="1">
      <c r="A757" s="592"/>
      <c r="B757" s="600"/>
      <c r="C757" s="750"/>
      <c r="D757" s="638" t="s">
        <v>20</v>
      </c>
      <c r="E757" s="750"/>
      <c r="F757" s="750"/>
      <c r="G757" s="596"/>
      <c r="H757" s="639" t="s">
        <v>12</v>
      </c>
      <c r="I757" s="166"/>
      <c r="J757" s="166"/>
      <c r="K757" s="167"/>
      <c r="L757" s="640">
        <f t="shared" ref="L757:N757" si="306">L758+L759</f>
        <v>0</v>
      </c>
      <c r="M757" s="640">
        <f t="shared" si="306"/>
        <v>0</v>
      </c>
      <c r="N757" s="640">
        <f t="shared" si="306"/>
        <v>0</v>
      </c>
      <c r="O757" s="640">
        <f t="shared" si="303"/>
        <v>0</v>
      </c>
      <c r="P757" s="640">
        <f t="shared" si="304"/>
        <v>0</v>
      </c>
      <c r="Q757" s="597"/>
      <c r="R757" s="597"/>
      <c r="S757" s="597"/>
      <c r="T757" s="597"/>
      <c r="U757" s="597"/>
      <c r="V757" s="597"/>
      <c r="W757" s="597"/>
      <c r="X757" s="597"/>
      <c r="Y757" s="597"/>
      <c r="Z757" s="597"/>
    </row>
    <row r="758" spans="1:26" ht="18.75" hidden="1">
      <c r="A758" s="592"/>
      <c r="B758" s="600"/>
      <c r="C758" s="750"/>
      <c r="D758" s="711"/>
      <c r="E758" s="750" t="s">
        <v>184</v>
      </c>
      <c r="F758" s="750"/>
      <c r="G758" s="596"/>
      <c r="H758" s="165" t="s">
        <v>12</v>
      </c>
      <c r="I758" s="610"/>
      <c r="J758" s="610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597"/>
      <c r="R758" s="597"/>
      <c r="S758" s="597"/>
      <c r="T758" s="597"/>
      <c r="U758" s="597"/>
      <c r="V758" s="597"/>
      <c r="W758" s="597"/>
      <c r="X758" s="597"/>
      <c r="Y758" s="597"/>
      <c r="Z758" s="597"/>
    </row>
    <row r="759" spans="1:26" ht="18.75" hidden="1">
      <c r="A759" s="592"/>
      <c r="B759" s="600"/>
      <c r="C759" s="750"/>
      <c r="D759" s="711"/>
      <c r="E759" s="750" t="s">
        <v>185</v>
      </c>
      <c r="F759" s="750"/>
      <c r="G759" s="596"/>
      <c r="H759" s="165" t="s">
        <v>12</v>
      </c>
      <c r="I759" s="610"/>
      <c r="J759" s="610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597"/>
      <c r="R759" s="597"/>
      <c r="S759" s="597"/>
      <c r="T759" s="597"/>
      <c r="U759" s="597"/>
      <c r="V759" s="597"/>
      <c r="W759" s="597"/>
      <c r="X759" s="597"/>
      <c r="Y759" s="597"/>
      <c r="Z759" s="597"/>
    </row>
    <row r="760" spans="1:26" ht="18.75" hidden="1">
      <c r="A760" s="642"/>
      <c r="B760" s="600"/>
      <c r="C760" s="750"/>
      <c r="D760" s="750"/>
      <c r="E760" s="750"/>
      <c r="F760" s="750" t="s">
        <v>186</v>
      </c>
      <c r="G760" s="596"/>
      <c r="H760" s="165" t="s">
        <v>12</v>
      </c>
      <c r="I760" s="610"/>
      <c r="J760" s="610"/>
      <c r="K760" s="93"/>
      <c r="L760" s="93"/>
      <c r="M760" s="93"/>
      <c r="N760" s="93"/>
      <c r="O760" s="93"/>
      <c r="P760" s="93"/>
      <c r="Q760" s="597"/>
      <c r="R760" s="597"/>
      <c r="S760" s="597"/>
      <c r="T760" s="597"/>
      <c r="U760" s="597"/>
      <c r="V760" s="597"/>
      <c r="W760" s="597"/>
      <c r="X760" s="597"/>
      <c r="Y760" s="597"/>
      <c r="Z760" s="597"/>
    </row>
    <row r="761" spans="1:26" ht="18.75" hidden="1">
      <c r="A761" s="642"/>
      <c r="B761" s="600"/>
      <c r="C761" s="750"/>
      <c r="D761" s="750"/>
      <c r="E761" s="750"/>
      <c r="F761" s="750" t="s">
        <v>187</v>
      </c>
      <c r="G761" s="596"/>
      <c r="H761" s="165" t="s">
        <v>12</v>
      </c>
      <c r="I761" s="610"/>
      <c r="J761" s="610"/>
      <c r="K761" s="93"/>
      <c r="L761" s="93"/>
      <c r="M761" s="93"/>
      <c r="N761" s="93"/>
      <c r="O761" s="93"/>
      <c r="P761" s="93"/>
      <c r="Q761" s="597"/>
      <c r="R761" s="597"/>
      <c r="S761" s="597"/>
      <c r="T761" s="597"/>
      <c r="U761" s="597"/>
      <c r="V761" s="597"/>
      <c r="W761" s="597"/>
      <c r="X761" s="597"/>
      <c r="Y761" s="597"/>
      <c r="Z761" s="597"/>
    </row>
    <row r="762" spans="1:26" ht="18.75" hidden="1">
      <c r="A762" s="642"/>
      <c r="B762" s="600"/>
      <c r="C762" s="750"/>
      <c r="D762" s="750"/>
      <c r="E762" s="750"/>
      <c r="F762" s="750" t="s">
        <v>188</v>
      </c>
      <c r="G762" s="596"/>
      <c r="H762" s="165" t="s">
        <v>12</v>
      </c>
      <c r="I762" s="610"/>
      <c r="J762" s="610"/>
      <c r="K762" s="93"/>
      <c r="L762" s="93"/>
      <c r="M762" s="93"/>
      <c r="N762" s="93"/>
      <c r="O762" s="93"/>
      <c r="P762" s="93"/>
      <c r="Q762" s="597"/>
      <c r="R762" s="597"/>
      <c r="S762" s="597"/>
      <c r="T762" s="597"/>
      <c r="U762" s="597"/>
      <c r="V762" s="597"/>
      <c r="W762" s="597"/>
      <c r="X762" s="597"/>
      <c r="Y762" s="597"/>
      <c r="Z762" s="597"/>
    </row>
    <row r="763" spans="1:26" ht="18.75" hidden="1">
      <c r="A763" s="642"/>
      <c r="B763" s="600"/>
      <c r="C763" s="750"/>
      <c r="D763" s="750"/>
      <c r="E763" s="750"/>
      <c r="F763" s="750" t="s">
        <v>189</v>
      </c>
      <c r="G763" s="596"/>
      <c r="H763" s="165" t="s">
        <v>12</v>
      </c>
      <c r="I763" s="610"/>
      <c r="J763" s="610"/>
      <c r="K763" s="93"/>
      <c r="L763" s="93"/>
      <c r="M763" s="93"/>
      <c r="N763" s="93"/>
      <c r="O763" s="93"/>
      <c r="P763" s="93"/>
      <c r="Q763" s="597"/>
      <c r="R763" s="597"/>
      <c r="S763" s="597"/>
      <c r="T763" s="597"/>
      <c r="U763" s="597"/>
      <c r="V763" s="597"/>
      <c r="W763" s="597"/>
      <c r="X763" s="597"/>
      <c r="Y763" s="597"/>
      <c r="Z763" s="597"/>
    </row>
    <row r="764" spans="1:26" ht="19.5" hidden="1">
      <c r="A764" s="592"/>
      <c r="B764" s="600"/>
      <c r="C764" s="750"/>
      <c r="D764" s="638" t="s">
        <v>21</v>
      </c>
      <c r="E764" s="750"/>
      <c r="F764" s="750"/>
      <c r="G764" s="596"/>
      <c r="H764" s="774" t="s">
        <v>12</v>
      </c>
      <c r="I764" s="166"/>
      <c r="J764" s="166"/>
      <c r="K764" s="167"/>
      <c r="L764" s="640">
        <f t="shared" ref="L764:N764" si="307">L765+L766</f>
        <v>0</v>
      </c>
      <c r="M764" s="640">
        <f t="shared" si="307"/>
        <v>0</v>
      </c>
      <c r="N764" s="640">
        <f t="shared" si="307"/>
        <v>0</v>
      </c>
      <c r="O764" s="640">
        <f t="shared" ref="O764:O766" si="308">IF(L764&gt;0,N764*100/L764,0)</f>
        <v>0</v>
      </c>
      <c r="P764" s="640">
        <f t="shared" ref="P764:P766" si="309">IF(M764&gt;0,N764*100/M764,0)</f>
        <v>0</v>
      </c>
      <c r="Q764" s="597"/>
      <c r="R764" s="597"/>
      <c r="S764" s="597"/>
      <c r="T764" s="597"/>
      <c r="U764" s="597"/>
      <c r="V764" s="597"/>
      <c r="W764" s="597"/>
      <c r="X764" s="597"/>
      <c r="Y764" s="597"/>
      <c r="Z764" s="597"/>
    </row>
    <row r="765" spans="1:26" ht="18.75" hidden="1">
      <c r="A765" s="592"/>
      <c r="B765" s="600"/>
      <c r="C765" s="750"/>
      <c r="D765" s="750"/>
      <c r="E765" s="750" t="s">
        <v>18</v>
      </c>
      <c r="F765" s="750"/>
      <c r="G765" s="596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597"/>
      <c r="R765" s="597"/>
      <c r="S765" s="597"/>
      <c r="T765" s="597"/>
      <c r="U765" s="597"/>
      <c r="V765" s="597"/>
      <c r="W765" s="597"/>
      <c r="X765" s="597"/>
      <c r="Y765" s="597"/>
      <c r="Z765" s="597"/>
    </row>
    <row r="766" spans="1:26" ht="18.75" hidden="1">
      <c r="A766" s="592"/>
      <c r="B766" s="600"/>
      <c r="C766" s="750"/>
      <c r="D766" s="750"/>
      <c r="E766" s="750" t="s">
        <v>19</v>
      </c>
      <c r="F766" s="750"/>
      <c r="G766" s="596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597"/>
      <c r="R766" s="597"/>
      <c r="S766" s="597"/>
      <c r="T766" s="597"/>
      <c r="U766" s="597"/>
      <c r="V766" s="597"/>
      <c r="W766" s="597"/>
      <c r="X766" s="597"/>
      <c r="Y766" s="597"/>
      <c r="Z766" s="597"/>
    </row>
    <row r="767" spans="1:26" ht="19.5" hidden="1">
      <c r="A767" s="607"/>
      <c r="B767" s="609"/>
      <c r="C767" s="750" t="s">
        <v>16</v>
      </c>
      <c r="D767" s="841" t="s">
        <v>38</v>
      </c>
      <c r="E767" s="644"/>
      <c r="F767" s="644"/>
      <c r="G767" s="645"/>
      <c r="H767" s="365"/>
      <c r="I767" s="166"/>
      <c r="J767" s="166"/>
      <c r="K767" s="167"/>
      <c r="L767" s="167"/>
      <c r="M767" s="167"/>
      <c r="N767" s="167"/>
      <c r="O767" s="167"/>
      <c r="P767" s="167"/>
      <c r="Q767" s="597"/>
      <c r="R767" s="597"/>
      <c r="S767" s="597"/>
      <c r="T767" s="597"/>
      <c r="U767" s="597"/>
      <c r="V767" s="597"/>
      <c r="W767" s="597"/>
      <c r="X767" s="597"/>
      <c r="Y767" s="597"/>
      <c r="Z767" s="597"/>
    </row>
    <row r="768" spans="1:26" ht="18.75" hidden="1">
      <c r="A768" s="642"/>
      <c r="B768" s="600"/>
      <c r="C768" s="750"/>
      <c r="D768" s="750"/>
      <c r="E768" s="750" t="s">
        <v>316</v>
      </c>
      <c r="F768" s="750"/>
      <c r="G768" s="596"/>
      <c r="H768" s="165" t="s">
        <v>46</v>
      </c>
      <c r="I768" s="610"/>
      <c r="J768" s="610"/>
      <c r="K768" s="93"/>
      <c r="L768" s="93"/>
      <c r="M768" s="93"/>
      <c r="N768" s="93"/>
      <c r="O768" s="93"/>
      <c r="P768" s="93"/>
      <c r="Q768" s="597"/>
      <c r="R768" s="597"/>
      <c r="S768" s="597"/>
      <c r="T768" s="597"/>
      <c r="U768" s="597"/>
      <c r="V768" s="597"/>
      <c r="W768" s="597"/>
      <c r="X768" s="597"/>
      <c r="Y768" s="597"/>
      <c r="Z768" s="597"/>
    </row>
    <row r="769" spans="1:26" ht="19.5" hidden="1">
      <c r="A769" s="784">
        <v>11</v>
      </c>
      <c r="B769" s="785" t="s">
        <v>317</v>
      </c>
      <c r="C769" s="786"/>
      <c r="D769" s="786"/>
      <c r="E769" s="786"/>
      <c r="F769" s="786"/>
      <c r="G769" s="787"/>
      <c r="H769" s="788" t="s">
        <v>46</v>
      </c>
      <c r="I769" s="789"/>
      <c r="J769" s="789">
        <f>J784</f>
        <v>0</v>
      </c>
      <c r="K769" s="790">
        <f>IF(I769&gt;0,J769*100/I769,0)</f>
        <v>0</v>
      </c>
      <c r="L769" s="791"/>
      <c r="M769" s="791"/>
      <c r="N769" s="791"/>
      <c r="O769" s="791"/>
      <c r="P769" s="791"/>
      <c r="Q769" s="597"/>
      <c r="R769" s="597"/>
      <c r="S769" s="597"/>
      <c r="T769" s="597"/>
      <c r="U769" s="597"/>
      <c r="V769" s="597"/>
      <c r="W769" s="597"/>
      <c r="X769" s="597"/>
      <c r="Y769" s="597"/>
      <c r="Z769" s="597"/>
    </row>
    <row r="770" spans="1:26" ht="19.5" hidden="1">
      <c r="A770" s="592"/>
      <c r="B770" s="750"/>
      <c r="C770" s="750" t="s">
        <v>16</v>
      </c>
      <c r="D770" s="864" t="s">
        <v>17</v>
      </c>
      <c r="E770" s="857"/>
      <c r="F770" s="857"/>
      <c r="G770" s="596"/>
      <c r="H770" s="639" t="s">
        <v>12</v>
      </c>
      <c r="I770" s="610"/>
      <c r="J770" s="610"/>
      <c r="K770" s="93"/>
      <c r="L770" s="640">
        <f t="shared" ref="L770:N770" si="310">L771+L772</f>
        <v>0</v>
      </c>
      <c r="M770" s="640">
        <f t="shared" si="310"/>
        <v>0</v>
      </c>
      <c r="N770" s="640">
        <f t="shared" si="310"/>
        <v>0</v>
      </c>
      <c r="O770" s="640">
        <f t="shared" ref="O770:O775" si="311">IF(L770&gt;0,N770*100/L770,0)</f>
        <v>0</v>
      </c>
      <c r="P770" s="640">
        <f t="shared" ref="P770:P775" si="312">IF(M770&gt;0,N770*100/M770,0)</f>
        <v>0</v>
      </c>
      <c r="Q770" s="597"/>
      <c r="R770" s="597"/>
      <c r="S770" s="597"/>
      <c r="T770" s="597"/>
      <c r="U770" s="597"/>
      <c r="V770" s="597"/>
      <c r="W770" s="597"/>
      <c r="X770" s="597"/>
      <c r="Y770" s="597"/>
      <c r="Z770" s="597"/>
    </row>
    <row r="771" spans="1:26" ht="18.75" hidden="1">
      <c r="A771" s="592"/>
      <c r="B771" s="750"/>
      <c r="C771" s="750"/>
      <c r="D771" s="711"/>
      <c r="E771" s="750" t="s">
        <v>184</v>
      </c>
      <c r="F771" s="750"/>
      <c r="G771" s="596"/>
      <c r="H771" s="165" t="s">
        <v>12</v>
      </c>
      <c r="I771" s="610"/>
      <c r="J771" s="610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597"/>
      <c r="R771" s="597"/>
      <c r="S771" s="597"/>
      <c r="T771" s="597"/>
      <c r="U771" s="597"/>
      <c r="V771" s="597"/>
      <c r="W771" s="597"/>
      <c r="X771" s="597"/>
      <c r="Y771" s="597"/>
      <c r="Z771" s="597"/>
    </row>
    <row r="772" spans="1:26" ht="18.75" hidden="1">
      <c r="A772" s="592"/>
      <c r="B772" s="600"/>
      <c r="C772" s="750"/>
      <c r="D772" s="711"/>
      <c r="E772" s="750" t="s">
        <v>185</v>
      </c>
      <c r="F772" s="750"/>
      <c r="G772" s="596"/>
      <c r="H772" s="165" t="s">
        <v>12</v>
      </c>
      <c r="I772" s="610"/>
      <c r="J772" s="610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597"/>
      <c r="R772" s="597"/>
      <c r="S772" s="597"/>
      <c r="T772" s="597"/>
      <c r="U772" s="597"/>
      <c r="V772" s="597"/>
      <c r="W772" s="597"/>
      <c r="X772" s="597"/>
      <c r="Y772" s="597"/>
      <c r="Z772" s="597"/>
    </row>
    <row r="773" spans="1:26" ht="19.5" hidden="1">
      <c r="A773" s="592"/>
      <c r="B773" s="600"/>
      <c r="C773" s="750"/>
      <c r="D773" s="638" t="s">
        <v>20</v>
      </c>
      <c r="E773" s="750"/>
      <c r="F773" s="750"/>
      <c r="G773" s="596"/>
      <c r="H773" s="639" t="s">
        <v>12</v>
      </c>
      <c r="I773" s="166"/>
      <c r="J773" s="166"/>
      <c r="K773" s="167"/>
      <c r="L773" s="640">
        <f t="shared" ref="L773:N773" si="314">L774+L775</f>
        <v>0</v>
      </c>
      <c r="M773" s="640">
        <f t="shared" si="314"/>
        <v>0</v>
      </c>
      <c r="N773" s="640">
        <f t="shared" si="314"/>
        <v>0</v>
      </c>
      <c r="O773" s="640">
        <f t="shared" si="311"/>
        <v>0</v>
      </c>
      <c r="P773" s="640">
        <f t="shared" si="312"/>
        <v>0</v>
      </c>
      <c r="Q773" s="597"/>
      <c r="R773" s="597"/>
      <c r="S773" s="597"/>
      <c r="T773" s="597"/>
      <c r="U773" s="597"/>
      <c r="V773" s="597"/>
      <c r="W773" s="597"/>
      <c r="X773" s="597"/>
      <c r="Y773" s="597"/>
      <c r="Z773" s="597"/>
    </row>
    <row r="774" spans="1:26" ht="18.75" hidden="1">
      <c r="A774" s="592"/>
      <c r="B774" s="600"/>
      <c r="C774" s="750"/>
      <c r="D774" s="711"/>
      <c r="E774" s="750" t="s">
        <v>184</v>
      </c>
      <c r="F774" s="750"/>
      <c r="G774" s="596"/>
      <c r="H774" s="165" t="s">
        <v>12</v>
      </c>
      <c r="I774" s="610"/>
      <c r="J774" s="610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597"/>
      <c r="R774" s="597"/>
      <c r="S774" s="597"/>
      <c r="T774" s="597"/>
      <c r="U774" s="597"/>
      <c r="V774" s="597"/>
      <c r="W774" s="597"/>
      <c r="X774" s="597"/>
      <c r="Y774" s="597"/>
      <c r="Z774" s="597"/>
    </row>
    <row r="775" spans="1:26" ht="18.75" hidden="1">
      <c r="A775" s="592"/>
      <c r="B775" s="600"/>
      <c r="C775" s="750"/>
      <c r="D775" s="711"/>
      <c r="E775" s="750" t="s">
        <v>185</v>
      </c>
      <c r="F775" s="750"/>
      <c r="G775" s="596"/>
      <c r="H775" s="165" t="s">
        <v>12</v>
      </c>
      <c r="I775" s="610"/>
      <c r="J775" s="610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597"/>
      <c r="R775" s="597"/>
      <c r="S775" s="597"/>
      <c r="T775" s="597"/>
      <c r="U775" s="597"/>
      <c r="V775" s="597"/>
      <c r="W775" s="597"/>
      <c r="X775" s="597"/>
      <c r="Y775" s="597"/>
      <c r="Z775" s="597"/>
    </row>
    <row r="776" spans="1:26" ht="18.75" hidden="1">
      <c r="A776" s="642"/>
      <c r="B776" s="600"/>
      <c r="C776" s="750"/>
      <c r="D776" s="750"/>
      <c r="E776" s="750"/>
      <c r="F776" s="750" t="s">
        <v>186</v>
      </c>
      <c r="G776" s="596"/>
      <c r="H776" s="165" t="s">
        <v>12</v>
      </c>
      <c r="I776" s="610"/>
      <c r="J776" s="610"/>
      <c r="K776" s="93"/>
      <c r="L776" s="93"/>
      <c r="M776" s="93"/>
      <c r="N776" s="93"/>
      <c r="O776" s="93"/>
      <c r="P776" s="93"/>
      <c r="Q776" s="597"/>
      <c r="R776" s="597"/>
      <c r="S776" s="597"/>
      <c r="T776" s="597"/>
      <c r="U776" s="597"/>
      <c r="V776" s="597"/>
      <c r="W776" s="597"/>
      <c r="X776" s="597"/>
      <c r="Y776" s="597"/>
      <c r="Z776" s="597"/>
    </row>
    <row r="777" spans="1:26" ht="18.75" hidden="1">
      <c r="A777" s="642"/>
      <c r="B777" s="600"/>
      <c r="C777" s="750"/>
      <c r="D777" s="750"/>
      <c r="E777" s="750"/>
      <c r="F777" s="750" t="s">
        <v>187</v>
      </c>
      <c r="G777" s="596"/>
      <c r="H777" s="165" t="s">
        <v>12</v>
      </c>
      <c r="I777" s="610"/>
      <c r="J777" s="610"/>
      <c r="K777" s="93"/>
      <c r="L777" s="93"/>
      <c r="M777" s="93"/>
      <c r="N777" s="93"/>
      <c r="O777" s="93"/>
      <c r="P777" s="93"/>
      <c r="Q777" s="597"/>
      <c r="R777" s="597"/>
      <c r="S777" s="597"/>
      <c r="T777" s="597"/>
      <c r="U777" s="597"/>
      <c r="V777" s="597"/>
      <c r="W777" s="597"/>
      <c r="X777" s="597"/>
      <c r="Y777" s="597"/>
      <c r="Z777" s="597"/>
    </row>
    <row r="778" spans="1:26" ht="18.75" hidden="1">
      <c r="A778" s="642"/>
      <c r="B778" s="600"/>
      <c r="C778" s="750"/>
      <c r="D778" s="750"/>
      <c r="E778" s="750"/>
      <c r="F778" s="750" t="s">
        <v>188</v>
      </c>
      <c r="G778" s="596"/>
      <c r="H778" s="165" t="s">
        <v>12</v>
      </c>
      <c r="I778" s="610"/>
      <c r="J778" s="610"/>
      <c r="K778" s="93"/>
      <c r="L778" s="93"/>
      <c r="M778" s="93"/>
      <c r="N778" s="93"/>
      <c r="O778" s="93"/>
      <c r="P778" s="93"/>
      <c r="Q778" s="597"/>
      <c r="R778" s="597"/>
      <c r="S778" s="597"/>
      <c r="T778" s="597"/>
      <c r="U778" s="597"/>
      <c r="V778" s="597"/>
      <c r="W778" s="597"/>
      <c r="X778" s="597"/>
      <c r="Y778" s="597"/>
      <c r="Z778" s="597"/>
    </row>
    <row r="779" spans="1:26" ht="18.75" hidden="1">
      <c r="A779" s="642"/>
      <c r="B779" s="600"/>
      <c r="C779" s="750"/>
      <c r="D779" s="750"/>
      <c r="E779" s="750"/>
      <c r="F779" s="750" t="s">
        <v>189</v>
      </c>
      <c r="G779" s="596"/>
      <c r="H779" s="165" t="s">
        <v>12</v>
      </c>
      <c r="I779" s="610"/>
      <c r="J779" s="610"/>
      <c r="K779" s="93"/>
      <c r="L779" s="93"/>
      <c r="M779" s="93"/>
      <c r="N779" s="93"/>
      <c r="O779" s="93"/>
      <c r="P779" s="93"/>
      <c r="Q779" s="597"/>
      <c r="R779" s="597"/>
      <c r="S779" s="597"/>
      <c r="T779" s="597"/>
      <c r="U779" s="597"/>
      <c r="V779" s="597"/>
      <c r="W779" s="597"/>
      <c r="X779" s="597"/>
      <c r="Y779" s="597"/>
      <c r="Z779" s="597"/>
    </row>
    <row r="780" spans="1:26" ht="19.5" hidden="1">
      <c r="A780" s="592"/>
      <c r="B780" s="600"/>
      <c r="C780" s="750"/>
      <c r="D780" s="638" t="s">
        <v>21</v>
      </c>
      <c r="E780" s="750"/>
      <c r="F780" s="750"/>
      <c r="G780" s="596"/>
      <c r="H780" s="774" t="s">
        <v>12</v>
      </c>
      <c r="I780" s="166"/>
      <c r="J780" s="166"/>
      <c r="K780" s="167"/>
      <c r="L780" s="640">
        <f t="shared" ref="L780:N780" si="315">L781+L782</f>
        <v>0</v>
      </c>
      <c r="M780" s="640">
        <f t="shared" si="315"/>
        <v>0</v>
      </c>
      <c r="N780" s="640">
        <f t="shared" si="315"/>
        <v>0</v>
      </c>
      <c r="O780" s="640">
        <f t="shared" ref="O780:O782" si="316">IF(L780&gt;0,N780*100/L780,0)</f>
        <v>0</v>
      </c>
      <c r="P780" s="640">
        <f t="shared" ref="P780:P782" si="317">IF(M780&gt;0,N780*100/M780,0)</f>
        <v>0</v>
      </c>
      <c r="Q780" s="597"/>
      <c r="R780" s="597"/>
      <c r="S780" s="597"/>
      <c r="T780" s="597"/>
      <c r="U780" s="597"/>
      <c r="V780" s="597"/>
      <c r="W780" s="597"/>
      <c r="X780" s="597"/>
      <c r="Y780" s="597"/>
      <c r="Z780" s="597"/>
    </row>
    <row r="781" spans="1:26" ht="18.75" hidden="1">
      <c r="A781" s="592"/>
      <c r="B781" s="600"/>
      <c r="C781" s="750"/>
      <c r="D781" s="750"/>
      <c r="E781" s="750" t="s">
        <v>18</v>
      </c>
      <c r="F781" s="750"/>
      <c r="G781" s="596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597"/>
      <c r="R781" s="597"/>
      <c r="S781" s="597"/>
      <c r="T781" s="597"/>
      <c r="U781" s="597"/>
      <c r="V781" s="597"/>
      <c r="W781" s="597"/>
      <c r="X781" s="597"/>
      <c r="Y781" s="597"/>
      <c r="Z781" s="597"/>
    </row>
    <row r="782" spans="1:26" ht="18.75" hidden="1">
      <c r="A782" s="592"/>
      <c r="B782" s="600"/>
      <c r="C782" s="750"/>
      <c r="D782" s="750"/>
      <c r="E782" s="750" t="s">
        <v>19</v>
      </c>
      <c r="F782" s="750"/>
      <c r="G782" s="596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597"/>
      <c r="R782" s="597"/>
      <c r="S782" s="597"/>
      <c r="T782" s="597"/>
      <c r="U782" s="597"/>
      <c r="V782" s="597"/>
      <c r="W782" s="597"/>
      <c r="X782" s="597"/>
      <c r="Y782" s="597"/>
      <c r="Z782" s="597"/>
    </row>
    <row r="783" spans="1:26" ht="19.5" hidden="1">
      <c r="A783" s="607"/>
      <c r="B783" s="609"/>
      <c r="C783" s="750" t="s">
        <v>16</v>
      </c>
      <c r="D783" s="841" t="s">
        <v>38</v>
      </c>
      <c r="E783" s="644"/>
      <c r="F783" s="644"/>
      <c r="G783" s="645"/>
      <c r="H783" s="792"/>
      <c r="I783" s="166"/>
      <c r="J783" s="166"/>
      <c r="K783" s="167"/>
      <c r="L783" s="167"/>
      <c r="M783" s="167"/>
      <c r="N783" s="167"/>
      <c r="O783" s="167"/>
      <c r="P783" s="167"/>
      <c r="Q783" s="597"/>
      <c r="R783" s="597"/>
      <c r="S783" s="597"/>
      <c r="T783" s="597"/>
      <c r="U783" s="597"/>
      <c r="V783" s="597"/>
      <c r="W783" s="597"/>
      <c r="X783" s="597"/>
      <c r="Y783" s="597"/>
      <c r="Z783" s="597"/>
    </row>
    <row r="784" spans="1:26" ht="18.75" hidden="1">
      <c r="A784" s="642"/>
      <c r="B784" s="600"/>
      <c r="C784" s="750"/>
      <c r="D784" s="750"/>
      <c r="E784" s="750" t="s">
        <v>318</v>
      </c>
      <c r="F784" s="750"/>
      <c r="G784" s="596"/>
      <c r="H784" s="165" t="s">
        <v>46</v>
      </c>
      <c r="I784" s="610"/>
      <c r="J784" s="610"/>
      <c r="K784" s="93"/>
      <c r="L784" s="93"/>
      <c r="M784" s="93"/>
      <c r="N784" s="93"/>
      <c r="O784" s="93"/>
      <c r="P784" s="93"/>
      <c r="Q784" s="597"/>
      <c r="R784" s="597"/>
      <c r="S784" s="597"/>
      <c r="T784" s="597"/>
      <c r="U784" s="597"/>
      <c r="V784" s="597"/>
      <c r="W784" s="597"/>
      <c r="X784" s="597"/>
      <c r="Y784" s="597"/>
      <c r="Z784" s="597"/>
    </row>
    <row r="785" spans="1:26" ht="19.5" hidden="1">
      <c r="A785" s="793">
        <v>12</v>
      </c>
      <c r="B785" s="794" t="s">
        <v>319</v>
      </c>
      <c r="C785" s="795"/>
      <c r="D785" s="795"/>
      <c r="E785" s="795"/>
      <c r="F785" s="795"/>
      <c r="G785" s="796"/>
      <c r="H785" s="797" t="s">
        <v>46</v>
      </c>
      <c r="I785" s="798">
        <f t="shared" ref="I785:J785" ca="1" si="318">I800</f>
        <v>0</v>
      </c>
      <c r="J785" s="799">
        <f t="shared" ca="1" si="318"/>
        <v>0</v>
      </c>
      <c r="K785" s="800">
        <f ca="1">IF(I785&gt;0,J785*100/I785,0)</f>
        <v>0</v>
      </c>
      <c r="L785" s="801"/>
      <c r="M785" s="801"/>
      <c r="N785" s="801"/>
      <c r="O785" s="801"/>
      <c r="P785" s="801"/>
      <c r="Q785" s="571"/>
      <c r="R785" s="571"/>
      <c r="S785" s="571"/>
      <c r="T785" s="571"/>
      <c r="U785" s="571"/>
      <c r="V785" s="571"/>
      <c r="W785" s="571"/>
      <c r="X785" s="571"/>
      <c r="Y785" s="571"/>
      <c r="Z785" s="571"/>
    </row>
    <row r="786" spans="1:26" ht="19.5" hidden="1">
      <c r="A786" s="590"/>
      <c r="B786" s="568"/>
      <c r="C786" s="754" t="s">
        <v>16</v>
      </c>
      <c r="D786" s="863" t="s">
        <v>17</v>
      </c>
      <c r="E786" s="857"/>
      <c r="F786" s="857"/>
      <c r="G786" s="189"/>
      <c r="H786" s="591" t="s">
        <v>12</v>
      </c>
      <c r="I786" s="269"/>
      <c r="J786" s="269"/>
      <c r="K786" s="496"/>
      <c r="L786" s="195">
        <f t="shared" ref="L786:N786" ca="1" si="319">L787+L788</f>
        <v>0</v>
      </c>
      <c r="M786" s="195">
        <f t="shared" si="319"/>
        <v>0</v>
      </c>
      <c r="N786" s="195">
        <f t="shared" si="319"/>
        <v>0</v>
      </c>
      <c r="O786" s="195">
        <f t="shared" ref="O786:O791" ca="1" si="320">IF(L786&gt;0,N786*100/L786,0)</f>
        <v>0</v>
      </c>
      <c r="P786" s="195">
        <f t="shared" ref="P786:P791" si="321">IF(M786&gt;0,N786*100/M786,0)</f>
        <v>0</v>
      </c>
      <c r="Q786" s="571"/>
      <c r="R786" s="571"/>
      <c r="S786" s="571"/>
      <c r="T786" s="571"/>
      <c r="U786" s="571"/>
      <c r="V786" s="571"/>
      <c r="W786" s="571"/>
      <c r="X786" s="571"/>
      <c r="Y786" s="571"/>
      <c r="Z786" s="571"/>
    </row>
    <row r="787" spans="1:26" ht="18.75" hidden="1">
      <c r="A787" s="592"/>
      <c r="B787" s="600"/>
      <c r="C787" s="750"/>
      <c r="D787" s="711"/>
      <c r="E787" s="750" t="s">
        <v>184</v>
      </c>
      <c r="F787" s="750"/>
      <c r="G787" s="596"/>
      <c r="H787" s="165" t="s">
        <v>12</v>
      </c>
      <c r="I787" s="610"/>
      <c r="J787" s="610"/>
      <c r="K787" s="93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597"/>
      <c r="R787" s="597"/>
      <c r="S787" s="597"/>
      <c r="T787" s="597"/>
      <c r="U787" s="597"/>
      <c r="V787" s="597"/>
      <c r="W787" s="597"/>
      <c r="X787" s="597"/>
      <c r="Y787" s="597"/>
      <c r="Z787" s="597"/>
    </row>
    <row r="788" spans="1:26" ht="18.75" hidden="1">
      <c r="A788" s="592"/>
      <c r="B788" s="600"/>
      <c r="C788" s="600"/>
      <c r="D788" s="609"/>
      <c r="E788" s="750" t="s">
        <v>185</v>
      </c>
      <c r="F788" s="750"/>
      <c r="G788" s="596"/>
      <c r="H788" s="165" t="s">
        <v>12</v>
      </c>
      <c r="I788" s="610"/>
      <c r="J788" s="610"/>
      <c r="K788" s="93"/>
      <c r="L788" s="93">
        <f t="shared" ca="1" si="322"/>
        <v>0</v>
      </c>
      <c r="M788" s="93">
        <f t="shared" si="322"/>
        <v>0</v>
      </c>
      <c r="N788" s="93">
        <f t="shared" si="322"/>
        <v>0</v>
      </c>
      <c r="O788" s="93">
        <f t="shared" ca="1" si="320"/>
        <v>0</v>
      </c>
      <c r="P788" s="93">
        <f t="shared" si="321"/>
        <v>0</v>
      </c>
      <c r="Q788" s="597"/>
      <c r="R788" s="597"/>
      <c r="S788" s="597"/>
      <c r="T788" s="597"/>
      <c r="U788" s="597"/>
      <c r="V788" s="597"/>
      <c r="W788" s="597"/>
      <c r="X788" s="597"/>
      <c r="Y788" s="597"/>
      <c r="Z788" s="597"/>
    </row>
    <row r="789" spans="1:26" ht="18.75" hidden="1">
      <c r="A789" s="590"/>
      <c r="B789" s="568"/>
      <c r="C789" s="568"/>
      <c r="D789" s="599" t="s">
        <v>20</v>
      </c>
      <c r="E789" s="754"/>
      <c r="F789" s="754"/>
      <c r="G789" s="189"/>
      <c r="H789" s="161" t="s">
        <v>12</v>
      </c>
      <c r="I789" s="184"/>
      <c r="J789" s="184"/>
      <c r="K789" s="163"/>
      <c r="L789" s="496">
        <f t="shared" ref="L789:N789" ca="1" si="323">L790+L791</f>
        <v>0</v>
      </c>
      <c r="M789" s="496">
        <f t="shared" si="323"/>
        <v>0</v>
      </c>
      <c r="N789" s="496">
        <f t="shared" si="323"/>
        <v>0</v>
      </c>
      <c r="O789" s="496">
        <f t="shared" ca="1" si="320"/>
        <v>0</v>
      </c>
      <c r="P789" s="496">
        <f t="shared" si="321"/>
        <v>0</v>
      </c>
      <c r="Q789" s="571"/>
      <c r="R789" s="571"/>
      <c r="S789" s="571"/>
      <c r="T789" s="571"/>
      <c r="U789" s="571"/>
      <c r="V789" s="571"/>
      <c r="W789" s="571"/>
      <c r="X789" s="571"/>
      <c r="Y789" s="571"/>
      <c r="Z789" s="571"/>
    </row>
    <row r="790" spans="1:26" ht="18.75" hidden="1">
      <c r="A790" s="592"/>
      <c r="B790" s="600"/>
      <c r="C790" s="600"/>
      <c r="D790" s="609"/>
      <c r="E790" s="750" t="s">
        <v>184</v>
      </c>
      <c r="F790" s="750"/>
      <c r="G790" s="596"/>
      <c r="H790" s="165" t="s">
        <v>12</v>
      </c>
      <c r="I790" s="610"/>
      <c r="J790" s="610"/>
      <c r="K790" s="93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597"/>
      <c r="R790" s="597"/>
      <c r="S790" s="597"/>
      <c r="T790" s="597"/>
      <c r="U790" s="597"/>
      <c r="V790" s="597"/>
      <c r="W790" s="597"/>
      <c r="X790" s="597"/>
      <c r="Y790" s="597"/>
      <c r="Z790" s="597"/>
    </row>
    <row r="791" spans="1:26" ht="18.75" hidden="1">
      <c r="A791" s="592"/>
      <c r="B791" s="600"/>
      <c r="C791" s="600"/>
      <c r="D791" s="609"/>
      <c r="E791" s="750" t="s">
        <v>185</v>
      </c>
      <c r="F791" s="750"/>
      <c r="G791" s="596"/>
      <c r="H791" s="165" t="s">
        <v>12</v>
      </c>
      <c r="I791" s="610"/>
      <c r="J791" s="610"/>
      <c r="K791" s="93"/>
      <c r="L791" s="93">
        <f ca="1">IFERROR(__xludf.DUMMYFUNCTION("IMPORTRANGE(""https://docs.google.com/spreadsheets/d/1QqKyyYR6Q21VydFLVH3TRQUabQu_ym0Zz7PgGX0-kHA/edit?usp=sharing"",""แผน!JJ59"")"),0)</f>
        <v>0</v>
      </c>
      <c r="M791" s="93">
        <v>0</v>
      </c>
      <c r="N791" s="93">
        <f>N792+N793+N794+N795</f>
        <v>0</v>
      </c>
      <c r="O791" s="93">
        <f t="shared" ca="1" si="320"/>
        <v>0</v>
      </c>
      <c r="P791" s="93">
        <f t="shared" si="321"/>
        <v>0</v>
      </c>
      <c r="Q791" s="597"/>
      <c r="R791" s="597"/>
      <c r="S791" s="597"/>
      <c r="T791" s="597"/>
      <c r="U791" s="597"/>
      <c r="V791" s="597"/>
      <c r="W791" s="597"/>
      <c r="X791" s="597"/>
      <c r="Y791" s="597"/>
      <c r="Z791" s="597"/>
    </row>
    <row r="792" spans="1:26" ht="18.75" hidden="1">
      <c r="A792" s="567"/>
      <c r="B792" s="568"/>
      <c r="C792" s="754"/>
      <c r="D792" s="754"/>
      <c r="E792" s="754"/>
      <c r="F792" s="754" t="s">
        <v>186</v>
      </c>
      <c r="G792" s="189"/>
      <c r="H792" s="161" t="s">
        <v>12</v>
      </c>
      <c r="I792" s="269"/>
      <c r="J792" s="269"/>
      <c r="K792" s="496"/>
      <c r="L792" s="496"/>
      <c r="M792" s="496"/>
      <c r="N792" s="817">
        <v>0</v>
      </c>
      <c r="O792" s="496"/>
      <c r="P792" s="496"/>
      <c r="Q792" s="571"/>
      <c r="R792" s="571"/>
      <c r="S792" s="571"/>
      <c r="T792" s="571"/>
      <c r="U792" s="571"/>
      <c r="V792" s="571"/>
      <c r="W792" s="571"/>
      <c r="X792" s="571"/>
      <c r="Y792" s="571"/>
      <c r="Z792" s="571"/>
    </row>
    <row r="793" spans="1:26" ht="18.75" hidden="1">
      <c r="A793" s="567"/>
      <c r="B793" s="568"/>
      <c r="C793" s="754"/>
      <c r="D793" s="754"/>
      <c r="E793" s="754"/>
      <c r="F793" s="754" t="s">
        <v>187</v>
      </c>
      <c r="G793" s="189"/>
      <c r="H793" s="161" t="s">
        <v>12</v>
      </c>
      <c r="I793" s="269"/>
      <c r="J793" s="269"/>
      <c r="K793" s="496"/>
      <c r="L793" s="496"/>
      <c r="M793" s="496"/>
      <c r="N793" s="817">
        <v>0</v>
      </c>
      <c r="O793" s="496"/>
      <c r="P793" s="496"/>
      <c r="Q793" s="571"/>
      <c r="R793" s="571"/>
      <c r="S793" s="571"/>
      <c r="T793" s="571"/>
      <c r="U793" s="571"/>
      <c r="V793" s="571"/>
      <c r="W793" s="571"/>
      <c r="X793" s="571"/>
      <c r="Y793" s="571"/>
      <c r="Z793" s="571"/>
    </row>
    <row r="794" spans="1:26" ht="18.75" hidden="1">
      <c r="A794" s="567"/>
      <c r="B794" s="568"/>
      <c r="C794" s="754"/>
      <c r="D794" s="754"/>
      <c r="E794" s="754"/>
      <c r="F794" s="754" t="s">
        <v>188</v>
      </c>
      <c r="G794" s="189"/>
      <c r="H794" s="161" t="s">
        <v>12</v>
      </c>
      <c r="I794" s="269"/>
      <c r="J794" s="269"/>
      <c r="K794" s="496"/>
      <c r="L794" s="496"/>
      <c r="M794" s="496"/>
      <c r="N794" s="817">
        <v>0</v>
      </c>
      <c r="O794" s="496"/>
      <c r="P794" s="496"/>
      <c r="Q794" s="571"/>
      <c r="R794" s="571"/>
      <c r="S794" s="571"/>
      <c r="T794" s="571"/>
      <c r="U794" s="571"/>
      <c r="V794" s="571"/>
      <c r="W794" s="571"/>
      <c r="X794" s="571"/>
      <c r="Y794" s="571"/>
      <c r="Z794" s="571"/>
    </row>
    <row r="795" spans="1:26" ht="18.75" hidden="1">
      <c r="A795" s="567"/>
      <c r="B795" s="568"/>
      <c r="C795" s="754"/>
      <c r="D795" s="754"/>
      <c r="E795" s="754"/>
      <c r="F795" s="754" t="s">
        <v>189</v>
      </c>
      <c r="G795" s="189"/>
      <c r="H795" s="161" t="s">
        <v>12</v>
      </c>
      <c r="I795" s="269"/>
      <c r="J795" s="269"/>
      <c r="K795" s="496"/>
      <c r="L795" s="496"/>
      <c r="M795" s="496"/>
      <c r="N795" s="817">
        <v>0</v>
      </c>
      <c r="O795" s="496"/>
      <c r="P795" s="496"/>
      <c r="Q795" s="571"/>
      <c r="R795" s="571"/>
      <c r="S795" s="571"/>
      <c r="T795" s="571"/>
      <c r="U795" s="571"/>
      <c r="V795" s="571"/>
      <c r="W795" s="571"/>
      <c r="X795" s="571"/>
      <c r="Y795" s="571"/>
      <c r="Z795" s="571"/>
    </row>
    <row r="796" spans="1:26" ht="18.75" hidden="1">
      <c r="A796" s="590"/>
      <c r="B796" s="568"/>
      <c r="C796" s="754"/>
      <c r="D796" s="599" t="s">
        <v>21</v>
      </c>
      <c r="E796" s="754"/>
      <c r="F796" s="754"/>
      <c r="G796" s="189"/>
      <c r="H796" s="168" t="s">
        <v>12</v>
      </c>
      <c r="I796" s="184"/>
      <c r="J796" s="184"/>
      <c r="K796" s="163"/>
      <c r="L796" s="496">
        <f t="shared" ref="L796:N796" si="324">L797+L798</f>
        <v>0</v>
      </c>
      <c r="M796" s="496">
        <f t="shared" si="324"/>
        <v>0</v>
      </c>
      <c r="N796" s="496">
        <f t="shared" si="324"/>
        <v>0</v>
      </c>
      <c r="O796" s="496">
        <f t="shared" ref="O796:O798" si="325">IF(L796&gt;0,N796*100/L796,0)</f>
        <v>0</v>
      </c>
      <c r="P796" s="496">
        <f t="shared" ref="P796:P798" si="326">IF(M796&gt;0,N796*100/M796,0)</f>
        <v>0</v>
      </c>
      <c r="Q796" s="571"/>
      <c r="R796" s="571"/>
      <c r="S796" s="571"/>
      <c r="T796" s="571"/>
      <c r="U796" s="571"/>
      <c r="V796" s="571"/>
      <c r="W796" s="571"/>
      <c r="X796" s="571"/>
      <c r="Y796" s="571"/>
      <c r="Z796" s="571"/>
    </row>
    <row r="797" spans="1:26" ht="18.75" hidden="1">
      <c r="A797" s="592"/>
      <c r="B797" s="600"/>
      <c r="C797" s="750"/>
      <c r="D797" s="750"/>
      <c r="E797" s="750" t="s">
        <v>18</v>
      </c>
      <c r="F797" s="750"/>
      <c r="G797" s="596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597"/>
      <c r="R797" s="597"/>
      <c r="S797" s="597"/>
      <c r="T797" s="597"/>
      <c r="U797" s="597"/>
      <c r="V797" s="597"/>
      <c r="W797" s="597"/>
      <c r="X797" s="597"/>
      <c r="Y797" s="597"/>
      <c r="Z797" s="597"/>
    </row>
    <row r="798" spans="1:26" ht="18.75" hidden="1">
      <c r="A798" s="592"/>
      <c r="B798" s="600"/>
      <c r="C798" s="750"/>
      <c r="D798" s="750"/>
      <c r="E798" s="750" t="s">
        <v>19</v>
      </c>
      <c r="F798" s="750"/>
      <c r="G798" s="596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597"/>
      <c r="R798" s="597"/>
      <c r="S798" s="597"/>
      <c r="T798" s="597"/>
      <c r="U798" s="597"/>
      <c r="V798" s="597"/>
      <c r="W798" s="597"/>
      <c r="X798" s="597"/>
      <c r="Y798" s="597"/>
      <c r="Z798" s="597"/>
    </row>
    <row r="799" spans="1:26" ht="19.5" hidden="1">
      <c r="A799" s="601"/>
      <c r="B799" s="611"/>
      <c r="C799" s="754" t="s">
        <v>16</v>
      </c>
      <c r="D799" s="840" t="s">
        <v>38</v>
      </c>
      <c r="E799" s="752"/>
      <c r="F799" s="752"/>
      <c r="G799" s="606"/>
      <c r="H799" s="802"/>
      <c r="I799" s="184"/>
      <c r="J799" s="184"/>
      <c r="K799" s="163"/>
      <c r="L799" s="163"/>
      <c r="M799" s="163"/>
      <c r="N799" s="163"/>
      <c r="O799" s="163"/>
      <c r="P799" s="163"/>
      <c r="Q799" s="571"/>
      <c r="R799" s="571"/>
      <c r="S799" s="571"/>
      <c r="T799" s="571"/>
      <c r="U799" s="571"/>
      <c r="V799" s="571"/>
      <c r="W799" s="571"/>
      <c r="X799" s="571"/>
      <c r="Y799" s="571"/>
      <c r="Z799" s="571"/>
    </row>
    <row r="800" spans="1:26" ht="18.75" hidden="1">
      <c r="A800" s="601"/>
      <c r="B800" s="611"/>
      <c r="C800" s="611"/>
      <c r="D800" s="611"/>
      <c r="E800" s="619"/>
      <c r="F800" s="619" t="s">
        <v>320</v>
      </c>
      <c r="G800" s="753"/>
      <c r="H800" s="185" t="s">
        <v>46</v>
      </c>
      <c r="I800" s="184">
        <f ca="1">IFERROR(__xludf.DUMMYFUNCTION("IMPORTRANGE(""https://docs.google.com/spreadsheets/d/1QqKyyYR6Q21VydFLVH3TRQUabQu_ym0Zz7PgGX0-kHA/edit?usp=sharing"",""แผน!JN59"")"),0)</f>
        <v>0</v>
      </c>
      <c r="J800" s="184">
        <f ca="1">IFERROR(__xludf.DUMMYFUNCTION("IMPORTRANGE(""https://docs.google.com/spreadsheets/d/1MaWodYyGHDf7siQLGxnXhG4mBNTNIuy296niS2xXulU/edit?usp=sharing"",""RTK!H59"")"),0)</f>
        <v>0</v>
      </c>
      <c r="K800" s="496">
        <f ca="1">IF(I800&gt;0,J800*100/I800,0)</f>
        <v>0</v>
      </c>
      <c r="L800" s="496"/>
      <c r="M800" s="496"/>
      <c r="N800" s="496"/>
      <c r="O800" s="163"/>
      <c r="P800" s="163"/>
      <c r="Q800" s="571"/>
      <c r="R800" s="571"/>
      <c r="S800" s="571"/>
      <c r="T800" s="571"/>
      <c r="U800" s="571"/>
      <c r="V800" s="571"/>
      <c r="W800" s="571"/>
      <c r="X800" s="571"/>
      <c r="Y800" s="571"/>
      <c r="Z800" s="571"/>
    </row>
    <row r="801" spans="1:26" ht="18.75" hidden="1">
      <c r="A801" s="601"/>
      <c r="B801" s="611"/>
      <c r="C801" s="611"/>
      <c r="D801" s="611"/>
      <c r="E801" s="619"/>
      <c r="F801" s="619"/>
      <c r="G801" s="753"/>
      <c r="H801" s="161" t="s">
        <v>34</v>
      </c>
      <c r="I801" s="184"/>
      <c r="J801" s="269">
        <f ca="1">IFERROR(__xludf.DUMMYFUNCTION("IMPORTRANGE(""https://docs.google.com/spreadsheets/d/1MaWodYyGHDf7siQLGxnXhG4mBNTNIuy296niS2xXulU/edit?usp=sharing"",""RTK!I59"")"),0)</f>
        <v>0</v>
      </c>
      <c r="K801" s="496"/>
      <c r="L801" s="496"/>
      <c r="M801" s="496"/>
      <c r="N801" s="496"/>
      <c r="O801" s="163"/>
      <c r="P801" s="163"/>
      <c r="Q801" s="571"/>
      <c r="R801" s="571"/>
      <c r="S801" s="571"/>
      <c r="T801" s="571"/>
      <c r="U801" s="571"/>
      <c r="V801" s="571"/>
      <c r="W801" s="571"/>
      <c r="X801" s="571"/>
      <c r="Y801" s="571"/>
      <c r="Z801" s="571"/>
    </row>
    <row r="802" spans="1:26" ht="18.75" hidden="1">
      <c r="A802" s="607"/>
      <c r="B802" s="609"/>
      <c r="C802" s="609"/>
      <c r="D802" s="609"/>
      <c r="E802" s="711"/>
      <c r="F802" s="711" t="s">
        <v>321</v>
      </c>
      <c r="G802" s="365"/>
      <c r="H802" s="646" t="s">
        <v>46</v>
      </c>
      <c r="I802" s="166"/>
      <c r="J802" s="610"/>
      <c r="K802" s="167">
        <f>IF(I802&gt;0,J802*100/I802,0)</f>
        <v>0</v>
      </c>
      <c r="L802" s="167"/>
      <c r="M802" s="167"/>
      <c r="N802" s="167"/>
      <c r="O802" s="167"/>
      <c r="P802" s="167"/>
      <c r="Q802" s="597"/>
      <c r="R802" s="597"/>
      <c r="S802" s="597"/>
      <c r="T802" s="597"/>
      <c r="U802" s="597"/>
      <c r="V802" s="597"/>
      <c r="W802" s="597"/>
      <c r="X802" s="597"/>
      <c r="Y802" s="597"/>
      <c r="Z802" s="597"/>
    </row>
    <row r="803" spans="1:26" ht="18.75" hidden="1">
      <c r="A803" s="607"/>
      <c r="B803" s="609"/>
      <c r="C803" s="609"/>
      <c r="D803" s="609"/>
      <c r="E803" s="711"/>
      <c r="F803" s="711"/>
      <c r="G803" s="365"/>
      <c r="H803" s="646" t="s">
        <v>34</v>
      </c>
      <c r="I803" s="166"/>
      <c r="J803" s="610"/>
      <c r="K803" s="167"/>
      <c r="L803" s="167"/>
      <c r="M803" s="167"/>
      <c r="N803" s="167"/>
      <c r="O803" s="167"/>
      <c r="P803" s="167"/>
      <c r="Q803" s="597"/>
      <c r="R803" s="597"/>
      <c r="S803" s="597"/>
      <c r="T803" s="597"/>
      <c r="U803" s="597"/>
      <c r="V803" s="597"/>
      <c r="W803" s="597"/>
      <c r="X803" s="597"/>
      <c r="Y803" s="597"/>
      <c r="Z803" s="597"/>
    </row>
    <row r="804" spans="1:26" ht="19.5" hidden="1">
      <c r="A804" s="784">
        <v>13</v>
      </c>
      <c r="B804" s="785" t="s">
        <v>322</v>
      </c>
      <c r="C804" s="786"/>
      <c r="D804" s="803"/>
      <c r="E804" s="786"/>
      <c r="F804" s="786"/>
      <c r="G804" s="787"/>
      <c r="H804" s="788" t="s">
        <v>46</v>
      </c>
      <c r="I804" s="789"/>
      <c r="J804" s="789">
        <f>J819</f>
        <v>0</v>
      </c>
      <c r="K804" s="790">
        <f>IF(I804&gt;0,J804*100/I804,0)</f>
        <v>0</v>
      </c>
      <c r="L804" s="791"/>
      <c r="M804" s="791"/>
      <c r="N804" s="791"/>
      <c r="O804" s="791"/>
      <c r="P804" s="791"/>
      <c r="Q804" s="597"/>
      <c r="R804" s="597"/>
      <c r="S804" s="597"/>
      <c r="T804" s="597"/>
      <c r="U804" s="597"/>
      <c r="V804" s="597"/>
      <c r="W804" s="597"/>
      <c r="X804" s="597"/>
      <c r="Y804" s="597"/>
      <c r="Z804" s="597"/>
    </row>
    <row r="805" spans="1:26" ht="19.5" hidden="1">
      <c r="A805" s="592"/>
      <c r="B805" s="750"/>
      <c r="C805" s="750" t="s">
        <v>16</v>
      </c>
      <c r="D805" s="864" t="s">
        <v>17</v>
      </c>
      <c r="E805" s="857"/>
      <c r="F805" s="857"/>
      <c r="G805" s="596"/>
      <c r="H805" s="639" t="s">
        <v>12</v>
      </c>
      <c r="I805" s="610"/>
      <c r="J805" s="610"/>
      <c r="K805" s="93"/>
      <c r="L805" s="640">
        <f t="shared" ref="L805:N805" si="327">L806+L807</f>
        <v>0</v>
      </c>
      <c r="M805" s="640">
        <f t="shared" si="327"/>
        <v>0</v>
      </c>
      <c r="N805" s="640">
        <f t="shared" si="327"/>
        <v>0</v>
      </c>
      <c r="O805" s="640">
        <f t="shared" ref="O805:O810" si="328">IF(L805&gt;0,N805*100/L805,0)</f>
        <v>0</v>
      </c>
      <c r="P805" s="640">
        <f t="shared" ref="P805:P810" si="329">IF(M805&gt;0,N805*100/M805,0)</f>
        <v>0</v>
      </c>
      <c r="Q805" s="597"/>
      <c r="R805" s="597"/>
      <c r="S805" s="597"/>
      <c r="T805" s="597"/>
      <c r="U805" s="597"/>
      <c r="V805" s="597"/>
      <c r="W805" s="597"/>
      <c r="X805" s="597"/>
      <c r="Y805" s="597"/>
      <c r="Z805" s="597"/>
    </row>
    <row r="806" spans="1:26" ht="18.75" hidden="1">
      <c r="A806" s="592"/>
      <c r="B806" s="750"/>
      <c r="C806" s="750"/>
      <c r="D806" s="609"/>
      <c r="E806" s="750" t="s">
        <v>184</v>
      </c>
      <c r="F806" s="750"/>
      <c r="G806" s="596"/>
      <c r="H806" s="165" t="s">
        <v>12</v>
      </c>
      <c r="I806" s="610"/>
      <c r="J806" s="610"/>
      <c r="K806" s="93"/>
      <c r="L806" s="93">
        <f t="shared" ref="L806:N807" si="330">L809+L816</f>
        <v>0</v>
      </c>
      <c r="M806" s="93">
        <f t="shared" si="330"/>
        <v>0</v>
      </c>
      <c r="N806" s="93">
        <f t="shared" si="330"/>
        <v>0</v>
      </c>
      <c r="O806" s="93">
        <f t="shared" si="328"/>
        <v>0</v>
      </c>
      <c r="P806" s="93">
        <f t="shared" si="329"/>
        <v>0</v>
      </c>
      <c r="Q806" s="597"/>
      <c r="R806" s="597"/>
      <c r="S806" s="597"/>
      <c r="T806" s="597"/>
      <c r="U806" s="597"/>
      <c r="V806" s="597"/>
      <c r="W806" s="597"/>
      <c r="X806" s="597"/>
      <c r="Y806" s="597"/>
      <c r="Z806" s="597"/>
    </row>
    <row r="807" spans="1:26" ht="18.75" hidden="1">
      <c r="A807" s="592"/>
      <c r="B807" s="750"/>
      <c r="C807" s="750"/>
      <c r="D807" s="609"/>
      <c r="E807" s="750" t="s">
        <v>185</v>
      </c>
      <c r="F807" s="750"/>
      <c r="G807" s="596"/>
      <c r="H807" s="165" t="s">
        <v>12</v>
      </c>
      <c r="I807" s="610"/>
      <c r="J807" s="610"/>
      <c r="K807" s="93"/>
      <c r="L807" s="93">
        <f t="shared" si="330"/>
        <v>0</v>
      </c>
      <c r="M807" s="93">
        <f t="shared" si="330"/>
        <v>0</v>
      </c>
      <c r="N807" s="93">
        <f t="shared" si="330"/>
        <v>0</v>
      </c>
      <c r="O807" s="93">
        <f t="shared" si="328"/>
        <v>0</v>
      </c>
      <c r="P807" s="93">
        <f t="shared" si="329"/>
        <v>0</v>
      </c>
      <c r="Q807" s="597"/>
      <c r="R807" s="597"/>
      <c r="S807" s="597"/>
      <c r="T807" s="597"/>
      <c r="U807" s="597"/>
      <c r="V807" s="597"/>
      <c r="W807" s="597"/>
      <c r="X807" s="597"/>
      <c r="Y807" s="597"/>
      <c r="Z807" s="597"/>
    </row>
    <row r="808" spans="1:26" ht="19.5" hidden="1">
      <c r="A808" s="592"/>
      <c r="B808" s="600"/>
      <c r="C808" s="750"/>
      <c r="D808" s="869" t="s">
        <v>20</v>
      </c>
      <c r="E808" s="857"/>
      <c r="F808" s="857"/>
      <c r="G808" s="596"/>
      <c r="H808" s="639" t="s">
        <v>12</v>
      </c>
      <c r="I808" s="166"/>
      <c r="J808" s="166"/>
      <c r="K808" s="167"/>
      <c r="L808" s="640">
        <f t="shared" ref="L808:N808" si="331">L809+L810</f>
        <v>0</v>
      </c>
      <c r="M808" s="640">
        <f t="shared" si="331"/>
        <v>0</v>
      </c>
      <c r="N808" s="640">
        <f t="shared" si="331"/>
        <v>0</v>
      </c>
      <c r="O808" s="640">
        <f t="shared" si="328"/>
        <v>0</v>
      </c>
      <c r="P808" s="640">
        <f t="shared" si="329"/>
        <v>0</v>
      </c>
      <c r="Q808" s="597"/>
      <c r="R808" s="597"/>
      <c r="S808" s="597"/>
      <c r="T808" s="597"/>
      <c r="U808" s="597"/>
      <c r="V808" s="597"/>
      <c r="W808" s="597"/>
      <c r="X808" s="597"/>
      <c r="Y808" s="597"/>
      <c r="Z808" s="597"/>
    </row>
    <row r="809" spans="1:26" ht="18.75" hidden="1">
      <c r="A809" s="592"/>
      <c r="B809" s="750"/>
      <c r="C809" s="750"/>
      <c r="D809" s="609"/>
      <c r="E809" s="750" t="s">
        <v>184</v>
      </c>
      <c r="F809" s="750"/>
      <c r="G809" s="596"/>
      <c r="H809" s="165" t="s">
        <v>12</v>
      </c>
      <c r="I809" s="610"/>
      <c r="J809" s="610"/>
      <c r="K809" s="93"/>
      <c r="L809" s="93">
        <v>0</v>
      </c>
      <c r="M809" s="93">
        <v>0</v>
      </c>
      <c r="N809" s="93">
        <v>0</v>
      </c>
      <c r="O809" s="93">
        <f t="shared" si="328"/>
        <v>0</v>
      </c>
      <c r="P809" s="93">
        <f t="shared" si="329"/>
        <v>0</v>
      </c>
      <c r="Q809" s="597"/>
      <c r="R809" s="597"/>
      <c r="S809" s="597"/>
      <c r="T809" s="597"/>
      <c r="U809" s="597"/>
      <c r="V809" s="597"/>
      <c r="W809" s="597"/>
      <c r="X809" s="597"/>
      <c r="Y809" s="597"/>
      <c r="Z809" s="597"/>
    </row>
    <row r="810" spans="1:26" ht="18.75" hidden="1">
      <c r="A810" s="592"/>
      <c r="B810" s="750"/>
      <c r="C810" s="750"/>
      <c r="D810" s="609"/>
      <c r="E810" s="750" t="s">
        <v>185</v>
      </c>
      <c r="F810" s="750"/>
      <c r="G810" s="596"/>
      <c r="H810" s="165" t="s">
        <v>12</v>
      </c>
      <c r="I810" s="610"/>
      <c r="J810" s="610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8"/>
        <v>0</v>
      </c>
      <c r="P810" s="93">
        <f t="shared" si="329"/>
        <v>0</v>
      </c>
      <c r="Q810" s="597"/>
      <c r="R810" s="597"/>
      <c r="S810" s="597"/>
      <c r="T810" s="597"/>
      <c r="U810" s="597"/>
      <c r="V810" s="597"/>
      <c r="W810" s="597"/>
      <c r="X810" s="597"/>
      <c r="Y810" s="597"/>
      <c r="Z810" s="597"/>
    </row>
    <row r="811" spans="1:26" ht="18.75" hidden="1">
      <c r="A811" s="642"/>
      <c r="B811" s="600"/>
      <c r="C811" s="750"/>
      <c r="D811" s="600"/>
      <c r="E811" s="750"/>
      <c r="F811" s="750" t="s">
        <v>186</v>
      </c>
      <c r="G811" s="596"/>
      <c r="H811" s="165" t="s">
        <v>12</v>
      </c>
      <c r="I811" s="610"/>
      <c r="J811" s="610"/>
      <c r="K811" s="93"/>
      <c r="L811" s="93"/>
      <c r="M811" s="93"/>
      <c r="N811" s="93"/>
      <c r="O811" s="93"/>
      <c r="P811" s="93"/>
      <c r="Q811" s="597"/>
      <c r="R811" s="597"/>
      <c r="S811" s="597"/>
      <c r="T811" s="597"/>
      <c r="U811" s="597"/>
      <c r="V811" s="597"/>
      <c r="W811" s="597"/>
      <c r="X811" s="597"/>
      <c r="Y811" s="597"/>
      <c r="Z811" s="597"/>
    </row>
    <row r="812" spans="1:26" ht="18.75" hidden="1">
      <c r="A812" s="642"/>
      <c r="B812" s="600"/>
      <c r="C812" s="750"/>
      <c r="D812" s="600"/>
      <c r="E812" s="750"/>
      <c r="F812" s="750" t="s">
        <v>187</v>
      </c>
      <c r="G812" s="596"/>
      <c r="H812" s="165" t="s">
        <v>12</v>
      </c>
      <c r="I812" s="610"/>
      <c r="J812" s="610"/>
      <c r="K812" s="93"/>
      <c r="L812" s="93"/>
      <c r="M812" s="93"/>
      <c r="N812" s="93"/>
      <c r="O812" s="93"/>
      <c r="P812" s="93"/>
      <c r="Q812" s="597"/>
      <c r="R812" s="597"/>
      <c r="S812" s="597"/>
      <c r="T812" s="597"/>
      <c r="U812" s="597"/>
      <c r="V812" s="597"/>
      <c r="W812" s="597"/>
      <c r="X812" s="597"/>
      <c r="Y812" s="597"/>
      <c r="Z812" s="597"/>
    </row>
    <row r="813" spans="1:26" ht="18.75" hidden="1">
      <c r="A813" s="642"/>
      <c r="B813" s="600"/>
      <c r="C813" s="750"/>
      <c r="D813" s="600"/>
      <c r="E813" s="750"/>
      <c r="F813" s="750" t="s">
        <v>188</v>
      </c>
      <c r="G813" s="596"/>
      <c r="H813" s="165" t="s">
        <v>12</v>
      </c>
      <c r="I813" s="610"/>
      <c r="J813" s="610"/>
      <c r="K813" s="93"/>
      <c r="L813" s="93"/>
      <c r="M813" s="93"/>
      <c r="N813" s="93"/>
      <c r="O813" s="93"/>
      <c r="P813" s="93"/>
      <c r="Q813" s="597"/>
      <c r="R813" s="597"/>
      <c r="S813" s="597"/>
      <c r="T813" s="597"/>
      <c r="U813" s="597"/>
      <c r="V813" s="597"/>
      <c r="W813" s="597"/>
      <c r="X813" s="597"/>
      <c r="Y813" s="597"/>
      <c r="Z813" s="597"/>
    </row>
    <row r="814" spans="1:26" ht="18.75" hidden="1">
      <c r="A814" s="642"/>
      <c r="B814" s="600"/>
      <c r="C814" s="750"/>
      <c r="D814" s="600"/>
      <c r="E814" s="750"/>
      <c r="F814" s="750" t="s">
        <v>189</v>
      </c>
      <c r="G814" s="596"/>
      <c r="H814" s="165" t="s">
        <v>12</v>
      </c>
      <c r="I814" s="610"/>
      <c r="J814" s="610"/>
      <c r="K814" s="93"/>
      <c r="L814" s="93"/>
      <c r="M814" s="93"/>
      <c r="N814" s="93"/>
      <c r="O814" s="93"/>
      <c r="P814" s="93"/>
      <c r="Q814" s="597"/>
      <c r="R814" s="597"/>
      <c r="S814" s="597"/>
      <c r="T814" s="597"/>
      <c r="U814" s="597"/>
      <c r="V814" s="597"/>
      <c r="W814" s="597"/>
      <c r="X814" s="597"/>
      <c r="Y814" s="597"/>
      <c r="Z814" s="597"/>
    </row>
    <row r="815" spans="1:26" ht="19.5" hidden="1">
      <c r="A815" s="592"/>
      <c r="B815" s="600"/>
      <c r="C815" s="750"/>
      <c r="D815" s="869" t="s">
        <v>21</v>
      </c>
      <c r="E815" s="857"/>
      <c r="F815" s="857"/>
      <c r="G815" s="596"/>
      <c r="H815" s="774" t="s">
        <v>12</v>
      </c>
      <c r="I815" s="166"/>
      <c r="J815" s="166"/>
      <c r="K815" s="167"/>
      <c r="L815" s="640">
        <f t="shared" ref="L815:N815" si="332">L816+L817</f>
        <v>0</v>
      </c>
      <c r="M815" s="640">
        <f t="shared" si="332"/>
        <v>0</v>
      </c>
      <c r="N815" s="640">
        <f t="shared" si="332"/>
        <v>0</v>
      </c>
      <c r="O815" s="640">
        <f t="shared" ref="O815:O817" si="333">IF(L815&gt;0,N815*100/L815,0)</f>
        <v>0</v>
      </c>
      <c r="P815" s="640">
        <f t="shared" ref="P815:P817" si="334">IF(M815&gt;0,N815*100/M815,0)</f>
        <v>0</v>
      </c>
      <c r="Q815" s="597"/>
      <c r="R815" s="597"/>
      <c r="S815" s="597"/>
      <c r="T815" s="597"/>
      <c r="U815" s="597"/>
      <c r="V815" s="597"/>
      <c r="W815" s="597"/>
      <c r="X815" s="597"/>
      <c r="Y815" s="597"/>
      <c r="Z815" s="597"/>
    </row>
    <row r="816" spans="1:26" ht="18.75" hidden="1">
      <c r="A816" s="592"/>
      <c r="B816" s="600"/>
      <c r="C816" s="750"/>
      <c r="D816" s="600"/>
      <c r="E816" s="750" t="s">
        <v>18</v>
      </c>
      <c r="F816" s="750"/>
      <c r="G816" s="596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3"/>
        <v>0</v>
      </c>
      <c r="P816" s="93">
        <f t="shared" si="334"/>
        <v>0</v>
      </c>
      <c r="Q816" s="597"/>
      <c r="R816" s="597"/>
      <c r="S816" s="597"/>
      <c r="T816" s="597"/>
      <c r="U816" s="597"/>
      <c r="V816" s="597"/>
      <c r="W816" s="597"/>
      <c r="X816" s="597"/>
      <c r="Y816" s="597"/>
      <c r="Z816" s="597"/>
    </row>
    <row r="817" spans="1:26" ht="18.75" hidden="1">
      <c r="A817" s="592"/>
      <c r="B817" s="600"/>
      <c r="C817" s="750"/>
      <c r="D817" s="600"/>
      <c r="E817" s="750" t="s">
        <v>19</v>
      </c>
      <c r="F817" s="750"/>
      <c r="G817" s="596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3"/>
        <v>0</v>
      </c>
      <c r="P817" s="93">
        <f t="shared" si="334"/>
        <v>0</v>
      </c>
      <c r="Q817" s="597"/>
      <c r="R817" s="597"/>
      <c r="S817" s="597"/>
      <c r="T817" s="597"/>
      <c r="U817" s="597"/>
      <c r="V817" s="597"/>
      <c r="W817" s="597"/>
      <c r="X817" s="597"/>
      <c r="Y817" s="597"/>
      <c r="Z817" s="597"/>
    </row>
    <row r="818" spans="1:26" ht="19.5" hidden="1">
      <c r="A818" s="607"/>
      <c r="B818" s="609"/>
      <c r="C818" s="750" t="s">
        <v>16</v>
      </c>
      <c r="D818" s="842" t="s">
        <v>38</v>
      </c>
      <c r="E818" s="644"/>
      <c r="F818" s="644"/>
      <c r="G818" s="645"/>
      <c r="H818" s="365"/>
      <c r="I818" s="166"/>
      <c r="J818" s="166"/>
      <c r="K818" s="167"/>
      <c r="L818" s="167"/>
      <c r="M818" s="167"/>
      <c r="N818" s="167"/>
      <c r="O818" s="167"/>
      <c r="P818" s="167"/>
      <c r="Q818" s="597"/>
      <c r="R818" s="597"/>
      <c r="S818" s="597"/>
      <c r="T818" s="597"/>
      <c r="U818" s="597"/>
      <c r="V818" s="597"/>
      <c r="W818" s="597"/>
      <c r="X818" s="597"/>
      <c r="Y818" s="597"/>
      <c r="Z818" s="597"/>
    </row>
    <row r="819" spans="1:26" ht="19.5" hidden="1" thickBot="1">
      <c r="A819" s="805"/>
      <c r="B819" s="806"/>
      <c r="C819" s="808"/>
      <c r="D819" s="806"/>
      <c r="E819" s="808" t="s">
        <v>323</v>
      </c>
      <c r="F819" s="808"/>
      <c r="G819" s="809"/>
      <c r="H819" s="810" t="s">
        <v>46</v>
      </c>
      <c r="I819" s="811"/>
      <c r="J819" s="811"/>
      <c r="K819" s="812"/>
      <c r="L819" s="812"/>
      <c r="M819" s="812"/>
      <c r="N819" s="812"/>
      <c r="O819" s="812"/>
      <c r="P819" s="812"/>
      <c r="Q819" s="597"/>
      <c r="R819" s="597"/>
      <c r="S819" s="597"/>
      <c r="T819" s="597"/>
      <c r="U819" s="597"/>
      <c r="V819" s="597"/>
      <c r="W819" s="597"/>
      <c r="X819" s="597"/>
      <c r="Y819" s="597"/>
      <c r="Z819" s="597"/>
    </row>
    <row r="820" spans="1:26" ht="19.5">
      <c r="A820" s="813" t="s">
        <v>331</v>
      </c>
      <c r="B820" s="814"/>
      <c r="C820" s="814"/>
      <c r="D820" s="815"/>
      <c r="E820" s="814"/>
      <c r="F820" s="814"/>
      <c r="G820" s="816"/>
      <c r="H820" s="816"/>
      <c r="I820" s="214"/>
      <c r="J820" s="214"/>
      <c r="K820" s="817"/>
      <c r="L820" s="817"/>
      <c r="M820" s="817"/>
      <c r="N820" s="817"/>
      <c r="O820" s="817"/>
      <c r="P820" s="817"/>
      <c r="Q820" s="571"/>
      <c r="R820" s="571"/>
      <c r="S820" s="571"/>
      <c r="T820" s="571"/>
      <c r="U820" s="571"/>
      <c r="V820" s="571"/>
      <c r="W820" s="571"/>
      <c r="X820" s="571"/>
      <c r="Y820" s="571"/>
      <c r="Z820" s="571"/>
    </row>
    <row r="821" spans="1:26" ht="18.75">
      <c r="A821" s="735"/>
      <c r="B821" s="754" t="s">
        <v>325</v>
      </c>
      <c r="C821" s="754"/>
      <c r="D821" s="568"/>
      <c r="E821" s="754"/>
      <c r="F821" s="754"/>
      <c r="G821" s="189"/>
      <c r="H821" s="616" t="s">
        <v>12</v>
      </c>
      <c r="I821" s="269">
        <f ca="1">IFERROR(__xludf.DUMMYFUNCTION("IMPORTRANGE(""https://docs.google.com/spreadsheets/d/19vJNZY_5yjcGF2XGBMNZRCAIB0Kwfpjp8YEOfu-bneM/edit?usp=sharing"",""งานกองทุน!D59"")"),2807346.56)</f>
        <v>2807346.56</v>
      </c>
      <c r="J821" s="269">
        <f ca="1">IFERROR(__xludf.DUMMYFUNCTION("IMPORTRANGE(""https://docs.google.com/spreadsheets/d/19vJNZY_5yjcGF2XGBMNZRCAIB0Kwfpjp8YEOfu-bneM/edit?usp=sharing"",""งานกองทุน!F59"")"),0)</f>
        <v>0</v>
      </c>
      <c r="K821" s="496">
        <f t="shared" ref="K821:K828" ca="1" si="335">IF(I821&gt;0,J821*100/I821,0)</f>
        <v>0</v>
      </c>
      <c r="L821" s="496"/>
      <c r="M821" s="496"/>
      <c r="N821" s="496"/>
      <c r="O821" s="496"/>
      <c r="P821" s="496"/>
      <c r="Q821" s="571"/>
      <c r="R821" s="571"/>
      <c r="S821" s="571"/>
      <c r="T821" s="571"/>
      <c r="U821" s="571"/>
      <c r="V821" s="571"/>
      <c r="W821" s="571"/>
      <c r="X821" s="571"/>
      <c r="Y821" s="571"/>
      <c r="Z821" s="571"/>
    </row>
    <row r="822" spans="1:26" ht="18.75">
      <c r="A822" s="735"/>
      <c r="B822" s="754"/>
      <c r="C822" s="754"/>
      <c r="D822" s="568"/>
      <c r="E822" s="754"/>
      <c r="F822" s="754"/>
      <c r="G822" s="189"/>
      <c r="H822" s="616" t="s">
        <v>35</v>
      </c>
      <c r="I822" s="269">
        <f ca="1">IFERROR(__xludf.DUMMYFUNCTION("IMPORTRANGE(""https://docs.google.com/spreadsheets/d/19vJNZY_5yjcGF2XGBMNZRCAIB0Kwfpjp8YEOfu-bneM/edit?usp=sharing"",""งานกองทุน!C59"")"),104)</f>
        <v>104</v>
      </c>
      <c r="J822" s="269">
        <f ca="1">IFERROR(__xludf.DUMMYFUNCTION("IMPORTRANGE(""https://docs.google.com/spreadsheets/d/19vJNZY_5yjcGF2XGBMNZRCAIB0Kwfpjp8YEOfu-bneM/edit?usp=sharing"",""งานกองทุน!E59"")"),0)</f>
        <v>0</v>
      </c>
      <c r="K822" s="496">
        <f t="shared" ca="1" si="335"/>
        <v>0</v>
      </c>
      <c r="L822" s="496"/>
      <c r="M822" s="496"/>
      <c r="N822" s="496"/>
      <c r="O822" s="496"/>
      <c r="P822" s="496"/>
      <c r="Q822" s="571"/>
      <c r="R822" s="571"/>
      <c r="S822" s="571"/>
      <c r="T822" s="571"/>
      <c r="U822" s="571"/>
      <c r="V822" s="571"/>
      <c r="W822" s="571"/>
      <c r="X822" s="571"/>
      <c r="Y822" s="571"/>
      <c r="Z822" s="571"/>
    </row>
    <row r="823" spans="1:26" ht="18.75">
      <c r="A823" s="735"/>
      <c r="B823" s="754" t="s">
        <v>326</v>
      </c>
      <c r="C823" s="754"/>
      <c r="D823" s="568"/>
      <c r="E823" s="754"/>
      <c r="F823" s="754"/>
      <c r="G823" s="189"/>
      <c r="H823" s="616" t="s">
        <v>12</v>
      </c>
      <c r="I823" s="269">
        <f ca="1">IFERROR(__xludf.DUMMYFUNCTION("IMPORTRANGE(""https://docs.google.com/spreadsheets/d/19vJNZY_5yjcGF2XGBMNZRCAIB0Kwfpjp8YEOfu-bneM/edit?usp=sharing"",""งานกองทุน!I59"")"),4164475.5)</f>
        <v>4164475.5</v>
      </c>
      <c r="J823" s="269">
        <f ca="1">IFERROR(__xludf.DUMMYFUNCTION("IMPORTRANGE(""https://docs.google.com/spreadsheets/d/19vJNZY_5yjcGF2XGBMNZRCAIB0Kwfpjp8YEOfu-bneM/edit?usp=sharing"",""งานกองทุน!K59"")"),69707.08)</f>
        <v>69707.08</v>
      </c>
      <c r="K823" s="496">
        <f t="shared" ca="1" si="335"/>
        <v>1.673850164324415</v>
      </c>
      <c r="L823" s="496"/>
      <c r="M823" s="496"/>
      <c r="N823" s="496"/>
      <c r="O823" s="496"/>
      <c r="P823" s="496"/>
      <c r="Q823" s="571"/>
      <c r="R823" s="571"/>
      <c r="S823" s="571"/>
      <c r="T823" s="571"/>
      <c r="U823" s="571"/>
      <c r="V823" s="571"/>
      <c r="W823" s="571"/>
      <c r="X823" s="571"/>
      <c r="Y823" s="571"/>
      <c r="Z823" s="571"/>
    </row>
    <row r="824" spans="1:26" ht="18.75">
      <c r="A824" s="735"/>
      <c r="B824" s="754"/>
      <c r="C824" s="754"/>
      <c r="D824" s="568"/>
      <c r="E824" s="754"/>
      <c r="F824" s="754"/>
      <c r="G824" s="189"/>
      <c r="H824" s="616" t="s">
        <v>35</v>
      </c>
      <c r="I824" s="269">
        <f ca="1">IFERROR(__xludf.DUMMYFUNCTION("IMPORTRANGE(""https://docs.google.com/spreadsheets/d/19vJNZY_5yjcGF2XGBMNZRCAIB0Kwfpjp8YEOfu-bneM/edit?usp=sharing"",""งานกองทุน!H59"")"),123)</f>
        <v>123</v>
      </c>
      <c r="J824" s="269">
        <f ca="1">IFERROR(__xludf.DUMMYFUNCTION("IMPORTRANGE(""https://docs.google.com/spreadsheets/d/19vJNZY_5yjcGF2XGBMNZRCAIB0Kwfpjp8YEOfu-bneM/edit?usp=sharing"",""งานกองทุน!J59"")"),8)</f>
        <v>8</v>
      </c>
      <c r="K824" s="496">
        <f t="shared" ca="1" si="335"/>
        <v>6.5040650406504064</v>
      </c>
      <c r="L824" s="496"/>
      <c r="M824" s="496"/>
      <c r="N824" s="496"/>
      <c r="O824" s="496"/>
      <c r="P824" s="496"/>
      <c r="Q824" s="571"/>
      <c r="R824" s="571"/>
      <c r="S824" s="571"/>
      <c r="T824" s="571"/>
      <c r="U824" s="571"/>
      <c r="V824" s="571"/>
      <c r="W824" s="571"/>
      <c r="X824" s="571"/>
      <c r="Y824" s="571"/>
      <c r="Z824" s="571"/>
    </row>
    <row r="825" spans="1:26" ht="18.75">
      <c r="A825" s="735"/>
      <c r="B825" s="754" t="s">
        <v>327</v>
      </c>
      <c r="C825" s="754"/>
      <c r="D825" s="568"/>
      <c r="E825" s="754"/>
      <c r="F825" s="754"/>
      <c r="G825" s="189"/>
      <c r="H825" s="616" t="s">
        <v>12</v>
      </c>
      <c r="I825" s="269">
        <f ca="1">IFERROR(__xludf.DUMMYFUNCTION("IMPORTRANGE(""https://docs.google.com/spreadsheets/d/19vJNZY_5yjcGF2XGBMNZRCAIB0Kwfpjp8YEOfu-bneM/edit?usp=sharing"",""งานกองทุน!N59"")"),5182428.5)</f>
        <v>5182428.5</v>
      </c>
      <c r="J825" s="269">
        <f ca="1">IFERROR(__xludf.DUMMYFUNCTION("IMPORTRANGE(""https://docs.google.com/spreadsheets/d/19vJNZY_5yjcGF2XGBMNZRCAIB0Kwfpjp8YEOfu-bneM/edit?usp=sharing"",""งานกองทุน!P59"")"),223449.39)</f>
        <v>223449.39</v>
      </c>
      <c r="K825" s="496">
        <f t="shared" ca="1" si="335"/>
        <v>4.3116733786100472</v>
      </c>
      <c r="L825" s="496"/>
      <c r="M825" s="496"/>
      <c r="N825" s="496"/>
      <c r="O825" s="496"/>
      <c r="P825" s="496"/>
      <c r="Q825" s="571"/>
      <c r="R825" s="571"/>
      <c r="S825" s="571"/>
      <c r="T825" s="571"/>
      <c r="U825" s="571"/>
      <c r="V825" s="571"/>
      <c r="W825" s="571"/>
      <c r="X825" s="571"/>
      <c r="Y825" s="571"/>
      <c r="Z825" s="571"/>
    </row>
    <row r="826" spans="1:26" ht="18.75">
      <c r="A826" s="735"/>
      <c r="B826" s="754"/>
      <c r="C826" s="754"/>
      <c r="D826" s="568"/>
      <c r="E826" s="754"/>
      <c r="F826" s="754"/>
      <c r="G826" s="189"/>
      <c r="H826" s="616" t="s">
        <v>35</v>
      </c>
      <c r="I826" s="269">
        <f ca="1">IFERROR(__xludf.DUMMYFUNCTION("IMPORTRANGE(""https://docs.google.com/spreadsheets/d/19vJNZY_5yjcGF2XGBMNZRCAIB0Kwfpjp8YEOfu-bneM/edit?usp=sharing"",""งานกองทุน!M59"")"),1896)</f>
        <v>1896</v>
      </c>
      <c r="J826" s="269">
        <f ca="1">IFERROR(__xludf.DUMMYFUNCTION("IMPORTRANGE(""https://docs.google.com/spreadsheets/d/19vJNZY_5yjcGF2XGBMNZRCAIB0Kwfpjp8YEOfu-bneM/edit?usp=sharing"",""งานกองทุน!O59"")"),49)</f>
        <v>49</v>
      </c>
      <c r="K826" s="496">
        <f t="shared" ca="1" si="335"/>
        <v>2.5843881856540083</v>
      </c>
      <c r="L826" s="496"/>
      <c r="M826" s="496"/>
      <c r="N826" s="496"/>
      <c r="O826" s="496"/>
      <c r="P826" s="496"/>
      <c r="Q826" s="571"/>
      <c r="R826" s="571"/>
      <c r="S826" s="571"/>
      <c r="T826" s="571"/>
      <c r="U826" s="571"/>
      <c r="V826" s="571"/>
      <c r="W826" s="571"/>
      <c r="X826" s="571"/>
      <c r="Y826" s="571"/>
      <c r="Z826" s="571"/>
    </row>
    <row r="827" spans="1:26" ht="18.75">
      <c r="A827" s="735"/>
      <c r="B827" s="754" t="s">
        <v>328</v>
      </c>
      <c r="C827" s="754"/>
      <c r="D827" s="568"/>
      <c r="E827" s="754"/>
      <c r="F827" s="754"/>
      <c r="G827" s="189"/>
      <c r="H827" s="616" t="s">
        <v>12</v>
      </c>
      <c r="I827" s="269">
        <f ca="1">IFERROR(__xludf.DUMMYFUNCTION("IMPORTRANGE(""https://docs.google.com/spreadsheets/d/19vJNZY_5yjcGF2XGBMNZRCAIB0Kwfpjp8YEOfu-bneM/edit?usp=sharing"",""งานกองทุน!S59"")"),2810000)</f>
        <v>2810000</v>
      </c>
      <c r="J827" s="269">
        <f ca="1">IFERROR(__xludf.DUMMYFUNCTION("IMPORTRANGE(""https://docs.google.com/spreadsheets/d/19vJNZY_5yjcGF2XGBMNZRCAIB0Kwfpjp8YEOfu-bneM/edit?usp=sharing"",""งานกองทุน!U59"")"),0)</f>
        <v>0</v>
      </c>
      <c r="K827" s="496">
        <f t="shared" ca="1" si="335"/>
        <v>0</v>
      </c>
      <c r="L827" s="496"/>
      <c r="M827" s="496"/>
      <c r="N827" s="496"/>
      <c r="O827" s="496"/>
      <c r="P827" s="496"/>
      <c r="Q827" s="571"/>
      <c r="R827" s="571"/>
      <c r="S827" s="571"/>
      <c r="T827" s="571"/>
      <c r="U827" s="571"/>
      <c r="V827" s="571"/>
      <c r="W827" s="571"/>
      <c r="X827" s="571"/>
      <c r="Y827" s="571"/>
      <c r="Z827" s="571"/>
    </row>
    <row r="828" spans="1:26" ht="18.75">
      <c r="A828" s="738"/>
      <c r="B828" s="740"/>
      <c r="C828" s="740"/>
      <c r="D828" s="739"/>
      <c r="E828" s="740"/>
      <c r="F828" s="740"/>
      <c r="G828" s="818"/>
      <c r="H828" s="819" t="s">
        <v>35</v>
      </c>
      <c r="I828" s="499">
        <f ca="1">IFERROR(__xludf.DUMMYFUNCTION("IMPORTRANGE(""https://docs.google.com/spreadsheets/d/19vJNZY_5yjcGF2XGBMNZRCAIB0Kwfpjp8YEOfu-bneM/edit?usp=sharing"",""งานกองทุน!R59"")"),111)</f>
        <v>111</v>
      </c>
      <c r="J828" s="499">
        <f ca="1">IFERROR(__xludf.DUMMYFUNCTION("IMPORTRANGE(""https://docs.google.com/spreadsheets/d/19vJNZY_5yjcGF2XGBMNZRCAIB0Kwfpjp8YEOfu-bneM/edit?usp=sharing"",""งานกองทุน!T59"")"),0)</f>
        <v>0</v>
      </c>
      <c r="K828" s="500">
        <f t="shared" ca="1" si="335"/>
        <v>0</v>
      </c>
      <c r="L828" s="500"/>
      <c r="M828" s="500"/>
      <c r="N828" s="500"/>
      <c r="O828" s="500"/>
      <c r="P828" s="500"/>
      <c r="Q828" s="571"/>
      <c r="R828" s="571"/>
      <c r="S828" s="571"/>
      <c r="T828" s="571"/>
      <c r="U828" s="571"/>
      <c r="V828" s="571"/>
      <c r="W828" s="571"/>
      <c r="X828" s="571"/>
      <c r="Y828" s="571"/>
      <c r="Z828" s="571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544:F544"/>
    <mergeCell ref="A7:G7"/>
    <mergeCell ref="A17:G17"/>
    <mergeCell ref="A27:G27"/>
    <mergeCell ref="B40:G40"/>
    <mergeCell ref="A50:G50"/>
    <mergeCell ref="B51:G51"/>
    <mergeCell ref="D419:F419"/>
    <mergeCell ref="D444:F444"/>
    <mergeCell ref="D467:F467"/>
    <mergeCell ref="D502:F502"/>
    <mergeCell ref="D523:F523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 gridLines="1"/>
  <pageMargins left="0.23622047244094491" right="0.23622047244094491" top="0.74803149606299213" bottom="0.74803149606299213" header="0" footer="0"/>
  <pageSetup paperSize="9" scale="43" fitToHeight="0" pageOrder="overThenDown" orientation="portrait" cellComments="atEnd" r:id="rId1"/>
  <headerFooter>
    <oddFooter>&amp;Cหน้า &amp;P/&amp;N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078564-90EE-4AF5-B1F2-FF6300816162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activeCell="A2" sqref="A2:P2"/>
      <selection pane="bottomLeft" activeCell="A2" sqref="A2:P2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9" width="16.85546875" bestFit="1" customWidth="1"/>
    <col min="10" max="10" width="12.5703125" bestFit="1" customWidth="1"/>
    <col min="11" max="11" width="12.5703125" customWidth="1"/>
    <col min="12" max="13" width="21.28515625" bestFit="1" customWidth="1"/>
    <col min="14" max="14" width="18.7109375" bestFit="1" customWidth="1"/>
    <col min="15" max="16" width="17.5703125" customWidth="1"/>
  </cols>
  <sheetData>
    <row r="1" spans="1:26" ht="19.5">
      <c r="A1" s="844" t="s">
        <v>0</v>
      </c>
      <c r="B1" s="845"/>
      <c r="C1" s="845"/>
      <c r="D1" s="845"/>
      <c r="E1" s="845"/>
      <c r="F1" s="845"/>
      <c r="G1" s="845"/>
      <c r="H1" s="845"/>
      <c r="I1" s="845"/>
      <c r="J1" s="845"/>
      <c r="K1" s="845"/>
      <c r="L1" s="845"/>
      <c r="M1" s="845"/>
      <c r="N1" s="845"/>
      <c r="O1" s="845"/>
      <c r="P1" s="845"/>
    </row>
    <row r="2" spans="1:26" ht="19.5">
      <c r="A2" s="844" t="s">
        <v>342</v>
      </c>
      <c r="B2" s="845"/>
      <c r="C2" s="845"/>
      <c r="D2" s="845"/>
      <c r="E2" s="845"/>
      <c r="F2" s="845"/>
      <c r="G2" s="845"/>
      <c r="H2" s="845"/>
      <c r="I2" s="845"/>
      <c r="J2" s="845"/>
      <c r="K2" s="845"/>
      <c r="L2" s="845"/>
      <c r="M2" s="845"/>
      <c r="N2" s="845"/>
      <c r="O2" s="845"/>
      <c r="P2" s="845"/>
    </row>
    <row r="3" spans="1:26" ht="19.5">
      <c r="A3" s="844" t="s">
        <v>347</v>
      </c>
      <c r="B3" s="845"/>
      <c r="C3" s="845"/>
      <c r="D3" s="845"/>
      <c r="E3" s="845"/>
      <c r="F3" s="845"/>
      <c r="G3" s="845"/>
      <c r="H3" s="845"/>
      <c r="I3" s="845"/>
      <c r="J3" s="845"/>
      <c r="K3" s="845"/>
      <c r="L3" s="845"/>
      <c r="M3" s="845"/>
      <c r="N3" s="845"/>
      <c r="O3" s="845"/>
      <c r="P3" s="845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52" t="s">
        <v>2</v>
      </c>
      <c r="B5" s="845"/>
      <c r="C5" s="845"/>
      <c r="D5" s="845"/>
      <c r="E5" s="845"/>
      <c r="F5" s="845"/>
      <c r="G5" s="853"/>
      <c r="H5" s="846" t="s">
        <v>3</v>
      </c>
      <c r="I5" s="848" t="s">
        <v>4</v>
      </c>
      <c r="J5" s="849"/>
      <c r="K5" s="847"/>
      <c r="L5" s="850" t="s">
        <v>5</v>
      </c>
      <c r="M5" s="847"/>
      <c r="N5" s="851" t="s">
        <v>6</v>
      </c>
      <c r="O5" s="849"/>
      <c r="P5" s="847"/>
    </row>
    <row r="6" spans="1:26" ht="19.5">
      <c r="A6" s="854"/>
      <c r="B6" s="849"/>
      <c r="C6" s="849"/>
      <c r="D6" s="849"/>
      <c r="E6" s="849"/>
      <c r="F6" s="849"/>
      <c r="G6" s="847"/>
      <c r="H6" s="847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55" t="s">
        <v>15</v>
      </c>
      <c r="B7" s="849"/>
      <c r="C7" s="849"/>
      <c r="D7" s="849"/>
      <c r="E7" s="849"/>
      <c r="F7" s="849"/>
      <c r="G7" s="847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2154195</v>
      </c>
      <c r="M8" s="22">
        <f t="shared" ca="1" si="0"/>
        <v>1081525</v>
      </c>
      <c r="N8" s="22">
        <f t="shared" ca="1" si="0"/>
        <v>577784.76</v>
      </c>
      <c r="O8" s="22">
        <f t="shared" ref="O8:O16" ca="1" si="1">IF(L8&gt;0,N8*100/L8,0)</f>
        <v>26.821376894849351</v>
      </c>
      <c r="P8" s="22">
        <f t="shared" ref="P8:P16" ca="1" si="2">IF(M8&gt;0,N8*100/M8,0)</f>
        <v>53.423153417627887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2154195</v>
      </c>
      <c r="M10" s="30">
        <f t="shared" ca="1" si="3"/>
        <v>1081525</v>
      </c>
      <c r="N10" s="30">
        <f t="shared" ca="1" si="3"/>
        <v>577784.76</v>
      </c>
      <c r="O10" s="30">
        <f t="shared" ca="1" si="1"/>
        <v>26.821376894849351</v>
      </c>
      <c r="P10" s="30">
        <f t="shared" ca="1" si="2"/>
        <v>53.423153417627887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16" t="s">
        <v>12</v>
      </c>
      <c r="I11" s="269"/>
      <c r="J11" s="269"/>
      <c r="K11" s="496"/>
      <c r="L11" s="496">
        <f t="shared" ref="L11:N11" ca="1" si="4">L12+L13</f>
        <v>2116395</v>
      </c>
      <c r="M11" s="496">
        <f t="shared" ca="1" si="4"/>
        <v>1043725</v>
      </c>
      <c r="N11" s="496">
        <f t="shared" ca="1" si="4"/>
        <v>539984.76</v>
      </c>
      <c r="O11" s="496">
        <f t="shared" ca="1" si="1"/>
        <v>25.514365702054672</v>
      </c>
      <c r="P11" s="496">
        <f t="shared" ca="1" si="2"/>
        <v>51.73630601930585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2" t="s">
        <v>18</v>
      </c>
      <c r="F12" s="40"/>
      <c r="G12" s="42"/>
      <c r="H12" s="43" t="s">
        <v>12</v>
      </c>
      <c r="I12" s="610"/>
      <c r="J12" s="610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2" t="s">
        <v>19</v>
      </c>
      <c r="F13" s="40"/>
      <c r="G13" s="42"/>
      <c r="H13" s="43" t="s">
        <v>12</v>
      </c>
      <c r="I13" s="610"/>
      <c r="J13" s="610"/>
      <c r="K13" s="93"/>
      <c r="L13" s="93">
        <f t="shared" ca="1" si="5"/>
        <v>2116395</v>
      </c>
      <c r="M13" s="93">
        <f t="shared" ca="1" si="5"/>
        <v>1043725</v>
      </c>
      <c r="N13" s="93">
        <f t="shared" ca="1" si="5"/>
        <v>539984.76</v>
      </c>
      <c r="O13" s="93">
        <f t="shared" ca="1" si="1"/>
        <v>25.514365702054672</v>
      </c>
      <c r="P13" s="93">
        <f t="shared" ca="1" si="2"/>
        <v>51.73630601930585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16" t="s">
        <v>12</v>
      </c>
      <c r="I14" s="269"/>
      <c r="J14" s="269"/>
      <c r="K14" s="496"/>
      <c r="L14" s="496">
        <f t="shared" ref="L14:N14" ca="1" si="6">L15+L16</f>
        <v>37800</v>
      </c>
      <c r="M14" s="496">
        <f t="shared" ca="1" si="6"/>
        <v>37800</v>
      </c>
      <c r="N14" s="496">
        <f t="shared" ca="1" si="6"/>
        <v>37800</v>
      </c>
      <c r="O14" s="496">
        <f t="shared" ca="1" si="1"/>
        <v>100</v>
      </c>
      <c r="P14" s="496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2" t="s">
        <v>18</v>
      </c>
      <c r="F15" s="40"/>
      <c r="G15" s="42"/>
      <c r="H15" s="43" t="s">
        <v>12</v>
      </c>
      <c r="I15" s="610"/>
      <c r="J15" s="610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37800</v>
      </c>
      <c r="M16" s="52">
        <f t="shared" ca="1" si="7"/>
        <v>37800</v>
      </c>
      <c r="N16" s="52">
        <f t="shared" ca="1" si="7"/>
        <v>37800</v>
      </c>
      <c r="O16" s="52">
        <f t="shared" ca="1" si="1"/>
        <v>100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55" t="s">
        <v>22</v>
      </c>
      <c r="B17" s="849"/>
      <c r="C17" s="849"/>
      <c r="D17" s="849"/>
      <c r="E17" s="849"/>
      <c r="F17" s="849"/>
      <c r="G17" s="847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2029255</v>
      </c>
      <c r="M18" s="22">
        <f t="shared" ca="1" si="8"/>
        <v>1081525</v>
      </c>
      <c r="N18" s="22">
        <f t="shared" ca="1" si="8"/>
        <v>570924.76</v>
      </c>
      <c r="O18" s="22">
        <f t="shared" ref="O18:O26" ca="1" si="9">IF(L18&gt;0,N18*100/L18,0)</f>
        <v>28.134697709257832</v>
      </c>
      <c r="P18" s="22">
        <f t="shared" ref="P18:P26" ca="1" si="10">IF(M18&gt;0,N18*100/M18,0)</f>
        <v>52.788863872772239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2029255</v>
      </c>
      <c r="M20" s="30">
        <f t="shared" ca="1" si="11"/>
        <v>1081525</v>
      </c>
      <c r="N20" s="30">
        <f t="shared" ca="1" si="11"/>
        <v>570924.76</v>
      </c>
      <c r="O20" s="30">
        <f t="shared" ca="1" si="9"/>
        <v>28.134697709257832</v>
      </c>
      <c r="P20" s="30">
        <f t="shared" ca="1" si="10"/>
        <v>52.788863872772239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16" t="s">
        <v>12</v>
      </c>
      <c r="I21" s="269"/>
      <c r="J21" s="269"/>
      <c r="K21" s="496"/>
      <c r="L21" s="496">
        <f t="shared" ref="L21:N21" ca="1" si="12">L22+L23</f>
        <v>1991455</v>
      </c>
      <c r="M21" s="496">
        <f t="shared" ca="1" si="12"/>
        <v>1043725</v>
      </c>
      <c r="N21" s="496">
        <f t="shared" ca="1" si="12"/>
        <v>533124.76</v>
      </c>
      <c r="O21" s="496">
        <f t="shared" ca="1" si="9"/>
        <v>26.770615454529477</v>
      </c>
      <c r="P21" s="496">
        <f t="shared" ca="1" si="10"/>
        <v>51.079044767539344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2" t="s">
        <v>18</v>
      </c>
      <c r="F22" s="40"/>
      <c r="G22" s="42"/>
      <c r="H22" s="43" t="s">
        <v>12</v>
      </c>
      <c r="I22" s="610"/>
      <c r="J22" s="610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2" t="s">
        <v>19</v>
      </c>
      <c r="F23" s="40"/>
      <c r="G23" s="42"/>
      <c r="H23" s="43" t="s">
        <v>12</v>
      </c>
      <c r="I23" s="610"/>
      <c r="J23" s="610"/>
      <c r="K23" s="93"/>
      <c r="L23" s="93">
        <f t="shared" ca="1" si="13"/>
        <v>1991455</v>
      </c>
      <c r="M23" s="93">
        <f t="shared" ca="1" si="13"/>
        <v>1043725</v>
      </c>
      <c r="N23" s="93">
        <f t="shared" ca="1" si="13"/>
        <v>533124.76</v>
      </c>
      <c r="O23" s="93">
        <f t="shared" ca="1" si="9"/>
        <v>26.770615454529477</v>
      </c>
      <c r="P23" s="93">
        <f t="shared" ca="1" si="10"/>
        <v>51.079044767539344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16" t="s">
        <v>12</v>
      </c>
      <c r="I24" s="269"/>
      <c r="J24" s="269"/>
      <c r="K24" s="496"/>
      <c r="L24" s="496">
        <f t="shared" ref="L24:N24" ca="1" si="14">L25+L26</f>
        <v>37800</v>
      </c>
      <c r="M24" s="496">
        <f t="shared" ca="1" si="14"/>
        <v>37800</v>
      </c>
      <c r="N24" s="496">
        <f t="shared" ca="1" si="14"/>
        <v>37800</v>
      </c>
      <c r="O24" s="496">
        <f t="shared" ca="1" si="9"/>
        <v>100</v>
      </c>
      <c r="P24" s="496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2" t="s">
        <v>18</v>
      </c>
      <c r="F25" s="40"/>
      <c r="G25" s="42"/>
      <c r="H25" s="43" t="s">
        <v>12</v>
      </c>
      <c r="I25" s="610"/>
      <c r="J25" s="610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37800</v>
      </c>
      <c r="M26" s="52">
        <f t="shared" ca="1" si="15"/>
        <v>37800</v>
      </c>
      <c r="N26" s="52">
        <f t="shared" ca="1" si="15"/>
        <v>37800</v>
      </c>
      <c r="O26" s="52">
        <f t="shared" ca="1" si="9"/>
        <v>100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55" t="s">
        <v>23</v>
      </c>
      <c r="B27" s="849"/>
      <c r="C27" s="849"/>
      <c r="D27" s="849"/>
      <c r="E27" s="849"/>
      <c r="F27" s="849"/>
      <c r="G27" s="847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124940</v>
      </c>
      <c r="M28" s="22">
        <f t="shared" si="16"/>
        <v>0</v>
      </c>
      <c r="N28" s="22">
        <f t="shared" si="16"/>
        <v>6860</v>
      </c>
      <c r="O28" s="22">
        <f t="shared" ref="O28:O37" ca="1" si="17">IF(L28&gt;0,N28*100/L28,0)</f>
        <v>5.4906355050424205</v>
      </c>
      <c r="P28" s="22">
        <f t="shared" ref="P28:P37" si="18">IF(M28&gt;0,N28*100/M28,0)</f>
        <v>0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124940</v>
      </c>
      <c r="M30" s="30">
        <f t="shared" si="19"/>
        <v>0</v>
      </c>
      <c r="N30" s="30">
        <f t="shared" si="19"/>
        <v>6860</v>
      </c>
      <c r="O30" s="30">
        <f t="shared" ca="1" si="17"/>
        <v>5.4906355050424205</v>
      </c>
      <c r="P30" s="30">
        <f t="shared" si="18"/>
        <v>0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16" t="s">
        <v>12</v>
      </c>
      <c r="I31" s="269"/>
      <c r="J31" s="269"/>
      <c r="K31" s="496"/>
      <c r="L31" s="496">
        <f t="shared" ref="L31:N31" ca="1" si="20">L32+L33</f>
        <v>124940</v>
      </c>
      <c r="M31" s="496">
        <f t="shared" si="20"/>
        <v>0</v>
      </c>
      <c r="N31" s="496">
        <f t="shared" si="20"/>
        <v>6860</v>
      </c>
      <c r="O31" s="496">
        <f t="shared" ca="1" si="17"/>
        <v>5.4906355050424205</v>
      </c>
      <c r="P31" s="496">
        <f t="shared" si="18"/>
        <v>0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2" t="s">
        <v>18</v>
      </c>
      <c r="F32" s="40"/>
      <c r="G32" s="42"/>
      <c r="H32" s="43" t="s">
        <v>12</v>
      </c>
      <c r="I32" s="610"/>
      <c r="J32" s="610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2" t="s">
        <v>19</v>
      </c>
      <c r="F33" s="40"/>
      <c r="G33" s="42"/>
      <c r="H33" s="43" t="s">
        <v>12</v>
      </c>
      <c r="I33" s="610"/>
      <c r="J33" s="610"/>
      <c r="K33" s="93"/>
      <c r="L33" s="93">
        <f t="shared" ca="1" si="21"/>
        <v>124940</v>
      </c>
      <c r="M33" s="93">
        <f t="shared" si="21"/>
        <v>0</v>
      </c>
      <c r="N33" s="93">
        <f t="shared" si="21"/>
        <v>6860</v>
      </c>
      <c r="O33" s="93">
        <f t="shared" ca="1" si="17"/>
        <v>5.4906355050424205</v>
      </c>
      <c r="P33" s="93">
        <f t="shared" si="18"/>
        <v>0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16" t="s">
        <v>12</v>
      </c>
      <c r="I34" s="269"/>
      <c r="J34" s="269"/>
      <c r="K34" s="496"/>
      <c r="L34" s="496">
        <f t="shared" ref="L34:N34" ca="1" si="22">L35+L36</f>
        <v>0</v>
      </c>
      <c r="M34" s="496">
        <f t="shared" si="22"/>
        <v>0</v>
      </c>
      <c r="N34" s="496">
        <f t="shared" si="22"/>
        <v>0</v>
      </c>
      <c r="O34" s="496">
        <f t="shared" ca="1" si="17"/>
        <v>0</v>
      </c>
      <c r="P34" s="496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2" t="s">
        <v>18</v>
      </c>
      <c r="F35" s="40"/>
      <c r="G35" s="42"/>
      <c r="H35" s="43" t="s">
        <v>12</v>
      </c>
      <c r="I35" s="610"/>
      <c r="J35" s="610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53" t="s">
        <v>24</v>
      </c>
      <c r="B37" s="54"/>
      <c r="C37" s="54"/>
      <c r="D37" s="54"/>
      <c r="E37" s="54"/>
      <c r="F37" s="54"/>
      <c r="G37" s="55"/>
      <c r="H37" s="56"/>
      <c r="I37" s="423"/>
      <c r="J37" s="423"/>
      <c r="K37" s="58"/>
      <c r="L37" s="59">
        <f t="shared" ref="L37:N37" ca="1" si="24">L41+L53+L66+L88+L119+L132+L149+L165+L181+L261+L277+L298+L315+L328+L345+L389+L402</f>
        <v>2029255</v>
      </c>
      <c r="M37" s="59">
        <f t="shared" ca="1" si="24"/>
        <v>1081525</v>
      </c>
      <c r="N37" s="59">
        <f t="shared" ca="1" si="24"/>
        <v>570924.76</v>
      </c>
      <c r="O37" s="59">
        <f t="shared" ca="1" si="17"/>
        <v>28.134697709257832</v>
      </c>
      <c r="P37" s="59">
        <f t="shared" ca="1" si="18"/>
        <v>52.788863872772239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56" t="s">
        <v>27</v>
      </c>
      <c r="C40" s="857"/>
      <c r="D40" s="857"/>
      <c r="E40" s="857"/>
      <c r="F40" s="857"/>
      <c r="G40" s="858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20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293400</v>
      </c>
      <c r="M41" s="85">
        <f t="shared" ca="1" si="25"/>
        <v>158400</v>
      </c>
      <c r="N41" s="85">
        <f t="shared" ca="1" si="25"/>
        <v>78341.100000000006</v>
      </c>
      <c r="O41" s="85">
        <f t="shared" ref="O41:O49" ca="1" si="26">IF(L41&gt;0,N41*100/L41,0)</f>
        <v>26.70112474437628</v>
      </c>
      <c r="P41" s="85">
        <f t="shared" ref="P41:P49" ca="1" si="27">IF(M41&gt;0,N41*100/M41,0)</f>
        <v>49.457765151515154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293400</v>
      </c>
      <c r="M43" s="92">
        <f t="shared" ca="1" si="28"/>
        <v>158400</v>
      </c>
      <c r="N43" s="92">
        <f t="shared" ca="1" si="28"/>
        <v>78341.100000000006</v>
      </c>
      <c r="O43" s="92">
        <f t="shared" ca="1" si="26"/>
        <v>26.70112474437628</v>
      </c>
      <c r="P43" s="92">
        <f t="shared" ca="1" si="27"/>
        <v>49.457765151515154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16" t="s">
        <v>12</v>
      </c>
      <c r="I44" s="269"/>
      <c r="J44" s="269"/>
      <c r="K44" s="496"/>
      <c r="L44" s="496">
        <f t="shared" ref="L44:N44" ca="1" si="29">L45+L46</f>
        <v>293400</v>
      </c>
      <c r="M44" s="496">
        <f t="shared" ca="1" si="29"/>
        <v>158400</v>
      </c>
      <c r="N44" s="496">
        <f t="shared" ca="1" si="29"/>
        <v>78341.100000000006</v>
      </c>
      <c r="O44" s="496">
        <f t="shared" ca="1" si="26"/>
        <v>26.70112474437628</v>
      </c>
      <c r="P44" s="496">
        <f t="shared" ca="1" si="27"/>
        <v>49.457765151515154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2" t="s">
        <v>18</v>
      </c>
      <c r="F45" s="40"/>
      <c r="G45" s="42"/>
      <c r="H45" s="43" t="s">
        <v>12</v>
      </c>
      <c r="I45" s="610"/>
      <c r="J45" s="610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2" t="s">
        <v>19</v>
      </c>
      <c r="F46" s="40"/>
      <c r="G46" s="42"/>
      <c r="H46" s="43" t="s">
        <v>12</v>
      </c>
      <c r="I46" s="610"/>
      <c r="J46" s="610"/>
      <c r="K46" s="93"/>
      <c r="L46" s="93">
        <f ca="1">IFERROR(__xludf.DUMMYFUNCTION("IMPORTRANGE(""https://docs.google.com/spreadsheets/d/1MeEWN-I1oV_STSDYn1IFDPWt_1FKiwhDph83XaGc0o0/edit?usp=sharing"",""งบพรบ!M60"")"),293400)</f>
        <v>293400</v>
      </c>
      <c r="M46" s="93">
        <f ca="1">IFERROR(__xludf.DUMMYFUNCTION("IMPORTRANGE(""https://docs.google.com/spreadsheets/d/1MeEWN-I1oV_STSDYn1IFDPWt_1FKiwhDph83XaGc0o0/edit?usp=sharing"",""งบพรบ!R60"")"),158400)</f>
        <v>158400</v>
      </c>
      <c r="N46" s="93">
        <f ca="1">IFERROR(__xludf.DUMMYFUNCTION("IMPORTRANGE(""https://docs.google.com/spreadsheets/d/1MeEWN-I1oV_STSDYn1IFDPWt_1FKiwhDph83XaGc0o0/edit?usp=sharing"",""งบพรบ!T60"")"),78341.1)</f>
        <v>78341.100000000006</v>
      </c>
      <c r="O46" s="93">
        <f t="shared" ca="1" si="26"/>
        <v>26.70112474437628</v>
      </c>
      <c r="P46" s="93">
        <f t="shared" ca="1" si="27"/>
        <v>49.457765151515154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16" t="s">
        <v>12</v>
      </c>
      <c r="I47" s="269"/>
      <c r="J47" s="269"/>
      <c r="K47" s="496"/>
      <c r="L47" s="496">
        <f t="shared" ref="L47:N47" ca="1" si="30">L48+L49</f>
        <v>0</v>
      </c>
      <c r="M47" s="496">
        <f t="shared" ca="1" si="30"/>
        <v>0</v>
      </c>
      <c r="N47" s="496">
        <f t="shared" ca="1" si="30"/>
        <v>0</v>
      </c>
      <c r="O47" s="496">
        <f t="shared" ca="1" si="26"/>
        <v>0</v>
      </c>
      <c r="P47" s="496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2" t="s">
        <v>18</v>
      </c>
      <c r="F48" s="40"/>
      <c r="G48" s="42"/>
      <c r="H48" s="43" t="s">
        <v>12</v>
      </c>
      <c r="I48" s="610"/>
      <c r="J48" s="610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IFERROR(__xludf.DUMMYFUNCTION("IMPORTRANGE(""https://docs.google.com/spreadsheets/d/1MeEWN-I1oV_STSDYn1IFDPWt_1FKiwhDph83XaGc0o0/edit?usp=sharing"",""งบพรบ!P60"")"),0)</f>
        <v>0</v>
      </c>
      <c r="M49" s="52">
        <f ca="1">IFERROR(__xludf.DUMMYFUNCTION("IMPORTRANGE(""https://docs.google.com/spreadsheets/d/1MeEWN-I1oV_STSDYn1IFDPWt_1FKiwhDph83XaGc0o0/edit?usp=sharing"",""งบพรบ!S60"")"),0)</f>
        <v>0</v>
      </c>
      <c r="N49" s="52">
        <f ca="1">IFERROR(__xludf.DUMMYFUNCTION("IMPORTRANGE(""https://docs.google.com/spreadsheets/d/1MeEWN-I1oV_STSDYn1IFDPWt_1FKiwhDph83XaGc0o0/edit?usp=sharing"",""งบพรบ!U60"")"),0)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59" t="s">
        <v>28</v>
      </c>
      <c r="B50" s="849"/>
      <c r="C50" s="849"/>
      <c r="D50" s="849"/>
      <c r="E50" s="849"/>
      <c r="F50" s="849"/>
      <c r="G50" s="847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60" t="s">
        <v>29</v>
      </c>
      <c r="C51" s="857"/>
      <c r="D51" s="857"/>
      <c r="E51" s="857"/>
      <c r="F51" s="857"/>
      <c r="G51" s="858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21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566800</v>
      </c>
      <c r="M53" s="116">
        <f t="shared" ca="1" si="31"/>
        <v>340020</v>
      </c>
      <c r="N53" s="116">
        <f t="shared" ca="1" si="31"/>
        <v>226742.32</v>
      </c>
      <c r="O53" s="116">
        <f t="shared" ref="O53:O61" ca="1" si="32">IF(L53&gt;0,N53*100/L53,0)</f>
        <v>40.003937896965418</v>
      </c>
      <c r="P53" s="116">
        <f t="shared" ref="P53:P61" ca="1" si="33">IF(M53&gt;0,N53*100/M53,0)</f>
        <v>66.684995000294094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566800</v>
      </c>
      <c r="M55" s="123">
        <f t="shared" ca="1" si="34"/>
        <v>340020</v>
      </c>
      <c r="N55" s="123">
        <f t="shared" ca="1" si="34"/>
        <v>226742.32</v>
      </c>
      <c r="O55" s="123">
        <f t="shared" ca="1" si="32"/>
        <v>40.003937896965418</v>
      </c>
      <c r="P55" s="123">
        <f t="shared" ca="1" si="33"/>
        <v>66.684995000294094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16" t="s">
        <v>12</v>
      </c>
      <c r="I56" s="269"/>
      <c r="J56" s="269"/>
      <c r="K56" s="496"/>
      <c r="L56" s="496">
        <f t="shared" ref="L56:N56" ca="1" si="35">L57+L58</f>
        <v>566800</v>
      </c>
      <c r="M56" s="496">
        <f t="shared" ca="1" si="35"/>
        <v>340020</v>
      </c>
      <c r="N56" s="496">
        <f t="shared" ca="1" si="35"/>
        <v>226742.32</v>
      </c>
      <c r="O56" s="496">
        <f t="shared" ca="1" si="32"/>
        <v>40.003937896965418</v>
      </c>
      <c r="P56" s="496">
        <f t="shared" ca="1" si="33"/>
        <v>66.684995000294094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2" t="s">
        <v>18</v>
      </c>
      <c r="F57" s="40"/>
      <c r="G57" s="42"/>
      <c r="H57" s="43" t="s">
        <v>12</v>
      </c>
      <c r="I57" s="610"/>
      <c r="J57" s="610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2" t="s">
        <v>19</v>
      </c>
      <c r="F58" s="40"/>
      <c r="G58" s="42"/>
      <c r="H58" s="43" t="s">
        <v>12</v>
      </c>
      <c r="I58" s="610"/>
      <c r="J58" s="610"/>
      <c r="K58" s="93"/>
      <c r="L58" s="93">
        <f ca="1">IFERROR(__xludf.DUMMYFUNCTION("IMPORTRANGE(""https://docs.google.com/spreadsheets/d/1MeEWN-I1oV_STSDYn1IFDPWt_1FKiwhDph83XaGc0o0/edit?usp=sharing"",""งบพรบ!W60"")"),566800)</f>
        <v>566800</v>
      </c>
      <c r="M58" s="93">
        <f ca="1">IFERROR(__xludf.DUMMYFUNCTION("IMPORTRANGE(""https://docs.google.com/spreadsheets/d/1MeEWN-I1oV_STSDYn1IFDPWt_1FKiwhDph83XaGc0o0/edit?usp=sharing"",""งบพรบ!AB60"")"),340020)</f>
        <v>340020</v>
      </c>
      <c r="N58" s="93">
        <f ca="1">IFERROR(__xludf.DUMMYFUNCTION("IMPORTRANGE(""https://docs.google.com/spreadsheets/d/1MeEWN-I1oV_STSDYn1IFDPWt_1FKiwhDph83XaGc0o0/edit?usp=sharing"",""งบพรบ!AD60"")"),226742.32)</f>
        <v>226742.32</v>
      </c>
      <c r="O58" s="93">
        <f t="shared" ca="1" si="32"/>
        <v>40.003937896965418</v>
      </c>
      <c r="P58" s="93">
        <f t="shared" ca="1" si="33"/>
        <v>66.684995000294094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16" t="s">
        <v>12</v>
      </c>
      <c r="I59" s="269"/>
      <c r="J59" s="269"/>
      <c r="K59" s="496"/>
      <c r="L59" s="496">
        <f t="shared" ref="L59:N59" ca="1" si="36">L60+L61</f>
        <v>0</v>
      </c>
      <c r="M59" s="496">
        <f t="shared" ca="1" si="36"/>
        <v>0</v>
      </c>
      <c r="N59" s="496">
        <f t="shared" ca="1" si="36"/>
        <v>0</v>
      </c>
      <c r="O59" s="496">
        <f t="shared" ca="1" si="32"/>
        <v>0</v>
      </c>
      <c r="P59" s="496">
        <f t="shared" ca="1" si="33"/>
        <v>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2" t="s">
        <v>18</v>
      </c>
      <c r="F60" s="40"/>
      <c r="G60" s="42"/>
      <c r="H60" s="43" t="s">
        <v>12</v>
      </c>
      <c r="I60" s="610"/>
      <c r="J60" s="610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IFERROR(__xludf.DUMMYFUNCTION("IMPORTRANGE(""https://docs.google.com/spreadsheets/d/1MeEWN-I1oV_STSDYn1IFDPWt_1FKiwhDph83XaGc0o0/edit?usp=sharing"",""งบพรบ!Z60"")"),0)</f>
        <v>0</v>
      </c>
      <c r="M61" s="52">
        <f ca="1">IFERROR(__xludf.DUMMYFUNCTION("IMPORTRANGE(""https://docs.google.com/spreadsheets/d/1MeEWN-I1oV_STSDYn1IFDPWt_1FKiwhDph83XaGc0o0/edit?usp=sharing"",""งบพรบ!AC60"")"),0)</f>
        <v>0</v>
      </c>
      <c r="N61" s="52">
        <f ca="1">IFERROR(__xludf.DUMMYFUNCTION("IMPORTRANGE(""https://docs.google.com/spreadsheets/d/1MeEWN-I1oV_STSDYn1IFDPWt_1FKiwhDph83XaGc0o0/edit?usp=sharing"",""งบพรบ!AE60"")"),0)</f>
        <v>0</v>
      </c>
      <c r="O61" s="52">
        <f t="shared" ca="1" si="32"/>
        <v>0</v>
      </c>
      <c r="P61" s="52">
        <f t="shared" ca="1" si="33"/>
        <v>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 hidden="1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 hidden="1">
      <c r="A64" s="138"/>
      <c r="B64" s="208" t="s">
        <v>33</v>
      </c>
      <c r="C64" s="140"/>
      <c r="D64" s="141"/>
      <c r="E64" s="140"/>
      <c r="F64" s="140"/>
      <c r="G64" s="142"/>
      <c r="H64" s="143" t="s">
        <v>34</v>
      </c>
      <c r="I64" s="144">
        <f t="shared" ref="I64:J65" ca="1" si="37">I76</f>
        <v>0</v>
      </c>
      <c r="J64" s="144">
        <f t="shared" si="37"/>
        <v>0</v>
      </c>
      <c r="K64" s="145">
        <f t="shared" ref="K64:K65" ca="1" si="38">IF(I64&gt;0,J64*100/I64,0)</f>
        <v>0</v>
      </c>
      <c r="L64" s="146"/>
      <c r="M64" s="146"/>
      <c r="N64" s="146"/>
      <c r="O64" s="146"/>
      <c r="P64" s="146"/>
    </row>
    <row r="65" spans="1:26" ht="19.5" hidden="1">
      <c r="A65" s="138"/>
      <c r="B65" s="140"/>
      <c r="C65" s="140"/>
      <c r="D65" s="141"/>
      <c r="E65" s="140"/>
      <c r="F65" s="140"/>
      <c r="G65" s="142"/>
      <c r="H65" s="143" t="s">
        <v>35</v>
      </c>
      <c r="I65" s="144">
        <f t="shared" ca="1" si="37"/>
        <v>0</v>
      </c>
      <c r="J65" s="144">
        <f t="shared" si="37"/>
        <v>0</v>
      </c>
      <c r="K65" s="145">
        <f t="shared" ca="1" si="38"/>
        <v>0</v>
      </c>
      <c r="L65" s="146"/>
      <c r="M65" s="146"/>
      <c r="N65" s="146"/>
      <c r="O65" s="146"/>
      <c r="P65" s="146"/>
    </row>
    <row r="66" spans="1:26" ht="19.5" hidden="1">
      <c r="A66" s="147"/>
      <c r="B66" s="148"/>
      <c r="C66" s="149" t="s">
        <v>16</v>
      </c>
      <c r="D66" s="822" t="s">
        <v>17</v>
      </c>
      <c r="E66" s="148"/>
      <c r="F66" s="148"/>
      <c r="G66" s="151"/>
      <c r="H66" s="152" t="s">
        <v>12</v>
      </c>
      <c r="I66" s="419"/>
      <c r="J66" s="419"/>
      <c r="K66" s="154"/>
      <c r="L66" s="155">
        <f t="shared" ref="L66:N66" ca="1" si="39">L67+L68</f>
        <v>0</v>
      </c>
      <c r="M66" s="155">
        <f t="shared" ca="1" si="39"/>
        <v>0</v>
      </c>
      <c r="N66" s="155">
        <f t="shared" ca="1" si="39"/>
        <v>0</v>
      </c>
      <c r="O66" s="155">
        <f t="shared" ref="O66:O74" ca="1" si="40">IF(L66&gt;0,N66*100/L66,0)</f>
        <v>0</v>
      </c>
      <c r="P66" s="155">
        <f t="shared" ref="P66:P74" ca="1" si="41">IF(M66&gt;0,N66*100/M66,0)</f>
        <v>0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2" t="s">
        <v>18</v>
      </c>
      <c r="F67" s="40"/>
      <c r="G67" s="157"/>
      <c r="H67" s="158" t="s">
        <v>12</v>
      </c>
      <c r="I67" s="610"/>
      <c r="J67" s="610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2" t="s">
        <v>19</v>
      </c>
      <c r="F68" s="40"/>
      <c r="G68" s="157"/>
      <c r="H68" s="158" t="s">
        <v>12</v>
      </c>
      <c r="I68" s="610"/>
      <c r="J68" s="610"/>
      <c r="K68" s="93"/>
      <c r="L68" s="93">
        <f t="shared" ca="1" si="42"/>
        <v>0</v>
      </c>
      <c r="M68" s="93">
        <f t="shared" ca="1" si="42"/>
        <v>0</v>
      </c>
      <c r="N68" s="93">
        <f t="shared" ca="1" si="42"/>
        <v>0</v>
      </c>
      <c r="O68" s="93">
        <f t="shared" ca="1" si="40"/>
        <v>0</v>
      </c>
      <c r="P68" s="93">
        <f t="shared" ca="1" si="41"/>
        <v>0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 hidden="1">
      <c r="A69" s="159"/>
      <c r="B69" s="33"/>
      <c r="C69" s="281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6">
        <f t="shared" ref="L69:N69" ca="1" si="43">L70+L71</f>
        <v>0</v>
      </c>
      <c r="M69" s="496">
        <f t="shared" ca="1" si="43"/>
        <v>0</v>
      </c>
      <c r="N69" s="496">
        <f t="shared" ca="1" si="43"/>
        <v>0</v>
      </c>
      <c r="O69" s="496">
        <f t="shared" ca="1" si="40"/>
        <v>0</v>
      </c>
      <c r="P69" s="496">
        <f t="shared" ca="1" si="41"/>
        <v>0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2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2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IFERROR(__xludf.DUMMYFUNCTION("IMPORTRANGE(""https://docs.google.com/spreadsheets/d/1MeEWN-I1oV_STSDYn1IFDPWt_1FKiwhDph83XaGc0o0/edit?usp=sharing"",""งบพรบ!AG60"")"),0)</f>
        <v>0</v>
      </c>
      <c r="M71" s="93">
        <f ca="1">IFERROR(__xludf.DUMMYFUNCTION("IMPORTRANGE(""https://docs.google.com/spreadsheets/d/1MeEWN-I1oV_STSDYn1IFDPWt_1FKiwhDph83XaGc0o0/edit?usp=sharing"",""งบพรบ!AL60"")"),0)</f>
        <v>0</v>
      </c>
      <c r="N71" s="93">
        <f ca="1">IFERROR(__xludf.DUMMYFUNCTION("IMPORTRANGE(""https://docs.google.com/spreadsheets/d/1MeEWN-I1oV_STSDYn1IFDPWt_1FKiwhDph83XaGc0o0/edit?usp=sharing"",""งบพรบ!AN60"")"),0)</f>
        <v>0</v>
      </c>
      <c r="O71" s="93">
        <f t="shared" ca="1" si="40"/>
        <v>0</v>
      </c>
      <c r="P71" s="93">
        <f t="shared" ca="1" si="41"/>
        <v>0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 hidden="1">
      <c r="A72" s="159"/>
      <c r="B72" s="33"/>
      <c r="C72" s="281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6">
        <f t="shared" ref="L72:N72" ca="1" si="44">L73+L74</f>
        <v>0</v>
      </c>
      <c r="M72" s="496">
        <f t="shared" ca="1" si="44"/>
        <v>0</v>
      </c>
      <c r="N72" s="496">
        <f t="shared" ca="1" si="44"/>
        <v>0</v>
      </c>
      <c r="O72" s="496">
        <f t="shared" ca="1" si="40"/>
        <v>0</v>
      </c>
      <c r="P72" s="496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2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2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IFERROR(__xludf.DUMMYFUNCTION("IMPORTRANGE(""https://docs.google.com/spreadsheets/d/1MeEWN-I1oV_STSDYn1IFDPWt_1FKiwhDph83XaGc0o0/edit?usp=sharing"",""งบพรบ!AJ60"")"),0)</f>
        <v>0</v>
      </c>
      <c r="M74" s="93">
        <f ca="1">IFERROR(__xludf.DUMMYFUNCTION("IMPORTRANGE(""https://docs.google.com/spreadsheets/d/1MeEWN-I1oV_STSDYn1IFDPWt_1FKiwhDph83XaGc0o0/edit?usp=sharing"",""งบพรบ!AM60"")"),0)</f>
        <v>0</v>
      </c>
      <c r="N74" s="93">
        <f ca="1">IFERROR(__xludf.DUMMYFUNCTION("IMPORTRANGE(""https://docs.google.com/spreadsheets/d/1MeEWN-I1oV_STSDYn1IFDPWt_1FKiwhDph83XaGc0o0/edit?usp=sharing"",""งบพรบ!AO60"")"),0)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 hidden="1">
      <c r="A75" s="170"/>
      <c r="B75" s="171"/>
      <c r="C75" s="164" t="s">
        <v>16</v>
      </c>
      <c r="D75" s="823" t="s">
        <v>38</v>
      </c>
      <c r="E75" s="173"/>
      <c r="F75" s="173"/>
      <c r="G75" s="174"/>
      <c r="H75" s="753"/>
      <c r="I75" s="184"/>
      <c r="J75" s="184"/>
      <c r="K75" s="163"/>
      <c r="L75" s="163"/>
      <c r="M75" s="163"/>
      <c r="N75" s="163"/>
      <c r="O75" s="163"/>
      <c r="P75" s="163"/>
    </row>
    <row r="76" spans="1:26" ht="19.5" hidden="1">
      <c r="A76" s="170"/>
      <c r="B76" s="171"/>
      <c r="C76" s="171"/>
      <c r="D76" s="176" t="s">
        <v>39</v>
      </c>
      <c r="E76" s="446"/>
      <c r="F76" s="178"/>
      <c r="G76" s="179"/>
      <c r="H76" s="180" t="s">
        <v>34</v>
      </c>
      <c r="I76" s="269">
        <f t="shared" ref="I76:J77" ca="1" si="45">I78+I80+I82</f>
        <v>0</v>
      </c>
      <c r="J76" s="269">
        <f t="shared" si="45"/>
        <v>0</v>
      </c>
      <c r="K76" s="163">
        <f t="shared" ref="K76:K84" ca="1" si="46">IF(I76&gt;0,J76*100/I76,0)</f>
        <v>0</v>
      </c>
      <c r="L76" s="163"/>
      <c r="M76" s="163"/>
      <c r="N76" s="163"/>
      <c r="O76" s="163"/>
      <c r="P76" s="163"/>
    </row>
    <row r="77" spans="1:26" ht="19.5" hidden="1">
      <c r="A77" s="170"/>
      <c r="B77" s="171"/>
      <c r="C77" s="171"/>
      <c r="D77" s="171"/>
      <c r="E77" s="178"/>
      <c r="F77" s="178"/>
      <c r="G77" s="179"/>
      <c r="H77" s="180" t="s">
        <v>35</v>
      </c>
      <c r="I77" s="269">
        <f t="shared" ca="1" si="45"/>
        <v>0</v>
      </c>
      <c r="J77" s="269">
        <f t="shared" si="45"/>
        <v>0</v>
      </c>
      <c r="K77" s="163">
        <f t="shared" ca="1" si="46"/>
        <v>0</v>
      </c>
      <c r="L77" s="163"/>
      <c r="M77" s="163"/>
      <c r="N77" s="163"/>
      <c r="O77" s="163"/>
      <c r="P77" s="163"/>
    </row>
    <row r="78" spans="1:26" ht="18.75" hidden="1">
      <c r="A78" s="170"/>
      <c r="B78" s="171"/>
      <c r="C78" s="171"/>
      <c r="D78" s="171"/>
      <c r="E78" s="446" t="s">
        <v>40</v>
      </c>
      <c r="F78" s="446"/>
      <c r="G78" s="179"/>
      <c r="H78" s="755" t="s">
        <v>34</v>
      </c>
      <c r="I78" s="184">
        <f ca="1">IFERROR(__xludf.DUMMYFUNCTION("IMPORTRANGE(""https://docs.google.com/spreadsheets/d/1QqKyyYR6Q21VydFLVH3TRQUabQu_ym0Zz7PgGX0-kHA/edit?usp=sharing"",""แผน!H60"")"),0)</f>
        <v>0</v>
      </c>
      <c r="J78" s="214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 hidden="1">
      <c r="A79" s="170"/>
      <c r="B79" s="171"/>
      <c r="C79" s="171"/>
      <c r="D79" s="171"/>
      <c r="E79" s="178"/>
      <c r="F79" s="178"/>
      <c r="G79" s="179"/>
      <c r="H79" s="755" t="s">
        <v>35</v>
      </c>
      <c r="I79" s="184">
        <f ca="1">IFERROR(__xludf.DUMMYFUNCTION("IMPORTRANGE(""https://docs.google.com/spreadsheets/d/1QqKyyYR6Q21VydFLVH3TRQUabQu_ym0Zz7PgGX0-kHA/edit?usp=sharing"",""แผน!I60"")"),0)</f>
        <v>0</v>
      </c>
      <c r="J79" s="214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 hidden="1">
      <c r="A80" s="170"/>
      <c r="B80" s="171"/>
      <c r="C80" s="171"/>
      <c r="D80" s="171"/>
      <c r="E80" s="446" t="s">
        <v>41</v>
      </c>
      <c r="F80" s="446"/>
      <c r="G80" s="179"/>
      <c r="H80" s="755" t="s">
        <v>34</v>
      </c>
      <c r="I80" s="184">
        <f ca="1">IFERROR(__xludf.DUMMYFUNCTION("IMPORTRANGE(""https://docs.google.com/spreadsheets/d/1QqKyyYR6Q21VydFLVH3TRQUabQu_ym0Zz7PgGX0-kHA/edit?usp=sharing"",""แผน!F60"")"),0)</f>
        <v>0</v>
      </c>
      <c r="J80" s="214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 hidden="1">
      <c r="A81" s="170"/>
      <c r="B81" s="171"/>
      <c r="C81" s="171"/>
      <c r="D81" s="171"/>
      <c r="E81" s="178"/>
      <c r="F81" s="178"/>
      <c r="G81" s="179"/>
      <c r="H81" s="755" t="s">
        <v>35</v>
      </c>
      <c r="I81" s="184">
        <f ca="1">IFERROR(__xludf.DUMMYFUNCTION("IMPORTRANGE(""https://docs.google.com/spreadsheets/d/1QqKyyYR6Q21VydFLVH3TRQUabQu_ym0Zz7PgGX0-kHA/edit?usp=sharing"",""แผน!G60"")"),0)</f>
        <v>0</v>
      </c>
      <c r="J81" s="214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 hidden="1">
      <c r="A82" s="170"/>
      <c r="B82" s="171"/>
      <c r="C82" s="171"/>
      <c r="D82" s="171"/>
      <c r="E82" s="446" t="s">
        <v>42</v>
      </c>
      <c r="F82" s="446"/>
      <c r="G82" s="179"/>
      <c r="H82" s="755" t="s">
        <v>34</v>
      </c>
      <c r="I82" s="184">
        <f ca="1">IFERROR(__xludf.DUMMYFUNCTION("IMPORTRANGE(""https://docs.google.com/spreadsheets/d/1QqKyyYR6Q21VydFLVH3TRQUabQu_ym0Zz7PgGX0-kHA/edit?usp=sharing"",""แผน!D60"")"),0)</f>
        <v>0</v>
      </c>
      <c r="J82" s="214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 hidden="1">
      <c r="A83" s="170"/>
      <c r="B83" s="171"/>
      <c r="C83" s="171"/>
      <c r="D83" s="171"/>
      <c r="E83" s="178"/>
      <c r="F83" s="178"/>
      <c r="G83" s="179"/>
      <c r="H83" s="755" t="s">
        <v>35</v>
      </c>
      <c r="I83" s="184">
        <f ca="1">IFERROR(__xludf.DUMMYFUNCTION("IMPORTRANGE(""https://docs.google.com/spreadsheets/d/1QqKyyYR6Q21VydFLVH3TRQUabQu_ym0Zz7PgGX0-kHA/edit?usp=sharing"",""แผน!E60"")"),0)</f>
        <v>0</v>
      </c>
      <c r="J83" s="214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 hidden="1">
      <c r="A84" s="170"/>
      <c r="B84" s="171"/>
      <c r="C84" s="171"/>
      <c r="D84" s="176" t="s">
        <v>43</v>
      </c>
      <c r="E84" s="446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IFERROR(__xludf.DUMMYFUNCTION("IMPORTRANGE(""https://docs.google.com/spreadsheets/d/1QqKyyYR6Q21VydFLVH3TRQUabQu_ym0Zz7PgGX0-kHA/edit?usp=sharing"",""แผน!J60"")"),0)</f>
        <v>0</v>
      </c>
      <c r="J84" s="214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8" t="s">
        <v>45</v>
      </c>
      <c r="C86" s="140"/>
      <c r="D86" s="141"/>
      <c r="E86" s="140"/>
      <c r="F86" s="140"/>
      <c r="G86" s="142"/>
      <c r="H86" s="143" t="s">
        <v>46</v>
      </c>
      <c r="I86" s="144">
        <f t="shared" ref="I86:J87" ca="1" si="47">I98</f>
        <v>30</v>
      </c>
      <c r="J86" s="144">
        <f t="shared" si="47"/>
        <v>30</v>
      </c>
      <c r="K86" s="145">
        <f t="shared" ref="K86:K87" ca="1" si="48">IF(I86&gt;0,J86*100/I86,0)</f>
        <v>100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143" t="s">
        <v>35</v>
      </c>
      <c r="I87" s="144">
        <f t="shared" ca="1" si="47"/>
        <v>10</v>
      </c>
      <c r="J87" s="144">
        <f t="shared" si="47"/>
        <v>10</v>
      </c>
      <c r="K87" s="145">
        <f t="shared" ca="1" si="48"/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22" t="s">
        <v>17</v>
      </c>
      <c r="E88" s="148"/>
      <c r="F88" s="148"/>
      <c r="G88" s="151"/>
      <c r="H88" s="152" t="s">
        <v>12</v>
      </c>
      <c r="I88" s="419"/>
      <c r="J88" s="419"/>
      <c r="K88" s="154"/>
      <c r="L88" s="155">
        <f t="shared" ref="L88:N88" ca="1" si="49">L89+L90</f>
        <v>199040</v>
      </c>
      <c r="M88" s="155">
        <f t="shared" ca="1" si="49"/>
        <v>86840</v>
      </c>
      <c r="N88" s="155">
        <f t="shared" ca="1" si="49"/>
        <v>46085</v>
      </c>
      <c r="O88" s="155">
        <f t="shared" ref="O88:O96" ca="1" si="50">IF(L88&gt;0,N88*100/L88,0)</f>
        <v>23.153637459807072</v>
      </c>
      <c r="P88" s="155">
        <f t="shared" ref="P88:P96" ca="1" si="51">IF(M88&gt;0,N88*100/M88,0)</f>
        <v>53.068862275449099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2" t="s">
        <v>18</v>
      </c>
      <c r="F89" s="40"/>
      <c r="G89" s="157"/>
      <c r="H89" s="158" t="s">
        <v>12</v>
      </c>
      <c r="I89" s="610"/>
      <c r="J89" s="610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2" t="s">
        <v>19</v>
      </c>
      <c r="F90" s="40"/>
      <c r="G90" s="157"/>
      <c r="H90" s="158" t="s">
        <v>12</v>
      </c>
      <c r="I90" s="610"/>
      <c r="J90" s="610"/>
      <c r="K90" s="93"/>
      <c r="L90" s="93">
        <f t="shared" ca="1" si="52"/>
        <v>199040</v>
      </c>
      <c r="M90" s="93">
        <f t="shared" ca="1" si="52"/>
        <v>86840</v>
      </c>
      <c r="N90" s="93">
        <f t="shared" ca="1" si="52"/>
        <v>46085</v>
      </c>
      <c r="O90" s="93">
        <f t="shared" ca="1" si="50"/>
        <v>23.153637459807072</v>
      </c>
      <c r="P90" s="93">
        <f t="shared" ca="1" si="51"/>
        <v>53.068862275449099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1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6">
        <f t="shared" ref="L91:N91" ca="1" si="53">L92+L93</f>
        <v>199040</v>
      </c>
      <c r="M91" s="496">
        <f t="shared" ca="1" si="53"/>
        <v>86840</v>
      </c>
      <c r="N91" s="496">
        <f t="shared" ca="1" si="53"/>
        <v>46085</v>
      </c>
      <c r="O91" s="496">
        <f t="shared" ca="1" si="50"/>
        <v>23.153637459807072</v>
      </c>
      <c r="P91" s="496">
        <f t="shared" ca="1" si="51"/>
        <v>53.068862275449099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2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2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IFERROR(__xludf.DUMMYFUNCTION("IMPORTRANGE(""https://docs.google.com/spreadsheets/d/1MeEWN-I1oV_STSDYn1IFDPWt_1FKiwhDph83XaGc0o0/edit?usp=sharing"",""งบพรบ!AQ60"")"),199040)</f>
        <v>199040</v>
      </c>
      <c r="M93" s="93">
        <f ca="1">IFERROR(__xludf.DUMMYFUNCTION("IMPORTRANGE(""https://docs.google.com/spreadsheets/d/1MeEWN-I1oV_STSDYn1IFDPWt_1FKiwhDph83XaGc0o0/edit?usp=sharing"",""งบพรบ!AV60"")"),86840)</f>
        <v>86840</v>
      </c>
      <c r="N93" s="93">
        <f ca="1">IFERROR(__xludf.DUMMYFUNCTION("IMPORTRANGE(""https://docs.google.com/spreadsheets/d/1MeEWN-I1oV_STSDYn1IFDPWt_1FKiwhDph83XaGc0o0/edit?usp=sharing"",""งบพรบ!AX60"")"),46085)</f>
        <v>46085</v>
      </c>
      <c r="O93" s="93">
        <f t="shared" ca="1" si="50"/>
        <v>23.153637459807072</v>
      </c>
      <c r="P93" s="93">
        <f t="shared" ca="1" si="51"/>
        <v>53.068862275449099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1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6">
        <f t="shared" ref="L94:N94" ca="1" si="54">L95+L96</f>
        <v>0</v>
      </c>
      <c r="M94" s="496">
        <f t="shared" ca="1" si="54"/>
        <v>0</v>
      </c>
      <c r="N94" s="496">
        <f t="shared" ca="1" si="54"/>
        <v>0</v>
      </c>
      <c r="O94" s="496">
        <f t="shared" ca="1" si="50"/>
        <v>0</v>
      </c>
      <c r="P94" s="496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2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2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IFERROR(__xludf.DUMMYFUNCTION("IMPORTRANGE(""https://docs.google.com/spreadsheets/d/1MeEWN-I1oV_STSDYn1IFDPWt_1FKiwhDph83XaGc0o0/edit?usp=sharing"",""งบพรบ!AT60"")"),0)</f>
        <v>0</v>
      </c>
      <c r="M96" s="93">
        <f ca="1">IFERROR(__xludf.DUMMYFUNCTION("IMPORTRANGE(""https://docs.google.com/spreadsheets/d/1MeEWN-I1oV_STSDYn1IFDPWt_1FKiwhDph83XaGc0o0/edit?usp=sharing"",""งบพรบ!AW60"")"),0)</f>
        <v>0</v>
      </c>
      <c r="N96" s="93">
        <f ca="1">IFERROR(__xludf.DUMMYFUNCTION("IMPORTRANGE(""https://docs.google.com/spreadsheets/d/1MeEWN-I1oV_STSDYn1IFDPWt_1FKiwhDph83XaGc0o0/edit?usp=sharing"",""งบพรบ!AY60"")"),0)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23" t="s">
        <v>38</v>
      </c>
      <c r="E97" s="173"/>
      <c r="F97" s="173"/>
      <c r="G97" s="174"/>
      <c r="H97" s="753"/>
      <c r="I97" s="184"/>
      <c r="J97" s="269"/>
      <c r="K97" s="496"/>
      <c r="L97" s="496"/>
      <c r="M97" s="496"/>
      <c r="N97" s="496"/>
      <c r="O97" s="163"/>
      <c r="P97" s="163"/>
    </row>
    <row r="98" spans="1:16" ht="18.75">
      <c r="A98" s="170"/>
      <c r="B98" s="171"/>
      <c r="C98" s="171"/>
      <c r="D98" s="446" t="s">
        <v>47</v>
      </c>
      <c r="E98" s="446"/>
      <c r="F98" s="178"/>
      <c r="G98" s="179"/>
      <c r="H98" s="616" t="s">
        <v>46</v>
      </c>
      <c r="I98" s="269">
        <f ca="1">IFERROR(__xludf.DUMMYFUNCTION("IMPORTRANGE(""https://docs.google.com/spreadsheets/d/1QqKyyYR6Q21VydFLVH3TRQUabQu_ym0Zz7PgGX0-kHA/edit?usp=sharing"",""แผน!K60"")"),30)</f>
        <v>30</v>
      </c>
      <c r="J98" s="269">
        <f>J102</f>
        <v>30</v>
      </c>
      <c r="K98" s="496">
        <f t="shared" ref="K98:K100" ca="1" si="55">IF(I98&gt;0,J98*100/I98,0)</f>
        <v>100</v>
      </c>
      <c r="L98" s="496"/>
      <c r="M98" s="496"/>
      <c r="N98" s="496"/>
      <c r="O98" s="163"/>
      <c r="P98" s="163"/>
    </row>
    <row r="99" spans="1:16" ht="18.75">
      <c r="A99" s="170"/>
      <c r="B99" s="171"/>
      <c r="C99" s="171"/>
      <c r="D99" s="446" t="s">
        <v>48</v>
      </c>
      <c r="E99" s="446"/>
      <c r="F99" s="178"/>
      <c r="G99" s="179"/>
      <c r="H99" s="616" t="s">
        <v>35</v>
      </c>
      <c r="I99" s="269">
        <f ca="1">IFERROR(__xludf.DUMMYFUNCTION("IMPORTRANGE(""https://docs.google.com/spreadsheets/d/1QqKyyYR6Q21VydFLVH3TRQUabQu_ym0Zz7PgGX0-kHA/edit?usp=sharing"",""แผน!L60"")"),10)</f>
        <v>10</v>
      </c>
      <c r="J99" s="269">
        <f>J104</f>
        <v>10</v>
      </c>
      <c r="K99" s="496">
        <f t="shared" ca="1" si="55"/>
        <v>100</v>
      </c>
      <c r="L99" s="496"/>
      <c r="M99" s="496"/>
      <c r="N99" s="496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16" t="s">
        <v>49</v>
      </c>
      <c r="I100" s="269">
        <f ca="1">IFERROR(__xludf.DUMMYFUNCTION("IMPORTRANGE(""https://docs.google.com/spreadsheets/d/1QqKyyYR6Q21VydFLVH3TRQUabQu_ym0Zz7PgGX0-kHA/edit?usp=sharing"",""แผน!M60"")"),1)</f>
        <v>1</v>
      </c>
      <c r="J100" s="269">
        <f>J107+J110</f>
        <v>0</v>
      </c>
      <c r="K100" s="496">
        <f t="shared" ca="1" si="55"/>
        <v>0</v>
      </c>
      <c r="L100" s="496"/>
      <c r="M100" s="496"/>
      <c r="N100" s="496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16"/>
      <c r="I101" s="269"/>
      <c r="J101" s="269"/>
      <c r="K101" s="496"/>
      <c r="L101" s="496"/>
      <c r="M101" s="496"/>
      <c r="N101" s="496"/>
      <c r="O101" s="163"/>
      <c r="P101" s="163"/>
    </row>
    <row r="102" spans="1:16" ht="18.75">
      <c r="A102" s="170"/>
      <c r="B102" s="171"/>
      <c r="C102" s="171"/>
      <c r="D102" s="178"/>
      <c r="E102" s="619" t="s">
        <v>47</v>
      </c>
      <c r="F102" s="178"/>
      <c r="G102" s="179"/>
      <c r="H102" s="616" t="s">
        <v>46</v>
      </c>
      <c r="I102" s="269">
        <f ca="1">IFERROR(__xludf.DUMMYFUNCTION("IMPORTRANGE(""https://docs.google.com/spreadsheets/d/1QqKyyYR6Q21VydFLVH3TRQUabQu_ym0Zz7PgGX0-kHA/edit?usp=sharing"",""แผน!N60"")"),30)</f>
        <v>30</v>
      </c>
      <c r="J102" s="214">
        <v>30</v>
      </c>
      <c r="K102" s="496">
        <f t="shared" ref="K102:K104" ca="1" si="56">IF(I102&gt;0,J102*100/I102,0)</f>
        <v>100</v>
      </c>
      <c r="L102" s="496"/>
      <c r="M102" s="496"/>
      <c r="N102" s="496"/>
      <c r="O102" s="163"/>
      <c r="P102" s="163"/>
    </row>
    <row r="103" spans="1:16" ht="19.5">
      <c r="A103" s="170"/>
      <c r="B103" s="171"/>
      <c r="C103" s="171"/>
      <c r="D103" s="178"/>
      <c r="E103" s="446" t="s">
        <v>51</v>
      </c>
      <c r="F103" s="178"/>
      <c r="G103" s="179"/>
      <c r="H103" s="616" t="s">
        <v>35</v>
      </c>
      <c r="I103" s="269">
        <f ca="1">IFERROR(__xludf.DUMMYFUNCTION("IMPORTRANGE(""https://docs.google.com/spreadsheets/d/1QqKyyYR6Q21VydFLVH3TRQUabQu_ym0Zz7PgGX0-kHA/edit?usp=sharing"",""แผน!O60"")"),10)</f>
        <v>10</v>
      </c>
      <c r="J103" s="214">
        <v>10</v>
      </c>
      <c r="K103" s="496">
        <f t="shared" ca="1" si="56"/>
        <v>100</v>
      </c>
      <c r="L103" s="496"/>
      <c r="M103" s="496"/>
      <c r="N103" s="496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16" t="s">
        <v>35</v>
      </c>
      <c r="I104" s="269">
        <f ca="1">IFERROR(__xludf.DUMMYFUNCTION("IMPORTRANGE(""https://docs.google.com/spreadsheets/d/1QqKyyYR6Q21VydFLVH3TRQUabQu_ym0Zz7PgGX0-kHA/edit?usp=sharing"",""แผน!O60"")"),10)</f>
        <v>10</v>
      </c>
      <c r="J104" s="214">
        <v>10</v>
      </c>
      <c r="K104" s="496">
        <f t="shared" ca="1" si="56"/>
        <v>100</v>
      </c>
      <c r="L104" s="496"/>
      <c r="M104" s="496"/>
      <c r="N104" s="496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69"/>
      <c r="J105" s="269"/>
      <c r="K105" s="496"/>
      <c r="L105" s="496"/>
      <c r="M105" s="496"/>
      <c r="N105" s="496"/>
      <c r="O105" s="163"/>
      <c r="P105" s="163"/>
    </row>
    <row r="106" spans="1:16" ht="19.5">
      <c r="A106" s="170"/>
      <c r="B106" s="171"/>
      <c r="C106" s="171"/>
      <c r="D106" s="178"/>
      <c r="E106" s="446" t="s">
        <v>54</v>
      </c>
      <c r="F106" s="178"/>
      <c r="G106" s="179"/>
      <c r="H106" s="616" t="s">
        <v>49</v>
      </c>
      <c r="I106" s="269">
        <f ca="1">IFERROR(__xludf.DUMMYFUNCTION("IMPORTRANGE(""https://docs.google.com/spreadsheets/d/1QqKyyYR6Q21VydFLVH3TRQUabQu_ym0Zz7PgGX0-kHA/edit?usp=sharing"",""แผน!P60"")"),0)</f>
        <v>0</v>
      </c>
      <c r="J106" s="214">
        <v>0</v>
      </c>
      <c r="K106" s="496">
        <f t="shared" ref="K106:K107" ca="1" si="57">IF(I106&gt;0,J106*100/I106,0)</f>
        <v>0</v>
      </c>
      <c r="L106" s="496"/>
      <c r="M106" s="496"/>
      <c r="N106" s="496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16" t="s">
        <v>49</v>
      </c>
      <c r="I107" s="269">
        <f ca="1">IFERROR(__xludf.DUMMYFUNCTION("IMPORTRANGE(""https://docs.google.com/spreadsheets/d/1QqKyyYR6Q21VydFLVH3TRQUabQu_ym0Zz7PgGX0-kHA/edit?usp=sharing"",""แผน!P60"")"),0)</f>
        <v>0</v>
      </c>
      <c r="J107" s="214">
        <v>0</v>
      </c>
      <c r="K107" s="496">
        <f t="shared" ca="1" si="57"/>
        <v>0</v>
      </c>
      <c r="L107" s="496"/>
      <c r="M107" s="496"/>
      <c r="N107" s="496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69"/>
      <c r="J108" s="269"/>
      <c r="K108" s="496"/>
      <c r="L108" s="496"/>
      <c r="M108" s="496"/>
      <c r="N108" s="496"/>
      <c r="O108" s="163"/>
      <c r="P108" s="163"/>
    </row>
    <row r="109" spans="1:16" ht="19.5">
      <c r="A109" s="170"/>
      <c r="B109" s="171"/>
      <c r="C109" s="171"/>
      <c r="D109" s="178"/>
      <c r="E109" s="446" t="s">
        <v>57</v>
      </c>
      <c r="F109" s="178"/>
      <c r="G109" s="179"/>
      <c r="H109" s="616" t="s">
        <v>49</v>
      </c>
      <c r="I109" s="269">
        <f ca="1">IFERROR(__xludf.DUMMYFUNCTION("IMPORTRANGE(""https://docs.google.com/spreadsheets/d/1QqKyyYR6Q21VydFLVH3TRQUabQu_ym0Zz7PgGX0-kHA/edit?usp=sharing"",""แผน!Q60"")"),1)</f>
        <v>1</v>
      </c>
      <c r="J109" s="214">
        <v>0</v>
      </c>
      <c r="K109" s="496">
        <f t="shared" ref="K109:K116" ca="1" si="58">IF(I109&gt;0,J109*100/I109,0)</f>
        <v>0</v>
      </c>
      <c r="L109" s="496"/>
      <c r="M109" s="496"/>
      <c r="N109" s="496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16" t="s">
        <v>49</v>
      </c>
      <c r="I110" s="269">
        <f ca="1">IFERROR(__xludf.DUMMYFUNCTION("IMPORTRANGE(""https://docs.google.com/spreadsheets/d/1QqKyyYR6Q21VydFLVH3TRQUabQu_ym0Zz7PgGX0-kHA/edit?usp=sharing"",""แผน!Q60"")"),1)</f>
        <v>1</v>
      </c>
      <c r="J110" s="214">
        <v>0</v>
      </c>
      <c r="K110" s="496">
        <f t="shared" ca="1" si="58"/>
        <v>0</v>
      </c>
      <c r="L110" s="496"/>
      <c r="M110" s="496"/>
      <c r="N110" s="496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58" t="s">
        <v>35</v>
      </c>
      <c r="I111" s="193">
        <f ca="1">IFERROR(__xludf.DUMMYFUNCTION("IMPORTRANGE(""https://docs.google.com/spreadsheets/d/1QqKyyYR6Q21VydFLVH3TRQUabQu_ym0Zz7PgGX0-kHA/edit?usp=sharing"",""แผน!R60"")"),10)</f>
        <v>10</v>
      </c>
      <c r="J111" s="674">
        <f>J114</f>
        <v>0</v>
      </c>
      <c r="K111" s="195">
        <f t="shared" ca="1" si="58"/>
        <v>0</v>
      </c>
      <c r="L111" s="496"/>
      <c r="M111" s="496"/>
      <c r="N111" s="496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1</v>
      </c>
      <c r="J112" s="674">
        <f t="shared" si="59"/>
        <v>0</v>
      </c>
      <c r="K112" s="195">
        <f t="shared" ca="1" si="58"/>
        <v>0</v>
      </c>
      <c r="L112" s="496"/>
      <c r="M112" s="496"/>
      <c r="N112" s="496"/>
      <c r="O112" s="163"/>
      <c r="P112" s="163"/>
    </row>
    <row r="113" spans="1:26" ht="19.5">
      <c r="A113" s="170"/>
      <c r="B113" s="171"/>
      <c r="C113" s="171"/>
      <c r="D113" s="171"/>
      <c r="E113" s="525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IFERROR(__xludf.DUMMYFUNCTION("IMPORTRANGE(""https://docs.google.com/spreadsheets/d/1QqKyyYR6Q21VydFLVH3TRQUabQu_ym0Zz7PgGX0-kHA/edit?usp=sharing"",""แผน!R60"")"),10)</f>
        <v>10</v>
      </c>
      <c r="J113" s="214">
        <v>0</v>
      </c>
      <c r="K113" s="496">
        <f t="shared" ca="1" si="58"/>
        <v>0</v>
      </c>
      <c r="L113" s="496"/>
      <c r="M113" s="496"/>
      <c r="N113" s="496"/>
      <c r="O113" s="163"/>
      <c r="P113" s="163"/>
    </row>
    <row r="114" spans="1:26" ht="19.5">
      <c r="A114" s="170"/>
      <c r="B114" s="171"/>
      <c r="C114" s="171"/>
      <c r="D114" s="171"/>
      <c r="E114" s="446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IFERROR(__xludf.DUMMYFUNCTION("IMPORTRANGE(""https://docs.google.com/spreadsheets/d/1QqKyyYR6Q21VydFLVH3TRQUabQu_ym0Zz7PgGX0-kHA/edit?usp=sharing"",""แผน!R60"")"),10)</f>
        <v>10</v>
      </c>
      <c r="J114" s="214">
        <v>0</v>
      </c>
      <c r="K114" s="496">
        <f t="shared" ca="1" si="58"/>
        <v>0</v>
      </c>
      <c r="L114" s="496"/>
      <c r="M114" s="496"/>
      <c r="N114" s="496"/>
      <c r="O114" s="163"/>
      <c r="P114" s="163"/>
    </row>
    <row r="115" spans="1:26" ht="18.75">
      <c r="A115" s="170"/>
      <c r="B115" s="171"/>
      <c r="C115" s="171"/>
      <c r="D115" s="171"/>
      <c r="E115" s="446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IFERROR(__xludf.DUMMYFUNCTION("IMPORTRANGE(""https://docs.google.com/spreadsheets/d/1QqKyyYR6Q21VydFLVH3TRQUabQu_ym0Zz7PgGX0-kHA/edit?usp=sharing"",""แผน!S60"")"),0)</f>
        <v>0</v>
      </c>
      <c r="J115" s="214">
        <v>0</v>
      </c>
      <c r="K115" s="496">
        <f t="shared" ca="1" si="58"/>
        <v>0</v>
      </c>
      <c r="L115" s="496"/>
      <c r="M115" s="496"/>
      <c r="N115" s="496"/>
      <c r="O115" s="163"/>
      <c r="P115" s="163"/>
    </row>
    <row r="116" spans="1:26" ht="18.75">
      <c r="A116" s="170"/>
      <c r="B116" s="171"/>
      <c r="C116" s="171"/>
      <c r="D116" s="171"/>
      <c r="E116" s="446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IFERROR(__xludf.DUMMYFUNCTION("IMPORTRANGE(""https://docs.google.com/spreadsheets/d/1QqKyyYR6Q21VydFLVH3TRQUabQu_ym0Zz7PgGX0-kHA/edit?usp=sharing"",""แผน!T60"")"),1)</f>
        <v>1</v>
      </c>
      <c r="J116" s="214">
        <v>0</v>
      </c>
      <c r="K116" s="496">
        <f t="shared" ca="1" si="58"/>
        <v>0</v>
      </c>
      <c r="L116" s="496"/>
      <c r="M116" s="496"/>
      <c r="N116" s="496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8" t="s">
        <v>65</v>
      </c>
      <c r="C118" s="204"/>
      <c r="D118" s="141"/>
      <c r="E118" s="140"/>
      <c r="F118" s="140"/>
      <c r="G118" s="142"/>
      <c r="H118" s="143"/>
      <c r="I118" s="205"/>
      <c r="J118" s="205"/>
      <c r="K118" s="146"/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22" t="s">
        <v>17</v>
      </c>
      <c r="E119" s="148"/>
      <c r="F119" s="148"/>
      <c r="G119" s="151"/>
      <c r="H119" s="152" t="s">
        <v>12</v>
      </c>
      <c r="I119" s="419"/>
      <c r="J119" s="419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2" t="s">
        <v>18</v>
      </c>
      <c r="F120" s="40"/>
      <c r="G120" s="157"/>
      <c r="H120" s="158" t="s">
        <v>12</v>
      </c>
      <c r="I120" s="610"/>
      <c r="J120" s="610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2" t="s">
        <v>19</v>
      </c>
      <c r="F121" s="40"/>
      <c r="G121" s="157"/>
      <c r="H121" s="158" t="s">
        <v>12</v>
      </c>
      <c r="I121" s="610"/>
      <c r="J121" s="610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1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6">
        <f t="shared" ref="L122:N122" ca="1" si="64">L123+L124</f>
        <v>0</v>
      </c>
      <c r="M122" s="496">
        <f t="shared" ca="1" si="64"/>
        <v>0</v>
      </c>
      <c r="N122" s="496">
        <f t="shared" ca="1" si="64"/>
        <v>0</v>
      </c>
      <c r="O122" s="496">
        <f t="shared" ca="1" si="61"/>
        <v>0</v>
      </c>
      <c r="P122" s="496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2"/>
      <c r="D123" s="40"/>
      <c r="E123" s="222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2"/>
      <c r="D124" s="40"/>
      <c r="E124" s="222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IFERROR(__xludf.DUMMYFUNCTION("IMPORTRANGE(""https://docs.google.com/spreadsheets/d/1MeEWN-I1oV_STSDYn1IFDPWt_1FKiwhDph83XaGc0o0/edit?usp=sharing"",""งบพรบ!BA60"")"),0)</f>
        <v>0</v>
      </c>
      <c r="M124" s="93">
        <f ca="1">IFERROR(__xludf.DUMMYFUNCTION("IMPORTRANGE(""https://docs.google.com/spreadsheets/d/1MeEWN-I1oV_STSDYn1IFDPWt_1FKiwhDph83XaGc0o0/edit?usp=sharing"",""งบพรบ!BF60"")"),0)</f>
        <v>0</v>
      </c>
      <c r="N124" s="93">
        <f ca="1">IFERROR(__xludf.DUMMYFUNCTION("IMPORTRANGE(""https://docs.google.com/spreadsheets/d/1MeEWN-I1oV_STSDYn1IFDPWt_1FKiwhDph83XaGc0o0/edit?usp=sharing"",""งบพรบ!BH60"")"),0)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1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6">
        <f t="shared" ref="L125:N125" ca="1" si="65">L126+L127</f>
        <v>0</v>
      </c>
      <c r="M125" s="496">
        <f t="shared" ca="1" si="65"/>
        <v>0</v>
      </c>
      <c r="N125" s="496">
        <f t="shared" ca="1" si="65"/>
        <v>0</v>
      </c>
      <c r="O125" s="496">
        <f t="shared" ca="1" si="61"/>
        <v>0</v>
      </c>
      <c r="P125" s="496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2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2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IFERROR(__xludf.DUMMYFUNCTION("IMPORTRANGE(""https://docs.google.com/spreadsheets/d/1MeEWN-I1oV_STSDYn1IFDPWt_1FKiwhDph83XaGc0o0/edit?usp=sharing"",""งบพรบ!BD60"")"),0)</f>
        <v>0</v>
      </c>
      <c r="M127" s="93">
        <f ca="1">IFERROR(__xludf.DUMMYFUNCTION("IMPORTRANGE(""https://docs.google.com/spreadsheets/d/1MeEWN-I1oV_STSDYn1IFDPWt_1FKiwhDph83XaGc0o0/edit?usp=sharing"",""งบพรบ!BG60"")"),0)</f>
        <v>0</v>
      </c>
      <c r="N127" s="93">
        <f ca="1">IFERROR(__xludf.DUMMYFUNCTION("IMPORTRANGE(""https://docs.google.com/spreadsheets/d/1MeEWN-I1oV_STSDYn1IFDPWt_1FKiwhDph83XaGc0o0/edit?usp=sharing"",""งบพรบ!BI60"")"),0)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66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8" t="s">
        <v>67</v>
      </c>
      <c r="C129" s="204"/>
      <c r="D129" s="141"/>
      <c r="E129" s="140"/>
      <c r="F129" s="140"/>
      <c r="G129" s="140"/>
      <c r="H129" s="207"/>
      <c r="I129" s="205"/>
      <c r="J129" s="205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8"/>
      <c r="C130" s="209" t="s">
        <v>68</v>
      </c>
      <c r="D130" s="141"/>
      <c r="E130" s="140"/>
      <c r="F130" s="140"/>
      <c r="G130" s="142"/>
      <c r="H130" s="143" t="s">
        <v>69</v>
      </c>
      <c r="I130" s="144">
        <f t="shared" ref="I130:J130" ca="1" si="66">I146</f>
        <v>0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8"/>
      <c r="C131" s="209" t="s">
        <v>70</v>
      </c>
      <c r="D131" s="141"/>
      <c r="E131" s="140"/>
      <c r="F131" s="140"/>
      <c r="G131" s="142"/>
      <c r="H131" s="143" t="s">
        <v>35</v>
      </c>
      <c r="I131" s="144">
        <f t="shared" ref="I131:J131" ca="1" si="68">I143</f>
        <v>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822" t="s">
        <v>17</v>
      </c>
      <c r="E132" s="148"/>
      <c r="F132" s="148"/>
      <c r="G132" s="151"/>
      <c r="H132" s="152" t="s">
        <v>12</v>
      </c>
      <c r="I132" s="419"/>
      <c r="J132" s="419"/>
      <c r="K132" s="154"/>
      <c r="L132" s="155">
        <f t="shared" ref="L132:N132" ca="1" si="69">L133+L134</f>
        <v>0</v>
      </c>
      <c r="M132" s="155">
        <f t="shared" ca="1" si="69"/>
        <v>0</v>
      </c>
      <c r="N132" s="155">
        <f t="shared" ca="1" si="69"/>
        <v>0</v>
      </c>
      <c r="O132" s="155">
        <f t="shared" ref="O132:O140" ca="1" si="70">IF(L132&gt;0,N132*100/L132,0)</f>
        <v>0</v>
      </c>
      <c r="P132" s="155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2" t="s">
        <v>18</v>
      </c>
      <c r="F133" s="40"/>
      <c r="G133" s="157"/>
      <c r="H133" s="158" t="s">
        <v>12</v>
      </c>
      <c r="I133" s="610"/>
      <c r="J133" s="610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2" t="s">
        <v>19</v>
      </c>
      <c r="F134" s="40"/>
      <c r="G134" s="157"/>
      <c r="H134" s="158" t="s">
        <v>12</v>
      </c>
      <c r="I134" s="610"/>
      <c r="J134" s="610"/>
      <c r="K134" s="93"/>
      <c r="L134" s="93">
        <f t="shared" ca="1" si="72"/>
        <v>0</v>
      </c>
      <c r="M134" s="93">
        <f t="shared" ca="1" si="72"/>
        <v>0</v>
      </c>
      <c r="N134" s="93">
        <f t="shared" ca="1" si="72"/>
        <v>0</v>
      </c>
      <c r="O134" s="93">
        <f t="shared" ca="1" si="70"/>
        <v>0</v>
      </c>
      <c r="P134" s="93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1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6">
        <f t="shared" ref="L135:N135" ca="1" si="73">L136+L137</f>
        <v>0</v>
      </c>
      <c r="M135" s="496">
        <f t="shared" ca="1" si="73"/>
        <v>0</v>
      </c>
      <c r="N135" s="496">
        <f t="shared" ca="1" si="73"/>
        <v>0</v>
      </c>
      <c r="O135" s="496">
        <f t="shared" ca="1" si="70"/>
        <v>0</v>
      </c>
      <c r="P135" s="496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2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2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IFERROR(__xludf.DUMMYFUNCTION("IMPORTRANGE(""https://docs.google.com/spreadsheets/d/1MeEWN-I1oV_STSDYn1IFDPWt_1FKiwhDph83XaGc0o0/edit?usp=sharing"",""งบพรบ!BK60"")"),0)</f>
        <v>0</v>
      </c>
      <c r="M137" s="93">
        <f ca="1">IFERROR(__xludf.DUMMYFUNCTION("IMPORTRANGE(""https://docs.google.com/spreadsheets/d/1MeEWN-I1oV_STSDYn1IFDPWt_1FKiwhDph83XaGc0o0/edit?usp=sharing"",""งบพรบ!BP60"")"),0)</f>
        <v>0</v>
      </c>
      <c r="N137" s="93">
        <f ca="1">IFERROR(__xludf.DUMMYFUNCTION("IMPORTRANGE(""https://docs.google.com/spreadsheets/d/1MeEWN-I1oV_STSDYn1IFDPWt_1FKiwhDph83XaGc0o0/edit?usp=sharing"",""งบพรบ!BR60"")"),0)</f>
        <v>0</v>
      </c>
      <c r="O137" s="93">
        <f t="shared" ca="1" si="70"/>
        <v>0</v>
      </c>
      <c r="P137" s="93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1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6">
        <f t="shared" ref="L138:N138" ca="1" si="74">L139+L140</f>
        <v>0</v>
      </c>
      <c r="M138" s="496">
        <f t="shared" ca="1" si="74"/>
        <v>0</v>
      </c>
      <c r="N138" s="496">
        <f t="shared" ca="1" si="74"/>
        <v>0</v>
      </c>
      <c r="O138" s="496">
        <f t="shared" ca="1" si="70"/>
        <v>0</v>
      </c>
      <c r="P138" s="496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2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2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IFERROR(__xludf.DUMMYFUNCTION("IMPORTRANGE(""https://docs.google.com/spreadsheets/d/1MeEWN-I1oV_STSDYn1IFDPWt_1FKiwhDph83XaGc0o0/edit?usp=sharing"",""งบพรบ!BN60"")"),0)</f>
        <v>0</v>
      </c>
      <c r="M140" s="93">
        <f ca="1">IFERROR(__xludf.DUMMYFUNCTION("IMPORTRANGE(""https://docs.google.com/spreadsheets/d/1MeEWN-I1oV_STSDYn1IFDPWt_1FKiwhDph83XaGc0o0/edit?usp=sharing"",""งบพรบ!BQ60"")"),0)</f>
        <v>0</v>
      </c>
      <c r="N140" s="93">
        <f ca="1">IFERROR(__xludf.DUMMYFUNCTION("IMPORTRANGE(""https://docs.google.com/spreadsheets/d/1MeEWN-I1oV_STSDYn1IFDPWt_1FKiwhDph83XaGc0o0/edit?usp=sharing"",""งบพรบ!BS60"")"),0)</f>
        <v>0</v>
      </c>
      <c r="O140" s="93">
        <f t="shared" ca="1" si="70"/>
        <v>0</v>
      </c>
      <c r="P140" s="93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823" t="s">
        <v>38</v>
      </c>
      <c r="E141" s="173"/>
      <c r="F141" s="173"/>
      <c r="G141" s="174"/>
      <c r="H141" s="168"/>
      <c r="I141" s="269"/>
      <c r="J141" s="269"/>
      <c r="K141" s="496"/>
      <c r="L141" s="496"/>
      <c r="M141" s="496"/>
      <c r="N141" s="496"/>
      <c r="O141" s="496"/>
      <c r="P141" s="496"/>
    </row>
    <row r="142" spans="1:26" ht="19.5" hidden="1">
      <c r="A142" s="159"/>
      <c r="B142" s="33"/>
      <c r="C142" s="210"/>
      <c r="D142" s="281" t="s">
        <v>71</v>
      </c>
      <c r="E142" s="34"/>
      <c r="F142" s="33"/>
      <c r="G142" s="213"/>
      <c r="H142" s="168"/>
      <c r="I142" s="269"/>
      <c r="J142" s="214">
        <v>0</v>
      </c>
      <c r="K142" s="496"/>
      <c r="L142" s="496"/>
      <c r="M142" s="496"/>
      <c r="N142" s="496"/>
      <c r="O142" s="496"/>
      <c r="P142" s="496"/>
    </row>
    <row r="143" spans="1:26" ht="19.5" hidden="1">
      <c r="A143" s="159"/>
      <c r="B143" s="33"/>
      <c r="C143" s="210"/>
      <c r="D143" s="281" t="s">
        <v>72</v>
      </c>
      <c r="E143" s="34"/>
      <c r="F143" s="33"/>
      <c r="G143" s="213"/>
      <c r="H143" s="168" t="s">
        <v>35</v>
      </c>
      <c r="I143" s="269">
        <f ca="1">I145</f>
        <v>0</v>
      </c>
      <c r="J143" s="269">
        <f ca="1">IF(AND(J144&gt;=I144,J145&gt;=I145),J145,0)</f>
        <v>0</v>
      </c>
      <c r="K143" s="496">
        <f t="shared" ref="K143:K146" ca="1" si="75">IF(I143&gt;0,J143*100/I143,0)</f>
        <v>0</v>
      </c>
      <c r="L143" s="496"/>
      <c r="M143" s="496"/>
      <c r="N143" s="496"/>
      <c r="O143" s="496"/>
      <c r="P143" s="496"/>
    </row>
    <row r="144" spans="1:26" ht="19.5" hidden="1">
      <c r="A144" s="159"/>
      <c r="B144" s="33"/>
      <c r="C144" s="210"/>
      <c r="D144" s="178"/>
      <c r="E144" s="281" t="s">
        <v>73</v>
      </c>
      <c r="F144" s="33"/>
      <c r="G144" s="213"/>
      <c r="H144" s="168" t="s">
        <v>35</v>
      </c>
      <c r="I144" s="269">
        <f ca="1">IFERROR(__xludf.DUMMYFUNCTION("IMPORTRANGE(""https://docs.google.com/spreadsheets/d/1QqKyyYR6Q21VydFLVH3TRQUabQu_ym0Zz7PgGX0-kHA/edit?usp=sharing"",""แผน!U60"")"),0)</f>
        <v>0</v>
      </c>
      <c r="J144" s="214">
        <v>0</v>
      </c>
      <c r="K144" s="496">
        <f t="shared" ca="1" si="75"/>
        <v>0</v>
      </c>
      <c r="L144" s="496"/>
      <c r="M144" s="496"/>
      <c r="N144" s="496"/>
      <c r="O144" s="496"/>
      <c r="P144" s="496"/>
    </row>
    <row r="145" spans="1:26" ht="19.5" hidden="1">
      <c r="A145" s="159"/>
      <c r="B145" s="33"/>
      <c r="C145" s="210"/>
      <c r="D145" s="178"/>
      <c r="E145" s="281" t="s">
        <v>74</v>
      </c>
      <c r="F145" s="33"/>
      <c r="G145" s="213"/>
      <c r="H145" s="168" t="s">
        <v>35</v>
      </c>
      <c r="I145" s="269">
        <f ca="1">IFERROR(__xludf.DUMMYFUNCTION("IMPORTRANGE(""https://docs.google.com/spreadsheets/d/1QqKyyYR6Q21VydFLVH3TRQUabQu_ym0Zz7PgGX0-kHA/edit?usp=sharing"",""แผน!V60"")"),0)</f>
        <v>0</v>
      </c>
      <c r="J145" s="214">
        <v>0</v>
      </c>
      <c r="K145" s="496">
        <f t="shared" ca="1" si="75"/>
        <v>0</v>
      </c>
      <c r="L145" s="496"/>
      <c r="M145" s="496"/>
      <c r="N145" s="496"/>
      <c r="O145" s="496"/>
      <c r="P145" s="496"/>
    </row>
    <row r="146" spans="1:26" ht="19.5" hidden="1">
      <c r="A146" s="159"/>
      <c r="B146" s="33"/>
      <c r="C146" s="210"/>
      <c r="D146" s="281" t="s">
        <v>75</v>
      </c>
      <c r="E146" s="34"/>
      <c r="F146" s="33"/>
      <c r="G146" s="213"/>
      <c r="H146" s="168" t="s">
        <v>69</v>
      </c>
      <c r="I146" s="269">
        <f ca="1">IFERROR(__xludf.DUMMYFUNCTION("IMPORTRANGE(""https://docs.google.com/spreadsheets/d/1QqKyyYR6Q21VydFLVH3TRQUabQu_ym0Zz7PgGX0-kHA/edit?usp=sharing"",""แผน!W60"")"),0)</f>
        <v>0</v>
      </c>
      <c r="J146" s="214">
        <v>0</v>
      </c>
      <c r="K146" s="496">
        <f t="shared" ca="1" si="75"/>
        <v>0</v>
      </c>
      <c r="L146" s="496"/>
      <c r="M146" s="496"/>
      <c r="N146" s="496"/>
      <c r="O146" s="496"/>
      <c r="P146" s="496"/>
    </row>
    <row r="147" spans="1:26" ht="19.5" hidden="1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 hidden="1">
      <c r="A148" s="216"/>
      <c r="B148" s="208" t="s">
        <v>77</v>
      </c>
      <c r="C148" s="208"/>
      <c r="D148" s="208"/>
      <c r="E148" s="824"/>
      <c r="F148" s="218"/>
      <c r="G148" s="219"/>
      <c r="H148" s="220" t="s">
        <v>35</v>
      </c>
      <c r="I148" s="144">
        <f t="shared" ref="I148:J148" ca="1" si="76">I159</f>
        <v>0</v>
      </c>
      <c r="J148" s="144">
        <f t="shared" si="76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1"/>
      <c r="R148" s="221"/>
      <c r="S148" s="221"/>
      <c r="T148" s="221"/>
      <c r="U148" s="221"/>
      <c r="V148" s="221"/>
      <c r="W148" s="221"/>
      <c r="X148" s="221"/>
      <c r="Y148" s="221"/>
      <c r="Z148" s="221"/>
    </row>
    <row r="149" spans="1:26" ht="19.5" hidden="1">
      <c r="A149" s="147"/>
      <c r="B149" s="148"/>
      <c r="C149" s="149" t="s">
        <v>16</v>
      </c>
      <c r="D149" s="822" t="s">
        <v>17</v>
      </c>
      <c r="E149" s="148"/>
      <c r="F149" s="148"/>
      <c r="G149" s="151"/>
      <c r="H149" s="152" t="s">
        <v>12</v>
      </c>
      <c r="I149" s="419"/>
      <c r="J149" s="419"/>
      <c r="K149" s="154"/>
      <c r="L149" s="155">
        <f t="shared" ref="L149:N149" ca="1" si="77">L150+L151</f>
        <v>0</v>
      </c>
      <c r="M149" s="155">
        <f t="shared" ca="1" si="77"/>
        <v>0</v>
      </c>
      <c r="N149" s="155">
        <f t="shared" ca="1" si="77"/>
        <v>0</v>
      </c>
      <c r="O149" s="155">
        <f t="shared" ref="O149:O157" ca="1" si="78">IF(L149&gt;0,N149*100/L149,0)</f>
        <v>0</v>
      </c>
      <c r="P149" s="155">
        <f t="shared" ref="P149:P157" ca="1" si="79">IF(M149&gt;0,N149*100/M149,0)</f>
        <v>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2" t="s">
        <v>18</v>
      </c>
      <c r="F150" s="40"/>
      <c r="G150" s="157"/>
      <c r="H150" s="158" t="s">
        <v>12</v>
      </c>
      <c r="I150" s="610"/>
      <c r="J150" s="610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2" t="s">
        <v>19</v>
      </c>
      <c r="F151" s="40"/>
      <c r="G151" s="157"/>
      <c r="H151" s="158" t="s">
        <v>12</v>
      </c>
      <c r="I151" s="610"/>
      <c r="J151" s="610"/>
      <c r="K151" s="93"/>
      <c r="L151" s="93">
        <f t="shared" ca="1" si="80"/>
        <v>0</v>
      </c>
      <c r="M151" s="93">
        <f t="shared" ca="1" si="80"/>
        <v>0</v>
      </c>
      <c r="N151" s="93">
        <f t="shared" ca="1" si="80"/>
        <v>0</v>
      </c>
      <c r="O151" s="93">
        <f t="shared" ca="1" si="78"/>
        <v>0</v>
      </c>
      <c r="P151" s="93">
        <f t="shared" ca="1" si="79"/>
        <v>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 hidden="1">
      <c r="A152" s="159"/>
      <c r="B152" s="33"/>
      <c r="C152" s="281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6">
        <f t="shared" ref="L152:N152" ca="1" si="81">L153+L154</f>
        <v>0</v>
      </c>
      <c r="M152" s="496">
        <f t="shared" ca="1" si="81"/>
        <v>0</v>
      </c>
      <c r="N152" s="496">
        <f t="shared" ca="1" si="81"/>
        <v>0</v>
      </c>
      <c r="O152" s="496">
        <f t="shared" ca="1" si="78"/>
        <v>0</v>
      </c>
      <c r="P152" s="496">
        <f t="shared" ca="1" si="79"/>
        <v>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2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2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IFERROR(__xludf.DUMMYFUNCTION("IMPORTRANGE(""https://docs.google.com/spreadsheets/d/1MeEWN-I1oV_STSDYn1IFDPWt_1FKiwhDph83XaGc0o0/edit?usp=sharing"",""งบพรบ!BU60"")"),0)</f>
        <v>0</v>
      </c>
      <c r="M154" s="93">
        <f ca="1">IFERROR(__xludf.DUMMYFUNCTION("IMPORTRANGE(""https://docs.google.com/spreadsheets/d/1MeEWN-I1oV_STSDYn1IFDPWt_1FKiwhDph83XaGc0o0/edit?usp=sharing"",""งบพรบ!BZ60"")"),0)</f>
        <v>0</v>
      </c>
      <c r="N154" s="93">
        <f ca="1">IFERROR(__xludf.DUMMYFUNCTION("IMPORTRANGE(""https://docs.google.com/spreadsheets/d/1MeEWN-I1oV_STSDYn1IFDPWt_1FKiwhDph83XaGc0o0/edit?usp=sharing"",""งบพรบ!CB60"")"),0)</f>
        <v>0</v>
      </c>
      <c r="O154" s="93">
        <f t="shared" ca="1" si="78"/>
        <v>0</v>
      </c>
      <c r="P154" s="93">
        <f t="shared" ca="1" si="79"/>
        <v>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 hidden="1">
      <c r="A155" s="159"/>
      <c r="B155" s="33"/>
      <c r="C155" s="281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6">
        <f t="shared" ref="L155:N155" ca="1" si="82">L156+L157</f>
        <v>0</v>
      </c>
      <c r="M155" s="496">
        <f t="shared" ca="1" si="82"/>
        <v>0</v>
      </c>
      <c r="N155" s="496">
        <f t="shared" ca="1" si="82"/>
        <v>0</v>
      </c>
      <c r="O155" s="496">
        <f t="shared" ca="1" si="78"/>
        <v>0</v>
      </c>
      <c r="P155" s="496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2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2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IFERROR(__xludf.DUMMYFUNCTION("IMPORTRANGE(""https://docs.google.com/spreadsheets/d/1MeEWN-I1oV_STSDYn1IFDPWt_1FKiwhDph83XaGc0o0/edit?usp=sharing"",""งบพรบ!BX60"")"),0)</f>
        <v>0</v>
      </c>
      <c r="M157" s="93">
        <f ca="1">IFERROR(__xludf.DUMMYFUNCTION("IMPORTRANGE(""https://docs.google.com/spreadsheets/d/1MeEWN-I1oV_STSDYn1IFDPWt_1FKiwhDph83XaGc0o0/edit?usp=sharing"",""งบพรบ!CA60"")"),0)</f>
        <v>0</v>
      </c>
      <c r="N157" s="93">
        <f ca="1">IFERROR(__xludf.DUMMYFUNCTION("IMPORTRANGE(""https://docs.google.com/spreadsheets/d/1MeEWN-I1oV_STSDYn1IFDPWt_1FKiwhDph83XaGc0o0/edit?usp=sharing"",""งบพรบ!CC60"")"),0)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 hidden="1">
      <c r="A158" s="170"/>
      <c r="B158" s="171"/>
      <c r="C158" s="164" t="s">
        <v>16</v>
      </c>
      <c r="D158" s="823" t="s">
        <v>38</v>
      </c>
      <c r="E158" s="173"/>
      <c r="F158" s="173"/>
      <c r="G158" s="174"/>
      <c r="H158" s="168"/>
      <c r="I158" s="269"/>
      <c r="J158" s="269"/>
      <c r="K158" s="496"/>
      <c r="L158" s="496"/>
      <c r="M158" s="496"/>
      <c r="N158" s="496"/>
      <c r="O158" s="496"/>
      <c r="P158" s="496"/>
    </row>
    <row r="159" spans="1:26" ht="19.5" hidden="1">
      <c r="A159" s="159"/>
      <c r="B159" s="33"/>
      <c r="C159" s="210"/>
      <c r="D159" s="281" t="s">
        <v>78</v>
      </c>
      <c r="E159" s="34"/>
      <c r="F159" s="33"/>
      <c r="G159" s="213"/>
      <c r="H159" s="168" t="s">
        <v>35</v>
      </c>
      <c r="I159" s="269">
        <f ca="1">IFERROR(__xludf.DUMMYFUNCTION("IMPORTRANGE(""https://docs.google.com/spreadsheets/d/1QqKyyYR6Q21VydFLVH3TRQUabQu_ym0Zz7PgGX0-kHA/edit?usp=sharing"",""แผน!X60"")"),0)</f>
        <v>0</v>
      </c>
      <c r="J159" s="214">
        <v>0</v>
      </c>
      <c r="K159" s="496">
        <f ca="1">IF(I159&gt;0,J159*100/I159,0)</f>
        <v>0</v>
      </c>
      <c r="L159" s="496"/>
      <c r="M159" s="496"/>
      <c r="N159" s="496"/>
      <c r="O159" s="496"/>
      <c r="P159" s="496"/>
    </row>
    <row r="160" spans="1:26" ht="19.5" hidden="1">
      <c r="A160" s="156"/>
      <c r="B160" s="40"/>
      <c r="C160" s="164"/>
      <c r="D160" s="222" t="s">
        <v>79</v>
      </c>
      <c r="E160" s="223"/>
      <c r="F160" s="40"/>
      <c r="G160" s="157"/>
      <c r="H160" s="169" t="s">
        <v>35</v>
      </c>
      <c r="I160" s="610"/>
      <c r="J160" s="610"/>
      <c r="K160" s="93"/>
      <c r="L160" s="93"/>
      <c r="M160" s="93"/>
      <c r="N160" s="93"/>
      <c r="O160" s="93"/>
      <c r="P160" s="93"/>
      <c r="Q160" s="224"/>
      <c r="R160" s="224"/>
      <c r="S160" s="224"/>
      <c r="T160" s="224"/>
      <c r="U160" s="224"/>
      <c r="V160" s="224"/>
      <c r="W160" s="224"/>
      <c r="X160" s="224"/>
      <c r="Y160" s="224"/>
      <c r="Z160" s="224"/>
    </row>
    <row r="161" spans="1:26" ht="19.5" hidden="1">
      <c r="A161" s="225"/>
      <c r="B161" s="226"/>
      <c r="C161" s="227"/>
      <c r="D161" s="228" t="s">
        <v>80</v>
      </c>
      <c r="E161" s="825"/>
      <c r="F161" s="226"/>
      <c r="G161" s="230"/>
      <c r="H161" s="231" t="s">
        <v>35</v>
      </c>
      <c r="I161" s="232"/>
      <c r="J161" s="232"/>
      <c r="K161" s="233"/>
      <c r="L161" s="233"/>
      <c r="M161" s="233"/>
      <c r="N161" s="233"/>
      <c r="O161" s="233"/>
      <c r="P161" s="233"/>
      <c r="Q161" s="224"/>
      <c r="R161" s="224"/>
      <c r="S161" s="224"/>
      <c r="T161" s="224"/>
      <c r="U161" s="224"/>
      <c r="V161" s="224"/>
      <c r="W161" s="224"/>
      <c r="X161" s="224"/>
      <c r="Y161" s="224"/>
      <c r="Z161" s="224"/>
    </row>
    <row r="162" spans="1:26" ht="19.5">
      <c r="A162" s="234" t="s">
        <v>81</v>
      </c>
      <c r="B162" s="235"/>
      <c r="C162" s="235"/>
      <c r="D162" s="235"/>
      <c r="E162" s="236"/>
      <c r="F162" s="236"/>
      <c r="G162" s="237"/>
      <c r="H162" s="238"/>
      <c r="I162" s="239"/>
      <c r="J162" s="239"/>
      <c r="K162" s="240"/>
      <c r="L162" s="240"/>
      <c r="M162" s="240"/>
      <c r="N162" s="240"/>
      <c r="O162" s="240"/>
      <c r="P162" s="240"/>
    </row>
    <row r="163" spans="1:26" ht="19.5">
      <c r="A163" s="241" t="s">
        <v>82</v>
      </c>
      <c r="B163" s="242"/>
      <c r="C163" s="242"/>
      <c r="D163" s="243"/>
      <c r="E163" s="243"/>
      <c r="F163" s="243"/>
      <c r="G163" s="244"/>
      <c r="H163" s="245"/>
      <c r="I163" s="246"/>
      <c r="J163" s="246"/>
      <c r="K163" s="247"/>
      <c r="L163" s="247"/>
      <c r="M163" s="247"/>
      <c r="N163" s="247"/>
      <c r="O163" s="247"/>
      <c r="P163" s="247"/>
    </row>
    <row r="164" spans="1:26" ht="19.5">
      <c r="A164" s="248"/>
      <c r="B164" s="249" t="s">
        <v>83</v>
      </c>
      <c r="C164" s="250"/>
      <c r="D164" s="173"/>
      <c r="E164" s="173"/>
      <c r="F164" s="173"/>
      <c r="G164" s="174"/>
      <c r="H164" s="251" t="s">
        <v>35</v>
      </c>
      <c r="I164" s="252">
        <f t="shared" ref="I164:J164" ca="1" si="83">I174+I177</f>
        <v>11</v>
      </c>
      <c r="J164" s="252">
        <f t="shared" si="83"/>
        <v>11</v>
      </c>
      <c r="K164" s="253">
        <f ca="1">IF(I164&gt;0,J164*100/I164,0)</f>
        <v>100</v>
      </c>
      <c r="L164" s="254"/>
      <c r="M164" s="254"/>
      <c r="N164" s="254"/>
      <c r="O164" s="254"/>
      <c r="P164" s="254"/>
    </row>
    <row r="165" spans="1:26" ht="19.5">
      <c r="A165" s="147"/>
      <c r="B165" s="148"/>
      <c r="C165" s="149" t="s">
        <v>16</v>
      </c>
      <c r="D165" s="822" t="s">
        <v>17</v>
      </c>
      <c r="E165" s="148"/>
      <c r="F165" s="148"/>
      <c r="G165" s="151"/>
      <c r="H165" s="152" t="s">
        <v>12</v>
      </c>
      <c r="I165" s="419"/>
      <c r="J165" s="419"/>
      <c r="K165" s="154"/>
      <c r="L165" s="155">
        <f t="shared" ref="L165:N165" ca="1" si="84">L166+L167</f>
        <v>22055</v>
      </c>
      <c r="M165" s="155">
        <f t="shared" ca="1" si="84"/>
        <v>22055</v>
      </c>
      <c r="N165" s="155">
        <f t="shared" ca="1" si="84"/>
        <v>20655</v>
      </c>
      <c r="O165" s="155">
        <f t="shared" ref="O165:O173" ca="1" si="85">IF(L165&gt;0,N165*100/L165,0)</f>
        <v>93.652233053729319</v>
      </c>
      <c r="P165" s="155">
        <f t="shared" ref="P165:P173" ca="1" si="86">IF(M165&gt;0,N165*100/M165,0)</f>
        <v>93.652233053729319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2" t="s">
        <v>18</v>
      </c>
      <c r="F166" s="40"/>
      <c r="G166" s="157"/>
      <c r="H166" s="158" t="s">
        <v>12</v>
      </c>
      <c r="I166" s="610"/>
      <c r="J166" s="610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2" t="s">
        <v>19</v>
      </c>
      <c r="F167" s="40"/>
      <c r="G167" s="157"/>
      <c r="H167" s="158" t="s">
        <v>12</v>
      </c>
      <c r="I167" s="610"/>
      <c r="J167" s="610"/>
      <c r="K167" s="93"/>
      <c r="L167" s="93">
        <f t="shared" ca="1" si="87"/>
        <v>22055</v>
      </c>
      <c r="M167" s="93">
        <f t="shared" ca="1" si="87"/>
        <v>22055</v>
      </c>
      <c r="N167" s="93">
        <f t="shared" ca="1" si="87"/>
        <v>20655</v>
      </c>
      <c r="O167" s="93">
        <f t="shared" ca="1" si="85"/>
        <v>93.652233053729319</v>
      </c>
      <c r="P167" s="93">
        <f t="shared" ca="1" si="86"/>
        <v>93.652233053729319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1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6">
        <f t="shared" ref="L168:N168" ca="1" si="88">L169+L170</f>
        <v>22055</v>
      </c>
      <c r="M168" s="496">
        <f t="shared" ca="1" si="88"/>
        <v>22055</v>
      </c>
      <c r="N168" s="496">
        <f t="shared" ca="1" si="88"/>
        <v>20655</v>
      </c>
      <c r="O168" s="496">
        <f t="shared" ca="1" si="85"/>
        <v>93.652233053729319</v>
      </c>
      <c r="P168" s="496">
        <f t="shared" ca="1" si="86"/>
        <v>93.652233053729319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2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2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IFERROR(__xludf.DUMMYFUNCTION("IMPORTRANGE(""https://docs.google.com/spreadsheets/d/1MeEWN-I1oV_STSDYn1IFDPWt_1FKiwhDph83XaGc0o0/edit?usp=sharing"",""งบพรบ!CE60"")"),22055)</f>
        <v>22055</v>
      </c>
      <c r="M170" s="93">
        <f ca="1">IFERROR(__xludf.DUMMYFUNCTION("IMPORTRANGE(""https://docs.google.com/spreadsheets/d/1MeEWN-I1oV_STSDYn1IFDPWt_1FKiwhDph83XaGc0o0/edit?usp=sharing"",""งบพรบ!CJ60"")"),22055)</f>
        <v>22055</v>
      </c>
      <c r="N170" s="93">
        <f ca="1">IFERROR(__xludf.DUMMYFUNCTION("IMPORTRANGE(""https://docs.google.com/spreadsheets/d/1MeEWN-I1oV_STSDYn1IFDPWt_1FKiwhDph83XaGc0o0/edit?usp=sharing"",""งบพรบ!CL60"")"),20655)</f>
        <v>20655</v>
      </c>
      <c r="O170" s="93">
        <f t="shared" ca="1" si="85"/>
        <v>93.652233053729319</v>
      </c>
      <c r="P170" s="93">
        <f t="shared" ca="1" si="86"/>
        <v>93.652233053729319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1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6">
        <f t="shared" ref="L171:N171" ca="1" si="89">L172+L173</f>
        <v>0</v>
      </c>
      <c r="M171" s="496">
        <f t="shared" ca="1" si="89"/>
        <v>0</v>
      </c>
      <c r="N171" s="496">
        <f t="shared" ca="1" si="89"/>
        <v>0</v>
      </c>
      <c r="O171" s="496">
        <f t="shared" ca="1" si="85"/>
        <v>0</v>
      </c>
      <c r="P171" s="496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2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2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IFERROR(__xludf.DUMMYFUNCTION("IMPORTRANGE(""https://docs.google.com/spreadsheets/d/1MeEWN-I1oV_STSDYn1IFDPWt_1FKiwhDph83XaGc0o0/edit?usp=sharing"",""งบพรบ!CH60"")"),0)</f>
        <v>0</v>
      </c>
      <c r="M173" s="93">
        <f ca="1">IFERROR(__xludf.DUMMYFUNCTION("IMPORTRANGE(""https://docs.google.com/spreadsheets/d/1MeEWN-I1oV_STSDYn1IFDPWt_1FKiwhDph83XaGc0o0/edit?usp=sharing"",""งบพรบ!CK60"")"),0)</f>
        <v>0</v>
      </c>
      <c r="N173" s="93">
        <f ca="1">IFERROR(__xludf.DUMMYFUNCTION("IMPORTRANGE(""https://docs.google.com/spreadsheets/d/1MeEWN-I1oV_STSDYn1IFDPWt_1FKiwhDph83XaGc0o0/edit?usp=sharing"",""งบพรบ!CM60"")"),0)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5"/>
      <c r="B174" s="256"/>
      <c r="C174" s="257" t="s">
        <v>84</v>
      </c>
      <c r="D174" s="256"/>
      <c r="E174" s="256"/>
      <c r="F174" s="256"/>
      <c r="G174" s="258"/>
      <c r="H174" s="259" t="s">
        <v>35</v>
      </c>
      <c r="I174" s="260">
        <f t="shared" ref="I174:J174" ca="1" si="90">I176</f>
        <v>11</v>
      </c>
      <c r="J174" s="260">
        <f t="shared" si="90"/>
        <v>11</v>
      </c>
      <c r="K174" s="261">
        <f ca="1">IF(I174&gt;0,J174*100/I174,0)</f>
        <v>100</v>
      </c>
      <c r="L174" s="261"/>
      <c r="M174" s="261"/>
      <c r="N174" s="261"/>
      <c r="O174" s="261"/>
      <c r="P174" s="261"/>
    </row>
    <row r="175" spans="1:26" ht="19.5">
      <c r="A175" s="170"/>
      <c r="B175" s="171"/>
      <c r="C175" s="164" t="s">
        <v>16</v>
      </c>
      <c r="D175" s="823" t="s">
        <v>38</v>
      </c>
      <c r="E175" s="173"/>
      <c r="F175" s="173"/>
      <c r="G175" s="174"/>
      <c r="H175" s="753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37" t="s">
        <v>85</v>
      </c>
      <c r="E176" s="178"/>
      <c r="F176" s="178"/>
      <c r="G176" s="179"/>
      <c r="H176" s="616" t="s">
        <v>35</v>
      </c>
      <c r="I176" s="269">
        <f ca="1">IFERROR(__xludf.DUMMYFUNCTION("IMPORTRANGE(""https://docs.google.com/spreadsheets/d/1QqKyyYR6Q21VydFLVH3TRQUabQu_ym0Zz7PgGX0-kHA/edit?usp=sharing"",""แผน!Y60"")"),11)</f>
        <v>11</v>
      </c>
      <c r="J176" s="214">
        <v>11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5"/>
      <c r="B177" s="263"/>
      <c r="C177" s="264" t="s">
        <v>86</v>
      </c>
      <c r="D177" s="263"/>
      <c r="E177" s="256"/>
      <c r="F177" s="256"/>
      <c r="G177" s="258"/>
      <c r="H177" s="265" t="s">
        <v>35</v>
      </c>
      <c r="I177" s="260"/>
      <c r="J177" s="260">
        <f>J179</f>
        <v>0</v>
      </c>
      <c r="K177" s="261"/>
      <c r="L177" s="261"/>
      <c r="M177" s="261"/>
      <c r="N177" s="261"/>
      <c r="O177" s="261"/>
      <c r="P177" s="261"/>
    </row>
    <row r="178" spans="1:26" ht="19.5" hidden="1">
      <c r="A178" s="170"/>
      <c r="B178" s="171"/>
      <c r="C178" s="164" t="s">
        <v>16</v>
      </c>
      <c r="D178" s="266" t="s">
        <v>38</v>
      </c>
      <c r="E178" s="173"/>
      <c r="F178" s="173"/>
      <c r="G178" s="174"/>
      <c r="H178" s="753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3" t="s">
        <v>87</v>
      </c>
      <c r="E179" s="178"/>
      <c r="F179" s="366"/>
      <c r="G179" s="179"/>
      <c r="H179" s="43" t="s">
        <v>35</v>
      </c>
      <c r="I179" s="269"/>
      <c r="J179" s="269"/>
      <c r="K179" s="163"/>
      <c r="L179" s="163"/>
      <c r="M179" s="163"/>
      <c r="N179" s="163"/>
      <c r="O179" s="163"/>
      <c r="P179" s="163"/>
    </row>
    <row r="180" spans="1:26" ht="19.5">
      <c r="A180" s="248"/>
      <c r="B180" s="249" t="s">
        <v>88</v>
      </c>
      <c r="C180" s="250"/>
      <c r="D180" s="173"/>
      <c r="E180" s="173"/>
      <c r="F180" s="173"/>
      <c r="G180" s="174"/>
      <c r="H180" s="251" t="s">
        <v>35</v>
      </c>
      <c r="I180" s="252">
        <f t="shared" ref="I180:J180" ca="1" si="91">I225+I226</f>
        <v>15</v>
      </c>
      <c r="J180" s="252">
        <f t="shared" si="91"/>
        <v>0</v>
      </c>
      <c r="K180" s="253">
        <f ca="1">IF(I180&gt;0,J180*100/I180,0)</f>
        <v>0</v>
      </c>
      <c r="L180" s="254"/>
      <c r="M180" s="254"/>
      <c r="N180" s="254"/>
      <c r="O180" s="254"/>
      <c r="P180" s="254"/>
    </row>
    <row r="181" spans="1:26" ht="19.5">
      <c r="A181" s="147"/>
      <c r="B181" s="148"/>
      <c r="C181" s="149" t="s">
        <v>16</v>
      </c>
      <c r="D181" s="822" t="s">
        <v>17</v>
      </c>
      <c r="E181" s="148"/>
      <c r="F181" s="148"/>
      <c r="G181" s="151"/>
      <c r="H181" s="152" t="s">
        <v>12</v>
      </c>
      <c r="I181" s="419"/>
      <c r="J181" s="419"/>
      <c r="K181" s="154"/>
      <c r="L181" s="155">
        <f t="shared" ref="L181:N181" ca="1" si="92">L182+L183</f>
        <v>449450</v>
      </c>
      <c r="M181" s="155">
        <f t="shared" ca="1" si="92"/>
        <v>218550</v>
      </c>
      <c r="N181" s="155">
        <f t="shared" ca="1" si="92"/>
        <v>78261.34</v>
      </c>
      <c r="O181" s="155">
        <f t="shared" ref="O181:O189" ca="1" si="93">IF(L181&gt;0,N181*100/L181,0)</f>
        <v>17.412691066859495</v>
      </c>
      <c r="P181" s="155">
        <f t="shared" ref="P181:P189" ca="1" si="94">IF(M181&gt;0,N181*100/M181,0)</f>
        <v>35.809352550903682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2" t="s">
        <v>18</v>
      </c>
      <c r="F182" s="40"/>
      <c r="G182" s="157"/>
      <c r="H182" s="158" t="s">
        <v>12</v>
      </c>
      <c r="I182" s="610"/>
      <c r="J182" s="610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2" t="s">
        <v>19</v>
      </c>
      <c r="F183" s="40"/>
      <c r="G183" s="157"/>
      <c r="H183" s="158" t="s">
        <v>12</v>
      </c>
      <c r="I183" s="610"/>
      <c r="J183" s="610"/>
      <c r="K183" s="93"/>
      <c r="L183" s="93">
        <f t="shared" ca="1" si="95"/>
        <v>449450</v>
      </c>
      <c r="M183" s="93">
        <f t="shared" ca="1" si="95"/>
        <v>218550</v>
      </c>
      <c r="N183" s="93">
        <f t="shared" ca="1" si="95"/>
        <v>78261.34</v>
      </c>
      <c r="O183" s="93">
        <f t="shared" ca="1" si="93"/>
        <v>17.412691066859495</v>
      </c>
      <c r="P183" s="93">
        <f t="shared" ca="1" si="94"/>
        <v>35.809352550903682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1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6">
        <f t="shared" ref="L184:N184" ca="1" si="96">L185+L186</f>
        <v>449450</v>
      </c>
      <c r="M184" s="496">
        <f t="shared" ca="1" si="96"/>
        <v>218550</v>
      </c>
      <c r="N184" s="496">
        <f t="shared" ca="1" si="96"/>
        <v>78261.34</v>
      </c>
      <c r="O184" s="496">
        <f t="shared" ca="1" si="93"/>
        <v>17.412691066859495</v>
      </c>
      <c r="P184" s="496">
        <f t="shared" ca="1" si="94"/>
        <v>35.809352550903682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2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2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IFERROR(__xludf.DUMMYFUNCTION("IMPORTRANGE(""https://docs.google.com/spreadsheets/d/1MeEWN-I1oV_STSDYn1IFDPWt_1FKiwhDph83XaGc0o0/edit?usp=sharing"",""งบพรบ!CO60"")"),449450)</f>
        <v>449450</v>
      </c>
      <c r="M186" s="93">
        <f ca="1">IFERROR(__xludf.DUMMYFUNCTION("IMPORTRANGE(""https://docs.google.com/spreadsheets/d/1MeEWN-I1oV_STSDYn1IFDPWt_1FKiwhDph83XaGc0o0/edit?usp=sharing"",""งบพรบ!CT60"")"),218550)</f>
        <v>218550</v>
      </c>
      <c r="N186" s="93">
        <f ca="1">IFERROR(__xludf.DUMMYFUNCTION("IMPORTRANGE(""https://docs.google.com/spreadsheets/d/1MeEWN-I1oV_STSDYn1IFDPWt_1FKiwhDph83XaGc0o0/edit?usp=sharing"",""งบพรบ!CV60"")"),78261.34)</f>
        <v>78261.34</v>
      </c>
      <c r="O186" s="93">
        <f t="shared" ca="1" si="93"/>
        <v>17.412691066859495</v>
      </c>
      <c r="P186" s="93">
        <f t="shared" ca="1" si="94"/>
        <v>35.809352550903682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1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6">
        <f t="shared" ref="L187:N187" ca="1" si="97">L188+L189</f>
        <v>0</v>
      </c>
      <c r="M187" s="496">
        <f t="shared" ca="1" si="97"/>
        <v>0</v>
      </c>
      <c r="N187" s="496">
        <f t="shared" ca="1" si="97"/>
        <v>0</v>
      </c>
      <c r="O187" s="496">
        <f t="shared" ca="1" si="93"/>
        <v>0</v>
      </c>
      <c r="P187" s="496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2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2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IFERROR(__xludf.DUMMYFUNCTION("IMPORTRANGE(""https://docs.google.com/spreadsheets/d/1MeEWN-I1oV_STSDYn1IFDPWt_1FKiwhDph83XaGc0o0/edit?usp=sharing"",""งบพรบ!CR60"")"),0)</f>
        <v>0</v>
      </c>
      <c r="M189" s="93">
        <f ca="1">IFERROR(__xludf.DUMMYFUNCTION("IMPORTRANGE(""https://docs.google.com/spreadsheets/d/1MeEWN-I1oV_STSDYn1IFDPWt_1FKiwhDph83XaGc0o0/edit?usp=sharing"",""งบพรบ!CU60"")"),0)</f>
        <v>0</v>
      </c>
      <c r="N189" s="93">
        <f ca="1">IFERROR(__xludf.DUMMYFUNCTION("IMPORTRANGE(""https://docs.google.com/spreadsheets/d/1MeEWN-I1oV_STSDYn1IFDPWt_1FKiwhDph83XaGc0o0/edit?usp=sharing"",""งบพรบ!CW60"")"),0)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5"/>
      <c r="B190" s="263"/>
      <c r="C190" s="270" t="s">
        <v>89</v>
      </c>
      <c r="D190" s="256"/>
      <c r="E190" s="256"/>
      <c r="F190" s="256"/>
      <c r="G190" s="258"/>
      <c r="H190" s="259" t="s">
        <v>90</v>
      </c>
      <c r="I190" s="271">
        <f t="shared" ref="I190:J190" ca="1" si="98">I193</f>
        <v>4</v>
      </c>
      <c r="J190" s="271">
        <f t="shared" si="98"/>
        <v>1</v>
      </c>
      <c r="K190" s="272">
        <f ca="1">IF(I190&gt;0,J190*100/I190,0)</f>
        <v>25</v>
      </c>
      <c r="L190" s="261"/>
      <c r="M190" s="261"/>
      <c r="N190" s="261"/>
      <c r="O190" s="261"/>
      <c r="P190" s="261"/>
    </row>
    <row r="191" spans="1:26" ht="19.5">
      <c r="A191" s="147"/>
      <c r="B191" s="148"/>
      <c r="C191" s="149" t="s">
        <v>16</v>
      </c>
      <c r="D191" s="826" t="s">
        <v>17</v>
      </c>
      <c r="E191" s="148"/>
      <c r="F191" s="148"/>
      <c r="G191" s="151"/>
      <c r="H191" s="274" t="s">
        <v>12</v>
      </c>
      <c r="I191" s="419"/>
      <c r="J191" s="419"/>
      <c r="K191" s="154"/>
      <c r="L191" s="155">
        <f ca="1">IFERROR(__xludf.DUMMYFUNCTION("IMPORTRANGE(""https://docs.google.com/spreadsheets/d/1QqKyyYR6Q21VydFLVH3TRQUabQu_ym0Zz7PgGX0-kHA/edit?usp=sharing"",""แผน!Z60"")"),6000)</f>
        <v>6000</v>
      </c>
      <c r="M191" s="155"/>
      <c r="N191" s="275">
        <v>1100</v>
      </c>
      <c r="O191" s="155">
        <f ca="1">IF(L191&gt;0,N191*100/L191,0)</f>
        <v>18.333333333333332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0" t="s">
        <v>16</v>
      </c>
      <c r="D192" s="823" t="s">
        <v>38</v>
      </c>
      <c r="E192" s="173"/>
      <c r="F192" s="173"/>
      <c r="G192" s="174"/>
      <c r="H192" s="753"/>
      <c r="I192" s="269"/>
      <c r="J192" s="269"/>
      <c r="K192" s="496"/>
      <c r="L192" s="496"/>
      <c r="M192" s="496"/>
      <c r="N192" s="496"/>
      <c r="O192" s="496"/>
      <c r="P192" s="496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6" t="s">
        <v>91</v>
      </c>
      <c r="E193" s="178"/>
      <c r="F193" s="178"/>
      <c r="G193" s="179"/>
      <c r="H193" s="755" t="s">
        <v>90</v>
      </c>
      <c r="I193" s="269">
        <f ca="1">IFERROR(__xludf.DUMMYFUNCTION("IMPORTRANGE(""https://docs.google.com/spreadsheets/d/1QqKyyYR6Q21VydFLVH3TRQUabQu_ym0Zz7PgGX0-kHA/edit?usp=sharing"",""แผน!AC60"")"),4)</f>
        <v>4</v>
      </c>
      <c r="J193" s="214">
        <v>1</v>
      </c>
      <c r="K193" s="496">
        <f ca="1">IF(I193&gt;0,J193*100/I193,0)</f>
        <v>25</v>
      </c>
      <c r="L193" s="496"/>
      <c r="M193" s="496"/>
      <c r="N193" s="496"/>
      <c r="O193" s="496"/>
      <c r="P193" s="496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6" t="s">
        <v>92</v>
      </c>
      <c r="E194" s="178"/>
      <c r="F194" s="178"/>
      <c r="G194" s="179"/>
      <c r="H194" s="276" t="s">
        <v>35</v>
      </c>
      <c r="I194" s="269"/>
      <c r="J194" s="269">
        <f>J195+J196</f>
        <v>36</v>
      </c>
      <c r="K194" s="496"/>
      <c r="L194" s="496"/>
      <c r="M194" s="496"/>
      <c r="N194" s="496"/>
      <c r="O194" s="496"/>
      <c r="P194" s="496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6" t="s">
        <v>93</v>
      </c>
      <c r="F195" s="178"/>
      <c r="G195" s="179"/>
      <c r="H195" s="276" t="s">
        <v>35</v>
      </c>
      <c r="I195" s="269"/>
      <c r="J195" s="214">
        <v>36</v>
      </c>
      <c r="K195" s="496"/>
      <c r="L195" s="496"/>
      <c r="M195" s="496"/>
      <c r="N195" s="496"/>
      <c r="O195" s="496"/>
      <c r="P195" s="496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6" t="s">
        <v>94</v>
      </c>
      <c r="F196" s="178"/>
      <c r="G196" s="179"/>
      <c r="H196" s="276" t="s">
        <v>35</v>
      </c>
      <c r="I196" s="269"/>
      <c r="J196" s="214">
        <v>0</v>
      </c>
      <c r="K196" s="496"/>
      <c r="L196" s="496"/>
      <c r="M196" s="496"/>
      <c r="N196" s="496"/>
      <c r="O196" s="496"/>
      <c r="P196" s="496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 hidden="1">
      <c r="A197" s="255"/>
      <c r="B197" s="263"/>
      <c r="C197" s="270" t="s">
        <v>95</v>
      </c>
      <c r="D197" s="256"/>
      <c r="E197" s="256"/>
      <c r="F197" s="256"/>
      <c r="G197" s="258"/>
      <c r="H197" s="277" t="s">
        <v>96</v>
      </c>
      <c r="I197" s="271">
        <f t="shared" ref="I197:J197" ca="1" si="99">I204</f>
        <v>0</v>
      </c>
      <c r="J197" s="271">
        <f t="shared" si="99"/>
        <v>0</v>
      </c>
      <c r="K197" s="272">
        <f ca="1">IF(I197&gt;0,J197*100/I197,0)</f>
        <v>0</v>
      </c>
      <c r="L197" s="261"/>
      <c r="M197" s="261"/>
      <c r="N197" s="261"/>
      <c r="O197" s="261"/>
      <c r="P197" s="261"/>
    </row>
    <row r="198" spans="1:26" ht="19.5" hidden="1">
      <c r="A198" s="147"/>
      <c r="B198" s="148"/>
      <c r="C198" s="149" t="s">
        <v>16</v>
      </c>
      <c r="D198" s="826" t="s">
        <v>17</v>
      </c>
      <c r="E198" s="148"/>
      <c r="F198" s="148"/>
      <c r="G198" s="151"/>
      <c r="H198" s="274" t="s">
        <v>12</v>
      </c>
      <c r="I198" s="418"/>
      <c r="J198" s="418"/>
      <c r="K198" s="279"/>
      <c r="L198" s="155">
        <f ca="1">L199+L200+L201+L202</f>
        <v>0</v>
      </c>
      <c r="M198" s="155"/>
      <c r="N198" s="155">
        <f>N199+N200+N201+N202</f>
        <v>0</v>
      </c>
      <c r="O198" s="155">
        <f ca="1">IF(L198&gt;0,N198*100/L198,0)</f>
        <v>0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 hidden="1">
      <c r="A199" s="159"/>
      <c r="B199" s="280"/>
      <c r="C199" s="33"/>
      <c r="D199" s="281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6">
        <f ca="1">IFERROR(__xludf.DUMMYFUNCTION("IMPORTRANGE(""https://docs.google.com/spreadsheets/d/1QqKyyYR6Q21VydFLVH3TRQUabQu_ym0Zz7PgGX0-kHA/edit?usp=sharing"",""แผน!AE60"")"),0)</f>
        <v>0</v>
      </c>
      <c r="M199" s="496"/>
      <c r="N199" s="817">
        <v>0</v>
      </c>
      <c r="O199" s="496"/>
      <c r="P199" s="496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 hidden="1">
      <c r="A200" s="284"/>
      <c r="B200" s="280"/>
      <c r="C200" s="210"/>
      <c r="D200" s="281" t="s">
        <v>98</v>
      </c>
      <c r="E200" s="33"/>
      <c r="F200" s="33"/>
      <c r="G200" s="35"/>
      <c r="H200" s="616" t="s">
        <v>12</v>
      </c>
      <c r="I200" s="269"/>
      <c r="J200" s="269"/>
      <c r="K200" s="496"/>
      <c r="L200" s="496">
        <f ca="1">IFERROR(__xludf.DUMMYFUNCTION("IMPORTRANGE(""https://docs.google.com/spreadsheets/d/1QqKyyYR6Q21VydFLVH3TRQUabQu_ym0Zz7PgGX0-kHA/edit?usp=sharing"",""แผน!AF60"")"),0)</f>
        <v>0</v>
      </c>
      <c r="M200" s="496"/>
      <c r="N200" s="817">
        <v>0</v>
      </c>
      <c r="O200" s="496"/>
      <c r="P200" s="496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 hidden="1">
      <c r="A201" s="284"/>
      <c r="B201" s="280"/>
      <c r="C201" s="210"/>
      <c r="D201" s="281" t="s">
        <v>99</v>
      </c>
      <c r="E201" s="33"/>
      <c r="F201" s="33"/>
      <c r="G201" s="35"/>
      <c r="H201" s="616" t="s">
        <v>12</v>
      </c>
      <c r="I201" s="269"/>
      <c r="J201" s="269"/>
      <c r="K201" s="496"/>
      <c r="L201" s="496">
        <f ca="1">IFERROR(__xludf.DUMMYFUNCTION("IMPORTRANGE(""https://docs.google.com/spreadsheets/d/1QqKyyYR6Q21VydFLVH3TRQUabQu_ym0Zz7PgGX0-kHA/edit?usp=sharing"",""แผน!AG60"")"),0)</f>
        <v>0</v>
      </c>
      <c r="M201" s="496"/>
      <c r="N201" s="817">
        <v>0</v>
      </c>
      <c r="O201" s="496"/>
      <c r="P201" s="496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 hidden="1">
      <c r="A202" s="284"/>
      <c r="B202" s="280"/>
      <c r="C202" s="210"/>
      <c r="D202" s="281" t="s">
        <v>100</v>
      </c>
      <c r="E202" s="33"/>
      <c r="F202" s="33"/>
      <c r="G202" s="35"/>
      <c r="H202" s="616" t="s">
        <v>12</v>
      </c>
      <c r="I202" s="269"/>
      <c r="J202" s="269"/>
      <c r="K202" s="496"/>
      <c r="L202" s="496">
        <f ca="1">IFERROR(__xludf.DUMMYFUNCTION("IMPORTRANGE(""https://docs.google.com/spreadsheets/d/1QqKyyYR6Q21VydFLVH3TRQUabQu_ym0Zz7PgGX0-kHA/edit?usp=sharing"",""แผน!AH60"")"),0)</f>
        <v>0</v>
      </c>
      <c r="M202" s="496"/>
      <c r="N202" s="817">
        <v>0</v>
      </c>
      <c r="O202" s="496"/>
      <c r="P202" s="496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 hidden="1">
      <c r="A203" s="170"/>
      <c r="B203" s="171"/>
      <c r="C203" s="210" t="s">
        <v>16</v>
      </c>
      <c r="D203" s="823" t="s">
        <v>38</v>
      </c>
      <c r="E203" s="173"/>
      <c r="F203" s="173"/>
      <c r="G203" s="174"/>
      <c r="H203" s="753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 hidden="1">
      <c r="A204" s="170"/>
      <c r="B204" s="171"/>
      <c r="C204" s="171"/>
      <c r="D204" s="176" t="s">
        <v>101</v>
      </c>
      <c r="E204" s="178"/>
      <c r="F204" s="178"/>
      <c r="G204" s="179"/>
      <c r="H204" s="753" t="s">
        <v>96</v>
      </c>
      <c r="I204" s="269">
        <f ca="1">IFERROR(__xludf.DUMMYFUNCTION("IMPORTRANGE(""https://docs.google.com/spreadsheets/d/1QqKyyYR6Q21VydFLVH3TRQUabQu_ym0Zz7PgGX0-kHA/edit?usp=sharing"",""แผน!AI60"")"),0)</f>
        <v>0</v>
      </c>
      <c r="J204" s="214">
        <v>0</v>
      </c>
      <c r="K204" s="163">
        <f ca="1">IF(I204&gt;0,J204*100/I204,0)</f>
        <v>0</v>
      </c>
      <c r="L204" s="496"/>
      <c r="M204" s="496"/>
      <c r="N204" s="496"/>
      <c r="O204" s="496"/>
      <c r="P204" s="496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 hidden="1">
      <c r="A205" s="170"/>
      <c r="B205" s="171"/>
      <c r="C205" s="171"/>
      <c r="D205" s="446" t="s">
        <v>59</v>
      </c>
      <c r="E205" s="178"/>
      <c r="F205" s="178"/>
      <c r="G205" s="179"/>
      <c r="H205" s="753"/>
      <c r="I205" s="269"/>
      <c r="J205" s="269"/>
      <c r="K205" s="163"/>
      <c r="L205" s="496"/>
      <c r="M205" s="496"/>
      <c r="N205" s="496"/>
      <c r="O205" s="496"/>
      <c r="P205" s="496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 hidden="1">
      <c r="A206" s="170"/>
      <c r="B206" s="171"/>
      <c r="C206" s="171"/>
      <c r="D206" s="178"/>
      <c r="E206" s="446" t="s">
        <v>343</v>
      </c>
      <c r="F206" s="178"/>
      <c r="G206" s="179"/>
      <c r="H206" s="753" t="s">
        <v>96</v>
      </c>
      <c r="I206" s="269"/>
      <c r="J206" s="214">
        <v>0</v>
      </c>
      <c r="K206" s="163"/>
      <c r="L206" s="496"/>
      <c r="M206" s="496"/>
      <c r="N206" s="496"/>
      <c r="O206" s="496"/>
      <c r="P206" s="496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 hidden="1">
      <c r="A207" s="170"/>
      <c r="B207" s="171"/>
      <c r="C207" s="171"/>
      <c r="D207" s="446"/>
      <c r="E207" s="446" t="s">
        <v>344</v>
      </c>
      <c r="F207" s="178"/>
      <c r="G207" s="179"/>
      <c r="H207" s="755" t="s">
        <v>69</v>
      </c>
      <c r="I207" s="269"/>
      <c r="J207" s="214">
        <v>0</v>
      </c>
      <c r="K207" s="163"/>
      <c r="L207" s="496"/>
      <c r="M207" s="496"/>
      <c r="N207" s="496"/>
      <c r="O207" s="496"/>
      <c r="P207" s="496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 hidden="1">
      <c r="A208" s="255"/>
      <c r="B208" s="263"/>
      <c r="C208" s="270" t="s">
        <v>105</v>
      </c>
      <c r="D208" s="256"/>
      <c r="E208" s="256"/>
      <c r="F208" s="291"/>
      <c r="G208" s="258"/>
      <c r="H208" s="277" t="s">
        <v>96</v>
      </c>
      <c r="I208" s="271">
        <f t="shared" ref="I208:J208" ca="1" si="100">I215</f>
        <v>0</v>
      </c>
      <c r="J208" s="271">
        <f t="shared" si="100"/>
        <v>0</v>
      </c>
      <c r="K208" s="272">
        <f ca="1">IF(I208&gt;0,J208*100/I208,0)</f>
        <v>0</v>
      </c>
      <c r="L208" s="261"/>
      <c r="M208" s="261"/>
      <c r="N208" s="261"/>
      <c r="O208" s="261"/>
      <c r="P208" s="261"/>
    </row>
    <row r="209" spans="1:26" ht="19.5" hidden="1">
      <c r="A209" s="147"/>
      <c r="B209" s="148"/>
      <c r="C209" s="149" t="s">
        <v>16</v>
      </c>
      <c r="D209" s="826" t="s">
        <v>17</v>
      </c>
      <c r="E209" s="148"/>
      <c r="F209" s="148"/>
      <c r="G209" s="151"/>
      <c r="H209" s="274" t="s">
        <v>12</v>
      </c>
      <c r="I209" s="418"/>
      <c r="J209" s="418"/>
      <c r="K209" s="279"/>
      <c r="L209" s="155">
        <f ca="1">L210+L211+L212</f>
        <v>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 hidden="1">
      <c r="A210" s="159"/>
      <c r="B210" s="280"/>
      <c r="C210" s="33"/>
      <c r="D210" s="281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6">
        <f ca="1">IFERROR(__xludf.DUMMYFUNCTION("IMPORTRANGE(""https://docs.google.com/spreadsheets/d/1QqKyyYR6Q21VydFLVH3TRQUabQu_ym0Zz7PgGX0-kHA/edit?usp=sharing"",""แผน!AK60"")"),0)</f>
        <v>0</v>
      </c>
      <c r="M210" s="496"/>
      <c r="N210" s="817">
        <v>0</v>
      </c>
      <c r="O210" s="496"/>
      <c r="P210" s="496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 hidden="1">
      <c r="A211" s="284"/>
      <c r="B211" s="280"/>
      <c r="C211" s="292"/>
      <c r="D211" s="281" t="s">
        <v>99</v>
      </c>
      <c r="E211" s="33"/>
      <c r="F211" s="33"/>
      <c r="G211" s="35"/>
      <c r="H211" s="161" t="s">
        <v>12</v>
      </c>
      <c r="I211" s="269"/>
      <c r="J211" s="269"/>
      <c r="K211" s="496"/>
      <c r="L211" s="496">
        <f ca="1">IFERROR(__xludf.DUMMYFUNCTION("IMPORTRANGE(""https://docs.google.com/spreadsheets/d/1QqKyyYR6Q21VydFLVH3TRQUabQu_ym0Zz7PgGX0-kHA/edit?usp=sharing"",""แผน!AL60"")"),0)</f>
        <v>0</v>
      </c>
      <c r="M211" s="496"/>
      <c r="N211" s="817">
        <v>0</v>
      </c>
      <c r="O211" s="496"/>
      <c r="P211" s="496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 hidden="1">
      <c r="A212" s="284"/>
      <c r="B212" s="280"/>
      <c r="C212" s="292"/>
      <c r="D212" s="281" t="s">
        <v>98</v>
      </c>
      <c r="E212" s="33"/>
      <c r="F212" s="33"/>
      <c r="G212" s="35"/>
      <c r="H212" s="161" t="s">
        <v>12</v>
      </c>
      <c r="I212" s="269"/>
      <c r="J212" s="269"/>
      <c r="K212" s="496"/>
      <c r="L212" s="496">
        <f ca="1">IFERROR(__xludf.DUMMYFUNCTION("IMPORTRANGE(""https://docs.google.com/spreadsheets/d/1QqKyyYR6Q21VydFLVH3TRQUabQu_ym0Zz7PgGX0-kHA/edit?usp=sharing"",""แผน!AM60"")"),0)</f>
        <v>0</v>
      </c>
      <c r="M212" s="496"/>
      <c r="N212" s="817">
        <v>0</v>
      </c>
      <c r="O212" s="496"/>
      <c r="P212" s="496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 hidden="1">
      <c r="A213" s="170"/>
      <c r="B213" s="171"/>
      <c r="C213" s="292" t="s">
        <v>16</v>
      </c>
      <c r="D213" s="823" t="s">
        <v>38</v>
      </c>
      <c r="E213" s="173"/>
      <c r="F213" s="173"/>
      <c r="G213" s="174"/>
      <c r="H213" s="753"/>
      <c r="I213" s="184"/>
      <c r="J213" s="269"/>
      <c r="K213" s="496"/>
      <c r="L213" s="496"/>
      <c r="M213" s="496"/>
      <c r="N213" s="496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 hidden="1">
      <c r="A214" s="170"/>
      <c r="B214" s="171"/>
      <c r="C214" s="171"/>
      <c r="D214" s="176" t="s">
        <v>106</v>
      </c>
      <c r="E214" s="178"/>
      <c r="F214" s="178"/>
      <c r="G214" s="179"/>
      <c r="H214" s="753" t="s">
        <v>96</v>
      </c>
      <c r="I214" s="269">
        <f ca="1">IFERROR(__xludf.DUMMYFUNCTION("IMPORTRANGE(""https://docs.google.com/spreadsheets/d/1QqKyyYR6Q21VydFLVH3TRQUabQu_ym0Zz7PgGX0-kHA/edit?usp=sharing"",""แผน!AN60"")"),0)</f>
        <v>0</v>
      </c>
      <c r="J214" s="214">
        <v>0</v>
      </c>
      <c r="K214" s="496">
        <f t="shared" ref="K214:K216" ca="1" si="101">IF(I214&gt;0,J214*100/I214,0)</f>
        <v>0</v>
      </c>
      <c r="L214" s="496"/>
      <c r="M214" s="496"/>
      <c r="N214" s="496"/>
      <c r="O214" s="496"/>
      <c r="P214" s="496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 hidden="1">
      <c r="A215" s="170"/>
      <c r="B215" s="171"/>
      <c r="C215" s="171"/>
      <c r="D215" s="176" t="s">
        <v>107</v>
      </c>
      <c r="E215" s="178"/>
      <c r="F215" s="178"/>
      <c r="G215" s="179"/>
      <c r="H215" s="753" t="s">
        <v>96</v>
      </c>
      <c r="I215" s="269">
        <f ca="1">IFERROR(__xludf.DUMMYFUNCTION("IMPORTRANGE(""https://docs.google.com/spreadsheets/d/1QqKyyYR6Q21VydFLVH3TRQUabQu_ym0Zz7PgGX0-kHA/edit?usp=sharing"",""แผน!AN60"")"),0)</f>
        <v>0</v>
      </c>
      <c r="J215" s="214">
        <v>0</v>
      </c>
      <c r="K215" s="496">
        <f t="shared" ca="1" si="101"/>
        <v>0</v>
      </c>
      <c r="L215" s="496"/>
      <c r="M215" s="496"/>
      <c r="N215" s="496"/>
      <c r="O215" s="496"/>
      <c r="P215" s="496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5"/>
      <c r="B216" s="263"/>
      <c r="C216" s="270" t="s">
        <v>108</v>
      </c>
      <c r="D216" s="256"/>
      <c r="E216" s="256"/>
      <c r="F216" s="291"/>
      <c r="G216" s="258"/>
      <c r="H216" s="259" t="s">
        <v>109</v>
      </c>
      <c r="I216" s="271">
        <f t="shared" ref="I216:J216" ca="1" si="102">I224</f>
        <v>5000</v>
      </c>
      <c r="J216" s="271">
        <f t="shared" si="102"/>
        <v>0</v>
      </c>
      <c r="K216" s="272">
        <f t="shared" ca="1" si="101"/>
        <v>0</v>
      </c>
      <c r="L216" s="261"/>
      <c r="M216" s="261"/>
      <c r="N216" s="261"/>
      <c r="O216" s="261"/>
      <c r="P216" s="261"/>
    </row>
    <row r="217" spans="1:26" ht="19.5">
      <c r="A217" s="147"/>
      <c r="B217" s="148"/>
      <c r="C217" s="149" t="s">
        <v>16</v>
      </c>
      <c r="D217" s="826" t="s">
        <v>17</v>
      </c>
      <c r="E217" s="148"/>
      <c r="F217" s="148"/>
      <c r="G217" s="151"/>
      <c r="H217" s="274" t="s">
        <v>12</v>
      </c>
      <c r="I217" s="418"/>
      <c r="J217" s="418"/>
      <c r="K217" s="279"/>
      <c r="L217" s="155">
        <f ca="1">L218+L219+L220</f>
        <v>5900</v>
      </c>
      <c r="M217" s="155"/>
      <c r="N217" s="155">
        <f>N218+N219+N220</f>
        <v>0</v>
      </c>
      <c r="O217" s="155">
        <f ca="1">IF(L217&gt;0,N217*100/L217,0)</f>
        <v>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0"/>
      <c r="C218" s="33"/>
      <c r="D218" s="281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6">
        <f ca="1">IFERROR(__xludf.DUMMYFUNCTION("IMPORTRANGE(""https://docs.google.com/spreadsheets/d/1QqKyyYR6Q21VydFLVH3TRQUabQu_ym0Zz7PgGX0-kHA/edit?usp=sharing"",""แผน!AP60"")"),3000)</f>
        <v>3000</v>
      </c>
      <c r="M218" s="496"/>
      <c r="N218" s="817">
        <v>0</v>
      </c>
      <c r="O218" s="496"/>
      <c r="P218" s="496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4"/>
      <c r="B219" s="280"/>
      <c r="C219" s="292"/>
      <c r="D219" s="281" t="s">
        <v>110</v>
      </c>
      <c r="E219" s="33"/>
      <c r="F219" s="33"/>
      <c r="G219" s="35"/>
      <c r="H219" s="161" t="s">
        <v>12</v>
      </c>
      <c r="I219" s="269"/>
      <c r="J219" s="269"/>
      <c r="K219" s="496"/>
      <c r="L219" s="496">
        <f ca="1">IFERROR(__xludf.DUMMYFUNCTION("IMPORTRANGE(""https://docs.google.com/spreadsheets/d/1QqKyyYR6Q21VydFLVH3TRQUabQu_ym0Zz7PgGX0-kHA/edit?usp=sharing"",""แผน!AQ60"")"),2900)</f>
        <v>2900</v>
      </c>
      <c r="M219" s="496"/>
      <c r="N219" s="817">
        <v>0</v>
      </c>
      <c r="O219" s="496"/>
      <c r="P219" s="496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0"/>
      <c r="C220" s="292"/>
      <c r="D220" s="281" t="s">
        <v>98</v>
      </c>
      <c r="E220" s="33"/>
      <c r="F220" s="33"/>
      <c r="G220" s="35"/>
      <c r="H220" s="161" t="s">
        <v>12</v>
      </c>
      <c r="I220" s="269"/>
      <c r="J220" s="269"/>
      <c r="K220" s="496"/>
      <c r="L220" s="496">
        <f ca="1">IFERROR(__xludf.DUMMYFUNCTION("IMPORTRANGE(""https://docs.google.com/spreadsheets/d/1QqKyyYR6Q21VydFLVH3TRQUabQu_ym0Zz7PgGX0-kHA/edit?usp=sharing"",""แผน!AR60"")"),0)</f>
        <v>0</v>
      </c>
      <c r="M220" s="496"/>
      <c r="N220" s="817">
        <v>0</v>
      </c>
      <c r="O220" s="496"/>
      <c r="P220" s="496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70"/>
      <c r="B221" s="171"/>
      <c r="C221" s="292" t="s">
        <v>16</v>
      </c>
      <c r="D221" s="823" t="s">
        <v>38</v>
      </c>
      <c r="E221" s="173"/>
      <c r="F221" s="173"/>
      <c r="G221" s="174"/>
      <c r="H221" s="753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1" t="s">
        <v>111</v>
      </c>
      <c r="E222" s="178"/>
      <c r="F222" s="178"/>
      <c r="G222" s="179"/>
      <c r="H222" s="753"/>
      <c r="I222" s="269"/>
      <c r="J222" s="269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55" t="s">
        <v>109</v>
      </c>
      <c r="I223" s="269">
        <f ca="1">IFERROR(__xludf.DUMMYFUNCTION("IMPORTRANGE(""https://docs.google.com/spreadsheets/d/1QqKyyYR6Q21VydFLVH3TRQUabQu_ym0Zz7PgGX0-kHA/edit?usp=sharing"",""แผน!AT60"")"),5000)</f>
        <v>5000</v>
      </c>
      <c r="J223" s="214">
        <v>0</v>
      </c>
      <c r="K223" s="163">
        <f t="shared" ref="K223:K226" ca="1" si="103">IF(I223&gt;0,J223*100/I223,0)</f>
        <v>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55" t="s">
        <v>109</v>
      </c>
      <c r="I224" s="269">
        <f ca="1">IFERROR(__xludf.DUMMYFUNCTION("IMPORTRANGE(""https://docs.google.com/spreadsheets/d/1QqKyyYR6Q21VydFLVH3TRQUabQu_ym0Zz7PgGX0-kHA/edit?usp=sharing"",""แผน!AT60"")"),5000)</f>
        <v>5000</v>
      </c>
      <c r="J224" s="214">
        <v>0</v>
      </c>
      <c r="K224" s="163">
        <f t="shared" ca="1" si="103"/>
        <v>0</v>
      </c>
      <c r="L224" s="496"/>
      <c r="M224" s="496"/>
      <c r="N224" s="496"/>
      <c r="O224" s="496"/>
      <c r="P224" s="496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1" t="s">
        <v>114</v>
      </c>
      <c r="E225" s="178"/>
      <c r="F225" s="178"/>
      <c r="G225" s="179"/>
      <c r="H225" s="755" t="s">
        <v>35</v>
      </c>
      <c r="I225" s="269">
        <f ca="1">IFERROR(__xludf.DUMMYFUNCTION("IMPORTRANGE(""https://docs.google.com/spreadsheets/d/1QqKyyYR6Q21VydFLVH3TRQUabQu_ym0Zz7PgGX0-kHA/edit?usp=sharing"",""แผน!AS60"")"),0)</f>
        <v>0</v>
      </c>
      <c r="J225" s="214">
        <v>0</v>
      </c>
      <c r="K225" s="163">
        <f t="shared" ca="1" si="103"/>
        <v>0</v>
      </c>
      <c r="L225" s="496"/>
      <c r="M225" s="496"/>
      <c r="N225" s="496"/>
      <c r="O225" s="496"/>
      <c r="P225" s="496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5"/>
      <c r="B226" s="263"/>
      <c r="C226" s="341" t="s">
        <v>115</v>
      </c>
      <c r="D226" s="256"/>
      <c r="E226" s="256"/>
      <c r="F226" s="256"/>
      <c r="G226" s="258"/>
      <c r="H226" s="265" t="s">
        <v>35</v>
      </c>
      <c r="I226" s="344">
        <f t="shared" ref="I226:J226" ca="1" si="104">I237+I248</f>
        <v>15</v>
      </c>
      <c r="J226" s="344">
        <f t="shared" si="104"/>
        <v>0</v>
      </c>
      <c r="K226" s="345">
        <f t="shared" ca="1" si="103"/>
        <v>0</v>
      </c>
      <c r="L226" s="261"/>
      <c r="M226" s="261"/>
      <c r="N226" s="261"/>
      <c r="O226" s="261"/>
      <c r="P226" s="261"/>
    </row>
    <row r="227" spans="1:26" ht="19.5" hidden="1">
      <c r="A227" s="347"/>
      <c r="B227" s="348"/>
      <c r="C227" s="349" t="s">
        <v>16</v>
      </c>
      <c r="D227" s="827" t="s">
        <v>17</v>
      </c>
      <c r="E227" s="348"/>
      <c r="F227" s="348"/>
      <c r="G227" s="351"/>
      <c r="H227" s="352" t="s">
        <v>12</v>
      </c>
      <c r="I227" s="353"/>
      <c r="J227" s="353"/>
      <c r="K227" s="354"/>
      <c r="L227" s="355">
        <f t="shared" ref="L227:L231" ca="1" si="105">L238+L249</f>
        <v>56550</v>
      </c>
      <c r="M227" s="355"/>
      <c r="N227" s="355">
        <f t="shared" ref="N227:N231" si="106">N238+N249</f>
        <v>0</v>
      </c>
      <c r="O227" s="828"/>
      <c r="P227" s="828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6"/>
      <c r="C228" s="40"/>
      <c r="D228" s="222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5"/>
        <v>20000</v>
      </c>
      <c r="M228" s="93"/>
      <c r="N228" s="93">
        <f t="shared" si="106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8"/>
      <c r="B229" s="356"/>
      <c r="C229" s="359"/>
      <c r="D229" s="222" t="s">
        <v>98</v>
      </c>
      <c r="E229" s="40"/>
      <c r="F229" s="40"/>
      <c r="G229" s="42"/>
      <c r="H229" s="165" t="s">
        <v>12</v>
      </c>
      <c r="I229" s="610"/>
      <c r="J229" s="610"/>
      <c r="K229" s="93"/>
      <c r="L229" s="93">
        <f t="shared" ca="1" si="105"/>
        <v>16550</v>
      </c>
      <c r="M229" s="93"/>
      <c r="N229" s="93">
        <f t="shared" si="106"/>
        <v>0</v>
      </c>
      <c r="O229" s="93"/>
      <c r="P229" s="93"/>
      <c r="Q229" s="360"/>
      <c r="R229" s="360"/>
      <c r="S229" s="360"/>
      <c r="T229" s="360"/>
      <c r="U229" s="360"/>
      <c r="V229" s="360"/>
      <c r="W229" s="360"/>
      <c r="X229" s="360"/>
      <c r="Y229" s="360"/>
      <c r="Z229" s="360"/>
    </row>
    <row r="230" spans="1:26" ht="19.5" hidden="1">
      <c r="A230" s="358"/>
      <c r="B230" s="356"/>
      <c r="C230" s="359"/>
      <c r="D230" s="222" t="s">
        <v>116</v>
      </c>
      <c r="E230" s="40"/>
      <c r="F230" s="40"/>
      <c r="G230" s="42"/>
      <c r="H230" s="165" t="s">
        <v>12</v>
      </c>
      <c r="I230" s="610"/>
      <c r="J230" s="610"/>
      <c r="K230" s="93"/>
      <c r="L230" s="93">
        <f t="shared" ca="1" si="105"/>
        <v>10000</v>
      </c>
      <c r="M230" s="93"/>
      <c r="N230" s="93">
        <f t="shared" si="106"/>
        <v>0</v>
      </c>
      <c r="O230" s="93"/>
      <c r="P230" s="93"/>
      <c r="Q230" s="360"/>
      <c r="R230" s="360"/>
      <c r="S230" s="360"/>
      <c r="T230" s="360"/>
      <c r="U230" s="360"/>
      <c r="V230" s="360"/>
      <c r="W230" s="360"/>
      <c r="X230" s="360"/>
      <c r="Y230" s="360"/>
      <c r="Z230" s="360"/>
    </row>
    <row r="231" spans="1:26" ht="19.5" hidden="1">
      <c r="A231" s="358"/>
      <c r="B231" s="356"/>
      <c r="C231" s="359"/>
      <c r="D231" s="222" t="s">
        <v>100</v>
      </c>
      <c r="E231" s="40"/>
      <c r="F231" s="40"/>
      <c r="G231" s="42"/>
      <c r="H231" s="165" t="s">
        <v>12</v>
      </c>
      <c r="I231" s="610"/>
      <c r="J231" s="610"/>
      <c r="K231" s="93"/>
      <c r="L231" s="93">
        <f t="shared" ca="1" si="105"/>
        <v>10000</v>
      </c>
      <c r="M231" s="93"/>
      <c r="N231" s="93">
        <f t="shared" si="106"/>
        <v>0</v>
      </c>
      <c r="O231" s="93"/>
      <c r="P231" s="93"/>
      <c r="Q231" s="360"/>
      <c r="R231" s="360"/>
      <c r="S231" s="360"/>
      <c r="T231" s="360"/>
      <c r="U231" s="360"/>
      <c r="V231" s="360"/>
      <c r="W231" s="360"/>
      <c r="X231" s="360"/>
      <c r="Y231" s="360"/>
      <c r="Z231" s="360"/>
    </row>
    <row r="232" spans="1:26" ht="19.5" hidden="1">
      <c r="A232" s="361"/>
      <c r="B232" s="362"/>
      <c r="C232" s="359" t="s">
        <v>16</v>
      </c>
      <c r="D232" s="266" t="s">
        <v>38</v>
      </c>
      <c r="E232" s="363"/>
      <c r="F232" s="363"/>
      <c r="G232" s="364"/>
      <c r="H232" s="365"/>
      <c r="I232" s="166"/>
      <c r="J232" s="610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1"/>
      <c r="B233" s="362"/>
      <c r="C233" s="362"/>
      <c r="D233" s="366" t="s">
        <v>117</v>
      </c>
      <c r="E233" s="372"/>
      <c r="F233" s="372"/>
      <c r="G233" s="368"/>
      <c r="H233" s="369" t="s">
        <v>35</v>
      </c>
      <c r="I233" s="610">
        <f t="shared" ref="I233:J233" ca="1" si="107">I244+I255</f>
        <v>15</v>
      </c>
      <c r="J233" s="610">
        <f t="shared" si="107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1"/>
      <c r="B234" s="362"/>
      <c r="C234" s="362"/>
      <c r="D234" s="371" t="s">
        <v>43</v>
      </c>
      <c r="E234" s="372"/>
      <c r="F234" s="372"/>
      <c r="G234" s="368"/>
      <c r="H234" s="369"/>
      <c r="I234" s="610"/>
      <c r="J234" s="610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1"/>
      <c r="B235" s="362"/>
      <c r="C235" s="362"/>
      <c r="D235" s="362"/>
      <c r="E235" s="373" t="s">
        <v>118</v>
      </c>
      <c r="F235" s="372"/>
      <c r="G235" s="368"/>
      <c r="H235" s="369" t="s">
        <v>35</v>
      </c>
      <c r="I235" s="610">
        <f t="shared" ref="I235:J236" si="108">I246+I257</f>
        <v>15</v>
      </c>
      <c r="J235" s="610">
        <f t="shared" si="108"/>
        <v>0</v>
      </c>
      <c r="K235" s="93">
        <f t="shared" ref="K235:K237" si="109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1"/>
      <c r="B236" s="362"/>
      <c r="C236" s="362"/>
      <c r="D236" s="362"/>
      <c r="E236" s="373" t="s">
        <v>119</v>
      </c>
      <c r="F236" s="372"/>
      <c r="G236" s="368"/>
      <c r="H236" s="369" t="s">
        <v>69</v>
      </c>
      <c r="I236" s="610">
        <f t="shared" si="108"/>
        <v>1</v>
      </c>
      <c r="J236" s="610">
        <f t="shared" si="108"/>
        <v>0</v>
      </c>
      <c r="K236" s="93">
        <f t="shared" si="109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>
      <c r="A237" s="255"/>
      <c r="B237" s="263"/>
      <c r="C237" s="270" t="s">
        <v>341</v>
      </c>
      <c r="D237" s="256"/>
      <c r="E237" s="256"/>
      <c r="F237" s="256"/>
      <c r="G237" s="258"/>
      <c r="H237" s="259" t="s">
        <v>35</v>
      </c>
      <c r="I237" s="271">
        <f t="shared" ref="I237:J237" ca="1" si="110">I244</f>
        <v>15</v>
      </c>
      <c r="J237" s="271">
        <f t="shared" si="110"/>
        <v>0</v>
      </c>
      <c r="K237" s="272">
        <f t="shared" ca="1" si="109"/>
        <v>0</v>
      </c>
      <c r="L237" s="261"/>
      <c r="M237" s="261"/>
      <c r="N237" s="261"/>
      <c r="O237" s="261"/>
      <c r="P237" s="261"/>
    </row>
    <row r="238" spans="1:26" ht="19.5">
      <c r="A238" s="147"/>
      <c r="B238" s="148"/>
      <c r="C238" s="149" t="s">
        <v>16</v>
      </c>
      <c r="D238" s="822" t="s">
        <v>17</v>
      </c>
      <c r="E238" s="148"/>
      <c r="F238" s="148"/>
      <c r="G238" s="151"/>
      <c r="H238" s="274" t="s">
        <v>12</v>
      </c>
      <c r="I238" s="418"/>
      <c r="J238" s="418"/>
      <c r="K238" s="279"/>
      <c r="L238" s="155">
        <f ca="1">L239+L240+L241+L242</f>
        <v>56550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>
      <c r="A239" s="314"/>
      <c r="B239" s="315"/>
      <c r="C239" s="316"/>
      <c r="D239" s="324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282">
        <f ca="1">IFERROR(__xludf.DUMMYFUNCTION("IMPORTRANGE(""https://docs.google.com/spreadsheets/d/1QqKyyYR6Q21VydFLVH3TRQUabQu_ym0Zz7PgGX0-kHA/edit?usp=sharing"",""แผน!AV60"")"),20000)</f>
        <v>20000</v>
      </c>
      <c r="M239" s="282"/>
      <c r="N239" s="829">
        <v>0</v>
      </c>
      <c r="O239" s="282"/>
      <c r="P239" s="28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>
      <c r="A240" s="322"/>
      <c r="B240" s="315"/>
      <c r="C240" s="323"/>
      <c r="D240" s="324" t="s">
        <v>98</v>
      </c>
      <c r="E240" s="316"/>
      <c r="F240" s="316"/>
      <c r="G240" s="318"/>
      <c r="H240" s="319" t="s">
        <v>12</v>
      </c>
      <c r="I240" s="325"/>
      <c r="J240" s="325"/>
      <c r="K240" s="282"/>
      <c r="L240" s="282">
        <f ca="1">IFERROR(__xludf.DUMMYFUNCTION("IMPORTRANGE(""https://docs.google.com/spreadsheets/d/1QqKyyYR6Q21VydFLVH3TRQUabQu_ym0Zz7PgGX0-kHA/edit?usp=sharing"",""แผน!AW60"")"),16550)</f>
        <v>16550</v>
      </c>
      <c r="M240" s="282"/>
      <c r="N240" s="829">
        <v>0</v>
      </c>
      <c r="O240" s="282"/>
      <c r="P240" s="282"/>
      <c r="Q240" s="326"/>
      <c r="R240" s="326"/>
      <c r="S240" s="326"/>
      <c r="T240" s="326"/>
      <c r="U240" s="326"/>
      <c r="V240" s="326"/>
      <c r="W240" s="326"/>
      <c r="X240" s="326"/>
      <c r="Y240" s="326"/>
      <c r="Z240" s="326"/>
    </row>
    <row r="241" spans="1:26" ht="19.5">
      <c r="A241" s="322"/>
      <c r="B241" s="315"/>
      <c r="C241" s="323"/>
      <c r="D241" s="324" t="s">
        <v>116</v>
      </c>
      <c r="E241" s="316"/>
      <c r="F241" s="316"/>
      <c r="G241" s="318"/>
      <c r="H241" s="319" t="s">
        <v>12</v>
      </c>
      <c r="I241" s="325"/>
      <c r="J241" s="325"/>
      <c r="K241" s="282"/>
      <c r="L241" s="282">
        <f ca="1">IFERROR(__xludf.DUMMYFUNCTION("IMPORTRANGE(""https://docs.google.com/spreadsheets/d/1QqKyyYR6Q21VydFLVH3TRQUabQu_ym0Zz7PgGX0-kHA/edit?usp=sharing"",""แผน!AX60"")"),10000)</f>
        <v>10000</v>
      </c>
      <c r="M241" s="282"/>
      <c r="N241" s="829">
        <v>0</v>
      </c>
      <c r="O241" s="282"/>
      <c r="P241" s="282"/>
      <c r="Q241" s="326"/>
      <c r="R241" s="326"/>
      <c r="S241" s="326"/>
      <c r="T241" s="326"/>
      <c r="U241" s="326"/>
      <c r="V241" s="326"/>
      <c r="W241" s="326"/>
      <c r="X241" s="326"/>
      <c r="Y241" s="326"/>
      <c r="Z241" s="326"/>
    </row>
    <row r="242" spans="1:26" ht="19.5">
      <c r="A242" s="322"/>
      <c r="B242" s="315"/>
      <c r="C242" s="323"/>
      <c r="D242" s="324" t="s">
        <v>100</v>
      </c>
      <c r="E242" s="316"/>
      <c r="F242" s="316"/>
      <c r="G242" s="318"/>
      <c r="H242" s="319" t="s">
        <v>12</v>
      </c>
      <c r="I242" s="325"/>
      <c r="J242" s="325"/>
      <c r="K242" s="282"/>
      <c r="L242" s="282">
        <f ca="1">IFERROR(__xludf.DUMMYFUNCTION("IMPORTRANGE(""https://docs.google.com/spreadsheets/d/1QqKyyYR6Q21VydFLVH3TRQUabQu_ym0Zz7PgGX0-kHA/edit?usp=sharing"",""แผน!AY60"")"),10000)</f>
        <v>10000</v>
      </c>
      <c r="M242" s="282"/>
      <c r="N242" s="829">
        <v>0</v>
      </c>
      <c r="O242" s="282"/>
      <c r="P242" s="282"/>
      <c r="Q242" s="326"/>
      <c r="R242" s="326"/>
      <c r="S242" s="326"/>
      <c r="T242" s="326"/>
      <c r="U242" s="326"/>
      <c r="V242" s="326"/>
      <c r="W242" s="326"/>
      <c r="X242" s="326"/>
      <c r="Y242" s="326"/>
      <c r="Z242" s="326"/>
    </row>
    <row r="243" spans="1:26" ht="19.5">
      <c r="A243" s="170"/>
      <c r="B243" s="171"/>
      <c r="C243" s="292" t="s">
        <v>16</v>
      </c>
      <c r="D243" s="823" t="s">
        <v>38</v>
      </c>
      <c r="E243" s="173"/>
      <c r="F243" s="173"/>
      <c r="G243" s="174"/>
      <c r="H243" s="753"/>
      <c r="I243" s="184"/>
      <c r="J243" s="269"/>
      <c r="K243" s="496"/>
      <c r="L243" s="496"/>
      <c r="M243" s="496"/>
      <c r="N243" s="496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>
      <c r="A244" s="170"/>
      <c r="B244" s="171"/>
      <c r="C244" s="171"/>
      <c r="D244" s="446" t="s">
        <v>117</v>
      </c>
      <c r="E244" s="178"/>
      <c r="F244" s="178"/>
      <c r="G244" s="179"/>
      <c r="H244" s="755" t="s">
        <v>35</v>
      </c>
      <c r="I244" s="269">
        <f ca="1">IFERROR(__xludf.DUMMYFUNCTION("IMPORTRANGE(""https://docs.google.com/spreadsheets/d/1QqKyyYR6Q21VydFLVH3TRQUabQu_ym0Zz7PgGX0-kHA/edit?usp=sharing"",""แผน!BE60"")"),15)</f>
        <v>15</v>
      </c>
      <c r="J244" s="214">
        <v>0</v>
      </c>
      <c r="K244" s="496">
        <f ca="1">IF(I244&gt;0,J244*100/I244,0)</f>
        <v>0</v>
      </c>
      <c r="L244" s="496"/>
      <c r="M244" s="496"/>
      <c r="N244" s="496"/>
      <c r="O244" s="496"/>
      <c r="P244" s="496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>
      <c r="A245" s="170"/>
      <c r="B245" s="171"/>
      <c r="C245" s="171"/>
      <c r="D245" s="830" t="s">
        <v>43</v>
      </c>
      <c r="E245" s="178"/>
      <c r="F245" s="178"/>
      <c r="G245" s="179"/>
      <c r="H245" s="755"/>
      <c r="I245" s="269"/>
      <c r="J245" s="269"/>
      <c r="K245" s="496"/>
      <c r="L245" s="496"/>
      <c r="M245" s="496"/>
      <c r="N245" s="496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>
      <c r="A246" s="170"/>
      <c r="B246" s="171"/>
      <c r="C246" s="171"/>
      <c r="D246" s="171"/>
      <c r="E246" s="176" t="s">
        <v>118</v>
      </c>
      <c r="F246" s="178"/>
      <c r="G246" s="179"/>
      <c r="H246" s="755" t="s">
        <v>35</v>
      </c>
      <c r="I246" s="269">
        <v>15</v>
      </c>
      <c r="J246" s="214">
        <v>0</v>
      </c>
      <c r="K246" s="496">
        <f t="shared" ref="K246:K248" si="111">IF(I246&gt;0,J246*100/I246,0)</f>
        <v>0</v>
      </c>
      <c r="L246" s="496"/>
      <c r="M246" s="496"/>
      <c r="N246" s="496"/>
      <c r="O246" s="496"/>
      <c r="P246" s="496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>
      <c r="A247" s="170"/>
      <c r="B247" s="171"/>
      <c r="C247" s="171"/>
      <c r="D247" s="171"/>
      <c r="E247" s="176" t="s">
        <v>119</v>
      </c>
      <c r="F247" s="178"/>
      <c r="G247" s="179"/>
      <c r="H247" s="755" t="s">
        <v>69</v>
      </c>
      <c r="I247" s="269">
        <v>1</v>
      </c>
      <c r="J247" s="214">
        <v>0</v>
      </c>
      <c r="K247" s="496">
        <f t="shared" si="111"/>
        <v>0</v>
      </c>
      <c r="L247" s="496"/>
      <c r="M247" s="496"/>
      <c r="N247" s="496"/>
      <c r="O247" s="496"/>
      <c r="P247" s="496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5"/>
      <c r="B248" s="263"/>
      <c r="C248" s="270" t="s">
        <v>121</v>
      </c>
      <c r="D248" s="256"/>
      <c r="E248" s="256"/>
      <c r="F248" s="256"/>
      <c r="G248" s="258"/>
      <c r="H248" s="259" t="s">
        <v>35</v>
      </c>
      <c r="I248" s="271">
        <f t="shared" ref="I248:J248" ca="1" si="112">I255</f>
        <v>0</v>
      </c>
      <c r="J248" s="271">
        <f t="shared" si="112"/>
        <v>0</v>
      </c>
      <c r="K248" s="272">
        <f t="shared" ca="1" si="111"/>
        <v>0</v>
      </c>
      <c r="L248" s="261"/>
      <c r="M248" s="261"/>
      <c r="N248" s="261"/>
      <c r="O248" s="261"/>
      <c r="P248" s="261"/>
    </row>
    <row r="249" spans="1:26" ht="19.5" hidden="1">
      <c r="A249" s="147"/>
      <c r="B249" s="148"/>
      <c r="C249" s="149" t="s">
        <v>16</v>
      </c>
      <c r="D249" s="826" t="s">
        <v>17</v>
      </c>
      <c r="E249" s="148"/>
      <c r="F249" s="148"/>
      <c r="G249" s="151"/>
      <c r="H249" s="274" t="s">
        <v>12</v>
      </c>
      <c r="I249" s="418"/>
      <c r="J249" s="418"/>
      <c r="K249" s="279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4"/>
      <c r="B250" s="315"/>
      <c r="C250" s="316"/>
      <c r="D250" s="324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282">
        <f ca="1">IFERROR(__xludf.DUMMYFUNCTION("IMPORTRANGE(""https://docs.google.com/spreadsheets/d/1QqKyyYR6Q21VydFLVH3TRQUabQu_ym0Zz7PgGX0-kHA/edit?usp=sharing"",""แผน!AZ60"")"),0)</f>
        <v>0</v>
      </c>
      <c r="M250" s="282"/>
      <c r="N250" s="829">
        <v>0</v>
      </c>
      <c r="O250" s="282"/>
      <c r="P250" s="282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9.5" hidden="1">
      <c r="A251" s="322"/>
      <c r="B251" s="315"/>
      <c r="C251" s="323"/>
      <c r="D251" s="324" t="s">
        <v>98</v>
      </c>
      <c r="E251" s="316"/>
      <c r="F251" s="316"/>
      <c r="G251" s="318"/>
      <c r="H251" s="319" t="s">
        <v>12</v>
      </c>
      <c r="I251" s="325"/>
      <c r="J251" s="325"/>
      <c r="K251" s="282"/>
      <c r="L251" s="282">
        <f ca="1">IFERROR(__xludf.DUMMYFUNCTION("IMPORTRANGE(""https://docs.google.com/spreadsheets/d/1QqKyyYR6Q21VydFLVH3TRQUabQu_ym0Zz7PgGX0-kHA/edit?usp=sharing"",""แผน!BA60"")"),0)</f>
        <v>0</v>
      </c>
      <c r="M251" s="282"/>
      <c r="N251" s="829">
        <v>0</v>
      </c>
      <c r="O251" s="282"/>
      <c r="P251" s="282"/>
      <c r="Q251" s="326"/>
      <c r="R251" s="326"/>
      <c r="S251" s="326"/>
      <c r="T251" s="326"/>
      <c r="U251" s="326"/>
      <c r="V251" s="326"/>
      <c r="W251" s="326"/>
      <c r="X251" s="326"/>
      <c r="Y251" s="326"/>
      <c r="Z251" s="326"/>
    </row>
    <row r="252" spans="1:26" ht="19.5" hidden="1">
      <c r="A252" s="322"/>
      <c r="B252" s="315"/>
      <c r="C252" s="323"/>
      <c r="D252" s="324" t="s">
        <v>116</v>
      </c>
      <c r="E252" s="316"/>
      <c r="F252" s="316"/>
      <c r="G252" s="318"/>
      <c r="H252" s="319" t="s">
        <v>12</v>
      </c>
      <c r="I252" s="325"/>
      <c r="J252" s="325"/>
      <c r="K252" s="282"/>
      <c r="L252" s="282">
        <f ca="1">IFERROR(__xludf.DUMMYFUNCTION("IMPORTRANGE(""https://docs.google.com/spreadsheets/d/1QqKyyYR6Q21VydFLVH3TRQUabQu_ym0Zz7PgGX0-kHA/edit?usp=sharing"",""แผน!BB60"")"),0)</f>
        <v>0</v>
      </c>
      <c r="M252" s="282"/>
      <c r="N252" s="829">
        <v>0</v>
      </c>
      <c r="O252" s="282"/>
      <c r="P252" s="282"/>
      <c r="Q252" s="326"/>
      <c r="R252" s="326"/>
      <c r="S252" s="326"/>
      <c r="T252" s="326"/>
      <c r="U252" s="326"/>
      <c r="V252" s="326"/>
      <c r="W252" s="326"/>
      <c r="X252" s="326"/>
      <c r="Y252" s="326"/>
      <c r="Z252" s="326"/>
    </row>
    <row r="253" spans="1:26" ht="19.5" hidden="1">
      <c r="A253" s="322"/>
      <c r="B253" s="315"/>
      <c r="C253" s="323"/>
      <c r="D253" s="324" t="s">
        <v>100</v>
      </c>
      <c r="E253" s="316"/>
      <c r="F253" s="316"/>
      <c r="G253" s="318"/>
      <c r="H253" s="319" t="s">
        <v>12</v>
      </c>
      <c r="I253" s="325"/>
      <c r="J253" s="325"/>
      <c r="K253" s="282"/>
      <c r="L253" s="282">
        <f ca="1">IFERROR(__xludf.DUMMYFUNCTION("IMPORTRANGE(""https://docs.google.com/spreadsheets/d/1QqKyyYR6Q21VydFLVH3TRQUabQu_ym0Zz7PgGX0-kHA/edit?usp=sharing"",""แผน!BC60"")"),0)</f>
        <v>0</v>
      </c>
      <c r="M253" s="282"/>
      <c r="N253" s="829">
        <v>0</v>
      </c>
      <c r="O253" s="282"/>
      <c r="P253" s="282"/>
      <c r="Q253" s="326"/>
      <c r="R253" s="326"/>
      <c r="S253" s="326"/>
      <c r="T253" s="326"/>
      <c r="U253" s="326"/>
      <c r="V253" s="326"/>
      <c r="W253" s="326"/>
      <c r="X253" s="326"/>
      <c r="Y253" s="326"/>
      <c r="Z253" s="326"/>
    </row>
    <row r="254" spans="1:26" ht="19.5" hidden="1">
      <c r="A254" s="170"/>
      <c r="B254" s="171"/>
      <c r="C254" s="292" t="s">
        <v>16</v>
      </c>
      <c r="D254" s="823" t="s">
        <v>38</v>
      </c>
      <c r="E254" s="173"/>
      <c r="F254" s="173"/>
      <c r="G254" s="174"/>
      <c r="H254" s="753"/>
      <c r="I254" s="184"/>
      <c r="J254" s="269"/>
      <c r="K254" s="496"/>
      <c r="L254" s="496"/>
      <c r="M254" s="496"/>
      <c r="N254" s="496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6" t="s">
        <v>117</v>
      </c>
      <c r="E255" s="178"/>
      <c r="F255" s="178"/>
      <c r="G255" s="179"/>
      <c r="H255" s="755" t="s">
        <v>35</v>
      </c>
      <c r="I255" s="269">
        <f ca="1">IFERROR(__xludf.DUMMYFUNCTION("IMPORTRANGE(""https://docs.google.com/spreadsheets/d/1QqKyyYR6Q21VydFLVH3TRQUabQu_ym0Zz7PgGX0-kHA/edit?usp=sharing"",""แผน!BF60"")"),0)</f>
        <v>0</v>
      </c>
      <c r="J255" s="214">
        <v>0</v>
      </c>
      <c r="K255" s="496">
        <f ca="1">IF(I255&gt;0,J255*100/I255,0)</f>
        <v>0</v>
      </c>
      <c r="L255" s="496"/>
      <c r="M255" s="496"/>
      <c r="N255" s="496"/>
      <c r="O255" s="496"/>
      <c r="P255" s="496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30" t="s">
        <v>43</v>
      </c>
      <c r="E256" s="178"/>
      <c r="F256" s="178"/>
      <c r="G256" s="179"/>
      <c r="H256" s="755"/>
      <c r="I256" s="269"/>
      <c r="J256" s="269"/>
      <c r="K256" s="496"/>
      <c r="L256" s="496"/>
      <c r="M256" s="496"/>
      <c r="N256" s="496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55" t="s">
        <v>35</v>
      </c>
      <c r="I257" s="269"/>
      <c r="J257" s="214">
        <v>0</v>
      </c>
      <c r="K257" s="496">
        <f t="shared" ref="K257:K258" si="113">IF(I257&gt;0,J257*100/I257,0)</f>
        <v>0</v>
      </c>
      <c r="L257" s="496"/>
      <c r="M257" s="496"/>
      <c r="N257" s="496"/>
      <c r="O257" s="496"/>
      <c r="P257" s="496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55" t="s">
        <v>69</v>
      </c>
      <c r="I258" s="269"/>
      <c r="J258" s="214">
        <v>0</v>
      </c>
      <c r="K258" s="496">
        <f t="shared" si="113"/>
        <v>0</v>
      </c>
      <c r="L258" s="496"/>
      <c r="M258" s="496"/>
      <c r="N258" s="496"/>
      <c r="O258" s="496"/>
      <c r="P258" s="496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1" t="s">
        <v>122</v>
      </c>
      <c r="B259" s="242"/>
      <c r="C259" s="242"/>
      <c r="D259" s="243"/>
      <c r="E259" s="243"/>
      <c r="F259" s="243"/>
      <c r="G259" s="244"/>
      <c r="H259" s="245"/>
      <c r="I259" s="246"/>
      <c r="J259" s="246"/>
      <c r="K259" s="247"/>
      <c r="L259" s="247"/>
      <c r="M259" s="247"/>
      <c r="N259" s="247"/>
      <c r="O259" s="247"/>
      <c r="P259" s="247"/>
    </row>
    <row r="260" spans="1:26" ht="19.5">
      <c r="A260" s="248"/>
      <c r="B260" s="249" t="s">
        <v>123</v>
      </c>
      <c r="C260" s="250"/>
      <c r="D260" s="173"/>
      <c r="E260" s="173"/>
      <c r="F260" s="173"/>
      <c r="G260" s="174"/>
      <c r="H260" s="251" t="s">
        <v>35</v>
      </c>
      <c r="I260" s="252">
        <f t="shared" ref="I260:J260" ca="1" si="114">I271</f>
        <v>20</v>
      </c>
      <c r="J260" s="252">
        <f t="shared" si="114"/>
        <v>0</v>
      </c>
      <c r="K260" s="253">
        <f ca="1">IF(I260&gt;0,J260*100/I260,0)</f>
        <v>0</v>
      </c>
      <c r="L260" s="254"/>
      <c r="M260" s="254"/>
      <c r="N260" s="254"/>
      <c r="O260" s="254"/>
      <c r="P260" s="254"/>
    </row>
    <row r="261" spans="1:26" ht="19.5">
      <c r="A261" s="147"/>
      <c r="B261" s="148"/>
      <c r="C261" s="149" t="s">
        <v>16</v>
      </c>
      <c r="D261" s="822" t="s">
        <v>17</v>
      </c>
      <c r="E261" s="148"/>
      <c r="F261" s="148"/>
      <c r="G261" s="151"/>
      <c r="H261" s="152" t="s">
        <v>12</v>
      </c>
      <c r="I261" s="419"/>
      <c r="J261" s="419"/>
      <c r="K261" s="154"/>
      <c r="L261" s="155">
        <f t="shared" ref="L261:N261" ca="1" si="115">L262+L263</f>
        <v>25000</v>
      </c>
      <c r="M261" s="155">
        <f t="shared" ca="1" si="115"/>
        <v>0</v>
      </c>
      <c r="N261" s="155">
        <f t="shared" ca="1" si="115"/>
        <v>0</v>
      </c>
      <c r="O261" s="155">
        <f t="shared" ref="O261:O269" ca="1" si="116">IF(L261&gt;0,N261*100/L261,0)</f>
        <v>0</v>
      </c>
      <c r="P261" s="155">
        <f t="shared" ref="P261:P269" ca="1" si="117">IF(M261&gt;0,N261*100/M261,0)</f>
        <v>0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2" t="s">
        <v>18</v>
      </c>
      <c r="F262" s="40"/>
      <c r="G262" s="157"/>
      <c r="H262" s="158" t="s">
        <v>12</v>
      </c>
      <c r="I262" s="610"/>
      <c r="J262" s="610"/>
      <c r="K262" s="93"/>
      <c r="L262" s="93">
        <f t="shared" ref="L262:N263" si="118">L265+L268</f>
        <v>0</v>
      </c>
      <c r="M262" s="93">
        <f t="shared" si="118"/>
        <v>0</v>
      </c>
      <c r="N262" s="93">
        <f t="shared" si="118"/>
        <v>0</v>
      </c>
      <c r="O262" s="93">
        <f t="shared" si="116"/>
        <v>0</v>
      </c>
      <c r="P262" s="93">
        <f t="shared" si="117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2" t="s">
        <v>19</v>
      </c>
      <c r="F263" s="40"/>
      <c r="G263" s="157"/>
      <c r="H263" s="158" t="s">
        <v>12</v>
      </c>
      <c r="I263" s="610"/>
      <c r="J263" s="610"/>
      <c r="K263" s="93"/>
      <c r="L263" s="93">
        <f t="shared" ca="1" si="118"/>
        <v>25000</v>
      </c>
      <c r="M263" s="93">
        <f t="shared" ca="1" si="118"/>
        <v>0</v>
      </c>
      <c r="N263" s="93">
        <f t="shared" ca="1" si="118"/>
        <v>0</v>
      </c>
      <c r="O263" s="93">
        <f t="shared" ca="1" si="116"/>
        <v>0</v>
      </c>
      <c r="P263" s="93">
        <f t="shared" ca="1" si="117"/>
        <v>0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1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6">
        <f t="shared" ref="L264:N264" ca="1" si="119">L265+L266</f>
        <v>25000</v>
      </c>
      <c r="M264" s="496">
        <f t="shared" ca="1" si="119"/>
        <v>0</v>
      </c>
      <c r="N264" s="496">
        <f t="shared" ca="1" si="119"/>
        <v>0</v>
      </c>
      <c r="O264" s="496">
        <f t="shared" ca="1" si="116"/>
        <v>0</v>
      </c>
      <c r="P264" s="496">
        <f t="shared" ca="1" si="117"/>
        <v>0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2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6"/>
        <v>0</v>
      </c>
      <c r="P265" s="93">
        <f t="shared" si="117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2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IFERROR(__xludf.DUMMYFUNCTION("IMPORTRANGE(""https://docs.google.com/spreadsheets/d/1MeEWN-I1oV_STSDYn1IFDPWt_1FKiwhDph83XaGc0o0/edit?usp=sharing"",""งบพรบ!CY60"")"),25000)</f>
        <v>25000</v>
      </c>
      <c r="M266" s="93">
        <f ca="1">IFERROR(__xludf.DUMMYFUNCTION("IMPORTRANGE(""https://docs.google.com/spreadsheets/d/1MeEWN-I1oV_STSDYn1IFDPWt_1FKiwhDph83XaGc0o0/edit?usp=sharing"",""งบพรบ!DD60"")"),0)</f>
        <v>0</v>
      </c>
      <c r="N266" s="93">
        <f ca="1">IFERROR(__xludf.DUMMYFUNCTION("IMPORTRANGE(""https://docs.google.com/spreadsheets/d/1MeEWN-I1oV_STSDYn1IFDPWt_1FKiwhDph83XaGc0o0/edit?usp=sharing"",""งบพรบ!DF60"")"),0)</f>
        <v>0</v>
      </c>
      <c r="O266" s="93">
        <f t="shared" ca="1" si="116"/>
        <v>0</v>
      </c>
      <c r="P266" s="93">
        <f t="shared" ca="1" si="117"/>
        <v>0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1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6">
        <f t="shared" ref="L267:N267" ca="1" si="120">L268+L269</f>
        <v>0</v>
      </c>
      <c r="M267" s="496">
        <f t="shared" ca="1" si="120"/>
        <v>0</v>
      </c>
      <c r="N267" s="496">
        <f t="shared" ca="1" si="120"/>
        <v>0</v>
      </c>
      <c r="O267" s="496">
        <f t="shared" ca="1" si="116"/>
        <v>0</v>
      </c>
      <c r="P267" s="496">
        <f t="shared" ca="1" si="117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2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6"/>
        <v>0</v>
      </c>
      <c r="P268" s="93">
        <f t="shared" si="117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2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IFERROR(__xludf.DUMMYFUNCTION("IMPORTRANGE(""https://docs.google.com/spreadsheets/d/1MeEWN-I1oV_STSDYn1IFDPWt_1FKiwhDph83XaGc0o0/edit?usp=sharing"",""งบพรบ!DB60"")"),0)</f>
        <v>0</v>
      </c>
      <c r="M269" s="93">
        <f ca="1">IFERROR(__xludf.DUMMYFUNCTION("IMPORTRANGE(""https://docs.google.com/spreadsheets/d/1MeEWN-I1oV_STSDYn1IFDPWt_1FKiwhDph83XaGc0o0/edit?usp=sharing"",""งบพรบ!DE60"")"),0)</f>
        <v>0</v>
      </c>
      <c r="N269" s="93">
        <f ca="1">IFERROR(__xludf.DUMMYFUNCTION("IMPORTRANGE(""https://docs.google.com/spreadsheets/d/1MeEWN-I1oV_STSDYn1IFDPWt_1FKiwhDph83XaGc0o0/edit?usp=sharing"",""งบพรบ!DG60"")"),0)</f>
        <v>0</v>
      </c>
      <c r="O269" s="93">
        <f t="shared" ca="1" si="116"/>
        <v>0</v>
      </c>
      <c r="P269" s="93">
        <f t="shared" ca="1" si="117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1" t="s">
        <v>16</v>
      </c>
      <c r="D270" s="823" t="s">
        <v>38</v>
      </c>
      <c r="E270" s="173"/>
      <c r="F270" s="173"/>
      <c r="G270" s="174"/>
      <c r="H270" s="753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5" t="s">
        <v>124</v>
      </c>
      <c r="E271" s="178"/>
      <c r="F271" s="366"/>
      <c r="G271" s="179"/>
      <c r="H271" s="376" t="s">
        <v>35</v>
      </c>
      <c r="I271" s="269">
        <f ca="1">IFERROR(__xludf.DUMMYFUNCTION("IMPORTRANGE(""https://docs.google.com/spreadsheets/d/1QqKyyYR6Q21VydFLVH3TRQUabQu_ym0Zz7PgGX0-kHA/edit?usp=sharing"",""แผน!EA60"")"),20)</f>
        <v>20</v>
      </c>
      <c r="J271" s="214">
        <v>0</v>
      </c>
      <c r="K271" s="163">
        <f ca="1">IF(I271&gt;0,J271*100/I271,0)</f>
        <v>0</v>
      </c>
      <c r="L271" s="163"/>
      <c r="M271" s="163"/>
      <c r="N271" s="163"/>
      <c r="O271" s="163"/>
      <c r="P271" s="163"/>
    </row>
    <row r="272" spans="1:26" ht="18.75" hidden="1">
      <c r="A272" s="377"/>
      <c r="B272" s="378"/>
      <c r="C272" s="378"/>
      <c r="D272" s="379" t="s">
        <v>125</v>
      </c>
      <c r="E272" s="380"/>
      <c r="F272" s="380"/>
      <c r="G272" s="381"/>
      <c r="H272" s="50" t="s">
        <v>35</v>
      </c>
      <c r="I272" s="499">
        <v>0</v>
      </c>
      <c r="J272" s="499">
        <v>0</v>
      </c>
      <c r="K272" s="384">
        <v>0</v>
      </c>
      <c r="L272" s="384"/>
      <c r="M272" s="384"/>
      <c r="N272" s="384"/>
      <c r="O272" s="384"/>
      <c r="P272" s="384"/>
    </row>
    <row r="273" spans="1:26" ht="19.5">
      <c r="A273" s="385" t="s">
        <v>126</v>
      </c>
      <c r="B273" s="386"/>
      <c r="C273" s="386"/>
      <c r="D273" s="386"/>
      <c r="E273" s="387"/>
      <c r="F273" s="387"/>
      <c r="G273" s="388"/>
      <c r="H273" s="389"/>
      <c r="I273" s="390"/>
      <c r="J273" s="390"/>
      <c r="K273" s="391"/>
      <c r="L273" s="391"/>
      <c r="M273" s="391"/>
      <c r="N273" s="391"/>
      <c r="O273" s="391"/>
      <c r="P273" s="391"/>
    </row>
    <row r="274" spans="1:26" ht="19.5" hidden="1">
      <c r="A274" s="392" t="s">
        <v>127</v>
      </c>
      <c r="B274" s="393"/>
      <c r="C274" s="394"/>
      <c r="D274" s="393"/>
      <c r="E274" s="393"/>
      <c r="F274" s="393"/>
      <c r="G274" s="393"/>
      <c r="H274" s="395"/>
      <c r="I274" s="396"/>
      <c r="J274" s="397"/>
      <c r="K274" s="398"/>
      <c r="L274" s="398"/>
      <c r="M274" s="398"/>
      <c r="N274" s="398"/>
      <c r="O274" s="398"/>
      <c r="P274" s="398"/>
    </row>
    <row r="275" spans="1:26" ht="19.5" hidden="1">
      <c r="A275" s="399"/>
      <c r="B275" s="408" t="s">
        <v>128</v>
      </c>
      <c r="C275" s="401"/>
      <c r="D275" s="402"/>
      <c r="E275" s="401"/>
      <c r="F275" s="401"/>
      <c r="G275" s="403"/>
      <c r="H275" s="404" t="s">
        <v>35</v>
      </c>
      <c r="I275" s="405">
        <f t="shared" ref="I275:J275" ca="1" si="121">I288</f>
        <v>0</v>
      </c>
      <c r="J275" s="405">
        <f t="shared" ca="1" si="121"/>
        <v>0</v>
      </c>
      <c r="K275" s="406">
        <f t="shared" ref="K275:K276" ca="1" si="122">IF(I275&gt;0,J275*100/I275,0)</f>
        <v>0</v>
      </c>
      <c r="L275" s="407"/>
      <c r="M275" s="407"/>
      <c r="N275" s="407"/>
      <c r="O275" s="407"/>
      <c r="P275" s="407"/>
    </row>
    <row r="276" spans="1:26" ht="19.5" hidden="1">
      <c r="A276" s="399"/>
      <c r="B276" s="408"/>
      <c r="C276" s="401"/>
      <c r="D276" s="402"/>
      <c r="E276" s="401"/>
      <c r="F276" s="401"/>
      <c r="G276" s="403"/>
      <c r="H276" s="404" t="s">
        <v>46</v>
      </c>
      <c r="I276" s="831">
        <f t="shared" ref="I276:J276" ca="1" si="123">I287</f>
        <v>0</v>
      </c>
      <c r="J276" s="831">
        <f t="shared" si="123"/>
        <v>0</v>
      </c>
      <c r="K276" s="407">
        <f t="shared" ca="1" si="122"/>
        <v>0</v>
      </c>
      <c r="L276" s="407"/>
      <c r="M276" s="407"/>
      <c r="N276" s="407"/>
      <c r="O276" s="407"/>
      <c r="P276" s="407"/>
    </row>
    <row r="277" spans="1:26" ht="19.5" hidden="1">
      <c r="A277" s="147"/>
      <c r="B277" s="148"/>
      <c r="C277" s="149" t="s">
        <v>16</v>
      </c>
      <c r="D277" s="822" t="s">
        <v>17</v>
      </c>
      <c r="E277" s="148"/>
      <c r="F277" s="148"/>
      <c r="G277" s="151"/>
      <c r="H277" s="152" t="s">
        <v>12</v>
      </c>
      <c r="I277" s="419"/>
      <c r="J277" s="419"/>
      <c r="K277" s="154"/>
      <c r="L277" s="155">
        <f t="shared" ref="L277:N277" ca="1" si="124">L278+L279</f>
        <v>0</v>
      </c>
      <c r="M277" s="155">
        <f t="shared" ca="1" si="124"/>
        <v>0</v>
      </c>
      <c r="N277" s="155">
        <f t="shared" ca="1" si="124"/>
        <v>0</v>
      </c>
      <c r="O277" s="155">
        <f t="shared" ref="O277:O285" ca="1" si="125">IF(L277&gt;0,N277*100/L277,0)</f>
        <v>0</v>
      </c>
      <c r="P277" s="155">
        <f t="shared" ref="P277:P285" ca="1" si="126">IF(M277&gt;0,N277*100/M277,0)</f>
        <v>0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2" t="s">
        <v>18</v>
      </c>
      <c r="F278" s="40"/>
      <c r="G278" s="157"/>
      <c r="H278" s="158" t="s">
        <v>12</v>
      </c>
      <c r="I278" s="610"/>
      <c r="J278" s="610"/>
      <c r="K278" s="93"/>
      <c r="L278" s="93">
        <f t="shared" ref="L278:N279" si="127">L281+L284</f>
        <v>0</v>
      </c>
      <c r="M278" s="93">
        <f t="shared" si="127"/>
        <v>0</v>
      </c>
      <c r="N278" s="93">
        <f t="shared" si="127"/>
        <v>0</v>
      </c>
      <c r="O278" s="93">
        <f t="shared" si="125"/>
        <v>0</v>
      </c>
      <c r="P278" s="93">
        <f t="shared" si="126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2" t="s">
        <v>19</v>
      </c>
      <c r="F279" s="40"/>
      <c r="G279" s="157"/>
      <c r="H279" s="158" t="s">
        <v>12</v>
      </c>
      <c r="I279" s="610"/>
      <c r="J279" s="610"/>
      <c r="K279" s="93"/>
      <c r="L279" s="93">
        <f t="shared" ca="1" si="127"/>
        <v>0</v>
      </c>
      <c r="M279" s="93">
        <f t="shared" ca="1" si="127"/>
        <v>0</v>
      </c>
      <c r="N279" s="93">
        <f t="shared" ca="1" si="127"/>
        <v>0</v>
      </c>
      <c r="O279" s="93">
        <f t="shared" ca="1" si="125"/>
        <v>0</v>
      </c>
      <c r="P279" s="93">
        <f t="shared" ca="1" si="126"/>
        <v>0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 hidden="1">
      <c r="A280" s="159"/>
      <c r="B280" s="33"/>
      <c r="C280" s="281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6">
        <f t="shared" ref="L280:N280" ca="1" si="128">L281+L282</f>
        <v>0</v>
      </c>
      <c r="M280" s="496">
        <f t="shared" ca="1" si="128"/>
        <v>0</v>
      </c>
      <c r="N280" s="496">
        <f t="shared" ca="1" si="128"/>
        <v>0</v>
      </c>
      <c r="O280" s="496">
        <f t="shared" ca="1" si="125"/>
        <v>0</v>
      </c>
      <c r="P280" s="496">
        <f t="shared" ca="1" si="126"/>
        <v>0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2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5"/>
        <v>0</v>
      </c>
      <c r="P281" s="93">
        <f t="shared" si="126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2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IFERROR(__xludf.DUMMYFUNCTION("IMPORTRANGE(""https://docs.google.com/spreadsheets/d/1MeEWN-I1oV_STSDYn1IFDPWt_1FKiwhDph83XaGc0o0/edit?usp=sharing"",""งบพรบ!DI60"")"),0)</f>
        <v>0</v>
      </c>
      <c r="M282" s="93">
        <f ca="1">IFERROR(__xludf.DUMMYFUNCTION("IMPORTRANGE(""https://docs.google.com/spreadsheets/d/1MeEWN-I1oV_STSDYn1IFDPWt_1FKiwhDph83XaGc0o0/edit?usp=sharing"",""งบพรบ!DN60"")"),0)</f>
        <v>0</v>
      </c>
      <c r="N282" s="93">
        <f ca="1">IFERROR(__xludf.DUMMYFUNCTION("IMPORTRANGE(""https://docs.google.com/spreadsheets/d/1MeEWN-I1oV_STSDYn1IFDPWt_1FKiwhDph83XaGc0o0/edit?usp=sharing"",""งบพรบ!DP60"")"),0)</f>
        <v>0</v>
      </c>
      <c r="O282" s="93">
        <f t="shared" ca="1" si="125"/>
        <v>0</v>
      </c>
      <c r="P282" s="93">
        <f t="shared" ca="1" si="126"/>
        <v>0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 hidden="1">
      <c r="A283" s="159"/>
      <c r="B283" s="33"/>
      <c r="C283" s="281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6">
        <f t="shared" ref="L283:N283" ca="1" si="129">L284+L285</f>
        <v>0</v>
      </c>
      <c r="M283" s="496">
        <f t="shared" ca="1" si="129"/>
        <v>0</v>
      </c>
      <c r="N283" s="496">
        <f t="shared" ca="1" si="129"/>
        <v>0</v>
      </c>
      <c r="O283" s="496">
        <f t="shared" ca="1" si="125"/>
        <v>0</v>
      </c>
      <c r="P283" s="496">
        <f t="shared" ca="1" si="126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2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5"/>
        <v>0</v>
      </c>
      <c r="P284" s="93">
        <f t="shared" si="126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2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IFERROR(__xludf.DUMMYFUNCTION("IMPORTRANGE(""https://docs.google.com/spreadsheets/d/1MeEWN-I1oV_STSDYn1IFDPWt_1FKiwhDph83XaGc0o0/edit?usp=sharing"",""งบพรบ!DL60"")"),0)</f>
        <v>0</v>
      </c>
      <c r="M285" s="93">
        <f ca="1">IFERROR(__xludf.DUMMYFUNCTION("IMPORTRANGE(""https://docs.google.com/spreadsheets/d/1MeEWN-I1oV_STSDYn1IFDPWt_1FKiwhDph83XaGc0o0/edit?usp=sharing"",""งบพรบ!DO60"")"),0)</f>
        <v>0</v>
      </c>
      <c r="N285" s="93">
        <f ca="1">IFERROR(__xludf.DUMMYFUNCTION("IMPORTRANGE(""https://docs.google.com/spreadsheets/d/1MeEWN-I1oV_STSDYn1IFDPWt_1FKiwhDph83XaGc0o0/edit?usp=sharing"",""งบพรบ!DQ60"")"),0)</f>
        <v>0</v>
      </c>
      <c r="O285" s="93">
        <f t="shared" ca="1" si="125"/>
        <v>0</v>
      </c>
      <c r="P285" s="93">
        <f t="shared" ca="1" si="126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 hidden="1">
      <c r="A286" s="170"/>
      <c r="B286" s="171"/>
      <c r="C286" s="164" t="s">
        <v>16</v>
      </c>
      <c r="D286" s="823" t="s">
        <v>38</v>
      </c>
      <c r="E286" s="173"/>
      <c r="F286" s="173"/>
      <c r="G286" s="174"/>
      <c r="H286" s="753"/>
      <c r="I286" s="184"/>
      <c r="J286" s="184"/>
      <c r="K286" s="163"/>
      <c r="L286" s="163"/>
      <c r="M286" s="163"/>
      <c r="N286" s="163"/>
      <c r="O286" s="163"/>
      <c r="P286" s="163"/>
    </row>
    <row r="287" spans="1:26" ht="18.75" hidden="1">
      <c r="A287" s="170"/>
      <c r="B287" s="171"/>
      <c r="C287" s="171"/>
      <c r="D287" s="619" t="s">
        <v>129</v>
      </c>
      <c r="E287" s="171"/>
      <c r="F287" s="178"/>
      <c r="G287" s="179"/>
      <c r="H287" s="185" t="s">
        <v>46</v>
      </c>
      <c r="I287" s="269">
        <f ca="1">IFERROR(__xludf.DUMMYFUNCTION("IMPORTRANGE(""https://docs.google.com/spreadsheets/d/1QqKyyYR6Q21VydFLVH3TRQUabQu_ym0Zz7PgGX0-kHA/edit?usp=sharing"",""แผน!EC60"")"),0)</f>
        <v>0</v>
      </c>
      <c r="J287" s="269">
        <v>0</v>
      </c>
      <c r="K287" s="163">
        <f t="shared" ref="K287:K288" ca="1" si="130">IF(I287&gt;0,J287*100/I287,0)</f>
        <v>0</v>
      </c>
      <c r="L287" s="163"/>
      <c r="M287" s="163"/>
      <c r="N287" s="163"/>
      <c r="O287" s="163"/>
      <c r="P287" s="163"/>
    </row>
    <row r="288" spans="1:26" ht="19.5" hidden="1">
      <c r="A288" s="170"/>
      <c r="B288" s="171"/>
      <c r="C288" s="171"/>
      <c r="D288" s="619" t="s">
        <v>130</v>
      </c>
      <c r="E288" s="171"/>
      <c r="F288" s="178"/>
      <c r="G288" s="179"/>
      <c r="H288" s="180" t="s">
        <v>35</v>
      </c>
      <c r="I288" s="674">
        <f ca="1">IFERROR(__xludf.DUMMYFUNCTION("IMPORTRANGE(""https://docs.google.com/spreadsheets/d/1QqKyyYR6Q21VydFLVH3TRQUabQu_ym0Zz7PgGX0-kHA/edit?usp=sharing"",""แผน!EB60"")"),0)</f>
        <v>0</v>
      </c>
      <c r="J288" s="674">
        <f ca="1">IF(AND(J291&gt;=I288,J294&gt;=I288),J294,0)</f>
        <v>0</v>
      </c>
      <c r="K288" s="410">
        <f t="shared" ca="1" si="130"/>
        <v>0</v>
      </c>
      <c r="L288" s="163"/>
      <c r="M288" s="163"/>
      <c r="N288" s="163"/>
      <c r="O288" s="163"/>
      <c r="P288" s="163"/>
    </row>
    <row r="289" spans="1:26" ht="19.5" hidden="1">
      <c r="A289" s="170"/>
      <c r="B289" s="171"/>
      <c r="C289" s="171"/>
      <c r="D289" s="411"/>
      <c r="E289" s="412" t="s">
        <v>131</v>
      </c>
      <c r="F289" s="178"/>
      <c r="G289" s="179"/>
      <c r="H289" s="755"/>
      <c r="I289" s="184"/>
      <c r="J289" s="269"/>
      <c r="K289" s="163"/>
      <c r="L289" s="163"/>
      <c r="M289" s="163"/>
      <c r="N289" s="163"/>
      <c r="O289" s="163"/>
      <c r="P289" s="163"/>
    </row>
    <row r="290" spans="1:26" ht="19.5" hidden="1">
      <c r="A290" s="170"/>
      <c r="B290" s="171"/>
      <c r="C290" s="171"/>
      <c r="D290" s="411"/>
      <c r="E290" s="619" t="s">
        <v>132</v>
      </c>
      <c r="F290" s="178"/>
      <c r="G290" s="179"/>
      <c r="H290" s="755" t="s">
        <v>35</v>
      </c>
      <c r="I290" s="184">
        <f ca="1">IFERROR(__xludf.DUMMYFUNCTION("IMPORTRANGE(""https://docs.google.com/spreadsheets/d/1QqKyyYR6Q21VydFLVH3TRQUabQu_ym0Zz7PgGX0-kHA/edit?usp=sharing"",""แผน!EB60"")"),0)</f>
        <v>0</v>
      </c>
      <c r="J290" s="214">
        <v>0</v>
      </c>
      <c r="K290" s="163">
        <f t="shared" ref="K290:K291" ca="1" si="131">IF(I290&gt;0,J290*100/I290,0)</f>
        <v>0</v>
      </c>
      <c r="L290" s="163"/>
      <c r="M290" s="163"/>
      <c r="N290" s="163"/>
      <c r="O290" s="163"/>
      <c r="P290" s="163"/>
    </row>
    <row r="291" spans="1:26" ht="19.5" hidden="1">
      <c r="A291" s="170"/>
      <c r="B291" s="171"/>
      <c r="C291" s="171"/>
      <c r="D291" s="178"/>
      <c r="E291" s="619" t="s">
        <v>333</v>
      </c>
      <c r="F291" s="178"/>
      <c r="G291" s="179"/>
      <c r="H291" s="755" t="s">
        <v>35</v>
      </c>
      <c r="I291" s="184">
        <f ca="1">IFERROR(__xludf.DUMMYFUNCTION("IMPORTRANGE(""https://docs.google.com/spreadsheets/d/1QqKyyYR6Q21VydFLVH3TRQUabQu_ym0Zz7PgGX0-kHA/edit?usp=sharing"",""แผน!EB60"")"),0)</f>
        <v>0</v>
      </c>
      <c r="J291" s="214">
        <v>0</v>
      </c>
      <c r="K291" s="163">
        <f t="shared" ca="1" si="131"/>
        <v>0</v>
      </c>
      <c r="L291" s="163"/>
      <c r="M291" s="163"/>
      <c r="N291" s="163"/>
      <c r="O291" s="163"/>
      <c r="P291" s="163"/>
    </row>
    <row r="292" spans="1:26" ht="19.5" hidden="1">
      <c r="A292" s="413"/>
      <c r="B292" s="414"/>
      <c r="C292" s="414"/>
      <c r="D292" s="415"/>
      <c r="E292" s="416" t="s">
        <v>134</v>
      </c>
      <c r="F292" s="287"/>
      <c r="G292" s="288"/>
      <c r="H292" s="417"/>
      <c r="I292" s="418"/>
      <c r="J292" s="419"/>
      <c r="K292" s="279"/>
      <c r="L292" s="279"/>
      <c r="M292" s="279"/>
      <c r="N292" s="279"/>
      <c r="O292" s="279"/>
      <c r="P292" s="279"/>
    </row>
    <row r="293" spans="1:26" ht="19.5" hidden="1">
      <c r="A293" s="170"/>
      <c r="B293" s="171"/>
      <c r="C293" s="171"/>
      <c r="D293" s="411"/>
      <c r="E293" s="619" t="s">
        <v>132</v>
      </c>
      <c r="F293" s="178"/>
      <c r="G293" s="179"/>
      <c r="H293" s="755" t="s">
        <v>35</v>
      </c>
      <c r="I293" s="184">
        <f ca="1">IFERROR(__xludf.DUMMYFUNCTION("IMPORTRANGE(""https://docs.google.com/spreadsheets/d/1QqKyyYR6Q21VydFLVH3TRQUabQu_ym0Zz7PgGX0-kHA/edit?usp=sharing"",""แผน!EB60"")"),0)</f>
        <v>0</v>
      </c>
      <c r="J293" s="214">
        <v>0</v>
      </c>
      <c r="K293" s="163">
        <f t="shared" ref="K293:K294" ca="1" si="132">IF(I293&gt;0,J293*100/I293,0)</f>
        <v>0</v>
      </c>
      <c r="L293" s="163"/>
      <c r="M293" s="163"/>
      <c r="N293" s="163"/>
      <c r="O293" s="163"/>
      <c r="P293" s="163"/>
    </row>
    <row r="294" spans="1:26" ht="19.5" hidden="1">
      <c r="A294" s="377"/>
      <c r="B294" s="378"/>
      <c r="C294" s="378"/>
      <c r="D294" s="380"/>
      <c r="E294" s="725" t="s">
        <v>333</v>
      </c>
      <c r="F294" s="380"/>
      <c r="G294" s="381"/>
      <c r="H294" s="421" t="s">
        <v>35</v>
      </c>
      <c r="I294" s="422">
        <f ca="1">IFERROR(__xludf.DUMMYFUNCTION("IMPORTRANGE(""https://docs.google.com/spreadsheets/d/1QqKyyYR6Q21VydFLVH3TRQUabQu_ym0Zz7PgGX0-kHA/edit?usp=sharing"",""แผน!EB60"")"),0)</f>
        <v>0</v>
      </c>
      <c r="J294" s="423">
        <v>0</v>
      </c>
      <c r="K294" s="384">
        <f t="shared" ca="1" si="132"/>
        <v>0</v>
      </c>
      <c r="L294" s="384"/>
      <c r="M294" s="384"/>
      <c r="N294" s="384"/>
      <c r="O294" s="384"/>
      <c r="P294" s="384"/>
    </row>
    <row r="295" spans="1:26" ht="19.5" hidden="1">
      <c r="A295" s="424" t="s">
        <v>137</v>
      </c>
      <c r="B295" s="425"/>
      <c r="C295" s="425"/>
      <c r="D295" s="425"/>
      <c r="E295" s="426"/>
      <c r="F295" s="426"/>
      <c r="G295" s="427"/>
      <c r="H295" s="428"/>
      <c r="I295" s="429"/>
      <c r="J295" s="429"/>
      <c r="K295" s="430"/>
      <c r="L295" s="430"/>
      <c r="M295" s="430"/>
      <c r="N295" s="430"/>
      <c r="O295" s="430"/>
      <c r="P295" s="430"/>
    </row>
    <row r="296" spans="1:26" ht="19.5" hidden="1">
      <c r="A296" s="431" t="s">
        <v>138</v>
      </c>
      <c r="B296" s="432"/>
      <c r="C296" s="432"/>
      <c r="D296" s="433"/>
      <c r="E296" s="433"/>
      <c r="F296" s="433"/>
      <c r="G296" s="434"/>
      <c r="H296" s="435"/>
      <c r="I296" s="436"/>
      <c r="J296" s="436"/>
      <c r="K296" s="437"/>
      <c r="L296" s="437"/>
      <c r="M296" s="437"/>
      <c r="N296" s="437"/>
      <c r="O296" s="437"/>
      <c r="P296" s="437"/>
    </row>
    <row r="297" spans="1:26" ht="19.5" hidden="1">
      <c r="A297" s="438"/>
      <c r="B297" s="439" t="s">
        <v>139</v>
      </c>
      <c r="C297" s="440"/>
      <c r="D297" s="440"/>
      <c r="E297" s="440"/>
      <c r="F297" s="440"/>
      <c r="G297" s="441"/>
      <c r="H297" s="442" t="s">
        <v>35</v>
      </c>
      <c r="I297" s="443">
        <f t="shared" ref="I297:J297" ca="1" si="133">I309</f>
        <v>0</v>
      </c>
      <c r="J297" s="443">
        <f t="shared" si="133"/>
        <v>0</v>
      </c>
      <c r="K297" s="444">
        <f ca="1">IF(I297&gt;0,J297*100/I297,0)</f>
        <v>0</v>
      </c>
      <c r="L297" s="445"/>
      <c r="M297" s="445"/>
      <c r="N297" s="445"/>
      <c r="O297" s="445"/>
      <c r="P297" s="445"/>
    </row>
    <row r="298" spans="1:26" ht="19.5" hidden="1">
      <c r="A298" s="147"/>
      <c r="B298" s="148"/>
      <c r="C298" s="149" t="s">
        <v>16</v>
      </c>
      <c r="D298" s="822" t="s">
        <v>17</v>
      </c>
      <c r="E298" s="148"/>
      <c r="F298" s="148"/>
      <c r="G298" s="151"/>
      <c r="H298" s="152" t="s">
        <v>12</v>
      </c>
      <c r="I298" s="419"/>
      <c r="J298" s="419"/>
      <c r="K298" s="154"/>
      <c r="L298" s="155">
        <f t="shared" ref="L298:N298" ca="1" si="134">L299+L300</f>
        <v>0</v>
      </c>
      <c r="M298" s="155">
        <f t="shared" ca="1" si="134"/>
        <v>0</v>
      </c>
      <c r="N298" s="155">
        <f t="shared" ca="1" si="134"/>
        <v>0</v>
      </c>
      <c r="O298" s="155">
        <f t="shared" ref="O298:O306" ca="1" si="135">IF(L298&gt;0,N298*100/L298,0)</f>
        <v>0</v>
      </c>
      <c r="P298" s="155">
        <f t="shared" ref="P298:P306" ca="1" si="136">IF(M298&gt;0,N298*100/M298,0)</f>
        <v>0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2" t="s">
        <v>18</v>
      </c>
      <c r="F299" s="40"/>
      <c r="G299" s="157"/>
      <c r="H299" s="158" t="s">
        <v>12</v>
      </c>
      <c r="I299" s="610"/>
      <c r="J299" s="610"/>
      <c r="K299" s="93"/>
      <c r="L299" s="93">
        <f t="shared" ref="L299:N300" si="137">L302+L305</f>
        <v>0</v>
      </c>
      <c r="M299" s="93">
        <f t="shared" si="137"/>
        <v>0</v>
      </c>
      <c r="N299" s="93">
        <f t="shared" si="137"/>
        <v>0</v>
      </c>
      <c r="O299" s="93">
        <f t="shared" si="135"/>
        <v>0</v>
      </c>
      <c r="P299" s="93">
        <f t="shared" si="136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2" t="s">
        <v>19</v>
      </c>
      <c r="F300" s="40"/>
      <c r="G300" s="157"/>
      <c r="H300" s="158" t="s">
        <v>12</v>
      </c>
      <c r="I300" s="610"/>
      <c r="J300" s="610"/>
      <c r="K300" s="93"/>
      <c r="L300" s="93">
        <f t="shared" ca="1" si="137"/>
        <v>0</v>
      </c>
      <c r="M300" s="93">
        <f t="shared" ca="1" si="137"/>
        <v>0</v>
      </c>
      <c r="N300" s="93">
        <f t="shared" ca="1" si="137"/>
        <v>0</v>
      </c>
      <c r="O300" s="93">
        <f t="shared" ca="1" si="135"/>
        <v>0</v>
      </c>
      <c r="P300" s="93">
        <f t="shared" ca="1" si="136"/>
        <v>0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 hidden="1">
      <c r="A301" s="159"/>
      <c r="B301" s="33"/>
      <c r="C301" s="281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6">
        <f t="shared" ref="L301:N301" ca="1" si="138">L302+L303</f>
        <v>0</v>
      </c>
      <c r="M301" s="496">
        <f t="shared" ca="1" si="138"/>
        <v>0</v>
      </c>
      <c r="N301" s="496">
        <f t="shared" ca="1" si="138"/>
        <v>0</v>
      </c>
      <c r="O301" s="496">
        <f t="shared" ca="1" si="135"/>
        <v>0</v>
      </c>
      <c r="P301" s="496">
        <f t="shared" ca="1" si="136"/>
        <v>0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2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5"/>
        <v>0</v>
      </c>
      <c r="P302" s="93">
        <f t="shared" si="136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2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IFERROR(__xludf.DUMMYFUNCTION("IMPORTRANGE(""https://docs.google.com/spreadsheets/d/1MeEWN-I1oV_STSDYn1IFDPWt_1FKiwhDph83XaGc0o0/edit?usp=sharing"",""งบพรบ!DS60"")"),0)</f>
        <v>0</v>
      </c>
      <c r="M303" s="93">
        <f ca="1">IFERROR(__xludf.DUMMYFUNCTION("IMPORTRANGE(""https://docs.google.com/spreadsheets/d/1MeEWN-I1oV_STSDYn1IFDPWt_1FKiwhDph83XaGc0o0/edit?usp=sharing"",""งบพรบ!DX60"")"),0)</f>
        <v>0</v>
      </c>
      <c r="N303" s="93">
        <f ca="1">IFERROR(__xludf.DUMMYFUNCTION("IMPORTRANGE(""https://docs.google.com/spreadsheets/d/1MeEWN-I1oV_STSDYn1IFDPWt_1FKiwhDph83XaGc0o0/edit?usp=sharing"",""งบพรบ!DZ60"")"),0)</f>
        <v>0</v>
      </c>
      <c r="O303" s="93">
        <f t="shared" ca="1" si="135"/>
        <v>0</v>
      </c>
      <c r="P303" s="93">
        <f t="shared" ca="1" si="136"/>
        <v>0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 hidden="1">
      <c r="A304" s="159"/>
      <c r="B304" s="33"/>
      <c r="C304" s="281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6">
        <f t="shared" ref="L304:N304" ca="1" si="139">L305+L306</f>
        <v>0</v>
      </c>
      <c r="M304" s="496">
        <f t="shared" ca="1" si="139"/>
        <v>0</v>
      </c>
      <c r="N304" s="496">
        <f t="shared" ca="1" si="139"/>
        <v>0</v>
      </c>
      <c r="O304" s="496">
        <f t="shared" ca="1" si="135"/>
        <v>0</v>
      </c>
      <c r="P304" s="496">
        <f t="shared" ca="1" si="136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2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5"/>
        <v>0</v>
      </c>
      <c r="P305" s="93">
        <f t="shared" si="136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2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IFERROR(__xludf.DUMMYFUNCTION("IMPORTRANGE(""https://docs.google.com/spreadsheets/d/1MeEWN-I1oV_STSDYn1IFDPWt_1FKiwhDph83XaGc0o0/edit?usp=sharing"",""งบพรบ!DV60"")"),0)</f>
        <v>0</v>
      </c>
      <c r="M306" s="93">
        <f ca="1">IFERROR(__xludf.DUMMYFUNCTION("IMPORTRANGE(""https://docs.google.com/spreadsheets/d/1MeEWN-I1oV_STSDYn1IFDPWt_1FKiwhDph83XaGc0o0/edit?usp=sharing"",""งบพรบ!DY60"")"),0)</f>
        <v>0</v>
      </c>
      <c r="N306" s="93">
        <f ca="1">IFERROR(__xludf.DUMMYFUNCTION("IMPORTRANGE(""https://docs.google.com/spreadsheets/d/1MeEWN-I1oV_STSDYn1IFDPWt_1FKiwhDph83XaGc0o0/edit?usp=sharing"",""งบพรบ!EA60"")"),0)</f>
        <v>0</v>
      </c>
      <c r="O306" s="93">
        <f t="shared" ca="1" si="135"/>
        <v>0</v>
      </c>
      <c r="P306" s="93">
        <f t="shared" ca="1" si="136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 hidden="1">
      <c r="A307" s="170"/>
      <c r="B307" s="171"/>
      <c r="C307" s="164" t="s">
        <v>16</v>
      </c>
      <c r="D307" s="823" t="s">
        <v>38</v>
      </c>
      <c r="E307" s="173"/>
      <c r="F307" s="173"/>
      <c r="G307" s="174"/>
      <c r="H307" s="753"/>
      <c r="I307" s="269"/>
      <c r="J307" s="269"/>
      <c r="K307" s="496"/>
      <c r="L307" s="496"/>
      <c r="M307" s="496"/>
      <c r="N307" s="496"/>
      <c r="O307" s="496"/>
      <c r="P307" s="496"/>
    </row>
    <row r="308" spans="1:26" ht="18.75" hidden="1">
      <c r="A308" s="170"/>
      <c r="B308" s="171"/>
      <c r="C308" s="171"/>
      <c r="D308" s="446" t="s">
        <v>140</v>
      </c>
      <c r="E308" s="446"/>
      <c r="F308" s="446"/>
      <c r="G308" s="179"/>
      <c r="H308" s="755"/>
      <c r="I308" s="269"/>
      <c r="J308" s="214">
        <v>0</v>
      </c>
      <c r="K308" s="496"/>
      <c r="L308" s="496"/>
      <c r="M308" s="496"/>
      <c r="N308" s="496"/>
      <c r="O308" s="496"/>
      <c r="P308" s="496"/>
    </row>
    <row r="309" spans="1:26" ht="18.75" hidden="1">
      <c r="A309" s="170"/>
      <c r="B309" s="171"/>
      <c r="C309" s="171"/>
      <c r="D309" s="446" t="s">
        <v>141</v>
      </c>
      <c r="E309" s="446"/>
      <c r="F309" s="446"/>
      <c r="G309" s="179"/>
      <c r="H309" s="755" t="s">
        <v>35</v>
      </c>
      <c r="I309" s="269">
        <f ca="1">IFERROR(__xludf.DUMMYFUNCTION("IMPORTRANGE(""https://docs.google.com/spreadsheets/d/1QqKyyYR6Q21VydFLVH3TRQUabQu_ym0Zz7PgGX0-kHA/edit?usp=sharing"",""แผน!ED60"")"),0)</f>
        <v>0</v>
      </c>
      <c r="J309" s="214">
        <v>0</v>
      </c>
      <c r="K309" s="496">
        <f t="shared" ref="K309:K312" ca="1" si="140">IF(I309&gt;0,J309*100/I309,0)</f>
        <v>0</v>
      </c>
      <c r="L309" s="496"/>
      <c r="M309" s="496"/>
      <c r="N309" s="496"/>
      <c r="O309" s="496"/>
      <c r="P309" s="496"/>
    </row>
    <row r="310" spans="1:26" ht="18.75" hidden="1">
      <c r="A310" s="170"/>
      <c r="B310" s="171"/>
      <c r="C310" s="171"/>
      <c r="D310" s="446" t="s">
        <v>142</v>
      </c>
      <c r="E310" s="446"/>
      <c r="F310" s="446"/>
      <c r="G310" s="179"/>
      <c r="H310" s="755" t="s">
        <v>35</v>
      </c>
      <c r="I310" s="269">
        <f ca="1">IFERROR(__xludf.DUMMYFUNCTION("IMPORTRANGE(""https://docs.google.com/spreadsheets/d/1QqKyyYR6Q21VydFLVH3TRQUabQu_ym0Zz7PgGX0-kHA/edit?usp=sharing"",""แผน!ED60"")"),0)</f>
        <v>0</v>
      </c>
      <c r="J310" s="214">
        <v>0</v>
      </c>
      <c r="K310" s="496">
        <f t="shared" ca="1" si="140"/>
        <v>0</v>
      </c>
      <c r="L310" s="496"/>
      <c r="M310" s="496"/>
      <c r="N310" s="496"/>
      <c r="O310" s="496"/>
      <c r="P310" s="496"/>
    </row>
    <row r="311" spans="1:26" ht="18.75" hidden="1">
      <c r="A311" s="170"/>
      <c r="B311" s="171"/>
      <c r="C311" s="171"/>
      <c r="D311" s="446" t="s">
        <v>59</v>
      </c>
      <c r="E311" s="446"/>
      <c r="F311" s="446"/>
      <c r="G311" s="179"/>
      <c r="H311" s="755" t="s">
        <v>35</v>
      </c>
      <c r="I311" s="269">
        <f ca="1">IFERROR(__xludf.DUMMYFUNCTION("IMPORTRANGE(""https://docs.google.com/spreadsheets/d/1QqKyyYR6Q21VydFLVH3TRQUabQu_ym0Zz7PgGX0-kHA/edit?usp=sharing"",""แผน!ED60"")"),0)</f>
        <v>0</v>
      </c>
      <c r="J311" s="214">
        <v>0</v>
      </c>
      <c r="K311" s="496">
        <f t="shared" ca="1" si="140"/>
        <v>0</v>
      </c>
      <c r="L311" s="496"/>
      <c r="M311" s="496"/>
      <c r="N311" s="496"/>
      <c r="O311" s="496"/>
      <c r="P311" s="496"/>
    </row>
    <row r="312" spans="1:26" ht="18.75" hidden="1">
      <c r="A312" s="170"/>
      <c r="B312" s="171"/>
      <c r="C312" s="171"/>
      <c r="D312" s="446" t="s">
        <v>143</v>
      </c>
      <c r="E312" s="446"/>
      <c r="F312" s="446"/>
      <c r="G312" s="179"/>
      <c r="H312" s="755" t="s">
        <v>35</v>
      </c>
      <c r="I312" s="269">
        <f ca="1">IFERROR(__xludf.DUMMYFUNCTION("IMPORTRANGE(""https://docs.google.com/spreadsheets/d/1QqKyyYR6Q21VydFLVH3TRQUabQu_ym0Zz7PgGX0-kHA/edit?usp=sharing"",""แผน!EE60"")"),0)</f>
        <v>0</v>
      </c>
      <c r="J312" s="214">
        <v>0</v>
      </c>
      <c r="K312" s="496">
        <f t="shared" ca="1" si="140"/>
        <v>0</v>
      </c>
      <c r="L312" s="496"/>
      <c r="M312" s="496"/>
      <c r="N312" s="496"/>
      <c r="O312" s="496"/>
      <c r="P312" s="496"/>
    </row>
    <row r="313" spans="1:26" ht="19.5" hidden="1">
      <c r="A313" s="431" t="s">
        <v>144</v>
      </c>
      <c r="B313" s="432"/>
      <c r="C313" s="432"/>
      <c r="D313" s="433"/>
      <c r="E313" s="432"/>
      <c r="F313" s="432"/>
      <c r="G313" s="432"/>
      <c r="H313" s="448"/>
      <c r="I313" s="436"/>
      <c r="J313" s="436"/>
      <c r="K313" s="437"/>
      <c r="L313" s="437"/>
      <c r="M313" s="437"/>
      <c r="N313" s="437"/>
      <c r="O313" s="437"/>
      <c r="P313" s="437"/>
    </row>
    <row r="314" spans="1:26" ht="19.5" hidden="1">
      <c r="A314" s="449"/>
      <c r="B314" s="439" t="s">
        <v>145</v>
      </c>
      <c r="C314" s="450"/>
      <c r="D314" s="451"/>
      <c r="E314" s="440"/>
      <c r="F314" s="440"/>
      <c r="G314" s="441"/>
      <c r="H314" s="442" t="s">
        <v>146</v>
      </c>
      <c r="I314" s="443">
        <f t="shared" ref="I314:J314" ca="1" si="141">I325</f>
        <v>0</v>
      </c>
      <c r="J314" s="443">
        <f t="shared" si="141"/>
        <v>0</v>
      </c>
      <c r="K314" s="444">
        <f ca="1">IF(I314&gt;0,J314*100/I314,0)</f>
        <v>0</v>
      </c>
      <c r="L314" s="445"/>
      <c r="M314" s="445"/>
      <c r="N314" s="445"/>
      <c r="O314" s="445"/>
      <c r="P314" s="445"/>
    </row>
    <row r="315" spans="1:26" ht="19.5" hidden="1">
      <c r="A315" s="147"/>
      <c r="B315" s="148"/>
      <c r="C315" s="149" t="s">
        <v>16</v>
      </c>
      <c r="D315" s="822" t="s">
        <v>17</v>
      </c>
      <c r="E315" s="148"/>
      <c r="F315" s="148"/>
      <c r="G315" s="151"/>
      <c r="H315" s="152" t="s">
        <v>12</v>
      </c>
      <c r="I315" s="419"/>
      <c r="J315" s="419"/>
      <c r="K315" s="154"/>
      <c r="L315" s="155">
        <f t="shared" ref="L315:N315" ca="1" si="142">L316+L317</f>
        <v>0</v>
      </c>
      <c r="M315" s="155">
        <f t="shared" ca="1" si="142"/>
        <v>0</v>
      </c>
      <c r="N315" s="155">
        <f t="shared" ca="1" si="142"/>
        <v>0</v>
      </c>
      <c r="O315" s="155">
        <f t="shared" ref="O315:O323" ca="1" si="143">IF(L315&gt;0,N315*100/L315,0)</f>
        <v>0</v>
      </c>
      <c r="P315" s="155">
        <f t="shared" ref="P315:P323" ca="1" si="144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2" t="s">
        <v>18</v>
      </c>
      <c r="F316" s="40"/>
      <c r="G316" s="157"/>
      <c r="H316" s="158" t="s">
        <v>12</v>
      </c>
      <c r="I316" s="610"/>
      <c r="J316" s="610"/>
      <c r="K316" s="93"/>
      <c r="L316" s="93">
        <f t="shared" ref="L316:N317" si="145">L319+L322</f>
        <v>0</v>
      </c>
      <c r="M316" s="93">
        <f t="shared" si="145"/>
        <v>0</v>
      </c>
      <c r="N316" s="93">
        <f t="shared" si="145"/>
        <v>0</v>
      </c>
      <c r="O316" s="93">
        <f t="shared" si="143"/>
        <v>0</v>
      </c>
      <c r="P316" s="93">
        <f t="shared" si="144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2" t="s">
        <v>19</v>
      </c>
      <c r="F317" s="40"/>
      <c r="G317" s="157"/>
      <c r="H317" s="158" t="s">
        <v>12</v>
      </c>
      <c r="I317" s="610"/>
      <c r="J317" s="610"/>
      <c r="K317" s="93"/>
      <c r="L317" s="93">
        <f t="shared" ca="1" si="145"/>
        <v>0</v>
      </c>
      <c r="M317" s="93">
        <f t="shared" ca="1" si="145"/>
        <v>0</v>
      </c>
      <c r="N317" s="93">
        <f t="shared" ca="1" si="145"/>
        <v>0</v>
      </c>
      <c r="O317" s="93">
        <f t="shared" ca="1" si="143"/>
        <v>0</v>
      </c>
      <c r="P317" s="93">
        <f t="shared" ca="1" si="144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1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6">
        <f t="shared" ref="L318:N318" ca="1" si="146">L319+L320</f>
        <v>0</v>
      </c>
      <c r="M318" s="496">
        <f t="shared" ca="1" si="146"/>
        <v>0</v>
      </c>
      <c r="N318" s="496">
        <f t="shared" ca="1" si="146"/>
        <v>0</v>
      </c>
      <c r="O318" s="496">
        <f t="shared" ca="1" si="143"/>
        <v>0</v>
      </c>
      <c r="P318" s="496">
        <f t="shared" ca="1" si="144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2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3"/>
        <v>0</v>
      </c>
      <c r="P319" s="93">
        <f t="shared" si="144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2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IFERROR(__xludf.DUMMYFUNCTION("IMPORTRANGE(""https://docs.google.com/spreadsheets/d/1MeEWN-I1oV_STSDYn1IFDPWt_1FKiwhDph83XaGc0o0/edit?usp=sharing"",""งบพรบ!EC60"")"),0)</f>
        <v>0</v>
      </c>
      <c r="M320" s="93">
        <f ca="1">IFERROR(__xludf.DUMMYFUNCTION("IMPORTRANGE(""https://docs.google.com/spreadsheets/d/1MeEWN-I1oV_STSDYn1IFDPWt_1FKiwhDph83XaGc0o0/edit?usp=sharing"",""งบพรบ!EH60"")"),0)</f>
        <v>0</v>
      </c>
      <c r="N320" s="93">
        <f ca="1">IFERROR(__xludf.DUMMYFUNCTION("IMPORTRANGE(""https://docs.google.com/spreadsheets/d/1MeEWN-I1oV_STSDYn1IFDPWt_1FKiwhDph83XaGc0o0/edit?usp=sharing"",""งบพรบ!EJ60"")"),0)</f>
        <v>0</v>
      </c>
      <c r="O320" s="93">
        <f t="shared" ca="1" si="143"/>
        <v>0</v>
      </c>
      <c r="P320" s="93">
        <f t="shared" ca="1" si="144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1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6">
        <f t="shared" ref="L321:N321" ca="1" si="147">L322+L323</f>
        <v>0</v>
      </c>
      <c r="M321" s="496">
        <f t="shared" ca="1" si="147"/>
        <v>0</v>
      </c>
      <c r="N321" s="496">
        <f t="shared" ca="1" si="147"/>
        <v>0</v>
      </c>
      <c r="O321" s="496">
        <f t="shared" ca="1" si="143"/>
        <v>0</v>
      </c>
      <c r="P321" s="496">
        <f t="shared" ca="1" si="144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2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3"/>
        <v>0</v>
      </c>
      <c r="P322" s="93">
        <f t="shared" si="144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2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IFERROR(__xludf.DUMMYFUNCTION("IMPORTRANGE(""https://docs.google.com/spreadsheets/d/1MeEWN-I1oV_STSDYn1IFDPWt_1FKiwhDph83XaGc0o0/edit?usp=sharing"",""งบพรบ!EF60"")"),0)</f>
        <v>0</v>
      </c>
      <c r="M323" s="93">
        <f ca="1">IFERROR(__xludf.DUMMYFUNCTION("IMPORTRANGE(""https://docs.google.com/spreadsheets/d/1MeEWN-I1oV_STSDYn1IFDPWt_1FKiwhDph83XaGc0o0/edit?usp=sharing"",""งบพรบ!EI60"")"),0)</f>
        <v>0</v>
      </c>
      <c r="N323" s="93">
        <f ca="1">IFERROR(__xludf.DUMMYFUNCTION("IMPORTRANGE(""https://docs.google.com/spreadsheets/d/1MeEWN-I1oV_STSDYn1IFDPWt_1FKiwhDph83XaGc0o0/edit?usp=sharing"",""งบพรบ!EK60"")"),0)</f>
        <v>0</v>
      </c>
      <c r="O323" s="93">
        <f t="shared" ca="1" si="143"/>
        <v>0</v>
      </c>
      <c r="P323" s="93">
        <f t="shared" ca="1" si="144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23" t="s">
        <v>38</v>
      </c>
      <c r="E324" s="173"/>
      <c r="F324" s="173"/>
      <c r="G324" s="174"/>
      <c r="H324" s="753"/>
      <c r="I324" s="184"/>
      <c r="J324" s="269"/>
      <c r="K324" s="496"/>
      <c r="L324" s="496"/>
      <c r="M324" s="496"/>
      <c r="N324" s="496"/>
      <c r="O324" s="163"/>
      <c r="P324" s="163"/>
    </row>
    <row r="325" spans="1:26" ht="18.75" hidden="1">
      <c r="A325" s="170"/>
      <c r="B325" s="171"/>
      <c r="C325" s="171"/>
      <c r="D325" s="176" t="s">
        <v>147</v>
      </c>
      <c r="E325" s="178"/>
      <c r="F325" s="446"/>
      <c r="G325" s="179"/>
      <c r="H325" s="616" t="s">
        <v>146</v>
      </c>
      <c r="I325" s="269">
        <f ca="1">IFERROR(__xludf.DUMMYFUNCTION("IMPORTRANGE(""https://docs.google.com/spreadsheets/d/1QqKyyYR6Q21VydFLVH3TRQUabQu_ym0Zz7PgGX0-kHA/edit?usp=sharing"",""แผน!EF60"")"),0)</f>
        <v>0</v>
      </c>
      <c r="J325" s="214">
        <v>0</v>
      </c>
      <c r="K325" s="496">
        <f ca="1">IF(I325&gt;0,J325*100/I325,0)</f>
        <v>0</v>
      </c>
      <c r="L325" s="496"/>
      <c r="M325" s="496"/>
      <c r="N325" s="496"/>
      <c r="O325" s="163"/>
      <c r="P325" s="163"/>
    </row>
    <row r="326" spans="1:26" ht="19.5">
      <c r="A326" s="431" t="s">
        <v>148</v>
      </c>
      <c r="B326" s="432"/>
      <c r="C326" s="432"/>
      <c r="D326" s="433"/>
      <c r="E326" s="432"/>
      <c r="F326" s="432"/>
      <c r="G326" s="432"/>
      <c r="H326" s="448"/>
      <c r="I326" s="436"/>
      <c r="J326" s="436"/>
      <c r="K326" s="437"/>
      <c r="L326" s="437"/>
      <c r="M326" s="437"/>
      <c r="N326" s="437"/>
      <c r="O326" s="437"/>
      <c r="P326" s="437"/>
    </row>
    <row r="327" spans="1:26" ht="19.5">
      <c r="A327" s="438"/>
      <c r="B327" s="439" t="s">
        <v>149</v>
      </c>
      <c r="C327" s="451"/>
      <c r="D327" s="440"/>
      <c r="E327" s="440"/>
      <c r="F327" s="440"/>
      <c r="G327" s="441"/>
      <c r="H327" s="442" t="s">
        <v>35</v>
      </c>
      <c r="I327" s="443">
        <f ca="1">IFERROR(__xludf.DUMMYFUNCTION("IMPORTRANGE(""https://docs.google.com/spreadsheets/d/1QqKyyYR6Q21VydFLVH3TRQUabQu_ym0Zz7PgGX0-kHA/edit?usp=sharing"",""แผน!EG60"")"),200)</f>
        <v>200</v>
      </c>
      <c r="J327" s="443">
        <f ca="1">J338+J341+J342+J343</f>
        <v>168</v>
      </c>
      <c r="K327" s="444">
        <f ca="1">IF(I327&gt;0,J327*100/I327,0)</f>
        <v>84</v>
      </c>
      <c r="L327" s="445"/>
      <c r="M327" s="445"/>
      <c r="N327" s="445"/>
      <c r="O327" s="445"/>
      <c r="P327" s="445"/>
    </row>
    <row r="328" spans="1:26" ht="19.5">
      <c r="A328" s="147"/>
      <c r="B328" s="148"/>
      <c r="C328" s="149" t="s">
        <v>16</v>
      </c>
      <c r="D328" s="822" t="s">
        <v>17</v>
      </c>
      <c r="E328" s="148"/>
      <c r="F328" s="148"/>
      <c r="G328" s="151"/>
      <c r="H328" s="152" t="s">
        <v>12</v>
      </c>
      <c r="I328" s="419"/>
      <c r="J328" s="419"/>
      <c r="K328" s="154"/>
      <c r="L328" s="155">
        <f t="shared" ref="L328:N328" ca="1" si="148">L329+L330</f>
        <v>244600</v>
      </c>
      <c r="M328" s="155">
        <f t="shared" ca="1" si="148"/>
        <v>122300</v>
      </c>
      <c r="N328" s="155">
        <f t="shared" ca="1" si="148"/>
        <v>54240</v>
      </c>
      <c r="O328" s="155">
        <f t="shared" ref="O328:O336" ca="1" si="149">IF(L328&gt;0,N328*100/L328,0)</f>
        <v>22.174979558462795</v>
      </c>
      <c r="P328" s="155">
        <f t="shared" ref="P328:P336" ca="1" si="150">IF(M328&gt;0,N328*100/M328,0)</f>
        <v>44.349959116925589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2" t="s">
        <v>18</v>
      </c>
      <c r="F329" s="40"/>
      <c r="G329" s="157"/>
      <c r="H329" s="158" t="s">
        <v>12</v>
      </c>
      <c r="I329" s="610"/>
      <c r="J329" s="610"/>
      <c r="K329" s="93"/>
      <c r="L329" s="93">
        <f t="shared" ref="L329:N330" si="151">L332+L335</f>
        <v>0</v>
      </c>
      <c r="M329" s="93">
        <f t="shared" si="151"/>
        <v>0</v>
      </c>
      <c r="N329" s="93">
        <f t="shared" si="151"/>
        <v>0</v>
      </c>
      <c r="O329" s="93">
        <f t="shared" si="149"/>
        <v>0</v>
      </c>
      <c r="P329" s="93">
        <f t="shared" si="150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2" t="s">
        <v>19</v>
      </c>
      <c r="F330" s="40"/>
      <c r="G330" s="157"/>
      <c r="H330" s="158" t="s">
        <v>12</v>
      </c>
      <c r="I330" s="610"/>
      <c r="J330" s="610"/>
      <c r="K330" s="93"/>
      <c r="L330" s="93">
        <f t="shared" ca="1" si="151"/>
        <v>244600</v>
      </c>
      <c r="M330" s="93">
        <f t="shared" ca="1" si="151"/>
        <v>122300</v>
      </c>
      <c r="N330" s="93">
        <f t="shared" ca="1" si="151"/>
        <v>54240</v>
      </c>
      <c r="O330" s="93">
        <f t="shared" ca="1" si="149"/>
        <v>22.174979558462795</v>
      </c>
      <c r="P330" s="93">
        <f t="shared" ca="1" si="150"/>
        <v>44.349959116925589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1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6">
        <f t="shared" ref="L331:N331" ca="1" si="152">L332+L333</f>
        <v>244600</v>
      </c>
      <c r="M331" s="496">
        <f t="shared" ca="1" si="152"/>
        <v>122300</v>
      </c>
      <c r="N331" s="496">
        <f t="shared" ca="1" si="152"/>
        <v>54240</v>
      </c>
      <c r="O331" s="496">
        <f t="shared" ca="1" si="149"/>
        <v>22.174979558462795</v>
      </c>
      <c r="P331" s="496">
        <f t="shared" ca="1" si="150"/>
        <v>44.349959116925589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2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49"/>
        <v>0</v>
      </c>
      <c r="P332" s="93">
        <f t="shared" si="150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2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IFERROR(__xludf.DUMMYFUNCTION("IMPORTRANGE(""https://docs.google.com/spreadsheets/d/1MeEWN-I1oV_STSDYn1IFDPWt_1FKiwhDph83XaGc0o0/edit?usp=sharing"",""งบพรบ!EM60"")"),244600)</f>
        <v>244600</v>
      </c>
      <c r="M333" s="93">
        <f ca="1">IFERROR(__xludf.DUMMYFUNCTION("IMPORTRANGE(""https://docs.google.com/spreadsheets/d/1MeEWN-I1oV_STSDYn1IFDPWt_1FKiwhDph83XaGc0o0/edit?usp=sharing"",""งบพรบ!ER60"")"),122300)</f>
        <v>122300</v>
      </c>
      <c r="N333" s="93">
        <f ca="1">IFERROR(__xludf.DUMMYFUNCTION("IMPORTRANGE(""https://docs.google.com/spreadsheets/d/1MeEWN-I1oV_STSDYn1IFDPWt_1FKiwhDph83XaGc0o0/edit?usp=sharing"",""งบพรบ!ET60"")"),54240)</f>
        <v>54240</v>
      </c>
      <c r="O333" s="93">
        <f t="shared" ca="1" si="149"/>
        <v>22.174979558462795</v>
      </c>
      <c r="P333" s="93">
        <f t="shared" ca="1" si="150"/>
        <v>44.349959116925589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1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6">
        <f t="shared" ref="L334:N334" ca="1" si="153">L335+L336</f>
        <v>0</v>
      </c>
      <c r="M334" s="496">
        <f t="shared" ca="1" si="153"/>
        <v>0</v>
      </c>
      <c r="N334" s="496">
        <f t="shared" ca="1" si="153"/>
        <v>0</v>
      </c>
      <c r="O334" s="496">
        <f t="shared" ca="1" si="149"/>
        <v>0</v>
      </c>
      <c r="P334" s="496">
        <f t="shared" ca="1" si="150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2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49"/>
        <v>0</v>
      </c>
      <c r="P335" s="93">
        <f t="shared" si="150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2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IFERROR(__xludf.DUMMYFUNCTION("IMPORTRANGE(""https://docs.google.com/spreadsheets/d/1MeEWN-I1oV_STSDYn1IFDPWt_1FKiwhDph83XaGc0o0/edit?usp=sharing"",""งบพรบ!EP60"")"),0)</f>
        <v>0</v>
      </c>
      <c r="M336" s="93">
        <f ca="1">IFERROR(__xludf.DUMMYFUNCTION("IMPORTRANGE(""https://docs.google.com/spreadsheets/d/1MeEWN-I1oV_STSDYn1IFDPWt_1FKiwhDph83XaGc0o0/edit?usp=sharing"",""งบพรบ!ES60"")"),0)</f>
        <v>0</v>
      </c>
      <c r="N336" s="93">
        <f ca="1">IFERROR(__xludf.DUMMYFUNCTION("IMPORTRANGE(""https://docs.google.com/spreadsheets/d/1MeEWN-I1oV_STSDYn1IFDPWt_1FKiwhDph83XaGc0o0/edit?usp=sharing"",""งบพรบ!EU60"")"),0)</f>
        <v>0</v>
      </c>
      <c r="O336" s="93">
        <f t="shared" ca="1" si="149"/>
        <v>0</v>
      </c>
      <c r="P336" s="93">
        <f t="shared" ca="1" si="150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23" t="s">
        <v>38</v>
      </c>
      <c r="E337" s="173"/>
      <c r="F337" s="173"/>
      <c r="G337" s="174"/>
      <c r="H337" s="753"/>
      <c r="I337" s="184"/>
      <c r="J337" s="269"/>
      <c r="K337" s="496"/>
      <c r="L337" s="496"/>
      <c r="M337" s="496"/>
      <c r="N337" s="496"/>
      <c r="O337" s="163"/>
      <c r="P337" s="163"/>
    </row>
    <row r="338" spans="1:26" ht="18.75">
      <c r="A338" s="284"/>
      <c r="B338" s="33"/>
      <c r="C338" s="280"/>
      <c r="D338" s="446" t="s">
        <v>150</v>
      </c>
      <c r="E338" s="171"/>
      <c r="F338" s="33"/>
      <c r="G338" s="35"/>
      <c r="H338" s="276" t="s">
        <v>35</v>
      </c>
      <c r="I338" s="269">
        <f ca="1">IFERROR(__xludf.DUMMYFUNCTION("IMPORTRANGE(""https://docs.google.com/spreadsheets/d/1QqKyyYR6Q21VydFLVH3TRQUabQu_ym0Zz7PgGX0-kHA/edit?usp=sharing"",""แผน!EG60"")"),200)</f>
        <v>200</v>
      </c>
      <c r="J338" s="269">
        <f ca="1">IFERROR(__xludf.DUMMYFUNCTION("IMPORTRANGE(""https://docs.google.com/spreadsheets/d/1kVcqe37tkHyjCSG3S0O1AXqVkqjo8mSIZil3BcpIysc/edit?usp=sharing"",""ศูนย์!D60"")"),96)</f>
        <v>96</v>
      </c>
      <c r="K338" s="496">
        <f ca="1">IF(I338&gt;0,J338*100/I338,0)</f>
        <v>48</v>
      </c>
      <c r="L338" s="496"/>
      <c r="M338" s="496"/>
      <c r="N338" s="496"/>
      <c r="O338" s="496"/>
      <c r="P338" s="496"/>
    </row>
    <row r="339" spans="1:26" ht="18.75">
      <c r="A339" s="284"/>
      <c r="B339" s="33"/>
      <c r="C339" s="280"/>
      <c r="D339" s="446" t="s">
        <v>151</v>
      </c>
      <c r="E339" s="171"/>
      <c r="F339" s="33"/>
      <c r="G339" s="35"/>
      <c r="H339" s="276"/>
      <c r="I339" s="269"/>
      <c r="J339" s="269"/>
      <c r="K339" s="496"/>
      <c r="L339" s="496"/>
      <c r="M339" s="496"/>
      <c r="N339" s="496"/>
      <c r="O339" s="496"/>
      <c r="P339" s="496"/>
    </row>
    <row r="340" spans="1:26" ht="18.75">
      <c r="A340" s="284"/>
      <c r="B340" s="33"/>
      <c r="C340" s="280"/>
      <c r="D340" s="178"/>
      <c r="E340" s="446" t="s">
        <v>152</v>
      </c>
      <c r="F340" s="33"/>
      <c r="G340" s="35"/>
      <c r="H340" s="276" t="s">
        <v>153</v>
      </c>
      <c r="I340" s="269">
        <f ca="1">IFERROR(__xludf.DUMMYFUNCTION("IMPORTRANGE(""https://docs.google.com/spreadsheets/d/1QqKyyYR6Q21VydFLVH3TRQUabQu_ym0Zz7PgGX0-kHA/edit?usp=sharing"",""แผน!EH60"")"),2)</f>
        <v>2</v>
      </c>
      <c r="J340" s="269">
        <f ca="1">IFERROR(__xludf.DUMMYFUNCTION("IMPORTRANGE(""https://docs.google.com/spreadsheets/d/1kVcqe37tkHyjCSG3S0O1AXqVkqjo8mSIZil3BcpIysc/edit?usp=sharing"",""ศูนย์!E60"")"),1)</f>
        <v>1</v>
      </c>
      <c r="K340" s="496">
        <f ca="1">IF(I340&gt;0,J340*100/I340,0)</f>
        <v>50</v>
      </c>
      <c r="L340" s="496"/>
      <c r="M340" s="496"/>
      <c r="N340" s="496"/>
      <c r="O340" s="496"/>
      <c r="P340" s="496"/>
    </row>
    <row r="341" spans="1:26" ht="18.75">
      <c r="A341" s="284"/>
      <c r="B341" s="33"/>
      <c r="C341" s="280"/>
      <c r="D341" s="178"/>
      <c r="E341" s="446" t="s">
        <v>154</v>
      </c>
      <c r="F341" s="33"/>
      <c r="G341" s="35"/>
      <c r="H341" s="276" t="s">
        <v>35</v>
      </c>
      <c r="I341" s="269"/>
      <c r="J341" s="269">
        <f ca="1">IFERROR(__xludf.DUMMYFUNCTION("IMPORTRANGE(""https://docs.google.com/spreadsheets/d/1kVcqe37tkHyjCSG3S0O1AXqVkqjo8mSIZil3BcpIysc/edit?usp=sharing"",""ศูนย์!F60"")"),72)</f>
        <v>72</v>
      </c>
      <c r="K341" s="496"/>
      <c r="L341" s="496"/>
      <c r="M341" s="496"/>
      <c r="N341" s="496"/>
      <c r="O341" s="496"/>
      <c r="P341" s="496"/>
    </row>
    <row r="342" spans="1:26" ht="18.75">
      <c r="A342" s="284"/>
      <c r="B342" s="33"/>
      <c r="C342" s="280"/>
      <c r="D342" s="446" t="s">
        <v>155</v>
      </c>
      <c r="E342" s="178"/>
      <c r="F342" s="178"/>
      <c r="G342" s="35"/>
      <c r="H342" s="276" t="s">
        <v>35</v>
      </c>
      <c r="I342" s="269"/>
      <c r="J342" s="269">
        <f ca="1">IFERROR(__xludf.DUMMYFUNCTION("IMPORTRANGE(""https://docs.google.com/spreadsheets/d/1kVcqe37tkHyjCSG3S0O1AXqVkqjo8mSIZil3BcpIysc/edit?usp=sharing"",""ศูนย์!G60"")"),0)</f>
        <v>0</v>
      </c>
      <c r="K342" s="496"/>
      <c r="L342" s="496"/>
      <c r="M342" s="496"/>
      <c r="N342" s="496"/>
      <c r="O342" s="496"/>
      <c r="P342" s="496"/>
    </row>
    <row r="343" spans="1:26" ht="18.75">
      <c r="A343" s="284"/>
      <c r="B343" s="33"/>
      <c r="C343" s="280"/>
      <c r="D343" s="446" t="s">
        <v>156</v>
      </c>
      <c r="E343" s="178"/>
      <c r="F343" s="178"/>
      <c r="G343" s="35"/>
      <c r="H343" s="276" t="s">
        <v>35</v>
      </c>
      <c r="I343" s="269"/>
      <c r="J343" s="269">
        <f ca="1">IFERROR(__xludf.DUMMYFUNCTION("IMPORTRANGE(""https://docs.google.com/spreadsheets/d/1kVcqe37tkHyjCSG3S0O1AXqVkqjo8mSIZil3BcpIysc/edit?usp=sharing"",""ศูนย์!H60"")"),0)</f>
        <v>0</v>
      </c>
      <c r="K343" s="496"/>
      <c r="L343" s="496"/>
      <c r="M343" s="496"/>
      <c r="N343" s="496"/>
      <c r="O343" s="496"/>
      <c r="P343" s="496"/>
    </row>
    <row r="344" spans="1:26" ht="19.5">
      <c r="A344" s="438"/>
      <c r="B344" s="439" t="s">
        <v>157</v>
      </c>
      <c r="C344" s="451"/>
      <c r="D344" s="440"/>
      <c r="E344" s="440"/>
      <c r="F344" s="440"/>
      <c r="G344" s="441"/>
      <c r="H344" s="442"/>
      <c r="I344" s="452"/>
      <c r="J344" s="452"/>
      <c r="K344" s="445"/>
      <c r="L344" s="445"/>
      <c r="M344" s="445"/>
      <c r="N344" s="445"/>
      <c r="O344" s="445"/>
      <c r="P344" s="445"/>
    </row>
    <row r="345" spans="1:26" ht="19.5">
      <c r="A345" s="147"/>
      <c r="B345" s="148"/>
      <c r="C345" s="149" t="s">
        <v>16</v>
      </c>
      <c r="D345" s="822" t="s">
        <v>17</v>
      </c>
      <c r="E345" s="148"/>
      <c r="F345" s="148"/>
      <c r="G345" s="151"/>
      <c r="H345" s="152" t="s">
        <v>12</v>
      </c>
      <c r="I345" s="419"/>
      <c r="J345" s="419"/>
      <c r="K345" s="154"/>
      <c r="L345" s="155">
        <f t="shared" ref="L345:N345" ca="1" si="154">L346+L347</f>
        <v>228910</v>
      </c>
      <c r="M345" s="155">
        <f t="shared" ca="1" si="154"/>
        <v>133360</v>
      </c>
      <c r="N345" s="155">
        <f t="shared" ca="1" si="154"/>
        <v>66600</v>
      </c>
      <c r="O345" s="155">
        <f t="shared" ref="O345:O353" ca="1" si="155">IF(L345&gt;0,N345*100/L345,0)</f>
        <v>29.09440391420209</v>
      </c>
      <c r="P345" s="155">
        <f t="shared" ref="P345:P353" ca="1" si="156">IF(M345&gt;0,N345*100/M345,0)</f>
        <v>49.940011997600479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2" t="s">
        <v>18</v>
      </c>
      <c r="F346" s="40"/>
      <c r="G346" s="157"/>
      <c r="H346" s="158" t="s">
        <v>12</v>
      </c>
      <c r="I346" s="610"/>
      <c r="J346" s="610"/>
      <c r="K346" s="93"/>
      <c r="L346" s="93">
        <f t="shared" ref="L346:N347" si="157">L349+L352</f>
        <v>0</v>
      </c>
      <c r="M346" s="93">
        <f t="shared" si="157"/>
        <v>0</v>
      </c>
      <c r="N346" s="93">
        <f t="shared" si="157"/>
        <v>0</v>
      </c>
      <c r="O346" s="93">
        <f t="shared" si="155"/>
        <v>0</v>
      </c>
      <c r="P346" s="93">
        <f t="shared" si="156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2" t="s">
        <v>19</v>
      </c>
      <c r="F347" s="40"/>
      <c r="G347" s="157"/>
      <c r="H347" s="158" t="s">
        <v>12</v>
      </c>
      <c r="I347" s="610"/>
      <c r="J347" s="610"/>
      <c r="K347" s="93"/>
      <c r="L347" s="93">
        <f t="shared" ca="1" si="157"/>
        <v>228910</v>
      </c>
      <c r="M347" s="93">
        <f t="shared" ca="1" si="157"/>
        <v>133360</v>
      </c>
      <c r="N347" s="93">
        <f t="shared" ca="1" si="157"/>
        <v>66600</v>
      </c>
      <c r="O347" s="93">
        <f t="shared" ca="1" si="155"/>
        <v>29.09440391420209</v>
      </c>
      <c r="P347" s="93">
        <f t="shared" ca="1" si="156"/>
        <v>49.940011997600479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1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6">
        <f t="shared" ref="L348:N348" ca="1" si="158">L349+L350</f>
        <v>191110</v>
      </c>
      <c r="M348" s="496">
        <f t="shared" ca="1" si="158"/>
        <v>95560</v>
      </c>
      <c r="N348" s="496">
        <f t="shared" ca="1" si="158"/>
        <v>28800</v>
      </c>
      <c r="O348" s="496">
        <f t="shared" ca="1" si="155"/>
        <v>15.069855057296845</v>
      </c>
      <c r="P348" s="496">
        <f t="shared" ca="1" si="156"/>
        <v>30.138133110087903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2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5"/>
        <v>0</v>
      </c>
      <c r="P349" s="93">
        <f t="shared" si="156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2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IFERROR(__xludf.DUMMYFUNCTION("IMPORTRANGE(""https://docs.google.com/spreadsheets/d/1MeEWN-I1oV_STSDYn1IFDPWt_1FKiwhDph83XaGc0o0/edit?usp=sharing"",""งบพรบ!EW60"")"),191110)</f>
        <v>191110</v>
      </c>
      <c r="M350" s="93">
        <f ca="1">IFERROR(__xludf.DUMMYFUNCTION("IMPORTRANGE(""https://docs.google.com/spreadsheets/d/1MeEWN-I1oV_STSDYn1IFDPWt_1FKiwhDph83XaGc0o0/edit?usp=sharing"",""งบพรบ!FB60"")"),95560)</f>
        <v>95560</v>
      </c>
      <c r="N350" s="93">
        <f ca="1">IFERROR(__xludf.DUMMYFUNCTION("IMPORTRANGE(""https://docs.google.com/spreadsheets/d/1MeEWN-I1oV_STSDYn1IFDPWt_1FKiwhDph83XaGc0o0/edit?usp=sharing"",""งบพรบ!FD60"")"),28800)</f>
        <v>28800</v>
      </c>
      <c r="O350" s="93">
        <f t="shared" ca="1" si="155"/>
        <v>15.069855057296845</v>
      </c>
      <c r="P350" s="93">
        <f t="shared" ca="1" si="156"/>
        <v>30.138133110087903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1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6">
        <f t="shared" ref="L351:N351" ca="1" si="159">L352+L353</f>
        <v>37800</v>
      </c>
      <c r="M351" s="496">
        <f t="shared" ca="1" si="159"/>
        <v>37800</v>
      </c>
      <c r="N351" s="496">
        <f t="shared" ca="1" si="159"/>
        <v>37800</v>
      </c>
      <c r="O351" s="496">
        <f t="shared" ca="1" si="155"/>
        <v>100</v>
      </c>
      <c r="P351" s="496">
        <f t="shared" ca="1" si="156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2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5"/>
        <v>0</v>
      </c>
      <c r="P352" s="93">
        <f t="shared" si="156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2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IFERROR(__xludf.DUMMYFUNCTION("IMPORTRANGE(""https://docs.google.com/spreadsheets/d/1MeEWN-I1oV_STSDYn1IFDPWt_1FKiwhDph83XaGc0o0/edit?usp=sharing"",""งบพรบ!EZ60"")"),37800)</f>
        <v>37800</v>
      </c>
      <c r="M353" s="93">
        <f ca="1">IFERROR(__xludf.DUMMYFUNCTION("IMPORTRANGE(""https://docs.google.com/spreadsheets/d/1MeEWN-I1oV_STSDYn1IFDPWt_1FKiwhDph83XaGc0o0/edit?usp=sharing"",""งบพรบ!FC60"")"),37800)</f>
        <v>37800</v>
      </c>
      <c r="N353" s="93">
        <f ca="1">IFERROR(__xludf.DUMMYFUNCTION("IMPORTRANGE(""https://docs.google.com/spreadsheets/d/1MeEWN-I1oV_STSDYn1IFDPWt_1FKiwhDph83XaGc0o0/edit?usp=sharing"",""งบพรบ!FE60"")"),37800)</f>
        <v>37800</v>
      </c>
      <c r="O353" s="93">
        <f t="shared" ca="1" si="155"/>
        <v>100</v>
      </c>
      <c r="P353" s="93">
        <f t="shared" ca="1" si="156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 hidden="1">
      <c r="A354" s="255"/>
      <c r="B354" s="263"/>
      <c r="C354" s="256"/>
      <c r="D354" s="832" t="s">
        <v>158</v>
      </c>
      <c r="E354" s="256"/>
      <c r="F354" s="256"/>
      <c r="G354" s="258"/>
      <c r="H354" s="454"/>
      <c r="I354" s="260"/>
      <c r="J354" s="260"/>
      <c r="K354" s="261"/>
      <c r="L354" s="261"/>
      <c r="M354" s="261"/>
      <c r="N354" s="261"/>
      <c r="O354" s="261"/>
      <c r="P354" s="261"/>
    </row>
    <row r="355" spans="1:26" ht="19.5" hidden="1">
      <c r="A355" s="455"/>
      <c r="B355" s="456"/>
      <c r="C355" s="457"/>
      <c r="D355" s="833" t="s">
        <v>159</v>
      </c>
      <c r="E355" s="459"/>
      <c r="F355" s="459"/>
      <c r="G355" s="460"/>
      <c r="H355" s="461" t="s">
        <v>35</v>
      </c>
      <c r="I355" s="463">
        <f ca="1">IFERROR(__xludf.DUMMYFUNCTION("IMPORTRANGE(""https://docs.google.com/spreadsheets/d/1QqKyyYR6Q21VydFLVH3TRQUabQu_ym0Zz7PgGX0-kHA/edit?usp=sharing"",""แผน!EP60"")"),0)</f>
        <v>0</v>
      </c>
      <c r="J355" s="463">
        <f ca="1">J362</f>
        <v>0</v>
      </c>
      <c r="K355" s="464">
        <f ca="1">IF(I355&gt;0,J355*100/I355,0)</f>
        <v>0</v>
      </c>
      <c r="L355" s="465"/>
      <c r="M355" s="465"/>
      <c r="N355" s="465"/>
      <c r="O355" s="465"/>
      <c r="P355" s="465"/>
    </row>
    <row r="356" spans="1:26" ht="19.5" hidden="1">
      <c r="A356" s="455"/>
      <c r="B356" s="456"/>
      <c r="C356" s="457"/>
      <c r="D356" s="466" t="s">
        <v>160</v>
      </c>
      <c r="E356" s="459"/>
      <c r="F356" s="459"/>
      <c r="G356" s="460"/>
      <c r="H356" s="467"/>
      <c r="I356" s="468"/>
      <c r="J356" s="468"/>
      <c r="K356" s="465"/>
      <c r="L356" s="465"/>
      <c r="M356" s="465"/>
      <c r="N356" s="465"/>
      <c r="O356" s="465"/>
      <c r="P356" s="465"/>
    </row>
    <row r="357" spans="1:26" ht="19.5" hidden="1">
      <c r="A357" s="170"/>
      <c r="B357" s="171"/>
      <c r="C357" s="164" t="s">
        <v>16</v>
      </c>
      <c r="D357" s="823" t="s">
        <v>38</v>
      </c>
      <c r="E357" s="173"/>
      <c r="F357" s="173"/>
      <c r="G357" s="174"/>
      <c r="H357" s="753"/>
      <c r="I357" s="269"/>
      <c r="J357" s="269"/>
      <c r="K357" s="496"/>
      <c r="L357" s="163"/>
      <c r="M357" s="163"/>
      <c r="N357" s="163"/>
      <c r="O357" s="163"/>
      <c r="P357" s="163"/>
    </row>
    <row r="358" spans="1:26" ht="18.75" hidden="1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69">
        <v>0</v>
      </c>
      <c r="J358" s="269">
        <f ca="1">IFERROR(__xludf.DUMMYFUNCTION("IMPORTRANGE(""https://docs.google.com/spreadsheets/d/1XWAQStnk-4SwqDmLtmXYiTMKHgktTP8We1SCoS47DrQ/edit?usp=sharing"",""จัดที่ดิน!W60"")"),0)</f>
        <v>0</v>
      </c>
      <c r="K358" s="496">
        <f t="shared" ref="K358:K365" si="160">IF(I358&gt;0,J358*100/I358,0)</f>
        <v>0</v>
      </c>
      <c r="L358" s="163"/>
      <c r="M358" s="163"/>
      <c r="N358" s="163"/>
      <c r="O358" s="163"/>
      <c r="P358" s="163"/>
    </row>
    <row r="359" spans="1:26" ht="18.75" hidden="1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69">
        <f ca="1">IFERROR(__xludf.DUMMYFUNCTION("IMPORTRANGE(""https://docs.google.com/spreadsheets/d/1QqKyyYR6Q21VydFLVH3TRQUabQu_ym0Zz7PgGX0-kHA/edit?usp=sharing"",""แผน!EO60"")"),0)</f>
        <v>0</v>
      </c>
      <c r="J359" s="269">
        <f ca="1">IFERROR(__xludf.DUMMYFUNCTION("IMPORTRANGE(""https://docs.google.com/spreadsheets/d/1XWAQStnk-4SwqDmLtmXYiTMKHgktTP8We1SCoS47DrQ/edit?usp=sharing"",""จัดที่ดิน!X60"")"),0)</f>
        <v>0</v>
      </c>
      <c r="K359" s="496">
        <f t="shared" ca="1" si="160"/>
        <v>0</v>
      </c>
      <c r="L359" s="163"/>
      <c r="M359" s="163"/>
      <c r="N359" s="163"/>
      <c r="O359" s="163"/>
      <c r="P359" s="163"/>
    </row>
    <row r="360" spans="1:26" ht="18.75" hidden="1">
      <c r="A360" s="170"/>
      <c r="B360" s="178"/>
      <c r="C360" s="171"/>
      <c r="D360" s="178"/>
      <c r="E360" s="176" t="s">
        <v>162</v>
      </c>
      <c r="F360" s="178"/>
      <c r="G360" s="179"/>
      <c r="H360" s="755" t="s">
        <v>35</v>
      </c>
      <c r="I360" s="269">
        <f ca="1">IFERROR(__xludf.DUMMYFUNCTION("IMPORTRANGE(""https://docs.google.com/spreadsheets/d/1QqKyyYR6Q21VydFLVH3TRQUabQu_ym0Zz7PgGX0-kHA/edit?usp=sharing"",""แผน!EP60"")"),0)</f>
        <v>0</v>
      </c>
      <c r="J360" s="269">
        <f ca="1">IFERROR(__xludf.DUMMYFUNCTION("IMPORTRANGE(""https://docs.google.com/spreadsheets/d/1XWAQStnk-4SwqDmLtmXYiTMKHgktTP8We1SCoS47DrQ/edit?usp=sharing"",""จัดที่ดิน!Y60"")"),0)</f>
        <v>0</v>
      </c>
      <c r="K360" s="496">
        <f t="shared" ca="1" si="160"/>
        <v>0</v>
      </c>
      <c r="L360" s="163"/>
      <c r="M360" s="163"/>
      <c r="N360" s="163"/>
      <c r="O360" s="163"/>
      <c r="P360" s="163"/>
    </row>
    <row r="361" spans="1:26" ht="18.75" hidden="1">
      <c r="A361" s="170"/>
      <c r="B361" s="178"/>
      <c r="C361" s="171"/>
      <c r="D361" s="178"/>
      <c r="E361" s="178"/>
      <c r="F361" s="178"/>
      <c r="G361" s="179"/>
      <c r="H361" s="755" t="s">
        <v>46</v>
      </c>
      <c r="I361" s="269">
        <v>0</v>
      </c>
      <c r="J361" s="269">
        <f ca="1">IFERROR(__xludf.DUMMYFUNCTION("IMPORTRANGE(""https://docs.google.com/spreadsheets/d/1XWAQStnk-4SwqDmLtmXYiTMKHgktTP8We1SCoS47DrQ/edit?usp=sharing"",""จัดที่ดิน!Z60"")"),0)</f>
        <v>0</v>
      </c>
      <c r="K361" s="496">
        <f t="shared" si="160"/>
        <v>0</v>
      </c>
      <c r="L361" s="163"/>
      <c r="M361" s="163"/>
      <c r="N361" s="163"/>
      <c r="O361" s="163"/>
      <c r="P361" s="163"/>
    </row>
    <row r="362" spans="1:26" ht="18.75" hidden="1">
      <c r="A362" s="170"/>
      <c r="B362" s="178"/>
      <c r="C362" s="171"/>
      <c r="D362" s="178"/>
      <c r="E362" s="176" t="s">
        <v>163</v>
      </c>
      <c r="F362" s="178"/>
      <c r="G362" s="179"/>
      <c r="H362" s="755" t="s">
        <v>35</v>
      </c>
      <c r="I362" s="269">
        <f ca="1">IFERROR(__xludf.DUMMYFUNCTION("IMPORTRANGE(""https://docs.google.com/spreadsheets/d/1QqKyyYR6Q21VydFLVH3TRQUabQu_ym0Zz7PgGX0-kHA/edit?usp=sharing"",""แผน!EP60"")"),0)</f>
        <v>0</v>
      </c>
      <c r="J362" s="269">
        <f ca="1">IFERROR(__xludf.DUMMYFUNCTION("IMPORTRANGE(""https://docs.google.com/spreadsheets/d/1XWAQStnk-4SwqDmLtmXYiTMKHgktTP8We1SCoS47DrQ/edit?usp=sharing"",""จัดที่ดิน!AA60"")"),0)</f>
        <v>0</v>
      </c>
      <c r="K362" s="496">
        <f t="shared" ca="1" si="160"/>
        <v>0</v>
      </c>
      <c r="L362" s="163"/>
      <c r="M362" s="163"/>
      <c r="N362" s="163"/>
      <c r="O362" s="163"/>
      <c r="P362" s="163"/>
    </row>
    <row r="363" spans="1:26" ht="18.75" hidden="1">
      <c r="A363" s="469" t="s">
        <v>164</v>
      </c>
      <c r="B363" s="178"/>
      <c r="C363" s="171"/>
      <c r="D363" s="178"/>
      <c r="E363" s="446"/>
      <c r="F363" s="178"/>
      <c r="G363" s="179"/>
      <c r="H363" s="755" t="s">
        <v>46</v>
      </c>
      <c r="I363" s="269">
        <v>0</v>
      </c>
      <c r="J363" s="269">
        <f ca="1">IFERROR(__xludf.DUMMYFUNCTION("IMPORTRANGE(""https://docs.google.com/spreadsheets/d/1XWAQStnk-4SwqDmLtmXYiTMKHgktTP8We1SCoS47DrQ/edit?usp=sharing"",""จัดที่ดิน!AB60"")"),0)</f>
        <v>0</v>
      </c>
      <c r="K363" s="496">
        <f t="shared" si="160"/>
        <v>0</v>
      </c>
      <c r="L363" s="163"/>
      <c r="M363" s="163"/>
      <c r="N363" s="163"/>
      <c r="O363" s="163"/>
      <c r="P363" s="163"/>
    </row>
    <row r="364" spans="1:26" ht="19.5" hidden="1">
      <c r="A364" s="470"/>
      <c r="B364" s="471"/>
      <c r="C364" s="472"/>
      <c r="D364" s="473" t="s">
        <v>165</v>
      </c>
      <c r="E364" s="474"/>
      <c r="F364" s="474"/>
      <c r="G364" s="475"/>
      <c r="H364" s="476" t="s">
        <v>35</v>
      </c>
      <c r="I364" s="477">
        <f t="shared" ref="I364:J364" ca="1" si="161">I365+I374</f>
        <v>0</v>
      </c>
      <c r="J364" s="477">
        <f t="shared" ca="1" si="161"/>
        <v>0</v>
      </c>
      <c r="K364" s="478">
        <f t="shared" ca="1" si="160"/>
        <v>0</v>
      </c>
      <c r="L364" s="479"/>
      <c r="M364" s="479"/>
      <c r="N364" s="479"/>
      <c r="O364" s="479"/>
      <c r="P364" s="479"/>
      <c r="Q364" s="480"/>
      <c r="R364" s="480"/>
      <c r="S364" s="480"/>
      <c r="T364" s="480"/>
      <c r="U364" s="480"/>
      <c r="V364" s="480"/>
      <c r="W364" s="480"/>
      <c r="X364" s="480"/>
      <c r="Y364" s="480"/>
      <c r="Z364" s="480"/>
    </row>
    <row r="365" spans="1:26" ht="19.5" hidden="1">
      <c r="A365" s="481"/>
      <c r="B365" s="482"/>
      <c r="C365" s="484"/>
      <c r="D365" s="484" t="s">
        <v>166</v>
      </c>
      <c r="E365" s="485"/>
      <c r="F365" s="485"/>
      <c r="G365" s="486"/>
      <c r="H365" s="487" t="s">
        <v>35</v>
      </c>
      <c r="I365" s="489">
        <f ca="1">IFERROR(__xludf.DUMMYFUNCTION("IMPORTRANGE(""https://docs.google.com/spreadsheets/d/1QqKyyYR6Q21VydFLVH3TRQUabQu_ym0Zz7PgGX0-kHA/edit?usp=sharing"",""แผน!EJ60"")"),0)</f>
        <v>0</v>
      </c>
      <c r="J365" s="489">
        <f ca="1">J372</f>
        <v>0</v>
      </c>
      <c r="K365" s="490">
        <f t="shared" ca="1" si="160"/>
        <v>0</v>
      </c>
      <c r="L365" s="491"/>
      <c r="M365" s="491"/>
      <c r="N365" s="491"/>
      <c r="O365" s="491"/>
      <c r="P365" s="491"/>
      <c r="Q365" s="480"/>
      <c r="R365" s="480"/>
      <c r="S365" s="480"/>
      <c r="T365" s="480"/>
      <c r="U365" s="480"/>
      <c r="V365" s="480"/>
      <c r="W365" s="480"/>
      <c r="X365" s="480"/>
      <c r="Y365" s="480"/>
      <c r="Z365" s="480"/>
    </row>
    <row r="366" spans="1:26" ht="19.5" hidden="1">
      <c r="A366" s="481"/>
      <c r="B366" s="482"/>
      <c r="C366" s="484"/>
      <c r="D366" s="492" t="s">
        <v>167</v>
      </c>
      <c r="E366" s="485"/>
      <c r="F366" s="485"/>
      <c r="G366" s="486"/>
      <c r="H366" s="493"/>
      <c r="I366" s="494"/>
      <c r="J366" s="494"/>
      <c r="K366" s="491"/>
      <c r="L366" s="491"/>
      <c r="M366" s="491"/>
      <c r="N366" s="491"/>
      <c r="O366" s="491"/>
      <c r="P366" s="491"/>
      <c r="Q366" s="480"/>
      <c r="R366" s="480"/>
      <c r="S366" s="480"/>
      <c r="T366" s="480"/>
      <c r="U366" s="480"/>
      <c r="V366" s="480"/>
      <c r="W366" s="480"/>
      <c r="X366" s="480"/>
      <c r="Y366" s="480"/>
      <c r="Z366" s="480"/>
    </row>
    <row r="367" spans="1:26" ht="19.5" hidden="1">
      <c r="A367" s="170"/>
      <c r="B367" s="171"/>
      <c r="C367" s="164" t="s">
        <v>16</v>
      </c>
      <c r="D367" s="823" t="s">
        <v>38</v>
      </c>
      <c r="E367" s="173"/>
      <c r="F367" s="173"/>
      <c r="G367" s="174"/>
      <c r="H367" s="753"/>
      <c r="I367" s="269"/>
      <c r="J367" s="269"/>
      <c r="K367" s="496"/>
      <c r="L367" s="163"/>
      <c r="M367" s="163"/>
      <c r="N367" s="163"/>
      <c r="O367" s="163"/>
      <c r="P367" s="163"/>
    </row>
    <row r="368" spans="1:26" ht="18.75" hidden="1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69">
        <v>0</v>
      </c>
      <c r="J368" s="269">
        <f ca="1">IFERROR(__xludf.DUMMYFUNCTION("IMPORTRANGE(""https://docs.google.com/spreadsheets/d/1XWAQStnk-4SwqDmLtmXYiTMKHgktTP8We1SCoS47DrQ/edit?usp=sharing"",""จัดที่ดิน!E60"")"),0)</f>
        <v>0</v>
      </c>
      <c r="K368" s="496">
        <f t="shared" ref="K368:K374" si="162">IF(I368&gt;0,J368*100/I368,0)</f>
        <v>0</v>
      </c>
      <c r="L368" s="163"/>
      <c r="M368" s="163"/>
      <c r="N368" s="163"/>
      <c r="O368" s="163"/>
      <c r="P368" s="163"/>
    </row>
    <row r="369" spans="1:26" ht="18.75" hidden="1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69">
        <f ca="1">IFERROR(__xludf.DUMMYFUNCTION("IMPORTRANGE(""https://docs.google.com/spreadsheets/d/1QqKyyYR6Q21VydFLVH3TRQUabQu_ym0Zz7PgGX0-kHA/edit?usp=sharing"",""แผน!EI60"")"),0)</f>
        <v>0</v>
      </c>
      <c r="J369" s="269">
        <f ca="1">IFERROR(__xludf.DUMMYFUNCTION("IMPORTRANGE(""https://docs.google.com/spreadsheets/d/1XWAQStnk-4SwqDmLtmXYiTMKHgktTP8We1SCoS47DrQ/edit?usp=sharing"",""จัดที่ดิน!F60"")"),0)</f>
        <v>0</v>
      </c>
      <c r="K369" s="496">
        <f t="shared" ca="1" si="162"/>
        <v>0</v>
      </c>
      <c r="L369" s="163"/>
      <c r="M369" s="163"/>
      <c r="N369" s="163"/>
      <c r="O369" s="163"/>
      <c r="P369" s="163"/>
    </row>
    <row r="370" spans="1:26" ht="18.75" hidden="1">
      <c r="A370" s="170"/>
      <c r="B370" s="178"/>
      <c r="C370" s="171"/>
      <c r="D370" s="178"/>
      <c r="E370" s="176" t="s">
        <v>162</v>
      </c>
      <c r="F370" s="178"/>
      <c r="G370" s="179"/>
      <c r="H370" s="755" t="s">
        <v>35</v>
      </c>
      <c r="I370" s="269">
        <f ca="1">IFERROR(__xludf.DUMMYFUNCTION("IMPORTRANGE(""https://docs.google.com/spreadsheets/d/1QqKyyYR6Q21VydFLVH3TRQUabQu_ym0Zz7PgGX0-kHA/edit?usp=sharing"",""แผน!EJ60"")"),0)</f>
        <v>0</v>
      </c>
      <c r="J370" s="269">
        <f ca="1">IFERROR(__xludf.DUMMYFUNCTION("IMPORTRANGE(""https://docs.google.com/spreadsheets/d/1XWAQStnk-4SwqDmLtmXYiTMKHgktTP8We1SCoS47DrQ/edit?usp=sharing"",""จัดที่ดิน!G60"")"),0)</f>
        <v>0</v>
      </c>
      <c r="K370" s="496">
        <f t="shared" ca="1" si="162"/>
        <v>0</v>
      </c>
      <c r="L370" s="163"/>
      <c r="M370" s="163"/>
      <c r="N370" s="163"/>
      <c r="O370" s="163"/>
      <c r="P370" s="163"/>
    </row>
    <row r="371" spans="1:26" ht="18.75" hidden="1">
      <c r="A371" s="170"/>
      <c r="B371" s="178"/>
      <c r="C371" s="171"/>
      <c r="D371" s="178"/>
      <c r="E371" s="178"/>
      <c r="F371" s="178"/>
      <c r="G371" s="179"/>
      <c r="H371" s="755" t="s">
        <v>46</v>
      </c>
      <c r="I371" s="269">
        <v>0</v>
      </c>
      <c r="J371" s="269">
        <f ca="1">IFERROR(__xludf.DUMMYFUNCTION("IMPORTRANGE(""https://docs.google.com/spreadsheets/d/1XWAQStnk-4SwqDmLtmXYiTMKHgktTP8We1SCoS47DrQ/edit?usp=sharing"",""จัดที่ดิน!H60"")"),0)</f>
        <v>0</v>
      </c>
      <c r="K371" s="496">
        <f t="shared" si="162"/>
        <v>0</v>
      </c>
      <c r="L371" s="163"/>
      <c r="M371" s="163"/>
      <c r="N371" s="163"/>
      <c r="O371" s="163"/>
      <c r="P371" s="163"/>
    </row>
    <row r="372" spans="1:26" ht="18.75" hidden="1">
      <c r="A372" s="170"/>
      <c r="B372" s="178"/>
      <c r="C372" s="171"/>
      <c r="D372" s="178"/>
      <c r="E372" s="176" t="s">
        <v>163</v>
      </c>
      <c r="F372" s="178"/>
      <c r="G372" s="179"/>
      <c r="H372" s="755" t="s">
        <v>35</v>
      </c>
      <c r="I372" s="269">
        <f ca="1">IFERROR(__xludf.DUMMYFUNCTION("IMPORTRANGE(""https://docs.google.com/spreadsheets/d/1QqKyyYR6Q21VydFLVH3TRQUabQu_ym0Zz7PgGX0-kHA/edit?usp=sharing"",""แผน!EJ60"")"),0)</f>
        <v>0</v>
      </c>
      <c r="J372" s="269">
        <f ca="1">IFERROR(__xludf.DUMMYFUNCTION("IMPORTRANGE(""https://docs.google.com/spreadsheets/d/1XWAQStnk-4SwqDmLtmXYiTMKHgktTP8We1SCoS47DrQ/edit?usp=sharing"",""จัดที่ดิน!I60"")"),0)</f>
        <v>0</v>
      </c>
      <c r="K372" s="496">
        <f t="shared" ca="1" si="162"/>
        <v>0</v>
      </c>
      <c r="L372" s="163"/>
      <c r="M372" s="163"/>
      <c r="N372" s="163"/>
      <c r="O372" s="163"/>
      <c r="P372" s="163"/>
    </row>
    <row r="373" spans="1:26" ht="18.75" hidden="1">
      <c r="A373" s="469" t="s">
        <v>164</v>
      </c>
      <c r="B373" s="178"/>
      <c r="C373" s="171"/>
      <c r="D373" s="178"/>
      <c r="E373" s="446"/>
      <c r="F373" s="178"/>
      <c r="G373" s="179"/>
      <c r="H373" s="755" t="s">
        <v>46</v>
      </c>
      <c r="I373" s="269">
        <v>0</v>
      </c>
      <c r="J373" s="269">
        <f ca="1">IFERROR(__xludf.DUMMYFUNCTION("IMPORTRANGE(""https://docs.google.com/spreadsheets/d/1XWAQStnk-4SwqDmLtmXYiTMKHgktTP8We1SCoS47DrQ/edit?usp=sharing"",""จัดที่ดิน!J60"")"),0)</f>
        <v>0</v>
      </c>
      <c r="K373" s="496">
        <f t="shared" si="162"/>
        <v>0</v>
      </c>
      <c r="L373" s="163"/>
      <c r="M373" s="163"/>
      <c r="N373" s="163"/>
      <c r="O373" s="163"/>
      <c r="P373" s="163"/>
    </row>
    <row r="374" spans="1:26" ht="19.5" hidden="1">
      <c r="A374" s="481"/>
      <c r="B374" s="482"/>
      <c r="C374" s="484"/>
      <c r="D374" s="484" t="s">
        <v>168</v>
      </c>
      <c r="E374" s="485"/>
      <c r="F374" s="485"/>
      <c r="G374" s="486"/>
      <c r="H374" s="487" t="s">
        <v>35</v>
      </c>
      <c r="I374" s="495">
        <f ca="1">IFERROR(__xludf.DUMMYFUNCTION("IMPORTRANGE(""https://docs.google.com/spreadsheets/d/1QqKyyYR6Q21VydFLVH3TRQUabQu_ym0Zz7PgGX0-kHA/edit?usp=sharing"",""แผน!EU60"")"),0)</f>
        <v>0</v>
      </c>
      <c r="J374" s="489">
        <f ca="1">J381</f>
        <v>0</v>
      </c>
      <c r="K374" s="490">
        <f t="shared" ca="1" si="162"/>
        <v>0</v>
      </c>
      <c r="L374" s="491"/>
      <c r="M374" s="491"/>
      <c r="N374" s="491"/>
      <c r="O374" s="491"/>
      <c r="P374" s="491"/>
      <c r="Q374" s="480"/>
      <c r="R374" s="480"/>
      <c r="S374" s="480"/>
      <c r="T374" s="480"/>
      <c r="U374" s="480"/>
      <c r="V374" s="480"/>
      <c r="W374" s="480"/>
      <c r="X374" s="480"/>
      <c r="Y374" s="480"/>
      <c r="Z374" s="480"/>
    </row>
    <row r="375" spans="1:26" ht="19.5" hidden="1">
      <c r="A375" s="481"/>
      <c r="B375" s="482"/>
      <c r="C375" s="484"/>
      <c r="D375" s="492" t="s">
        <v>169</v>
      </c>
      <c r="E375" s="485"/>
      <c r="F375" s="485"/>
      <c r="G375" s="486"/>
      <c r="H375" s="493"/>
      <c r="I375" s="494"/>
      <c r="J375" s="494"/>
      <c r="K375" s="491"/>
      <c r="L375" s="491"/>
      <c r="M375" s="491"/>
      <c r="N375" s="491"/>
      <c r="O375" s="491"/>
      <c r="P375" s="491"/>
      <c r="Q375" s="480"/>
      <c r="R375" s="480"/>
      <c r="S375" s="480"/>
      <c r="T375" s="480"/>
      <c r="U375" s="480"/>
      <c r="V375" s="480"/>
      <c r="W375" s="480"/>
      <c r="X375" s="480"/>
      <c r="Y375" s="480"/>
      <c r="Z375" s="480"/>
    </row>
    <row r="376" spans="1:26" ht="19.5" hidden="1">
      <c r="A376" s="170"/>
      <c r="B376" s="171"/>
      <c r="C376" s="164" t="s">
        <v>16</v>
      </c>
      <c r="D376" s="823" t="s">
        <v>38</v>
      </c>
      <c r="E376" s="173"/>
      <c r="F376" s="173"/>
      <c r="G376" s="174"/>
      <c r="H376" s="753"/>
      <c r="I376" s="269"/>
      <c r="J376" s="269"/>
      <c r="K376" s="496"/>
      <c r="L376" s="163"/>
      <c r="M376" s="163"/>
      <c r="N376" s="163"/>
      <c r="O376" s="163"/>
      <c r="P376" s="163"/>
    </row>
    <row r="377" spans="1:26" ht="18.75" hidden="1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69">
        <v>0</v>
      </c>
      <c r="J377" s="269">
        <f ca="1">IFERROR(__xludf.DUMMYFUNCTION("IMPORTRANGE(""https://docs.google.com/spreadsheets/d/1XWAQStnk-4SwqDmLtmXYiTMKHgktTP8We1SCoS47DrQ/edit?usp=sharing"",""จัดที่ดิน!AH60"")"),0)</f>
        <v>0</v>
      </c>
      <c r="K377" s="496">
        <f t="shared" ref="K377:K382" si="163">IF(I377&gt;0,J377*100/I377,0)</f>
        <v>0</v>
      </c>
      <c r="L377" s="163"/>
      <c r="M377" s="163"/>
      <c r="N377" s="163"/>
      <c r="O377" s="163"/>
      <c r="P377" s="163"/>
    </row>
    <row r="378" spans="1:26" ht="18.75" hidden="1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69">
        <f ca="1">IFERROR(__xludf.DUMMYFUNCTION("IMPORTRANGE(""https://docs.google.com/spreadsheets/d/1QqKyyYR6Q21VydFLVH3TRQUabQu_ym0Zz7PgGX0-kHA/edit?usp=sharing"",""แผน!ET60"")"),0)</f>
        <v>0</v>
      </c>
      <c r="J378" s="269">
        <f ca="1">IFERROR(__xludf.DUMMYFUNCTION("IMPORTRANGE(""https://docs.google.com/spreadsheets/d/1XWAQStnk-4SwqDmLtmXYiTMKHgktTP8We1SCoS47DrQ/edit?usp=sharing"",""จัดที่ดิน!AI60"")"),0)</f>
        <v>0</v>
      </c>
      <c r="K378" s="496">
        <f t="shared" ca="1" si="163"/>
        <v>0</v>
      </c>
      <c r="L378" s="163"/>
      <c r="M378" s="163"/>
      <c r="N378" s="163"/>
      <c r="O378" s="163"/>
      <c r="P378" s="163"/>
    </row>
    <row r="379" spans="1:26" ht="18.75" hidden="1">
      <c r="A379" s="170"/>
      <c r="B379" s="178"/>
      <c r="C379" s="171"/>
      <c r="D379" s="178"/>
      <c r="E379" s="176" t="s">
        <v>162</v>
      </c>
      <c r="F379" s="178"/>
      <c r="G379" s="179"/>
      <c r="H379" s="755" t="s">
        <v>35</v>
      </c>
      <c r="I379" s="269">
        <f ca="1">IFERROR(__xludf.DUMMYFUNCTION("IMPORTRANGE(""https://docs.google.com/spreadsheets/d/1QqKyyYR6Q21VydFLVH3TRQUabQu_ym0Zz7PgGX0-kHA/edit?usp=sharing"",""แผน!EU60"")"),0)</f>
        <v>0</v>
      </c>
      <c r="J379" s="269">
        <f ca="1">IFERROR(__xludf.DUMMYFUNCTION("IMPORTRANGE(""https://docs.google.com/spreadsheets/d/1XWAQStnk-4SwqDmLtmXYiTMKHgktTP8We1SCoS47DrQ/edit?usp=sharing"",""จัดที่ดิน!AJ60"")"),0)</f>
        <v>0</v>
      </c>
      <c r="K379" s="496">
        <f t="shared" ca="1" si="163"/>
        <v>0</v>
      </c>
      <c r="L379" s="163"/>
      <c r="M379" s="163"/>
      <c r="N379" s="163"/>
      <c r="O379" s="163"/>
      <c r="P379" s="163"/>
    </row>
    <row r="380" spans="1:26" ht="18.75" hidden="1">
      <c r="A380" s="170"/>
      <c r="B380" s="178"/>
      <c r="C380" s="171"/>
      <c r="D380" s="178"/>
      <c r="E380" s="178"/>
      <c r="F380" s="178"/>
      <c r="G380" s="179"/>
      <c r="H380" s="755" t="s">
        <v>46</v>
      </c>
      <c r="I380" s="269">
        <v>0</v>
      </c>
      <c r="J380" s="269">
        <f ca="1">IFERROR(__xludf.DUMMYFUNCTION("IMPORTRANGE(""https://docs.google.com/spreadsheets/d/1XWAQStnk-4SwqDmLtmXYiTMKHgktTP8We1SCoS47DrQ/edit?usp=sharing"",""จัดที่ดิน!AK60"")"),0)</f>
        <v>0</v>
      </c>
      <c r="K380" s="496">
        <f t="shared" si="163"/>
        <v>0</v>
      </c>
      <c r="L380" s="163"/>
      <c r="M380" s="163"/>
      <c r="N380" s="163"/>
      <c r="O380" s="163"/>
      <c r="P380" s="163"/>
    </row>
    <row r="381" spans="1:26" ht="18.75" hidden="1">
      <c r="A381" s="170"/>
      <c r="B381" s="178"/>
      <c r="C381" s="171"/>
      <c r="D381" s="178"/>
      <c r="E381" s="176" t="s">
        <v>163</v>
      </c>
      <c r="F381" s="178"/>
      <c r="G381" s="179"/>
      <c r="H381" s="755" t="s">
        <v>35</v>
      </c>
      <c r="I381" s="269">
        <f ca="1">IFERROR(__xludf.DUMMYFUNCTION("IMPORTRANGE(""https://docs.google.com/spreadsheets/d/1QqKyyYR6Q21VydFLVH3TRQUabQu_ym0Zz7PgGX0-kHA/edit?usp=sharing"",""แผน!EU60"")"),0)</f>
        <v>0</v>
      </c>
      <c r="J381" s="269">
        <f ca="1">IFERROR(__xludf.DUMMYFUNCTION("IMPORTRANGE(""https://docs.google.com/spreadsheets/d/1XWAQStnk-4SwqDmLtmXYiTMKHgktTP8We1SCoS47DrQ/edit?usp=sharing"",""จัดที่ดิน!AL60"")"),0)</f>
        <v>0</v>
      </c>
      <c r="K381" s="496">
        <f t="shared" ca="1" si="163"/>
        <v>0</v>
      </c>
      <c r="L381" s="163"/>
      <c r="M381" s="163"/>
      <c r="N381" s="163"/>
      <c r="O381" s="163"/>
      <c r="P381" s="163"/>
    </row>
    <row r="382" spans="1:26" ht="18.75" hidden="1">
      <c r="A382" s="469" t="s">
        <v>164</v>
      </c>
      <c r="B382" s="178"/>
      <c r="C382" s="171"/>
      <c r="D382" s="178"/>
      <c r="E382" s="446"/>
      <c r="F382" s="178"/>
      <c r="G382" s="179"/>
      <c r="H382" s="755" t="s">
        <v>46</v>
      </c>
      <c r="I382" s="269">
        <v>0</v>
      </c>
      <c r="J382" s="269">
        <f ca="1">IFERROR(__xludf.DUMMYFUNCTION("IMPORTRANGE(""https://docs.google.com/spreadsheets/d/1XWAQStnk-4SwqDmLtmXYiTMKHgktTP8We1SCoS47DrQ/edit?usp=sharing"",""จัดที่ดิน!AM60"")"),0)</f>
        <v>0</v>
      </c>
      <c r="K382" s="496">
        <f t="shared" si="163"/>
        <v>0</v>
      </c>
      <c r="L382" s="163"/>
      <c r="M382" s="163"/>
      <c r="N382" s="163"/>
      <c r="O382" s="163"/>
      <c r="P382" s="163"/>
    </row>
    <row r="383" spans="1:26" ht="19.5" hidden="1">
      <c r="A383" s="255"/>
      <c r="B383" s="263"/>
      <c r="C383" s="256"/>
      <c r="D383" s="832" t="s">
        <v>170</v>
      </c>
      <c r="E383" s="256"/>
      <c r="F383" s="256"/>
      <c r="G383" s="258"/>
      <c r="H383" s="454"/>
      <c r="I383" s="260"/>
      <c r="J383" s="260"/>
      <c r="K383" s="261"/>
      <c r="L383" s="261"/>
      <c r="M383" s="261"/>
      <c r="N383" s="261"/>
      <c r="O383" s="261"/>
      <c r="P383" s="261"/>
    </row>
    <row r="384" spans="1:26" ht="19.5" hidden="1">
      <c r="A384" s="170"/>
      <c r="B384" s="171"/>
      <c r="C384" s="33" t="s">
        <v>16</v>
      </c>
      <c r="D384" s="823" t="s">
        <v>38</v>
      </c>
      <c r="E384" s="173"/>
      <c r="F384" s="173"/>
      <c r="G384" s="174"/>
      <c r="H384" s="753"/>
      <c r="I384" s="269"/>
      <c r="J384" s="269"/>
      <c r="K384" s="496"/>
      <c r="L384" s="163"/>
      <c r="M384" s="163"/>
      <c r="N384" s="163"/>
      <c r="O384" s="163"/>
      <c r="P384" s="163"/>
    </row>
    <row r="385" spans="1:26" ht="18.75" hidden="1">
      <c r="A385" s="377"/>
      <c r="B385" s="380"/>
      <c r="C385" s="378"/>
      <c r="D385" s="380"/>
      <c r="E385" s="497" t="s">
        <v>163</v>
      </c>
      <c r="F385" s="380"/>
      <c r="G385" s="381"/>
      <c r="H385" s="498" t="s">
        <v>35</v>
      </c>
      <c r="I385" s="499">
        <f ca="1">IFERROR(__xludf.DUMMYFUNCTION("IMPORTRANGE(""https://docs.google.com/spreadsheets/d/1QqKyyYR6Q21VydFLVH3TRQUabQu_ym0Zz7PgGX0-kHA/edit?usp=sharing"",""แผน!EW60"")"),0)</f>
        <v>0</v>
      </c>
      <c r="J385" s="499">
        <f ca="1">IFERROR(__xludf.DUMMYFUNCTION("IMPORTRANGE(""https://docs.google.com/spreadsheets/d/1XWAQStnk-4SwqDmLtmXYiTMKHgktTP8We1SCoS47DrQ/edit?usp=sharing"",""จัดที่ดิน!AP60"")"),0)</f>
        <v>0</v>
      </c>
      <c r="K385" s="500">
        <f ca="1">IF(I385&gt;0,J385*100/I385,0)</f>
        <v>0</v>
      </c>
      <c r="L385" s="384"/>
      <c r="M385" s="384"/>
      <c r="N385" s="384"/>
      <c r="O385" s="384"/>
      <c r="P385" s="384"/>
    </row>
    <row r="386" spans="1:26" ht="19.5" hidden="1">
      <c r="A386" s="501" t="s">
        <v>171</v>
      </c>
      <c r="B386" s="502"/>
      <c r="C386" s="502"/>
      <c r="D386" s="502"/>
      <c r="E386" s="503"/>
      <c r="F386" s="503"/>
      <c r="G386" s="504"/>
      <c r="H386" s="505"/>
      <c r="I386" s="506"/>
      <c r="J386" s="506"/>
      <c r="K386" s="507"/>
      <c r="L386" s="507"/>
      <c r="M386" s="507"/>
      <c r="N386" s="507"/>
      <c r="O386" s="507"/>
      <c r="P386" s="507"/>
    </row>
    <row r="387" spans="1:26" ht="19.5" hidden="1">
      <c r="A387" s="508" t="s">
        <v>172</v>
      </c>
      <c r="B387" s="509"/>
      <c r="C387" s="509"/>
      <c r="D387" s="510"/>
      <c r="E387" s="509"/>
      <c r="F387" s="509"/>
      <c r="G387" s="509"/>
      <c r="H387" s="511"/>
      <c r="I387" s="512"/>
      <c r="J387" s="512"/>
      <c r="K387" s="513"/>
      <c r="L387" s="513"/>
      <c r="M387" s="513"/>
      <c r="N387" s="513"/>
      <c r="O387" s="513"/>
      <c r="P387" s="513"/>
    </row>
    <row r="388" spans="1:26" ht="19.5" hidden="1">
      <c r="A388" s="514"/>
      <c r="B388" s="515" t="s">
        <v>173</v>
      </c>
      <c r="C388" s="516"/>
      <c r="D388" s="517"/>
      <c r="E388" s="517"/>
      <c r="F388" s="517"/>
      <c r="G388" s="518"/>
      <c r="H388" s="519" t="s">
        <v>69</v>
      </c>
      <c r="I388" s="520">
        <f t="shared" ref="I388:J388" si="164">I400</f>
        <v>0</v>
      </c>
      <c r="J388" s="520">
        <f t="shared" si="164"/>
        <v>0</v>
      </c>
      <c r="K388" s="521">
        <f>IF(I388&gt;0,J388*100/I388,0)</f>
        <v>0</v>
      </c>
      <c r="L388" s="522"/>
      <c r="M388" s="522"/>
      <c r="N388" s="522"/>
      <c r="O388" s="522"/>
      <c r="P388" s="522"/>
    </row>
    <row r="389" spans="1:26" ht="19.5" hidden="1">
      <c r="A389" s="147"/>
      <c r="B389" s="148"/>
      <c r="C389" s="149" t="s">
        <v>16</v>
      </c>
      <c r="D389" s="822" t="s">
        <v>17</v>
      </c>
      <c r="E389" s="148"/>
      <c r="F389" s="148"/>
      <c r="G389" s="151"/>
      <c r="H389" s="152" t="s">
        <v>12</v>
      </c>
      <c r="I389" s="419"/>
      <c r="J389" s="419"/>
      <c r="K389" s="154"/>
      <c r="L389" s="155">
        <f t="shared" ref="L389:N389" ca="1" si="165">L390+L391</f>
        <v>0</v>
      </c>
      <c r="M389" s="155">
        <f t="shared" ca="1" si="165"/>
        <v>0</v>
      </c>
      <c r="N389" s="155">
        <f t="shared" ca="1" si="165"/>
        <v>0</v>
      </c>
      <c r="O389" s="155">
        <f t="shared" ref="O389:O397" ca="1" si="166">IF(L389&gt;0,N389*100/L389,0)</f>
        <v>0</v>
      </c>
      <c r="P389" s="155">
        <f t="shared" ref="P389:P397" ca="1" si="167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2" t="s">
        <v>18</v>
      </c>
      <c r="F390" s="40"/>
      <c r="G390" s="157"/>
      <c r="H390" s="158" t="s">
        <v>12</v>
      </c>
      <c r="I390" s="610"/>
      <c r="J390" s="610"/>
      <c r="K390" s="93"/>
      <c r="L390" s="93">
        <f t="shared" ref="L390:N391" si="168">L393+L396</f>
        <v>0</v>
      </c>
      <c r="M390" s="93">
        <f t="shared" si="168"/>
        <v>0</v>
      </c>
      <c r="N390" s="93">
        <f t="shared" si="168"/>
        <v>0</v>
      </c>
      <c r="O390" s="93">
        <f t="shared" si="166"/>
        <v>0</v>
      </c>
      <c r="P390" s="93">
        <f t="shared" si="167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2" t="s">
        <v>19</v>
      </c>
      <c r="F391" s="40"/>
      <c r="G391" s="157"/>
      <c r="H391" s="158" t="s">
        <v>12</v>
      </c>
      <c r="I391" s="610"/>
      <c r="J391" s="610"/>
      <c r="K391" s="93"/>
      <c r="L391" s="93">
        <f t="shared" ca="1" si="168"/>
        <v>0</v>
      </c>
      <c r="M391" s="93">
        <f t="shared" ca="1" si="168"/>
        <v>0</v>
      </c>
      <c r="N391" s="93">
        <f t="shared" ca="1" si="168"/>
        <v>0</v>
      </c>
      <c r="O391" s="93">
        <f t="shared" ca="1" si="166"/>
        <v>0</v>
      </c>
      <c r="P391" s="93">
        <f t="shared" ca="1" si="167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1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6">
        <f t="shared" ref="L392:N392" ca="1" si="169">L393+L394</f>
        <v>0</v>
      </c>
      <c r="M392" s="496">
        <f t="shared" ca="1" si="169"/>
        <v>0</v>
      </c>
      <c r="N392" s="496">
        <f t="shared" ca="1" si="169"/>
        <v>0</v>
      </c>
      <c r="O392" s="496">
        <f t="shared" ca="1" si="166"/>
        <v>0</v>
      </c>
      <c r="P392" s="496">
        <f t="shared" ca="1" si="167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2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6"/>
        <v>0</v>
      </c>
      <c r="P393" s="93">
        <f t="shared" si="167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2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IFERROR(__xludf.DUMMYFUNCTION("IMPORTRANGE(""https://docs.google.com/spreadsheets/d/1MeEWN-I1oV_STSDYn1IFDPWt_1FKiwhDph83XaGc0o0/edit?usp=sharing"",""งบพรบ!FG60"")"),0)</f>
        <v>0</v>
      </c>
      <c r="M394" s="93">
        <f ca="1">IFERROR(__xludf.DUMMYFUNCTION("IMPORTRANGE(""https://docs.google.com/spreadsheets/d/1MeEWN-I1oV_STSDYn1IFDPWt_1FKiwhDph83XaGc0o0/edit?usp=sharing"",""งบพรบ!FL60"")"),0)</f>
        <v>0</v>
      </c>
      <c r="N394" s="93">
        <f ca="1">IFERROR(__xludf.DUMMYFUNCTION("IMPORTRANGE(""https://docs.google.com/spreadsheets/d/1MeEWN-I1oV_STSDYn1IFDPWt_1FKiwhDph83XaGc0o0/edit?usp=sharing"",""งบพรบ!FN60"")"),0)</f>
        <v>0</v>
      </c>
      <c r="O394" s="93">
        <f t="shared" ca="1" si="166"/>
        <v>0</v>
      </c>
      <c r="P394" s="93">
        <f t="shared" ca="1" si="167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1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6">
        <f t="shared" ref="L395:N395" ca="1" si="170">L396+L397</f>
        <v>0</v>
      </c>
      <c r="M395" s="496">
        <f t="shared" ca="1" si="170"/>
        <v>0</v>
      </c>
      <c r="N395" s="496">
        <f t="shared" ca="1" si="170"/>
        <v>0</v>
      </c>
      <c r="O395" s="496">
        <f t="shared" ca="1" si="166"/>
        <v>0</v>
      </c>
      <c r="P395" s="496">
        <f t="shared" ca="1" si="167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2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6"/>
        <v>0</v>
      </c>
      <c r="P396" s="93">
        <f t="shared" si="167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2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IFERROR(__xludf.DUMMYFUNCTION("IMPORTRANGE(""https://docs.google.com/spreadsheets/d/1MeEWN-I1oV_STSDYn1IFDPWt_1FKiwhDph83XaGc0o0/edit?usp=sharing"",""งบพรบ!FJ60"")"),0)</f>
        <v>0</v>
      </c>
      <c r="M397" s="93">
        <f ca="1">IFERROR(__xludf.DUMMYFUNCTION("IMPORTRANGE(""https://docs.google.com/spreadsheets/d/1MeEWN-I1oV_STSDYn1IFDPWt_1FKiwhDph83XaGc0o0/edit?usp=sharing"",""งบพรบ!FM60"")"),0)</f>
        <v>0</v>
      </c>
      <c r="N397" s="93">
        <f ca="1">IFERROR(__xludf.DUMMYFUNCTION("IMPORTRANGE(""https://docs.google.com/spreadsheets/d/1MeEWN-I1oV_STSDYn1IFDPWt_1FKiwhDph83XaGc0o0/edit?usp=sharing"",""งบพรบ!FO60"")"),0)</f>
        <v>0</v>
      </c>
      <c r="O397" s="93">
        <f t="shared" ca="1" si="166"/>
        <v>0</v>
      </c>
      <c r="P397" s="93">
        <f t="shared" ca="1" si="167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23" t="s">
        <v>38</v>
      </c>
      <c r="E398" s="173"/>
      <c r="F398" s="173"/>
      <c r="G398" s="174"/>
      <c r="H398" s="753"/>
      <c r="I398" s="184"/>
      <c r="J398" s="269"/>
      <c r="K398" s="496"/>
      <c r="L398" s="496"/>
      <c r="M398" s="496"/>
      <c r="N398" s="496"/>
      <c r="O398" s="163"/>
      <c r="P398" s="163"/>
    </row>
    <row r="399" spans="1:26" ht="18.75" hidden="1">
      <c r="A399" s="523"/>
      <c r="B399" s="148"/>
      <c r="C399" s="524"/>
      <c r="D399" s="525" t="s">
        <v>174</v>
      </c>
      <c r="E399" s="414"/>
      <c r="F399" s="148"/>
      <c r="G399" s="151"/>
      <c r="H399" s="526" t="s">
        <v>9</v>
      </c>
      <c r="I399" s="269">
        <v>0</v>
      </c>
      <c r="J399" s="214">
        <v>0</v>
      </c>
      <c r="K399" s="496">
        <f t="shared" ref="K399:K401" si="171">IF(I399&gt;0,J399*100/I399,0)</f>
        <v>0</v>
      </c>
      <c r="L399" s="527"/>
      <c r="M399" s="527"/>
      <c r="N399" s="527"/>
      <c r="O399" s="527"/>
      <c r="P399" s="527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4"/>
      <c r="B400" s="33"/>
      <c r="C400" s="280"/>
      <c r="D400" s="446" t="s">
        <v>175</v>
      </c>
      <c r="E400" s="171"/>
      <c r="F400" s="33"/>
      <c r="G400" s="35"/>
      <c r="H400" s="276" t="s">
        <v>69</v>
      </c>
      <c r="I400" s="269">
        <v>0</v>
      </c>
      <c r="J400" s="214">
        <v>0</v>
      </c>
      <c r="K400" s="496">
        <f t="shared" si="171"/>
        <v>0</v>
      </c>
      <c r="L400" s="496"/>
      <c r="M400" s="496"/>
      <c r="N400" s="496"/>
      <c r="O400" s="496"/>
      <c r="P400" s="496"/>
    </row>
    <row r="401" spans="1:26" ht="19.5" hidden="1">
      <c r="A401" s="514"/>
      <c r="B401" s="515" t="s">
        <v>176</v>
      </c>
      <c r="C401" s="516"/>
      <c r="D401" s="517"/>
      <c r="E401" s="517"/>
      <c r="F401" s="517"/>
      <c r="G401" s="518"/>
      <c r="H401" s="519" t="s">
        <v>69</v>
      </c>
      <c r="I401" s="520">
        <f t="shared" ref="I401:J401" si="172">I412</f>
        <v>0</v>
      </c>
      <c r="J401" s="520">
        <f t="shared" si="172"/>
        <v>0</v>
      </c>
      <c r="K401" s="521">
        <f t="shared" si="171"/>
        <v>0</v>
      </c>
      <c r="L401" s="522"/>
      <c r="M401" s="522"/>
      <c r="N401" s="522"/>
      <c r="O401" s="522"/>
      <c r="P401" s="522"/>
    </row>
    <row r="402" spans="1:26" ht="19.5" hidden="1">
      <c r="A402" s="147"/>
      <c r="B402" s="148"/>
      <c r="C402" s="149" t="s">
        <v>16</v>
      </c>
      <c r="D402" s="822" t="s">
        <v>17</v>
      </c>
      <c r="E402" s="148"/>
      <c r="F402" s="148"/>
      <c r="G402" s="151"/>
      <c r="H402" s="152" t="s">
        <v>12</v>
      </c>
      <c r="I402" s="419"/>
      <c r="J402" s="419"/>
      <c r="K402" s="154"/>
      <c r="L402" s="155">
        <f t="shared" ref="L402:N402" ca="1" si="173">L403+L404</f>
        <v>0</v>
      </c>
      <c r="M402" s="155">
        <f t="shared" ca="1" si="173"/>
        <v>0</v>
      </c>
      <c r="N402" s="155">
        <f t="shared" ca="1" si="173"/>
        <v>0</v>
      </c>
      <c r="O402" s="155">
        <f t="shared" ref="O402:O410" ca="1" si="174">IF(L402&gt;0,N402*100/L402,0)</f>
        <v>0</v>
      </c>
      <c r="P402" s="155">
        <f t="shared" ref="P402:P410" ca="1" si="175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2" t="s">
        <v>18</v>
      </c>
      <c r="F403" s="40"/>
      <c r="G403" s="157"/>
      <c r="H403" s="158" t="s">
        <v>12</v>
      </c>
      <c r="I403" s="610"/>
      <c r="J403" s="610"/>
      <c r="K403" s="93"/>
      <c r="L403" s="93">
        <f t="shared" ref="L403:N404" si="176">L406+L409</f>
        <v>0</v>
      </c>
      <c r="M403" s="93">
        <f t="shared" si="176"/>
        <v>0</v>
      </c>
      <c r="N403" s="93">
        <f t="shared" si="176"/>
        <v>0</v>
      </c>
      <c r="O403" s="93">
        <f t="shared" si="174"/>
        <v>0</v>
      </c>
      <c r="P403" s="93">
        <f t="shared" si="175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2" t="s">
        <v>19</v>
      </c>
      <c r="F404" s="40"/>
      <c r="G404" s="157"/>
      <c r="H404" s="158" t="s">
        <v>12</v>
      </c>
      <c r="I404" s="610"/>
      <c r="J404" s="610"/>
      <c r="K404" s="93"/>
      <c r="L404" s="93">
        <f t="shared" ca="1" si="176"/>
        <v>0</v>
      </c>
      <c r="M404" s="93">
        <f t="shared" ca="1" si="176"/>
        <v>0</v>
      </c>
      <c r="N404" s="93">
        <f t="shared" ca="1" si="176"/>
        <v>0</v>
      </c>
      <c r="O404" s="93">
        <f t="shared" ca="1" si="174"/>
        <v>0</v>
      </c>
      <c r="P404" s="93">
        <f t="shared" ca="1" si="175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1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6">
        <f t="shared" ref="L405:N405" ca="1" si="177">L406+L407</f>
        <v>0</v>
      </c>
      <c r="M405" s="496">
        <f t="shared" ca="1" si="177"/>
        <v>0</v>
      </c>
      <c r="N405" s="496">
        <f t="shared" ca="1" si="177"/>
        <v>0</v>
      </c>
      <c r="O405" s="496">
        <f t="shared" ca="1" si="174"/>
        <v>0</v>
      </c>
      <c r="P405" s="496">
        <f t="shared" ca="1" si="175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2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4"/>
        <v>0</v>
      </c>
      <c r="P406" s="93">
        <f t="shared" si="175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2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IFERROR(__xludf.DUMMYFUNCTION("IMPORTRANGE(""https://docs.google.com/spreadsheets/d/1MeEWN-I1oV_STSDYn1IFDPWt_1FKiwhDph83XaGc0o0/edit?usp=sharing"",""งบพรบ!FQ60"")"),0)</f>
        <v>0</v>
      </c>
      <c r="M407" s="93">
        <f ca="1">IFERROR(__xludf.DUMMYFUNCTION("IMPORTRANGE(""https://docs.google.com/spreadsheets/d/1MeEWN-I1oV_STSDYn1IFDPWt_1FKiwhDph83XaGc0o0/edit?usp=sharing"",""งบพรบ!FV60"")"),0)</f>
        <v>0</v>
      </c>
      <c r="N407" s="93">
        <f ca="1">IFERROR(__xludf.DUMMYFUNCTION("IMPORTRANGE(""https://docs.google.com/spreadsheets/d/1MeEWN-I1oV_STSDYn1IFDPWt_1FKiwhDph83XaGc0o0/edit?usp=sharing"",""งบพรบ!FX60"")"),0)</f>
        <v>0</v>
      </c>
      <c r="O407" s="93">
        <f t="shared" ca="1" si="174"/>
        <v>0</v>
      </c>
      <c r="P407" s="93">
        <f t="shared" ca="1" si="175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1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6">
        <f t="shared" ref="L408:N408" ca="1" si="178">L409+L410</f>
        <v>0</v>
      </c>
      <c r="M408" s="496">
        <f t="shared" ca="1" si="178"/>
        <v>0</v>
      </c>
      <c r="N408" s="496">
        <f t="shared" ca="1" si="178"/>
        <v>0</v>
      </c>
      <c r="O408" s="496">
        <f t="shared" ca="1" si="174"/>
        <v>0</v>
      </c>
      <c r="P408" s="496">
        <f t="shared" ca="1" si="175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2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4"/>
        <v>0</v>
      </c>
      <c r="P409" s="93">
        <f t="shared" si="175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2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IFERROR(__xludf.DUMMYFUNCTION("IMPORTRANGE(""https://docs.google.com/spreadsheets/d/1MeEWN-I1oV_STSDYn1IFDPWt_1FKiwhDph83XaGc0o0/edit?usp=sharing"",""งบพรบ!FT60"")"),0)</f>
        <v>0</v>
      </c>
      <c r="M410" s="93">
        <f ca="1">IFERROR(__xludf.DUMMYFUNCTION("IMPORTRANGE(""https://docs.google.com/spreadsheets/d/1MeEWN-I1oV_STSDYn1IFDPWt_1FKiwhDph83XaGc0o0/edit?usp=sharing"",""งบพรบ!FW60"")"),0)</f>
        <v>0</v>
      </c>
      <c r="N410" s="93">
        <f ca="1">IFERROR(__xludf.DUMMYFUNCTION("IMPORTRANGE(""https://docs.google.com/spreadsheets/d/1MeEWN-I1oV_STSDYn1IFDPWt_1FKiwhDph83XaGc0o0/edit?usp=sharing"",""งบพรบ!FY60"")"),0)</f>
        <v>0</v>
      </c>
      <c r="O410" s="93">
        <f t="shared" ca="1" si="174"/>
        <v>0</v>
      </c>
      <c r="P410" s="93">
        <f t="shared" ca="1" si="175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34" t="s">
        <v>38</v>
      </c>
      <c r="E411" s="529"/>
      <c r="F411" s="529"/>
      <c r="G411" s="530"/>
      <c r="H411" s="753"/>
      <c r="I411" s="269"/>
      <c r="J411" s="269"/>
      <c r="K411" s="496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6" t="s">
        <v>177</v>
      </c>
      <c r="E412" s="178"/>
      <c r="F412" s="178"/>
      <c r="G412" s="179"/>
      <c r="H412" s="531" t="s">
        <v>69</v>
      </c>
      <c r="I412" s="269">
        <v>0</v>
      </c>
      <c r="J412" s="214">
        <v>0</v>
      </c>
      <c r="K412" s="496">
        <f t="shared" ref="K412:K413" si="179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2"/>
      <c r="B413" s="533"/>
      <c r="C413" s="533"/>
      <c r="D413" s="534" t="s">
        <v>178</v>
      </c>
      <c r="E413" s="533"/>
      <c r="F413" s="533"/>
      <c r="G413" s="535"/>
      <c r="H413" s="536" t="s">
        <v>179</v>
      </c>
      <c r="I413" s="537">
        <v>0</v>
      </c>
      <c r="J413" s="538">
        <v>0</v>
      </c>
      <c r="K413" s="539">
        <f t="shared" si="179"/>
        <v>0</v>
      </c>
      <c r="L413" s="540"/>
      <c r="M413" s="540"/>
      <c r="N413" s="540"/>
      <c r="O413" s="540"/>
      <c r="P413" s="540"/>
    </row>
    <row r="414" spans="1:26" ht="19.5">
      <c r="A414" s="541" t="s">
        <v>180</v>
      </c>
      <c r="B414" s="542"/>
      <c r="C414" s="542"/>
      <c r="D414" s="542"/>
      <c r="E414" s="542"/>
      <c r="F414" s="542"/>
      <c r="G414" s="543"/>
      <c r="H414" s="544"/>
      <c r="I414" s="545"/>
      <c r="J414" s="545"/>
      <c r="K414" s="546"/>
      <c r="L414" s="547">
        <f t="shared" ref="L414:N414" ca="1" si="180">L419+L444+L467+L502+L523+L544+L629+L655+L685+L737+L754+L770+L786+L805</f>
        <v>124940</v>
      </c>
      <c r="M414" s="547">
        <f t="shared" si="180"/>
        <v>0</v>
      </c>
      <c r="N414" s="547">
        <f t="shared" si="180"/>
        <v>6860</v>
      </c>
      <c r="O414" s="547">
        <f ca="1">IF(L414&gt;0,N414*100/L414,0)</f>
        <v>5.4906355050424205</v>
      </c>
      <c r="P414" s="547">
        <f>IF(M414&gt;0,N414*100/M414,0)</f>
        <v>0</v>
      </c>
    </row>
    <row r="415" spans="1:26" ht="19.5">
      <c r="A415" s="548" t="s">
        <v>181</v>
      </c>
      <c r="B415" s="549"/>
      <c r="C415" s="549"/>
      <c r="D415" s="549"/>
      <c r="E415" s="549"/>
      <c r="F415" s="549"/>
      <c r="G415" s="549"/>
      <c r="H415" s="550"/>
      <c r="I415" s="551"/>
      <c r="J415" s="551"/>
      <c r="K415" s="552"/>
      <c r="L415" s="553"/>
      <c r="M415" s="553"/>
      <c r="N415" s="553"/>
      <c r="O415" s="553"/>
      <c r="P415" s="553"/>
    </row>
    <row r="416" spans="1:26" ht="19.5">
      <c r="A416" s="548" t="s">
        <v>182</v>
      </c>
      <c r="B416" s="549"/>
      <c r="C416" s="549"/>
      <c r="D416" s="549"/>
      <c r="E416" s="549"/>
      <c r="F416" s="549"/>
      <c r="G416" s="554"/>
      <c r="H416" s="555"/>
      <c r="I416" s="556"/>
      <c r="J416" s="556"/>
      <c r="K416" s="553"/>
      <c r="L416" s="553"/>
      <c r="M416" s="553"/>
      <c r="N416" s="553"/>
      <c r="O416" s="553"/>
      <c r="P416" s="553"/>
    </row>
    <row r="417" spans="1:26" ht="39">
      <c r="A417" s="557">
        <v>1</v>
      </c>
      <c r="B417" s="559" t="s">
        <v>183</v>
      </c>
      <c r="C417" s="559"/>
      <c r="D417" s="560"/>
      <c r="E417" s="560"/>
      <c r="F417" s="560"/>
      <c r="G417" s="561"/>
      <c r="H417" s="562" t="s">
        <v>35</v>
      </c>
      <c r="I417" s="563">
        <f t="shared" ref="I417:J418" ca="1" si="181">I433</f>
        <v>10</v>
      </c>
      <c r="J417" s="563">
        <f t="shared" ca="1" si="181"/>
        <v>0</v>
      </c>
      <c r="K417" s="564">
        <f t="shared" ref="K417:K418" ca="1" si="182">IF(I417&gt;0,J417*100/I417,0)</f>
        <v>0</v>
      </c>
      <c r="L417" s="565"/>
      <c r="M417" s="565"/>
      <c r="N417" s="565"/>
      <c r="O417" s="565"/>
      <c r="P417" s="565"/>
    </row>
    <row r="418" spans="1:26" ht="19.5">
      <c r="A418" s="566"/>
      <c r="B418" s="557"/>
      <c r="C418" s="559"/>
      <c r="D418" s="560"/>
      <c r="E418" s="560"/>
      <c r="F418" s="560"/>
      <c r="G418" s="561"/>
      <c r="H418" s="562" t="s">
        <v>49</v>
      </c>
      <c r="I418" s="563">
        <f t="shared" ca="1" si="181"/>
        <v>1</v>
      </c>
      <c r="J418" s="563">
        <f t="shared" si="181"/>
        <v>0</v>
      </c>
      <c r="K418" s="564">
        <f t="shared" ca="1" si="182"/>
        <v>0</v>
      </c>
      <c r="L418" s="565"/>
      <c r="M418" s="565"/>
      <c r="N418" s="565"/>
      <c r="O418" s="565"/>
      <c r="P418" s="565"/>
    </row>
    <row r="419" spans="1:26" ht="19.5">
      <c r="A419" s="147"/>
      <c r="B419" s="148"/>
      <c r="C419" s="148" t="s">
        <v>16</v>
      </c>
      <c r="D419" s="868" t="s">
        <v>17</v>
      </c>
      <c r="E419" s="862"/>
      <c r="F419" s="862"/>
      <c r="G419" s="151"/>
      <c r="H419" s="274" t="s">
        <v>12</v>
      </c>
      <c r="I419" s="419"/>
      <c r="J419" s="419"/>
      <c r="K419" s="154"/>
      <c r="L419" s="155">
        <f t="shared" ref="L419:N419" ca="1" si="183">L420+L421</f>
        <v>54560</v>
      </c>
      <c r="M419" s="155">
        <f t="shared" si="183"/>
        <v>0</v>
      </c>
      <c r="N419" s="155">
        <f t="shared" si="183"/>
        <v>4500</v>
      </c>
      <c r="O419" s="155">
        <f t="shared" ref="O419:O424" ca="1" si="184">IF(L419&gt;0,N419*100/L419,0)</f>
        <v>8.2478005865102642</v>
      </c>
      <c r="P419" s="155">
        <f t="shared" ref="P419:P424" si="185">IF(M419&gt;0,N419*100/M419,0)</f>
        <v>0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2"/>
      <c r="E420" s="222" t="s">
        <v>184</v>
      </c>
      <c r="F420" s="40"/>
      <c r="G420" s="157"/>
      <c r="H420" s="165" t="s">
        <v>12</v>
      </c>
      <c r="I420" s="610"/>
      <c r="J420" s="610"/>
      <c r="K420" s="93"/>
      <c r="L420" s="93">
        <f t="shared" ref="L420:N421" si="186">L423+L430</f>
        <v>0</v>
      </c>
      <c r="M420" s="93">
        <f t="shared" si="186"/>
        <v>0</v>
      </c>
      <c r="N420" s="93">
        <f t="shared" si="186"/>
        <v>0</v>
      </c>
      <c r="O420" s="93">
        <f t="shared" si="184"/>
        <v>0</v>
      </c>
      <c r="P420" s="93">
        <f t="shared" si="185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2"/>
      <c r="E421" s="222" t="s">
        <v>185</v>
      </c>
      <c r="F421" s="40"/>
      <c r="G421" s="157"/>
      <c r="H421" s="165" t="s">
        <v>12</v>
      </c>
      <c r="I421" s="610"/>
      <c r="J421" s="610"/>
      <c r="K421" s="93"/>
      <c r="L421" s="93">
        <f t="shared" ca="1" si="186"/>
        <v>54560</v>
      </c>
      <c r="M421" s="93">
        <f t="shared" si="186"/>
        <v>0</v>
      </c>
      <c r="N421" s="93">
        <f t="shared" si="186"/>
        <v>4500</v>
      </c>
      <c r="O421" s="93">
        <f t="shared" ca="1" si="184"/>
        <v>8.2478005865102642</v>
      </c>
      <c r="P421" s="93">
        <f t="shared" si="185"/>
        <v>0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0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6">
        <f t="shared" ref="L422:N422" ca="1" si="187">L423+L424</f>
        <v>54560</v>
      </c>
      <c r="M422" s="496">
        <f t="shared" si="187"/>
        <v>0</v>
      </c>
      <c r="N422" s="496">
        <f t="shared" si="187"/>
        <v>4500</v>
      </c>
      <c r="O422" s="496">
        <f t="shared" ca="1" si="184"/>
        <v>8.2478005865102642</v>
      </c>
      <c r="P422" s="496">
        <f t="shared" si="185"/>
        <v>0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2"/>
      <c r="E423" s="222" t="s">
        <v>184</v>
      </c>
      <c r="F423" s="40"/>
      <c r="G423" s="157"/>
      <c r="H423" s="165" t="s">
        <v>12</v>
      </c>
      <c r="I423" s="610"/>
      <c r="J423" s="610"/>
      <c r="K423" s="93"/>
      <c r="L423" s="93">
        <v>0</v>
      </c>
      <c r="M423" s="93">
        <v>0</v>
      </c>
      <c r="N423" s="93">
        <v>0</v>
      </c>
      <c r="O423" s="93">
        <f t="shared" si="184"/>
        <v>0</v>
      </c>
      <c r="P423" s="93">
        <f t="shared" si="185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2"/>
      <c r="E424" s="222" t="s">
        <v>185</v>
      </c>
      <c r="F424" s="40"/>
      <c r="G424" s="157"/>
      <c r="H424" s="165" t="s">
        <v>12</v>
      </c>
      <c r="I424" s="610"/>
      <c r="J424" s="610"/>
      <c r="K424" s="93"/>
      <c r="L424" s="93">
        <f ca="1">IFERROR(__xludf.DUMMYFUNCTION("IMPORTRANGE(""https://docs.google.com/spreadsheets/d/1QqKyyYR6Q21VydFLVH3TRQUabQu_ym0Zz7PgGX0-kHA/edit?usp=sharing"",""แผน!EY60"")"),54560)</f>
        <v>54560</v>
      </c>
      <c r="M424" s="93">
        <v>0</v>
      </c>
      <c r="N424" s="93">
        <f>N425+N426+N427+N428</f>
        <v>4500</v>
      </c>
      <c r="O424" s="93">
        <f t="shared" ca="1" si="184"/>
        <v>8.2478005865102642</v>
      </c>
      <c r="P424" s="93">
        <f t="shared" si="185"/>
        <v>0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67"/>
      <c r="B425" s="568"/>
      <c r="C425" s="754"/>
      <c r="D425" s="754"/>
      <c r="E425" s="754"/>
      <c r="F425" s="754" t="s">
        <v>186</v>
      </c>
      <c r="G425" s="189"/>
      <c r="H425" s="161" t="s">
        <v>12</v>
      </c>
      <c r="I425" s="269"/>
      <c r="J425" s="269"/>
      <c r="K425" s="496"/>
      <c r="L425" s="496"/>
      <c r="M425" s="496"/>
      <c r="N425" s="817">
        <v>0</v>
      </c>
      <c r="O425" s="496"/>
      <c r="P425" s="496"/>
      <c r="Q425" s="571"/>
      <c r="R425" s="571"/>
      <c r="S425" s="571"/>
      <c r="T425" s="571"/>
      <c r="U425" s="571"/>
      <c r="V425" s="571"/>
      <c r="W425" s="571"/>
      <c r="X425" s="571"/>
      <c r="Y425" s="571"/>
      <c r="Z425" s="571"/>
    </row>
    <row r="426" spans="1:26" ht="18.75">
      <c r="A426" s="567"/>
      <c r="B426" s="568"/>
      <c r="C426" s="754"/>
      <c r="D426" s="754"/>
      <c r="E426" s="754"/>
      <c r="F426" s="754" t="s">
        <v>187</v>
      </c>
      <c r="G426" s="189"/>
      <c r="H426" s="161" t="s">
        <v>12</v>
      </c>
      <c r="I426" s="269"/>
      <c r="J426" s="269"/>
      <c r="K426" s="496"/>
      <c r="L426" s="496"/>
      <c r="M426" s="496"/>
      <c r="N426" s="817">
        <v>0</v>
      </c>
      <c r="O426" s="496"/>
      <c r="P426" s="496"/>
      <c r="Q426" s="571"/>
      <c r="R426" s="571"/>
      <c r="S426" s="571"/>
      <c r="T426" s="571"/>
      <c r="U426" s="571"/>
      <c r="V426" s="571"/>
      <c r="W426" s="571"/>
      <c r="X426" s="571"/>
      <c r="Y426" s="571"/>
      <c r="Z426" s="571"/>
    </row>
    <row r="427" spans="1:26" ht="18.75">
      <c r="A427" s="567"/>
      <c r="B427" s="568"/>
      <c r="C427" s="754"/>
      <c r="D427" s="754"/>
      <c r="E427" s="754"/>
      <c r="F427" s="754" t="s">
        <v>188</v>
      </c>
      <c r="G427" s="189"/>
      <c r="H427" s="161" t="s">
        <v>12</v>
      </c>
      <c r="I427" s="269"/>
      <c r="J427" s="269"/>
      <c r="K427" s="496"/>
      <c r="L427" s="496"/>
      <c r="M427" s="496"/>
      <c r="N427" s="817">
        <v>0</v>
      </c>
      <c r="O427" s="496"/>
      <c r="P427" s="496"/>
      <c r="Q427" s="571"/>
      <c r="R427" s="571"/>
      <c r="S427" s="571"/>
      <c r="T427" s="571"/>
      <c r="U427" s="571"/>
      <c r="V427" s="571"/>
      <c r="W427" s="571"/>
      <c r="X427" s="571"/>
      <c r="Y427" s="571"/>
      <c r="Z427" s="571"/>
    </row>
    <row r="428" spans="1:26" ht="18.75">
      <c r="A428" s="284"/>
      <c r="B428" s="280"/>
      <c r="C428" s="33"/>
      <c r="D428" s="33"/>
      <c r="E428" s="33"/>
      <c r="F428" s="281" t="s">
        <v>189</v>
      </c>
      <c r="G428" s="213"/>
      <c r="H428" s="161" t="s">
        <v>12</v>
      </c>
      <c r="I428" s="269"/>
      <c r="J428" s="269"/>
      <c r="K428" s="496"/>
      <c r="L428" s="496"/>
      <c r="M428" s="496"/>
      <c r="N428" s="817">
        <v>4500</v>
      </c>
      <c r="O428" s="496"/>
      <c r="P428" s="496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0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6">
        <f t="shared" ref="L429:N429" ca="1" si="188">L430+L431</f>
        <v>0</v>
      </c>
      <c r="M429" s="496">
        <f t="shared" si="188"/>
        <v>0</v>
      </c>
      <c r="N429" s="496">
        <f t="shared" si="188"/>
        <v>0</v>
      </c>
      <c r="O429" s="496">
        <f t="shared" ref="O429:O431" ca="1" si="189">IF(L429&gt;0,N429*100/L429,0)</f>
        <v>0</v>
      </c>
      <c r="P429" s="496">
        <f t="shared" ref="P429:P431" si="190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6"/>
      <c r="C430" s="40"/>
      <c r="D430" s="40"/>
      <c r="E430" s="222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89"/>
        <v>0</v>
      </c>
      <c r="P430" s="93">
        <f t="shared" si="190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6"/>
      <c r="C431" s="40"/>
      <c r="D431" s="40"/>
      <c r="E431" s="222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IFERROR(__xludf.DUMMYFUNCTION("IMPORTRANGE(""https://docs.google.com/spreadsheets/d/1QqKyyYR6Q21VydFLVH3TRQUabQu_ym0Zz7PgGX0-kHA/edit?usp=sharing"",""แผน!FB60"")"),0)</f>
        <v>0</v>
      </c>
      <c r="M431" s="93">
        <v>0</v>
      </c>
      <c r="N431" s="93">
        <v>0</v>
      </c>
      <c r="O431" s="93">
        <f t="shared" ca="1" si="189"/>
        <v>0</v>
      </c>
      <c r="P431" s="93">
        <f t="shared" si="190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3"/>
      <c r="B432" s="414"/>
      <c r="C432" s="148" t="s">
        <v>16</v>
      </c>
      <c r="D432" s="835" t="s">
        <v>38</v>
      </c>
      <c r="E432" s="573"/>
      <c r="F432" s="573"/>
      <c r="G432" s="574"/>
      <c r="H432" s="575"/>
      <c r="I432" s="419"/>
      <c r="J432" s="419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190</v>
      </c>
      <c r="E433" s="178"/>
      <c r="F433" s="178"/>
      <c r="G433" s="179"/>
      <c r="H433" s="196" t="s">
        <v>35</v>
      </c>
      <c r="I433" s="674">
        <f ca="1">I435</f>
        <v>10</v>
      </c>
      <c r="J433" s="674">
        <f ca="1">IF(AND(J435=I435,J437=I437,J439=I439),I437+I439,IF(AND(J435=I437,J437=I437),I437,IF(AND(J435=I439,J439=I439),I439,0)))</f>
        <v>0</v>
      </c>
      <c r="K433" s="195">
        <f t="shared" ref="K433:K435" ca="1" si="191">IF(I433&gt;0,J433*100/I433,0)</f>
        <v>0</v>
      </c>
      <c r="L433" s="496"/>
      <c r="M433" s="496"/>
      <c r="N433" s="496"/>
      <c r="O433" s="496"/>
      <c r="P433" s="496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191</v>
      </c>
      <c r="E434" s="178"/>
      <c r="F434" s="178"/>
      <c r="G434" s="179"/>
      <c r="H434" s="196" t="s">
        <v>49</v>
      </c>
      <c r="I434" s="674">
        <f t="shared" ref="I434:J434" ca="1" si="192">I438+I440</f>
        <v>1</v>
      </c>
      <c r="J434" s="674">
        <f t="shared" si="192"/>
        <v>0</v>
      </c>
      <c r="K434" s="195">
        <f t="shared" ca="1" si="191"/>
        <v>0</v>
      </c>
      <c r="L434" s="496"/>
      <c r="M434" s="496"/>
      <c r="N434" s="496"/>
      <c r="O434" s="496"/>
      <c r="P434" s="496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6" t="s">
        <v>192</v>
      </c>
      <c r="E435" s="178"/>
      <c r="F435" s="178"/>
      <c r="G435" s="179"/>
      <c r="H435" s="616" t="s">
        <v>35</v>
      </c>
      <c r="I435" s="576">
        <f ca="1">IFERROR(__xludf.DUMMYFUNCTION("IMPORTRANGE(""https://docs.google.com/spreadsheets/d/1QqKyyYR6Q21VydFLVH3TRQUabQu_ym0Zz7PgGX0-kHA/edit?usp=sharing"",""แผน!FC60"")"),10)</f>
        <v>10</v>
      </c>
      <c r="J435" s="577">
        <v>0</v>
      </c>
      <c r="K435" s="496">
        <f t="shared" ca="1" si="191"/>
        <v>0</v>
      </c>
      <c r="L435" s="496"/>
      <c r="M435" s="496"/>
      <c r="N435" s="496"/>
      <c r="O435" s="496"/>
      <c r="P435" s="496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6" t="s">
        <v>193</v>
      </c>
      <c r="E436" s="178"/>
      <c r="F436" s="178"/>
      <c r="G436" s="179"/>
      <c r="H436" s="616"/>
      <c r="I436" s="269"/>
      <c r="J436" s="269"/>
      <c r="K436" s="496"/>
      <c r="L436" s="496"/>
      <c r="M436" s="496"/>
      <c r="N436" s="496"/>
      <c r="O436" s="496"/>
      <c r="P436" s="496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6" t="s">
        <v>194</v>
      </c>
      <c r="E437" s="178"/>
      <c r="F437" s="178"/>
      <c r="G437" s="179"/>
      <c r="H437" s="616" t="s">
        <v>35</v>
      </c>
      <c r="I437" s="576">
        <f ca="1">IFERROR(__xludf.DUMMYFUNCTION("IMPORTRANGE(""https://docs.google.com/spreadsheets/d/1QqKyyYR6Q21VydFLVH3TRQUabQu_ym0Zz7PgGX0-kHA/edit?usp=sharing"",""แผน!FD60"")"),0)</f>
        <v>0</v>
      </c>
      <c r="J437" s="577">
        <v>0</v>
      </c>
      <c r="K437" s="496">
        <f t="shared" ref="K437:K443" ca="1" si="193">IF(I437&gt;0,J437*100/I437,0)</f>
        <v>0</v>
      </c>
      <c r="L437" s="496"/>
      <c r="M437" s="496"/>
      <c r="N437" s="496"/>
      <c r="O437" s="496"/>
      <c r="P437" s="496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6" t="s">
        <v>195</v>
      </c>
      <c r="E438" s="178"/>
      <c r="F438" s="178"/>
      <c r="G438" s="179"/>
      <c r="H438" s="616" t="s">
        <v>49</v>
      </c>
      <c r="I438" s="269">
        <f ca="1">IFERROR(__xludf.DUMMYFUNCTION("IMPORTRANGE(""https://docs.google.com/spreadsheets/d/1QqKyyYR6Q21VydFLVH3TRQUabQu_ym0Zz7PgGX0-kHA/edit?usp=sharing"",""แผน!FE60"")"),0)</f>
        <v>0</v>
      </c>
      <c r="J438" s="214">
        <v>0</v>
      </c>
      <c r="K438" s="496">
        <f t="shared" ca="1" si="193"/>
        <v>0</v>
      </c>
      <c r="L438" s="496"/>
      <c r="M438" s="496"/>
      <c r="N438" s="496"/>
      <c r="O438" s="496"/>
      <c r="P438" s="496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6" t="s">
        <v>196</v>
      </c>
      <c r="E439" s="178"/>
      <c r="F439" s="178"/>
      <c r="G439" s="179"/>
      <c r="H439" s="616" t="s">
        <v>35</v>
      </c>
      <c r="I439" s="576">
        <f ca="1">IFERROR(__xludf.DUMMYFUNCTION("IMPORTRANGE(""https://docs.google.com/spreadsheets/d/1QqKyyYR6Q21VydFLVH3TRQUabQu_ym0Zz7PgGX0-kHA/edit?usp=sharing"",""แผน!FF60"")"),10)</f>
        <v>10</v>
      </c>
      <c r="J439" s="577">
        <v>0</v>
      </c>
      <c r="K439" s="496">
        <f t="shared" ca="1" si="193"/>
        <v>0</v>
      </c>
      <c r="L439" s="496"/>
      <c r="M439" s="496"/>
      <c r="N439" s="496"/>
      <c r="O439" s="496"/>
      <c r="P439" s="496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6" t="s">
        <v>197</v>
      </c>
      <c r="E440" s="178"/>
      <c r="F440" s="178"/>
      <c r="G440" s="179"/>
      <c r="H440" s="616" t="s">
        <v>49</v>
      </c>
      <c r="I440" s="269">
        <f ca="1">IFERROR(__xludf.DUMMYFUNCTION("IMPORTRANGE(""https://docs.google.com/spreadsheets/d/1QqKyyYR6Q21VydFLVH3TRQUabQu_ym0Zz7PgGX0-kHA/edit?usp=sharing"",""แผน!FG60"")"),1)</f>
        <v>1</v>
      </c>
      <c r="J440" s="214">
        <v>0</v>
      </c>
      <c r="K440" s="496">
        <f t="shared" ca="1" si="193"/>
        <v>0</v>
      </c>
      <c r="L440" s="496"/>
      <c r="M440" s="496"/>
      <c r="N440" s="496"/>
      <c r="O440" s="496"/>
      <c r="P440" s="496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>
      <c r="A441" s="170"/>
      <c r="B441" s="171"/>
      <c r="C441" s="171"/>
      <c r="D441" s="446" t="s">
        <v>198</v>
      </c>
      <c r="E441" s="178"/>
      <c r="F441" s="178"/>
      <c r="G441" s="179"/>
      <c r="H441" s="616" t="s">
        <v>35</v>
      </c>
      <c r="I441" s="269">
        <f ca="1">IFERROR(__xludf.DUMMYFUNCTION("IMPORTRANGE(""https://docs.google.com/spreadsheets/d/1QqKyyYR6Q21VydFLVH3TRQUabQu_ym0Zz7PgGX0-kHA/edit?usp=sharing"",""แผน!FH60"")"),0)</f>
        <v>0</v>
      </c>
      <c r="J441" s="269">
        <v>0</v>
      </c>
      <c r="K441" s="496">
        <f t="shared" ca="1" si="193"/>
        <v>0</v>
      </c>
      <c r="L441" s="496"/>
      <c r="M441" s="496"/>
      <c r="N441" s="496"/>
      <c r="O441" s="496"/>
      <c r="P441" s="496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 hidden="1">
      <c r="A442" s="578">
        <v>2</v>
      </c>
      <c r="B442" s="579" t="s">
        <v>199</v>
      </c>
      <c r="C442" s="580"/>
      <c r="D442" s="580"/>
      <c r="E442" s="580"/>
      <c r="F442" s="580"/>
      <c r="G442" s="581"/>
      <c r="H442" s="582" t="s">
        <v>35</v>
      </c>
      <c r="I442" s="583">
        <f t="shared" ref="I442:J442" ca="1" si="194">I460</f>
        <v>0</v>
      </c>
      <c r="J442" s="583">
        <f t="shared" si="194"/>
        <v>0</v>
      </c>
      <c r="K442" s="584">
        <f t="shared" ca="1" si="193"/>
        <v>0</v>
      </c>
      <c r="L442" s="585"/>
      <c r="M442" s="585"/>
      <c r="N442" s="585"/>
      <c r="O442" s="585"/>
      <c r="P442" s="585"/>
      <c r="Q442" s="571"/>
      <c r="R442" s="571"/>
      <c r="S442" s="571"/>
      <c r="T442" s="571"/>
      <c r="U442" s="571"/>
      <c r="V442" s="571"/>
      <c r="W442" s="571"/>
      <c r="X442" s="571"/>
      <c r="Y442" s="571"/>
      <c r="Z442" s="571"/>
    </row>
    <row r="443" spans="1:26" ht="19.5" hidden="1">
      <c r="A443" s="586"/>
      <c r="B443" s="587"/>
      <c r="C443" s="588"/>
      <c r="D443" s="588"/>
      <c r="E443" s="588"/>
      <c r="F443" s="588"/>
      <c r="G443" s="589"/>
      <c r="H443" s="562" t="s">
        <v>46</v>
      </c>
      <c r="I443" s="563">
        <f t="shared" ref="I443:J443" ca="1" si="195">I462</f>
        <v>0</v>
      </c>
      <c r="J443" s="563">
        <f t="shared" si="195"/>
        <v>0</v>
      </c>
      <c r="K443" s="564">
        <f t="shared" ca="1" si="193"/>
        <v>0</v>
      </c>
      <c r="L443" s="565"/>
      <c r="M443" s="565"/>
      <c r="N443" s="565"/>
      <c r="O443" s="565"/>
      <c r="P443" s="565"/>
      <c r="Q443" s="571"/>
      <c r="R443" s="571"/>
      <c r="S443" s="571"/>
      <c r="T443" s="571"/>
      <c r="U443" s="571"/>
      <c r="V443" s="571"/>
      <c r="W443" s="571"/>
      <c r="X443" s="571"/>
      <c r="Y443" s="571"/>
      <c r="Z443" s="571"/>
    </row>
    <row r="444" spans="1:26" ht="19.5" hidden="1">
      <c r="A444" s="590"/>
      <c r="B444" s="754"/>
      <c r="C444" s="754" t="s">
        <v>16</v>
      </c>
      <c r="D444" s="863" t="s">
        <v>17</v>
      </c>
      <c r="E444" s="857"/>
      <c r="F444" s="857"/>
      <c r="G444" s="189"/>
      <c r="H444" s="591" t="s">
        <v>12</v>
      </c>
      <c r="I444" s="269"/>
      <c r="J444" s="269"/>
      <c r="K444" s="496"/>
      <c r="L444" s="195">
        <f t="shared" ref="L444:N444" ca="1" si="196">L445+L446</f>
        <v>0</v>
      </c>
      <c r="M444" s="195">
        <f t="shared" si="196"/>
        <v>0</v>
      </c>
      <c r="N444" s="195">
        <f t="shared" si="196"/>
        <v>0</v>
      </c>
      <c r="O444" s="195">
        <f t="shared" ref="O444:O449" ca="1" si="197">IF(L444&gt;0,N444*100/L444,0)</f>
        <v>0</v>
      </c>
      <c r="P444" s="195">
        <f t="shared" ref="P444:P449" si="198">IF(M444&gt;0,N444*100/M444,0)</f>
        <v>0</v>
      </c>
      <c r="Q444" s="571"/>
      <c r="R444" s="571"/>
      <c r="S444" s="571"/>
      <c r="T444" s="571"/>
      <c r="U444" s="571"/>
      <c r="V444" s="571"/>
      <c r="W444" s="571"/>
      <c r="X444" s="571"/>
      <c r="Y444" s="571"/>
      <c r="Z444" s="571"/>
    </row>
    <row r="445" spans="1:26" ht="18.75" hidden="1">
      <c r="A445" s="592"/>
      <c r="B445" s="750"/>
      <c r="C445" s="750"/>
      <c r="D445" s="711"/>
      <c r="E445" s="750" t="s">
        <v>184</v>
      </c>
      <c r="F445" s="750"/>
      <c r="G445" s="596"/>
      <c r="H445" s="165" t="s">
        <v>12</v>
      </c>
      <c r="I445" s="610"/>
      <c r="J445" s="610"/>
      <c r="K445" s="93"/>
      <c r="L445" s="93">
        <f t="shared" ref="L445:N446" si="199">L448+L455</f>
        <v>0</v>
      </c>
      <c r="M445" s="93">
        <f t="shared" si="199"/>
        <v>0</v>
      </c>
      <c r="N445" s="93">
        <f t="shared" si="199"/>
        <v>0</v>
      </c>
      <c r="O445" s="93">
        <f t="shared" si="197"/>
        <v>0</v>
      </c>
      <c r="P445" s="93">
        <f t="shared" si="198"/>
        <v>0</v>
      </c>
      <c r="Q445" s="597"/>
      <c r="R445" s="597"/>
      <c r="S445" s="597"/>
      <c r="T445" s="597"/>
      <c r="U445" s="597"/>
      <c r="V445" s="597"/>
      <c r="W445" s="597"/>
      <c r="X445" s="597"/>
      <c r="Y445" s="597"/>
      <c r="Z445" s="597"/>
    </row>
    <row r="446" spans="1:26" ht="18.75" hidden="1">
      <c r="A446" s="592"/>
      <c r="B446" s="600"/>
      <c r="C446" s="750"/>
      <c r="D446" s="711"/>
      <c r="E446" s="750" t="s">
        <v>185</v>
      </c>
      <c r="F446" s="750"/>
      <c r="G446" s="596"/>
      <c r="H446" s="165" t="s">
        <v>12</v>
      </c>
      <c r="I446" s="610"/>
      <c r="J446" s="610"/>
      <c r="K446" s="93"/>
      <c r="L446" s="93">
        <f t="shared" ca="1" si="199"/>
        <v>0</v>
      </c>
      <c r="M446" s="93">
        <f t="shared" si="199"/>
        <v>0</v>
      </c>
      <c r="N446" s="93">
        <f t="shared" si="199"/>
        <v>0</v>
      </c>
      <c r="O446" s="93">
        <f t="shared" ca="1" si="197"/>
        <v>0</v>
      </c>
      <c r="P446" s="93">
        <f t="shared" si="198"/>
        <v>0</v>
      </c>
      <c r="Q446" s="597"/>
      <c r="R446" s="597"/>
      <c r="S446" s="597"/>
      <c r="T446" s="597"/>
      <c r="U446" s="597"/>
      <c r="V446" s="597"/>
      <c r="W446" s="597"/>
      <c r="X446" s="597"/>
      <c r="Y446" s="597"/>
      <c r="Z446" s="597"/>
    </row>
    <row r="447" spans="1:26" ht="18.75" hidden="1">
      <c r="A447" s="590"/>
      <c r="B447" s="568"/>
      <c r="C447" s="754"/>
      <c r="D447" s="599" t="s">
        <v>20</v>
      </c>
      <c r="E447" s="754"/>
      <c r="F447" s="754"/>
      <c r="G447" s="189"/>
      <c r="H447" s="161" t="s">
        <v>12</v>
      </c>
      <c r="I447" s="184"/>
      <c r="J447" s="184"/>
      <c r="K447" s="163"/>
      <c r="L447" s="496">
        <f t="shared" ref="L447:N447" ca="1" si="200">L448+L449</f>
        <v>0</v>
      </c>
      <c r="M447" s="496">
        <f t="shared" si="200"/>
        <v>0</v>
      </c>
      <c r="N447" s="496">
        <f t="shared" si="200"/>
        <v>0</v>
      </c>
      <c r="O447" s="496">
        <f t="shared" ca="1" si="197"/>
        <v>0</v>
      </c>
      <c r="P447" s="496">
        <f t="shared" si="198"/>
        <v>0</v>
      </c>
      <c r="Q447" s="571"/>
      <c r="R447" s="571"/>
      <c r="S447" s="571"/>
      <c r="T447" s="571"/>
      <c r="U447" s="571"/>
      <c r="V447" s="571"/>
      <c r="W447" s="571"/>
      <c r="X447" s="571"/>
      <c r="Y447" s="571"/>
      <c r="Z447" s="571"/>
    </row>
    <row r="448" spans="1:26" ht="18.75" hidden="1">
      <c r="A448" s="592"/>
      <c r="B448" s="600"/>
      <c r="C448" s="750"/>
      <c r="D448" s="711"/>
      <c r="E448" s="750" t="s">
        <v>184</v>
      </c>
      <c r="F448" s="750"/>
      <c r="G448" s="596"/>
      <c r="H448" s="165" t="s">
        <v>12</v>
      </c>
      <c r="I448" s="610"/>
      <c r="J448" s="610"/>
      <c r="K448" s="93"/>
      <c r="L448" s="93">
        <v>0</v>
      </c>
      <c r="M448" s="93">
        <v>0</v>
      </c>
      <c r="N448" s="93">
        <v>0</v>
      </c>
      <c r="O448" s="93">
        <f t="shared" si="197"/>
        <v>0</v>
      </c>
      <c r="P448" s="93">
        <f t="shared" si="198"/>
        <v>0</v>
      </c>
      <c r="Q448" s="597"/>
      <c r="R448" s="597"/>
      <c r="S448" s="597"/>
      <c r="T448" s="597"/>
      <c r="U448" s="597"/>
      <c r="V448" s="597"/>
      <c r="W448" s="597"/>
      <c r="X448" s="597"/>
      <c r="Y448" s="597"/>
      <c r="Z448" s="597"/>
    </row>
    <row r="449" spans="1:26" ht="18.75" hidden="1">
      <c r="A449" s="592"/>
      <c r="B449" s="600"/>
      <c r="C449" s="750"/>
      <c r="D449" s="711"/>
      <c r="E449" s="750" t="s">
        <v>185</v>
      </c>
      <c r="F449" s="750"/>
      <c r="G449" s="596"/>
      <c r="H449" s="165" t="s">
        <v>12</v>
      </c>
      <c r="I449" s="610"/>
      <c r="J449" s="610"/>
      <c r="K449" s="93"/>
      <c r="L449" s="93">
        <f ca="1">IFERROR(__xludf.DUMMYFUNCTION("IMPORTRANGE(""https://docs.google.com/spreadsheets/d/1QqKyyYR6Q21VydFLVH3TRQUabQu_ym0Zz7PgGX0-kHA/edit?usp=sharing"",""แผน!FJ60"")"),0)</f>
        <v>0</v>
      </c>
      <c r="M449" s="93">
        <v>0</v>
      </c>
      <c r="N449" s="93">
        <f>N450+N451+N452+N453</f>
        <v>0</v>
      </c>
      <c r="O449" s="93">
        <f t="shared" ca="1" si="197"/>
        <v>0</v>
      </c>
      <c r="P449" s="93">
        <f t="shared" si="198"/>
        <v>0</v>
      </c>
      <c r="Q449" s="597"/>
      <c r="R449" s="597"/>
      <c r="S449" s="597"/>
      <c r="T449" s="597"/>
      <c r="U449" s="597"/>
      <c r="V449" s="597"/>
      <c r="W449" s="597"/>
      <c r="X449" s="597"/>
      <c r="Y449" s="597"/>
      <c r="Z449" s="597"/>
    </row>
    <row r="450" spans="1:26" ht="18.75" hidden="1">
      <c r="A450" s="567"/>
      <c r="B450" s="568"/>
      <c r="C450" s="754"/>
      <c r="D450" s="754"/>
      <c r="E450" s="754"/>
      <c r="F450" s="754" t="s">
        <v>186</v>
      </c>
      <c r="G450" s="189"/>
      <c r="H450" s="161" t="s">
        <v>12</v>
      </c>
      <c r="I450" s="269"/>
      <c r="J450" s="269"/>
      <c r="K450" s="496"/>
      <c r="L450" s="496"/>
      <c r="M450" s="496"/>
      <c r="N450" s="817">
        <v>0</v>
      </c>
      <c r="O450" s="496"/>
      <c r="P450" s="496"/>
      <c r="Q450" s="571"/>
      <c r="R450" s="571"/>
      <c r="S450" s="571"/>
      <c r="T450" s="571"/>
      <c r="U450" s="571"/>
      <c r="V450" s="571"/>
      <c r="W450" s="571"/>
      <c r="X450" s="571"/>
      <c r="Y450" s="571"/>
      <c r="Z450" s="571"/>
    </row>
    <row r="451" spans="1:26" ht="18.75" hidden="1">
      <c r="A451" s="567"/>
      <c r="B451" s="568"/>
      <c r="C451" s="754"/>
      <c r="D451" s="754"/>
      <c r="E451" s="754"/>
      <c r="F451" s="754" t="s">
        <v>187</v>
      </c>
      <c r="G451" s="189"/>
      <c r="H451" s="161" t="s">
        <v>12</v>
      </c>
      <c r="I451" s="269"/>
      <c r="J451" s="269"/>
      <c r="K451" s="496"/>
      <c r="L451" s="496"/>
      <c r="M451" s="496"/>
      <c r="N451" s="817">
        <v>0</v>
      </c>
      <c r="O451" s="496"/>
      <c r="P451" s="496"/>
      <c r="Q451" s="571"/>
      <c r="R451" s="571"/>
      <c r="S451" s="571"/>
      <c r="T451" s="571"/>
      <c r="U451" s="571"/>
      <c r="V451" s="571"/>
      <c r="W451" s="571"/>
      <c r="X451" s="571"/>
      <c r="Y451" s="571"/>
      <c r="Z451" s="571"/>
    </row>
    <row r="452" spans="1:26" ht="18.75" hidden="1">
      <c r="A452" s="567"/>
      <c r="B452" s="568"/>
      <c r="C452" s="568"/>
      <c r="D452" s="568"/>
      <c r="E452" s="568"/>
      <c r="F452" s="754" t="s">
        <v>188</v>
      </c>
      <c r="G452" s="189"/>
      <c r="H452" s="161" t="s">
        <v>12</v>
      </c>
      <c r="I452" s="269"/>
      <c r="J452" s="269"/>
      <c r="K452" s="496"/>
      <c r="L452" s="496"/>
      <c r="M452" s="496"/>
      <c r="N452" s="817">
        <v>0</v>
      </c>
      <c r="O452" s="496"/>
      <c r="P452" s="496"/>
      <c r="Q452" s="571"/>
      <c r="R452" s="571"/>
      <c r="S452" s="571"/>
      <c r="T452" s="571"/>
      <c r="U452" s="571"/>
      <c r="V452" s="571"/>
      <c r="W452" s="571"/>
      <c r="X452" s="571"/>
      <c r="Y452" s="571"/>
      <c r="Z452" s="571"/>
    </row>
    <row r="453" spans="1:26" ht="18.75" hidden="1">
      <c r="A453" s="567"/>
      <c r="B453" s="568"/>
      <c r="C453" s="568"/>
      <c r="D453" s="568"/>
      <c r="E453" s="568"/>
      <c r="F453" s="754" t="s">
        <v>189</v>
      </c>
      <c r="G453" s="189"/>
      <c r="H453" s="161" t="s">
        <v>12</v>
      </c>
      <c r="I453" s="269"/>
      <c r="J453" s="269"/>
      <c r="K453" s="496"/>
      <c r="L453" s="496"/>
      <c r="M453" s="496"/>
      <c r="N453" s="817">
        <v>0</v>
      </c>
      <c r="O453" s="496"/>
      <c r="P453" s="496"/>
      <c r="Q453" s="571"/>
      <c r="R453" s="571"/>
      <c r="S453" s="571"/>
      <c r="T453" s="571"/>
      <c r="U453" s="571"/>
      <c r="V453" s="571"/>
      <c r="W453" s="571"/>
      <c r="X453" s="571"/>
      <c r="Y453" s="571"/>
      <c r="Z453" s="571"/>
    </row>
    <row r="454" spans="1:26" ht="18.75" hidden="1">
      <c r="A454" s="590"/>
      <c r="B454" s="568"/>
      <c r="C454" s="568"/>
      <c r="D454" s="599" t="s">
        <v>21</v>
      </c>
      <c r="E454" s="568"/>
      <c r="F454" s="754"/>
      <c r="G454" s="189"/>
      <c r="H454" s="168" t="s">
        <v>12</v>
      </c>
      <c r="I454" s="184"/>
      <c r="J454" s="184"/>
      <c r="K454" s="163"/>
      <c r="L454" s="496">
        <f t="shared" ref="L454:N454" ca="1" si="201">L455+L456</f>
        <v>0</v>
      </c>
      <c r="M454" s="496">
        <f t="shared" si="201"/>
        <v>0</v>
      </c>
      <c r="N454" s="496">
        <f t="shared" si="201"/>
        <v>0</v>
      </c>
      <c r="O454" s="496">
        <f t="shared" ref="O454:O456" ca="1" si="202">IF(L454&gt;0,N454*100/L454,0)</f>
        <v>0</v>
      </c>
      <c r="P454" s="496">
        <f t="shared" ref="P454:P456" si="203">IF(M454&gt;0,N454*100/M454,0)</f>
        <v>0</v>
      </c>
      <c r="Q454" s="571"/>
      <c r="R454" s="571"/>
      <c r="S454" s="571"/>
      <c r="T454" s="571"/>
      <c r="U454" s="571"/>
      <c r="V454" s="571"/>
      <c r="W454" s="571"/>
      <c r="X454" s="571"/>
      <c r="Y454" s="571"/>
      <c r="Z454" s="571"/>
    </row>
    <row r="455" spans="1:26" ht="18.75" hidden="1">
      <c r="A455" s="592"/>
      <c r="B455" s="600"/>
      <c r="C455" s="600"/>
      <c r="D455" s="600"/>
      <c r="E455" s="600" t="s">
        <v>18</v>
      </c>
      <c r="F455" s="750"/>
      <c r="G455" s="596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2"/>
        <v>0</v>
      </c>
      <c r="P455" s="93">
        <f t="shared" si="203"/>
        <v>0</v>
      </c>
      <c r="Q455" s="597"/>
      <c r="R455" s="597"/>
      <c r="S455" s="597"/>
      <c r="T455" s="597"/>
      <c r="U455" s="597"/>
      <c r="V455" s="597"/>
      <c r="W455" s="597"/>
      <c r="X455" s="597"/>
      <c r="Y455" s="597"/>
      <c r="Z455" s="597"/>
    </row>
    <row r="456" spans="1:26" ht="18.75" hidden="1">
      <c r="A456" s="592"/>
      <c r="B456" s="600"/>
      <c r="C456" s="600"/>
      <c r="D456" s="600"/>
      <c r="E456" s="600" t="s">
        <v>19</v>
      </c>
      <c r="F456" s="750"/>
      <c r="G456" s="596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IFERROR(__xludf.DUMMYFUNCTION("IMPORTRANGE(""https://docs.google.com/spreadsheets/d/1QqKyyYR6Q21VydFLVH3TRQUabQu_ym0Zz7PgGX0-kHA/edit?usp=sharing"",""แผน!FM60"")"),0)</f>
        <v>0</v>
      </c>
      <c r="M456" s="93">
        <v>0</v>
      </c>
      <c r="N456" s="93">
        <v>0</v>
      </c>
      <c r="O456" s="93">
        <f t="shared" ca="1" si="202"/>
        <v>0</v>
      </c>
      <c r="P456" s="93">
        <f t="shared" si="203"/>
        <v>0</v>
      </c>
      <c r="Q456" s="597"/>
      <c r="R456" s="597"/>
      <c r="S456" s="597"/>
      <c r="T456" s="597"/>
      <c r="U456" s="597"/>
      <c r="V456" s="597"/>
      <c r="W456" s="597"/>
      <c r="X456" s="597"/>
      <c r="Y456" s="597"/>
      <c r="Z456" s="597"/>
    </row>
    <row r="457" spans="1:26" ht="19.5" hidden="1">
      <c r="A457" s="601"/>
      <c r="B457" s="611"/>
      <c r="C457" s="568" t="s">
        <v>16</v>
      </c>
      <c r="D457" s="836" t="s">
        <v>38</v>
      </c>
      <c r="E457" s="604"/>
      <c r="F457" s="752"/>
      <c r="G457" s="606"/>
      <c r="H457" s="753"/>
      <c r="I457" s="269"/>
      <c r="J457" s="269"/>
      <c r="K457" s="496"/>
      <c r="L457" s="496"/>
      <c r="M457" s="496"/>
      <c r="N457" s="496"/>
      <c r="O457" s="496"/>
      <c r="P457" s="496"/>
      <c r="Q457" s="571"/>
      <c r="R457" s="571"/>
      <c r="S457" s="571"/>
      <c r="T457" s="571"/>
      <c r="U457" s="571"/>
      <c r="V457" s="571"/>
      <c r="W457" s="571"/>
      <c r="X457" s="571"/>
      <c r="Y457" s="571"/>
      <c r="Z457" s="571"/>
    </row>
    <row r="458" spans="1:26" ht="18.75" hidden="1">
      <c r="A458" s="607"/>
      <c r="B458" s="609"/>
      <c r="C458" s="609"/>
      <c r="D458" s="609" t="s">
        <v>200</v>
      </c>
      <c r="E458" s="609"/>
      <c r="F458" s="711"/>
      <c r="G458" s="365"/>
      <c r="H458" s="369" t="s">
        <v>35</v>
      </c>
      <c r="I458" s="610">
        <v>0</v>
      </c>
      <c r="J458" s="610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597"/>
      <c r="R458" s="597"/>
      <c r="S458" s="597"/>
      <c r="T458" s="597"/>
      <c r="U458" s="597"/>
      <c r="V458" s="597"/>
      <c r="W458" s="597"/>
      <c r="X458" s="597"/>
      <c r="Y458" s="597"/>
      <c r="Z458" s="597"/>
    </row>
    <row r="459" spans="1:26" ht="18.75" hidden="1">
      <c r="A459" s="607"/>
      <c r="B459" s="609"/>
      <c r="C459" s="609"/>
      <c r="D459" s="609" t="s">
        <v>201</v>
      </c>
      <c r="E459" s="609"/>
      <c r="F459" s="711"/>
      <c r="G459" s="365"/>
      <c r="H459" s="369"/>
      <c r="I459" s="610"/>
      <c r="J459" s="610"/>
      <c r="K459" s="93"/>
      <c r="L459" s="93"/>
      <c r="M459" s="93"/>
      <c r="N459" s="93"/>
      <c r="O459" s="93"/>
      <c r="P459" s="93"/>
      <c r="Q459" s="597"/>
      <c r="R459" s="597"/>
      <c r="S459" s="597"/>
      <c r="T459" s="597"/>
      <c r="U459" s="597"/>
      <c r="V459" s="597"/>
      <c r="W459" s="597"/>
      <c r="X459" s="597"/>
      <c r="Y459" s="597"/>
      <c r="Z459" s="597"/>
    </row>
    <row r="460" spans="1:26" ht="18.75" hidden="1">
      <c r="A460" s="601"/>
      <c r="B460" s="611"/>
      <c r="C460" s="611"/>
      <c r="D460" s="611" t="s">
        <v>202</v>
      </c>
      <c r="E460" s="611"/>
      <c r="F460" s="619"/>
      <c r="G460" s="753"/>
      <c r="H460" s="755" t="s">
        <v>35</v>
      </c>
      <c r="I460" s="269">
        <f ca="1">IFERROR(__xludf.DUMMYFUNCTION("IMPORTRANGE(""https://docs.google.com/spreadsheets/d/1QqKyyYR6Q21VydFLVH3TRQUabQu_ym0Zz7PgGX0-kHA/edit?usp=sharing"",""แผน!FN60"")"),0)</f>
        <v>0</v>
      </c>
      <c r="J460" s="214">
        <v>0</v>
      </c>
      <c r="K460" s="496">
        <f ca="1">IF(I460&gt;0,J460*100/I460,0)</f>
        <v>0</v>
      </c>
      <c r="L460" s="496"/>
      <c r="M460" s="496"/>
      <c r="N460" s="496"/>
      <c r="O460" s="496"/>
      <c r="P460" s="496"/>
      <c r="Q460" s="571"/>
      <c r="R460" s="571"/>
      <c r="S460" s="571"/>
      <c r="T460" s="571"/>
      <c r="U460" s="571"/>
      <c r="V460" s="571"/>
      <c r="W460" s="571"/>
      <c r="X460" s="571"/>
      <c r="Y460" s="571"/>
      <c r="Z460" s="571"/>
    </row>
    <row r="461" spans="1:26" ht="18.75" hidden="1">
      <c r="A461" s="601"/>
      <c r="B461" s="611"/>
      <c r="C461" s="611"/>
      <c r="D461" s="611" t="s">
        <v>203</v>
      </c>
      <c r="E461" s="619"/>
      <c r="F461" s="619"/>
      <c r="G461" s="753"/>
      <c r="H461" s="755"/>
      <c r="I461" s="269"/>
      <c r="J461" s="269"/>
      <c r="K461" s="496"/>
      <c r="L461" s="496"/>
      <c r="M461" s="496"/>
      <c r="N461" s="496"/>
      <c r="O461" s="496"/>
      <c r="P461" s="496"/>
      <c r="Q461" s="571"/>
      <c r="R461" s="571"/>
      <c r="S461" s="571"/>
      <c r="T461" s="571"/>
      <c r="U461" s="571"/>
      <c r="V461" s="571"/>
      <c r="W461" s="571"/>
      <c r="X461" s="571"/>
      <c r="Y461" s="571"/>
      <c r="Z461" s="571"/>
    </row>
    <row r="462" spans="1:26" ht="18.75" hidden="1">
      <c r="A462" s="601"/>
      <c r="B462" s="611"/>
      <c r="C462" s="611"/>
      <c r="D462" s="611" t="s">
        <v>204</v>
      </c>
      <c r="E462" s="619"/>
      <c r="F462" s="619"/>
      <c r="G462" s="753"/>
      <c r="H462" s="755" t="s">
        <v>46</v>
      </c>
      <c r="I462" s="269">
        <f ca="1">IFERROR(__xludf.DUMMYFUNCTION("IMPORTRANGE(""https://docs.google.com/spreadsheets/d/1QqKyyYR6Q21VydFLVH3TRQUabQu_ym0Zz7PgGX0-kHA/edit?usp=sharing"",""แผน!FO60"")"),0)</f>
        <v>0</v>
      </c>
      <c r="J462" s="214">
        <v>0</v>
      </c>
      <c r="K462" s="496">
        <f ca="1">IF(I462&gt;0,J462*100/I462,0)</f>
        <v>0</v>
      </c>
      <c r="L462" s="496"/>
      <c r="M462" s="496"/>
      <c r="N462" s="496"/>
      <c r="O462" s="496"/>
      <c r="P462" s="496"/>
      <c r="Q462" s="571"/>
      <c r="R462" s="571"/>
      <c r="S462" s="571"/>
      <c r="T462" s="571"/>
      <c r="U462" s="571"/>
      <c r="V462" s="571"/>
      <c r="W462" s="571"/>
      <c r="X462" s="571"/>
      <c r="Y462" s="571"/>
      <c r="Z462" s="571"/>
    </row>
    <row r="463" spans="1:26" ht="18.75" hidden="1">
      <c r="A463" s="601"/>
      <c r="B463" s="611"/>
      <c r="C463" s="611"/>
      <c r="D463" s="611" t="s">
        <v>59</v>
      </c>
      <c r="E463" s="619"/>
      <c r="F463" s="754"/>
      <c r="G463" s="189"/>
      <c r="H463" s="755" t="s">
        <v>46</v>
      </c>
      <c r="I463" s="269">
        <f ca="1">IFERROR(__xludf.DUMMYFUNCTION("IMPORTRANGE(""https://docs.google.com/spreadsheets/d/1QqKyyYR6Q21VydFLVH3TRQUabQu_ym0Zz7PgGX0-kHA/edit?usp=sharing"",""แผน!FO60"")"),0)</f>
        <v>0</v>
      </c>
      <c r="J463" s="214">
        <v>0</v>
      </c>
      <c r="K463" s="496"/>
      <c r="L463" s="496"/>
      <c r="M463" s="496"/>
      <c r="N463" s="496"/>
      <c r="O463" s="496"/>
      <c r="P463" s="496"/>
      <c r="Q463" s="571"/>
      <c r="R463" s="571"/>
      <c r="S463" s="571"/>
      <c r="T463" s="571"/>
      <c r="U463" s="571"/>
      <c r="V463" s="571"/>
      <c r="W463" s="571"/>
      <c r="X463" s="571"/>
      <c r="Y463" s="571"/>
      <c r="Z463" s="571"/>
    </row>
    <row r="464" spans="1:26" ht="19.5" hidden="1">
      <c r="A464" s="601"/>
      <c r="B464" s="611"/>
      <c r="C464" s="611"/>
      <c r="D464" s="611"/>
      <c r="E464" s="619"/>
      <c r="F464" s="619"/>
      <c r="G464" s="613"/>
      <c r="H464" s="755" t="s">
        <v>35</v>
      </c>
      <c r="I464" s="269">
        <f ca="1">IFERROR(__xludf.DUMMYFUNCTION("IMPORTRANGE(""https://docs.google.com/spreadsheets/d/1QqKyyYR6Q21VydFLVH3TRQUabQu_ym0Zz7PgGX0-kHA/edit?usp=sharing"",""แผน!FN60"")"),0)</f>
        <v>0</v>
      </c>
      <c r="J464" s="214">
        <v>0</v>
      </c>
      <c r="K464" s="496"/>
      <c r="L464" s="496"/>
      <c r="M464" s="496"/>
      <c r="N464" s="496"/>
      <c r="O464" s="496"/>
      <c r="P464" s="496"/>
      <c r="Q464" s="571"/>
      <c r="R464" s="571"/>
      <c r="S464" s="571"/>
      <c r="T464" s="571"/>
      <c r="U464" s="571"/>
      <c r="V464" s="571"/>
      <c r="W464" s="571"/>
      <c r="X464" s="571"/>
      <c r="Y464" s="571"/>
      <c r="Z464" s="571"/>
    </row>
    <row r="465" spans="1:26" ht="19.5" hidden="1">
      <c r="A465" s="578">
        <v>3</v>
      </c>
      <c r="B465" s="579" t="s">
        <v>205</v>
      </c>
      <c r="C465" s="580"/>
      <c r="D465" s="580"/>
      <c r="E465" s="580"/>
      <c r="F465" s="580"/>
      <c r="G465" s="581"/>
      <c r="H465" s="582" t="s">
        <v>35</v>
      </c>
      <c r="I465" s="583">
        <f ca="1">IFERROR(__xludf.DUMMYFUNCTION("IMPORTRANGE(""https://docs.google.com/spreadsheets/d/1QqKyyYR6Q21VydFLVH3TRQUabQu_ym0Zz7PgGX0-kHA/edit?usp=sharing"",""แผน!FX60"")"),0)</f>
        <v>0</v>
      </c>
      <c r="J465" s="583">
        <f>J485+J489+J492</f>
        <v>0</v>
      </c>
      <c r="K465" s="584">
        <f t="shared" ref="K465:K466" ca="1" si="204">IF(I465&gt;0,J465*100/I465,0)</f>
        <v>0</v>
      </c>
      <c r="L465" s="585"/>
      <c r="M465" s="585"/>
      <c r="N465" s="585"/>
      <c r="O465" s="585"/>
      <c r="P465" s="585"/>
      <c r="Q465" s="571"/>
      <c r="R465" s="571"/>
      <c r="S465" s="571"/>
      <c r="T465" s="571"/>
      <c r="U465" s="571"/>
      <c r="V465" s="571"/>
      <c r="W465" s="571"/>
      <c r="X465" s="571"/>
      <c r="Y465" s="571"/>
      <c r="Z465" s="571"/>
    </row>
    <row r="466" spans="1:26" ht="19.5" hidden="1">
      <c r="A466" s="586"/>
      <c r="B466" s="587"/>
      <c r="C466" s="588"/>
      <c r="D466" s="588"/>
      <c r="E466" s="588"/>
      <c r="F466" s="588"/>
      <c r="G466" s="589"/>
      <c r="H466" s="562" t="s">
        <v>46</v>
      </c>
      <c r="I466" s="563">
        <f ca="1">IFERROR(__xludf.DUMMYFUNCTION("IMPORTRANGE(""https://docs.google.com/spreadsheets/d/1QqKyyYR6Q21VydFLVH3TRQUabQu_ym0Zz7PgGX0-kHA/edit?usp=sharing"",""แผน!FW60"")"),0)</f>
        <v>0</v>
      </c>
      <c r="J466" s="563">
        <f>J483+J487</f>
        <v>0</v>
      </c>
      <c r="K466" s="564">
        <f t="shared" ca="1" si="204"/>
        <v>0</v>
      </c>
      <c r="L466" s="565"/>
      <c r="M466" s="565"/>
      <c r="N466" s="565"/>
      <c r="O466" s="565"/>
      <c r="P466" s="565"/>
      <c r="Q466" s="571"/>
      <c r="R466" s="571"/>
      <c r="S466" s="571"/>
      <c r="T466" s="571"/>
      <c r="U466" s="571"/>
      <c r="V466" s="571"/>
      <c r="W466" s="571"/>
      <c r="X466" s="571"/>
      <c r="Y466" s="571"/>
      <c r="Z466" s="571"/>
    </row>
    <row r="467" spans="1:26" ht="19.5" hidden="1">
      <c r="A467" s="590"/>
      <c r="B467" s="754"/>
      <c r="C467" s="754" t="s">
        <v>16</v>
      </c>
      <c r="D467" s="863" t="s">
        <v>17</v>
      </c>
      <c r="E467" s="857"/>
      <c r="F467" s="857"/>
      <c r="G467" s="189"/>
      <c r="H467" s="591" t="s">
        <v>12</v>
      </c>
      <c r="I467" s="269"/>
      <c r="J467" s="269"/>
      <c r="K467" s="496"/>
      <c r="L467" s="195">
        <f t="shared" ref="L467:N467" ca="1" si="205">L468+L469</f>
        <v>0</v>
      </c>
      <c r="M467" s="195">
        <f t="shared" si="205"/>
        <v>0</v>
      </c>
      <c r="N467" s="195">
        <f t="shared" si="205"/>
        <v>0</v>
      </c>
      <c r="O467" s="195">
        <f t="shared" ref="O467:O472" ca="1" si="206">IF(L467&gt;0,N467*100/L467,0)</f>
        <v>0</v>
      </c>
      <c r="P467" s="195">
        <f t="shared" ref="P467:P472" si="207">IF(M467&gt;0,N467*100/M467,0)</f>
        <v>0</v>
      </c>
      <c r="Q467" s="571"/>
      <c r="R467" s="571"/>
      <c r="S467" s="571"/>
      <c r="T467" s="571"/>
      <c r="U467" s="571"/>
      <c r="V467" s="571"/>
      <c r="W467" s="571"/>
      <c r="X467" s="571"/>
      <c r="Y467" s="571"/>
      <c r="Z467" s="571"/>
    </row>
    <row r="468" spans="1:26" ht="18.75" hidden="1">
      <c r="A468" s="592"/>
      <c r="B468" s="750"/>
      <c r="C468" s="750"/>
      <c r="D468" s="711"/>
      <c r="E468" s="750" t="s">
        <v>184</v>
      </c>
      <c r="F468" s="750"/>
      <c r="G468" s="596"/>
      <c r="H468" s="165" t="s">
        <v>12</v>
      </c>
      <c r="I468" s="610"/>
      <c r="J468" s="610"/>
      <c r="K468" s="93"/>
      <c r="L468" s="93">
        <f t="shared" ref="L468:N469" si="208">L471+L478</f>
        <v>0</v>
      </c>
      <c r="M468" s="93">
        <f t="shared" si="208"/>
        <v>0</v>
      </c>
      <c r="N468" s="93">
        <f t="shared" si="208"/>
        <v>0</v>
      </c>
      <c r="O468" s="93">
        <f t="shared" si="206"/>
        <v>0</v>
      </c>
      <c r="P468" s="93">
        <f t="shared" si="207"/>
        <v>0</v>
      </c>
      <c r="Q468" s="597"/>
      <c r="R468" s="597"/>
      <c r="S468" s="597"/>
      <c r="T468" s="597"/>
      <c r="U468" s="597"/>
      <c r="V468" s="597"/>
      <c r="W468" s="597"/>
      <c r="X468" s="597"/>
      <c r="Y468" s="597"/>
      <c r="Z468" s="597"/>
    </row>
    <row r="469" spans="1:26" ht="18.75" hidden="1">
      <c r="A469" s="592"/>
      <c r="B469" s="600"/>
      <c r="C469" s="750"/>
      <c r="D469" s="711"/>
      <c r="E469" s="750" t="s">
        <v>185</v>
      </c>
      <c r="F469" s="750"/>
      <c r="G469" s="596"/>
      <c r="H469" s="165" t="s">
        <v>12</v>
      </c>
      <c r="I469" s="610"/>
      <c r="J469" s="610"/>
      <c r="K469" s="93"/>
      <c r="L469" s="93">
        <f t="shared" ca="1" si="208"/>
        <v>0</v>
      </c>
      <c r="M469" s="93">
        <f t="shared" si="208"/>
        <v>0</v>
      </c>
      <c r="N469" s="93">
        <f t="shared" si="208"/>
        <v>0</v>
      </c>
      <c r="O469" s="93">
        <f t="shared" ca="1" si="206"/>
        <v>0</v>
      </c>
      <c r="P469" s="93">
        <f t="shared" si="207"/>
        <v>0</v>
      </c>
      <c r="Q469" s="597"/>
      <c r="R469" s="597"/>
      <c r="S469" s="597"/>
      <c r="T469" s="597"/>
      <c r="U469" s="597"/>
      <c r="V469" s="597"/>
      <c r="W469" s="597"/>
      <c r="X469" s="597"/>
      <c r="Y469" s="597"/>
      <c r="Z469" s="597"/>
    </row>
    <row r="470" spans="1:26" ht="18.75" hidden="1">
      <c r="A470" s="590"/>
      <c r="B470" s="568"/>
      <c r="C470" s="754"/>
      <c r="D470" s="599" t="s">
        <v>20</v>
      </c>
      <c r="E470" s="754"/>
      <c r="F470" s="754"/>
      <c r="G470" s="189"/>
      <c r="H470" s="161" t="s">
        <v>12</v>
      </c>
      <c r="I470" s="184"/>
      <c r="J470" s="184"/>
      <c r="K470" s="163"/>
      <c r="L470" s="496">
        <f t="shared" ref="L470:N470" ca="1" si="209">L471+L472</f>
        <v>0</v>
      </c>
      <c r="M470" s="496">
        <f t="shared" si="209"/>
        <v>0</v>
      </c>
      <c r="N470" s="496">
        <f t="shared" si="209"/>
        <v>0</v>
      </c>
      <c r="O470" s="496">
        <f t="shared" ca="1" si="206"/>
        <v>0</v>
      </c>
      <c r="P470" s="496">
        <f t="shared" si="207"/>
        <v>0</v>
      </c>
      <c r="Q470" s="571"/>
      <c r="R470" s="571"/>
      <c r="S470" s="571"/>
      <c r="T470" s="571"/>
      <c r="U470" s="571"/>
      <c r="V470" s="571"/>
      <c r="W470" s="571"/>
      <c r="X470" s="571"/>
      <c r="Y470" s="571"/>
      <c r="Z470" s="571"/>
    </row>
    <row r="471" spans="1:26" ht="18.75" hidden="1">
      <c r="A471" s="592"/>
      <c r="B471" s="600"/>
      <c r="C471" s="750"/>
      <c r="D471" s="711"/>
      <c r="E471" s="750" t="s">
        <v>184</v>
      </c>
      <c r="F471" s="750"/>
      <c r="G471" s="596"/>
      <c r="H471" s="165" t="s">
        <v>12</v>
      </c>
      <c r="I471" s="610"/>
      <c r="J471" s="610"/>
      <c r="K471" s="93"/>
      <c r="L471" s="93">
        <v>0</v>
      </c>
      <c r="M471" s="93">
        <v>0</v>
      </c>
      <c r="N471" s="93">
        <v>0</v>
      </c>
      <c r="O471" s="93">
        <f t="shared" si="206"/>
        <v>0</v>
      </c>
      <c r="P471" s="93">
        <f t="shared" si="207"/>
        <v>0</v>
      </c>
      <c r="Q471" s="597"/>
      <c r="R471" s="597"/>
      <c r="S471" s="597"/>
      <c r="T471" s="597"/>
      <c r="U471" s="597"/>
      <c r="V471" s="597"/>
      <c r="W471" s="597"/>
      <c r="X471" s="597"/>
      <c r="Y471" s="597"/>
      <c r="Z471" s="597"/>
    </row>
    <row r="472" spans="1:26" ht="18.75" hidden="1">
      <c r="A472" s="592"/>
      <c r="B472" s="600"/>
      <c r="C472" s="750"/>
      <c r="D472" s="711"/>
      <c r="E472" s="750" t="s">
        <v>185</v>
      </c>
      <c r="F472" s="750"/>
      <c r="G472" s="596"/>
      <c r="H472" s="165" t="s">
        <v>12</v>
      </c>
      <c r="I472" s="610"/>
      <c r="J472" s="610"/>
      <c r="K472" s="93"/>
      <c r="L472" s="93">
        <f ca="1">IFERROR(__xludf.DUMMYFUNCTION("IMPORTRANGE(""https://docs.google.com/spreadsheets/d/1QqKyyYR6Q21VydFLVH3TRQUabQu_ym0Zz7PgGX0-kHA/edit?usp=sharing"",""แผน!FS60"")"),0)</f>
        <v>0</v>
      </c>
      <c r="M472" s="93">
        <v>0</v>
      </c>
      <c r="N472" s="93">
        <f>N473+N474+N475+N476</f>
        <v>0</v>
      </c>
      <c r="O472" s="93">
        <f t="shared" ca="1" si="206"/>
        <v>0</v>
      </c>
      <c r="P472" s="93">
        <f t="shared" si="207"/>
        <v>0</v>
      </c>
      <c r="Q472" s="597"/>
      <c r="R472" s="597"/>
      <c r="S472" s="597"/>
      <c r="T472" s="597"/>
      <c r="U472" s="597"/>
      <c r="V472" s="597"/>
      <c r="W472" s="597"/>
      <c r="X472" s="597"/>
      <c r="Y472" s="597"/>
      <c r="Z472" s="597"/>
    </row>
    <row r="473" spans="1:26" ht="18.75" hidden="1">
      <c r="A473" s="567"/>
      <c r="B473" s="568"/>
      <c r="C473" s="754"/>
      <c r="D473" s="754"/>
      <c r="E473" s="754"/>
      <c r="F473" s="754" t="s">
        <v>186</v>
      </c>
      <c r="G473" s="189"/>
      <c r="H473" s="161" t="s">
        <v>12</v>
      </c>
      <c r="I473" s="269"/>
      <c r="J473" s="269"/>
      <c r="K473" s="496"/>
      <c r="L473" s="496"/>
      <c r="M473" s="496"/>
      <c r="N473" s="817">
        <v>0</v>
      </c>
      <c r="O473" s="496"/>
      <c r="P473" s="496"/>
      <c r="Q473" s="571"/>
      <c r="R473" s="571"/>
      <c r="S473" s="571"/>
      <c r="T473" s="571"/>
      <c r="U473" s="571"/>
      <c r="V473" s="571"/>
      <c r="W473" s="571"/>
      <c r="X473" s="571"/>
      <c r="Y473" s="571"/>
      <c r="Z473" s="571"/>
    </row>
    <row r="474" spans="1:26" ht="18.75" hidden="1">
      <c r="A474" s="567"/>
      <c r="B474" s="568"/>
      <c r="C474" s="754"/>
      <c r="D474" s="754"/>
      <c r="E474" s="754"/>
      <c r="F474" s="754" t="s">
        <v>187</v>
      </c>
      <c r="G474" s="189"/>
      <c r="H474" s="161" t="s">
        <v>12</v>
      </c>
      <c r="I474" s="269"/>
      <c r="J474" s="269"/>
      <c r="K474" s="496"/>
      <c r="L474" s="496"/>
      <c r="M474" s="496"/>
      <c r="N474" s="817">
        <v>0</v>
      </c>
      <c r="O474" s="496"/>
      <c r="P474" s="496"/>
      <c r="Q474" s="571"/>
      <c r="R474" s="571"/>
      <c r="S474" s="571"/>
      <c r="T474" s="571"/>
      <c r="U474" s="571"/>
      <c r="V474" s="571"/>
      <c r="W474" s="571"/>
      <c r="X474" s="571"/>
      <c r="Y474" s="571"/>
      <c r="Z474" s="571"/>
    </row>
    <row r="475" spans="1:26" ht="18.75" hidden="1">
      <c r="A475" s="567"/>
      <c r="B475" s="568"/>
      <c r="C475" s="568"/>
      <c r="D475" s="568"/>
      <c r="E475" s="568"/>
      <c r="F475" s="754" t="s">
        <v>188</v>
      </c>
      <c r="G475" s="189"/>
      <c r="H475" s="161" t="s">
        <v>12</v>
      </c>
      <c r="I475" s="269"/>
      <c r="J475" s="269"/>
      <c r="K475" s="496"/>
      <c r="L475" s="496"/>
      <c r="M475" s="496"/>
      <c r="N475" s="817">
        <v>0</v>
      </c>
      <c r="O475" s="496"/>
      <c r="P475" s="496"/>
      <c r="Q475" s="571"/>
      <c r="R475" s="571"/>
      <c r="S475" s="571"/>
      <c r="T475" s="571"/>
      <c r="U475" s="571"/>
      <c r="V475" s="571"/>
      <c r="W475" s="571"/>
      <c r="X475" s="571"/>
      <c r="Y475" s="571"/>
      <c r="Z475" s="571"/>
    </row>
    <row r="476" spans="1:26" ht="18.75" hidden="1">
      <c r="A476" s="567"/>
      <c r="B476" s="568"/>
      <c r="C476" s="568"/>
      <c r="D476" s="568"/>
      <c r="E476" s="568"/>
      <c r="F476" s="754" t="s">
        <v>189</v>
      </c>
      <c r="G476" s="189"/>
      <c r="H476" s="161" t="s">
        <v>12</v>
      </c>
      <c r="I476" s="269"/>
      <c r="J476" s="269"/>
      <c r="K476" s="496"/>
      <c r="L476" s="496"/>
      <c r="M476" s="496"/>
      <c r="N476" s="817">
        <v>0</v>
      </c>
      <c r="O476" s="496"/>
      <c r="P476" s="496"/>
      <c r="Q476" s="571"/>
      <c r="R476" s="571"/>
      <c r="S476" s="571"/>
      <c r="T476" s="571"/>
      <c r="U476" s="571"/>
      <c r="V476" s="571"/>
      <c r="W476" s="571"/>
      <c r="X476" s="571"/>
      <c r="Y476" s="571"/>
      <c r="Z476" s="571"/>
    </row>
    <row r="477" spans="1:26" ht="18.75" hidden="1">
      <c r="A477" s="590"/>
      <c r="B477" s="568"/>
      <c r="C477" s="568"/>
      <c r="D477" s="599" t="s">
        <v>21</v>
      </c>
      <c r="E477" s="568"/>
      <c r="F477" s="568"/>
      <c r="G477" s="189"/>
      <c r="H477" s="168" t="s">
        <v>12</v>
      </c>
      <c r="I477" s="184"/>
      <c r="J477" s="184"/>
      <c r="K477" s="163"/>
      <c r="L477" s="496">
        <f t="shared" ref="L477:N477" ca="1" si="210">L478+L479</f>
        <v>0</v>
      </c>
      <c r="M477" s="496">
        <f t="shared" si="210"/>
        <v>0</v>
      </c>
      <c r="N477" s="496">
        <f t="shared" si="210"/>
        <v>0</v>
      </c>
      <c r="O477" s="496">
        <f t="shared" ref="O477:O479" ca="1" si="211">IF(L477&gt;0,N477*100/L477,0)</f>
        <v>0</v>
      </c>
      <c r="P477" s="496">
        <f t="shared" ref="P477:P479" si="212">IF(M477&gt;0,N477*100/M477,0)</f>
        <v>0</v>
      </c>
      <c r="Q477" s="571"/>
      <c r="R477" s="571"/>
      <c r="S477" s="571"/>
      <c r="T477" s="571"/>
      <c r="U477" s="571"/>
      <c r="V477" s="571"/>
      <c r="W477" s="571"/>
      <c r="X477" s="571"/>
      <c r="Y477" s="571"/>
      <c r="Z477" s="571"/>
    </row>
    <row r="478" spans="1:26" ht="18.75" hidden="1">
      <c r="A478" s="592"/>
      <c r="B478" s="600"/>
      <c r="C478" s="600"/>
      <c r="D478" s="600"/>
      <c r="E478" s="600" t="s">
        <v>18</v>
      </c>
      <c r="F478" s="600"/>
      <c r="G478" s="596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1"/>
        <v>0</v>
      </c>
      <c r="P478" s="93">
        <f t="shared" si="212"/>
        <v>0</v>
      </c>
      <c r="Q478" s="597"/>
      <c r="R478" s="597"/>
      <c r="S478" s="597"/>
      <c r="T478" s="597"/>
      <c r="U478" s="597"/>
      <c r="V478" s="597"/>
      <c r="W478" s="597"/>
      <c r="X478" s="597"/>
      <c r="Y478" s="597"/>
      <c r="Z478" s="597"/>
    </row>
    <row r="479" spans="1:26" ht="18.75" hidden="1">
      <c r="A479" s="592"/>
      <c r="B479" s="600"/>
      <c r="C479" s="600"/>
      <c r="D479" s="600"/>
      <c r="E479" s="600" t="s">
        <v>19</v>
      </c>
      <c r="F479" s="600"/>
      <c r="G479" s="596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IFERROR(__xludf.DUMMYFUNCTION("IMPORTRANGE(""https://docs.google.com/spreadsheets/d/1QqKyyYR6Q21VydFLVH3TRQUabQu_ym0Zz7PgGX0-kHA/edit?usp=sharing"",""แผน!FV60"")"),0)</f>
        <v>0</v>
      </c>
      <c r="M479" s="93">
        <v>0</v>
      </c>
      <c r="N479" s="93">
        <v>0</v>
      </c>
      <c r="O479" s="93">
        <f t="shared" ca="1" si="211"/>
        <v>0</v>
      </c>
      <c r="P479" s="93">
        <f t="shared" si="212"/>
        <v>0</v>
      </c>
      <c r="Q479" s="597"/>
      <c r="R479" s="597"/>
      <c r="S479" s="597"/>
      <c r="T479" s="597"/>
      <c r="U479" s="597"/>
      <c r="V479" s="597"/>
      <c r="W479" s="597"/>
      <c r="X479" s="597"/>
      <c r="Y479" s="597"/>
      <c r="Z479" s="597"/>
    </row>
    <row r="480" spans="1:26" ht="19.5" hidden="1">
      <c r="A480" s="601"/>
      <c r="B480" s="611"/>
      <c r="C480" s="568" t="s">
        <v>16</v>
      </c>
      <c r="D480" s="837" t="s">
        <v>38</v>
      </c>
      <c r="E480" s="604"/>
      <c r="F480" s="752"/>
      <c r="G480" s="606"/>
      <c r="H480" s="753"/>
      <c r="I480" s="269"/>
      <c r="J480" s="269"/>
      <c r="K480" s="496"/>
      <c r="L480" s="496"/>
      <c r="M480" s="496"/>
      <c r="N480" s="496"/>
      <c r="O480" s="496"/>
      <c r="P480" s="496"/>
      <c r="Q480" s="571"/>
      <c r="R480" s="571"/>
      <c r="S480" s="571"/>
      <c r="T480" s="571"/>
      <c r="U480" s="571"/>
      <c r="V480" s="571"/>
      <c r="W480" s="571"/>
      <c r="X480" s="571"/>
      <c r="Y480" s="571"/>
      <c r="Z480" s="571"/>
    </row>
    <row r="481" spans="1:26" ht="19.5" hidden="1">
      <c r="A481" s="601"/>
      <c r="B481" s="611"/>
      <c r="C481" s="611"/>
      <c r="D481" s="618" t="s">
        <v>206</v>
      </c>
      <c r="E481" s="611"/>
      <c r="F481" s="611"/>
      <c r="G481" s="753"/>
      <c r="H481" s="189"/>
      <c r="I481" s="269"/>
      <c r="J481" s="269"/>
      <c r="K481" s="496"/>
      <c r="L481" s="496"/>
      <c r="M481" s="496"/>
      <c r="N481" s="496"/>
      <c r="O481" s="496"/>
      <c r="P481" s="496"/>
      <c r="Q481" s="571"/>
      <c r="R481" s="571"/>
      <c r="S481" s="571"/>
      <c r="T481" s="571"/>
      <c r="U481" s="571"/>
      <c r="V481" s="571"/>
      <c r="W481" s="571"/>
      <c r="X481" s="571"/>
      <c r="Y481" s="571"/>
      <c r="Z481" s="571"/>
    </row>
    <row r="482" spans="1:26" ht="18.75" hidden="1">
      <c r="A482" s="601"/>
      <c r="B482" s="611"/>
      <c r="C482" s="611"/>
      <c r="D482" s="611"/>
      <c r="E482" s="611" t="s">
        <v>207</v>
      </c>
      <c r="F482" s="611"/>
      <c r="G482" s="753"/>
      <c r="H482" s="189"/>
      <c r="I482" s="269"/>
      <c r="J482" s="269"/>
      <c r="K482" s="496"/>
      <c r="L482" s="496"/>
      <c r="M482" s="496"/>
      <c r="N482" s="496"/>
      <c r="O482" s="496"/>
      <c r="P482" s="496"/>
      <c r="Q482" s="571"/>
      <c r="R482" s="571"/>
      <c r="S482" s="571"/>
      <c r="T482" s="571"/>
      <c r="U482" s="571"/>
      <c r="V482" s="571"/>
      <c r="W482" s="571"/>
      <c r="X482" s="571"/>
      <c r="Y482" s="571"/>
      <c r="Z482" s="571"/>
    </row>
    <row r="483" spans="1:26" ht="18.75" hidden="1">
      <c r="A483" s="601"/>
      <c r="B483" s="611"/>
      <c r="C483" s="611"/>
      <c r="D483" s="611"/>
      <c r="E483" s="611"/>
      <c r="F483" s="611" t="s">
        <v>208</v>
      </c>
      <c r="G483" s="753"/>
      <c r="H483" s="616" t="s">
        <v>46</v>
      </c>
      <c r="I483" s="269">
        <f ca="1">IFERROR(__xludf.DUMMYFUNCTION("IMPORTRANGE(""https://docs.google.com/spreadsheets/d/1QqKyyYR6Q21VydFLVH3TRQUabQu_ym0Zz7PgGX0-kHA/edit?usp=sharing"",""แผน!FY60"")"),0)</f>
        <v>0</v>
      </c>
      <c r="J483" s="214">
        <v>0</v>
      </c>
      <c r="K483" s="496">
        <f ca="1">IF(I483&gt;0,J483*100/I483,0)</f>
        <v>0</v>
      </c>
      <c r="L483" s="496"/>
      <c r="M483" s="496"/>
      <c r="N483" s="496"/>
      <c r="O483" s="496"/>
      <c r="P483" s="496"/>
      <c r="Q483" s="571"/>
      <c r="R483" s="571"/>
      <c r="S483" s="571"/>
      <c r="T483" s="571"/>
      <c r="U483" s="571"/>
      <c r="V483" s="571"/>
      <c r="W483" s="571"/>
      <c r="X483" s="571"/>
      <c r="Y483" s="571"/>
      <c r="Z483" s="571"/>
    </row>
    <row r="484" spans="1:26" ht="18.75" hidden="1">
      <c r="A484" s="601"/>
      <c r="B484" s="611"/>
      <c r="C484" s="611"/>
      <c r="D484" s="611"/>
      <c r="E484" s="611"/>
      <c r="F484" s="611" t="s">
        <v>209</v>
      </c>
      <c r="G484" s="753"/>
      <c r="H484" s="616" t="s">
        <v>35</v>
      </c>
      <c r="I484" s="269"/>
      <c r="J484" s="214">
        <v>0</v>
      </c>
      <c r="K484" s="496"/>
      <c r="L484" s="496"/>
      <c r="M484" s="496"/>
      <c r="N484" s="496"/>
      <c r="O484" s="496"/>
      <c r="P484" s="496"/>
      <c r="Q484" s="571"/>
      <c r="R484" s="571"/>
      <c r="S484" s="571"/>
      <c r="T484" s="571"/>
      <c r="U484" s="571"/>
      <c r="V484" s="571"/>
      <c r="W484" s="571"/>
      <c r="X484" s="571"/>
      <c r="Y484" s="571"/>
      <c r="Z484" s="571"/>
    </row>
    <row r="485" spans="1:26" ht="18.75" hidden="1">
      <c r="A485" s="601"/>
      <c r="B485" s="611"/>
      <c r="C485" s="611"/>
      <c r="D485" s="611"/>
      <c r="E485" s="611"/>
      <c r="F485" s="611" t="s">
        <v>210</v>
      </c>
      <c r="G485" s="753"/>
      <c r="H485" s="616" t="s">
        <v>35</v>
      </c>
      <c r="I485" s="269">
        <f ca="1">IFERROR(__xludf.DUMMYFUNCTION("IMPORTRANGE(""https://docs.google.com/spreadsheets/d/1QqKyyYR6Q21VydFLVH3TRQUabQu_ym0Zz7PgGX0-kHA/edit?usp=sharing"",""แผน!FZ60"")"),0)</f>
        <v>0</v>
      </c>
      <c r="J485" s="214">
        <v>0</v>
      </c>
      <c r="K485" s="496">
        <f ca="1">IF(I485&gt;0,J485*100/I485,0)</f>
        <v>0</v>
      </c>
      <c r="L485" s="496"/>
      <c r="M485" s="496"/>
      <c r="N485" s="496"/>
      <c r="O485" s="496"/>
      <c r="P485" s="496"/>
      <c r="Q485" s="571"/>
      <c r="R485" s="571"/>
      <c r="S485" s="571"/>
      <c r="T485" s="571"/>
      <c r="U485" s="571"/>
      <c r="V485" s="571"/>
      <c r="W485" s="571"/>
      <c r="X485" s="571"/>
      <c r="Y485" s="571"/>
      <c r="Z485" s="571"/>
    </row>
    <row r="486" spans="1:26" ht="18.75" hidden="1">
      <c r="A486" s="601"/>
      <c r="B486" s="611"/>
      <c r="C486" s="611"/>
      <c r="D486" s="611"/>
      <c r="E486" s="611" t="s">
        <v>62</v>
      </c>
      <c r="F486" s="611"/>
      <c r="G486" s="753"/>
      <c r="H486" s="616"/>
      <c r="I486" s="269"/>
      <c r="J486" s="269"/>
      <c r="K486" s="496"/>
      <c r="L486" s="496"/>
      <c r="M486" s="496"/>
      <c r="N486" s="496"/>
      <c r="O486" s="496"/>
      <c r="P486" s="496"/>
      <c r="Q486" s="571"/>
      <c r="R486" s="571"/>
      <c r="S486" s="571"/>
      <c r="T486" s="571"/>
      <c r="U486" s="571"/>
      <c r="V486" s="571"/>
      <c r="W486" s="571"/>
      <c r="X486" s="571"/>
      <c r="Y486" s="571"/>
      <c r="Z486" s="571"/>
    </row>
    <row r="487" spans="1:26" ht="18.75" hidden="1">
      <c r="A487" s="601"/>
      <c r="B487" s="611"/>
      <c r="C487" s="611"/>
      <c r="D487" s="611"/>
      <c r="E487" s="611"/>
      <c r="F487" s="611" t="s">
        <v>208</v>
      </c>
      <c r="G487" s="753"/>
      <c r="H487" s="616" t="s">
        <v>46</v>
      </c>
      <c r="I487" s="269">
        <f ca="1">IFERROR(__xludf.DUMMYFUNCTION("IMPORTRANGE(""https://docs.google.com/spreadsheets/d/1QqKyyYR6Q21VydFLVH3TRQUabQu_ym0Zz7PgGX0-kHA/edit?usp=sharing"",""แผน!GA60"")"),0)</f>
        <v>0</v>
      </c>
      <c r="J487" s="214">
        <v>0</v>
      </c>
      <c r="K487" s="496">
        <f ca="1">IF(I487&gt;0,J487*100/I487,0)</f>
        <v>0</v>
      </c>
      <c r="L487" s="496"/>
      <c r="M487" s="496"/>
      <c r="N487" s="496"/>
      <c r="O487" s="496"/>
      <c r="P487" s="496"/>
      <c r="Q487" s="571"/>
      <c r="R487" s="571"/>
      <c r="S487" s="571"/>
      <c r="T487" s="571"/>
      <c r="U487" s="571"/>
      <c r="V487" s="571"/>
      <c r="W487" s="571"/>
      <c r="X487" s="571"/>
      <c r="Y487" s="571"/>
      <c r="Z487" s="571"/>
    </row>
    <row r="488" spans="1:26" ht="18.75" hidden="1">
      <c r="A488" s="601"/>
      <c r="B488" s="611"/>
      <c r="C488" s="611"/>
      <c r="D488" s="611"/>
      <c r="E488" s="611"/>
      <c r="F488" s="611" t="s">
        <v>211</v>
      </c>
      <c r="G488" s="753"/>
      <c r="H488" s="616" t="s">
        <v>35</v>
      </c>
      <c r="I488" s="269"/>
      <c r="J488" s="214">
        <v>0</v>
      </c>
      <c r="K488" s="496"/>
      <c r="L488" s="496"/>
      <c r="M488" s="496"/>
      <c r="N488" s="496"/>
      <c r="O488" s="496"/>
      <c r="P488" s="496"/>
      <c r="Q488" s="571"/>
      <c r="R488" s="571"/>
      <c r="S488" s="571"/>
      <c r="T488" s="571"/>
      <c r="U488" s="571"/>
      <c r="V488" s="571"/>
      <c r="W488" s="571"/>
      <c r="X488" s="571"/>
      <c r="Y488" s="571"/>
      <c r="Z488" s="571"/>
    </row>
    <row r="489" spans="1:26" ht="18.75" hidden="1">
      <c r="A489" s="601"/>
      <c r="B489" s="611"/>
      <c r="C489" s="611"/>
      <c r="D489" s="611"/>
      <c r="E489" s="611"/>
      <c r="F489" s="611" t="s">
        <v>212</v>
      </c>
      <c r="G489" s="753"/>
      <c r="H489" s="616" t="s">
        <v>35</v>
      </c>
      <c r="I489" s="269">
        <f ca="1">IFERROR(__xludf.DUMMYFUNCTION("IMPORTRANGE(""https://docs.google.com/spreadsheets/d/1QqKyyYR6Q21VydFLVH3TRQUabQu_ym0Zz7PgGX0-kHA/edit?usp=sharing"",""แผน!GB60"")"),0)</f>
        <v>0</v>
      </c>
      <c r="J489" s="214">
        <v>0</v>
      </c>
      <c r="K489" s="496">
        <f ca="1">IF(I489&gt;0,J489*100/I489,0)</f>
        <v>0</v>
      </c>
      <c r="L489" s="496"/>
      <c r="M489" s="496"/>
      <c r="N489" s="496"/>
      <c r="O489" s="496"/>
      <c r="P489" s="496"/>
      <c r="Q489" s="571"/>
      <c r="R489" s="571"/>
      <c r="S489" s="571"/>
      <c r="T489" s="571"/>
      <c r="U489" s="571"/>
      <c r="V489" s="571"/>
      <c r="W489" s="571"/>
      <c r="X489" s="571"/>
      <c r="Y489" s="571"/>
      <c r="Z489" s="571"/>
    </row>
    <row r="490" spans="1:26" ht="18.75" hidden="1">
      <c r="A490" s="601"/>
      <c r="B490" s="611"/>
      <c r="C490" s="611"/>
      <c r="D490" s="611"/>
      <c r="E490" s="611" t="s">
        <v>63</v>
      </c>
      <c r="F490" s="619"/>
      <c r="G490" s="753"/>
      <c r="H490" s="616"/>
      <c r="I490" s="269"/>
      <c r="J490" s="269"/>
      <c r="K490" s="496"/>
      <c r="L490" s="496"/>
      <c r="M490" s="496"/>
      <c r="N490" s="496"/>
      <c r="O490" s="496"/>
      <c r="P490" s="496"/>
      <c r="Q490" s="571"/>
      <c r="R490" s="571"/>
      <c r="S490" s="571"/>
      <c r="T490" s="571"/>
      <c r="U490" s="571"/>
      <c r="V490" s="571"/>
      <c r="W490" s="571"/>
      <c r="X490" s="571"/>
      <c r="Y490" s="571"/>
      <c r="Z490" s="571"/>
    </row>
    <row r="491" spans="1:26" ht="18.75" hidden="1">
      <c r="A491" s="601"/>
      <c r="B491" s="611"/>
      <c r="C491" s="611"/>
      <c r="D491" s="611"/>
      <c r="E491" s="611"/>
      <c r="F491" s="611" t="s">
        <v>213</v>
      </c>
      <c r="G491" s="753"/>
      <c r="H491" s="616" t="s">
        <v>35</v>
      </c>
      <c r="I491" s="269"/>
      <c r="J491" s="214">
        <v>0</v>
      </c>
      <c r="K491" s="496"/>
      <c r="L491" s="496"/>
      <c r="M491" s="496"/>
      <c r="N491" s="496"/>
      <c r="O491" s="496"/>
      <c r="P491" s="496"/>
      <c r="Q491" s="571"/>
      <c r="R491" s="571"/>
      <c r="S491" s="571"/>
      <c r="T491" s="571"/>
      <c r="U491" s="571"/>
      <c r="V491" s="571"/>
      <c r="W491" s="571"/>
      <c r="X491" s="571"/>
      <c r="Y491" s="571"/>
      <c r="Z491" s="571"/>
    </row>
    <row r="492" spans="1:26" ht="18.75" hidden="1">
      <c r="A492" s="601"/>
      <c r="B492" s="611"/>
      <c r="C492" s="611"/>
      <c r="D492" s="611"/>
      <c r="E492" s="611"/>
      <c r="F492" s="611" t="s">
        <v>214</v>
      </c>
      <c r="G492" s="753"/>
      <c r="H492" s="616" t="s">
        <v>35</v>
      </c>
      <c r="I492" s="269">
        <f ca="1">IFERROR(__xludf.DUMMYFUNCTION("IMPORTRANGE(""https://docs.google.com/spreadsheets/d/1QqKyyYR6Q21VydFLVH3TRQUabQu_ym0Zz7PgGX0-kHA/edit?usp=sharing"",""แผน!GC60"")"),0)</f>
        <v>0</v>
      </c>
      <c r="J492" s="214">
        <v>0</v>
      </c>
      <c r="K492" s="496">
        <f ca="1">IF(I492&gt;0,J492*100/I492,0)</f>
        <v>0</v>
      </c>
      <c r="L492" s="496"/>
      <c r="M492" s="496"/>
      <c r="N492" s="496"/>
      <c r="O492" s="496"/>
      <c r="P492" s="496"/>
      <c r="Q492" s="571"/>
      <c r="R492" s="571"/>
      <c r="S492" s="571"/>
      <c r="T492" s="571"/>
      <c r="U492" s="571"/>
      <c r="V492" s="571"/>
      <c r="W492" s="571"/>
      <c r="X492" s="571"/>
      <c r="Y492" s="571"/>
      <c r="Z492" s="571"/>
    </row>
    <row r="493" spans="1:26" ht="19.5" hidden="1">
      <c r="A493" s="601"/>
      <c r="B493" s="611"/>
      <c r="C493" s="611"/>
      <c r="D493" s="618" t="s">
        <v>59</v>
      </c>
      <c r="E493" s="611"/>
      <c r="F493" s="619"/>
      <c r="G493" s="753"/>
      <c r="H493" s="189"/>
      <c r="I493" s="269"/>
      <c r="J493" s="269"/>
      <c r="K493" s="496"/>
      <c r="L493" s="496"/>
      <c r="M493" s="496"/>
      <c r="N493" s="496"/>
      <c r="O493" s="496"/>
      <c r="P493" s="496"/>
      <c r="Q493" s="571"/>
      <c r="R493" s="571"/>
      <c r="S493" s="571"/>
      <c r="T493" s="571"/>
      <c r="U493" s="571"/>
      <c r="V493" s="571"/>
      <c r="W493" s="571"/>
      <c r="X493" s="571"/>
      <c r="Y493" s="571"/>
      <c r="Z493" s="571"/>
    </row>
    <row r="494" spans="1:26" ht="18.75" hidden="1">
      <c r="A494" s="601"/>
      <c r="B494" s="611"/>
      <c r="C494" s="611"/>
      <c r="D494" s="611"/>
      <c r="E494" s="611" t="s">
        <v>207</v>
      </c>
      <c r="F494" s="619"/>
      <c r="G494" s="753"/>
      <c r="H494" s="189"/>
      <c r="I494" s="269"/>
      <c r="J494" s="269"/>
      <c r="K494" s="496"/>
      <c r="L494" s="496"/>
      <c r="M494" s="496"/>
      <c r="N494" s="496"/>
      <c r="O494" s="496"/>
      <c r="P494" s="496"/>
      <c r="Q494" s="571"/>
      <c r="R494" s="571"/>
      <c r="S494" s="571"/>
      <c r="T494" s="571"/>
      <c r="U494" s="571"/>
      <c r="V494" s="571"/>
      <c r="W494" s="571"/>
      <c r="X494" s="571"/>
      <c r="Y494" s="571"/>
      <c r="Z494" s="571"/>
    </row>
    <row r="495" spans="1:26" ht="18.75" hidden="1">
      <c r="A495" s="601"/>
      <c r="B495" s="611"/>
      <c r="C495" s="611"/>
      <c r="D495" s="611"/>
      <c r="E495" s="611"/>
      <c r="F495" s="619" t="s">
        <v>215</v>
      </c>
      <c r="G495" s="753"/>
      <c r="H495" s="616" t="s">
        <v>46</v>
      </c>
      <c r="I495" s="269">
        <f ca="1">IFERROR(__xludf.DUMMYFUNCTION("IMPORTRANGE(""https://docs.google.com/spreadsheets/d/1QqKyyYR6Q21VydFLVH3TRQUabQu_ym0Zz7PgGX0-kHA/edit?usp=sharing"",""แผน!FY60"")"),0)</f>
        <v>0</v>
      </c>
      <c r="J495" s="214">
        <v>0</v>
      </c>
      <c r="K495" s="496">
        <f ca="1">IF(I495&gt;0,J495*100/I495,0)</f>
        <v>0</v>
      </c>
      <c r="L495" s="496"/>
      <c r="M495" s="496"/>
      <c r="N495" s="496"/>
      <c r="O495" s="496"/>
      <c r="P495" s="496"/>
      <c r="Q495" s="571"/>
      <c r="R495" s="571"/>
      <c r="S495" s="571"/>
      <c r="T495" s="571"/>
      <c r="U495" s="571"/>
      <c r="V495" s="571"/>
      <c r="W495" s="571"/>
      <c r="X495" s="571"/>
      <c r="Y495" s="571"/>
      <c r="Z495" s="571"/>
    </row>
    <row r="496" spans="1:26" ht="18.75" hidden="1">
      <c r="A496" s="601"/>
      <c r="B496" s="611"/>
      <c r="C496" s="611"/>
      <c r="D496" s="611"/>
      <c r="E496" s="611"/>
      <c r="F496" s="619" t="s">
        <v>216</v>
      </c>
      <c r="G496" s="753"/>
      <c r="H496" s="616" t="s">
        <v>46</v>
      </c>
      <c r="I496" s="269"/>
      <c r="J496" s="214">
        <v>0</v>
      </c>
      <c r="K496" s="496"/>
      <c r="L496" s="496"/>
      <c r="M496" s="496"/>
      <c r="N496" s="496"/>
      <c r="O496" s="496"/>
      <c r="P496" s="496"/>
      <c r="Q496" s="571"/>
      <c r="R496" s="571"/>
      <c r="S496" s="571"/>
      <c r="T496" s="571"/>
      <c r="U496" s="571"/>
      <c r="V496" s="571"/>
      <c r="W496" s="571"/>
      <c r="X496" s="571"/>
      <c r="Y496" s="571"/>
      <c r="Z496" s="571"/>
    </row>
    <row r="497" spans="1:26" ht="18.75" hidden="1">
      <c r="A497" s="601"/>
      <c r="B497" s="611"/>
      <c r="C497" s="611"/>
      <c r="D497" s="611"/>
      <c r="E497" s="611" t="s">
        <v>62</v>
      </c>
      <c r="F497" s="619"/>
      <c r="G497" s="753"/>
      <c r="H497" s="189"/>
      <c r="I497" s="269"/>
      <c r="J497" s="269"/>
      <c r="K497" s="496"/>
      <c r="L497" s="496"/>
      <c r="M497" s="496"/>
      <c r="N497" s="496"/>
      <c r="O497" s="496"/>
      <c r="P497" s="496"/>
      <c r="Q497" s="571"/>
      <c r="R497" s="571"/>
      <c r="S497" s="571"/>
      <c r="T497" s="571"/>
      <c r="U497" s="571"/>
      <c r="V497" s="571"/>
      <c r="W497" s="571"/>
      <c r="X497" s="571"/>
      <c r="Y497" s="571"/>
      <c r="Z497" s="571"/>
    </row>
    <row r="498" spans="1:26" ht="18.75" hidden="1">
      <c r="A498" s="601"/>
      <c r="B498" s="611"/>
      <c r="C498" s="611"/>
      <c r="D498" s="611"/>
      <c r="E498" s="619"/>
      <c r="F498" s="619" t="s">
        <v>217</v>
      </c>
      <c r="G498" s="753"/>
      <c r="H498" s="616" t="s">
        <v>46</v>
      </c>
      <c r="I498" s="269">
        <f ca="1">IFERROR(__xludf.DUMMYFUNCTION("IMPORTRANGE(""https://docs.google.com/spreadsheets/d/1QqKyyYR6Q21VydFLVH3TRQUabQu_ym0Zz7PgGX0-kHA/edit?usp=sharing"",""แผน!GA60"")"),0)</f>
        <v>0</v>
      </c>
      <c r="J498" s="214">
        <v>0</v>
      </c>
      <c r="K498" s="496">
        <f ca="1">IF(I498&gt;0,J498*100/I498,0)</f>
        <v>0</v>
      </c>
      <c r="L498" s="496"/>
      <c r="M498" s="496"/>
      <c r="N498" s="496"/>
      <c r="O498" s="496"/>
      <c r="P498" s="496"/>
      <c r="Q498" s="571"/>
      <c r="R498" s="571"/>
      <c r="S498" s="571"/>
      <c r="T498" s="571"/>
      <c r="U498" s="571"/>
      <c r="V498" s="571"/>
      <c r="W498" s="571"/>
      <c r="X498" s="571"/>
      <c r="Y498" s="571"/>
      <c r="Z498" s="571"/>
    </row>
    <row r="499" spans="1:26" ht="18.75" hidden="1">
      <c r="A499" s="601"/>
      <c r="B499" s="611"/>
      <c r="C499" s="611"/>
      <c r="D499" s="611"/>
      <c r="E499" s="619"/>
      <c r="F499" s="619" t="s">
        <v>218</v>
      </c>
      <c r="G499" s="753"/>
      <c r="H499" s="616" t="s">
        <v>46</v>
      </c>
      <c r="I499" s="269"/>
      <c r="J499" s="214">
        <v>0</v>
      </c>
      <c r="K499" s="496"/>
      <c r="L499" s="496"/>
      <c r="M499" s="496"/>
      <c r="N499" s="496"/>
      <c r="O499" s="496"/>
      <c r="P499" s="496"/>
      <c r="Q499" s="571"/>
      <c r="R499" s="571"/>
      <c r="S499" s="571"/>
      <c r="T499" s="571"/>
      <c r="U499" s="571"/>
      <c r="V499" s="571"/>
      <c r="W499" s="571"/>
      <c r="X499" s="571"/>
      <c r="Y499" s="571"/>
      <c r="Z499" s="571"/>
    </row>
    <row r="500" spans="1:26" ht="19.5" hidden="1">
      <c r="A500" s="620">
        <v>4</v>
      </c>
      <c r="B500" s="621" t="s">
        <v>219</v>
      </c>
      <c r="C500" s="622"/>
      <c r="D500" s="623"/>
      <c r="E500" s="623"/>
      <c r="F500" s="623"/>
      <c r="G500" s="624"/>
      <c r="H500" s="625" t="s">
        <v>109</v>
      </c>
      <c r="I500" s="626"/>
      <c r="J500" s="626">
        <f t="shared" ref="J500:J501" si="213">J516</f>
        <v>0</v>
      </c>
      <c r="K500" s="627">
        <f t="shared" ref="K500:K501" si="214">IF(I500&gt;0,J500*100/I500,0)</f>
        <v>0</v>
      </c>
      <c r="L500" s="628"/>
      <c r="M500" s="628"/>
      <c r="N500" s="628"/>
      <c r="O500" s="628"/>
      <c r="P500" s="628"/>
      <c r="Q500" s="597"/>
      <c r="R500" s="597"/>
      <c r="S500" s="597"/>
      <c r="T500" s="597"/>
      <c r="U500" s="597"/>
      <c r="V500" s="597"/>
      <c r="W500" s="597"/>
      <c r="X500" s="597"/>
      <c r="Y500" s="597"/>
      <c r="Z500" s="597"/>
    </row>
    <row r="501" spans="1:26" ht="19.5" hidden="1">
      <c r="A501" s="629"/>
      <c r="B501" s="631" t="s">
        <v>220</v>
      </c>
      <c r="C501" s="631"/>
      <c r="D501" s="632"/>
      <c r="E501" s="632"/>
      <c r="F501" s="632"/>
      <c r="G501" s="633"/>
      <c r="H501" s="634" t="s">
        <v>35</v>
      </c>
      <c r="I501" s="635"/>
      <c r="J501" s="635">
        <f t="shared" si="213"/>
        <v>0</v>
      </c>
      <c r="K501" s="636">
        <f t="shared" si="214"/>
        <v>0</v>
      </c>
      <c r="L501" s="637"/>
      <c r="M501" s="637"/>
      <c r="N501" s="637"/>
      <c r="O501" s="637"/>
      <c r="P501" s="637"/>
      <c r="Q501" s="597"/>
      <c r="R501" s="597"/>
      <c r="S501" s="597"/>
      <c r="T501" s="597"/>
      <c r="U501" s="597"/>
      <c r="V501" s="597"/>
      <c r="W501" s="597"/>
      <c r="X501" s="597"/>
      <c r="Y501" s="597"/>
      <c r="Z501" s="597"/>
    </row>
    <row r="502" spans="1:26" ht="19.5" hidden="1">
      <c r="A502" s="592"/>
      <c r="B502" s="750"/>
      <c r="C502" s="750" t="s">
        <v>16</v>
      </c>
      <c r="D502" s="864" t="s">
        <v>17</v>
      </c>
      <c r="E502" s="857"/>
      <c r="F502" s="857"/>
      <c r="G502" s="596"/>
      <c r="H502" s="639" t="s">
        <v>12</v>
      </c>
      <c r="I502" s="610"/>
      <c r="J502" s="610"/>
      <c r="K502" s="93"/>
      <c r="L502" s="640">
        <f t="shared" ref="L502:N502" si="215">L503+L504</f>
        <v>0</v>
      </c>
      <c r="M502" s="640">
        <f t="shared" si="215"/>
        <v>0</v>
      </c>
      <c r="N502" s="640">
        <f t="shared" si="215"/>
        <v>0</v>
      </c>
      <c r="O502" s="640">
        <f t="shared" ref="O502:O507" si="216">IF(L502&gt;0,N502*100/L502,0)</f>
        <v>0</v>
      </c>
      <c r="P502" s="640">
        <f t="shared" ref="P502:P507" si="217">IF(M502&gt;0,N502*100/M502,0)</f>
        <v>0</v>
      </c>
      <c r="Q502" s="597"/>
      <c r="R502" s="597"/>
      <c r="S502" s="597"/>
      <c r="T502" s="597"/>
      <c r="U502" s="597"/>
      <c r="V502" s="597"/>
      <c r="W502" s="597"/>
      <c r="X502" s="597"/>
      <c r="Y502" s="597"/>
      <c r="Z502" s="597"/>
    </row>
    <row r="503" spans="1:26" ht="18.75" hidden="1">
      <c r="A503" s="592"/>
      <c r="B503" s="750"/>
      <c r="C503" s="750"/>
      <c r="D503" s="711"/>
      <c r="E503" s="750" t="s">
        <v>184</v>
      </c>
      <c r="F503" s="750"/>
      <c r="G503" s="596"/>
      <c r="H503" s="165" t="s">
        <v>12</v>
      </c>
      <c r="I503" s="610"/>
      <c r="J503" s="610"/>
      <c r="K503" s="93"/>
      <c r="L503" s="93">
        <f t="shared" ref="L503:N504" si="218">L506+L513</f>
        <v>0</v>
      </c>
      <c r="M503" s="93">
        <f t="shared" si="218"/>
        <v>0</v>
      </c>
      <c r="N503" s="93">
        <f t="shared" si="218"/>
        <v>0</v>
      </c>
      <c r="O503" s="93">
        <f t="shared" si="216"/>
        <v>0</v>
      </c>
      <c r="P503" s="93">
        <f t="shared" si="217"/>
        <v>0</v>
      </c>
      <c r="Q503" s="597"/>
      <c r="R503" s="597"/>
      <c r="S503" s="597"/>
      <c r="T503" s="597"/>
      <c r="U503" s="597"/>
      <c r="V503" s="597"/>
      <c r="W503" s="597"/>
      <c r="X503" s="597"/>
      <c r="Y503" s="597"/>
      <c r="Z503" s="597"/>
    </row>
    <row r="504" spans="1:26" ht="18.75" hidden="1">
      <c r="A504" s="592"/>
      <c r="B504" s="600"/>
      <c r="C504" s="750"/>
      <c r="D504" s="711"/>
      <c r="E504" s="750" t="s">
        <v>185</v>
      </c>
      <c r="F504" s="750"/>
      <c r="G504" s="596"/>
      <c r="H504" s="165" t="s">
        <v>12</v>
      </c>
      <c r="I504" s="610"/>
      <c r="J504" s="610"/>
      <c r="K504" s="93"/>
      <c r="L504" s="93">
        <f t="shared" si="218"/>
        <v>0</v>
      </c>
      <c r="M504" s="93">
        <f t="shared" si="218"/>
        <v>0</v>
      </c>
      <c r="N504" s="93">
        <f t="shared" si="218"/>
        <v>0</v>
      </c>
      <c r="O504" s="93">
        <f t="shared" si="216"/>
        <v>0</v>
      </c>
      <c r="P504" s="93">
        <f t="shared" si="217"/>
        <v>0</v>
      </c>
      <c r="Q504" s="597"/>
      <c r="R504" s="597"/>
      <c r="S504" s="597"/>
      <c r="T504" s="597"/>
      <c r="U504" s="597"/>
      <c r="V504" s="597"/>
      <c r="W504" s="597"/>
      <c r="X504" s="597"/>
      <c r="Y504" s="597"/>
      <c r="Z504" s="597"/>
    </row>
    <row r="505" spans="1:26" ht="18.75" hidden="1">
      <c r="A505" s="592"/>
      <c r="B505" s="600"/>
      <c r="C505" s="750"/>
      <c r="D505" s="641" t="s">
        <v>20</v>
      </c>
      <c r="E505" s="750"/>
      <c r="F505" s="750"/>
      <c r="G505" s="596"/>
      <c r="H505" s="165" t="s">
        <v>12</v>
      </c>
      <c r="I505" s="166"/>
      <c r="J505" s="166"/>
      <c r="K505" s="167"/>
      <c r="L505" s="93">
        <f t="shared" ref="L505:N505" si="219">L506+L507</f>
        <v>0</v>
      </c>
      <c r="M505" s="93">
        <f t="shared" si="219"/>
        <v>0</v>
      </c>
      <c r="N505" s="93">
        <f t="shared" si="219"/>
        <v>0</v>
      </c>
      <c r="O505" s="93">
        <f t="shared" si="216"/>
        <v>0</v>
      </c>
      <c r="P505" s="93">
        <f t="shared" si="217"/>
        <v>0</v>
      </c>
      <c r="Q505" s="597"/>
      <c r="R505" s="597"/>
      <c r="S505" s="597"/>
      <c r="T505" s="597"/>
      <c r="U505" s="597"/>
      <c r="V505" s="597"/>
      <c r="W505" s="597"/>
      <c r="X505" s="597"/>
      <c r="Y505" s="597"/>
      <c r="Z505" s="597"/>
    </row>
    <row r="506" spans="1:26" ht="18.75" hidden="1">
      <c r="A506" s="592"/>
      <c r="B506" s="600"/>
      <c r="C506" s="750"/>
      <c r="D506" s="711"/>
      <c r="E506" s="750" t="s">
        <v>184</v>
      </c>
      <c r="F506" s="750"/>
      <c r="G506" s="596"/>
      <c r="H506" s="165" t="s">
        <v>12</v>
      </c>
      <c r="I506" s="610"/>
      <c r="J506" s="610"/>
      <c r="K506" s="93"/>
      <c r="L506" s="93">
        <v>0</v>
      </c>
      <c r="M506" s="93">
        <v>0</v>
      </c>
      <c r="N506" s="93">
        <v>0</v>
      </c>
      <c r="O506" s="93">
        <f t="shared" si="216"/>
        <v>0</v>
      </c>
      <c r="P506" s="93">
        <f t="shared" si="217"/>
        <v>0</v>
      </c>
      <c r="Q506" s="597"/>
      <c r="R506" s="597"/>
      <c r="S506" s="597"/>
      <c r="T506" s="597"/>
      <c r="U506" s="597"/>
      <c r="V506" s="597"/>
      <c r="W506" s="597"/>
      <c r="X506" s="597"/>
      <c r="Y506" s="597"/>
      <c r="Z506" s="597"/>
    </row>
    <row r="507" spans="1:26" ht="18.75" hidden="1">
      <c r="A507" s="592"/>
      <c r="B507" s="600"/>
      <c r="C507" s="750"/>
      <c r="D507" s="711"/>
      <c r="E507" s="750" t="s">
        <v>185</v>
      </c>
      <c r="F507" s="750"/>
      <c r="G507" s="596"/>
      <c r="H507" s="165" t="s">
        <v>12</v>
      </c>
      <c r="I507" s="610"/>
      <c r="J507" s="610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6"/>
        <v>0</v>
      </c>
      <c r="P507" s="93">
        <f t="shared" si="217"/>
        <v>0</v>
      </c>
      <c r="Q507" s="597"/>
      <c r="R507" s="597"/>
      <c r="S507" s="597"/>
      <c r="T507" s="597"/>
      <c r="U507" s="597"/>
      <c r="V507" s="597"/>
      <c r="W507" s="597"/>
      <c r="X507" s="597"/>
      <c r="Y507" s="597"/>
      <c r="Z507" s="597"/>
    </row>
    <row r="508" spans="1:26" ht="18.75" hidden="1">
      <c r="A508" s="642"/>
      <c r="B508" s="600"/>
      <c r="C508" s="750"/>
      <c r="D508" s="750"/>
      <c r="E508" s="750"/>
      <c r="F508" s="750" t="s">
        <v>186</v>
      </c>
      <c r="G508" s="596"/>
      <c r="H508" s="165" t="s">
        <v>12</v>
      </c>
      <c r="I508" s="610"/>
      <c r="J508" s="610"/>
      <c r="K508" s="93"/>
      <c r="L508" s="93"/>
      <c r="M508" s="93"/>
      <c r="N508" s="93">
        <v>0</v>
      </c>
      <c r="O508" s="93"/>
      <c r="P508" s="93"/>
      <c r="Q508" s="597"/>
      <c r="R508" s="597"/>
      <c r="S508" s="597"/>
      <c r="T508" s="597"/>
      <c r="U508" s="597"/>
      <c r="V508" s="597"/>
      <c r="W508" s="597"/>
      <c r="X508" s="597"/>
      <c r="Y508" s="597"/>
      <c r="Z508" s="597"/>
    </row>
    <row r="509" spans="1:26" ht="18.75" hidden="1">
      <c r="A509" s="642"/>
      <c r="B509" s="600"/>
      <c r="C509" s="750"/>
      <c r="D509" s="750"/>
      <c r="E509" s="750"/>
      <c r="F509" s="750" t="s">
        <v>187</v>
      </c>
      <c r="G509" s="596"/>
      <c r="H509" s="165" t="s">
        <v>12</v>
      </c>
      <c r="I509" s="610"/>
      <c r="J509" s="610"/>
      <c r="K509" s="93"/>
      <c r="L509" s="93"/>
      <c r="M509" s="93"/>
      <c r="N509" s="93">
        <v>0</v>
      </c>
      <c r="O509" s="93"/>
      <c r="P509" s="93"/>
      <c r="Q509" s="597"/>
      <c r="R509" s="597"/>
      <c r="S509" s="597"/>
      <c r="T509" s="597"/>
      <c r="U509" s="597"/>
      <c r="V509" s="597"/>
      <c r="W509" s="597"/>
      <c r="X509" s="597"/>
      <c r="Y509" s="597"/>
      <c r="Z509" s="597"/>
    </row>
    <row r="510" spans="1:26" ht="18.75" hidden="1">
      <c r="A510" s="642"/>
      <c r="B510" s="600"/>
      <c r="C510" s="600"/>
      <c r="D510" s="600"/>
      <c r="E510" s="750"/>
      <c r="F510" s="750" t="s">
        <v>188</v>
      </c>
      <c r="G510" s="596"/>
      <c r="H510" s="165" t="s">
        <v>12</v>
      </c>
      <c r="I510" s="610"/>
      <c r="J510" s="610"/>
      <c r="K510" s="93"/>
      <c r="L510" s="93"/>
      <c r="M510" s="93"/>
      <c r="N510" s="93">
        <v>0</v>
      </c>
      <c r="O510" s="93"/>
      <c r="P510" s="93"/>
      <c r="Q510" s="597"/>
      <c r="R510" s="597"/>
      <c r="S510" s="597"/>
      <c r="T510" s="597"/>
      <c r="U510" s="597"/>
      <c r="V510" s="597"/>
      <c r="W510" s="597"/>
      <c r="X510" s="597"/>
      <c r="Y510" s="597"/>
      <c r="Z510" s="597"/>
    </row>
    <row r="511" spans="1:26" ht="18.75" hidden="1">
      <c r="A511" s="642"/>
      <c r="B511" s="600"/>
      <c r="C511" s="600"/>
      <c r="D511" s="600"/>
      <c r="E511" s="750"/>
      <c r="F511" s="750" t="s">
        <v>189</v>
      </c>
      <c r="G511" s="596"/>
      <c r="H511" s="165" t="s">
        <v>12</v>
      </c>
      <c r="I511" s="610"/>
      <c r="J511" s="610"/>
      <c r="K511" s="93"/>
      <c r="L511" s="93"/>
      <c r="M511" s="93"/>
      <c r="N511" s="93">
        <v>0</v>
      </c>
      <c r="O511" s="93"/>
      <c r="P511" s="93"/>
      <c r="Q511" s="597"/>
      <c r="R511" s="597"/>
      <c r="S511" s="597"/>
      <c r="T511" s="597"/>
      <c r="U511" s="597"/>
      <c r="V511" s="597"/>
      <c r="W511" s="597"/>
      <c r="X511" s="597"/>
      <c r="Y511" s="597"/>
      <c r="Z511" s="597"/>
    </row>
    <row r="512" spans="1:26" ht="18.75" hidden="1">
      <c r="A512" s="592"/>
      <c r="B512" s="600"/>
      <c r="C512" s="600"/>
      <c r="D512" s="641" t="s">
        <v>21</v>
      </c>
      <c r="E512" s="600"/>
      <c r="F512" s="750"/>
      <c r="G512" s="596"/>
      <c r="H512" s="169" t="s">
        <v>12</v>
      </c>
      <c r="I512" s="166"/>
      <c r="J512" s="166"/>
      <c r="K512" s="167"/>
      <c r="L512" s="93">
        <f t="shared" ref="L512:N512" si="220">L513+L514</f>
        <v>0</v>
      </c>
      <c r="M512" s="93">
        <f t="shared" si="220"/>
        <v>0</v>
      </c>
      <c r="N512" s="93">
        <f t="shared" si="220"/>
        <v>0</v>
      </c>
      <c r="O512" s="93">
        <f t="shared" ref="O512:O514" si="221">IF(L512&gt;0,N512*100/L512,0)</f>
        <v>0</v>
      </c>
      <c r="P512" s="93">
        <f t="shared" ref="P512:P514" si="222">IF(M512&gt;0,N512*100/M512,0)</f>
        <v>0</v>
      </c>
      <c r="Q512" s="597"/>
      <c r="R512" s="597"/>
      <c r="S512" s="597"/>
      <c r="T512" s="597"/>
      <c r="U512" s="597"/>
      <c r="V512" s="597"/>
      <c r="W512" s="597"/>
      <c r="X512" s="597"/>
      <c r="Y512" s="597"/>
      <c r="Z512" s="597"/>
    </row>
    <row r="513" spans="1:26" ht="18.75" hidden="1">
      <c r="A513" s="592"/>
      <c r="B513" s="600"/>
      <c r="C513" s="600"/>
      <c r="D513" s="600"/>
      <c r="E513" s="600" t="s">
        <v>18</v>
      </c>
      <c r="F513" s="750"/>
      <c r="G513" s="596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1"/>
        <v>0</v>
      </c>
      <c r="P513" s="93">
        <f t="shared" si="222"/>
        <v>0</v>
      </c>
      <c r="Q513" s="597"/>
      <c r="R513" s="597"/>
      <c r="S513" s="597"/>
      <c r="T513" s="597"/>
      <c r="U513" s="597"/>
      <c r="V513" s="597"/>
      <c r="W513" s="597"/>
      <c r="X513" s="597"/>
      <c r="Y513" s="597"/>
      <c r="Z513" s="597"/>
    </row>
    <row r="514" spans="1:26" ht="18.75" hidden="1">
      <c r="A514" s="592"/>
      <c r="B514" s="600"/>
      <c r="C514" s="600"/>
      <c r="D514" s="750"/>
      <c r="E514" s="600" t="s">
        <v>19</v>
      </c>
      <c r="F514" s="750"/>
      <c r="G514" s="596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1"/>
        <v>0</v>
      </c>
      <c r="P514" s="93">
        <f t="shared" si="222"/>
        <v>0</v>
      </c>
      <c r="Q514" s="597"/>
      <c r="R514" s="597"/>
      <c r="S514" s="597"/>
      <c r="T514" s="597"/>
      <c r="U514" s="597"/>
      <c r="V514" s="597"/>
      <c r="W514" s="597"/>
      <c r="X514" s="597"/>
      <c r="Y514" s="597"/>
      <c r="Z514" s="597"/>
    </row>
    <row r="515" spans="1:26" ht="19.5" hidden="1">
      <c r="A515" s="607"/>
      <c r="B515" s="609"/>
      <c r="C515" s="600" t="s">
        <v>16</v>
      </c>
      <c r="D515" s="838" t="s">
        <v>38</v>
      </c>
      <c r="E515" s="644"/>
      <c r="F515" s="644"/>
      <c r="G515" s="645"/>
      <c r="H515" s="365"/>
      <c r="I515" s="166"/>
      <c r="J515" s="166"/>
      <c r="K515" s="167"/>
      <c r="L515" s="167"/>
      <c r="M515" s="167"/>
      <c r="N515" s="167"/>
      <c r="O515" s="167"/>
      <c r="P515" s="167"/>
      <c r="Q515" s="597"/>
      <c r="R515" s="597"/>
      <c r="S515" s="597"/>
      <c r="T515" s="597"/>
      <c r="U515" s="597"/>
      <c r="V515" s="597"/>
      <c r="W515" s="597"/>
      <c r="X515" s="597"/>
      <c r="Y515" s="597"/>
      <c r="Z515" s="597"/>
    </row>
    <row r="516" spans="1:26" ht="18.75" hidden="1">
      <c r="A516" s="607"/>
      <c r="B516" s="609"/>
      <c r="C516" s="609"/>
      <c r="D516" s="609" t="s">
        <v>221</v>
      </c>
      <c r="E516" s="711"/>
      <c r="F516" s="711"/>
      <c r="G516" s="365"/>
      <c r="H516" s="646" t="s">
        <v>109</v>
      </c>
      <c r="I516" s="610"/>
      <c r="J516" s="610">
        <v>0</v>
      </c>
      <c r="K516" s="167">
        <f t="shared" ref="K516:K517" si="223">IF(I516&gt;0,J516*100/I516,0)</f>
        <v>0</v>
      </c>
      <c r="L516" s="167"/>
      <c r="M516" s="167"/>
      <c r="N516" s="167"/>
      <c r="O516" s="167"/>
      <c r="P516" s="167"/>
      <c r="Q516" s="597"/>
      <c r="R516" s="597"/>
      <c r="S516" s="597"/>
      <c r="T516" s="597"/>
      <c r="U516" s="597"/>
      <c r="V516" s="597"/>
      <c r="W516" s="597"/>
      <c r="X516" s="597"/>
      <c r="Y516" s="597"/>
      <c r="Z516" s="597"/>
    </row>
    <row r="517" spans="1:26" ht="19.5" hidden="1">
      <c r="A517" s="607"/>
      <c r="B517" s="609"/>
      <c r="C517" s="609"/>
      <c r="D517" s="609" t="s">
        <v>222</v>
      </c>
      <c r="E517" s="711"/>
      <c r="F517" s="711"/>
      <c r="G517" s="365"/>
      <c r="H517" s="647" t="s">
        <v>35</v>
      </c>
      <c r="I517" s="648"/>
      <c r="J517" s="648">
        <f>J518+J519</f>
        <v>0</v>
      </c>
      <c r="K517" s="649">
        <f t="shared" si="223"/>
        <v>0</v>
      </c>
      <c r="L517" s="167"/>
      <c r="M517" s="167"/>
      <c r="N517" s="167"/>
      <c r="O517" s="167"/>
      <c r="P517" s="167"/>
      <c r="Q517" s="597"/>
      <c r="R517" s="597"/>
      <c r="S517" s="597"/>
      <c r="T517" s="597"/>
      <c r="U517" s="597"/>
      <c r="V517" s="597"/>
      <c r="W517" s="597"/>
      <c r="X517" s="597"/>
      <c r="Y517" s="597"/>
      <c r="Z517" s="597"/>
    </row>
    <row r="518" spans="1:26" ht="18.75" hidden="1">
      <c r="A518" s="607"/>
      <c r="B518" s="609"/>
      <c r="C518" s="609"/>
      <c r="D518" s="609"/>
      <c r="E518" s="609" t="s">
        <v>223</v>
      </c>
      <c r="F518" s="711"/>
      <c r="G518" s="365"/>
      <c r="H518" s="369" t="s">
        <v>35</v>
      </c>
      <c r="I518" s="610"/>
      <c r="J518" s="610"/>
      <c r="K518" s="167"/>
      <c r="L518" s="167"/>
      <c r="M518" s="167"/>
      <c r="N518" s="167"/>
      <c r="O518" s="167"/>
      <c r="P518" s="167"/>
      <c r="Q518" s="597"/>
      <c r="R518" s="597"/>
      <c r="S518" s="597"/>
      <c r="T518" s="597"/>
      <c r="U518" s="597"/>
      <c r="V518" s="597"/>
      <c r="W518" s="597"/>
      <c r="X518" s="597"/>
      <c r="Y518" s="597"/>
      <c r="Z518" s="597"/>
    </row>
    <row r="519" spans="1:26" ht="18.75" hidden="1">
      <c r="A519" s="607"/>
      <c r="B519" s="609"/>
      <c r="C519" s="609"/>
      <c r="D519" s="609"/>
      <c r="E519" s="609" t="s">
        <v>224</v>
      </c>
      <c r="F519" s="711"/>
      <c r="G519" s="365"/>
      <c r="H519" s="646" t="s">
        <v>35</v>
      </c>
      <c r="I519" s="610"/>
      <c r="J519" s="610"/>
      <c r="K519" s="167"/>
      <c r="L519" s="167"/>
      <c r="M519" s="167"/>
      <c r="N519" s="167"/>
      <c r="O519" s="167"/>
      <c r="P519" s="167"/>
      <c r="Q519" s="597"/>
      <c r="R519" s="597"/>
      <c r="S519" s="597"/>
      <c r="T519" s="597"/>
      <c r="U519" s="597"/>
      <c r="V519" s="597"/>
      <c r="W519" s="597"/>
      <c r="X519" s="597"/>
      <c r="Y519" s="597"/>
      <c r="Z519" s="597"/>
    </row>
    <row r="520" spans="1:26" ht="19.5" hidden="1">
      <c r="A520" s="650" t="s">
        <v>137</v>
      </c>
      <c r="B520" s="651"/>
      <c r="C520" s="651"/>
      <c r="D520" s="652"/>
      <c r="E520" s="652"/>
      <c r="F520" s="652"/>
      <c r="G520" s="653"/>
      <c r="H520" s="654"/>
      <c r="I520" s="655"/>
      <c r="J520" s="655"/>
      <c r="K520" s="656"/>
      <c r="L520" s="656"/>
      <c r="M520" s="656"/>
      <c r="N520" s="656"/>
      <c r="O520" s="656"/>
      <c r="P520" s="656"/>
    </row>
    <row r="521" spans="1:26" ht="19.5" hidden="1">
      <c r="A521" s="657">
        <v>5</v>
      </c>
      <c r="B521" s="658" t="s">
        <v>225</v>
      </c>
      <c r="C521" s="659"/>
      <c r="D521" s="660"/>
      <c r="E521" s="660"/>
      <c r="F521" s="660"/>
      <c r="G521" s="660"/>
      <c r="H521" s="661"/>
      <c r="I521" s="662"/>
      <c r="J521" s="662"/>
      <c r="K521" s="663"/>
      <c r="L521" s="663"/>
      <c r="M521" s="663"/>
      <c r="N521" s="663"/>
      <c r="O521" s="663"/>
      <c r="P521" s="663"/>
      <c r="Q521" s="571"/>
      <c r="R521" s="571"/>
      <c r="S521" s="571"/>
      <c r="T521" s="571"/>
      <c r="U521" s="571"/>
      <c r="V521" s="571"/>
      <c r="W521" s="571"/>
      <c r="X521" s="571"/>
      <c r="Y521" s="571"/>
      <c r="Z521" s="571"/>
    </row>
    <row r="522" spans="1:26" ht="19.5" hidden="1">
      <c r="A522" s="664"/>
      <c r="B522" s="665" t="s">
        <v>226</v>
      </c>
      <c r="C522" s="666"/>
      <c r="D522" s="666"/>
      <c r="E522" s="666"/>
      <c r="F522" s="666"/>
      <c r="G522" s="667"/>
      <c r="H522" s="668" t="s">
        <v>35</v>
      </c>
      <c r="I522" s="699">
        <f t="shared" ref="I522:J522" ca="1" si="224">I537</f>
        <v>0</v>
      </c>
      <c r="J522" s="699">
        <f t="shared" ca="1" si="224"/>
        <v>0</v>
      </c>
      <c r="K522" s="670">
        <f ca="1">IF(I522&gt;0,J522*100/I522,0)</f>
        <v>0</v>
      </c>
      <c r="L522" s="671"/>
      <c r="M522" s="671"/>
      <c r="N522" s="671"/>
      <c r="O522" s="671"/>
      <c r="P522" s="671"/>
      <c r="Q522" s="571"/>
      <c r="R522" s="571"/>
      <c r="S522" s="571"/>
      <c r="T522" s="571"/>
      <c r="U522" s="571"/>
      <c r="V522" s="571"/>
      <c r="W522" s="571"/>
      <c r="X522" s="571"/>
      <c r="Y522" s="571"/>
      <c r="Z522" s="571"/>
    </row>
    <row r="523" spans="1:26" ht="19.5" hidden="1">
      <c r="A523" s="590"/>
      <c r="B523" s="754"/>
      <c r="C523" s="754" t="s">
        <v>16</v>
      </c>
      <c r="D523" s="863" t="s">
        <v>17</v>
      </c>
      <c r="E523" s="857"/>
      <c r="F523" s="857"/>
      <c r="G523" s="189"/>
      <c r="H523" s="591" t="s">
        <v>12</v>
      </c>
      <c r="I523" s="269"/>
      <c r="J523" s="269"/>
      <c r="K523" s="496"/>
      <c r="L523" s="195">
        <f t="shared" ref="L523:N523" ca="1" si="225">L524+L525</f>
        <v>0</v>
      </c>
      <c r="M523" s="195">
        <f t="shared" si="225"/>
        <v>0</v>
      </c>
      <c r="N523" s="195">
        <f t="shared" si="225"/>
        <v>0</v>
      </c>
      <c r="O523" s="195">
        <f t="shared" ref="O523:O528" ca="1" si="226">IF(L523&gt;0,N523*100/L523,0)</f>
        <v>0</v>
      </c>
      <c r="P523" s="195">
        <f t="shared" ref="P523:P528" si="227">IF(M523&gt;0,N523*100/M523,0)</f>
        <v>0</v>
      </c>
      <c r="Q523" s="571"/>
      <c r="R523" s="571"/>
      <c r="S523" s="571"/>
      <c r="T523" s="571"/>
      <c r="U523" s="571"/>
      <c r="V523" s="571"/>
      <c r="W523" s="571"/>
      <c r="X523" s="571"/>
      <c r="Y523" s="571"/>
      <c r="Z523" s="571"/>
    </row>
    <row r="524" spans="1:26" ht="18.75" hidden="1">
      <c r="A524" s="592"/>
      <c r="B524" s="750"/>
      <c r="C524" s="750"/>
      <c r="D524" s="711"/>
      <c r="E524" s="750" t="s">
        <v>184</v>
      </c>
      <c r="F524" s="750"/>
      <c r="G524" s="596"/>
      <c r="H524" s="165" t="s">
        <v>12</v>
      </c>
      <c r="I524" s="610"/>
      <c r="J524" s="610"/>
      <c r="K524" s="93"/>
      <c r="L524" s="93">
        <f t="shared" ref="L524:N525" si="228">L527+L534</f>
        <v>0</v>
      </c>
      <c r="M524" s="93">
        <f t="shared" si="228"/>
        <v>0</v>
      </c>
      <c r="N524" s="93">
        <f t="shared" si="228"/>
        <v>0</v>
      </c>
      <c r="O524" s="93">
        <f t="shared" si="226"/>
        <v>0</v>
      </c>
      <c r="P524" s="93">
        <f t="shared" si="227"/>
        <v>0</v>
      </c>
      <c r="Q524" s="597"/>
      <c r="R524" s="597"/>
      <c r="S524" s="597"/>
      <c r="T524" s="597"/>
      <c r="U524" s="597"/>
      <c r="V524" s="597"/>
      <c r="W524" s="597"/>
      <c r="X524" s="597"/>
      <c r="Y524" s="597"/>
      <c r="Z524" s="597"/>
    </row>
    <row r="525" spans="1:26" ht="18.75" hidden="1">
      <c r="A525" s="592"/>
      <c r="B525" s="600"/>
      <c r="C525" s="750"/>
      <c r="D525" s="711"/>
      <c r="E525" s="750" t="s">
        <v>185</v>
      </c>
      <c r="F525" s="750"/>
      <c r="G525" s="596"/>
      <c r="H525" s="165" t="s">
        <v>12</v>
      </c>
      <c r="I525" s="610"/>
      <c r="J525" s="610"/>
      <c r="K525" s="93"/>
      <c r="L525" s="93">
        <f t="shared" ca="1" si="228"/>
        <v>0</v>
      </c>
      <c r="M525" s="93">
        <f t="shared" si="228"/>
        <v>0</v>
      </c>
      <c r="N525" s="93">
        <f t="shared" si="228"/>
        <v>0</v>
      </c>
      <c r="O525" s="93">
        <f t="shared" ca="1" si="226"/>
        <v>0</v>
      </c>
      <c r="P525" s="93">
        <f t="shared" si="227"/>
        <v>0</v>
      </c>
      <c r="Q525" s="597"/>
      <c r="R525" s="597"/>
      <c r="S525" s="597"/>
      <c r="T525" s="597"/>
      <c r="U525" s="597"/>
      <c r="V525" s="597"/>
      <c r="W525" s="597"/>
      <c r="X525" s="597"/>
      <c r="Y525" s="597"/>
      <c r="Z525" s="597"/>
    </row>
    <row r="526" spans="1:26" ht="18.75" hidden="1">
      <c r="A526" s="590"/>
      <c r="B526" s="568"/>
      <c r="C526" s="754"/>
      <c r="D526" s="599" t="s">
        <v>20</v>
      </c>
      <c r="E526" s="754"/>
      <c r="F526" s="754"/>
      <c r="G526" s="189"/>
      <c r="H526" s="161" t="s">
        <v>12</v>
      </c>
      <c r="I526" s="184"/>
      <c r="J526" s="184"/>
      <c r="K526" s="163"/>
      <c r="L526" s="496">
        <f t="shared" ref="L526:N526" ca="1" si="229">L527+L528</f>
        <v>0</v>
      </c>
      <c r="M526" s="496">
        <f t="shared" si="229"/>
        <v>0</v>
      </c>
      <c r="N526" s="496">
        <f t="shared" si="229"/>
        <v>0</v>
      </c>
      <c r="O526" s="496">
        <f t="shared" ca="1" si="226"/>
        <v>0</v>
      </c>
      <c r="P526" s="496">
        <f t="shared" si="227"/>
        <v>0</v>
      </c>
      <c r="Q526" s="571"/>
      <c r="R526" s="571"/>
      <c r="S526" s="571"/>
      <c r="T526" s="571"/>
      <c r="U526" s="571"/>
      <c r="V526" s="571"/>
      <c r="W526" s="571"/>
      <c r="X526" s="571"/>
      <c r="Y526" s="571"/>
      <c r="Z526" s="571"/>
    </row>
    <row r="527" spans="1:26" ht="18.75" hidden="1">
      <c r="A527" s="592"/>
      <c r="B527" s="600"/>
      <c r="C527" s="750"/>
      <c r="D527" s="711"/>
      <c r="E527" s="750" t="s">
        <v>184</v>
      </c>
      <c r="F527" s="750"/>
      <c r="G527" s="596"/>
      <c r="H527" s="165" t="s">
        <v>12</v>
      </c>
      <c r="I527" s="610"/>
      <c r="J527" s="610"/>
      <c r="K527" s="93"/>
      <c r="L527" s="93">
        <v>0</v>
      </c>
      <c r="M527" s="93">
        <v>0</v>
      </c>
      <c r="N527" s="93">
        <v>0</v>
      </c>
      <c r="O527" s="93">
        <f t="shared" si="226"/>
        <v>0</v>
      </c>
      <c r="P527" s="93">
        <f t="shared" si="227"/>
        <v>0</v>
      </c>
      <c r="Q527" s="597"/>
      <c r="R527" s="597"/>
      <c r="S527" s="597"/>
      <c r="T527" s="597"/>
      <c r="U527" s="597"/>
      <c r="V527" s="597"/>
      <c r="W527" s="597"/>
      <c r="X527" s="597"/>
      <c r="Y527" s="597"/>
      <c r="Z527" s="597"/>
    </row>
    <row r="528" spans="1:26" ht="18.75" hidden="1">
      <c r="A528" s="592"/>
      <c r="B528" s="600"/>
      <c r="C528" s="750"/>
      <c r="D528" s="711"/>
      <c r="E528" s="750" t="s">
        <v>185</v>
      </c>
      <c r="F528" s="750"/>
      <c r="G528" s="596"/>
      <c r="H528" s="165" t="s">
        <v>12</v>
      </c>
      <c r="I528" s="610"/>
      <c r="J528" s="610"/>
      <c r="K528" s="93"/>
      <c r="L528" s="93">
        <f ca="1">IFERROR(__xludf.DUMMYFUNCTION("IMPORTRANGE(""https://docs.google.com/spreadsheets/d/1QqKyyYR6Q21VydFLVH3TRQUabQu_ym0Zz7PgGX0-kHA/edit?usp=sharing"",""แผน!GQ60"")"),0)</f>
        <v>0</v>
      </c>
      <c r="M528" s="93">
        <v>0</v>
      </c>
      <c r="N528" s="93">
        <f>N529+N530+N531+N532</f>
        <v>0</v>
      </c>
      <c r="O528" s="93">
        <f t="shared" ca="1" si="226"/>
        <v>0</v>
      </c>
      <c r="P528" s="93">
        <f t="shared" si="227"/>
        <v>0</v>
      </c>
      <c r="Q528" s="597"/>
      <c r="R528" s="597"/>
      <c r="S528" s="597"/>
      <c r="T528" s="597"/>
      <c r="U528" s="597"/>
      <c r="V528" s="597"/>
      <c r="W528" s="597"/>
      <c r="X528" s="597"/>
      <c r="Y528" s="597"/>
      <c r="Z528" s="597"/>
    </row>
    <row r="529" spans="1:26" ht="18.75" hidden="1">
      <c r="A529" s="567"/>
      <c r="B529" s="568"/>
      <c r="C529" s="754"/>
      <c r="D529" s="754"/>
      <c r="E529" s="754"/>
      <c r="F529" s="754" t="s">
        <v>186</v>
      </c>
      <c r="G529" s="189"/>
      <c r="H529" s="161" t="s">
        <v>12</v>
      </c>
      <c r="I529" s="269"/>
      <c r="J529" s="269"/>
      <c r="K529" s="496"/>
      <c r="L529" s="496"/>
      <c r="M529" s="496"/>
      <c r="N529" s="817">
        <v>0</v>
      </c>
      <c r="O529" s="496"/>
      <c r="P529" s="496"/>
      <c r="Q529" s="571"/>
      <c r="R529" s="571"/>
      <c r="S529" s="571"/>
      <c r="T529" s="571"/>
      <c r="U529" s="571"/>
      <c r="V529" s="571"/>
      <c r="W529" s="571"/>
      <c r="X529" s="571"/>
      <c r="Y529" s="571"/>
      <c r="Z529" s="571"/>
    </row>
    <row r="530" spans="1:26" ht="18.75" hidden="1">
      <c r="A530" s="567"/>
      <c r="B530" s="568"/>
      <c r="C530" s="754"/>
      <c r="D530" s="754"/>
      <c r="E530" s="754"/>
      <c r="F530" s="754" t="s">
        <v>187</v>
      </c>
      <c r="G530" s="189"/>
      <c r="H530" s="161" t="s">
        <v>12</v>
      </c>
      <c r="I530" s="269"/>
      <c r="J530" s="269"/>
      <c r="K530" s="496"/>
      <c r="L530" s="496"/>
      <c r="M530" s="496"/>
      <c r="N530" s="817">
        <v>0</v>
      </c>
      <c r="O530" s="496"/>
      <c r="P530" s="496"/>
      <c r="Q530" s="571"/>
      <c r="R530" s="571"/>
      <c r="S530" s="571"/>
      <c r="T530" s="571"/>
      <c r="U530" s="571"/>
      <c r="V530" s="571"/>
      <c r="W530" s="571"/>
      <c r="X530" s="571"/>
      <c r="Y530" s="571"/>
      <c r="Z530" s="571"/>
    </row>
    <row r="531" spans="1:26" ht="18.75" hidden="1">
      <c r="A531" s="567"/>
      <c r="B531" s="568"/>
      <c r="C531" s="754"/>
      <c r="D531" s="754"/>
      <c r="E531" s="754"/>
      <c r="F531" s="754" t="s">
        <v>188</v>
      </c>
      <c r="G531" s="189"/>
      <c r="H531" s="161" t="s">
        <v>12</v>
      </c>
      <c r="I531" s="269"/>
      <c r="J531" s="269"/>
      <c r="K531" s="496"/>
      <c r="L531" s="496"/>
      <c r="M531" s="496"/>
      <c r="N531" s="817">
        <v>0</v>
      </c>
      <c r="O531" s="496"/>
      <c r="P531" s="496"/>
      <c r="Q531" s="571"/>
      <c r="R531" s="571"/>
      <c r="S531" s="571"/>
      <c r="T531" s="571"/>
      <c r="U531" s="571"/>
      <c r="V531" s="571"/>
      <c r="W531" s="571"/>
      <c r="X531" s="571"/>
      <c r="Y531" s="571"/>
      <c r="Z531" s="571"/>
    </row>
    <row r="532" spans="1:26" ht="18.75" hidden="1">
      <c r="A532" s="567"/>
      <c r="B532" s="568"/>
      <c r="C532" s="754"/>
      <c r="D532" s="754"/>
      <c r="E532" s="754"/>
      <c r="F532" s="754" t="s">
        <v>189</v>
      </c>
      <c r="G532" s="189"/>
      <c r="H532" s="161" t="s">
        <v>12</v>
      </c>
      <c r="I532" s="269"/>
      <c r="J532" s="269"/>
      <c r="K532" s="496"/>
      <c r="L532" s="496"/>
      <c r="M532" s="496"/>
      <c r="N532" s="817">
        <v>0</v>
      </c>
      <c r="O532" s="496"/>
      <c r="P532" s="496"/>
      <c r="Q532" s="571"/>
      <c r="R532" s="571"/>
      <c r="S532" s="571"/>
      <c r="T532" s="571"/>
      <c r="U532" s="571"/>
      <c r="V532" s="571"/>
      <c r="W532" s="571"/>
      <c r="X532" s="571"/>
      <c r="Y532" s="571"/>
      <c r="Z532" s="571"/>
    </row>
    <row r="533" spans="1:26" ht="18.75" hidden="1">
      <c r="A533" s="590"/>
      <c r="B533" s="568"/>
      <c r="C533" s="754"/>
      <c r="D533" s="599" t="s">
        <v>21</v>
      </c>
      <c r="E533" s="754"/>
      <c r="F533" s="754"/>
      <c r="G533" s="189"/>
      <c r="H533" s="168" t="s">
        <v>12</v>
      </c>
      <c r="I533" s="184"/>
      <c r="J533" s="184"/>
      <c r="K533" s="163"/>
      <c r="L533" s="496">
        <f t="shared" ref="L533:N533" ca="1" si="230">L534+L535</f>
        <v>0</v>
      </c>
      <c r="M533" s="496">
        <f t="shared" si="230"/>
        <v>0</v>
      </c>
      <c r="N533" s="496">
        <f t="shared" si="230"/>
        <v>0</v>
      </c>
      <c r="O533" s="496">
        <f t="shared" ref="O533:O535" ca="1" si="231">IF(L533&gt;0,N533*100/L533,0)</f>
        <v>0</v>
      </c>
      <c r="P533" s="496">
        <f t="shared" ref="P533:P535" si="232">IF(M533&gt;0,N533*100/M533,0)</f>
        <v>0</v>
      </c>
      <c r="Q533" s="571"/>
      <c r="R533" s="571"/>
      <c r="S533" s="571"/>
      <c r="T533" s="571"/>
      <c r="U533" s="571"/>
      <c r="V533" s="571"/>
      <c r="W533" s="571"/>
      <c r="X533" s="571"/>
      <c r="Y533" s="571"/>
      <c r="Z533" s="571"/>
    </row>
    <row r="534" spans="1:26" ht="18.75" hidden="1">
      <c r="A534" s="592"/>
      <c r="B534" s="600"/>
      <c r="C534" s="750"/>
      <c r="D534" s="750"/>
      <c r="E534" s="750" t="s">
        <v>18</v>
      </c>
      <c r="F534" s="750"/>
      <c r="G534" s="596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1"/>
        <v>0</v>
      </c>
      <c r="P534" s="93">
        <f t="shared" si="232"/>
        <v>0</v>
      </c>
      <c r="Q534" s="597"/>
      <c r="R534" s="597"/>
      <c r="S534" s="597"/>
      <c r="T534" s="597"/>
      <c r="U534" s="597"/>
      <c r="V534" s="597"/>
      <c r="W534" s="597"/>
      <c r="X534" s="597"/>
      <c r="Y534" s="597"/>
      <c r="Z534" s="597"/>
    </row>
    <row r="535" spans="1:26" ht="18.75" hidden="1">
      <c r="A535" s="592"/>
      <c r="B535" s="600"/>
      <c r="C535" s="750"/>
      <c r="D535" s="750"/>
      <c r="E535" s="750" t="s">
        <v>19</v>
      </c>
      <c r="F535" s="750"/>
      <c r="G535" s="596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IFERROR(__xludf.DUMMYFUNCTION("IMPORTRANGE(""https://docs.google.com/spreadsheets/d/1QqKyyYR6Q21VydFLVH3TRQUabQu_ym0Zz7PgGX0-kHA/edit?usp=sharing"",""แผน!GT60"")"),0)</f>
        <v>0</v>
      </c>
      <c r="M535" s="93">
        <v>0</v>
      </c>
      <c r="N535" s="93">
        <v>0</v>
      </c>
      <c r="O535" s="93">
        <f t="shared" ca="1" si="231"/>
        <v>0</v>
      </c>
      <c r="P535" s="93">
        <f t="shared" si="232"/>
        <v>0</v>
      </c>
      <c r="Q535" s="597"/>
      <c r="R535" s="597"/>
      <c r="S535" s="597"/>
      <c r="T535" s="597"/>
      <c r="U535" s="597"/>
      <c r="V535" s="597"/>
      <c r="W535" s="597"/>
      <c r="X535" s="597"/>
      <c r="Y535" s="597"/>
      <c r="Z535" s="597"/>
    </row>
    <row r="536" spans="1:26" ht="19.5" hidden="1">
      <c r="A536" s="601"/>
      <c r="B536" s="611"/>
      <c r="C536" s="754" t="s">
        <v>16</v>
      </c>
      <c r="D536" s="839" t="s">
        <v>38</v>
      </c>
      <c r="E536" s="752"/>
      <c r="F536" s="752"/>
      <c r="G536" s="606"/>
      <c r="H536" s="753"/>
      <c r="I536" s="184"/>
      <c r="J536" s="184"/>
      <c r="K536" s="163"/>
      <c r="L536" s="163"/>
      <c r="M536" s="163"/>
      <c r="N536" s="163"/>
      <c r="O536" s="163"/>
      <c r="P536" s="163"/>
      <c r="Q536" s="571"/>
      <c r="R536" s="571"/>
      <c r="S536" s="571"/>
      <c r="T536" s="571"/>
      <c r="U536" s="571"/>
      <c r="V536" s="571"/>
      <c r="W536" s="571"/>
      <c r="X536" s="571"/>
      <c r="Y536" s="571"/>
      <c r="Z536" s="571"/>
    </row>
    <row r="537" spans="1:26" ht="19.5" hidden="1">
      <c r="A537" s="567"/>
      <c r="B537" s="568"/>
      <c r="C537" s="754"/>
      <c r="D537" s="754" t="s">
        <v>227</v>
      </c>
      <c r="E537" s="754"/>
      <c r="F537" s="754"/>
      <c r="G537" s="189"/>
      <c r="H537" s="616" t="s">
        <v>35</v>
      </c>
      <c r="I537" s="674">
        <f ca="1">IFERROR(__xludf.DUMMYFUNCTION("IMPORTRANGE(""https://docs.google.com/spreadsheets/d/1QqKyyYR6Q21VydFLVH3TRQUabQu_ym0Zz7PgGX0-kHA/edit?usp=sharing"",""แผน!GU60"")"),0)</f>
        <v>0</v>
      </c>
      <c r="J537" s="674">
        <f ca="1">IF(AND(J538=I538,J539=I539,J540=I540,J541=I541),I537,0)</f>
        <v>0</v>
      </c>
      <c r="K537" s="496">
        <f t="shared" ref="K537:K543" ca="1" si="233">IF(I537&gt;0,J537*100/I537,0)</f>
        <v>0</v>
      </c>
      <c r="L537" s="496"/>
      <c r="M537" s="496"/>
      <c r="N537" s="496"/>
      <c r="O537" s="496"/>
      <c r="P537" s="496"/>
      <c r="Q537" s="675"/>
      <c r="R537" s="675"/>
      <c r="S537" s="675"/>
      <c r="T537" s="675"/>
      <c r="U537" s="675"/>
      <c r="V537" s="675"/>
      <c r="W537" s="675"/>
      <c r="X537" s="675"/>
      <c r="Y537" s="675"/>
      <c r="Z537" s="675"/>
    </row>
    <row r="538" spans="1:26" ht="18.75" hidden="1">
      <c r="A538" s="567"/>
      <c r="B538" s="568"/>
      <c r="C538" s="754"/>
      <c r="D538" s="754"/>
      <c r="E538" s="754" t="s">
        <v>228</v>
      </c>
      <c r="F538" s="754"/>
      <c r="G538" s="189"/>
      <c r="H538" s="616" t="s">
        <v>35</v>
      </c>
      <c r="I538" s="269">
        <f ca="1">IFERROR(__xludf.DUMMYFUNCTION("IMPORTRANGE(""https://docs.google.com/spreadsheets/d/1QqKyyYR6Q21VydFLVH3TRQUabQu_ym0Zz7PgGX0-kHA/edit?usp=sharing"",""แผน!GV60"")"),0)</f>
        <v>0</v>
      </c>
      <c r="J538" s="214">
        <v>0</v>
      </c>
      <c r="K538" s="496">
        <f t="shared" ca="1" si="233"/>
        <v>0</v>
      </c>
      <c r="L538" s="496"/>
      <c r="M538" s="496"/>
      <c r="N538" s="496"/>
      <c r="O538" s="496"/>
      <c r="P538" s="496"/>
      <c r="Q538" s="675"/>
      <c r="R538" s="675"/>
      <c r="S538" s="675"/>
      <c r="T538" s="675"/>
      <c r="U538" s="675"/>
      <c r="V538" s="675"/>
      <c r="W538" s="675"/>
      <c r="X538" s="675"/>
      <c r="Y538" s="675"/>
      <c r="Z538" s="675"/>
    </row>
    <row r="539" spans="1:26" ht="18.75" hidden="1">
      <c r="A539" s="567"/>
      <c r="B539" s="568"/>
      <c r="C539" s="754"/>
      <c r="D539" s="754"/>
      <c r="E539" s="754" t="s">
        <v>229</v>
      </c>
      <c r="F539" s="754"/>
      <c r="G539" s="189"/>
      <c r="H539" s="616" t="s">
        <v>35</v>
      </c>
      <c r="I539" s="269">
        <f ca="1">IFERROR(__xludf.DUMMYFUNCTION("IMPORTRANGE(""https://docs.google.com/spreadsheets/d/1QqKyyYR6Q21VydFLVH3TRQUabQu_ym0Zz7PgGX0-kHA/edit?usp=sharing"",""แผน!GW60"")"),0)</f>
        <v>0</v>
      </c>
      <c r="J539" s="214">
        <v>0</v>
      </c>
      <c r="K539" s="496">
        <f t="shared" ca="1" si="233"/>
        <v>0</v>
      </c>
      <c r="L539" s="496"/>
      <c r="M539" s="496"/>
      <c r="N539" s="496"/>
      <c r="O539" s="496"/>
      <c r="P539" s="496"/>
      <c r="Q539" s="675"/>
      <c r="R539" s="675"/>
      <c r="S539" s="675"/>
      <c r="T539" s="675"/>
      <c r="U539" s="675"/>
      <c r="V539" s="675"/>
      <c r="W539" s="675"/>
      <c r="X539" s="675"/>
      <c r="Y539" s="675"/>
      <c r="Z539" s="675"/>
    </row>
    <row r="540" spans="1:26" ht="18.75" hidden="1">
      <c r="A540" s="567"/>
      <c r="B540" s="568"/>
      <c r="C540" s="754"/>
      <c r="D540" s="754"/>
      <c r="E540" s="754" t="s">
        <v>230</v>
      </c>
      <c r="F540" s="754"/>
      <c r="G540" s="189"/>
      <c r="H540" s="616" t="s">
        <v>35</v>
      </c>
      <c r="I540" s="269">
        <f ca="1">IFERROR(__xludf.DUMMYFUNCTION("IMPORTRANGE(""https://docs.google.com/spreadsheets/d/1QqKyyYR6Q21VydFLVH3TRQUabQu_ym0Zz7PgGX0-kHA/edit?usp=sharing"",""แผน!GX60"")"),0)</f>
        <v>0</v>
      </c>
      <c r="J540" s="214">
        <v>0</v>
      </c>
      <c r="K540" s="496">
        <f t="shared" ca="1" si="233"/>
        <v>0</v>
      </c>
      <c r="L540" s="496"/>
      <c r="M540" s="496"/>
      <c r="N540" s="496"/>
      <c r="O540" s="496"/>
      <c r="P540" s="496"/>
      <c r="Q540" s="675"/>
      <c r="R540" s="675"/>
      <c r="S540" s="675"/>
      <c r="T540" s="675"/>
      <c r="U540" s="675"/>
      <c r="V540" s="675"/>
      <c r="W540" s="675"/>
      <c r="X540" s="675"/>
      <c r="Y540" s="675"/>
      <c r="Z540" s="675"/>
    </row>
    <row r="541" spans="1:26" ht="18.75" hidden="1">
      <c r="A541" s="567"/>
      <c r="B541" s="568"/>
      <c r="C541" s="754"/>
      <c r="D541" s="754"/>
      <c r="E541" s="760" t="s">
        <v>231</v>
      </c>
      <c r="F541" s="754"/>
      <c r="G541" s="189"/>
      <c r="H541" s="616" t="s">
        <v>35</v>
      </c>
      <c r="I541" s="269">
        <f ca="1">IFERROR(__xludf.DUMMYFUNCTION("IMPORTRANGE(""https://docs.google.com/spreadsheets/d/1QqKyyYR6Q21VydFLVH3TRQUabQu_ym0Zz7PgGX0-kHA/edit?usp=sharing"",""แผน!GY60"")"),0)</f>
        <v>0</v>
      </c>
      <c r="J541" s="214">
        <v>0</v>
      </c>
      <c r="K541" s="496">
        <f t="shared" ca="1" si="233"/>
        <v>0</v>
      </c>
      <c r="L541" s="496"/>
      <c r="M541" s="496"/>
      <c r="N541" s="496"/>
      <c r="O541" s="496"/>
      <c r="P541" s="496"/>
      <c r="Q541" s="675"/>
      <c r="R541" s="675"/>
      <c r="S541" s="675"/>
      <c r="T541" s="675"/>
      <c r="U541" s="675"/>
      <c r="V541" s="675"/>
      <c r="W541" s="675"/>
      <c r="X541" s="675"/>
      <c r="Y541" s="675"/>
      <c r="Z541" s="675"/>
    </row>
    <row r="542" spans="1:26" ht="18.75" hidden="1">
      <c r="A542" s="567"/>
      <c r="B542" s="568"/>
      <c r="C542" s="754"/>
      <c r="D542" s="754" t="s">
        <v>59</v>
      </c>
      <c r="E542" s="754"/>
      <c r="F542" s="754"/>
      <c r="G542" s="189"/>
      <c r="H542" s="616" t="s">
        <v>35</v>
      </c>
      <c r="I542" s="269">
        <f ca="1">IFERROR(__xludf.DUMMYFUNCTION("IMPORTRANGE(""https://docs.google.com/spreadsheets/d/1QqKyyYR6Q21VydFLVH3TRQUabQu_ym0Zz7PgGX0-kHA/edit?usp=sharing"",""แผน!GZ60"")"),0)</f>
        <v>0</v>
      </c>
      <c r="J542" s="214">
        <v>0</v>
      </c>
      <c r="K542" s="496">
        <f t="shared" ca="1" si="233"/>
        <v>0</v>
      </c>
      <c r="L542" s="496"/>
      <c r="M542" s="496"/>
      <c r="N542" s="496"/>
      <c r="O542" s="496"/>
      <c r="P542" s="496"/>
      <c r="Q542" s="675"/>
      <c r="R542" s="675"/>
      <c r="S542" s="675"/>
      <c r="T542" s="675"/>
      <c r="U542" s="675"/>
      <c r="V542" s="675"/>
      <c r="W542" s="675"/>
      <c r="X542" s="675"/>
      <c r="Y542" s="675"/>
      <c r="Z542" s="675"/>
    </row>
    <row r="543" spans="1:26" ht="19.5">
      <c r="A543" s="657">
        <v>6</v>
      </c>
      <c r="B543" s="678" t="s">
        <v>232</v>
      </c>
      <c r="C543" s="660"/>
      <c r="D543" s="660"/>
      <c r="E543" s="660"/>
      <c r="F543" s="660"/>
      <c r="G543" s="661"/>
      <c r="H543" s="679" t="s">
        <v>46</v>
      </c>
      <c r="I543" s="680">
        <f t="shared" ref="I543:J543" ca="1" si="234">I559</f>
        <v>0</v>
      </c>
      <c r="J543" s="680">
        <f t="shared" si="234"/>
        <v>0</v>
      </c>
      <c r="K543" s="681">
        <f t="shared" ca="1" si="233"/>
        <v>0</v>
      </c>
      <c r="L543" s="663"/>
      <c r="M543" s="663"/>
      <c r="N543" s="663"/>
      <c r="O543" s="663"/>
      <c r="P543" s="663"/>
      <c r="Q543" s="571"/>
      <c r="R543" s="571"/>
      <c r="S543" s="571"/>
      <c r="T543" s="571"/>
      <c r="U543" s="571"/>
      <c r="V543" s="571"/>
      <c r="W543" s="571"/>
      <c r="X543" s="571"/>
      <c r="Y543" s="571"/>
      <c r="Z543" s="571"/>
    </row>
    <row r="544" spans="1:26" ht="19.5">
      <c r="A544" s="682"/>
      <c r="B544" s="683"/>
      <c r="C544" s="683" t="s">
        <v>16</v>
      </c>
      <c r="D544" s="867" t="s">
        <v>17</v>
      </c>
      <c r="E544" s="862"/>
      <c r="F544" s="862"/>
      <c r="G544" s="684"/>
      <c r="H544" s="274" t="s">
        <v>12</v>
      </c>
      <c r="I544" s="419"/>
      <c r="J544" s="419"/>
      <c r="K544" s="154"/>
      <c r="L544" s="155">
        <f t="shared" ref="L544:N544" ca="1" si="235">L545+L546</f>
        <v>66000</v>
      </c>
      <c r="M544" s="155">
        <f t="shared" si="235"/>
        <v>0</v>
      </c>
      <c r="N544" s="155">
        <f t="shared" si="235"/>
        <v>0</v>
      </c>
      <c r="O544" s="155">
        <f t="shared" ref="O544:O549" ca="1" si="236">IF(L544&gt;0,N544*100/L544,0)</f>
        <v>0</v>
      </c>
      <c r="P544" s="155">
        <f t="shared" ref="P544:P549" si="237">IF(M544&gt;0,N544*100/M544,0)</f>
        <v>0</v>
      </c>
      <c r="Q544" s="571"/>
      <c r="R544" s="571"/>
      <c r="S544" s="571"/>
      <c r="T544" s="571"/>
      <c r="U544" s="571"/>
      <c r="V544" s="571"/>
      <c r="W544" s="571"/>
      <c r="X544" s="571"/>
      <c r="Y544" s="571"/>
      <c r="Z544" s="571"/>
    </row>
    <row r="545" spans="1:26" ht="18.75" hidden="1">
      <c r="A545" s="592"/>
      <c r="B545" s="750"/>
      <c r="C545" s="750"/>
      <c r="D545" s="750"/>
      <c r="E545" s="750" t="s">
        <v>184</v>
      </c>
      <c r="F545" s="750"/>
      <c r="G545" s="596"/>
      <c r="H545" s="165" t="s">
        <v>12</v>
      </c>
      <c r="I545" s="610"/>
      <c r="J545" s="610"/>
      <c r="K545" s="93"/>
      <c r="L545" s="93">
        <f t="shared" ref="L545:L546" si="238">L548+L556</f>
        <v>0</v>
      </c>
      <c r="M545" s="93">
        <f t="shared" ref="M545:N546" si="239">M548+M555</f>
        <v>0</v>
      </c>
      <c r="N545" s="93">
        <f t="shared" si="239"/>
        <v>0</v>
      </c>
      <c r="O545" s="93">
        <f t="shared" si="236"/>
        <v>0</v>
      </c>
      <c r="P545" s="93">
        <f t="shared" si="237"/>
        <v>0</v>
      </c>
      <c r="Q545" s="597"/>
      <c r="R545" s="597"/>
      <c r="S545" s="597"/>
      <c r="T545" s="597"/>
      <c r="U545" s="597"/>
      <c r="V545" s="597"/>
      <c r="W545" s="597"/>
      <c r="X545" s="597"/>
      <c r="Y545" s="597"/>
      <c r="Z545" s="597"/>
    </row>
    <row r="546" spans="1:26" ht="18.75" hidden="1">
      <c r="A546" s="592"/>
      <c r="B546" s="600"/>
      <c r="C546" s="750"/>
      <c r="D546" s="750"/>
      <c r="E546" s="750" t="s">
        <v>185</v>
      </c>
      <c r="F546" s="750"/>
      <c r="G546" s="596"/>
      <c r="H546" s="165" t="s">
        <v>12</v>
      </c>
      <c r="I546" s="610"/>
      <c r="J546" s="610"/>
      <c r="K546" s="93"/>
      <c r="L546" s="93">
        <f t="shared" ca="1" si="238"/>
        <v>66000</v>
      </c>
      <c r="M546" s="93">
        <f t="shared" si="239"/>
        <v>0</v>
      </c>
      <c r="N546" s="93">
        <f t="shared" si="239"/>
        <v>0</v>
      </c>
      <c r="O546" s="93">
        <f t="shared" ca="1" si="236"/>
        <v>0</v>
      </c>
      <c r="P546" s="93">
        <f t="shared" si="237"/>
        <v>0</v>
      </c>
      <c r="Q546" s="597"/>
      <c r="R546" s="597"/>
      <c r="S546" s="597"/>
      <c r="T546" s="597"/>
      <c r="U546" s="597"/>
      <c r="V546" s="597"/>
      <c r="W546" s="597"/>
      <c r="X546" s="597"/>
      <c r="Y546" s="597"/>
      <c r="Z546" s="597"/>
    </row>
    <row r="547" spans="1:26" ht="18.75">
      <c r="A547" s="590"/>
      <c r="B547" s="568"/>
      <c r="C547" s="754"/>
      <c r="D547" s="599" t="s">
        <v>20</v>
      </c>
      <c r="E547" s="754"/>
      <c r="F547" s="754"/>
      <c r="G547" s="189"/>
      <c r="H547" s="161" t="s">
        <v>12</v>
      </c>
      <c r="I547" s="184"/>
      <c r="J547" s="184"/>
      <c r="K547" s="163"/>
      <c r="L547" s="496">
        <f t="shared" ref="L547:N547" ca="1" si="240">L548+L549</f>
        <v>66000</v>
      </c>
      <c r="M547" s="496">
        <f t="shared" si="240"/>
        <v>0</v>
      </c>
      <c r="N547" s="496">
        <f t="shared" si="240"/>
        <v>0</v>
      </c>
      <c r="O547" s="496">
        <f t="shared" ca="1" si="236"/>
        <v>0</v>
      </c>
      <c r="P547" s="496">
        <f t="shared" si="237"/>
        <v>0</v>
      </c>
      <c r="Q547" s="571"/>
      <c r="R547" s="571"/>
      <c r="S547" s="571"/>
      <c r="T547" s="571"/>
      <c r="U547" s="571"/>
      <c r="V547" s="571"/>
      <c r="W547" s="571"/>
      <c r="X547" s="571"/>
      <c r="Y547" s="571"/>
      <c r="Z547" s="571"/>
    </row>
    <row r="548" spans="1:26" ht="18.75" hidden="1">
      <c r="A548" s="592"/>
      <c r="B548" s="600"/>
      <c r="C548" s="750"/>
      <c r="D548" s="711"/>
      <c r="E548" s="750" t="s">
        <v>184</v>
      </c>
      <c r="F548" s="750"/>
      <c r="G548" s="596"/>
      <c r="H548" s="165" t="s">
        <v>12</v>
      </c>
      <c r="I548" s="610"/>
      <c r="J548" s="610"/>
      <c r="K548" s="93"/>
      <c r="L548" s="93">
        <v>0</v>
      </c>
      <c r="M548" s="93">
        <v>0</v>
      </c>
      <c r="N548" s="93">
        <v>0</v>
      </c>
      <c r="O548" s="93">
        <f t="shared" si="236"/>
        <v>0</v>
      </c>
      <c r="P548" s="93">
        <f t="shared" si="237"/>
        <v>0</v>
      </c>
      <c r="Q548" s="597"/>
      <c r="R548" s="597"/>
      <c r="S548" s="597"/>
      <c r="T548" s="597"/>
      <c r="U548" s="597"/>
      <c r="V548" s="597"/>
      <c r="W548" s="597"/>
      <c r="X548" s="597"/>
      <c r="Y548" s="597"/>
      <c r="Z548" s="597"/>
    </row>
    <row r="549" spans="1:26" ht="18.75" hidden="1">
      <c r="A549" s="592"/>
      <c r="B549" s="600"/>
      <c r="C549" s="750"/>
      <c r="D549" s="711"/>
      <c r="E549" s="750" t="s">
        <v>185</v>
      </c>
      <c r="F549" s="750"/>
      <c r="G549" s="596"/>
      <c r="H549" s="165" t="s">
        <v>12</v>
      </c>
      <c r="I549" s="610"/>
      <c r="J549" s="610"/>
      <c r="K549" s="93"/>
      <c r="L549" s="93">
        <f ca="1">IFERROR(__xludf.DUMMYFUNCTION("IMPORTRANGE(""https://docs.google.com/spreadsheets/d/1QqKyyYR6Q21VydFLVH3TRQUabQu_ym0Zz7PgGX0-kHA/edit?usp=sharing"",""แผน!HB60"")"),66000)</f>
        <v>66000</v>
      </c>
      <c r="M549" s="93">
        <v>0</v>
      </c>
      <c r="N549" s="93">
        <f>N550+N551+N552+N553+N554</f>
        <v>0</v>
      </c>
      <c r="O549" s="93">
        <f t="shared" ca="1" si="236"/>
        <v>0</v>
      </c>
      <c r="P549" s="93">
        <f t="shared" si="237"/>
        <v>0</v>
      </c>
      <c r="Q549" s="597"/>
      <c r="R549" s="597"/>
      <c r="S549" s="597"/>
      <c r="T549" s="597"/>
      <c r="U549" s="597"/>
      <c r="V549" s="597"/>
      <c r="W549" s="597"/>
      <c r="X549" s="597"/>
      <c r="Y549" s="597"/>
      <c r="Z549" s="597"/>
    </row>
    <row r="550" spans="1:26" ht="18.75">
      <c r="A550" s="567"/>
      <c r="B550" s="568"/>
      <c r="C550" s="754"/>
      <c r="D550" s="754"/>
      <c r="E550" s="754"/>
      <c r="F550" s="754" t="s">
        <v>186</v>
      </c>
      <c r="G550" s="189"/>
      <c r="H550" s="161" t="s">
        <v>12</v>
      </c>
      <c r="I550" s="269"/>
      <c r="J550" s="269"/>
      <c r="K550" s="496"/>
      <c r="L550" s="496"/>
      <c r="M550" s="496"/>
      <c r="N550" s="817">
        <v>0</v>
      </c>
      <c r="O550" s="496"/>
      <c r="P550" s="496"/>
      <c r="Q550" s="571"/>
      <c r="R550" s="571"/>
      <c r="S550" s="571"/>
      <c r="T550" s="571"/>
      <c r="U550" s="571"/>
      <c r="V550" s="571"/>
      <c r="W550" s="571"/>
      <c r="X550" s="571"/>
      <c r="Y550" s="571"/>
      <c r="Z550" s="571"/>
    </row>
    <row r="551" spans="1:26" ht="18.75">
      <c r="A551" s="567"/>
      <c r="B551" s="568"/>
      <c r="C551" s="568"/>
      <c r="D551" s="568"/>
      <c r="E551" s="754"/>
      <c r="F551" s="754" t="s">
        <v>187</v>
      </c>
      <c r="G551" s="189"/>
      <c r="H551" s="161" t="s">
        <v>12</v>
      </c>
      <c r="I551" s="269"/>
      <c r="J551" s="269"/>
      <c r="K551" s="496"/>
      <c r="L551" s="496"/>
      <c r="M551" s="496"/>
      <c r="N551" s="817">
        <v>0</v>
      </c>
      <c r="O551" s="496"/>
      <c r="P551" s="496"/>
      <c r="Q551" s="571"/>
      <c r="R551" s="571"/>
      <c r="S551" s="571"/>
      <c r="T551" s="571"/>
      <c r="U551" s="571"/>
      <c r="V551" s="571"/>
      <c r="W551" s="571"/>
      <c r="X551" s="571"/>
      <c r="Y551" s="571"/>
      <c r="Z551" s="571"/>
    </row>
    <row r="552" spans="1:26" ht="18.75">
      <c r="A552" s="567"/>
      <c r="B552" s="568"/>
      <c r="C552" s="754"/>
      <c r="D552" s="754"/>
      <c r="E552" s="754"/>
      <c r="F552" s="754" t="s">
        <v>188</v>
      </c>
      <c r="G552" s="189"/>
      <c r="H552" s="161" t="s">
        <v>12</v>
      </c>
      <c r="I552" s="269"/>
      <c r="J552" s="269"/>
      <c r="K552" s="496"/>
      <c r="L552" s="496"/>
      <c r="M552" s="496"/>
      <c r="N552" s="817">
        <v>0</v>
      </c>
      <c r="O552" s="496"/>
      <c r="P552" s="496"/>
      <c r="Q552" s="571"/>
      <c r="R552" s="571"/>
      <c r="S552" s="571"/>
      <c r="T552" s="571"/>
      <c r="U552" s="571"/>
      <c r="V552" s="571"/>
      <c r="W552" s="571"/>
      <c r="X552" s="571"/>
      <c r="Y552" s="571"/>
      <c r="Z552" s="571"/>
    </row>
    <row r="553" spans="1:26" ht="18.75">
      <c r="A553" s="567"/>
      <c r="B553" s="568"/>
      <c r="C553" s="568"/>
      <c r="D553" s="568"/>
      <c r="E553" s="754"/>
      <c r="F553" s="754" t="s">
        <v>189</v>
      </c>
      <c r="G553" s="189"/>
      <c r="H553" s="161" t="s">
        <v>12</v>
      </c>
      <c r="I553" s="269"/>
      <c r="J553" s="269"/>
      <c r="K553" s="496"/>
      <c r="L553" s="496"/>
      <c r="M553" s="496"/>
      <c r="N553" s="817">
        <v>0</v>
      </c>
      <c r="O553" s="496"/>
      <c r="P553" s="496"/>
      <c r="Q553" s="571"/>
      <c r="R553" s="571"/>
      <c r="S553" s="571"/>
      <c r="T553" s="571"/>
      <c r="U553" s="571"/>
      <c r="V553" s="571"/>
      <c r="W553" s="571"/>
      <c r="X553" s="571"/>
      <c r="Y553" s="571"/>
      <c r="Z553" s="571"/>
    </row>
    <row r="554" spans="1:26" ht="18.75">
      <c r="A554" s="567"/>
      <c r="B554" s="568"/>
      <c r="C554" s="568"/>
      <c r="D554" s="568"/>
      <c r="E554" s="754"/>
      <c r="F554" s="754" t="s">
        <v>233</v>
      </c>
      <c r="G554" s="189"/>
      <c r="H554" s="161" t="s">
        <v>12</v>
      </c>
      <c r="I554" s="269"/>
      <c r="J554" s="269"/>
      <c r="K554" s="496"/>
      <c r="L554" s="496"/>
      <c r="M554" s="496"/>
      <c r="N554" s="817">
        <v>0</v>
      </c>
      <c r="O554" s="496"/>
      <c r="P554" s="496"/>
      <c r="Q554" s="571"/>
      <c r="R554" s="571"/>
      <c r="S554" s="571"/>
      <c r="T554" s="571"/>
      <c r="U554" s="571"/>
      <c r="V554" s="571"/>
      <c r="W554" s="571"/>
      <c r="X554" s="571"/>
      <c r="Y554" s="571"/>
      <c r="Z554" s="571"/>
    </row>
    <row r="555" spans="1:26" ht="18.75">
      <c r="A555" s="590"/>
      <c r="B555" s="568"/>
      <c r="C555" s="568"/>
      <c r="D555" s="599" t="s">
        <v>21</v>
      </c>
      <c r="E555" s="754"/>
      <c r="F555" s="754"/>
      <c r="G555" s="189"/>
      <c r="H555" s="168" t="s">
        <v>12</v>
      </c>
      <c r="I555" s="184"/>
      <c r="J555" s="184"/>
      <c r="K555" s="163"/>
      <c r="L555" s="496">
        <f t="shared" ref="L555:N555" ca="1" si="241">L556+L557</f>
        <v>0</v>
      </c>
      <c r="M555" s="496">
        <f t="shared" si="241"/>
        <v>0</v>
      </c>
      <c r="N555" s="496">
        <f t="shared" si="241"/>
        <v>0</v>
      </c>
      <c r="O555" s="496">
        <f t="shared" ref="O555:O557" ca="1" si="242">IF(L555&gt;0,N555*100/L555,0)</f>
        <v>0</v>
      </c>
      <c r="P555" s="496">
        <f t="shared" ref="P555:P557" si="243">IF(M555&gt;0,N555*100/M555,0)</f>
        <v>0</v>
      </c>
      <c r="Q555" s="571"/>
      <c r="R555" s="571"/>
      <c r="S555" s="571"/>
      <c r="T555" s="571"/>
      <c r="U555" s="571"/>
      <c r="V555" s="571"/>
      <c r="W555" s="571"/>
      <c r="X555" s="571"/>
      <c r="Y555" s="571"/>
      <c r="Z555" s="571"/>
    </row>
    <row r="556" spans="1:26" ht="18.75" hidden="1">
      <c r="A556" s="592"/>
      <c r="B556" s="600"/>
      <c r="C556" s="600"/>
      <c r="D556" s="750"/>
      <c r="E556" s="750" t="s">
        <v>18</v>
      </c>
      <c r="F556" s="750"/>
      <c r="G556" s="596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2"/>
        <v>0</v>
      </c>
      <c r="P556" s="93">
        <f t="shared" si="243"/>
        <v>0</v>
      </c>
      <c r="Q556" s="597"/>
      <c r="R556" s="597"/>
      <c r="S556" s="597"/>
      <c r="T556" s="597"/>
      <c r="U556" s="597"/>
      <c r="V556" s="597"/>
      <c r="W556" s="597"/>
      <c r="X556" s="597"/>
      <c r="Y556" s="597"/>
      <c r="Z556" s="597"/>
    </row>
    <row r="557" spans="1:26" ht="18.75" hidden="1">
      <c r="A557" s="592"/>
      <c r="B557" s="600"/>
      <c r="C557" s="600"/>
      <c r="D557" s="750"/>
      <c r="E557" s="750" t="s">
        <v>19</v>
      </c>
      <c r="F557" s="750"/>
      <c r="G557" s="596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IFERROR(__xludf.DUMMYFUNCTION("IMPORTRANGE(""https://docs.google.com/spreadsheets/d/1QqKyyYR6Q21VydFLVH3TRQUabQu_ym0Zz7PgGX0-kHA/edit?usp=sharing"",""แผน!HF60"")"),0)</f>
        <v>0</v>
      </c>
      <c r="M557" s="93">
        <v>0</v>
      </c>
      <c r="N557" s="93">
        <v>0</v>
      </c>
      <c r="O557" s="93">
        <f t="shared" ca="1" si="242"/>
        <v>0</v>
      </c>
      <c r="P557" s="93">
        <f t="shared" si="243"/>
        <v>0</v>
      </c>
      <c r="Q557" s="597"/>
      <c r="R557" s="597"/>
      <c r="S557" s="597"/>
      <c r="T557" s="597"/>
      <c r="U557" s="597"/>
      <c r="V557" s="597"/>
      <c r="W557" s="597"/>
      <c r="X557" s="597"/>
      <c r="Y557" s="597"/>
      <c r="Z557" s="597"/>
    </row>
    <row r="558" spans="1:26" ht="19.5">
      <c r="A558" s="601"/>
      <c r="B558" s="611"/>
      <c r="C558" s="568" t="s">
        <v>16</v>
      </c>
      <c r="D558" s="839" t="s">
        <v>38</v>
      </c>
      <c r="E558" s="752"/>
      <c r="F558" s="752"/>
      <c r="G558" s="606"/>
      <c r="H558" s="753"/>
      <c r="I558" s="184"/>
      <c r="J558" s="184"/>
      <c r="K558" s="163"/>
      <c r="L558" s="163"/>
      <c r="M558" s="163"/>
      <c r="N558" s="163"/>
      <c r="O558" s="163"/>
      <c r="P558" s="163"/>
      <c r="Q558" s="571"/>
      <c r="R558" s="571"/>
      <c r="S558" s="571"/>
      <c r="T558" s="571"/>
      <c r="U558" s="571"/>
      <c r="V558" s="571"/>
      <c r="W558" s="571"/>
      <c r="X558" s="571"/>
      <c r="Y558" s="571"/>
      <c r="Z558" s="571"/>
    </row>
    <row r="559" spans="1:26" ht="19.5" hidden="1">
      <c r="A559" s="685"/>
      <c r="B559" s="686" t="s">
        <v>234</v>
      </c>
      <c r="C559" s="687"/>
      <c r="D559" s="687"/>
      <c r="E559" s="666"/>
      <c r="F559" s="666"/>
      <c r="G559" s="667"/>
      <c r="H559" s="688" t="s">
        <v>46</v>
      </c>
      <c r="I559" s="699">
        <f t="shared" ref="I559:J559" ca="1" si="244">I576</f>
        <v>0</v>
      </c>
      <c r="J559" s="699">
        <f t="shared" si="244"/>
        <v>0</v>
      </c>
      <c r="K559" s="670">
        <f t="shared" ref="K559:K561" ca="1" si="245">IF(I559&gt;0,J559*100/I559,0)</f>
        <v>0</v>
      </c>
      <c r="L559" s="671"/>
      <c r="M559" s="671"/>
      <c r="N559" s="671"/>
      <c r="O559" s="671"/>
      <c r="P559" s="671"/>
      <c r="Q559" s="571"/>
      <c r="R559" s="571"/>
      <c r="S559" s="571"/>
      <c r="T559" s="571"/>
      <c r="U559" s="571"/>
      <c r="V559" s="571"/>
      <c r="W559" s="571"/>
      <c r="X559" s="571"/>
      <c r="Y559" s="571"/>
      <c r="Z559" s="571"/>
    </row>
    <row r="560" spans="1:26" ht="19.5" hidden="1">
      <c r="A560" s="601"/>
      <c r="B560" s="611"/>
      <c r="C560" s="618" t="s">
        <v>235</v>
      </c>
      <c r="D560" s="611"/>
      <c r="E560" s="619"/>
      <c r="F560" s="619"/>
      <c r="G560" s="753"/>
      <c r="H560" s="758" t="s">
        <v>46</v>
      </c>
      <c r="I560" s="193">
        <f ca="1">IFERROR(__xludf.DUMMYFUNCTION("IMPORTRANGE(""https://docs.google.com/spreadsheets/d/1QqKyyYR6Q21VydFLVH3TRQUabQu_ym0Zz7PgGX0-kHA/edit?usp=sharing"",""แผน!HH60"")"),0)</f>
        <v>0</v>
      </c>
      <c r="J560" s="193">
        <f t="shared" ref="J560:J561" si="246">J562+J564+J566</f>
        <v>0</v>
      </c>
      <c r="K560" s="410">
        <f t="shared" ca="1" si="245"/>
        <v>0</v>
      </c>
      <c r="L560" s="163"/>
      <c r="M560" s="163"/>
      <c r="N560" s="163"/>
      <c r="O560" s="163"/>
      <c r="P560" s="163"/>
      <c r="Q560" s="571"/>
      <c r="R560" s="571"/>
      <c r="S560" s="571"/>
      <c r="T560" s="571"/>
      <c r="U560" s="571"/>
      <c r="V560" s="571"/>
      <c r="W560" s="571"/>
      <c r="X560" s="571"/>
      <c r="Y560" s="571"/>
      <c r="Z560" s="571"/>
    </row>
    <row r="561" spans="1:26" ht="19.5" hidden="1">
      <c r="A561" s="601"/>
      <c r="B561" s="611"/>
      <c r="C561" s="611"/>
      <c r="D561" s="619"/>
      <c r="E561" s="619"/>
      <c r="F561" s="619"/>
      <c r="G561" s="753"/>
      <c r="H561" s="758" t="s">
        <v>34</v>
      </c>
      <c r="I561" s="193">
        <f ca="1">IFERROR(__xludf.DUMMYFUNCTION("IMPORTRANGE(""https://docs.google.com/spreadsheets/d/1QqKyyYR6Q21VydFLVH3TRQUabQu_ym0Zz7PgGX0-kHA/edit?usp=sharing"",""แผน!HG60"")"),0)</f>
        <v>0</v>
      </c>
      <c r="J561" s="193">
        <f t="shared" si="246"/>
        <v>0</v>
      </c>
      <c r="K561" s="410">
        <f t="shared" ca="1" si="245"/>
        <v>0</v>
      </c>
      <c r="L561" s="163"/>
      <c r="M561" s="163"/>
      <c r="N561" s="163"/>
      <c r="O561" s="163"/>
      <c r="P561" s="163"/>
      <c r="Q561" s="571"/>
      <c r="R561" s="571"/>
      <c r="S561" s="571"/>
      <c r="T561" s="571"/>
      <c r="U561" s="571"/>
      <c r="V561" s="571"/>
      <c r="W561" s="571"/>
      <c r="X561" s="571"/>
      <c r="Y561" s="571"/>
      <c r="Z561" s="571"/>
    </row>
    <row r="562" spans="1:26" ht="18.75" hidden="1">
      <c r="A562" s="601"/>
      <c r="B562" s="611"/>
      <c r="C562" s="611"/>
      <c r="D562" s="619" t="s">
        <v>236</v>
      </c>
      <c r="E562" s="619"/>
      <c r="F562" s="619"/>
      <c r="G562" s="753"/>
      <c r="H562" s="755" t="s">
        <v>46</v>
      </c>
      <c r="I562" s="184"/>
      <c r="J562" s="214">
        <v>0</v>
      </c>
      <c r="K562" s="163"/>
      <c r="L562" s="163"/>
      <c r="M562" s="163"/>
      <c r="N562" s="163"/>
      <c r="O562" s="163"/>
      <c r="P562" s="163"/>
      <c r="Q562" s="571"/>
      <c r="R562" s="571"/>
      <c r="S562" s="571"/>
      <c r="T562" s="571"/>
      <c r="U562" s="571"/>
      <c r="V562" s="571"/>
      <c r="W562" s="571"/>
      <c r="X562" s="571"/>
      <c r="Y562" s="571"/>
      <c r="Z562" s="571"/>
    </row>
    <row r="563" spans="1:26" ht="18.75" hidden="1">
      <c r="A563" s="601"/>
      <c r="B563" s="611"/>
      <c r="C563" s="611"/>
      <c r="D563" s="611"/>
      <c r="E563" s="619"/>
      <c r="F563" s="619"/>
      <c r="G563" s="753"/>
      <c r="H563" s="755" t="s">
        <v>34</v>
      </c>
      <c r="I563" s="184"/>
      <c r="J563" s="214">
        <v>0</v>
      </c>
      <c r="K563" s="163"/>
      <c r="L563" s="163"/>
      <c r="M563" s="163"/>
      <c r="N563" s="163"/>
      <c r="O563" s="163"/>
      <c r="P563" s="163"/>
      <c r="Q563" s="571"/>
      <c r="R563" s="571"/>
      <c r="S563" s="571"/>
      <c r="T563" s="571"/>
      <c r="U563" s="571"/>
      <c r="V563" s="571"/>
      <c r="W563" s="571"/>
      <c r="X563" s="571"/>
      <c r="Y563" s="571"/>
      <c r="Z563" s="571"/>
    </row>
    <row r="564" spans="1:26" ht="18.75" hidden="1">
      <c r="A564" s="601"/>
      <c r="B564" s="611"/>
      <c r="C564" s="611"/>
      <c r="D564" s="619" t="s">
        <v>237</v>
      </c>
      <c r="E564" s="619"/>
      <c r="F564" s="619"/>
      <c r="G564" s="753"/>
      <c r="H564" s="755" t="s">
        <v>46</v>
      </c>
      <c r="I564" s="184"/>
      <c r="J564" s="214">
        <v>0</v>
      </c>
      <c r="K564" s="163"/>
      <c r="L564" s="163"/>
      <c r="M564" s="163"/>
      <c r="N564" s="163"/>
      <c r="O564" s="163"/>
      <c r="P564" s="163"/>
      <c r="Q564" s="571"/>
      <c r="R564" s="571"/>
      <c r="S564" s="571"/>
      <c r="T564" s="571"/>
      <c r="U564" s="571"/>
      <c r="V564" s="571"/>
      <c r="W564" s="571"/>
      <c r="X564" s="571"/>
      <c r="Y564" s="571"/>
      <c r="Z564" s="571"/>
    </row>
    <row r="565" spans="1:26" ht="18.75" hidden="1">
      <c r="A565" s="601"/>
      <c r="B565" s="611"/>
      <c r="C565" s="611"/>
      <c r="D565" s="619"/>
      <c r="E565" s="619"/>
      <c r="F565" s="619"/>
      <c r="G565" s="753"/>
      <c r="H565" s="755" t="s">
        <v>34</v>
      </c>
      <c r="I565" s="184"/>
      <c r="J565" s="214">
        <v>0</v>
      </c>
      <c r="K565" s="163"/>
      <c r="L565" s="163"/>
      <c r="M565" s="163"/>
      <c r="N565" s="163"/>
      <c r="O565" s="163"/>
      <c r="P565" s="163"/>
      <c r="Q565" s="571"/>
      <c r="R565" s="571"/>
      <c r="S565" s="571"/>
      <c r="T565" s="571"/>
      <c r="U565" s="571"/>
      <c r="V565" s="571"/>
      <c r="W565" s="571"/>
      <c r="X565" s="571"/>
      <c r="Y565" s="571"/>
      <c r="Z565" s="571"/>
    </row>
    <row r="566" spans="1:26" ht="18.75" hidden="1">
      <c r="A566" s="601"/>
      <c r="B566" s="611"/>
      <c r="C566" s="611"/>
      <c r="D566" s="619" t="s">
        <v>238</v>
      </c>
      <c r="E566" s="619"/>
      <c r="F566" s="619"/>
      <c r="G566" s="753"/>
      <c r="H566" s="755" t="s">
        <v>46</v>
      </c>
      <c r="I566" s="184"/>
      <c r="J566" s="214">
        <v>0</v>
      </c>
      <c r="K566" s="163"/>
      <c r="L566" s="163"/>
      <c r="M566" s="163"/>
      <c r="N566" s="163"/>
      <c r="O566" s="163"/>
      <c r="P566" s="163"/>
      <c r="Q566" s="571"/>
      <c r="R566" s="571"/>
      <c r="S566" s="571"/>
      <c r="T566" s="571"/>
      <c r="U566" s="571"/>
      <c r="V566" s="571"/>
      <c r="W566" s="571"/>
      <c r="X566" s="571"/>
      <c r="Y566" s="571"/>
      <c r="Z566" s="571"/>
    </row>
    <row r="567" spans="1:26" ht="18.75" hidden="1">
      <c r="A567" s="601"/>
      <c r="B567" s="611"/>
      <c r="C567" s="611"/>
      <c r="D567" s="619"/>
      <c r="E567" s="619"/>
      <c r="F567" s="619"/>
      <c r="G567" s="753"/>
      <c r="H567" s="755" t="s">
        <v>34</v>
      </c>
      <c r="I567" s="184"/>
      <c r="J567" s="214">
        <v>0</v>
      </c>
      <c r="K567" s="163"/>
      <c r="L567" s="163"/>
      <c r="M567" s="163"/>
      <c r="N567" s="163"/>
      <c r="O567" s="163"/>
      <c r="P567" s="163"/>
      <c r="Q567" s="571"/>
      <c r="R567" s="571"/>
      <c r="S567" s="571"/>
      <c r="T567" s="571"/>
      <c r="U567" s="571"/>
      <c r="V567" s="571"/>
      <c r="W567" s="571"/>
      <c r="X567" s="571"/>
      <c r="Y567" s="571"/>
      <c r="Z567" s="571"/>
    </row>
    <row r="568" spans="1:26" ht="19.5" hidden="1">
      <c r="A568" s="601"/>
      <c r="B568" s="611"/>
      <c r="C568" s="618" t="s">
        <v>239</v>
      </c>
      <c r="D568" s="619"/>
      <c r="E568" s="619"/>
      <c r="F568" s="619"/>
      <c r="G568" s="753"/>
      <c r="H568" s="758" t="s">
        <v>46</v>
      </c>
      <c r="I568" s="193">
        <f ca="1">IFERROR(__xludf.DUMMYFUNCTION("IMPORTRANGE(""https://docs.google.com/spreadsheets/d/1QqKyyYR6Q21VydFLVH3TRQUabQu_ym0Zz7PgGX0-kHA/edit?usp=sharing"",""แผน!HH60"")"),0)</f>
        <v>0</v>
      </c>
      <c r="J568" s="674">
        <f t="shared" ref="J568:J569" si="247">J570+J572+J574</f>
        <v>0</v>
      </c>
      <c r="K568" s="410">
        <f t="shared" ref="K568:K569" ca="1" si="248">IF(I568&gt;0,J568*100/I568,0)</f>
        <v>0</v>
      </c>
      <c r="L568" s="163"/>
      <c r="M568" s="163"/>
      <c r="N568" s="163"/>
      <c r="O568" s="163"/>
      <c r="P568" s="163"/>
      <c r="Q568" s="571"/>
      <c r="R568" s="571"/>
      <c r="S568" s="571"/>
      <c r="T568" s="571"/>
      <c r="U568" s="571"/>
      <c r="V568" s="571"/>
      <c r="W568" s="571"/>
      <c r="X568" s="571"/>
      <c r="Y568" s="571"/>
      <c r="Z568" s="571"/>
    </row>
    <row r="569" spans="1:26" ht="19.5" hidden="1">
      <c r="A569" s="601"/>
      <c r="B569" s="611"/>
      <c r="C569" s="611"/>
      <c r="D569" s="611"/>
      <c r="E569" s="619"/>
      <c r="F569" s="619"/>
      <c r="G569" s="753"/>
      <c r="H569" s="758" t="s">
        <v>34</v>
      </c>
      <c r="I569" s="193">
        <f ca="1">IFERROR(__xludf.DUMMYFUNCTION("IMPORTRANGE(""https://docs.google.com/spreadsheets/d/1QqKyyYR6Q21VydFLVH3TRQUabQu_ym0Zz7PgGX0-kHA/edit?usp=sharing"",""แผน!HG60"")"),0)</f>
        <v>0</v>
      </c>
      <c r="J569" s="674">
        <f t="shared" si="247"/>
        <v>0</v>
      </c>
      <c r="K569" s="410">
        <f t="shared" ca="1" si="248"/>
        <v>0</v>
      </c>
      <c r="L569" s="163"/>
      <c r="M569" s="163"/>
      <c r="N569" s="163"/>
      <c r="O569" s="163"/>
      <c r="P569" s="163"/>
      <c r="Q569" s="571"/>
      <c r="R569" s="571"/>
      <c r="S569" s="571"/>
      <c r="T569" s="571"/>
      <c r="U569" s="571"/>
      <c r="V569" s="571"/>
      <c r="W569" s="571"/>
      <c r="X569" s="571"/>
      <c r="Y569" s="571"/>
      <c r="Z569" s="571"/>
    </row>
    <row r="570" spans="1:26" ht="18.75" hidden="1">
      <c r="A570" s="601"/>
      <c r="B570" s="611"/>
      <c r="C570" s="611"/>
      <c r="D570" s="619" t="s">
        <v>240</v>
      </c>
      <c r="E570" s="611"/>
      <c r="F570" s="619"/>
      <c r="G570" s="753"/>
      <c r="H570" s="755" t="s">
        <v>46</v>
      </c>
      <c r="I570" s="184"/>
      <c r="J570" s="214">
        <v>0</v>
      </c>
      <c r="K570" s="163"/>
      <c r="L570" s="163"/>
      <c r="M570" s="163"/>
      <c r="N570" s="163"/>
      <c r="O570" s="163"/>
      <c r="P570" s="163"/>
      <c r="Q570" s="571"/>
      <c r="R570" s="571"/>
      <c r="S570" s="571"/>
      <c r="T570" s="571"/>
      <c r="U570" s="571"/>
      <c r="V570" s="571"/>
      <c r="W570" s="571"/>
      <c r="X570" s="571"/>
      <c r="Y570" s="571"/>
      <c r="Z570" s="571"/>
    </row>
    <row r="571" spans="1:26" ht="18.75" hidden="1">
      <c r="A571" s="601"/>
      <c r="B571" s="611"/>
      <c r="C571" s="611"/>
      <c r="D571" s="611"/>
      <c r="E571" s="619"/>
      <c r="F571" s="619"/>
      <c r="G571" s="753"/>
      <c r="H571" s="755" t="s">
        <v>34</v>
      </c>
      <c r="I571" s="184"/>
      <c r="J571" s="214">
        <v>0</v>
      </c>
      <c r="K571" s="163"/>
      <c r="L571" s="163"/>
      <c r="M571" s="163"/>
      <c r="N571" s="163"/>
      <c r="O571" s="163"/>
      <c r="P571" s="163"/>
      <c r="Q571" s="571"/>
      <c r="R571" s="571"/>
      <c r="S571" s="571"/>
      <c r="T571" s="571"/>
      <c r="U571" s="571"/>
      <c r="V571" s="571"/>
      <c r="W571" s="571"/>
      <c r="X571" s="571"/>
      <c r="Y571" s="571"/>
      <c r="Z571" s="571"/>
    </row>
    <row r="572" spans="1:26" ht="18.75" hidden="1">
      <c r="A572" s="601"/>
      <c r="B572" s="611"/>
      <c r="C572" s="611"/>
      <c r="D572" s="619" t="s">
        <v>241</v>
      </c>
      <c r="E572" s="619"/>
      <c r="F572" s="619"/>
      <c r="G572" s="753"/>
      <c r="H572" s="755" t="s">
        <v>46</v>
      </c>
      <c r="I572" s="184"/>
      <c r="J572" s="214">
        <v>0</v>
      </c>
      <c r="K572" s="163"/>
      <c r="L572" s="163"/>
      <c r="M572" s="163"/>
      <c r="N572" s="163"/>
      <c r="O572" s="163"/>
      <c r="P572" s="163"/>
      <c r="Q572" s="571"/>
      <c r="R572" s="571"/>
      <c r="S572" s="571"/>
      <c r="T572" s="571"/>
      <c r="U572" s="571"/>
      <c r="V572" s="571"/>
      <c r="W572" s="571"/>
      <c r="X572" s="571"/>
      <c r="Y572" s="571"/>
      <c r="Z572" s="571"/>
    </row>
    <row r="573" spans="1:26" ht="18.75" hidden="1">
      <c r="A573" s="601"/>
      <c r="B573" s="611"/>
      <c r="C573" s="611"/>
      <c r="D573" s="619"/>
      <c r="E573" s="619"/>
      <c r="F573" s="619"/>
      <c r="G573" s="753"/>
      <c r="H573" s="755" t="s">
        <v>34</v>
      </c>
      <c r="I573" s="184"/>
      <c r="J573" s="214">
        <v>0</v>
      </c>
      <c r="K573" s="163"/>
      <c r="L573" s="163"/>
      <c r="M573" s="163"/>
      <c r="N573" s="163"/>
      <c r="O573" s="163"/>
      <c r="P573" s="163"/>
      <c r="Q573" s="571"/>
      <c r="R573" s="571"/>
      <c r="S573" s="571"/>
      <c r="T573" s="571"/>
      <c r="U573" s="571"/>
      <c r="V573" s="571"/>
      <c r="W573" s="571"/>
      <c r="X573" s="571"/>
      <c r="Y573" s="571"/>
      <c r="Z573" s="571"/>
    </row>
    <row r="574" spans="1:26" ht="18.75" hidden="1">
      <c r="A574" s="601"/>
      <c r="B574" s="611"/>
      <c r="C574" s="611"/>
      <c r="D574" s="619" t="s">
        <v>242</v>
      </c>
      <c r="E574" s="619"/>
      <c r="F574" s="619"/>
      <c r="G574" s="753"/>
      <c r="H574" s="755" t="s">
        <v>46</v>
      </c>
      <c r="I574" s="184"/>
      <c r="J574" s="214">
        <v>0</v>
      </c>
      <c r="K574" s="163"/>
      <c r="L574" s="163"/>
      <c r="M574" s="163"/>
      <c r="N574" s="163"/>
      <c r="O574" s="163"/>
      <c r="P574" s="163"/>
      <c r="Q574" s="571"/>
      <c r="R574" s="571"/>
      <c r="S574" s="571"/>
      <c r="T574" s="571"/>
      <c r="U574" s="571"/>
      <c r="V574" s="571"/>
      <c r="W574" s="571"/>
      <c r="X574" s="571"/>
      <c r="Y574" s="571"/>
      <c r="Z574" s="571"/>
    </row>
    <row r="575" spans="1:26" ht="18.75" hidden="1">
      <c r="A575" s="601"/>
      <c r="B575" s="611"/>
      <c r="C575" s="611"/>
      <c r="D575" s="611"/>
      <c r="E575" s="619"/>
      <c r="F575" s="619"/>
      <c r="G575" s="753"/>
      <c r="H575" s="755" t="s">
        <v>34</v>
      </c>
      <c r="I575" s="184"/>
      <c r="J575" s="214">
        <v>0</v>
      </c>
      <c r="K575" s="163"/>
      <c r="L575" s="163"/>
      <c r="M575" s="163"/>
      <c r="N575" s="163"/>
      <c r="O575" s="163"/>
      <c r="P575" s="163"/>
      <c r="Q575" s="571"/>
      <c r="R575" s="571"/>
      <c r="S575" s="571"/>
      <c r="T575" s="571"/>
      <c r="U575" s="571"/>
      <c r="V575" s="571"/>
      <c r="W575" s="571"/>
      <c r="X575" s="571"/>
      <c r="Y575" s="571"/>
      <c r="Z575" s="571"/>
    </row>
    <row r="576" spans="1:26" ht="19.5" hidden="1">
      <c r="A576" s="601"/>
      <c r="B576" s="611"/>
      <c r="C576" s="618" t="s">
        <v>243</v>
      </c>
      <c r="D576" s="611"/>
      <c r="E576" s="611"/>
      <c r="F576" s="619"/>
      <c r="G576" s="753"/>
      <c r="H576" s="758" t="s">
        <v>46</v>
      </c>
      <c r="I576" s="193">
        <f ca="1">IFERROR(__xludf.DUMMYFUNCTION("IMPORTRANGE(""https://docs.google.com/spreadsheets/d/1QqKyyYR6Q21VydFLVH3TRQUabQu_ym0Zz7PgGX0-kHA/edit?usp=sharing"",""แผน!HH60"")"),0)</f>
        <v>0</v>
      </c>
      <c r="J576" s="674">
        <f t="shared" ref="J576:J577" si="249">J578+J580+J582+J588+J590</f>
        <v>0</v>
      </c>
      <c r="K576" s="410">
        <f t="shared" ref="K576:K577" ca="1" si="250">IF(I576&gt;0,J576*100/I576,0)</f>
        <v>0</v>
      </c>
      <c r="L576" s="163"/>
      <c r="M576" s="163"/>
      <c r="N576" s="163"/>
      <c r="O576" s="163"/>
      <c r="P576" s="163"/>
      <c r="Q576" s="571"/>
      <c r="R576" s="571"/>
      <c r="S576" s="571"/>
      <c r="T576" s="571"/>
      <c r="U576" s="571"/>
      <c r="V576" s="571"/>
      <c r="W576" s="571"/>
      <c r="X576" s="571"/>
      <c r="Y576" s="571"/>
      <c r="Z576" s="571"/>
    </row>
    <row r="577" spans="1:26" ht="19.5" hidden="1">
      <c r="A577" s="601"/>
      <c r="B577" s="611"/>
      <c r="C577" s="611"/>
      <c r="D577" s="611"/>
      <c r="E577" s="619"/>
      <c r="F577" s="619"/>
      <c r="G577" s="753"/>
      <c r="H577" s="758" t="s">
        <v>34</v>
      </c>
      <c r="I577" s="193">
        <f ca="1">IFERROR(__xludf.DUMMYFUNCTION("IMPORTRANGE(""https://docs.google.com/spreadsheets/d/1QqKyyYR6Q21VydFLVH3TRQUabQu_ym0Zz7PgGX0-kHA/edit?usp=sharing"",""แผน!HG60"")"),0)</f>
        <v>0</v>
      </c>
      <c r="J577" s="674">
        <f t="shared" si="249"/>
        <v>0</v>
      </c>
      <c r="K577" s="410">
        <f t="shared" ca="1" si="250"/>
        <v>0</v>
      </c>
      <c r="L577" s="163"/>
      <c r="M577" s="163"/>
      <c r="N577" s="163"/>
      <c r="O577" s="163"/>
      <c r="P577" s="163"/>
      <c r="Q577" s="571"/>
      <c r="R577" s="571"/>
      <c r="S577" s="571"/>
      <c r="T577" s="571"/>
      <c r="U577" s="571"/>
      <c r="V577" s="571"/>
      <c r="W577" s="571"/>
      <c r="X577" s="571"/>
      <c r="Y577" s="571"/>
      <c r="Z577" s="571"/>
    </row>
    <row r="578" spans="1:26" ht="18.75" hidden="1">
      <c r="A578" s="601"/>
      <c r="B578" s="611"/>
      <c r="C578" s="611"/>
      <c r="D578" s="619" t="s">
        <v>244</v>
      </c>
      <c r="E578" s="619"/>
      <c r="F578" s="619"/>
      <c r="G578" s="753"/>
      <c r="H578" s="755" t="s">
        <v>46</v>
      </c>
      <c r="I578" s="184"/>
      <c r="J578" s="214">
        <v>0</v>
      </c>
      <c r="K578" s="163"/>
      <c r="L578" s="163"/>
      <c r="M578" s="163"/>
      <c r="N578" s="163"/>
      <c r="O578" s="163"/>
      <c r="P578" s="163"/>
      <c r="Q578" s="571"/>
      <c r="R578" s="571"/>
      <c r="S578" s="571"/>
      <c r="T578" s="571"/>
      <c r="U578" s="571"/>
      <c r="V578" s="571"/>
      <c r="W578" s="571"/>
      <c r="X578" s="571"/>
      <c r="Y578" s="571"/>
      <c r="Z578" s="571"/>
    </row>
    <row r="579" spans="1:26" ht="18.75" hidden="1">
      <c r="A579" s="601"/>
      <c r="B579" s="611"/>
      <c r="C579" s="611"/>
      <c r="D579" s="611"/>
      <c r="E579" s="619"/>
      <c r="F579" s="619"/>
      <c r="G579" s="753"/>
      <c r="H579" s="755" t="s">
        <v>34</v>
      </c>
      <c r="I579" s="184"/>
      <c r="J579" s="214">
        <v>0</v>
      </c>
      <c r="K579" s="163"/>
      <c r="L579" s="163"/>
      <c r="M579" s="163"/>
      <c r="N579" s="163"/>
      <c r="O579" s="163"/>
      <c r="P579" s="163"/>
      <c r="Q579" s="571"/>
      <c r="R579" s="571"/>
      <c r="S579" s="571"/>
      <c r="T579" s="571"/>
      <c r="U579" s="571"/>
      <c r="V579" s="571"/>
      <c r="W579" s="571"/>
      <c r="X579" s="571"/>
      <c r="Y579" s="571"/>
      <c r="Z579" s="571"/>
    </row>
    <row r="580" spans="1:26" ht="18.75" hidden="1">
      <c r="A580" s="601"/>
      <c r="B580" s="611"/>
      <c r="C580" s="611"/>
      <c r="D580" s="619" t="s">
        <v>245</v>
      </c>
      <c r="E580" s="619"/>
      <c r="F580" s="619"/>
      <c r="G580" s="753"/>
      <c r="H580" s="755" t="s">
        <v>46</v>
      </c>
      <c r="I580" s="184"/>
      <c r="J580" s="214">
        <v>0</v>
      </c>
      <c r="K580" s="163"/>
      <c r="L580" s="163"/>
      <c r="M580" s="163"/>
      <c r="N580" s="163"/>
      <c r="O580" s="163"/>
      <c r="P580" s="163"/>
      <c r="Q580" s="571"/>
      <c r="R580" s="571"/>
      <c r="S580" s="571"/>
      <c r="T580" s="571"/>
      <c r="U580" s="571"/>
      <c r="V580" s="571"/>
      <c r="W580" s="571"/>
      <c r="X580" s="571"/>
      <c r="Y580" s="571"/>
      <c r="Z580" s="571"/>
    </row>
    <row r="581" spans="1:26" ht="18.75" hidden="1">
      <c r="A581" s="601"/>
      <c r="B581" s="611"/>
      <c r="C581" s="611"/>
      <c r="D581" s="611"/>
      <c r="E581" s="619"/>
      <c r="F581" s="619"/>
      <c r="G581" s="753"/>
      <c r="H581" s="755" t="s">
        <v>34</v>
      </c>
      <c r="I581" s="184"/>
      <c r="J581" s="214">
        <v>0</v>
      </c>
      <c r="K581" s="163"/>
      <c r="L581" s="163"/>
      <c r="M581" s="163"/>
      <c r="N581" s="163"/>
      <c r="O581" s="163"/>
      <c r="P581" s="163"/>
      <c r="Q581" s="571"/>
      <c r="R581" s="571"/>
      <c r="S581" s="571"/>
      <c r="T581" s="571"/>
      <c r="U581" s="571"/>
      <c r="V581" s="571"/>
      <c r="W581" s="571"/>
      <c r="X581" s="571"/>
      <c r="Y581" s="571"/>
      <c r="Z581" s="571"/>
    </row>
    <row r="582" spans="1:26" ht="19.5" hidden="1">
      <c r="A582" s="601"/>
      <c r="B582" s="611"/>
      <c r="C582" s="611"/>
      <c r="D582" s="619" t="s">
        <v>246</v>
      </c>
      <c r="E582" s="619"/>
      <c r="F582" s="619"/>
      <c r="G582" s="753"/>
      <c r="H582" s="755" t="s">
        <v>46</v>
      </c>
      <c r="I582" s="184"/>
      <c r="J582" s="674">
        <f t="shared" ref="J582:J583" si="251">J584+J586</f>
        <v>0</v>
      </c>
      <c r="K582" s="410"/>
      <c r="L582" s="163"/>
      <c r="M582" s="163"/>
      <c r="N582" s="163"/>
      <c r="O582" s="163"/>
      <c r="P582" s="163"/>
      <c r="Q582" s="571"/>
      <c r="R582" s="571"/>
      <c r="S582" s="571"/>
      <c r="T582" s="571"/>
      <c r="U582" s="571"/>
      <c r="V582" s="571"/>
      <c r="W582" s="571"/>
      <c r="X582" s="571"/>
      <c r="Y582" s="571"/>
      <c r="Z582" s="571"/>
    </row>
    <row r="583" spans="1:26" ht="19.5" hidden="1">
      <c r="A583" s="601"/>
      <c r="B583" s="611"/>
      <c r="C583" s="611"/>
      <c r="D583" s="611"/>
      <c r="E583" s="619"/>
      <c r="F583" s="619"/>
      <c r="G583" s="753"/>
      <c r="H583" s="755" t="s">
        <v>34</v>
      </c>
      <c r="I583" s="184"/>
      <c r="J583" s="674">
        <f t="shared" si="251"/>
        <v>0</v>
      </c>
      <c r="K583" s="410"/>
      <c r="L583" s="163"/>
      <c r="M583" s="163"/>
      <c r="N583" s="163"/>
      <c r="O583" s="163"/>
      <c r="P583" s="163"/>
      <c r="Q583" s="571"/>
      <c r="R583" s="571"/>
      <c r="S583" s="571"/>
      <c r="T583" s="571"/>
      <c r="U583" s="571"/>
      <c r="V583" s="571"/>
      <c r="W583" s="571"/>
      <c r="X583" s="571"/>
      <c r="Y583" s="571"/>
      <c r="Z583" s="571"/>
    </row>
    <row r="584" spans="1:26" ht="18.75" hidden="1">
      <c r="A584" s="601"/>
      <c r="B584" s="611"/>
      <c r="C584" s="611"/>
      <c r="D584" s="611"/>
      <c r="E584" s="619" t="s">
        <v>247</v>
      </c>
      <c r="F584" s="619"/>
      <c r="G584" s="753"/>
      <c r="H584" s="755" t="s">
        <v>46</v>
      </c>
      <c r="I584" s="184"/>
      <c r="J584" s="214">
        <v>0</v>
      </c>
      <c r="K584" s="163"/>
      <c r="L584" s="163"/>
      <c r="M584" s="163"/>
      <c r="N584" s="163"/>
      <c r="O584" s="163"/>
      <c r="P584" s="163"/>
      <c r="Q584" s="571"/>
      <c r="R584" s="571"/>
      <c r="S584" s="571"/>
      <c r="T584" s="571"/>
      <c r="U584" s="571"/>
      <c r="V584" s="571"/>
      <c r="W584" s="571"/>
      <c r="X584" s="571"/>
      <c r="Y584" s="571"/>
      <c r="Z584" s="571"/>
    </row>
    <row r="585" spans="1:26" ht="18.75" hidden="1">
      <c r="A585" s="601"/>
      <c r="B585" s="611"/>
      <c r="C585" s="611"/>
      <c r="D585" s="611"/>
      <c r="E585" s="619"/>
      <c r="F585" s="619"/>
      <c r="G585" s="753"/>
      <c r="H585" s="755" t="s">
        <v>34</v>
      </c>
      <c r="I585" s="184"/>
      <c r="J585" s="214">
        <v>0</v>
      </c>
      <c r="K585" s="163"/>
      <c r="L585" s="163"/>
      <c r="M585" s="163"/>
      <c r="N585" s="163"/>
      <c r="O585" s="163"/>
      <c r="P585" s="163"/>
      <c r="Q585" s="571"/>
      <c r="R585" s="571"/>
      <c r="S585" s="571"/>
      <c r="T585" s="571"/>
      <c r="U585" s="571"/>
      <c r="V585" s="571"/>
      <c r="W585" s="571"/>
      <c r="X585" s="571"/>
      <c r="Y585" s="571"/>
      <c r="Z585" s="571"/>
    </row>
    <row r="586" spans="1:26" ht="18.75" hidden="1">
      <c r="A586" s="601"/>
      <c r="B586" s="611"/>
      <c r="C586" s="611"/>
      <c r="D586" s="611"/>
      <c r="E586" s="619" t="s">
        <v>248</v>
      </c>
      <c r="F586" s="619"/>
      <c r="G586" s="753"/>
      <c r="H586" s="755" t="s">
        <v>46</v>
      </c>
      <c r="I586" s="184"/>
      <c r="J586" s="214">
        <v>0</v>
      </c>
      <c r="K586" s="163"/>
      <c r="L586" s="163"/>
      <c r="M586" s="163"/>
      <c r="N586" s="163"/>
      <c r="O586" s="163"/>
      <c r="P586" s="163"/>
      <c r="Q586" s="571"/>
      <c r="R586" s="571"/>
      <c r="S586" s="571"/>
      <c r="T586" s="571"/>
      <c r="U586" s="571"/>
      <c r="V586" s="571"/>
      <c r="W586" s="571"/>
      <c r="X586" s="571"/>
      <c r="Y586" s="571"/>
      <c r="Z586" s="571"/>
    </row>
    <row r="587" spans="1:26" ht="18.75" hidden="1">
      <c r="A587" s="601"/>
      <c r="B587" s="611"/>
      <c r="C587" s="611"/>
      <c r="D587" s="611"/>
      <c r="E587" s="611"/>
      <c r="F587" s="619"/>
      <c r="G587" s="753"/>
      <c r="H587" s="755" t="s">
        <v>34</v>
      </c>
      <c r="I587" s="184"/>
      <c r="J587" s="214">
        <v>0</v>
      </c>
      <c r="K587" s="163"/>
      <c r="L587" s="163"/>
      <c r="M587" s="163"/>
      <c r="N587" s="163"/>
      <c r="O587" s="163"/>
      <c r="P587" s="163"/>
      <c r="Q587" s="571"/>
      <c r="R587" s="571"/>
      <c r="S587" s="571"/>
      <c r="T587" s="571"/>
      <c r="U587" s="571"/>
      <c r="V587" s="571"/>
      <c r="W587" s="571"/>
      <c r="X587" s="571"/>
      <c r="Y587" s="571"/>
      <c r="Z587" s="571"/>
    </row>
    <row r="588" spans="1:26" ht="18.75" hidden="1">
      <c r="A588" s="601"/>
      <c r="B588" s="611"/>
      <c r="C588" s="611"/>
      <c r="D588" s="619" t="s">
        <v>249</v>
      </c>
      <c r="E588" s="619"/>
      <c r="F588" s="619"/>
      <c r="G588" s="753"/>
      <c r="H588" s="755" t="s">
        <v>46</v>
      </c>
      <c r="I588" s="184"/>
      <c r="J588" s="214">
        <v>0</v>
      </c>
      <c r="K588" s="163"/>
      <c r="L588" s="163"/>
      <c r="M588" s="163"/>
      <c r="N588" s="163"/>
      <c r="O588" s="163"/>
      <c r="P588" s="163"/>
      <c r="Q588" s="571"/>
      <c r="R588" s="571"/>
      <c r="S588" s="571"/>
      <c r="T588" s="571"/>
      <c r="U588" s="571"/>
      <c r="V588" s="571"/>
      <c r="W588" s="571"/>
      <c r="X588" s="571"/>
      <c r="Y588" s="571"/>
      <c r="Z588" s="571"/>
    </row>
    <row r="589" spans="1:26" ht="18.75" hidden="1">
      <c r="A589" s="601"/>
      <c r="B589" s="611"/>
      <c r="C589" s="611"/>
      <c r="D589" s="611"/>
      <c r="E589" s="611"/>
      <c r="F589" s="619"/>
      <c r="G589" s="753"/>
      <c r="H589" s="755" t="s">
        <v>34</v>
      </c>
      <c r="I589" s="184"/>
      <c r="J589" s="214">
        <v>0</v>
      </c>
      <c r="K589" s="163"/>
      <c r="L589" s="163"/>
      <c r="M589" s="163"/>
      <c r="N589" s="163"/>
      <c r="O589" s="163"/>
      <c r="P589" s="163"/>
      <c r="Q589" s="571"/>
      <c r="R589" s="571"/>
      <c r="S589" s="571"/>
      <c r="T589" s="571"/>
      <c r="U589" s="571"/>
      <c r="V589" s="571"/>
      <c r="W589" s="571"/>
      <c r="X589" s="571"/>
      <c r="Y589" s="571"/>
      <c r="Z589" s="571"/>
    </row>
    <row r="590" spans="1:26" ht="18.75" hidden="1">
      <c r="A590" s="601"/>
      <c r="B590" s="611"/>
      <c r="C590" s="611"/>
      <c r="D590" s="619" t="s">
        <v>250</v>
      </c>
      <c r="E590" s="619"/>
      <c r="F590" s="619"/>
      <c r="G590" s="753"/>
      <c r="H590" s="755" t="s">
        <v>46</v>
      </c>
      <c r="I590" s="184"/>
      <c r="J590" s="214">
        <v>0</v>
      </c>
      <c r="K590" s="163"/>
      <c r="L590" s="163"/>
      <c r="M590" s="163"/>
      <c r="N590" s="163"/>
      <c r="O590" s="163"/>
      <c r="P590" s="163"/>
      <c r="Q590" s="571"/>
      <c r="R590" s="571"/>
      <c r="S590" s="571"/>
      <c r="T590" s="571"/>
      <c r="U590" s="571"/>
      <c r="V590" s="571"/>
      <c r="W590" s="571"/>
      <c r="X590" s="571"/>
      <c r="Y590" s="571"/>
      <c r="Z590" s="571"/>
    </row>
    <row r="591" spans="1:26" ht="18.75" hidden="1">
      <c r="A591" s="689"/>
      <c r="B591" s="690"/>
      <c r="C591" s="690"/>
      <c r="D591" s="690"/>
      <c r="E591" s="571"/>
      <c r="F591" s="571"/>
      <c r="G591" s="691"/>
      <c r="H591" s="692" t="s">
        <v>34</v>
      </c>
      <c r="I591" s="693"/>
      <c r="J591" s="694">
        <v>0</v>
      </c>
      <c r="K591" s="695"/>
      <c r="L591" s="695"/>
      <c r="M591" s="695"/>
      <c r="N591" s="695"/>
      <c r="O591" s="695"/>
      <c r="P591" s="695"/>
      <c r="Q591" s="571"/>
      <c r="R591" s="571"/>
      <c r="S591" s="571"/>
      <c r="T591" s="571"/>
      <c r="U591" s="571"/>
      <c r="V591" s="571"/>
      <c r="W591" s="571"/>
      <c r="X591" s="571"/>
      <c r="Y591" s="571"/>
      <c r="Z591" s="571"/>
    </row>
    <row r="592" spans="1:26" ht="19.5" hidden="1">
      <c r="A592" s="685"/>
      <c r="B592" s="686" t="s">
        <v>251</v>
      </c>
      <c r="C592" s="687"/>
      <c r="D592" s="687"/>
      <c r="E592" s="666"/>
      <c r="F592" s="666"/>
      <c r="G592" s="667"/>
      <c r="H592" s="688" t="s">
        <v>46</v>
      </c>
      <c r="I592" s="699">
        <f t="shared" ref="I592:J592" ca="1" si="252">I593</f>
        <v>0</v>
      </c>
      <c r="J592" s="699">
        <f t="shared" si="252"/>
        <v>0</v>
      </c>
      <c r="K592" s="670">
        <f t="shared" ref="K592:K594" ca="1" si="253">IF(I592&gt;0,J592*100/I592,0)</f>
        <v>0</v>
      </c>
      <c r="L592" s="671"/>
      <c r="M592" s="671"/>
      <c r="N592" s="671"/>
      <c r="O592" s="671"/>
      <c r="P592" s="671"/>
      <c r="Q592" s="571"/>
      <c r="R592" s="571"/>
      <c r="S592" s="571"/>
      <c r="T592" s="571"/>
      <c r="U592" s="571"/>
      <c r="V592" s="571"/>
      <c r="W592" s="571"/>
      <c r="X592" s="571"/>
      <c r="Y592" s="571"/>
      <c r="Z592" s="571"/>
    </row>
    <row r="593" spans="1:26" ht="19.5" hidden="1">
      <c r="A593" s="601"/>
      <c r="B593" s="611"/>
      <c r="C593" s="618" t="s">
        <v>252</v>
      </c>
      <c r="D593" s="611"/>
      <c r="E593" s="611"/>
      <c r="F593" s="619"/>
      <c r="G593" s="753"/>
      <c r="H593" s="758" t="s">
        <v>46</v>
      </c>
      <c r="I593" s="193">
        <f ca="1">IFERROR(__xludf.DUMMYFUNCTION("IMPORTRANGE(""https://docs.google.com/spreadsheets/d/1QqKyyYR6Q21VydFLVH3TRQUabQu_ym0Zz7PgGX0-kHA/edit?usp=sharing"",""แผน!HJ60"")"),0)</f>
        <v>0</v>
      </c>
      <c r="J593" s="193">
        <f t="shared" ref="J593:J594" si="254">J595+J603+J609</f>
        <v>0</v>
      </c>
      <c r="K593" s="410">
        <f t="shared" ca="1" si="253"/>
        <v>0</v>
      </c>
      <c r="L593" s="163"/>
      <c r="M593" s="163"/>
      <c r="N593" s="163"/>
      <c r="O593" s="163"/>
      <c r="P593" s="163"/>
      <c r="Q593" s="571"/>
      <c r="R593" s="571"/>
      <c r="S593" s="571"/>
      <c r="T593" s="571"/>
      <c r="U593" s="571"/>
      <c r="V593" s="571"/>
      <c r="W593" s="571"/>
      <c r="X593" s="571"/>
      <c r="Y593" s="571"/>
      <c r="Z593" s="571"/>
    </row>
    <row r="594" spans="1:26" ht="19.5" hidden="1">
      <c r="A594" s="601"/>
      <c r="B594" s="611"/>
      <c r="C594" s="611"/>
      <c r="D594" s="611"/>
      <c r="E594" s="619"/>
      <c r="F594" s="619"/>
      <c r="G594" s="753"/>
      <c r="H594" s="758" t="s">
        <v>34</v>
      </c>
      <c r="I594" s="193">
        <f ca="1">IFERROR(__xludf.DUMMYFUNCTION("IMPORTRANGE(""https://docs.google.com/spreadsheets/d/1QqKyyYR6Q21VydFLVH3TRQUabQu_ym0Zz7PgGX0-kHA/edit?usp=sharing"",""แผน!HI60"")"),0)</f>
        <v>0</v>
      </c>
      <c r="J594" s="193">
        <f t="shared" si="254"/>
        <v>0</v>
      </c>
      <c r="K594" s="410">
        <f t="shared" ca="1" si="253"/>
        <v>0</v>
      </c>
      <c r="L594" s="163"/>
      <c r="M594" s="163"/>
      <c r="N594" s="163"/>
      <c r="O594" s="163"/>
      <c r="P594" s="163"/>
      <c r="Q594" s="571"/>
      <c r="R594" s="571"/>
      <c r="S594" s="571"/>
      <c r="T594" s="571"/>
      <c r="U594" s="571"/>
      <c r="V594" s="571"/>
      <c r="W594" s="571"/>
      <c r="X594" s="571"/>
      <c r="Y594" s="571"/>
      <c r="Z594" s="571"/>
    </row>
    <row r="595" spans="1:26" ht="18.75" hidden="1">
      <c r="A595" s="601"/>
      <c r="B595" s="611"/>
      <c r="C595" s="611" t="s">
        <v>253</v>
      </c>
      <c r="D595" s="611"/>
      <c r="E595" s="611"/>
      <c r="F595" s="619"/>
      <c r="G595" s="753"/>
      <c r="H595" s="755" t="s">
        <v>46</v>
      </c>
      <c r="I595" s="184"/>
      <c r="J595" s="184">
        <f t="shared" ref="J595:J596" si="255">J597+J599</f>
        <v>0</v>
      </c>
      <c r="K595" s="163"/>
      <c r="L595" s="163"/>
      <c r="M595" s="163"/>
      <c r="N595" s="163"/>
      <c r="O595" s="163"/>
      <c r="P595" s="163"/>
      <c r="Q595" s="571"/>
      <c r="R595" s="571"/>
      <c r="S595" s="571"/>
      <c r="T595" s="571"/>
      <c r="U595" s="571"/>
      <c r="V595" s="571"/>
      <c r="W595" s="571"/>
      <c r="X595" s="571"/>
      <c r="Y595" s="571"/>
      <c r="Z595" s="571"/>
    </row>
    <row r="596" spans="1:26" ht="18.75" hidden="1">
      <c r="A596" s="601"/>
      <c r="B596" s="611"/>
      <c r="C596" s="611"/>
      <c r="D596" s="611"/>
      <c r="E596" s="619"/>
      <c r="F596" s="619"/>
      <c r="G596" s="753"/>
      <c r="H596" s="755" t="s">
        <v>34</v>
      </c>
      <c r="I596" s="184"/>
      <c r="J596" s="184">
        <f t="shared" si="255"/>
        <v>0</v>
      </c>
      <c r="K596" s="163"/>
      <c r="L596" s="163"/>
      <c r="M596" s="163"/>
      <c r="N596" s="163"/>
      <c r="O596" s="163"/>
      <c r="P596" s="163"/>
      <c r="Q596" s="571"/>
      <c r="R596" s="571"/>
      <c r="S596" s="571"/>
      <c r="T596" s="571"/>
      <c r="U596" s="571"/>
      <c r="V596" s="571"/>
      <c r="W596" s="571"/>
      <c r="X596" s="571"/>
      <c r="Y596" s="571"/>
      <c r="Z596" s="571"/>
    </row>
    <row r="597" spans="1:26" ht="18.75" hidden="1">
      <c r="A597" s="601"/>
      <c r="B597" s="611"/>
      <c r="C597" s="611"/>
      <c r="D597" s="737" t="s">
        <v>254</v>
      </c>
      <c r="E597" s="619"/>
      <c r="F597" s="619"/>
      <c r="G597" s="753"/>
      <c r="H597" s="755" t="s">
        <v>46</v>
      </c>
      <c r="I597" s="184"/>
      <c r="J597" s="214">
        <v>0</v>
      </c>
      <c r="K597" s="163"/>
      <c r="L597" s="163"/>
      <c r="M597" s="163"/>
      <c r="N597" s="163"/>
      <c r="O597" s="163"/>
      <c r="P597" s="163"/>
      <c r="Q597" s="571"/>
      <c r="R597" s="571"/>
      <c r="S597" s="571"/>
      <c r="T597" s="571"/>
      <c r="U597" s="571"/>
      <c r="V597" s="571"/>
      <c r="W597" s="571"/>
      <c r="X597" s="571"/>
      <c r="Y597" s="571"/>
      <c r="Z597" s="571"/>
    </row>
    <row r="598" spans="1:26" ht="18.75" hidden="1">
      <c r="A598" s="601"/>
      <c r="B598" s="611"/>
      <c r="C598" s="611"/>
      <c r="D598" s="611"/>
      <c r="E598" s="619"/>
      <c r="F598" s="619"/>
      <c r="G598" s="753"/>
      <c r="H598" s="755" t="s">
        <v>34</v>
      </c>
      <c r="I598" s="269"/>
      <c r="J598" s="214">
        <v>0</v>
      </c>
      <c r="K598" s="163"/>
      <c r="L598" s="163"/>
      <c r="M598" s="163"/>
      <c r="N598" s="163"/>
      <c r="O598" s="163"/>
      <c r="P598" s="163"/>
      <c r="Q598" s="571"/>
      <c r="R598" s="571"/>
      <c r="S598" s="571"/>
      <c r="T598" s="571"/>
      <c r="U598" s="571"/>
      <c r="V598" s="571"/>
      <c r="W598" s="571"/>
      <c r="X598" s="571"/>
      <c r="Y598" s="571"/>
      <c r="Z598" s="571"/>
    </row>
    <row r="599" spans="1:26" ht="18.75" hidden="1">
      <c r="A599" s="601"/>
      <c r="B599" s="611"/>
      <c r="C599" s="611"/>
      <c r="D599" s="737" t="s">
        <v>255</v>
      </c>
      <c r="E599" s="619"/>
      <c r="F599" s="619"/>
      <c r="G599" s="753"/>
      <c r="H599" s="755" t="s">
        <v>46</v>
      </c>
      <c r="I599" s="269"/>
      <c r="J599" s="214">
        <v>0</v>
      </c>
      <c r="K599" s="163"/>
      <c r="L599" s="163"/>
      <c r="M599" s="163"/>
      <c r="N599" s="163"/>
      <c r="O599" s="163"/>
      <c r="P599" s="163"/>
      <c r="Q599" s="571"/>
      <c r="R599" s="571"/>
      <c r="S599" s="571"/>
      <c r="T599" s="571"/>
      <c r="U599" s="571"/>
      <c r="V599" s="571"/>
      <c r="W599" s="571"/>
      <c r="X599" s="571"/>
      <c r="Y599" s="571"/>
      <c r="Z599" s="571"/>
    </row>
    <row r="600" spans="1:26" ht="18.75" hidden="1">
      <c r="A600" s="601"/>
      <c r="B600" s="611"/>
      <c r="C600" s="611"/>
      <c r="D600" s="611"/>
      <c r="E600" s="619"/>
      <c r="F600" s="619"/>
      <c r="G600" s="753"/>
      <c r="H600" s="755" t="s">
        <v>34</v>
      </c>
      <c r="I600" s="269"/>
      <c r="J600" s="214">
        <v>0</v>
      </c>
      <c r="K600" s="163"/>
      <c r="L600" s="163"/>
      <c r="M600" s="163"/>
      <c r="N600" s="163"/>
      <c r="O600" s="163"/>
      <c r="P600" s="163"/>
      <c r="Q600" s="571"/>
      <c r="R600" s="571"/>
      <c r="S600" s="571"/>
      <c r="T600" s="571"/>
      <c r="U600" s="571"/>
      <c r="V600" s="571"/>
      <c r="W600" s="571"/>
      <c r="X600" s="571"/>
      <c r="Y600" s="571"/>
      <c r="Z600" s="571"/>
    </row>
    <row r="601" spans="1:26" ht="18.75" hidden="1">
      <c r="A601" s="601"/>
      <c r="B601" s="611"/>
      <c r="C601" s="611"/>
      <c r="D601" s="737" t="s">
        <v>256</v>
      </c>
      <c r="E601" s="619"/>
      <c r="F601" s="619"/>
      <c r="G601" s="753"/>
      <c r="H601" s="755" t="s">
        <v>46</v>
      </c>
      <c r="I601" s="269"/>
      <c r="J601" s="214">
        <v>0</v>
      </c>
      <c r="K601" s="163"/>
      <c r="L601" s="163"/>
      <c r="M601" s="163"/>
      <c r="N601" s="163"/>
      <c r="O601" s="163"/>
      <c r="P601" s="163"/>
      <c r="Q601" s="571"/>
      <c r="R601" s="571"/>
      <c r="S601" s="571"/>
      <c r="T601" s="571"/>
      <c r="U601" s="571"/>
      <c r="V601" s="571"/>
      <c r="W601" s="571"/>
      <c r="X601" s="571"/>
      <c r="Y601" s="571"/>
      <c r="Z601" s="571"/>
    </row>
    <row r="602" spans="1:26" ht="18.75" hidden="1">
      <c r="A602" s="601"/>
      <c r="B602" s="611"/>
      <c r="C602" s="611"/>
      <c r="D602" s="611"/>
      <c r="E602" s="619"/>
      <c r="F602" s="619"/>
      <c r="G602" s="753"/>
      <c r="H602" s="755" t="s">
        <v>34</v>
      </c>
      <c r="I602" s="269"/>
      <c r="J602" s="214">
        <v>0</v>
      </c>
      <c r="K602" s="163"/>
      <c r="L602" s="163"/>
      <c r="M602" s="163"/>
      <c r="N602" s="163"/>
      <c r="O602" s="163"/>
      <c r="P602" s="163"/>
      <c r="Q602" s="571"/>
      <c r="R602" s="571"/>
      <c r="S602" s="571"/>
      <c r="T602" s="571"/>
      <c r="U602" s="571"/>
      <c r="V602" s="571"/>
      <c r="W602" s="571"/>
      <c r="X602" s="571"/>
      <c r="Y602" s="571"/>
      <c r="Z602" s="571"/>
    </row>
    <row r="603" spans="1:26" ht="18.75" hidden="1">
      <c r="A603" s="601"/>
      <c r="B603" s="611"/>
      <c r="C603" s="696" t="s">
        <v>257</v>
      </c>
      <c r="D603" s="611"/>
      <c r="E603" s="611"/>
      <c r="F603" s="619"/>
      <c r="G603" s="753"/>
      <c r="H603" s="755" t="s">
        <v>46</v>
      </c>
      <c r="I603" s="269"/>
      <c r="J603" s="269">
        <f t="shared" ref="J603:J604" si="256">J605+J607</f>
        <v>0</v>
      </c>
      <c r="K603" s="163"/>
      <c r="L603" s="163"/>
      <c r="M603" s="163"/>
      <c r="N603" s="163"/>
      <c r="O603" s="163"/>
      <c r="P603" s="163"/>
      <c r="Q603" s="571"/>
      <c r="R603" s="571"/>
      <c r="S603" s="571"/>
      <c r="T603" s="571"/>
      <c r="U603" s="571"/>
      <c r="V603" s="571"/>
      <c r="W603" s="571"/>
      <c r="X603" s="571"/>
      <c r="Y603" s="571"/>
      <c r="Z603" s="571"/>
    </row>
    <row r="604" spans="1:26" ht="18.75" hidden="1">
      <c r="A604" s="601"/>
      <c r="B604" s="611"/>
      <c r="C604" s="611"/>
      <c r="D604" s="611"/>
      <c r="E604" s="619"/>
      <c r="F604" s="619"/>
      <c r="G604" s="753"/>
      <c r="H604" s="755" t="s">
        <v>34</v>
      </c>
      <c r="I604" s="269"/>
      <c r="J604" s="269">
        <f t="shared" si="256"/>
        <v>0</v>
      </c>
      <c r="K604" s="163"/>
      <c r="L604" s="163"/>
      <c r="M604" s="163"/>
      <c r="N604" s="163"/>
      <c r="O604" s="163"/>
      <c r="P604" s="163"/>
      <c r="Q604" s="571"/>
      <c r="R604" s="571"/>
      <c r="S604" s="571"/>
      <c r="T604" s="571"/>
      <c r="U604" s="571"/>
      <c r="V604" s="571"/>
      <c r="W604" s="571"/>
      <c r="X604" s="571"/>
      <c r="Y604" s="571"/>
      <c r="Z604" s="571"/>
    </row>
    <row r="605" spans="1:26" ht="18.75" hidden="1">
      <c r="A605" s="601"/>
      <c r="B605" s="611"/>
      <c r="C605" s="611"/>
      <c r="D605" s="696" t="s">
        <v>258</v>
      </c>
      <c r="E605" s="619"/>
      <c r="F605" s="619"/>
      <c r="G605" s="753"/>
      <c r="H605" s="755" t="s">
        <v>46</v>
      </c>
      <c r="I605" s="269"/>
      <c r="J605" s="214">
        <v>0</v>
      </c>
      <c r="K605" s="163"/>
      <c r="L605" s="163"/>
      <c r="M605" s="163"/>
      <c r="N605" s="163"/>
      <c r="O605" s="163"/>
      <c r="P605" s="163"/>
      <c r="Q605" s="571"/>
      <c r="R605" s="571"/>
      <c r="S605" s="571"/>
      <c r="T605" s="571"/>
      <c r="U605" s="571"/>
      <c r="V605" s="571"/>
      <c r="W605" s="571"/>
      <c r="X605" s="571"/>
      <c r="Y605" s="571"/>
      <c r="Z605" s="571"/>
    </row>
    <row r="606" spans="1:26" ht="18.75" hidden="1">
      <c r="A606" s="601"/>
      <c r="B606" s="611"/>
      <c r="C606" s="611"/>
      <c r="D606" s="611"/>
      <c r="E606" s="611"/>
      <c r="F606" s="619"/>
      <c r="G606" s="753"/>
      <c r="H606" s="755" t="s">
        <v>34</v>
      </c>
      <c r="I606" s="269"/>
      <c r="J606" s="214">
        <v>0</v>
      </c>
      <c r="K606" s="163"/>
      <c r="L606" s="163"/>
      <c r="M606" s="163"/>
      <c r="N606" s="163"/>
      <c r="O606" s="163"/>
      <c r="P606" s="163"/>
      <c r="Q606" s="571"/>
      <c r="R606" s="571"/>
      <c r="S606" s="571"/>
      <c r="T606" s="571"/>
      <c r="U606" s="571"/>
      <c r="V606" s="571"/>
      <c r="W606" s="571"/>
      <c r="X606" s="571"/>
      <c r="Y606" s="571"/>
      <c r="Z606" s="571"/>
    </row>
    <row r="607" spans="1:26" ht="18.75" hidden="1">
      <c r="A607" s="601"/>
      <c r="B607" s="611"/>
      <c r="C607" s="611"/>
      <c r="D607" s="696" t="s">
        <v>259</v>
      </c>
      <c r="E607" s="611"/>
      <c r="F607" s="619"/>
      <c r="G607" s="753"/>
      <c r="H607" s="755" t="s">
        <v>46</v>
      </c>
      <c r="I607" s="269"/>
      <c r="J607" s="214">
        <v>0</v>
      </c>
      <c r="K607" s="163"/>
      <c r="L607" s="163"/>
      <c r="M607" s="163"/>
      <c r="N607" s="163"/>
      <c r="O607" s="163"/>
      <c r="P607" s="163"/>
      <c r="Q607" s="571"/>
      <c r="R607" s="571"/>
      <c r="S607" s="571"/>
      <c r="T607" s="571"/>
      <c r="U607" s="571"/>
      <c r="V607" s="571"/>
      <c r="W607" s="571"/>
      <c r="X607" s="571"/>
      <c r="Y607" s="571"/>
      <c r="Z607" s="571"/>
    </row>
    <row r="608" spans="1:26" ht="18.75" hidden="1">
      <c r="A608" s="601"/>
      <c r="B608" s="611"/>
      <c r="C608" s="611"/>
      <c r="D608" s="611"/>
      <c r="E608" s="619"/>
      <c r="F608" s="619"/>
      <c r="G608" s="753"/>
      <c r="H608" s="755" t="s">
        <v>34</v>
      </c>
      <c r="I608" s="269"/>
      <c r="J608" s="214">
        <v>0</v>
      </c>
      <c r="K608" s="163"/>
      <c r="L608" s="163"/>
      <c r="M608" s="163"/>
      <c r="N608" s="163"/>
      <c r="O608" s="163"/>
      <c r="P608" s="163"/>
      <c r="Q608" s="571"/>
      <c r="R608" s="571"/>
      <c r="S608" s="571"/>
      <c r="T608" s="571"/>
      <c r="U608" s="571"/>
      <c r="V608" s="571"/>
      <c r="W608" s="571"/>
      <c r="X608" s="571"/>
      <c r="Y608" s="571"/>
      <c r="Z608" s="571"/>
    </row>
    <row r="609" spans="1:26" ht="18.75" hidden="1">
      <c r="A609" s="601"/>
      <c r="B609" s="611"/>
      <c r="C609" s="611" t="s">
        <v>260</v>
      </c>
      <c r="D609" s="611"/>
      <c r="E609" s="611"/>
      <c r="F609" s="619"/>
      <c r="G609" s="753"/>
      <c r="H609" s="755" t="s">
        <v>46</v>
      </c>
      <c r="I609" s="269"/>
      <c r="J609" s="214">
        <v>0</v>
      </c>
      <c r="K609" s="163"/>
      <c r="L609" s="163"/>
      <c r="M609" s="163"/>
      <c r="N609" s="163"/>
      <c r="O609" s="163"/>
      <c r="P609" s="163"/>
      <c r="Q609" s="571"/>
      <c r="R609" s="571"/>
      <c r="S609" s="571"/>
      <c r="T609" s="571"/>
      <c r="U609" s="571"/>
      <c r="V609" s="571"/>
      <c r="W609" s="571"/>
      <c r="X609" s="571"/>
      <c r="Y609" s="571"/>
      <c r="Z609" s="571"/>
    </row>
    <row r="610" spans="1:26" ht="18.75" hidden="1">
      <c r="A610" s="601"/>
      <c r="B610" s="611"/>
      <c r="C610" s="611"/>
      <c r="D610" s="611"/>
      <c r="E610" s="619"/>
      <c r="F610" s="619"/>
      <c r="G610" s="753"/>
      <c r="H610" s="755" t="s">
        <v>34</v>
      </c>
      <c r="I610" s="269"/>
      <c r="J610" s="214">
        <v>0</v>
      </c>
      <c r="K610" s="163"/>
      <c r="L610" s="163"/>
      <c r="M610" s="163"/>
      <c r="N610" s="163"/>
      <c r="O610" s="163"/>
      <c r="P610" s="163"/>
      <c r="Q610" s="571"/>
      <c r="R610" s="571"/>
      <c r="S610" s="571"/>
      <c r="T610" s="571"/>
      <c r="U610" s="571"/>
      <c r="V610" s="571"/>
      <c r="W610" s="571"/>
      <c r="X610" s="571"/>
      <c r="Y610" s="571"/>
      <c r="Z610" s="571"/>
    </row>
    <row r="611" spans="1:26" ht="19.5" hidden="1">
      <c r="A611" s="685"/>
      <c r="B611" s="697" t="s">
        <v>261</v>
      </c>
      <c r="C611" s="687"/>
      <c r="D611" s="687"/>
      <c r="E611" s="666"/>
      <c r="F611" s="666"/>
      <c r="G611" s="667"/>
      <c r="H611" s="698" t="s">
        <v>46</v>
      </c>
      <c r="I611" s="699">
        <v>0</v>
      </c>
      <c r="J611" s="699">
        <f>J614+J616</f>
        <v>0</v>
      </c>
      <c r="K611" s="670">
        <f t="shared" ref="K611:K613" si="257">IF(I611&gt;0,J611*100/I611,0)</f>
        <v>0</v>
      </c>
      <c r="L611" s="671"/>
      <c r="M611" s="671"/>
      <c r="N611" s="671"/>
      <c r="O611" s="671"/>
      <c r="P611" s="671"/>
      <c r="Q611" s="571"/>
      <c r="R611" s="571"/>
      <c r="S611" s="571"/>
      <c r="T611" s="571"/>
      <c r="U611" s="571"/>
      <c r="V611" s="571"/>
      <c r="W611" s="571"/>
      <c r="X611" s="571"/>
      <c r="Y611" s="571"/>
      <c r="Z611" s="571"/>
    </row>
    <row r="612" spans="1:26" ht="19.5" hidden="1">
      <c r="A612" s="700"/>
      <c r="B612" s="710"/>
      <c r="C612" s="702" t="s">
        <v>262</v>
      </c>
      <c r="D612" s="710"/>
      <c r="E612" s="710"/>
      <c r="F612" s="703"/>
      <c r="G612" s="704"/>
      <c r="H612" s="705" t="s">
        <v>46</v>
      </c>
      <c r="I612" s="707">
        <v>0</v>
      </c>
      <c r="J612" s="707">
        <f t="shared" ref="J612:J613" si="258">J614+J616</f>
        <v>0</v>
      </c>
      <c r="K612" s="708">
        <f t="shared" si="257"/>
        <v>0</v>
      </c>
      <c r="L612" s="709"/>
      <c r="M612" s="709"/>
      <c r="N612" s="709"/>
      <c r="O612" s="709"/>
      <c r="P612" s="709"/>
      <c r="Q612" s="597"/>
      <c r="R612" s="597"/>
      <c r="S612" s="597"/>
      <c r="T612" s="597"/>
      <c r="U612" s="597"/>
      <c r="V612" s="597"/>
      <c r="W612" s="597"/>
      <c r="X612" s="597"/>
      <c r="Y612" s="597"/>
      <c r="Z612" s="597"/>
    </row>
    <row r="613" spans="1:26" ht="19.5" hidden="1">
      <c r="A613" s="700"/>
      <c r="B613" s="710"/>
      <c r="C613" s="710" t="s">
        <v>263</v>
      </c>
      <c r="D613" s="710"/>
      <c r="E613" s="710"/>
      <c r="F613" s="703"/>
      <c r="G613" s="704"/>
      <c r="H613" s="705" t="s">
        <v>34</v>
      </c>
      <c r="I613" s="707">
        <v>0</v>
      </c>
      <c r="J613" s="707">
        <f t="shared" si="258"/>
        <v>0</v>
      </c>
      <c r="K613" s="708">
        <f t="shared" si="257"/>
        <v>0</v>
      </c>
      <c r="L613" s="709"/>
      <c r="M613" s="709"/>
      <c r="N613" s="709"/>
      <c r="O613" s="709"/>
      <c r="P613" s="709"/>
      <c r="Q613" s="597"/>
      <c r="R613" s="597"/>
      <c r="S613" s="597"/>
      <c r="T613" s="597"/>
      <c r="U613" s="597"/>
      <c r="V613" s="597"/>
      <c r="W613" s="597"/>
      <c r="X613" s="597"/>
      <c r="Y613" s="597"/>
      <c r="Z613" s="597"/>
    </row>
    <row r="614" spans="1:26" ht="18.75" hidden="1">
      <c r="A614" s="607"/>
      <c r="B614" s="609"/>
      <c r="C614" s="609"/>
      <c r="D614" s="711" t="s">
        <v>264</v>
      </c>
      <c r="E614" s="609"/>
      <c r="F614" s="711"/>
      <c r="G614" s="365"/>
      <c r="H614" s="369" t="s">
        <v>46</v>
      </c>
      <c r="I614" s="610"/>
      <c r="J614" s="610">
        <v>0</v>
      </c>
      <c r="K614" s="167"/>
      <c r="L614" s="167"/>
      <c r="M614" s="167"/>
      <c r="N614" s="167"/>
      <c r="O614" s="167"/>
      <c r="P614" s="167"/>
      <c r="Q614" s="597"/>
      <c r="R614" s="597"/>
      <c r="S614" s="597"/>
      <c r="T614" s="597"/>
      <c r="U614" s="597"/>
      <c r="V614" s="597"/>
      <c r="W614" s="597"/>
      <c r="X614" s="597"/>
      <c r="Y614" s="597"/>
      <c r="Z614" s="597"/>
    </row>
    <row r="615" spans="1:26" ht="18.75" hidden="1">
      <c r="A615" s="607"/>
      <c r="B615" s="609"/>
      <c r="C615" s="609"/>
      <c r="D615" s="609"/>
      <c r="E615" s="609"/>
      <c r="F615" s="711"/>
      <c r="G615" s="365"/>
      <c r="H615" s="369" t="s">
        <v>34</v>
      </c>
      <c r="I615" s="610"/>
      <c r="J615" s="610">
        <v>0</v>
      </c>
      <c r="K615" s="167"/>
      <c r="L615" s="167"/>
      <c r="M615" s="167"/>
      <c r="N615" s="167"/>
      <c r="O615" s="167"/>
      <c r="P615" s="167"/>
      <c r="Q615" s="597"/>
      <c r="R615" s="597"/>
      <c r="S615" s="597"/>
      <c r="T615" s="597"/>
      <c r="U615" s="597"/>
      <c r="V615" s="597"/>
      <c r="W615" s="597"/>
      <c r="X615" s="597"/>
      <c r="Y615" s="597"/>
      <c r="Z615" s="597"/>
    </row>
    <row r="616" spans="1:26" ht="18.75" hidden="1">
      <c r="A616" s="607"/>
      <c r="B616" s="609"/>
      <c r="C616" s="609"/>
      <c r="D616" s="712" t="s">
        <v>264</v>
      </c>
      <c r="E616" s="711"/>
      <c r="F616" s="711"/>
      <c r="G616" s="365"/>
      <c r="H616" s="369" t="s">
        <v>46</v>
      </c>
      <c r="I616" s="610"/>
      <c r="J616" s="610">
        <v>0</v>
      </c>
      <c r="K616" s="167"/>
      <c r="L616" s="167"/>
      <c r="M616" s="167"/>
      <c r="N616" s="167"/>
      <c r="O616" s="167"/>
      <c r="P616" s="167"/>
      <c r="Q616" s="597"/>
      <c r="R616" s="597"/>
      <c r="S616" s="597"/>
      <c r="T616" s="597"/>
      <c r="U616" s="597"/>
      <c r="V616" s="597"/>
      <c r="W616" s="597"/>
      <c r="X616" s="597"/>
      <c r="Y616" s="597"/>
      <c r="Z616" s="597"/>
    </row>
    <row r="617" spans="1:26" ht="18.75" hidden="1">
      <c r="A617" s="607"/>
      <c r="B617" s="609"/>
      <c r="C617" s="609"/>
      <c r="D617" s="609"/>
      <c r="E617" s="711"/>
      <c r="F617" s="711"/>
      <c r="G617" s="365"/>
      <c r="H617" s="369" t="s">
        <v>34</v>
      </c>
      <c r="I617" s="610"/>
      <c r="J617" s="610">
        <v>0</v>
      </c>
      <c r="K617" s="167"/>
      <c r="L617" s="167"/>
      <c r="M617" s="167"/>
      <c r="N617" s="167"/>
      <c r="O617" s="167"/>
      <c r="P617" s="167"/>
      <c r="Q617" s="597"/>
      <c r="R617" s="597"/>
      <c r="S617" s="597"/>
      <c r="T617" s="597"/>
      <c r="U617" s="597"/>
      <c r="V617" s="597"/>
      <c r="W617" s="597"/>
      <c r="X617" s="597"/>
      <c r="Y617" s="597"/>
      <c r="Z617" s="597"/>
    </row>
    <row r="618" spans="1:26" ht="18.75" hidden="1">
      <c r="A618" s="607"/>
      <c r="B618" s="609"/>
      <c r="C618" s="609"/>
      <c r="D618" s="712" t="s">
        <v>265</v>
      </c>
      <c r="E618" s="711"/>
      <c r="F618" s="711"/>
      <c r="G618" s="365"/>
      <c r="H618" s="369" t="s">
        <v>46</v>
      </c>
      <c r="I618" s="610"/>
      <c r="J618" s="610">
        <v>0</v>
      </c>
      <c r="K618" s="167"/>
      <c r="L618" s="167"/>
      <c r="M618" s="167"/>
      <c r="N618" s="167"/>
      <c r="O618" s="167"/>
      <c r="P618" s="167"/>
      <c r="Q618" s="597"/>
      <c r="R618" s="597"/>
      <c r="S618" s="597"/>
      <c r="T618" s="597"/>
      <c r="U618" s="597"/>
      <c r="V618" s="597"/>
      <c r="W618" s="597"/>
      <c r="X618" s="597"/>
      <c r="Y618" s="597"/>
      <c r="Z618" s="597"/>
    </row>
    <row r="619" spans="1:26" ht="18.75" hidden="1">
      <c r="A619" s="607"/>
      <c r="B619" s="609"/>
      <c r="C619" s="609"/>
      <c r="D619" s="609"/>
      <c r="E619" s="711"/>
      <c r="F619" s="711"/>
      <c r="G619" s="365"/>
      <c r="H619" s="369" t="s">
        <v>34</v>
      </c>
      <c r="I619" s="610"/>
      <c r="J619" s="610">
        <v>0</v>
      </c>
      <c r="K619" s="167"/>
      <c r="L619" s="167"/>
      <c r="M619" s="167"/>
      <c r="N619" s="167"/>
      <c r="O619" s="167"/>
      <c r="P619" s="167"/>
      <c r="Q619" s="597"/>
      <c r="R619" s="597"/>
      <c r="S619" s="597"/>
      <c r="T619" s="597"/>
      <c r="U619" s="597"/>
      <c r="V619" s="597"/>
      <c r="W619" s="597"/>
      <c r="X619" s="597"/>
      <c r="Y619" s="597"/>
      <c r="Z619" s="597"/>
    </row>
    <row r="620" spans="1:26" ht="19.5" hidden="1">
      <c r="A620" s="713"/>
      <c r="B620" s="722"/>
      <c r="C620" s="715" t="s">
        <v>266</v>
      </c>
      <c r="D620" s="722"/>
      <c r="E620" s="722"/>
      <c r="F620" s="716"/>
      <c r="G620" s="717"/>
      <c r="H620" s="718" t="s">
        <v>46</v>
      </c>
      <c r="I620" s="719">
        <f ca="1">IFERROR(__xludf.DUMMYFUNCTION("IMPORTRANGE(""https://docs.google.com/spreadsheets/d/1QqKyyYR6Q21VydFLVH3TRQUabQu_ym0Zz7PgGX0-kHA/edit?usp=sharing"",""แผน!HL60"")"),0)</f>
        <v>0</v>
      </c>
      <c r="J620" s="719">
        <f t="shared" ref="J620:J621" si="259">J622+J624+J626</f>
        <v>0</v>
      </c>
      <c r="K620" s="720">
        <f t="shared" ref="K620:K621" ca="1" si="260">IF(I620&gt;0,J620*100/I620,0)</f>
        <v>0</v>
      </c>
      <c r="L620" s="721"/>
      <c r="M620" s="721"/>
      <c r="N620" s="721"/>
      <c r="O620" s="721"/>
      <c r="P620" s="721"/>
      <c r="Q620" s="571"/>
      <c r="R620" s="571"/>
      <c r="S620" s="571"/>
      <c r="T620" s="571"/>
      <c r="U620" s="571"/>
      <c r="V620" s="571"/>
      <c r="W620" s="571"/>
      <c r="X620" s="571"/>
      <c r="Y620" s="571"/>
      <c r="Z620" s="571"/>
    </row>
    <row r="621" spans="1:26" ht="19.5" hidden="1">
      <c r="A621" s="713"/>
      <c r="B621" s="722"/>
      <c r="C621" s="722" t="s">
        <v>267</v>
      </c>
      <c r="D621" s="722"/>
      <c r="E621" s="722"/>
      <c r="F621" s="716"/>
      <c r="G621" s="717"/>
      <c r="H621" s="718" t="s">
        <v>34</v>
      </c>
      <c r="I621" s="719">
        <f ca="1">IFERROR(__xludf.DUMMYFUNCTION("IMPORTRANGE(""https://docs.google.com/spreadsheets/d/1QqKyyYR6Q21VydFLVH3TRQUabQu_ym0Zz7PgGX0-kHA/edit?usp=sharing"",""แผน!HK60"")"),0)</f>
        <v>0</v>
      </c>
      <c r="J621" s="719">
        <f t="shared" si="259"/>
        <v>0</v>
      </c>
      <c r="K621" s="720">
        <f t="shared" ca="1" si="260"/>
        <v>0</v>
      </c>
      <c r="L621" s="721"/>
      <c r="M621" s="721"/>
      <c r="N621" s="721"/>
      <c r="O621" s="721"/>
      <c r="P621" s="721"/>
      <c r="Q621" s="571"/>
      <c r="R621" s="571"/>
      <c r="S621" s="571"/>
      <c r="T621" s="571"/>
      <c r="U621" s="571"/>
      <c r="V621" s="571"/>
      <c r="W621" s="571"/>
      <c r="X621" s="571"/>
      <c r="Y621" s="571"/>
      <c r="Z621" s="571"/>
    </row>
    <row r="622" spans="1:26" ht="18.75" hidden="1">
      <c r="A622" s="601"/>
      <c r="B622" s="611"/>
      <c r="C622" s="611"/>
      <c r="D622" s="737" t="s">
        <v>268</v>
      </c>
      <c r="E622" s="619"/>
      <c r="F622" s="619"/>
      <c r="G622" s="753"/>
      <c r="H622" s="755" t="s">
        <v>46</v>
      </c>
      <c r="I622" s="269"/>
      <c r="J622" s="214">
        <v>0</v>
      </c>
      <c r="K622" s="163"/>
      <c r="L622" s="163"/>
      <c r="M622" s="163"/>
      <c r="N622" s="163"/>
      <c r="O622" s="163"/>
      <c r="P622" s="163"/>
      <c r="Q622" s="571"/>
      <c r="R622" s="571"/>
      <c r="S622" s="571"/>
      <c r="T622" s="571"/>
      <c r="U622" s="571"/>
      <c r="V622" s="571"/>
      <c r="W622" s="571"/>
      <c r="X622" s="571"/>
      <c r="Y622" s="571"/>
      <c r="Z622" s="571"/>
    </row>
    <row r="623" spans="1:26" ht="18.75" hidden="1">
      <c r="A623" s="601"/>
      <c r="B623" s="611"/>
      <c r="C623" s="611"/>
      <c r="D623" s="611"/>
      <c r="E623" s="619"/>
      <c r="F623" s="619"/>
      <c r="G623" s="753"/>
      <c r="H623" s="755" t="s">
        <v>34</v>
      </c>
      <c r="I623" s="269"/>
      <c r="J623" s="214">
        <v>0</v>
      </c>
      <c r="K623" s="163"/>
      <c r="L623" s="163"/>
      <c r="M623" s="163"/>
      <c r="N623" s="163"/>
      <c r="O623" s="163"/>
      <c r="P623" s="163"/>
      <c r="Q623" s="571"/>
      <c r="R623" s="571"/>
      <c r="S623" s="571"/>
      <c r="T623" s="571"/>
      <c r="U623" s="571"/>
      <c r="V623" s="571"/>
      <c r="W623" s="571"/>
      <c r="X623" s="571"/>
      <c r="Y623" s="571"/>
      <c r="Z623" s="571"/>
    </row>
    <row r="624" spans="1:26" ht="18.75" hidden="1">
      <c r="A624" s="601"/>
      <c r="B624" s="611"/>
      <c r="C624" s="611"/>
      <c r="D624" s="737" t="s">
        <v>264</v>
      </c>
      <c r="E624" s="619"/>
      <c r="F624" s="619"/>
      <c r="G624" s="753"/>
      <c r="H624" s="755" t="s">
        <v>46</v>
      </c>
      <c r="I624" s="269"/>
      <c r="J624" s="214">
        <v>0</v>
      </c>
      <c r="K624" s="163"/>
      <c r="L624" s="163"/>
      <c r="M624" s="163"/>
      <c r="N624" s="163"/>
      <c r="O624" s="163"/>
      <c r="P624" s="163"/>
      <c r="Q624" s="571"/>
      <c r="R624" s="571"/>
      <c r="S624" s="571"/>
      <c r="T624" s="571"/>
      <c r="U624" s="571"/>
      <c r="V624" s="571"/>
      <c r="W624" s="571"/>
      <c r="X624" s="571"/>
      <c r="Y624" s="571"/>
      <c r="Z624" s="571"/>
    </row>
    <row r="625" spans="1:26" ht="18.75" hidden="1">
      <c r="A625" s="601"/>
      <c r="B625" s="611"/>
      <c r="C625" s="611"/>
      <c r="D625" s="611"/>
      <c r="E625" s="619"/>
      <c r="F625" s="619"/>
      <c r="G625" s="753"/>
      <c r="H625" s="755" t="s">
        <v>34</v>
      </c>
      <c r="I625" s="269"/>
      <c r="J625" s="214">
        <v>0</v>
      </c>
      <c r="K625" s="163"/>
      <c r="L625" s="163"/>
      <c r="M625" s="163"/>
      <c r="N625" s="163"/>
      <c r="O625" s="163"/>
      <c r="P625" s="163"/>
      <c r="Q625" s="571"/>
      <c r="R625" s="571"/>
      <c r="S625" s="571"/>
      <c r="T625" s="571"/>
      <c r="U625" s="571"/>
      <c r="V625" s="571"/>
      <c r="W625" s="571"/>
      <c r="X625" s="571"/>
      <c r="Y625" s="571"/>
      <c r="Z625" s="571"/>
    </row>
    <row r="626" spans="1:26" ht="18.75" hidden="1">
      <c r="A626" s="601"/>
      <c r="B626" s="611"/>
      <c r="C626" s="611"/>
      <c r="D626" s="737" t="s">
        <v>269</v>
      </c>
      <c r="E626" s="619"/>
      <c r="F626" s="619"/>
      <c r="G626" s="753"/>
      <c r="H626" s="755" t="s">
        <v>46</v>
      </c>
      <c r="I626" s="269"/>
      <c r="J626" s="214">
        <v>0</v>
      </c>
      <c r="K626" s="163"/>
      <c r="L626" s="163"/>
      <c r="M626" s="163"/>
      <c r="N626" s="163"/>
      <c r="O626" s="163"/>
      <c r="P626" s="163"/>
      <c r="Q626" s="571"/>
      <c r="R626" s="571"/>
      <c r="S626" s="571"/>
      <c r="T626" s="571"/>
      <c r="U626" s="571"/>
      <c r="V626" s="571"/>
      <c r="W626" s="571"/>
      <c r="X626" s="571"/>
      <c r="Y626" s="571"/>
      <c r="Z626" s="571"/>
    </row>
    <row r="627" spans="1:26" ht="18.75" hidden="1">
      <c r="A627" s="723"/>
      <c r="B627" s="724"/>
      <c r="C627" s="724"/>
      <c r="D627" s="724"/>
      <c r="E627" s="725"/>
      <c r="F627" s="725"/>
      <c r="G627" s="726"/>
      <c r="H627" s="421" t="s">
        <v>34</v>
      </c>
      <c r="I627" s="499"/>
      <c r="J627" s="423">
        <v>0</v>
      </c>
      <c r="K627" s="384"/>
      <c r="L627" s="384"/>
      <c r="M627" s="384"/>
      <c r="N627" s="384"/>
      <c r="O627" s="384"/>
      <c r="P627" s="384"/>
      <c r="Q627" s="571"/>
      <c r="R627" s="571"/>
      <c r="S627" s="571"/>
      <c r="T627" s="571"/>
      <c r="U627" s="571"/>
      <c r="V627" s="571"/>
      <c r="W627" s="571"/>
      <c r="X627" s="571"/>
      <c r="Y627" s="571"/>
      <c r="Z627" s="571"/>
    </row>
    <row r="628" spans="1:26" ht="19.5" hidden="1">
      <c r="A628" s="727">
        <v>7</v>
      </c>
      <c r="B628" s="728" t="s">
        <v>270</v>
      </c>
      <c r="C628" s="729"/>
      <c r="D628" s="729"/>
      <c r="E628" s="729"/>
      <c r="F628" s="729"/>
      <c r="G628" s="730"/>
      <c r="H628" s="731" t="s">
        <v>35</v>
      </c>
      <c r="I628" s="732">
        <f t="shared" ref="I628:J628" ca="1" si="261">I651</f>
        <v>0</v>
      </c>
      <c r="J628" s="732">
        <f t="shared" ca="1" si="261"/>
        <v>0</v>
      </c>
      <c r="K628" s="733">
        <f ca="1">IF(I628&gt;0,J628*100/I628,0)</f>
        <v>0</v>
      </c>
      <c r="L628" s="734"/>
      <c r="M628" s="734"/>
      <c r="N628" s="734"/>
      <c r="O628" s="734"/>
      <c r="P628" s="734"/>
      <c r="Q628" s="571"/>
      <c r="R628" s="571"/>
      <c r="S628" s="571"/>
      <c r="T628" s="571"/>
      <c r="U628" s="571"/>
      <c r="V628" s="571"/>
      <c r="W628" s="571"/>
      <c r="X628" s="571"/>
      <c r="Y628" s="571"/>
      <c r="Z628" s="571"/>
    </row>
    <row r="629" spans="1:26" ht="19.5" hidden="1">
      <c r="A629" s="590"/>
      <c r="B629" s="754"/>
      <c r="C629" s="754" t="s">
        <v>16</v>
      </c>
      <c r="D629" s="863" t="s">
        <v>17</v>
      </c>
      <c r="E629" s="857"/>
      <c r="F629" s="857"/>
      <c r="G629" s="189"/>
      <c r="H629" s="591" t="s">
        <v>12</v>
      </c>
      <c r="I629" s="269"/>
      <c r="J629" s="269"/>
      <c r="K629" s="496"/>
      <c r="L629" s="195">
        <f t="shared" ref="L629:N629" ca="1" si="262">L630+L631</f>
        <v>0</v>
      </c>
      <c r="M629" s="195">
        <f t="shared" si="262"/>
        <v>0</v>
      </c>
      <c r="N629" s="195">
        <f t="shared" si="262"/>
        <v>0</v>
      </c>
      <c r="O629" s="195">
        <f t="shared" ref="O629:O634" ca="1" si="263">IF(L629&gt;0,N629*100/L629,0)</f>
        <v>0</v>
      </c>
      <c r="P629" s="195">
        <f t="shared" ref="P629:P634" si="264">IF(M629&gt;0,N629*100/M629,0)</f>
        <v>0</v>
      </c>
      <c r="Q629" s="571"/>
      <c r="R629" s="571"/>
      <c r="S629" s="571"/>
      <c r="T629" s="571"/>
      <c r="U629" s="571"/>
      <c r="V629" s="571"/>
      <c r="W629" s="571"/>
      <c r="X629" s="571"/>
      <c r="Y629" s="571"/>
      <c r="Z629" s="571"/>
    </row>
    <row r="630" spans="1:26" ht="18.75" hidden="1">
      <c r="A630" s="592"/>
      <c r="B630" s="750"/>
      <c r="C630" s="750"/>
      <c r="D630" s="711"/>
      <c r="E630" s="750" t="s">
        <v>184</v>
      </c>
      <c r="F630" s="750"/>
      <c r="G630" s="596"/>
      <c r="H630" s="165" t="s">
        <v>12</v>
      </c>
      <c r="I630" s="610"/>
      <c r="J630" s="610"/>
      <c r="K630" s="93"/>
      <c r="L630" s="93">
        <f t="shared" ref="L630:N631" si="265">L633+L640</f>
        <v>0</v>
      </c>
      <c r="M630" s="93">
        <f t="shared" si="265"/>
        <v>0</v>
      </c>
      <c r="N630" s="93">
        <f t="shared" si="265"/>
        <v>0</v>
      </c>
      <c r="O630" s="93">
        <f t="shared" si="263"/>
        <v>0</v>
      </c>
      <c r="P630" s="93">
        <f t="shared" si="264"/>
        <v>0</v>
      </c>
      <c r="Q630" s="597"/>
      <c r="R630" s="597"/>
      <c r="S630" s="597"/>
      <c r="T630" s="597"/>
      <c r="U630" s="597"/>
      <c r="V630" s="597"/>
      <c r="W630" s="597"/>
      <c r="X630" s="597"/>
      <c r="Y630" s="597"/>
      <c r="Z630" s="597"/>
    </row>
    <row r="631" spans="1:26" ht="18.75" hidden="1">
      <c r="A631" s="592"/>
      <c r="B631" s="600"/>
      <c r="C631" s="750"/>
      <c r="D631" s="711"/>
      <c r="E631" s="750" t="s">
        <v>185</v>
      </c>
      <c r="F631" s="750"/>
      <c r="G631" s="596"/>
      <c r="H631" s="165" t="s">
        <v>12</v>
      </c>
      <c r="I631" s="610"/>
      <c r="J631" s="610"/>
      <c r="K631" s="93"/>
      <c r="L631" s="93">
        <f t="shared" ca="1" si="265"/>
        <v>0</v>
      </c>
      <c r="M631" s="93">
        <f t="shared" si="265"/>
        <v>0</v>
      </c>
      <c r="N631" s="93">
        <f t="shared" si="265"/>
        <v>0</v>
      </c>
      <c r="O631" s="93">
        <f t="shared" ca="1" si="263"/>
        <v>0</v>
      </c>
      <c r="P631" s="93">
        <f t="shared" si="264"/>
        <v>0</v>
      </c>
      <c r="Q631" s="597"/>
      <c r="R631" s="597"/>
      <c r="S631" s="597"/>
      <c r="T631" s="597"/>
      <c r="U631" s="597"/>
      <c r="V631" s="597"/>
      <c r="W631" s="597"/>
      <c r="X631" s="597"/>
      <c r="Y631" s="597"/>
      <c r="Z631" s="597"/>
    </row>
    <row r="632" spans="1:26" ht="18.75" hidden="1">
      <c r="A632" s="590"/>
      <c r="B632" s="568"/>
      <c r="C632" s="754"/>
      <c r="D632" s="599" t="s">
        <v>20</v>
      </c>
      <c r="E632" s="754"/>
      <c r="F632" s="754"/>
      <c r="G632" s="189"/>
      <c r="H632" s="161" t="s">
        <v>12</v>
      </c>
      <c r="I632" s="184"/>
      <c r="J632" s="184"/>
      <c r="K632" s="163"/>
      <c r="L632" s="496">
        <f t="shared" ref="L632:N632" ca="1" si="266">L633+L634</f>
        <v>0</v>
      </c>
      <c r="M632" s="496">
        <f t="shared" si="266"/>
        <v>0</v>
      </c>
      <c r="N632" s="496">
        <f t="shared" si="266"/>
        <v>0</v>
      </c>
      <c r="O632" s="496">
        <f t="shared" ca="1" si="263"/>
        <v>0</v>
      </c>
      <c r="P632" s="496">
        <f t="shared" si="264"/>
        <v>0</v>
      </c>
      <c r="Q632" s="571"/>
      <c r="R632" s="571"/>
      <c r="S632" s="571"/>
      <c r="T632" s="571"/>
      <c r="U632" s="571"/>
      <c r="V632" s="571"/>
      <c r="W632" s="571"/>
      <c r="X632" s="571"/>
      <c r="Y632" s="571"/>
      <c r="Z632" s="571"/>
    </row>
    <row r="633" spans="1:26" ht="18.75" hidden="1">
      <c r="A633" s="592"/>
      <c r="B633" s="600"/>
      <c r="C633" s="750"/>
      <c r="D633" s="711"/>
      <c r="E633" s="750" t="s">
        <v>184</v>
      </c>
      <c r="F633" s="750"/>
      <c r="G633" s="596"/>
      <c r="H633" s="165" t="s">
        <v>12</v>
      </c>
      <c r="I633" s="610"/>
      <c r="J633" s="610"/>
      <c r="K633" s="93"/>
      <c r="L633" s="93">
        <v>0</v>
      </c>
      <c r="M633" s="93">
        <v>0</v>
      </c>
      <c r="N633" s="93">
        <v>0</v>
      </c>
      <c r="O633" s="93">
        <f t="shared" si="263"/>
        <v>0</v>
      </c>
      <c r="P633" s="93">
        <f t="shared" si="264"/>
        <v>0</v>
      </c>
      <c r="Q633" s="597"/>
      <c r="R633" s="597"/>
      <c r="S633" s="597"/>
      <c r="T633" s="597"/>
      <c r="U633" s="597"/>
      <c r="V633" s="597"/>
      <c r="W633" s="597"/>
      <c r="X633" s="597"/>
      <c r="Y633" s="597"/>
      <c r="Z633" s="597"/>
    </row>
    <row r="634" spans="1:26" ht="18.75" hidden="1">
      <c r="A634" s="592"/>
      <c r="B634" s="600"/>
      <c r="C634" s="750"/>
      <c r="D634" s="711"/>
      <c r="E634" s="750" t="s">
        <v>185</v>
      </c>
      <c r="F634" s="750"/>
      <c r="G634" s="596"/>
      <c r="H634" s="165" t="s">
        <v>12</v>
      </c>
      <c r="I634" s="610"/>
      <c r="J634" s="610"/>
      <c r="K634" s="93"/>
      <c r="L634" s="93">
        <f ca="1">IFERROR(__xludf.DUMMYFUNCTION("IMPORTRANGE(""https://docs.google.com/spreadsheets/d/1QqKyyYR6Q21VydFLVH3TRQUabQu_ym0Zz7PgGX0-kHA/edit?usp=sharing"",""แผน!HN60"")"),0)</f>
        <v>0</v>
      </c>
      <c r="M634" s="93">
        <v>0</v>
      </c>
      <c r="N634" s="93">
        <f>N635+N636+N637+N638</f>
        <v>0</v>
      </c>
      <c r="O634" s="93">
        <f t="shared" ca="1" si="263"/>
        <v>0</v>
      </c>
      <c r="P634" s="93">
        <f t="shared" si="264"/>
        <v>0</v>
      </c>
      <c r="Q634" s="597"/>
      <c r="R634" s="597"/>
      <c r="S634" s="597"/>
      <c r="T634" s="597"/>
      <c r="U634" s="597"/>
      <c r="V634" s="597"/>
      <c r="W634" s="597"/>
      <c r="X634" s="597"/>
      <c r="Y634" s="597"/>
      <c r="Z634" s="597"/>
    </row>
    <row r="635" spans="1:26" ht="18.75" hidden="1">
      <c r="A635" s="567"/>
      <c r="B635" s="568"/>
      <c r="C635" s="754"/>
      <c r="D635" s="754"/>
      <c r="E635" s="754"/>
      <c r="F635" s="754" t="s">
        <v>186</v>
      </c>
      <c r="G635" s="189"/>
      <c r="H635" s="161" t="s">
        <v>12</v>
      </c>
      <c r="I635" s="269"/>
      <c r="J635" s="269"/>
      <c r="K635" s="496"/>
      <c r="L635" s="496"/>
      <c r="M635" s="496"/>
      <c r="N635" s="817">
        <v>0</v>
      </c>
      <c r="O635" s="496"/>
      <c r="P635" s="496"/>
      <c r="Q635" s="571"/>
      <c r="R635" s="571"/>
      <c r="S635" s="571"/>
      <c r="T635" s="571"/>
      <c r="U635" s="571"/>
      <c r="V635" s="571"/>
      <c r="W635" s="571"/>
      <c r="X635" s="571"/>
      <c r="Y635" s="571"/>
      <c r="Z635" s="571"/>
    </row>
    <row r="636" spans="1:26" ht="18.75" hidden="1">
      <c r="A636" s="567"/>
      <c r="B636" s="568"/>
      <c r="C636" s="754"/>
      <c r="D636" s="754"/>
      <c r="E636" s="754"/>
      <c r="F636" s="754" t="s">
        <v>187</v>
      </c>
      <c r="G636" s="189"/>
      <c r="H636" s="161" t="s">
        <v>12</v>
      </c>
      <c r="I636" s="269"/>
      <c r="J636" s="269"/>
      <c r="K636" s="496"/>
      <c r="L636" s="496"/>
      <c r="M636" s="496"/>
      <c r="N636" s="817">
        <v>0</v>
      </c>
      <c r="O636" s="496"/>
      <c r="P636" s="496"/>
      <c r="Q636" s="571"/>
      <c r="R636" s="571"/>
      <c r="S636" s="571"/>
      <c r="T636" s="571"/>
      <c r="U636" s="571"/>
      <c r="V636" s="571"/>
      <c r="W636" s="571"/>
      <c r="X636" s="571"/>
      <c r="Y636" s="571"/>
      <c r="Z636" s="571"/>
    </row>
    <row r="637" spans="1:26" ht="18.75" hidden="1">
      <c r="A637" s="567"/>
      <c r="B637" s="568"/>
      <c r="C637" s="754"/>
      <c r="D637" s="754"/>
      <c r="E637" s="754"/>
      <c r="F637" s="754" t="s">
        <v>188</v>
      </c>
      <c r="G637" s="189"/>
      <c r="H637" s="161" t="s">
        <v>12</v>
      </c>
      <c r="I637" s="269"/>
      <c r="J637" s="269"/>
      <c r="K637" s="496"/>
      <c r="L637" s="496"/>
      <c r="M637" s="496"/>
      <c r="N637" s="817">
        <v>0</v>
      </c>
      <c r="O637" s="496"/>
      <c r="P637" s="496"/>
      <c r="Q637" s="571"/>
      <c r="R637" s="571"/>
      <c r="S637" s="571"/>
      <c r="T637" s="571"/>
      <c r="U637" s="571"/>
      <c r="V637" s="571"/>
      <c r="W637" s="571"/>
      <c r="X637" s="571"/>
      <c r="Y637" s="571"/>
      <c r="Z637" s="571"/>
    </row>
    <row r="638" spans="1:26" ht="18.75" hidden="1">
      <c r="A638" s="567"/>
      <c r="B638" s="568"/>
      <c r="C638" s="754"/>
      <c r="D638" s="754"/>
      <c r="E638" s="754"/>
      <c r="F638" s="754" t="s">
        <v>189</v>
      </c>
      <c r="G638" s="189"/>
      <c r="H638" s="161" t="s">
        <v>12</v>
      </c>
      <c r="I638" s="269"/>
      <c r="J638" s="269"/>
      <c r="K638" s="496"/>
      <c r="L638" s="496"/>
      <c r="M638" s="496"/>
      <c r="N638" s="817">
        <v>0</v>
      </c>
      <c r="O638" s="496"/>
      <c r="P638" s="496"/>
      <c r="Q638" s="571"/>
      <c r="R638" s="571"/>
      <c r="S638" s="571"/>
      <c r="T638" s="571"/>
      <c r="U638" s="571"/>
      <c r="V638" s="571"/>
      <c r="W638" s="571"/>
      <c r="X638" s="571"/>
      <c r="Y638" s="571"/>
      <c r="Z638" s="571"/>
    </row>
    <row r="639" spans="1:26" ht="18.75" hidden="1">
      <c r="A639" s="590"/>
      <c r="B639" s="568"/>
      <c r="C639" s="754"/>
      <c r="D639" s="599" t="s">
        <v>21</v>
      </c>
      <c r="E639" s="754"/>
      <c r="F639" s="754"/>
      <c r="G639" s="189"/>
      <c r="H639" s="168" t="s">
        <v>12</v>
      </c>
      <c r="I639" s="184"/>
      <c r="J639" s="184"/>
      <c r="K639" s="163"/>
      <c r="L639" s="496">
        <f t="shared" ref="L639:N639" ca="1" si="267">L640+L641</f>
        <v>0</v>
      </c>
      <c r="M639" s="496">
        <f t="shared" si="267"/>
        <v>0</v>
      </c>
      <c r="N639" s="496">
        <f t="shared" si="267"/>
        <v>0</v>
      </c>
      <c r="O639" s="496">
        <f t="shared" ref="O639:O641" ca="1" si="268">IF(L639&gt;0,N639*100/L639,0)</f>
        <v>0</v>
      </c>
      <c r="P639" s="496">
        <f t="shared" ref="P639:P641" si="269">IF(M639&gt;0,N639*100/M639,0)</f>
        <v>0</v>
      </c>
      <c r="Q639" s="571"/>
      <c r="R639" s="571"/>
      <c r="S639" s="571"/>
      <c r="T639" s="571"/>
      <c r="U639" s="571"/>
      <c r="V639" s="571"/>
      <c r="W639" s="571"/>
      <c r="X639" s="571"/>
      <c r="Y639" s="571"/>
      <c r="Z639" s="571"/>
    </row>
    <row r="640" spans="1:26" ht="18.75" hidden="1">
      <c r="A640" s="592"/>
      <c r="B640" s="600"/>
      <c r="C640" s="750"/>
      <c r="D640" s="750"/>
      <c r="E640" s="750" t="s">
        <v>18</v>
      </c>
      <c r="F640" s="750"/>
      <c r="G640" s="596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8"/>
        <v>0</v>
      </c>
      <c r="P640" s="93">
        <f t="shared" si="269"/>
        <v>0</v>
      </c>
      <c r="Q640" s="597"/>
      <c r="R640" s="597"/>
      <c r="S640" s="597"/>
      <c r="T640" s="597"/>
      <c r="U640" s="597"/>
      <c r="V640" s="597"/>
      <c r="W640" s="597"/>
      <c r="X640" s="597"/>
      <c r="Y640" s="597"/>
      <c r="Z640" s="597"/>
    </row>
    <row r="641" spans="1:26" ht="18.75" hidden="1">
      <c r="A641" s="592"/>
      <c r="B641" s="600"/>
      <c r="C641" s="750"/>
      <c r="D641" s="750"/>
      <c r="E641" s="750" t="s">
        <v>19</v>
      </c>
      <c r="F641" s="750"/>
      <c r="G641" s="596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IFERROR(__xludf.DUMMYFUNCTION("IMPORTRANGE(""https://docs.google.com/spreadsheets/d/1QqKyyYR6Q21VydFLVH3TRQUabQu_ym0Zz7PgGX0-kHA/edit?usp=sharing"",""แผน!HQ60"")"),0)</f>
        <v>0</v>
      </c>
      <c r="M641" s="93">
        <v>0</v>
      </c>
      <c r="N641" s="93">
        <v>0</v>
      </c>
      <c r="O641" s="93">
        <f t="shared" ca="1" si="268"/>
        <v>0</v>
      </c>
      <c r="P641" s="93">
        <f t="shared" si="269"/>
        <v>0</v>
      </c>
      <c r="Q641" s="597"/>
      <c r="R641" s="597"/>
      <c r="S641" s="597"/>
      <c r="T641" s="597"/>
      <c r="U641" s="597"/>
      <c r="V641" s="597"/>
      <c r="W641" s="597"/>
      <c r="X641" s="597"/>
      <c r="Y641" s="597"/>
      <c r="Z641" s="597"/>
    </row>
    <row r="642" spans="1:26" ht="19.5" hidden="1">
      <c r="A642" s="601"/>
      <c r="B642" s="611"/>
      <c r="C642" s="754" t="s">
        <v>16</v>
      </c>
      <c r="D642" s="839" t="s">
        <v>38</v>
      </c>
      <c r="E642" s="752"/>
      <c r="F642" s="752"/>
      <c r="G642" s="606"/>
      <c r="H642" s="753"/>
      <c r="I642" s="184"/>
      <c r="J642" s="184"/>
      <c r="K642" s="163"/>
      <c r="L642" s="163"/>
      <c r="M642" s="163"/>
      <c r="N642" s="163"/>
      <c r="O642" s="163"/>
      <c r="P642" s="163"/>
      <c r="Q642" s="571"/>
      <c r="R642" s="571"/>
      <c r="S642" s="571"/>
      <c r="T642" s="571"/>
      <c r="U642" s="571"/>
      <c r="V642" s="571"/>
      <c r="W642" s="571"/>
      <c r="X642" s="571"/>
      <c r="Y642" s="571"/>
      <c r="Z642" s="571"/>
    </row>
    <row r="643" spans="1:26" ht="18.75" hidden="1">
      <c r="A643" s="735"/>
      <c r="B643" s="568"/>
      <c r="C643" s="754"/>
      <c r="D643" s="619"/>
      <c r="E643" s="737" t="s">
        <v>271</v>
      </c>
      <c r="F643" s="619"/>
      <c r="G643" s="753"/>
      <c r="H643" s="755" t="s">
        <v>272</v>
      </c>
      <c r="I643" s="269">
        <f ca="1">IFERROR(__xludf.DUMMYFUNCTION("IMPORTRANGE(""https://docs.google.com/spreadsheets/d/1QqKyyYR6Q21VydFLVH3TRQUabQu_ym0Zz7PgGX0-kHA/edit?usp=sharing"",""แผน!HR60"")"),0)</f>
        <v>0</v>
      </c>
      <c r="J643" s="214">
        <v>0</v>
      </c>
      <c r="K643" s="163">
        <f t="shared" ref="K643:K652" ca="1" si="270">IF(I643&gt;0,J643*100/I643,0)</f>
        <v>0</v>
      </c>
      <c r="L643" s="163"/>
      <c r="M643" s="163"/>
      <c r="N643" s="496"/>
      <c r="O643" s="163"/>
      <c r="P643" s="163"/>
      <c r="Q643" s="571"/>
      <c r="R643" s="571"/>
      <c r="S643" s="571"/>
      <c r="T643" s="571"/>
      <c r="U643" s="571"/>
      <c r="V643" s="571"/>
      <c r="W643" s="571"/>
      <c r="X643" s="571"/>
      <c r="Y643" s="571"/>
      <c r="Z643" s="571"/>
    </row>
    <row r="644" spans="1:26" ht="18.75" hidden="1">
      <c r="A644" s="735"/>
      <c r="B644" s="568"/>
      <c r="C644" s="754"/>
      <c r="D644" s="619"/>
      <c r="E644" s="737" t="s">
        <v>273</v>
      </c>
      <c r="F644" s="619"/>
      <c r="G644" s="753"/>
      <c r="H644" s="755" t="s">
        <v>274</v>
      </c>
      <c r="I644" s="269">
        <f ca="1">IFERROR(__xludf.DUMMYFUNCTION("IMPORTRANGE(""https://docs.google.com/spreadsheets/d/1QqKyyYR6Q21VydFLVH3TRQUabQu_ym0Zz7PgGX0-kHA/edit?usp=sharing"",""แผน!HR60"")"),0)</f>
        <v>0</v>
      </c>
      <c r="J644" s="214">
        <v>0</v>
      </c>
      <c r="K644" s="163">
        <f t="shared" ca="1" si="270"/>
        <v>0</v>
      </c>
      <c r="L644" s="163"/>
      <c r="M644" s="163"/>
      <c r="N644" s="496"/>
      <c r="O644" s="163"/>
      <c r="P644" s="163"/>
      <c r="Q644" s="571"/>
      <c r="R644" s="571"/>
      <c r="S644" s="571"/>
      <c r="T644" s="571"/>
      <c r="U644" s="571"/>
      <c r="V644" s="571"/>
      <c r="W644" s="571"/>
      <c r="X644" s="571"/>
      <c r="Y644" s="571"/>
      <c r="Z644" s="571"/>
    </row>
    <row r="645" spans="1:26" ht="18.75" hidden="1">
      <c r="A645" s="735"/>
      <c r="B645" s="568"/>
      <c r="C645" s="754"/>
      <c r="D645" s="619"/>
      <c r="E645" s="737" t="s">
        <v>275</v>
      </c>
      <c r="F645" s="619"/>
      <c r="G645" s="753"/>
      <c r="H645" s="755" t="s">
        <v>34</v>
      </c>
      <c r="I645" s="269">
        <v>0</v>
      </c>
      <c r="J645" s="269">
        <f ca="1">IFERROR(__xludf.DUMMYFUNCTION("IMPORTRANGE(""https://docs.google.com/spreadsheets/d/1XWAQStnk-4SwqDmLtmXYiTMKHgktTP8We1SCoS47DrQ/edit?usp=sharing"",""จัดที่ดิน!AS60"")"),0)</f>
        <v>0</v>
      </c>
      <c r="K645" s="163">
        <f t="shared" si="270"/>
        <v>0</v>
      </c>
      <c r="L645" s="163"/>
      <c r="M645" s="163"/>
      <c r="N645" s="496"/>
      <c r="O645" s="163"/>
      <c r="P645" s="163"/>
      <c r="Q645" s="571"/>
      <c r="R645" s="571"/>
      <c r="S645" s="571"/>
      <c r="T645" s="571"/>
      <c r="U645" s="571"/>
      <c r="V645" s="571"/>
      <c r="W645" s="571"/>
      <c r="X645" s="571"/>
      <c r="Y645" s="571"/>
      <c r="Z645" s="571"/>
    </row>
    <row r="646" spans="1:26" ht="18.75" hidden="1">
      <c r="A646" s="735"/>
      <c r="B646" s="568"/>
      <c r="C646" s="754"/>
      <c r="D646" s="619"/>
      <c r="E646" s="619"/>
      <c r="F646" s="619"/>
      <c r="G646" s="753"/>
      <c r="H646" s="755" t="s">
        <v>46</v>
      </c>
      <c r="I646" s="269">
        <v>0</v>
      </c>
      <c r="J646" s="269">
        <f ca="1">IFERROR(__xludf.DUMMYFUNCTION("IMPORTRANGE(""https://docs.google.com/spreadsheets/d/1XWAQStnk-4SwqDmLtmXYiTMKHgktTP8We1SCoS47DrQ/edit?usp=sharing"",""จัดที่ดิน!AT60"")"),0)</f>
        <v>0</v>
      </c>
      <c r="K646" s="496">
        <f t="shared" si="270"/>
        <v>0</v>
      </c>
      <c r="L646" s="163"/>
      <c r="M646" s="163"/>
      <c r="N646" s="496"/>
      <c r="O646" s="163"/>
      <c r="P646" s="163"/>
      <c r="Q646" s="571"/>
      <c r="R646" s="571"/>
      <c r="S646" s="571"/>
      <c r="T646" s="571"/>
      <c r="U646" s="571"/>
      <c r="V646" s="571"/>
      <c r="W646" s="571"/>
      <c r="X646" s="571"/>
      <c r="Y646" s="571"/>
      <c r="Z646" s="571"/>
    </row>
    <row r="647" spans="1:26" ht="18.75" hidden="1">
      <c r="A647" s="735"/>
      <c r="B647" s="568"/>
      <c r="C647" s="754"/>
      <c r="D647" s="619"/>
      <c r="E647" s="737" t="s">
        <v>162</v>
      </c>
      <c r="F647" s="619"/>
      <c r="G647" s="753"/>
      <c r="H647" s="755" t="s">
        <v>35</v>
      </c>
      <c r="I647" s="269">
        <f ca="1">IFERROR(__xludf.DUMMYFUNCTION("IMPORTRANGE(""https://docs.google.com/spreadsheets/d/1QqKyyYR6Q21VydFLVH3TRQUabQu_ym0Zz7PgGX0-kHA/edit?usp=sharing"",""แผน!HS60"")"),0)</f>
        <v>0</v>
      </c>
      <c r="J647" s="269">
        <f ca="1">IFERROR(__xludf.DUMMYFUNCTION("IMPORTRANGE(""https://docs.google.com/spreadsheets/d/1XWAQStnk-4SwqDmLtmXYiTMKHgktTP8We1SCoS47DrQ/edit?usp=sharing"",""จัดที่ดิน!AU60"")"),0)</f>
        <v>0</v>
      </c>
      <c r="K647" s="163">
        <f t="shared" ca="1" si="270"/>
        <v>0</v>
      </c>
      <c r="L647" s="163"/>
      <c r="M647" s="163"/>
      <c r="N647" s="163"/>
      <c r="O647" s="163"/>
      <c r="P647" s="163"/>
      <c r="Q647" s="571"/>
      <c r="R647" s="571"/>
      <c r="S647" s="571"/>
      <c r="T647" s="571"/>
      <c r="U647" s="571"/>
      <c r="V647" s="571"/>
      <c r="W647" s="571"/>
      <c r="X647" s="571"/>
      <c r="Y647" s="571"/>
      <c r="Z647" s="571"/>
    </row>
    <row r="648" spans="1:26" ht="18.75" hidden="1">
      <c r="A648" s="735"/>
      <c r="B648" s="568"/>
      <c r="C648" s="754"/>
      <c r="D648" s="619"/>
      <c r="E648" s="619"/>
      <c r="F648" s="619"/>
      <c r="G648" s="753"/>
      <c r="H648" s="755" t="s">
        <v>46</v>
      </c>
      <c r="I648" s="269">
        <v>0</v>
      </c>
      <c r="J648" s="269">
        <f ca="1">IFERROR(__xludf.DUMMYFUNCTION("IMPORTRANGE(""https://docs.google.com/spreadsheets/d/1XWAQStnk-4SwqDmLtmXYiTMKHgktTP8We1SCoS47DrQ/edit?usp=sharing"",""จัดที่ดิน!AV60"")"),0)</f>
        <v>0</v>
      </c>
      <c r="K648" s="496">
        <f t="shared" si="270"/>
        <v>0</v>
      </c>
      <c r="L648" s="163"/>
      <c r="M648" s="163"/>
      <c r="N648" s="163"/>
      <c r="O648" s="163"/>
      <c r="P648" s="163"/>
      <c r="Q648" s="571"/>
      <c r="R648" s="571"/>
      <c r="S648" s="571"/>
      <c r="T648" s="571"/>
      <c r="U648" s="571"/>
      <c r="V648" s="571"/>
      <c r="W648" s="571"/>
      <c r="X648" s="571"/>
      <c r="Y648" s="571"/>
      <c r="Z648" s="571"/>
    </row>
    <row r="649" spans="1:26" ht="18.75" hidden="1">
      <c r="A649" s="735"/>
      <c r="B649" s="568"/>
      <c r="C649" s="754"/>
      <c r="D649" s="619"/>
      <c r="E649" s="737" t="s">
        <v>276</v>
      </c>
      <c r="F649" s="619"/>
      <c r="G649" s="753"/>
      <c r="H649" s="755" t="s">
        <v>35</v>
      </c>
      <c r="I649" s="269">
        <f ca="1">IFERROR(__xludf.DUMMYFUNCTION("IMPORTRANGE(""https://docs.google.com/spreadsheets/d/1QqKyyYR6Q21VydFLVH3TRQUabQu_ym0Zz7PgGX0-kHA/edit?usp=sharing"",""แผน!HS60"")"),0)</f>
        <v>0</v>
      </c>
      <c r="J649" s="269">
        <f ca="1">IFERROR(__xludf.DUMMYFUNCTION("IMPORTRANGE(""https://docs.google.com/spreadsheets/d/1XWAQStnk-4SwqDmLtmXYiTMKHgktTP8We1SCoS47DrQ/edit?usp=sharing"",""จัดที่ดิน!AW60"")"),0)</f>
        <v>0</v>
      </c>
      <c r="K649" s="163">
        <f t="shared" ca="1" si="270"/>
        <v>0</v>
      </c>
      <c r="L649" s="163"/>
      <c r="M649" s="163"/>
      <c r="N649" s="163"/>
      <c r="O649" s="163"/>
      <c r="P649" s="163"/>
      <c r="Q649" s="571"/>
      <c r="R649" s="571"/>
      <c r="S649" s="571"/>
      <c r="T649" s="571"/>
      <c r="U649" s="571"/>
      <c r="V649" s="571"/>
      <c r="W649" s="571"/>
      <c r="X649" s="571"/>
      <c r="Y649" s="571"/>
      <c r="Z649" s="571"/>
    </row>
    <row r="650" spans="1:26" ht="18.75" hidden="1">
      <c r="A650" s="735"/>
      <c r="B650" s="568"/>
      <c r="C650" s="754"/>
      <c r="D650" s="619"/>
      <c r="E650" s="619"/>
      <c r="F650" s="619"/>
      <c r="G650" s="753"/>
      <c r="H650" s="755" t="s">
        <v>46</v>
      </c>
      <c r="I650" s="269">
        <v>0</v>
      </c>
      <c r="J650" s="269">
        <f ca="1">IFERROR(__xludf.DUMMYFUNCTION("IMPORTRANGE(""https://docs.google.com/spreadsheets/d/1XWAQStnk-4SwqDmLtmXYiTMKHgktTP8We1SCoS47DrQ/edit?usp=sharing"",""จัดที่ดิน!AX60"")"),0)</f>
        <v>0</v>
      </c>
      <c r="K650" s="496">
        <f t="shared" si="270"/>
        <v>0</v>
      </c>
      <c r="L650" s="163"/>
      <c r="M650" s="163"/>
      <c r="N650" s="163"/>
      <c r="O650" s="163"/>
      <c r="P650" s="163"/>
      <c r="Q650" s="571"/>
      <c r="R650" s="571"/>
      <c r="S650" s="571"/>
      <c r="T650" s="571"/>
      <c r="U650" s="571"/>
      <c r="V650" s="571"/>
      <c r="W650" s="571"/>
      <c r="X650" s="571"/>
      <c r="Y650" s="571"/>
      <c r="Z650" s="571"/>
    </row>
    <row r="651" spans="1:26" ht="18.75" hidden="1">
      <c r="A651" s="735"/>
      <c r="B651" s="568"/>
      <c r="C651" s="754"/>
      <c r="D651" s="619"/>
      <c r="E651" s="737" t="s">
        <v>277</v>
      </c>
      <c r="F651" s="619"/>
      <c r="G651" s="753"/>
      <c r="H651" s="755" t="s">
        <v>35</v>
      </c>
      <c r="I651" s="269">
        <f ca="1">IFERROR(__xludf.DUMMYFUNCTION("IMPORTRANGE(""https://docs.google.com/spreadsheets/d/1QqKyyYR6Q21VydFLVH3TRQUabQu_ym0Zz7PgGX0-kHA/edit?usp=sharing"",""แผน!HS60"")"),0)</f>
        <v>0</v>
      </c>
      <c r="J651" s="269">
        <f ca="1">IFERROR(__xludf.DUMMYFUNCTION("IMPORTRANGE(""https://docs.google.com/spreadsheets/d/1XWAQStnk-4SwqDmLtmXYiTMKHgktTP8We1SCoS47DrQ/edit?usp=sharing"",""จัดที่ดิน!AY60"")"),0)</f>
        <v>0</v>
      </c>
      <c r="K651" s="163">
        <f t="shared" ca="1" si="270"/>
        <v>0</v>
      </c>
      <c r="L651" s="163"/>
      <c r="M651" s="163"/>
      <c r="N651" s="163"/>
      <c r="O651" s="163"/>
      <c r="P651" s="163"/>
      <c r="Q651" s="571"/>
      <c r="R651" s="571"/>
      <c r="S651" s="571"/>
      <c r="T651" s="571"/>
      <c r="U651" s="571"/>
      <c r="V651" s="571"/>
      <c r="W651" s="571"/>
      <c r="X651" s="571"/>
      <c r="Y651" s="571"/>
      <c r="Z651" s="571"/>
    </row>
    <row r="652" spans="1:26" ht="18.75" hidden="1">
      <c r="A652" s="738"/>
      <c r="B652" s="739"/>
      <c r="C652" s="740"/>
      <c r="D652" s="725"/>
      <c r="E652" s="725"/>
      <c r="F652" s="725"/>
      <c r="G652" s="726"/>
      <c r="H652" s="498" t="s">
        <v>46</v>
      </c>
      <c r="I652" s="499">
        <v>0</v>
      </c>
      <c r="J652" s="499">
        <f ca="1">IFERROR(__xludf.DUMMYFUNCTION("IMPORTRANGE(""https://docs.google.com/spreadsheets/d/1XWAQStnk-4SwqDmLtmXYiTMKHgktTP8We1SCoS47DrQ/edit?usp=sharing"",""จัดที่ดิน!AZ60"")"),0)</f>
        <v>0</v>
      </c>
      <c r="K652" s="500">
        <f t="shared" si="270"/>
        <v>0</v>
      </c>
      <c r="L652" s="384"/>
      <c r="M652" s="384"/>
      <c r="N652" s="384"/>
      <c r="O652" s="384"/>
      <c r="P652" s="384"/>
      <c r="Q652" s="571"/>
      <c r="R652" s="571"/>
      <c r="S652" s="571"/>
      <c r="T652" s="571"/>
      <c r="U652" s="571"/>
      <c r="V652" s="571"/>
      <c r="W652" s="571"/>
      <c r="X652" s="571"/>
      <c r="Y652" s="571"/>
      <c r="Z652" s="571"/>
    </row>
    <row r="653" spans="1:26" ht="19.5">
      <c r="A653" s="741">
        <v>8</v>
      </c>
      <c r="B653" s="728" t="s">
        <v>278</v>
      </c>
      <c r="C653" s="729"/>
      <c r="D653" s="729"/>
      <c r="E653" s="729"/>
      <c r="F653" s="729"/>
      <c r="G653" s="730"/>
      <c r="H653" s="730"/>
      <c r="I653" s="742"/>
      <c r="J653" s="742"/>
      <c r="K653" s="734"/>
      <c r="L653" s="734"/>
      <c r="M653" s="734"/>
      <c r="N653" s="734"/>
      <c r="O653" s="734"/>
      <c r="P653" s="734"/>
      <c r="Q653" s="571"/>
      <c r="R653" s="571"/>
      <c r="S653" s="571"/>
      <c r="T653" s="571"/>
      <c r="U653" s="571"/>
      <c r="V653" s="571"/>
      <c r="W653" s="571"/>
      <c r="X653" s="571"/>
      <c r="Y653" s="571"/>
      <c r="Z653" s="571"/>
    </row>
    <row r="654" spans="1:26" ht="19.5" hidden="1">
      <c r="A654" s="666"/>
      <c r="B654" s="665" t="s">
        <v>279</v>
      </c>
      <c r="C654" s="666"/>
      <c r="D654" s="666"/>
      <c r="E654" s="666"/>
      <c r="F654" s="666"/>
      <c r="G654" s="667"/>
      <c r="H654" s="698" t="s">
        <v>46</v>
      </c>
      <c r="I654" s="699">
        <f t="shared" ref="I654:J654" ca="1" si="271">I669</f>
        <v>0</v>
      </c>
      <c r="J654" s="699">
        <f t="shared" si="271"/>
        <v>0</v>
      </c>
      <c r="K654" s="670">
        <f ca="1">IF(I654&gt;0,J654*100/I654,0)</f>
        <v>0</v>
      </c>
      <c r="L654" s="671"/>
      <c r="M654" s="671"/>
      <c r="N654" s="671"/>
      <c r="O654" s="671"/>
      <c r="P654" s="671"/>
      <c r="Q654" s="571"/>
      <c r="R654" s="571"/>
      <c r="S654" s="571"/>
      <c r="T654" s="571"/>
      <c r="U654" s="571"/>
      <c r="V654" s="571"/>
      <c r="W654" s="571"/>
      <c r="X654" s="571"/>
      <c r="Y654" s="571"/>
      <c r="Z654" s="571"/>
    </row>
    <row r="655" spans="1:26" ht="19.5" hidden="1">
      <c r="A655" s="590"/>
      <c r="B655" s="754"/>
      <c r="C655" s="754" t="s">
        <v>16</v>
      </c>
      <c r="D655" s="863" t="s">
        <v>17</v>
      </c>
      <c r="E655" s="857"/>
      <c r="F655" s="857"/>
      <c r="G655" s="189"/>
      <c r="H655" s="591" t="s">
        <v>12</v>
      </c>
      <c r="I655" s="269"/>
      <c r="J655" s="269"/>
      <c r="K655" s="496"/>
      <c r="L655" s="195">
        <f t="shared" ref="L655:N655" ca="1" si="272">L656+L657</f>
        <v>0</v>
      </c>
      <c r="M655" s="195">
        <f t="shared" si="272"/>
        <v>0</v>
      </c>
      <c r="N655" s="195">
        <f t="shared" si="272"/>
        <v>0</v>
      </c>
      <c r="O655" s="195">
        <f t="shared" ref="O655:O660" ca="1" si="273">IF(L655&gt;0,N655*100/L655,0)</f>
        <v>0</v>
      </c>
      <c r="P655" s="195">
        <f t="shared" ref="P655:P660" si="274">IF(M655&gt;0,N655*100/M655,0)</f>
        <v>0</v>
      </c>
      <c r="Q655" s="571"/>
      <c r="R655" s="571"/>
      <c r="S655" s="571"/>
      <c r="T655" s="571"/>
      <c r="U655" s="571"/>
      <c r="V655" s="571"/>
      <c r="W655" s="571"/>
      <c r="X655" s="571"/>
      <c r="Y655" s="571"/>
      <c r="Z655" s="571"/>
    </row>
    <row r="656" spans="1:26" ht="18.75" hidden="1">
      <c r="A656" s="592"/>
      <c r="B656" s="750"/>
      <c r="C656" s="750"/>
      <c r="D656" s="711"/>
      <c r="E656" s="750" t="s">
        <v>184</v>
      </c>
      <c r="F656" s="750"/>
      <c r="G656" s="596"/>
      <c r="H656" s="165" t="s">
        <v>12</v>
      </c>
      <c r="I656" s="610"/>
      <c r="J656" s="610"/>
      <c r="K656" s="93"/>
      <c r="L656" s="93">
        <f t="shared" ref="L656:N657" si="275">L659+L666</f>
        <v>0</v>
      </c>
      <c r="M656" s="93">
        <f t="shared" si="275"/>
        <v>0</v>
      </c>
      <c r="N656" s="93">
        <f t="shared" si="275"/>
        <v>0</v>
      </c>
      <c r="O656" s="93">
        <f t="shared" si="273"/>
        <v>0</v>
      </c>
      <c r="P656" s="93">
        <f t="shared" si="274"/>
        <v>0</v>
      </c>
      <c r="Q656" s="597"/>
      <c r="R656" s="597"/>
      <c r="S656" s="597"/>
      <c r="T656" s="597"/>
      <c r="U656" s="597"/>
      <c r="V656" s="597"/>
      <c r="W656" s="597"/>
      <c r="X656" s="597"/>
      <c r="Y656" s="597"/>
      <c r="Z656" s="597"/>
    </row>
    <row r="657" spans="1:26" ht="18.75" hidden="1">
      <c r="A657" s="592"/>
      <c r="B657" s="600"/>
      <c r="C657" s="750"/>
      <c r="D657" s="711"/>
      <c r="E657" s="750" t="s">
        <v>185</v>
      </c>
      <c r="F657" s="750"/>
      <c r="G657" s="596"/>
      <c r="H657" s="165" t="s">
        <v>12</v>
      </c>
      <c r="I657" s="610"/>
      <c r="J657" s="610"/>
      <c r="K657" s="93"/>
      <c r="L657" s="93">
        <f t="shared" ca="1" si="275"/>
        <v>0</v>
      </c>
      <c r="M657" s="93">
        <f t="shared" si="275"/>
        <v>0</v>
      </c>
      <c r="N657" s="93">
        <f t="shared" si="275"/>
        <v>0</v>
      </c>
      <c r="O657" s="93">
        <f t="shared" ca="1" si="273"/>
        <v>0</v>
      </c>
      <c r="P657" s="93">
        <f t="shared" si="274"/>
        <v>0</v>
      </c>
      <c r="Q657" s="597"/>
      <c r="R657" s="597"/>
      <c r="S657" s="597"/>
      <c r="T657" s="597"/>
      <c r="U657" s="597"/>
      <c r="V657" s="597"/>
      <c r="W657" s="597"/>
      <c r="X657" s="597"/>
      <c r="Y657" s="597"/>
      <c r="Z657" s="597"/>
    </row>
    <row r="658" spans="1:26" ht="18.75" hidden="1">
      <c r="A658" s="590"/>
      <c r="B658" s="568"/>
      <c r="C658" s="754"/>
      <c r="D658" s="599" t="s">
        <v>20</v>
      </c>
      <c r="E658" s="754"/>
      <c r="F658" s="754"/>
      <c r="G658" s="189"/>
      <c r="H658" s="161" t="s">
        <v>12</v>
      </c>
      <c r="I658" s="184"/>
      <c r="J658" s="184"/>
      <c r="K658" s="163"/>
      <c r="L658" s="496">
        <f t="shared" ref="L658:N658" ca="1" si="276">L659+L660</f>
        <v>0</v>
      </c>
      <c r="M658" s="496">
        <f t="shared" si="276"/>
        <v>0</v>
      </c>
      <c r="N658" s="496">
        <f t="shared" si="276"/>
        <v>0</v>
      </c>
      <c r="O658" s="496">
        <f t="shared" ca="1" si="273"/>
        <v>0</v>
      </c>
      <c r="P658" s="496">
        <f t="shared" si="274"/>
        <v>0</v>
      </c>
      <c r="Q658" s="571"/>
      <c r="R658" s="571"/>
      <c r="S658" s="571"/>
      <c r="T658" s="571"/>
      <c r="U658" s="571"/>
      <c r="V658" s="571"/>
      <c r="W658" s="571"/>
      <c r="X658" s="571"/>
      <c r="Y658" s="571"/>
      <c r="Z658" s="571"/>
    </row>
    <row r="659" spans="1:26" ht="18.75" hidden="1">
      <c r="A659" s="592"/>
      <c r="B659" s="600"/>
      <c r="C659" s="750"/>
      <c r="D659" s="711"/>
      <c r="E659" s="750" t="s">
        <v>184</v>
      </c>
      <c r="F659" s="750"/>
      <c r="G659" s="596"/>
      <c r="H659" s="165" t="s">
        <v>12</v>
      </c>
      <c r="I659" s="610"/>
      <c r="J659" s="610"/>
      <c r="K659" s="93"/>
      <c r="L659" s="93">
        <v>0</v>
      </c>
      <c r="M659" s="93">
        <v>0</v>
      </c>
      <c r="N659" s="93">
        <v>0</v>
      </c>
      <c r="O659" s="93">
        <f t="shared" si="273"/>
        <v>0</v>
      </c>
      <c r="P659" s="93">
        <f t="shared" si="274"/>
        <v>0</v>
      </c>
      <c r="Q659" s="597"/>
      <c r="R659" s="597"/>
      <c r="S659" s="597"/>
      <c r="T659" s="597"/>
      <c r="U659" s="597"/>
      <c r="V659" s="597"/>
      <c r="W659" s="597"/>
      <c r="X659" s="597"/>
      <c r="Y659" s="597"/>
      <c r="Z659" s="597"/>
    </row>
    <row r="660" spans="1:26" ht="18.75" hidden="1">
      <c r="A660" s="592"/>
      <c r="B660" s="600"/>
      <c r="C660" s="750"/>
      <c r="D660" s="711"/>
      <c r="E660" s="750" t="s">
        <v>185</v>
      </c>
      <c r="F660" s="750"/>
      <c r="G660" s="596"/>
      <c r="H660" s="165" t="s">
        <v>12</v>
      </c>
      <c r="I660" s="610"/>
      <c r="J660" s="610"/>
      <c r="K660" s="93"/>
      <c r="L660" s="93">
        <f ca="1">IFERROR(__xludf.DUMMYFUNCTION("IMPORTRANGE(""https://docs.google.com/spreadsheets/d/1QqKyyYR6Q21VydFLVH3TRQUabQu_ym0Zz7PgGX0-kHA/edit?usp=sharing"",""แผน!HV60"")"),0)</f>
        <v>0</v>
      </c>
      <c r="M660" s="93">
        <v>0</v>
      </c>
      <c r="N660" s="93">
        <f>N661+N662+N663+N664</f>
        <v>0</v>
      </c>
      <c r="O660" s="93">
        <f t="shared" ca="1" si="273"/>
        <v>0</v>
      </c>
      <c r="P660" s="93">
        <f t="shared" si="274"/>
        <v>0</v>
      </c>
      <c r="Q660" s="597"/>
      <c r="R660" s="597"/>
      <c r="S660" s="597"/>
      <c r="T660" s="597"/>
      <c r="U660" s="597"/>
      <c r="V660" s="597"/>
      <c r="W660" s="597"/>
      <c r="X660" s="597"/>
      <c r="Y660" s="597"/>
      <c r="Z660" s="597"/>
    </row>
    <row r="661" spans="1:26" ht="18.75" hidden="1">
      <c r="A661" s="567"/>
      <c r="B661" s="568"/>
      <c r="C661" s="754"/>
      <c r="D661" s="754"/>
      <c r="E661" s="754"/>
      <c r="F661" s="754" t="s">
        <v>186</v>
      </c>
      <c r="G661" s="189"/>
      <c r="H661" s="161" t="s">
        <v>12</v>
      </c>
      <c r="I661" s="269"/>
      <c r="J661" s="269"/>
      <c r="K661" s="496"/>
      <c r="L661" s="496"/>
      <c r="M661" s="496"/>
      <c r="N661" s="817">
        <v>0</v>
      </c>
      <c r="O661" s="496"/>
      <c r="P661" s="496"/>
      <c r="Q661" s="571"/>
      <c r="R661" s="571"/>
      <c r="S661" s="571"/>
      <c r="T661" s="571"/>
      <c r="U661" s="571"/>
      <c r="V661" s="571"/>
      <c r="W661" s="571"/>
      <c r="X661" s="571"/>
      <c r="Y661" s="571"/>
      <c r="Z661" s="571"/>
    </row>
    <row r="662" spans="1:26" ht="18.75" hidden="1">
      <c r="A662" s="567"/>
      <c r="B662" s="568"/>
      <c r="C662" s="754"/>
      <c r="D662" s="754"/>
      <c r="E662" s="754"/>
      <c r="F662" s="754" t="s">
        <v>187</v>
      </c>
      <c r="G662" s="189"/>
      <c r="H662" s="161" t="s">
        <v>12</v>
      </c>
      <c r="I662" s="269"/>
      <c r="J662" s="269"/>
      <c r="K662" s="496"/>
      <c r="L662" s="496"/>
      <c r="M662" s="496"/>
      <c r="N662" s="817">
        <v>0</v>
      </c>
      <c r="O662" s="496"/>
      <c r="P662" s="496"/>
      <c r="Q662" s="571"/>
      <c r="R662" s="571"/>
      <c r="S662" s="571"/>
      <c r="T662" s="571"/>
      <c r="U662" s="571"/>
      <c r="V662" s="571"/>
      <c r="W662" s="571"/>
      <c r="X662" s="571"/>
      <c r="Y662" s="571"/>
      <c r="Z662" s="571"/>
    </row>
    <row r="663" spans="1:26" ht="18.75" hidden="1">
      <c r="A663" s="567"/>
      <c r="B663" s="568"/>
      <c r="C663" s="568"/>
      <c r="D663" s="754"/>
      <c r="E663" s="754"/>
      <c r="F663" s="754" t="s">
        <v>188</v>
      </c>
      <c r="G663" s="189"/>
      <c r="H663" s="161" t="s">
        <v>12</v>
      </c>
      <c r="I663" s="269"/>
      <c r="J663" s="269"/>
      <c r="K663" s="496"/>
      <c r="L663" s="496"/>
      <c r="M663" s="496"/>
      <c r="N663" s="817">
        <v>0</v>
      </c>
      <c r="O663" s="496"/>
      <c r="P663" s="496"/>
      <c r="Q663" s="571"/>
      <c r="R663" s="571"/>
      <c r="S663" s="571"/>
      <c r="T663" s="571"/>
      <c r="U663" s="571"/>
      <c r="V663" s="571"/>
      <c r="W663" s="571"/>
      <c r="X663" s="571"/>
      <c r="Y663" s="571"/>
      <c r="Z663" s="571"/>
    </row>
    <row r="664" spans="1:26" ht="18.75" hidden="1">
      <c r="A664" s="567"/>
      <c r="B664" s="568"/>
      <c r="C664" s="568"/>
      <c r="D664" s="568"/>
      <c r="E664" s="754"/>
      <c r="F664" s="754" t="s">
        <v>189</v>
      </c>
      <c r="G664" s="189"/>
      <c r="H664" s="161" t="s">
        <v>12</v>
      </c>
      <c r="I664" s="269"/>
      <c r="J664" s="269"/>
      <c r="K664" s="496"/>
      <c r="L664" s="496"/>
      <c r="M664" s="496"/>
      <c r="N664" s="817">
        <v>0</v>
      </c>
      <c r="O664" s="496"/>
      <c r="P664" s="496"/>
      <c r="Q664" s="571"/>
      <c r="R664" s="571"/>
      <c r="S664" s="571"/>
      <c r="T664" s="571"/>
      <c r="U664" s="571"/>
      <c r="V664" s="571"/>
      <c r="W664" s="571"/>
      <c r="X664" s="571"/>
      <c r="Y664" s="571"/>
      <c r="Z664" s="571"/>
    </row>
    <row r="665" spans="1:26" ht="18.75" hidden="1">
      <c r="A665" s="590"/>
      <c r="B665" s="568"/>
      <c r="C665" s="568"/>
      <c r="D665" s="599" t="s">
        <v>21</v>
      </c>
      <c r="E665" s="754"/>
      <c r="F665" s="754"/>
      <c r="G665" s="189"/>
      <c r="H665" s="168" t="s">
        <v>12</v>
      </c>
      <c r="I665" s="184"/>
      <c r="J665" s="184"/>
      <c r="K665" s="163"/>
      <c r="L665" s="496">
        <f t="shared" ref="L665:N665" si="277">L666+L667</f>
        <v>0</v>
      </c>
      <c r="M665" s="496">
        <f t="shared" si="277"/>
        <v>0</v>
      </c>
      <c r="N665" s="496">
        <f t="shared" si="277"/>
        <v>0</v>
      </c>
      <c r="O665" s="496">
        <f t="shared" ref="O665:O667" si="278">IF(L665&gt;0,N665*100/L665,0)</f>
        <v>0</v>
      </c>
      <c r="P665" s="496">
        <f t="shared" ref="P665:P667" si="279">IF(M665&gt;0,N665*100/M665,0)</f>
        <v>0</v>
      </c>
      <c r="Q665" s="571"/>
      <c r="R665" s="571"/>
      <c r="S665" s="571"/>
      <c r="T665" s="571"/>
      <c r="U665" s="571"/>
      <c r="V665" s="571"/>
      <c r="W665" s="571"/>
      <c r="X665" s="571"/>
      <c r="Y665" s="571"/>
      <c r="Z665" s="571"/>
    </row>
    <row r="666" spans="1:26" ht="18.75" hidden="1">
      <c r="A666" s="592"/>
      <c r="B666" s="600"/>
      <c r="C666" s="600"/>
      <c r="D666" s="600"/>
      <c r="E666" s="750" t="s">
        <v>18</v>
      </c>
      <c r="F666" s="750"/>
      <c r="G666" s="596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8"/>
        <v>0</v>
      </c>
      <c r="P666" s="93">
        <f t="shared" si="279"/>
        <v>0</v>
      </c>
      <c r="Q666" s="597"/>
      <c r="R666" s="597"/>
      <c r="S666" s="597"/>
      <c r="T666" s="597"/>
      <c r="U666" s="597"/>
      <c r="V666" s="597"/>
      <c r="W666" s="597"/>
      <c r="X666" s="597"/>
      <c r="Y666" s="597"/>
      <c r="Z666" s="597"/>
    </row>
    <row r="667" spans="1:26" ht="18.75" hidden="1">
      <c r="A667" s="592"/>
      <c r="B667" s="600"/>
      <c r="C667" s="600"/>
      <c r="D667" s="600"/>
      <c r="E667" s="750" t="s">
        <v>19</v>
      </c>
      <c r="F667" s="750"/>
      <c r="G667" s="596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8"/>
        <v>0</v>
      </c>
      <c r="P667" s="93">
        <f t="shared" si="279"/>
        <v>0</v>
      </c>
      <c r="Q667" s="597"/>
      <c r="R667" s="597"/>
      <c r="S667" s="597"/>
      <c r="T667" s="597"/>
      <c r="U667" s="597"/>
      <c r="V667" s="597"/>
      <c r="W667" s="597"/>
      <c r="X667" s="597"/>
      <c r="Y667" s="597"/>
      <c r="Z667" s="597"/>
    </row>
    <row r="668" spans="1:26" ht="19.5" hidden="1">
      <c r="A668" s="601"/>
      <c r="B668" s="611"/>
      <c r="C668" s="568" t="s">
        <v>16</v>
      </c>
      <c r="D668" s="836" t="s">
        <v>38</v>
      </c>
      <c r="E668" s="752"/>
      <c r="F668" s="752"/>
      <c r="G668" s="606"/>
      <c r="H668" s="753"/>
      <c r="I668" s="184"/>
      <c r="J668" s="184"/>
      <c r="K668" s="163"/>
      <c r="L668" s="163"/>
      <c r="M668" s="163"/>
      <c r="N668" s="163"/>
      <c r="O668" s="163"/>
      <c r="P668" s="163"/>
      <c r="Q668" s="571"/>
      <c r="R668" s="571"/>
      <c r="S668" s="571"/>
      <c r="T668" s="571"/>
      <c r="U668" s="571"/>
      <c r="V668" s="571"/>
      <c r="W668" s="571"/>
      <c r="X668" s="571"/>
      <c r="Y668" s="571"/>
      <c r="Z668" s="571"/>
    </row>
    <row r="669" spans="1:26" ht="19.5" hidden="1">
      <c r="A669" s="601"/>
      <c r="B669" s="611"/>
      <c r="C669" s="611"/>
      <c r="D669" s="611" t="s">
        <v>280</v>
      </c>
      <c r="E669" s="619"/>
      <c r="F669" s="619"/>
      <c r="G669" s="753"/>
      <c r="H669" s="758" t="s">
        <v>46</v>
      </c>
      <c r="I669" s="674">
        <f ca="1">IFERROR(__xludf.DUMMYFUNCTION("IMPORTRANGE(""https://docs.google.com/spreadsheets/d/1QqKyyYR6Q21VydFLVH3TRQUabQu_ym0Zz7PgGX0-kHA/edit?usp=sharing"",""แผน!IA60"")"),0)</f>
        <v>0</v>
      </c>
      <c r="J669" s="674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1"/>
      <c r="R669" s="571"/>
      <c r="S669" s="571"/>
      <c r="T669" s="571"/>
      <c r="U669" s="571"/>
      <c r="V669" s="571"/>
      <c r="W669" s="571"/>
      <c r="X669" s="571"/>
      <c r="Y669" s="571"/>
      <c r="Z669" s="571"/>
    </row>
    <row r="670" spans="1:26" ht="18.75" hidden="1">
      <c r="A670" s="601"/>
      <c r="B670" s="611"/>
      <c r="C670" s="611"/>
      <c r="D670" s="611"/>
      <c r="E670" s="619" t="s">
        <v>281</v>
      </c>
      <c r="F670" s="619"/>
      <c r="G670" s="753"/>
      <c r="H670" s="755" t="s">
        <v>69</v>
      </c>
      <c r="I670" s="269">
        <f ca="1">IFERROR(__xludf.DUMMYFUNCTION("IMPORTRANGE(""https://docs.google.com/spreadsheets/d/1QqKyyYR6Q21VydFLVH3TRQUabQu_ym0Zz7PgGX0-kHA/edit?usp=sharing"",""แผน!HZ60"")"),0)</f>
        <v>0</v>
      </c>
      <c r="J670" s="214">
        <v>0</v>
      </c>
      <c r="K670" s="496">
        <f ca="1">IF(I670&gt;0,(J670*100)/I670,0)</f>
        <v>0</v>
      </c>
      <c r="L670" s="163"/>
      <c r="M670" s="163"/>
      <c r="N670" s="163"/>
      <c r="O670" s="163"/>
      <c r="P670" s="163"/>
      <c r="Q670" s="571"/>
      <c r="R670" s="571"/>
      <c r="S670" s="571"/>
      <c r="T670" s="571"/>
      <c r="U670" s="571"/>
      <c r="V670" s="571"/>
      <c r="W670" s="571"/>
      <c r="X670" s="571"/>
      <c r="Y670" s="571"/>
      <c r="Z670" s="571"/>
    </row>
    <row r="671" spans="1:26" ht="18.75" hidden="1">
      <c r="A671" s="601"/>
      <c r="B671" s="611"/>
      <c r="C671" s="611"/>
      <c r="D671" s="611"/>
      <c r="E671" s="619" t="s">
        <v>282</v>
      </c>
      <c r="F671" s="619"/>
      <c r="G671" s="753"/>
      <c r="H671" s="755" t="s">
        <v>69</v>
      </c>
      <c r="I671" s="269">
        <f ca="1">IFERROR(__xludf.DUMMYFUNCTION("IMPORTRANGE(""https://docs.google.com/spreadsheets/d/1QqKyyYR6Q21VydFLVH3TRQUabQu_ym0Zz7PgGX0-kHA/edit?usp=sharing"",""แผน!HZ60"")"),0)</f>
        <v>0</v>
      </c>
      <c r="J671" s="214">
        <v>0</v>
      </c>
      <c r="K671" s="496">
        <f ca="1">IF(I$671&gt;0,J671*100/I$671,0)</f>
        <v>0</v>
      </c>
      <c r="L671" s="163"/>
      <c r="M671" s="163"/>
      <c r="N671" s="163"/>
      <c r="O671" s="163"/>
      <c r="P671" s="163"/>
      <c r="Q671" s="571"/>
      <c r="R671" s="571"/>
      <c r="S671" s="571"/>
      <c r="T671" s="571"/>
      <c r="U671" s="571"/>
      <c r="V671" s="571"/>
      <c r="W671" s="571"/>
      <c r="X671" s="571"/>
      <c r="Y671" s="571"/>
      <c r="Z671" s="571"/>
    </row>
    <row r="672" spans="1:26" ht="18.75" hidden="1">
      <c r="A672" s="601"/>
      <c r="B672" s="611"/>
      <c r="C672" s="611"/>
      <c r="D672" s="611"/>
      <c r="E672" s="619" t="s">
        <v>283</v>
      </c>
      <c r="F672" s="619"/>
      <c r="G672" s="753"/>
      <c r="H672" s="755" t="s">
        <v>46</v>
      </c>
      <c r="I672" s="269"/>
      <c r="J672" s="214">
        <v>0</v>
      </c>
      <c r="K672" s="496">
        <f t="shared" ref="K672:K675" ca="1" si="280">IF(I$669&gt;0,J672*100/I$669,0)</f>
        <v>0</v>
      </c>
      <c r="L672" s="163"/>
      <c r="M672" s="163"/>
      <c r="N672" s="163"/>
      <c r="O672" s="163"/>
      <c r="P672" s="163"/>
      <c r="Q672" s="571"/>
      <c r="R672" s="571"/>
      <c r="S672" s="571"/>
      <c r="T672" s="571"/>
      <c r="U672" s="571"/>
      <c r="V672" s="571"/>
      <c r="W672" s="571"/>
      <c r="X672" s="571"/>
      <c r="Y672" s="571"/>
      <c r="Z672" s="571"/>
    </row>
    <row r="673" spans="1:26" ht="18.75" hidden="1">
      <c r="A673" s="601"/>
      <c r="B673" s="611"/>
      <c r="C673" s="611"/>
      <c r="D673" s="611"/>
      <c r="E673" s="619" t="s">
        <v>284</v>
      </c>
      <c r="F673" s="619"/>
      <c r="G673" s="753"/>
      <c r="H673" s="755" t="s">
        <v>46</v>
      </c>
      <c r="I673" s="269"/>
      <c r="J673" s="214">
        <v>0</v>
      </c>
      <c r="K673" s="496">
        <f t="shared" ca="1" si="280"/>
        <v>0</v>
      </c>
      <c r="L673" s="163"/>
      <c r="M673" s="163"/>
      <c r="N673" s="163"/>
      <c r="O673" s="163"/>
      <c r="P673" s="163"/>
      <c r="Q673" s="571"/>
      <c r="R673" s="571"/>
      <c r="S673" s="571"/>
      <c r="T673" s="571"/>
      <c r="U673" s="571"/>
      <c r="V673" s="571"/>
      <c r="W673" s="571"/>
      <c r="X673" s="571"/>
      <c r="Y673" s="571"/>
      <c r="Z673" s="571"/>
    </row>
    <row r="674" spans="1:26" ht="18.75" hidden="1">
      <c r="A674" s="601"/>
      <c r="B674" s="611"/>
      <c r="C674" s="611"/>
      <c r="D674" s="611"/>
      <c r="E674" s="619" t="s">
        <v>285</v>
      </c>
      <c r="F674" s="619"/>
      <c r="G674" s="753"/>
      <c r="H674" s="755" t="s">
        <v>46</v>
      </c>
      <c r="I674" s="269"/>
      <c r="J674" s="214">
        <v>0</v>
      </c>
      <c r="K674" s="496">
        <f t="shared" ca="1" si="280"/>
        <v>0</v>
      </c>
      <c r="L674" s="163"/>
      <c r="M674" s="163"/>
      <c r="N674" s="163"/>
      <c r="O674" s="163"/>
      <c r="P674" s="163"/>
      <c r="Q674" s="571"/>
      <c r="R674" s="571"/>
      <c r="S674" s="571"/>
      <c r="T674" s="571"/>
      <c r="U674" s="571"/>
      <c r="V674" s="571"/>
      <c r="W674" s="571"/>
      <c r="X674" s="571"/>
      <c r="Y674" s="571"/>
      <c r="Z674" s="571"/>
    </row>
    <row r="675" spans="1:26" ht="19.5" hidden="1">
      <c r="A675" s="601"/>
      <c r="B675" s="611"/>
      <c r="C675" s="611"/>
      <c r="D675" s="611"/>
      <c r="E675" s="619" t="s">
        <v>286</v>
      </c>
      <c r="F675" s="619"/>
      <c r="G675" s="753"/>
      <c r="H675" s="755" t="s">
        <v>46</v>
      </c>
      <c r="I675" s="269"/>
      <c r="J675" s="674">
        <f>J676+J677</f>
        <v>0</v>
      </c>
      <c r="K675" s="195">
        <f t="shared" ca="1" si="280"/>
        <v>0</v>
      </c>
      <c r="L675" s="163"/>
      <c r="M675" s="163"/>
      <c r="N675" s="163"/>
      <c r="O675" s="163"/>
      <c r="P675" s="163"/>
      <c r="Q675" s="571"/>
      <c r="R675" s="571"/>
      <c r="S675" s="571"/>
      <c r="T675" s="571"/>
      <c r="U675" s="571"/>
      <c r="V675" s="571"/>
      <c r="W675" s="571"/>
      <c r="X675" s="571"/>
      <c r="Y675" s="571"/>
      <c r="Z675" s="571"/>
    </row>
    <row r="676" spans="1:26" ht="18.75" hidden="1">
      <c r="A676" s="601"/>
      <c r="B676" s="611"/>
      <c r="C676" s="611"/>
      <c r="D676" s="611"/>
      <c r="E676" s="619"/>
      <c r="F676" s="619" t="s">
        <v>287</v>
      </c>
      <c r="G676" s="753"/>
      <c r="H676" s="755" t="s">
        <v>46</v>
      </c>
      <c r="I676" s="269"/>
      <c r="J676" s="214">
        <v>0</v>
      </c>
      <c r="K676" s="496"/>
      <c r="L676" s="163"/>
      <c r="M676" s="163"/>
      <c r="N676" s="163"/>
      <c r="O676" s="163"/>
      <c r="P676" s="163"/>
      <c r="Q676" s="571"/>
      <c r="R676" s="571"/>
      <c r="S676" s="571"/>
      <c r="T676" s="571"/>
      <c r="U676" s="571"/>
      <c r="V676" s="571"/>
      <c r="W676" s="571"/>
      <c r="X676" s="571"/>
      <c r="Y676" s="571"/>
      <c r="Z676" s="571"/>
    </row>
    <row r="677" spans="1:26" ht="18.75" hidden="1">
      <c r="A677" s="601"/>
      <c r="B677" s="611"/>
      <c r="C677" s="611"/>
      <c r="D677" s="611"/>
      <c r="E677" s="619"/>
      <c r="F677" s="619" t="s">
        <v>288</v>
      </c>
      <c r="G677" s="753"/>
      <c r="H677" s="755" t="s">
        <v>46</v>
      </c>
      <c r="I677" s="269"/>
      <c r="J677" s="214">
        <v>0</v>
      </c>
      <c r="K677" s="496"/>
      <c r="L677" s="163"/>
      <c r="M677" s="163"/>
      <c r="N677" s="163"/>
      <c r="O677" s="163"/>
      <c r="P677" s="163"/>
      <c r="Q677" s="571"/>
      <c r="R677" s="571"/>
      <c r="S677" s="571"/>
      <c r="T677" s="571"/>
      <c r="U677" s="571"/>
      <c r="V677" s="571"/>
      <c r="W677" s="571"/>
      <c r="X677" s="571"/>
      <c r="Y677" s="571"/>
      <c r="Z677" s="571"/>
    </row>
    <row r="678" spans="1:26" ht="19.5" hidden="1">
      <c r="A678" s="601"/>
      <c r="B678" s="611"/>
      <c r="C678" s="611"/>
      <c r="D678" s="611" t="s">
        <v>289</v>
      </c>
      <c r="E678" s="619"/>
      <c r="F678" s="619"/>
      <c r="G678" s="753"/>
      <c r="H678" s="755" t="s">
        <v>46</v>
      </c>
      <c r="I678" s="674">
        <f ca="1">IFERROR(__xludf.DUMMYFUNCTION("IMPORTRANGE(""https://docs.google.com/spreadsheets/d/1QqKyyYR6Q21VydFLVH3TRQUabQu_ym0Zz7PgGX0-kHA/edit?usp=sharing"",""แผน!IB60"")"),0)</f>
        <v>0</v>
      </c>
      <c r="J678" s="674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1"/>
      <c r="R678" s="571"/>
      <c r="S678" s="571"/>
      <c r="T678" s="571"/>
      <c r="U678" s="571"/>
      <c r="V678" s="571"/>
      <c r="W678" s="571"/>
      <c r="X678" s="571"/>
      <c r="Y678" s="571"/>
      <c r="Z678" s="571"/>
    </row>
    <row r="679" spans="1:26" ht="18.75" hidden="1">
      <c r="A679" s="601"/>
      <c r="B679" s="611"/>
      <c r="C679" s="611"/>
      <c r="D679" s="611"/>
      <c r="E679" s="619" t="s">
        <v>290</v>
      </c>
      <c r="F679" s="619"/>
      <c r="G679" s="753"/>
      <c r="H679" s="755" t="s">
        <v>46</v>
      </c>
      <c r="I679" s="269"/>
      <c r="J679" s="269">
        <f>J680+J681</f>
        <v>0</v>
      </c>
      <c r="K679" s="496"/>
      <c r="L679" s="163"/>
      <c r="M679" s="163"/>
      <c r="N679" s="163"/>
      <c r="O679" s="163"/>
      <c r="P679" s="163"/>
      <c r="Q679" s="571"/>
      <c r="R679" s="571"/>
      <c r="S679" s="571"/>
      <c r="T679" s="571"/>
      <c r="U679" s="571"/>
      <c r="V679" s="571"/>
      <c r="W679" s="571"/>
      <c r="X679" s="571"/>
      <c r="Y679" s="571"/>
      <c r="Z679" s="571"/>
    </row>
    <row r="680" spans="1:26" ht="18.75" hidden="1">
      <c r="A680" s="601"/>
      <c r="B680" s="611"/>
      <c r="C680" s="611"/>
      <c r="D680" s="611"/>
      <c r="E680" s="619"/>
      <c r="F680" s="619" t="s">
        <v>287</v>
      </c>
      <c r="G680" s="753"/>
      <c r="H680" s="755" t="s">
        <v>46</v>
      </c>
      <c r="I680" s="269"/>
      <c r="J680" s="214">
        <v>0</v>
      </c>
      <c r="K680" s="496"/>
      <c r="L680" s="163"/>
      <c r="M680" s="163"/>
      <c r="N680" s="163"/>
      <c r="O680" s="163"/>
      <c r="P680" s="163"/>
      <c r="Q680" s="571"/>
      <c r="R680" s="571"/>
      <c r="S680" s="571"/>
      <c r="T680" s="571"/>
      <c r="U680" s="571"/>
      <c r="V680" s="571"/>
      <c r="W680" s="571"/>
      <c r="X680" s="571"/>
      <c r="Y680" s="571"/>
      <c r="Z680" s="571"/>
    </row>
    <row r="681" spans="1:26" ht="18.75" hidden="1">
      <c r="A681" s="601"/>
      <c r="B681" s="611"/>
      <c r="C681" s="611"/>
      <c r="D681" s="611"/>
      <c r="E681" s="619"/>
      <c r="F681" s="619" t="s">
        <v>288</v>
      </c>
      <c r="G681" s="753"/>
      <c r="H681" s="755" t="s">
        <v>46</v>
      </c>
      <c r="I681" s="269"/>
      <c r="J681" s="214">
        <v>0</v>
      </c>
      <c r="K681" s="496"/>
      <c r="L681" s="163"/>
      <c r="M681" s="163"/>
      <c r="N681" s="163"/>
      <c r="O681" s="163"/>
      <c r="P681" s="163"/>
      <c r="Q681" s="571"/>
      <c r="R681" s="571"/>
      <c r="S681" s="571"/>
      <c r="T681" s="571"/>
      <c r="U681" s="571"/>
      <c r="V681" s="571"/>
      <c r="W681" s="571"/>
      <c r="X681" s="571"/>
      <c r="Y681" s="571"/>
      <c r="Z681" s="571"/>
    </row>
    <row r="682" spans="1:26" ht="18.75" hidden="1">
      <c r="A682" s="601"/>
      <c r="B682" s="611"/>
      <c r="C682" s="611"/>
      <c r="D682" s="611"/>
      <c r="E682" s="619" t="s">
        <v>291</v>
      </c>
      <c r="F682" s="619"/>
      <c r="G682" s="753"/>
      <c r="H682" s="755" t="s">
        <v>46</v>
      </c>
      <c r="I682" s="269"/>
      <c r="J682" s="214">
        <v>0</v>
      </c>
      <c r="K682" s="496"/>
      <c r="L682" s="163"/>
      <c r="M682" s="163"/>
      <c r="N682" s="163"/>
      <c r="O682" s="163"/>
      <c r="P682" s="163"/>
      <c r="Q682" s="571"/>
      <c r="R682" s="571"/>
      <c r="S682" s="571"/>
      <c r="T682" s="571"/>
      <c r="U682" s="571"/>
      <c r="V682" s="571"/>
      <c r="W682" s="571"/>
      <c r="X682" s="571"/>
      <c r="Y682" s="571"/>
      <c r="Z682" s="571"/>
    </row>
    <row r="683" spans="1:26" ht="18.75" hidden="1">
      <c r="A683" s="601"/>
      <c r="B683" s="611"/>
      <c r="C683" s="611"/>
      <c r="D683" s="611"/>
      <c r="E683" s="619"/>
      <c r="F683" s="619" t="s">
        <v>292</v>
      </c>
      <c r="G683" s="753"/>
      <c r="H683" s="755" t="s">
        <v>46</v>
      </c>
      <c r="I683" s="269"/>
      <c r="J683" s="214">
        <v>0</v>
      </c>
      <c r="K683" s="496"/>
      <c r="L683" s="163"/>
      <c r="M683" s="163"/>
      <c r="N683" s="163"/>
      <c r="O683" s="163"/>
      <c r="P683" s="163"/>
      <c r="Q683" s="571"/>
      <c r="R683" s="571"/>
      <c r="S683" s="571"/>
      <c r="T683" s="571"/>
      <c r="U683" s="571"/>
      <c r="V683" s="571"/>
      <c r="W683" s="571"/>
      <c r="X683" s="571"/>
      <c r="Y683" s="571"/>
      <c r="Z683" s="571"/>
    </row>
    <row r="684" spans="1:26" ht="19.5">
      <c r="A684" s="744"/>
      <c r="B684" s="745" t="s">
        <v>293</v>
      </c>
      <c r="C684" s="744"/>
      <c r="D684" s="744"/>
      <c r="E684" s="744"/>
      <c r="F684" s="744"/>
      <c r="G684" s="746"/>
      <c r="H684" s="746"/>
      <c r="I684" s="747"/>
      <c r="J684" s="747"/>
      <c r="K684" s="748"/>
      <c r="L684" s="748"/>
      <c r="M684" s="748"/>
      <c r="N684" s="748"/>
      <c r="O684" s="748"/>
      <c r="P684" s="748"/>
      <c r="Q684" s="571"/>
      <c r="R684" s="571"/>
      <c r="S684" s="571"/>
      <c r="T684" s="571"/>
      <c r="U684" s="571"/>
      <c r="V684" s="571"/>
      <c r="W684" s="571"/>
      <c r="X684" s="571"/>
      <c r="Y684" s="571"/>
      <c r="Z684" s="571"/>
    </row>
    <row r="685" spans="1:26" ht="19.5">
      <c r="A685" s="590"/>
      <c r="B685" s="754"/>
      <c r="C685" s="754" t="s">
        <v>16</v>
      </c>
      <c r="D685" s="863" t="s">
        <v>17</v>
      </c>
      <c r="E685" s="857"/>
      <c r="F685" s="857"/>
      <c r="G685" s="189"/>
      <c r="H685" s="591" t="s">
        <v>12</v>
      </c>
      <c r="I685" s="269"/>
      <c r="J685" s="269"/>
      <c r="K685" s="496"/>
      <c r="L685" s="195">
        <f t="shared" ref="L685:N685" ca="1" si="281">L686+L687</f>
        <v>4380</v>
      </c>
      <c r="M685" s="195">
        <f t="shared" si="281"/>
        <v>0</v>
      </c>
      <c r="N685" s="195">
        <f t="shared" si="281"/>
        <v>2360</v>
      </c>
      <c r="O685" s="195">
        <f t="shared" ref="O685:O688" ca="1" si="282">IF(L685&gt;0,N685*100/L685,0)</f>
        <v>53.881278538812786</v>
      </c>
      <c r="P685" s="195">
        <f t="shared" ref="P685:P688" si="283">IF(M685&gt;0,N685*100/M685,0)</f>
        <v>0</v>
      </c>
      <c r="Q685" s="571"/>
      <c r="R685" s="571"/>
      <c r="S685" s="571"/>
      <c r="T685" s="571"/>
      <c r="U685" s="571"/>
      <c r="V685" s="571"/>
      <c r="W685" s="571"/>
      <c r="X685" s="571"/>
      <c r="Y685" s="571"/>
      <c r="Z685" s="571"/>
    </row>
    <row r="686" spans="1:26" ht="18.75" hidden="1">
      <c r="A686" s="592"/>
      <c r="B686" s="750"/>
      <c r="C686" s="750"/>
      <c r="D686" s="711"/>
      <c r="E686" s="750" t="s">
        <v>184</v>
      </c>
      <c r="F686" s="750"/>
      <c r="G686" s="596"/>
      <c r="H686" s="165" t="s">
        <v>12</v>
      </c>
      <c r="I686" s="610"/>
      <c r="J686" s="610"/>
      <c r="K686" s="93"/>
      <c r="L686" s="93">
        <f t="shared" ref="L686:N687" si="284">L689+L696</f>
        <v>0</v>
      </c>
      <c r="M686" s="93">
        <f t="shared" si="284"/>
        <v>0</v>
      </c>
      <c r="N686" s="93">
        <f t="shared" si="284"/>
        <v>0</v>
      </c>
      <c r="O686" s="93">
        <f t="shared" si="282"/>
        <v>0</v>
      </c>
      <c r="P686" s="93">
        <f t="shared" si="283"/>
        <v>0</v>
      </c>
      <c r="Q686" s="597"/>
      <c r="R686" s="597"/>
      <c r="S686" s="597"/>
      <c r="T686" s="597"/>
      <c r="U686" s="597"/>
      <c r="V686" s="597"/>
      <c r="W686" s="597"/>
      <c r="X686" s="597"/>
      <c r="Y686" s="597"/>
      <c r="Z686" s="597"/>
    </row>
    <row r="687" spans="1:26" ht="18.75" hidden="1">
      <c r="A687" s="592"/>
      <c r="B687" s="600"/>
      <c r="C687" s="750"/>
      <c r="D687" s="711"/>
      <c r="E687" s="750" t="s">
        <v>185</v>
      </c>
      <c r="F687" s="750"/>
      <c r="G687" s="596"/>
      <c r="H687" s="165" t="s">
        <v>12</v>
      </c>
      <c r="I687" s="610"/>
      <c r="J687" s="610"/>
      <c r="K687" s="93"/>
      <c r="L687" s="93">
        <f t="shared" ca="1" si="284"/>
        <v>4380</v>
      </c>
      <c r="M687" s="93">
        <f t="shared" si="284"/>
        <v>0</v>
      </c>
      <c r="N687" s="93">
        <f t="shared" si="284"/>
        <v>2360</v>
      </c>
      <c r="O687" s="93">
        <f t="shared" ca="1" si="282"/>
        <v>53.881278538812786</v>
      </c>
      <c r="P687" s="93">
        <f t="shared" si="283"/>
        <v>0</v>
      </c>
      <c r="Q687" s="597"/>
      <c r="R687" s="597"/>
      <c r="S687" s="597"/>
      <c r="T687" s="597"/>
      <c r="U687" s="597"/>
      <c r="V687" s="597"/>
      <c r="W687" s="597"/>
      <c r="X687" s="597"/>
      <c r="Y687" s="597"/>
      <c r="Z687" s="597"/>
    </row>
    <row r="688" spans="1:26" ht="18.75">
      <c r="A688" s="590"/>
      <c r="B688" s="568"/>
      <c r="C688" s="754"/>
      <c r="D688" s="599" t="s">
        <v>20</v>
      </c>
      <c r="E688" s="754"/>
      <c r="F688" s="754"/>
      <c r="G688" s="189"/>
      <c r="H688" s="161" t="s">
        <v>12</v>
      </c>
      <c r="I688" s="184"/>
      <c r="J688" s="184"/>
      <c r="K688" s="163"/>
      <c r="L688" s="496">
        <f t="shared" ref="L688:N688" ca="1" si="285">L689+L690</f>
        <v>4380</v>
      </c>
      <c r="M688" s="496">
        <f t="shared" si="285"/>
        <v>0</v>
      </c>
      <c r="N688" s="496">
        <f t="shared" si="285"/>
        <v>2360</v>
      </c>
      <c r="O688" s="496">
        <f t="shared" ca="1" si="282"/>
        <v>53.881278538812786</v>
      </c>
      <c r="P688" s="496">
        <f t="shared" si="283"/>
        <v>0</v>
      </c>
      <c r="Q688" s="571"/>
      <c r="R688" s="571"/>
      <c r="S688" s="571"/>
      <c r="T688" s="571"/>
      <c r="U688" s="571"/>
      <c r="V688" s="571"/>
      <c r="W688" s="571"/>
      <c r="X688" s="571"/>
      <c r="Y688" s="571"/>
      <c r="Z688" s="571"/>
    </row>
    <row r="689" spans="1:26" ht="18.75" hidden="1">
      <c r="A689" s="592"/>
      <c r="B689" s="600"/>
      <c r="C689" s="750"/>
      <c r="D689" s="711"/>
      <c r="E689" s="750" t="s">
        <v>184</v>
      </c>
      <c r="F689" s="750"/>
      <c r="G689" s="596"/>
      <c r="H689" s="165" t="s">
        <v>12</v>
      </c>
      <c r="I689" s="610"/>
      <c r="J689" s="610"/>
      <c r="K689" s="93"/>
      <c r="L689" s="93">
        <v>0</v>
      </c>
      <c r="M689" s="93">
        <v>0</v>
      </c>
      <c r="N689" s="93">
        <v>0</v>
      </c>
      <c r="O689" s="93"/>
      <c r="P689" s="93"/>
      <c r="Q689" s="597"/>
      <c r="R689" s="597"/>
      <c r="S689" s="597"/>
      <c r="T689" s="597"/>
      <c r="U689" s="597"/>
      <c r="V689" s="597"/>
      <c r="W689" s="597"/>
      <c r="X689" s="597"/>
      <c r="Y689" s="597"/>
      <c r="Z689" s="597"/>
    </row>
    <row r="690" spans="1:26" ht="18.75" hidden="1">
      <c r="A690" s="592"/>
      <c r="B690" s="600"/>
      <c r="C690" s="750"/>
      <c r="D690" s="711"/>
      <c r="E690" s="750" t="s">
        <v>185</v>
      </c>
      <c r="F690" s="750"/>
      <c r="G690" s="596"/>
      <c r="H690" s="165" t="s">
        <v>12</v>
      </c>
      <c r="I690" s="610"/>
      <c r="J690" s="610"/>
      <c r="K690" s="93"/>
      <c r="L690" s="93">
        <f ca="1">IFERROR(__xludf.DUMMYFUNCTION("IMPORTRANGE(""https://docs.google.com/spreadsheets/d/1QqKyyYR6Q21VydFLVH3TRQUabQu_ym0Zz7PgGX0-kHA/edit?usp=sharing"",""แผน!HW60"")"),4380)</f>
        <v>4380</v>
      </c>
      <c r="M690" s="93">
        <v>0</v>
      </c>
      <c r="N690" s="93">
        <f>N691+N692+N693+N694</f>
        <v>2360</v>
      </c>
      <c r="O690" s="93">
        <f ca="1">IF(L690&gt;0,N690*100/L690,0)</f>
        <v>53.881278538812786</v>
      </c>
      <c r="P690" s="93">
        <f>IF(M690&gt;0,N690*100/M690,0)</f>
        <v>0</v>
      </c>
      <c r="Q690" s="597"/>
      <c r="R690" s="597"/>
      <c r="S690" s="597"/>
      <c r="T690" s="597"/>
      <c r="U690" s="597"/>
      <c r="V690" s="597"/>
      <c r="W690" s="597"/>
      <c r="X690" s="597"/>
      <c r="Y690" s="597"/>
      <c r="Z690" s="597"/>
    </row>
    <row r="691" spans="1:26" ht="18.75">
      <c r="A691" s="567"/>
      <c r="B691" s="568"/>
      <c r="C691" s="754"/>
      <c r="D691" s="754"/>
      <c r="E691" s="754"/>
      <c r="F691" s="754" t="s">
        <v>186</v>
      </c>
      <c r="G691" s="189"/>
      <c r="H691" s="161" t="s">
        <v>12</v>
      </c>
      <c r="I691" s="269"/>
      <c r="J691" s="269"/>
      <c r="K691" s="496"/>
      <c r="L691" s="496"/>
      <c r="M691" s="496"/>
      <c r="N691" s="817">
        <v>0</v>
      </c>
      <c r="O691" s="496"/>
      <c r="P691" s="496"/>
      <c r="Q691" s="571"/>
      <c r="R691" s="571"/>
      <c r="S691" s="571"/>
      <c r="T691" s="571"/>
      <c r="U691" s="571"/>
      <c r="V691" s="571"/>
      <c r="W691" s="571"/>
      <c r="X691" s="571"/>
      <c r="Y691" s="571"/>
      <c r="Z691" s="571"/>
    </row>
    <row r="692" spans="1:26" ht="18.75">
      <c r="A692" s="567"/>
      <c r="B692" s="568"/>
      <c r="C692" s="754"/>
      <c r="D692" s="754"/>
      <c r="E692" s="754"/>
      <c r="F692" s="754" t="s">
        <v>187</v>
      </c>
      <c r="G692" s="189"/>
      <c r="H692" s="161" t="s">
        <v>12</v>
      </c>
      <c r="I692" s="269"/>
      <c r="J692" s="269"/>
      <c r="K692" s="496"/>
      <c r="L692" s="496"/>
      <c r="M692" s="496"/>
      <c r="N692" s="817">
        <v>0</v>
      </c>
      <c r="O692" s="496"/>
      <c r="P692" s="496"/>
      <c r="Q692" s="571"/>
      <c r="R692" s="571"/>
      <c r="S692" s="571"/>
      <c r="T692" s="571"/>
      <c r="U692" s="571"/>
      <c r="V692" s="571"/>
      <c r="W692" s="571"/>
      <c r="X692" s="571"/>
      <c r="Y692" s="571"/>
      <c r="Z692" s="571"/>
    </row>
    <row r="693" spans="1:26" ht="18.75">
      <c r="A693" s="567"/>
      <c r="B693" s="568"/>
      <c r="C693" s="754"/>
      <c r="D693" s="754"/>
      <c r="E693" s="754"/>
      <c r="F693" s="754" t="s">
        <v>188</v>
      </c>
      <c r="G693" s="189"/>
      <c r="H693" s="161" t="s">
        <v>12</v>
      </c>
      <c r="I693" s="269"/>
      <c r="J693" s="269"/>
      <c r="K693" s="496"/>
      <c r="L693" s="496"/>
      <c r="M693" s="496"/>
      <c r="N693" s="817">
        <v>0</v>
      </c>
      <c r="O693" s="496"/>
      <c r="P693" s="496"/>
      <c r="Q693" s="571"/>
      <c r="R693" s="571"/>
      <c r="S693" s="571"/>
      <c r="T693" s="571"/>
      <c r="U693" s="571"/>
      <c r="V693" s="571"/>
      <c r="W693" s="571"/>
      <c r="X693" s="571"/>
      <c r="Y693" s="571"/>
      <c r="Z693" s="571"/>
    </row>
    <row r="694" spans="1:26" ht="18.75">
      <c r="A694" s="567"/>
      <c r="B694" s="568"/>
      <c r="C694" s="754"/>
      <c r="D694" s="754"/>
      <c r="E694" s="754"/>
      <c r="F694" s="754" t="s">
        <v>189</v>
      </c>
      <c r="G694" s="189"/>
      <c r="H694" s="161" t="s">
        <v>12</v>
      </c>
      <c r="I694" s="269"/>
      <c r="J694" s="269"/>
      <c r="K694" s="496"/>
      <c r="L694" s="496"/>
      <c r="M694" s="496"/>
      <c r="N694" s="817">
        <v>2360</v>
      </c>
      <c r="O694" s="496"/>
      <c r="P694" s="496"/>
      <c r="Q694" s="571"/>
      <c r="R694" s="571"/>
      <c r="S694" s="571"/>
      <c r="T694" s="571"/>
      <c r="U694" s="571"/>
      <c r="V694" s="571"/>
      <c r="W694" s="571"/>
      <c r="X694" s="571"/>
      <c r="Y694" s="571"/>
      <c r="Z694" s="571"/>
    </row>
    <row r="695" spans="1:26" ht="18.75">
      <c r="A695" s="590"/>
      <c r="B695" s="568"/>
      <c r="C695" s="754"/>
      <c r="D695" s="599" t="s">
        <v>21</v>
      </c>
      <c r="E695" s="754"/>
      <c r="F695" s="754"/>
      <c r="G695" s="189"/>
      <c r="H695" s="168" t="s">
        <v>12</v>
      </c>
      <c r="I695" s="184"/>
      <c r="J695" s="184"/>
      <c r="K695" s="163"/>
      <c r="L695" s="496">
        <f t="shared" ref="L695:N695" si="286">L696+L697</f>
        <v>0</v>
      </c>
      <c r="M695" s="496">
        <f t="shared" si="286"/>
        <v>0</v>
      </c>
      <c r="N695" s="496">
        <f t="shared" si="286"/>
        <v>0</v>
      </c>
      <c r="O695" s="496">
        <f t="shared" ref="O695:O697" si="287">IF(L695&gt;0,N695*100/L695,0)</f>
        <v>0</v>
      </c>
      <c r="P695" s="496">
        <f t="shared" ref="P695:P697" si="288">IF(M695&gt;0,N695*100/M695,0)</f>
        <v>0</v>
      </c>
      <c r="Q695" s="571"/>
      <c r="R695" s="571"/>
      <c r="S695" s="571"/>
      <c r="T695" s="571"/>
      <c r="U695" s="571"/>
      <c r="V695" s="571"/>
      <c r="W695" s="571"/>
      <c r="X695" s="571"/>
      <c r="Y695" s="571"/>
      <c r="Z695" s="571"/>
    </row>
    <row r="696" spans="1:26" ht="18.75" hidden="1">
      <c r="A696" s="592"/>
      <c r="B696" s="600"/>
      <c r="C696" s="750"/>
      <c r="D696" s="750"/>
      <c r="E696" s="750" t="s">
        <v>18</v>
      </c>
      <c r="F696" s="750"/>
      <c r="G696" s="596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7"/>
        <v>0</v>
      </c>
      <c r="P696" s="93">
        <f t="shared" si="288"/>
        <v>0</v>
      </c>
      <c r="Q696" s="597"/>
      <c r="R696" s="597"/>
      <c r="S696" s="597"/>
      <c r="T696" s="597"/>
      <c r="U696" s="597"/>
      <c r="V696" s="597"/>
      <c r="W696" s="597"/>
      <c r="X696" s="597"/>
      <c r="Y696" s="597"/>
      <c r="Z696" s="597"/>
    </row>
    <row r="697" spans="1:26" ht="18.75" hidden="1">
      <c r="A697" s="592"/>
      <c r="B697" s="600"/>
      <c r="C697" s="750"/>
      <c r="D697" s="750"/>
      <c r="E697" s="750" t="s">
        <v>19</v>
      </c>
      <c r="F697" s="750"/>
      <c r="G697" s="596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7"/>
        <v>0</v>
      </c>
      <c r="P697" s="93">
        <f t="shared" si="288"/>
        <v>0</v>
      </c>
      <c r="Q697" s="597"/>
      <c r="R697" s="597"/>
      <c r="S697" s="597"/>
      <c r="T697" s="597"/>
      <c r="U697" s="597"/>
      <c r="V697" s="597"/>
      <c r="W697" s="597"/>
      <c r="X697" s="597"/>
      <c r="Y697" s="597"/>
      <c r="Z697" s="597"/>
    </row>
    <row r="698" spans="1:26" ht="19.5">
      <c r="A698" s="601"/>
      <c r="B698" s="611"/>
      <c r="C698" s="754" t="s">
        <v>16</v>
      </c>
      <c r="D698" s="840" t="s">
        <v>38</v>
      </c>
      <c r="E698" s="752"/>
      <c r="F698" s="752"/>
      <c r="G698" s="606"/>
      <c r="H698" s="753"/>
      <c r="I698" s="184"/>
      <c r="J698" s="184"/>
      <c r="K698" s="163"/>
      <c r="L698" s="163"/>
      <c r="M698" s="163"/>
      <c r="N698" s="163"/>
      <c r="O698" s="163"/>
      <c r="P698" s="163"/>
      <c r="Q698" s="571"/>
      <c r="R698" s="571"/>
      <c r="S698" s="571"/>
      <c r="T698" s="571"/>
      <c r="U698" s="571"/>
      <c r="V698" s="571"/>
      <c r="W698" s="571"/>
      <c r="X698" s="571"/>
      <c r="Y698" s="571"/>
      <c r="Z698" s="571"/>
    </row>
    <row r="699" spans="1:26" ht="18.75">
      <c r="A699" s="735"/>
      <c r="B699" s="754"/>
      <c r="C699" s="754"/>
      <c r="D699" s="754" t="s">
        <v>294</v>
      </c>
      <c r="E699" s="754"/>
      <c r="F699" s="754"/>
      <c r="G699" s="189"/>
      <c r="H699" s="755" t="s">
        <v>46</v>
      </c>
      <c r="I699" s="756">
        <f ca="1">IFERROR(__xludf.DUMMYFUNCTION("IMPORTRANGE(""https://docs.google.com/spreadsheets/d/1QqKyyYR6Q21VydFLVH3TRQUabQu_ym0Zz7PgGX0-kHA/edit?usp=sharing"",""แผน!IC60"")"),0)</f>
        <v>0</v>
      </c>
      <c r="J699" s="269">
        <f ca="1">IFERROR(__xludf.DUMMYFUNCTION("IMPORTRANGE(""https://docs.google.com/spreadsheets/d/1XWAQStnk-4SwqDmLtmXYiTMKHgktTP8We1SCoS47DrQ/edit?usp=sharing"",""จัดที่ดิน!BB60"")"),0)</f>
        <v>0</v>
      </c>
      <c r="K699" s="496">
        <f t="shared" ref="K699:K701" ca="1" si="289">IF(I699&gt;0,J699*100/I699,0)</f>
        <v>0</v>
      </c>
      <c r="L699" s="496"/>
      <c r="M699" s="189"/>
      <c r="N699" s="757"/>
      <c r="O699" s="496"/>
      <c r="P699" s="496"/>
      <c r="Q699" s="571"/>
      <c r="R699" s="571"/>
      <c r="S699" s="571"/>
      <c r="T699" s="571"/>
      <c r="U699" s="571"/>
      <c r="V699" s="571"/>
      <c r="W699" s="571"/>
      <c r="X699" s="571"/>
      <c r="Y699" s="571"/>
      <c r="Z699" s="571"/>
    </row>
    <row r="700" spans="1:26" ht="18.75">
      <c r="A700" s="735"/>
      <c r="B700" s="754"/>
      <c r="C700" s="754"/>
      <c r="D700" s="754" t="s">
        <v>295</v>
      </c>
      <c r="E700" s="754"/>
      <c r="F700" s="754"/>
      <c r="G700" s="189"/>
      <c r="H700" s="755" t="s">
        <v>35</v>
      </c>
      <c r="I700" s="756">
        <f ca="1">IFERROR(__xludf.DUMMYFUNCTION("IMPORTRANGE(""https://docs.google.com/spreadsheets/d/1QqKyyYR6Q21VydFLVH3TRQUabQu_ym0Zz7PgGX0-kHA/edit?usp=sharing"",""แผน!ID60"")"),0)</f>
        <v>0</v>
      </c>
      <c r="J700" s="269">
        <f ca="1">IFERROR(__xludf.DUMMYFUNCTION("IMPORTRANGE(""https://docs.google.com/spreadsheets/d/1XWAQStnk-4SwqDmLtmXYiTMKHgktTP8We1SCoS47DrQ/edit?usp=sharing"",""จัดที่ดิน!BD60"")"),0)</f>
        <v>0</v>
      </c>
      <c r="K700" s="496">
        <f t="shared" ca="1" si="289"/>
        <v>0</v>
      </c>
      <c r="L700" s="496"/>
      <c r="M700" s="189"/>
      <c r="N700" s="757"/>
      <c r="O700" s="496"/>
      <c r="P700" s="496"/>
      <c r="Q700" s="571"/>
      <c r="R700" s="571"/>
      <c r="S700" s="571"/>
      <c r="T700" s="571"/>
      <c r="U700" s="571"/>
      <c r="V700" s="571"/>
      <c r="W700" s="571"/>
      <c r="X700" s="571"/>
      <c r="Y700" s="571"/>
      <c r="Z700" s="571"/>
    </row>
    <row r="701" spans="1:26" ht="19.5">
      <c r="A701" s="735"/>
      <c r="B701" s="754"/>
      <c r="C701" s="754"/>
      <c r="D701" s="754" t="s">
        <v>296</v>
      </c>
      <c r="E701" s="754"/>
      <c r="F701" s="754"/>
      <c r="G701" s="189"/>
      <c r="H701" s="758" t="s">
        <v>46</v>
      </c>
      <c r="I701" s="759">
        <f ca="1">IFERROR(__xludf.DUMMYFUNCTION("IMPORTRANGE(""https://docs.google.com/spreadsheets/d/1QqKyyYR6Q21VydFLVH3TRQUabQu_ym0Zz7PgGX0-kHA/edit?usp=sharing"",""แผน!IE60"")"),0)</f>
        <v>0</v>
      </c>
      <c r="J701" s="674">
        <f>J704+J707</f>
        <v>0</v>
      </c>
      <c r="K701" s="195">
        <f t="shared" ca="1" si="289"/>
        <v>0</v>
      </c>
      <c r="L701" s="496"/>
      <c r="M701" s="189"/>
      <c r="N701" s="757"/>
      <c r="O701" s="496"/>
      <c r="P701" s="496"/>
      <c r="Q701" s="571"/>
      <c r="R701" s="571"/>
      <c r="S701" s="571"/>
      <c r="T701" s="571"/>
      <c r="U701" s="571"/>
      <c r="V701" s="571"/>
      <c r="W701" s="571"/>
      <c r="X701" s="571"/>
      <c r="Y701" s="571"/>
      <c r="Z701" s="571"/>
    </row>
    <row r="702" spans="1:26" ht="18.75">
      <c r="A702" s="735"/>
      <c r="B702" s="754"/>
      <c r="C702" s="754"/>
      <c r="D702" s="754"/>
      <c r="E702" s="754" t="s">
        <v>297</v>
      </c>
      <c r="F702" s="754"/>
      <c r="G702" s="189"/>
      <c r="H702" s="755" t="s">
        <v>35</v>
      </c>
      <c r="I702" s="756"/>
      <c r="J702" s="214">
        <v>0</v>
      </c>
      <c r="K702" s="496"/>
      <c r="L702" s="496"/>
      <c r="M702" s="189"/>
      <c r="N702" s="757"/>
      <c r="O702" s="496"/>
      <c r="P702" s="496"/>
      <c r="Q702" s="571"/>
      <c r="R702" s="571"/>
      <c r="S702" s="571"/>
      <c r="T702" s="571"/>
      <c r="U702" s="571"/>
      <c r="V702" s="571"/>
      <c r="W702" s="571"/>
      <c r="X702" s="571"/>
      <c r="Y702" s="571"/>
      <c r="Z702" s="571"/>
    </row>
    <row r="703" spans="1:26" ht="18.75">
      <c r="A703" s="735"/>
      <c r="B703" s="754"/>
      <c r="C703" s="754"/>
      <c r="D703" s="754"/>
      <c r="E703" s="754"/>
      <c r="F703" s="754"/>
      <c r="G703" s="189"/>
      <c r="H703" s="755" t="s">
        <v>34</v>
      </c>
      <c r="I703" s="756"/>
      <c r="J703" s="214">
        <v>0</v>
      </c>
      <c r="K703" s="496"/>
      <c r="L703" s="496"/>
      <c r="M703" s="189"/>
      <c r="N703" s="757"/>
      <c r="O703" s="496"/>
      <c r="P703" s="496"/>
      <c r="Q703" s="571"/>
      <c r="R703" s="571"/>
      <c r="S703" s="571"/>
      <c r="T703" s="571"/>
      <c r="U703" s="571"/>
      <c r="V703" s="571"/>
      <c r="W703" s="571"/>
      <c r="X703" s="571"/>
      <c r="Y703" s="571"/>
      <c r="Z703" s="571"/>
    </row>
    <row r="704" spans="1:26" ht="18.75">
      <c r="A704" s="735"/>
      <c r="B704" s="754"/>
      <c r="C704" s="754"/>
      <c r="D704" s="754"/>
      <c r="E704" s="754"/>
      <c r="F704" s="754"/>
      <c r="G704" s="189"/>
      <c r="H704" s="755" t="s">
        <v>46</v>
      </c>
      <c r="I704" s="756">
        <f ca="1">IFERROR(__xludf.DUMMYFUNCTION("IMPORTRANGE(""https://docs.google.com/spreadsheets/d/1QqKyyYR6Q21VydFLVH3TRQUabQu_ym0Zz7PgGX0-kHA/edit?usp=sharing"",""แผน!IF60"")"),0)</f>
        <v>0</v>
      </c>
      <c r="J704" s="214">
        <v>0</v>
      </c>
      <c r="K704" s="496"/>
      <c r="L704" s="496"/>
      <c r="M704" s="189"/>
      <c r="N704" s="757"/>
      <c r="O704" s="496"/>
      <c r="P704" s="496"/>
      <c r="Q704" s="571"/>
      <c r="R704" s="571"/>
      <c r="S704" s="571"/>
      <c r="T704" s="571"/>
      <c r="U704" s="571"/>
      <c r="V704" s="571"/>
      <c r="W704" s="571"/>
      <c r="X704" s="571"/>
      <c r="Y704" s="571"/>
      <c r="Z704" s="571"/>
    </row>
    <row r="705" spans="1:26" ht="18.75">
      <c r="A705" s="735"/>
      <c r="B705" s="754"/>
      <c r="C705" s="754"/>
      <c r="D705" s="754"/>
      <c r="E705" s="754" t="s">
        <v>298</v>
      </c>
      <c r="F705" s="754"/>
      <c r="G705" s="189"/>
      <c r="H705" s="755" t="s">
        <v>35</v>
      </c>
      <c r="I705" s="756"/>
      <c r="J705" s="214">
        <v>0</v>
      </c>
      <c r="K705" s="496"/>
      <c r="L705" s="496"/>
      <c r="M705" s="189"/>
      <c r="N705" s="757"/>
      <c r="O705" s="496"/>
      <c r="P705" s="496"/>
      <c r="Q705" s="571"/>
      <c r="R705" s="571"/>
      <c r="S705" s="571"/>
      <c r="T705" s="571"/>
      <c r="U705" s="571"/>
      <c r="V705" s="571"/>
      <c r="W705" s="571"/>
      <c r="X705" s="571"/>
      <c r="Y705" s="571"/>
      <c r="Z705" s="571"/>
    </row>
    <row r="706" spans="1:26" ht="18.75">
      <c r="A706" s="735"/>
      <c r="B706" s="754"/>
      <c r="C706" s="754"/>
      <c r="D706" s="754"/>
      <c r="E706" s="754"/>
      <c r="F706" s="754"/>
      <c r="G706" s="189"/>
      <c r="H706" s="755" t="s">
        <v>34</v>
      </c>
      <c r="I706" s="756"/>
      <c r="J706" s="214">
        <v>0</v>
      </c>
      <c r="K706" s="496"/>
      <c r="L706" s="496"/>
      <c r="M706" s="189"/>
      <c r="N706" s="757"/>
      <c r="O706" s="496"/>
      <c r="P706" s="496"/>
      <c r="Q706" s="571"/>
      <c r="R706" s="571"/>
      <c r="S706" s="571"/>
      <c r="T706" s="571"/>
      <c r="U706" s="571"/>
      <c r="V706" s="571"/>
      <c r="W706" s="571"/>
      <c r="X706" s="571"/>
      <c r="Y706" s="571"/>
      <c r="Z706" s="571"/>
    </row>
    <row r="707" spans="1:26" ht="18.75">
      <c r="A707" s="735"/>
      <c r="B707" s="754"/>
      <c r="C707" s="754"/>
      <c r="D707" s="754"/>
      <c r="E707" s="754"/>
      <c r="F707" s="754"/>
      <c r="G707" s="189"/>
      <c r="H707" s="755" t="s">
        <v>46</v>
      </c>
      <c r="I707" s="756">
        <f ca="1">IFERROR(__xludf.DUMMYFUNCTION("IMPORTRANGE(""https://docs.google.com/spreadsheets/d/1QqKyyYR6Q21VydFLVH3TRQUabQu_ym0Zz7PgGX0-kHA/edit?usp=sharing"",""แผน!IG60"")"),0)</f>
        <v>0</v>
      </c>
      <c r="J707" s="214">
        <v>0</v>
      </c>
      <c r="K707" s="496"/>
      <c r="L707" s="496"/>
      <c r="M707" s="189"/>
      <c r="N707" s="757"/>
      <c r="O707" s="496"/>
      <c r="P707" s="496"/>
      <c r="Q707" s="571"/>
      <c r="R707" s="571"/>
      <c r="S707" s="571"/>
      <c r="T707" s="571"/>
      <c r="U707" s="571"/>
      <c r="V707" s="571"/>
      <c r="W707" s="571"/>
      <c r="X707" s="571"/>
      <c r="Y707" s="571"/>
      <c r="Z707" s="571"/>
    </row>
    <row r="708" spans="1:26" ht="19.5">
      <c r="A708" s="735"/>
      <c r="B708" s="754"/>
      <c r="C708" s="754"/>
      <c r="D708" s="760" t="s">
        <v>299</v>
      </c>
      <c r="E708" s="754"/>
      <c r="F708" s="754"/>
      <c r="G708" s="189"/>
      <c r="H708" s="758" t="s">
        <v>46</v>
      </c>
      <c r="I708" s="759">
        <f ca="1">IFERROR(__xludf.DUMMYFUNCTION("IMPORTRANGE(""https://docs.google.com/spreadsheets/d/1QqKyyYR6Q21VydFLVH3TRQUabQu_ym0Zz7PgGX0-kHA/edit?usp=sharing"",""แผน!IH60"")"),0)</f>
        <v>0</v>
      </c>
      <c r="J708" s="674">
        <f>J714+J717</f>
        <v>0</v>
      </c>
      <c r="K708" s="195">
        <f ca="1">IF(I708&gt;0,J708*100/I708,0)</f>
        <v>0</v>
      </c>
      <c r="L708" s="496"/>
      <c r="M708" s="189"/>
      <c r="N708" s="757"/>
      <c r="O708" s="496"/>
      <c r="P708" s="496"/>
      <c r="Q708" s="571"/>
      <c r="R708" s="571"/>
      <c r="S708" s="571"/>
      <c r="T708" s="571"/>
      <c r="U708" s="571"/>
      <c r="V708" s="571"/>
      <c r="W708" s="571"/>
      <c r="X708" s="571"/>
      <c r="Y708" s="571"/>
      <c r="Z708" s="571"/>
    </row>
    <row r="709" spans="1:26" ht="18.75">
      <c r="A709" s="735"/>
      <c r="B709" s="754"/>
      <c r="C709" s="754"/>
      <c r="D709" s="754"/>
      <c r="E709" s="754" t="s">
        <v>300</v>
      </c>
      <c r="F709" s="754"/>
      <c r="G709" s="189"/>
      <c r="H709" s="755" t="s">
        <v>34</v>
      </c>
      <c r="I709" s="756"/>
      <c r="J709" s="214">
        <v>0</v>
      </c>
      <c r="K709" s="496"/>
      <c r="L709" s="757"/>
      <c r="M709" s="189"/>
      <c r="N709" s="757"/>
      <c r="O709" s="496"/>
      <c r="P709" s="496"/>
      <c r="Q709" s="571"/>
      <c r="R709" s="571"/>
      <c r="S709" s="571"/>
      <c r="T709" s="571"/>
      <c r="U709" s="571"/>
      <c r="V709" s="571"/>
      <c r="W709" s="571"/>
      <c r="X709" s="571"/>
      <c r="Y709" s="571"/>
      <c r="Z709" s="571"/>
    </row>
    <row r="710" spans="1:26" ht="18.75">
      <c r="A710" s="735"/>
      <c r="B710" s="754"/>
      <c r="C710" s="754"/>
      <c r="D710" s="754"/>
      <c r="E710" s="754"/>
      <c r="F710" s="754"/>
      <c r="G710" s="189"/>
      <c r="H710" s="755" t="s">
        <v>46</v>
      </c>
      <c r="I710" s="756"/>
      <c r="J710" s="214">
        <v>0</v>
      </c>
      <c r="K710" s="496"/>
      <c r="L710" s="757"/>
      <c r="M710" s="189"/>
      <c r="N710" s="757"/>
      <c r="O710" s="496"/>
      <c r="P710" s="496"/>
      <c r="Q710" s="571"/>
      <c r="R710" s="571"/>
      <c r="S710" s="571"/>
      <c r="T710" s="571"/>
      <c r="U710" s="571"/>
      <c r="V710" s="571"/>
      <c r="W710" s="571"/>
      <c r="X710" s="571"/>
      <c r="Y710" s="571"/>
      <c r="Z710" s="571"/>
    </row>
    <row r="711" spans="1:26" ht="18.75">
      <c r="A711" s="735"/>
      <c r="B711" s="754"/>
      <c r="C711" s="754"/>
      <c r="D711" s="754"/>
      <c r="E711" s="754" t="s">
        <v>301</v>
      </c>
      <c r="F711" s="754"/>
      <c r="G711" s="189"/>
      <c r="H711" s="753"/>
      <c r="I711" s="756"/>
      <c r="J711" s="269"/>
      <c r="K711" s="496"/>
      <c r="L711" s="757"/>
      <c r="M711" s="189"/>
      <c r="N711" s="757"/>
      <c r="O711" s="496"/>
      <c r="P711" s="496"/>
      <c r="Q711" s="571"/>
      <c r="R711" s="571"/>
      <c r="S711" s="571"/>
      <c r="T711" s="571"/>
      <c r="U711" s="571"/>
      <c r="V711" s="571"/>
      <c r="W711" s="571"/>
      <c r="X711" s="571"/>
      <c r="Y711" s="571"/>
      <c r="Z711" s="571"/>
    </row>
    <row r="712" spans="1:26" ht="18.75">
      <c r="A712" s="735"/>
      <c r="B712" s="754"/>
      <c r="C712" s="754"/>
      <c r="D712" s="754"/>
      <c r="E712" s="754"/>
      <c r="F712" s="754" t="s">
        <v>302</v>
      </c>
      <c r="G712" s="189"/>
      <c r="H712" s="755" t="s">
        <v>35</v>
      </c>
      <c r="I712" s="756"/>
      <c r="J712" s="214">
        <v>0</v>
      </c>
      <c r="K712" s="496"/>
      <c r="L712" s="757"/>
      <c r="M712" s="189"/>
      <c r="N712" s="757"/>
      <c r="O712" s="496"/>
      <c r="P712" s="496"/>
      <c r="Q712" s="571"/>
      <c r="R712" s="571"/>
      <c r="S712" s="571"/>
      <c r="T712" s="571"/>
      <c r="U712" s="571"/>
      <c r="V712" s="571"/>
      <c r="W712" s="571"/>
      <c r="X712" s="571"/>
      <c r="Y712" s="571"/>
      <c r="Z712" s="571"/>
    </row>
    <row r="713" spans="1:26" ht="18.75">
      <c r="A713" s="735"/>
      <c r="B713" s="754"/>
      <c r="C713" s="754"/>
      <c r="D713" s="754"/>
      <c r="E713" s="754"/>
      <c r="F713" s="754"/>
      <c r="G713" s="189"/>
      <c r="H713" s="755" t="s">
        <v>34</v>
      </c>
      <c r="I713" s="756"/>
      <c r="J713" s="214">
        <v>0</v>
      </c>
      <c r="K713" s="496"/>
      <c r="L713" s="757"/>
      <c r="M713" s="189"/>
      <c r="N713" s="757"/>
      <c r="O713" s="496"/>
      <c r="P713" s="496"/>
      <c r="Q713" s="571"/>
      <c r="R713" s="571"/>
      <c r="S713" s="571"/>
      <c r="T713" s="571"/>
      <c r="U713" s="571"/>
      <c r="V713" s="571"/>
      <c r="W713" s="571"/>
      <c r="X713" s="571"/>
      <c r="Y713" s="571"/>
      <c r="Z713" s="571"/>
    </row>
    <row r="714" spans="1:26" ht="18.75">
      <c r="A714" s="735"/>
      <c r="B714" s="754"/>
      <c r="C714" s="754"/>
      <c r="D714" s="754"/>
      <c r="E714" s="754"/>
      <c r="F714" s="754"/>
      <c r="G714" s="189"/>
      <c r="H714" s="755" t="s">
        <v>46</v>
      </c>
      <c r="I714" s="756"/>
      <c r="J714" s="214">
        <v>0</v>
      </c>
      <c r="K714" s="496"/>
      <c r="L714" s="757"/>
      <c r="M714" s="189"/>
      <c r="N714" s="757"/>
      <c r="O714" s="496"/>
      <c r="P714" s="496"/>
      <c r="Q714" s="571"/>
      <c r="R714" s="571"/>
      <c r="S714" s="571"/>
      <c r="T714" s="571"/>
      <c r="U714" s="571"/>
      <c r="V714" s="571"/>
      <c r="W714" s="571"/>
      <c r="X714" s="571"/>
      <c r="Y714" s="571"/>
      <c r="Z714" s="571"/>
    </row>
    <row r="715" spans="1:26" ht="18.75">
      <c r="A715" s="735"/>
      <c r="B715" s="754"/>
      <c r="C715" s="754"/>
      <c r="D715" s="754"/>
      <c r="E715" s="754"/>
      <c r="F715" s="754" t="s">
        <v>303</v>
      </c>
      <c r="G715" s="189"/>
      <c r="H715" s="755" t="s">
        <v>35</v>
      </c>
      <c r="I715" s="756"/>
      <c r="J715" s="214">
        <v>0</v>
      </c>
      <c r="K715" s="496"/>
      <c r="L715" s="757"/>
      <c r="M715" s="189"/>
      <c r="N715" s="757"/>
      <c r="O715" s="496"/>
      <c r="P715" s="496"/>
      <c r="Q715" s="571"/>
      <c r="R715" s="571"/>
      <c r="S715" s="571"/>
      <c r="T715" s="571"/>
      <c r="U715" s="571"/>
      <c r="V715" s="571"/>
      <c r="W715" s="571"/>
      <c r="X715" s="571"/>
      <c r="Y715" s="571"/>
      <c r="Z715" s="571"/>
    </row>
    <row r="716" spans="1:26" ht="18.75">
      <c r="A716" s="735"/>
      <c r="B716" s="754"/>
      <c r="C716" s="754"/>
      <c r="D716" s="754"/>
      <c r="E716" s="754"/>
      <c r="F716" s="754"/>
      <c r="G716" s="189"/>
      <c r="H716" s="755" t="s">
        <v>34</v>
      </c>
      <c r="I716" s="756"/>
      <c r="J716" s="214">
        <v>0</v>
      </c>
      <c r="K716" s="496"/>
      <c r="L716" s="757"/>
      <c r="M716" s="189"/>
      <c r="N716" s="757"/>
      <c r="O716" s="496"/>
      <c r="P716" s="496"/>
      <c r="Q716" s="571"/>
      <c r="R716" s="571"/>
      <c r="S716" s="571"/>
      <c r="T716" s="571"/>
      <c r="U716" s="571"/>
      <c r="V716" s="571"/>
      <c r="W716" s="571"/>
      <c r="X716" s="571"/>
      <c r="Y716" s="571"/>
      <c r="Z716" s="571"/>
    </row>
    <row r="717" spans="1:26" ht="18.75">
      <c r="A717" s="735"/>
      <c r="B717" s="754"/>
      <c r="C717" s="754"/>
      <c r="D717" s="754"/>
      <c r="E717" s="754"/>
      <c r="F717" s="754"/>
      <c r="G717" s="189"/>
      <c r="H717" s="755" t="s">
        <v>46</v>
      </c>
      <c r="I717" s="756"/>
      <c r="J717" s="214"/>
      <c r="K717" s="496"/>
      <c r="L717" s="757"/>
      <c r="M717" s="189"/>
      <c r="N717" s="757"/>
      <c r="O717" s="496"/>
      <c r="P717" s="496"/>
      <c r="Q717" s="571"/>
      <c r="R717" s="571"/>
      <c r="S717" s="571"/>
      <c r="T717" s="571"/>
      <c r="U717" s="571"/>
      <c r="V717" s="571"/>
      <c r="W717" s="571"/>
      <c r="X717" s="571"/>
      <c r="Y717" s="571"/>
      <c r="Z717" s="571"/>
    </row>
    <row r="718" spans="1:26" ht="18.75">
      <c r="A718" s="735"/>
      <c r="B718" s="754"/>
      <c r="C718" s="754"/>
      <c r="D718" s="754" t="s">
        <v>304</v>
      </c>
      <c r="E718" s="754"/>
      <c r="F718" s="754"/>
      <c r="G718" s="189"/>
      <c r="H718" s="755" t="s">
        <v>35</v>
      </c>
      <c r="I718" s="756"/>
      <c r="J718" s="269">
        <f ca="1">IFERROR(__xludf.DUMMYFUNCTION("IMPORTRANGE(""https://docs.google.com/spreadsheets/d/1XWAQStnk-4SwqDmLtmXYiTMKHgktTP8We1SCoS47DrQ/edit?usp=sharing"",""จัดที่ดิน!BF60"")"),0)</f>
        <v>0</v>
      </c>
      <c r="K718" s="496"/>
      <c r="L718" s="496"/>
      <c r="M718" s="189"/>
      <c r="N718" s="757"/>
      <c r="O718" s="496"/>
      <c r="P718" s="496"/>
      <c r="Q718" s="571"/>
      <c r="R718" s="571"/>
      <c r="S718" s="571"/>
      <c r="T718" s="571"/>
      <c r="U718" s="571"/>
      <c r="V718" s="571"/>
      <c r="W718" s="571"/>
      <c r="X718" s="571"/>
      <c r="Y718" s="571"/>
      <c r="Z718" s="571"/>
    </row>
    <row r="719" spans="1:26" ht="18.75">
      <c r="A719" s="735"/>
      <c r="B719" s="754"/>
      <c r="C719" s="754"/>
      <c r="D719" s="754"/>
      <c r="E719" s="754"/>
      <c r="F719" s="754"/>
      <c r="G719" s="189"/>
      <c r="H719" s="755" t="s">
        <v>34</v>
      </c>
      <c r="I719" s="756"/>
      <c r="J719" s="269">
        <f ca="1">IFERROR(__xludf.DUMMYFUNCTION("IMPORTRANGE(""https://docs.google.com/spreadsheets/d/1XWAQStnk-4SwqDmLtmXYiTMKHgktTP8We1SCoS47DrQ/edit?usp=sharing"",""จัดที่ดิน!BG60"")"),0)</f>
        <v>0</v>
      </c>
      <c r="K719" s="496"/>
      <c r="L719" s="757"/>
      <c r="M719" s="189"/>
      <c r="N719" s="757"/>
      <c r="O719" s="496"/>
      <c r="P719" s="496"/>
      <c r="Q719" s="571"/>
      <c r="R719" s="571"/>
      <c r="S719" s="571"/>
      <c r="T719" s="571"/>
      <c r="U719" s="571"/>
      <c r="V719" s="571"/>
      <c r="W719" s="571"/>
      <c r="X719" s="571"/>
      <c r="Y719" s="571"/>
      <c r="Z719" s="571"/>
    </row>
    <row r="720" spans="1:26" ht="18.75">
      <c r="A720" s="735"/>
      <c r="B720" s="754"/>
      <c r="C720" s="754"/>
      <c r="D720" s="754"/>
      <c r="E720" s="754"/>
      <c r="F720" s="754"/>
      <c r="G720" s="189"/>
      <c r="H720" s="755" t="s">
        <v>46</v>
      </c>
      <c r="I720" s="756">
        <f ca="1">IFERROR(__xludf.DUMMYFUNCTION("IMPORTRANGE(""https://docs.google.com/spreadsheets/d/1QqKyyYR6Q21VydFLVH3TRQUabQu_ym0Zz7PgGX0-kHA/edit?usp=sharing"",""แผน!II60"")"),34)</f>
        <v>34</v>
      </c>
      <c r="J720" s="269">
        <f ca="1">IFERROR(__xludf.DUMMYFUNCTION("IMPORTRANGE(""https://docs.google.com/spreadsheets/d/1XWAQStnk-4SwqDmLtmXYiTMKHgktTP8We1SCoS47DrQ/edit?usp=sharing"",""จัดที่ดิน!BH60"")"),0)</f>
        <v>0</v>
      </c>
      <c r="K720" s="496">
        <f t="shared" ref="K720:K723" ca="1" si="290">IF(I720&gt;0,J720*100/I720,0)</f>
        <v>0</v>
      </c>
      <c r="L720" s="757"/>
      <c r="M720" s="189"/>
      <c r="N720" s="757"/>
      <c r="O720" s="496"/>
      <c r="P720" s="496"/>
      <c r="Q720" s="571"/>
      <c r="R720" s="571"/>
      <c r="S720" s="571"/>
      <c r="T720" s="571"/>
      <c r="U720" s="571"/>
      <c r="V720" s="571"/>
      <c r="W720" s="571"/>
      <c r="X720" s="571"/>
      <c r="Y720" s="571"/>
      <c r="Z720" s="571"/>
    </row>
    <row r="721" spans="1:26" ht="19.5">
      <c r="A721" s="735"/>
      <c r="B721" s="754"/>
      <c r="C721" s="754"/>
      <c r="D721" s="754" t="s">
        <v>305</v>
      </c>
      <c r="E721" s="754"/>
      <c r="F721" s="754"/>
      <c r="G721" s="189"/>
      <c r="H721" s="758" t="s">
        <v>35</v>
      </c>
      <c r="I721" s="759">
        <f ca="1">IFERROR(__xludf.DUMMYFUNCTION("IMPORTRANGE(""https://docs.google.com/spreadsheets/d/1QqKyyYR6Q21VydFLVH3TRQUabQu_ym0Zz7PgGX0-kHA/edit?usp=sharing"",""แผน!IJ60"")"),3)</f>
        <v>3</v>
      </c>
      <c r="J721" s="674">
        <f ca="1">J723+J726</f>
        <v>8</v>
      </c>
      <c r="K721" s="195">
        <f t="shared" ca="1" si="290"/>
        <v>266.66666666666669</v>
      </c>
      <c r="L721" s="757"/>
      <c r="M721" s="189"/>
      <c r="N721" s="757"/>
      <c r="O721" s="496"/>
      <c r="P721" s="496"/>
      <c r="Q721" s="571"/>
      <c r="R721" s="571"/>
      <c r="S721" s="571"/>
      <c r="T721" s="571"/>
      <c r="U721" s="571"/>
      <c r="V721" s="571"/>
      <c r="W721" s="571"/>
      <c r="X721" s="571"/>
      <c r="Y721" s="571"/>
      <c r="Z721" s="571"/>
    </row>
    <row r="722" spans="1:26" ht="19.5">
      <c r="A722" s="735"/>
      <c r="B722" s="754"/>
      <c r="C722" s="754"/>
      <c r="D722" s="754"/>
      <c r="E722" s="754"/>
      <c r="F722" s="754"/>
      <c r="G722" s="189"/>
      <c r="H722" s="758" t="s">
        <v>46</v>
      </c>
      <c r="I722" s="759">
        <f ca="1">IFERROR(__xludf.DUMMYFUNCTION("IMPORTRANGE(""https://docs.google.com/spreadsheets/d/1QqKyyYR6Q21VydFLVH3TRQUabQu_ym0Zz7PgGX0-kHA/edit?usp=sharing"",""แผน!IK60"")"),40)</f>
        <v>40</v>
      </c>
      <c r="J722" s="674">
        <f ca="1">J725+J728</f>
        <v>44.519999999999996</v>
      </c>
      <c r="K722" s="195">
        <f t="shared" ca="1" si="290"/>
        <v>111.3</v>
      </c>
      <c r="L722" s="496"/>
      <c r="M722" s="189"/>
      <c r="N722" s="757"/>
      <c r="O722" s="496"/>
      <c r="P722" s="496"/>
      <c r="Q722" s="571"/>
      <c r="R722" s="571"/>
      <c r="S722" s="571"/>
      <c r="T722" s="571"/>
      <c r="U722" s="571"/>
      <c r="V722" s="571"/>
      <c r="W722" s="571"/>
      <c r="X722" s="571"/>
      <c r="Y722" s="571"/>
      <c r="Z722" s="571"/>
    </row>
    <row r="723" spans="1:26" ht="18.75">
      <c r="A723" s="735"/>
      <c r="B723" s="754"/>
      <c r="C723" s="754"/>
      <c r="D723" s="754"/>
      <c r="E723" s="754" t="s">
        <v>306</v>
      </c>
      <c r="F723" s="754"/>
      <c r="G723" s="189"/>
      <c r="H723" s="755" t="s">
        <v>35</v>
      </c>
      <c r="I723" s="756">
        <f ca="1">IFERROR(__xludf.DUMMYFUNCTION("IMPORTRANGE(""https://docs.google.com/spreadsheets/d/1QqKyyYR6Q21VydFLVH3TRQUabQu_ym0Zz7PgGX0-kHA/edit?usp=sharing"",""แผน!IL60"")"),2)</f>
        <v>2</v>
      </c>
      <c r="J723" s="269">
        <f ca="1">IFERROR(__xludf.DUMMYFUNCTION("IMPORTRANGE(""https://docs.google.com/spreadsheets/d/1XWAQStnk-4SwqDmLtmXYiTMKHgktTP8We1SCoS47DrQ/edit?usp=sharing"",""จัดที่ดิน!BM60"")"),3)</f>
        <v>3</v>
      </c>
      <c r="K723" s="496">
        <f t="shared" ca="1" si="290"/>
        <v>150</v>
      </c>
      <c r="L723" s="496"/>
      <c r="M723" s="189"/>
      <c r="N723" s="757"/>
      <c r="O723" s="496"/>
      <c r="P723" s="496"/>
      <c r="Q723" s="571"/>
      <c r="R723" s="571"/>
      <c r="S723" s="571"/>
      <c r="T723" s="571"/>
      <c r="U723" s="571"/>
      <c r="V723" s="571"/>
      <c r="W723" s="571"/>
      <c r="X723" s="571"/>
      <c r="Y723" s="571"/>
      <c r="Z723" s="571"/>
    </row>
    <row r="724" spans="1:26" ht="18.75">
      <c r="A724" s="735"/>
      <c r="B724" s="754"/>
      <c r="C724" s="754"/>
      <c r="D724" s="754"/>
      <c r="E724" s="754"/>
      <c r="F724" s="754"/>
      <c r="G724" s="189"/>
      <c r="H724" s="755" t="s">
        <v>34</v>
      </c>
      <c r="I724" s="756"/>
      <c r="J724" s="269">
        <f ca="1">IFERROR(__xludf.DUMMYFUNCTION("IMPORTRANGE(""https://docs.google.com/spreadsheets/d/1XWAQStnk-4SwqDmLtmXYiTMKHgktTP8We1SCoS47DrQ/edit?usp=sharing"",""จัดที่ดิน!BN60"")"),3)</f>
        <v>3</v>
      </c>
      <c r="K724" s="496"/>
      <c r="L724" s="757"/>
      <c r="M724" s="189"/>
      <c r="N724" s="757"/>
      <c r="O724" s="496"/>
      <c r="P724" s="496"/>
      <c r="Q724" s="571"/>
      <c r="R724" s="571"/>
      <c r="S724" s="571"/>
      <c r="T724" s="571"/>
      <c r="U724" s="571"/>
      <c r="V724" s="571"/>
      <c r="W724" s="571"/>
      <c r="X724" s="571"/>
      <c r="Y724" s="571"/>
      <c r="Z724" s="571"/>
    </row>
    <row r="725" spans="1:26" ht="18.75">
      <c r="A725" s="735"/>
      <c r="B725" s="754"/>
      <c r="C725" s="754"/>
      <c r="D725" s="754"/>
      <c r="E725" s="754"/>
      <c r="F725" s="754"/>
      <c r="G725" s="189"/>
      <c r="H725" s="755" t="s">
        <v>46</v>
      </c>
      <c r="I725" s="756">
        <f ca="1">IFERROR(__xludf.DUMMYFUNCTION("IMPORTRANGE(""https://docs.google.com/spreadsheets/d/1QqKyyYR6Q21VydFLVH3TRQUabQu_ym0Zz7PgGX0-kHA/edit?usp=sharing"",""แผน!IM60"")"),20)</f>
        <v>20</v>
      </c>
      <c r="J725" s="269">
        <f ca="1">IFERROR(__xludf.DUMMYFUNCTION("IMPORTRANGE(""https://docs.google.com/spreadsheets/d/1XWAQStnk-4SwqDmLtmXYiTMKHgktTP8We1SCoS47DrQ/edit?usp=sharing"",""จัดที่ดิน!BO60"")"),34.82)</f>
        <v>34.82</v>
      </c>
      <c r="K725" s="496">
        <f t="shared" ref="K725:K726" ca="1" si="291">IF(I725&gt;0,J725*100/I725,0)</f>
        <v>174.1</v>
      </c>
      <c r="L725" s="757"/>
      <c r="M725" s="189"/>
      <c r="N725" s="757"/>
      <c r="O725" s="496"/>
      <c r="P725" s="496"/>
      <c r="Q725" s="571"/>
      <c r="R725" s="571"/>
      <c r="S725" s="571"/>
      <c r="T725" s="571"/>
      <c r="U725" s="571"/>
      <c r="V725" s="571"/>
      <c r="W725" s="571"/>
      <c r="X725" s="571"/>
      <c r="Y725" s="571"/>
      <c r="Z725" s="571"/>
    </row>
    <row r="726" spans="1:26" ht="18.75">
      <c r="A726" s="735"/>
      <c r="B726" s="754"/>
      <c r="C726" s="754"/>
      <c r="D726" s="754"/>
      <c r="E726" s="754" t="s">
        <v>307</v>
      </c>
      <c r="F726" s="754"/>
      <c r="G726" s="189"/>
      <c r="H726" s="755" t="s">
        <v>35</v>
      </c>
      <c r="I726" s="756">
        <f ca="1">IFERROR(__xludf.DUMMYFUNCTION("IMPORTRANGE(""https://docs.google.com/spreadsheets/d/1QqKyyYR6Q21VydFLVH3TRQUabQu_ym0Zz7PgGX0-kHA/edit?usp=sharing"",""แผน!IN60"")"),1)</f>
        <v>1</v>
      </c>
      <c r="J726" s="269">
        <f ca="1">IFERROR(__xludf.DUMMYFUNCTION("IMPORTRANGE(""https://docs.google.com/spreadsheets/d/1XWAQStnk-4SwqDmLtmXYiTMKHgktTP8We1SCoS47DrQ/edit?usp=sharing"",""จัดที่ดิน!BR60"")"),5)</f>
        <v>5</v>
      </c>
      <c r="K726" s="496">
        <f t="shared" ca="1" si="291"/>
        <v>500</v>
      </c>
      <c r="L726" s="496"/>
      <c r="M726" s="189"/>
      <c r="N726" s="757"/>
      <c r="O726" s="496"/>
      <c r="P726" s="496"/>
      <c r="Q726" s="571"/>
      <c r="R726" s="571"/>
      <c r="S726" s="571"/>
      <c r="T726" s="571"/>
      <c r="U726" s="571"/>
      <c r="V726" s="571"/>
      <c r="W726" s="571"/>
      <c r="X726" s="571"/>
      <c r="Y726" s="571"/>
      <c r="Z726" s="571"/>
    </row>
    <row r="727" spans="1:26" ht="18.75">
      <c r="A727" s="735"/>
      <c r="B727" s="754"/>
      <c r="C727" s="754"/>
      <c r="D727" s="754"/>
      <c r="E727" s="754"/>
      <c r="F727" s="754"/>
      <c r="G727" s="189"/>
      <c r="H727" s="755" t="s">
        <v>34</v>
      </c>
      <c r="I727" s="756"/>
      <c r="J727" s="269">
        <f ca="1">IFERROR(__xludf.DUMMYFUNCTION("IMPORTRANGE(""https://docs.google.com/spreadsheets/d/1XWAQStnk-4SwqDmLtmXYiTMKHgktTP8We1SCoS47DrQ/edit?usp=sharing"",""จัดที่ดิน!BS60"")"),5)</f>
        <v>5</v>
      </c>
      <c r="K727" s="496"/>
      <c r="L727" s="757"/>
      <c r="M727" s="189"/>
      <c r="N727" s="757"/>
      <c r="O727" s="496"/>
      <c r="P727" s="496"/>
      <c r="Q727" s="571"/>
      <c r="R727" s="571"/>
      <c r="S727" s="571"/>
      <c r="T727" s="571"/>
      <c r="U727" s="571"/>
      <c r="V727" s="571"/>
      <c r="W727" s="571"/>
      <c r="X727" s="571"/>
      <c r="Y727" s="571"/>
      <c r="Z727" s="571"/>
    </row>
    <row r="728" spans="1:26" ht="18.75">
      <c r="A728" s="735"/>
      <c r="B728" s="754"/>
      <c r="C728" s="754"/>
      <c r="D728" s="754"/>
      <c r="E728" s="754"/>
      <c r="F728" s="754"/>
      <c r="G728" s="189"/>
      <c r="H728" s="755" t="s">
        <v>46</v>
      </c>
      <c r="I728" s="756">
        <f ca="1">IFERROR(__xludf.DUMMYFUNCTION("IMPORTRANGE(""https://docs.google.com/spreadsheets/d/1QqKyyYR6Q21VydFLVH3TRQUabQu_ym0Zz7PgGX0-kHA/edit?usp=sharing"",""แผน!IO60"")"),20)</f>
        <v>20</v>
      </c>
      <c r="J728" s="269">
        <f ca="1">IFERROR(__xludf.DUMMYFUNCTION("IMPORTRANGE(""https://docs.google.com/spreadsheets/d/1XWAQStnk-4SwqDmLtmXYiTMKHgktTP8We1SCoS47DrQ/edit?usp=sharing"",""จัดที่ดิน!BT60"")"),9.7)</f>
        <v>9.6999999999999993</v>
      </c>
      <c r="K728" s="496">
        <f t="shared" ref="K728:K729" ca="1" si="292">IF(I728&gt;0,J728*100/I728,0)</f>
        <v>48.499999999999993</v>
      </c>
      <c r="L728" s="757"/>
      <c r="M728" s="189"/>
      <c r="N728" s="757"/>
      <c r="O728" s="496"/>
      <c r="P728" s="496"/>
      <c r="Q728" s="571"/>
      <c r="R728" s="571"/>
      <c r="S728" s="571"/>
      <c r="T728" s="571"/>
      <c r="U728" s="571"/>
      <c r="V728" s="571"/>
      <c r="W728" s="571"/>
      <c r="X728" s="571"/>
      <c r="Y728" s="571"/>
      <c r="Z728" s="571"/>
    </row>
    <row r="729" spans="1:26" ht="19.5">
      <c r="A729" s="735"/>
      <c r="B729" s="754"/>
      <c r="C729" s="754"/>
      <c r="D729" s="754" t="s">
        <v>308</v>
      </c>
      <c r="E729" s="754"/>
      <c r="F729" s="754"/>
      <c r="G729" s="189"/>
      <c r="H729" s="758" t="s">
        <v>46</v>
      </c>
      <c r="I729" s="759">
        <f ca="1">IFERROR(__xludf.DUMMYFUNCTION("IMPORTRANGE(""https://docs.google.com/spreadsheets/d/1QqKyyYR6Q21VydFLVH3TRQUabQu_ym0Zz7PgGX0-kHA/edit?usp=sharing"",""แผน!IP60"")"),0)</f>
        <v>0</v>
      </c>
      <c r="J729" s="674">
        <f>J732+J735</f>
        <v>0</v>
      </c>
      <c r="K729" s="195">
        <f t="shared" ca="1" si="292"/>
        <v>0</v>
      </c>
      <c r="L729" s="496"/>
      <c r="M729" s="189"/>
      <c r="N729" s="757"/>
      <c r="O729" s="496"/>
      <c r="P729" s="496"/>
      <c r="Q729" s="571"/>
      <c r="R729" s="571"/>
      <c r="S729" s="571"/>
      <c r="T729" s="571"/>
      <c r="U729" s="571"/>
      <c r="V729" s="571"/>
      <c r="W729" s="571"/>
      <c r="X729" s="571"/>
      <c r="Y729" s="571"/>
      <c r="Z729" s="571"/>
    </row>
    <row r="730" spans="1:26" ht="18.75">
      <c r="A730" s="735"/>
      <c r="B730" s="754"/>
      <c r="C730" s="754"/>
      <c r="D730" s="754"/>
      <c r="E730" s="754" t="s">
        <v>309</v>
      </c>
      <c r="F730" s="754"/>
      <c r="G730" s="189"/>
      <c r="H730" s="755" t="s">
        <v>35</v>
      </c>
      <c r="I730" s="756"/>
      <c r="J730" s="214"/>
      <c r="K730" s="496"/>
      <c r="L730" s="757"/>
      <c r="M730" s="496"/>
      <c r="N730" s="757"/>
      <c r="O730" s="496"/>
      <c r="P730" s="496"/>
      <c r="Q730" s="571"/>
      <c r="R730" s="571"/>
      <c r="S730" s="571"/>
      <c r="T730" s="571"/>
      <c r="U730" s="571"/>
      <c r="V730" s="571"/>
      <c r="W730" s="571"/>
      <c r="X730" s="571"/>
      <c r="Y730" s="571"/>
      <c r="Z730" s="571"/>
    </row>
    <row r="731" spans="1:26" ht="18.75">
      <c r="A731" s="735"/>
      <c r="B731" s="754"/>
      <c r="C731" s="754"/>
      <c r="D731" s="754"/>
      <c r="E731" s="754"/>
      <c r="F731" s="754"/>
      <c r="G731" s="189"/>
      <c r="H731" s="755" t="s">
        <v>34</v>
      </c>
      <c r="I731" s="756"/>
      <c r="J731" s="214">
        <v>0</v>
      </c>
      <c r="K731" s="496"/>
      <c r="L731" s="757"/>
      <c r="M731" s="496"/>
      <c r="N731" s="757"/>
      <c r="O731" s="496"/>
      <c r="P731" s="496"/>
      <c r="Q731" s="571"/>
      <c r="R731" s="571"/>
      <c r="S731" s="571"/>
      <c r="T731" s="571"/>
      <c r="U731" s="571"/>
      <c r="V731" s="571"/>
      <c r="W731" s="571"/>
      <c r="X731" s="571"/>
      <c r="Y731" s="571"/>
      <c r="Z731" s="571"/>
    </row>
    <row r="732" spans="1:26" ht="18.75">
      <c r="A732" s="735"/>
      <c r="B732" s="754"/>
      <c r="C732" s="754"/>
      <c r="D732" s="754"/>
      <c r="E732" s="754"/>
      <c r="F732" s="754"/>
      <c r="G732" s="189"/>
      <c r="H732" s="755" t="s">
        <v>46</v>
      </c>
      <c r="I732" s="756"/>
      <c r="J732" s="214">
        <v>0</v>
      </c>
      <c r="K732" s="496"/>
      <c r="L732" s="757"/>
      <c r="M732" s="496"/>
      <c r="N732" s="757"/>
      <c r="O732" s="496"/>
      <c r="P732" s="496"/>
      <c r="Q732" s="571"/>
      <c r="R732" s="571"/>
      <c r="S732" s="571"/>
      <c r="T732" s="571"/>
      <c r="U732" s="571"/>
      <c r="V732" s="571"/>
      <c r="W732" s="571"/>
      <c r="X732" s="571"/>
      <c r="Y732" s="571"/>
      <c r="Z732" s="571"/>
    </row>
    <row r="733" spans="1:26" ht="18.75">
      <c r="A733" s="735"/>
      <c r="B733" s="754"/>
      <c r="C733" s="754"/>
      <c r="D733" s="754"/>
      <c r="E733" s="754" t="s">
        <v>310</v>
      </c>
      <c r="F733" s="754"/>
      <c r="G733" s="189"/>
      <c r="H733" s="755" t="s">
        <v>35</v>
      </c>
      <c r="I733" s="756"/>
      <c r="J733" s="214">
        <v>0</v>
      </c>
      <c r="K733" s="496"/>
      <c r="L733" s="757"/>
      <c r="M733" s="496"/>
      <c r="N733" s="757"/>
      <c r="O733" s="496"/>
      <c r="P733" s="496"/>
      <c r="Q733" s="571"/>
      <c r="R733" s="571"/>
      <c r="S733" s="571"/>
      <c r="T733" s="571"/>
      <c r="U733" s="571"/>
      <c r="V733" s="571"/>
      <c r="W733" s="571"/>
      <c r="X733" s="571"/>
      <c r="Y733" s="571"/>
      <c r="Z733" s="571"/>
    </row>
    <row r="734" spans="1:26" ht="18.75">
      <c r="A734" s="735"/>
      <c r="B734" s="754"/>
      <c r="C734" s="754"/>
      <c r="D734" s="754"/>
      <c r="E734" s="754"/>
      <c r="F734" s="754"/>
      <c r="G734" s="189"/>
      <c r="H734" s="755" t="s">
        <v>34</v>
      </c>
      <c r="I734" s="756"/>
      <c r="J734" s="214">
        <v>0</v>
      </c>
      <c r="K734" s="496"/>
      <c r="L734" s="757"/>
      <c r="M734" s="496"/>
      <c r="N734" s="757"/>
      <c r="O734" s="496"/>
      <c r="P734" s="496"/>
      <c r="Q734" s="571"/>
      <c r="R734" s="571"/>
      <c r="S734" s="571"/>
      <c r="T734" s="571"/>
      <c r="U734" s="571"/>
      <c r="V734" s="571"/>
      <c r="W734" s="571"/>
      <c r="X734" s="571"/>
      <c r="Y734" s="571"/>
      <c r="Z734" s="571"/>
    </row>
    <row r="735" spans="1:26" ht="19.5">
      <c r="A735" s="761"/>
      <c r="B735" s="762" t="s">
        <v>311</v>
      </c>
      <c r="C735" s="725"/>
      <c r="D735" s="725"/>
      <c r="E735" s="725"/>
      <c r="F735" s="725"/>
      <c r="G735" s="726"/>
      <c r="H735" s="421" t="s">
        <v>46</v>
      </c>
      <c r="I735" s="763"/>
      <c r="J735" s="423">
        <v>0</v>
      </c>
      <c r="K735" s="500"/>
      <c r="L735" s="764"/>
      <c r="M735" s="500"/>
      <c r="N735" s="764"/>
      <c r="O735" s="500"/>
      <c r="P735" s="500"/>
      <c r="Q735" s="571"/>
      <c r="R735" s="571"/>
      <c r="S735" s="571"/>
      <c r="T735" s="571"/>
      <c r="U735" s="571"/>
      <c r="V735" s="571"/>
      <c r="W735" s="571"/>
      <c r="X735" s="571"/>
      <c r="Y735" s="571"/>
      <c r="Z735" s="571"/>
    </row>
    <row r="736" spans="1:26" ht="19.5" hidden="1">
      <c r="A736" s="765">
        <v>9</v>
      </c>
      <c r="B736" s="766" t="s">
        <v>312</v>
      </c>
      <c r="C736" s="767"/>
      <c r="D736" s="767"/>
      <c r="E736" s="767"/>
      <c r="F736" s="767"/>
      <c r="G736" s="768"/>
      <c r="H736" s="769" t="s">
        <v>46</v>
      </c>
      <c r="I736" s="770"/>
      <c r="J736" s="770">
        <f>J751</f>
        <v>0</v>
      </c>
      <c r="K736" s="771">
        <f>IF(I736&gt;0,J736*100/I736,0)</f>
        <v>0</v>
      </c>
      <c r="L736" s="772"/>
      <c r="M736" s="772"/>
      <c r="N736" s="772"/>
      <c r="O736" s="772"/>
      <c r="P736" s="772"/>
      <c r="Q736" s="597"/>
      <c r="R736" s="597"/>
      <c r="S736" s="597"/>
      <c r="T736" s="597"/>
      <c r="U736" s="597"/>
      <c r="V736" s="597"/>
      <c r="W736" s="597"/>
      <c r="X736" s="597"/>
      <c r="Y736" s="597"/>
      <c r="Z736" s="597"/>
    </row>
    <row r="737" spans="1:26" ht="19.5" hidden="1">
      <c r="A737" s="592"/>
      <c r="B737" s="750"/>
      <c r="C737" s="750" t="s">
        <v>16</v>
      </c>
      <c r="D737" s="864" t="s">
        <v>17</v>
      </c>
      <c r="E737" s="857"/>
      <c r="F737" s="857"/>
      <c r="G737" s="596"/>
      <c r="H737" s="639" t="s">
        <v>12</v>
      </c>
      <c r="I737" s="610"/>
      <c r="J737" s="610"/>
      <c r="K737" s="93"/>
      <c r="L737" s="640">
        <f t="shared" ref="L737:N737" si="293">L738+L739</f>
        <v>0</v>
      </c>
      <c r="M737" s="640">
        <f t="shared" si="293"/>
        <v>0</v>
      </c>
      <c r="N737" s="640">
        <f t="shared" si="293"/>
        <v>0</v>
      </c>
      <c r="O737" s="640">
        <f t="shared" ref="O737:O742" si="294">IF(L737&gt;0,N737*100/L737,0)</f>
        <v>0</v>
      </c>
      <c r="P737" s="640">
        <f t="shared" ref="P737:P742" si="295">IF(M737&gt;0,N737*100/M737,0)</f>
        <v>0</v>
      </c>
      <c r="Q737" s="597"/>
      <c r="R737" s="597"/>
      <c r="S737" s="597"/>
      <c r="T737" s="597"/>
      <c r="U737" s="597"/>
      <c r="V737" s="597"/>
      <c r="W737" s="597"/>
      <c r="X737" s="597"/>
      <c r="Y737" s="597"/>
      <c r="Z737" s="597"/>
    </row>
    <row r="738" spans="1:26" ht="18.75" hidden="1">
      <c r="A738" s="592"/>
      <c r="B738" s="750"/>
      <c r="C738" s="750"/>
      <c r="D738" s="711"/>
      <c r="E738" s="750" t="s">
        <v>184</v>
      </c>
      <c r="F738" s="750"/>
      <c r="G738" s="596"/>
      <c r="H738" s="165" t="s">
        <v>12</v>
      </c>
      <c r="I738" s="610"/>
      <c r="J738" s="610"/>
      <c r="K738" s="93"/>
      <c r="L738" s="93">
        <f t="shared" ref="L738:N739" si="296">L741+L748</f>
        <v>0</v>
      </c>
      <c r="M738" s="93">
        <f t="shared" si="296"/>
        <v>0</v>
      </c>
      <c r="N738" s="93">
        <f t="shared" si="296"/>
        <v>0</v>
      </c>
      <c r="O738" s="93">
        <f t="shared" si="294"/>
        <v>0</v>
      </c>
      <c r="P738" s="93">
        <f t="shared" si="295"/>
        <v>0</v>
      </c>
      <c r="Q738" s="597"/>
      <c r="R738" s="597"/>
      <c r="S738" s="597"/>
      <c r="T738" s="597"/>
      <c r="U738" s="597"/>
      <c r="V738" s="597"/>
      <c r="W738" s="597"/>
      <c r="X738" s="597"/>
      <c r="Y738" s="597"/>
      <c r="Z738" s="597"/>
    </row>
    <row r="739" spans="1:26" ht="18.75" hidden="1">
      <c r="A739" s="592"/>
      <c r="B739" s="600"/>
      <c r="C739" s="750"/>
      <c r="D739" s="711"/>
      <c r="E739" s="750" t="s">
        <v>185</v>
      </c>
      <c r="F739" s="750"/>
      <c r="G739" s="596"/>
      <c r="H739" s="165" t="s">
        <v>12</v>
      </c>
      <c r="I739" s="610"/>
      <c r="J739" s="610"/>
      <c r="K739" s="93"/>
      <c r="L739" s="93">
        <f t="shared" si="296"/>
        <v>0</v>
      </c>
      <c r="M739" s="93">
        <f t="shared" si="296"/>
        <v>0</v>
      </c>
      <c r="N739" s="93">
        <f t="shared" si="296"/>
        <v>0</v>
      </c>
      <c r="O739" s="93">
        <f t="shared" si="294"/>
        <v>0</v>
      </c>
      <c r="P739" s="93">
        <f t="shared" si="295"/>
        <v>0</v>
      </c>
      <c r="Q739" s="597"/>
      <c r="R739" s="597"/>
      <c r="S739" s="597"/>
      <c r="T739" s="597"/>
      <c r="U739" s="597"/>
      <c r="V739" s="597"/>
      <c r="W739" s="597"/>
      <c r="X739" s="597"/>
      <c r="Y739" s="597"/>
      <c r="Z739" s="597"/>
    </row>
    <row r="740" spans="1:26" ht="19.5" hidden="1">
      <c r="A740" s="592"/>
      <c r="B740" s="600"/>
      <c r="C740" s="750"/>
      <c r="D740" s="638" t="s">
        <v>20</v>
      </c>
      <c r="E740" s="750"/>
      <c r="F740" s="750"/>
      <c r="G740" s="596"/>
      <c r="H740" s="639" t="s">
        <v>12</v>
      </c>
      <c r="I740" s="166"/>
      <c r="J740" s="166"/>
      <c r="K740" s="167"/>
      <c r="L740" s="640">
        <f t="shared" ref="L740:N740" si="297">L741+L742</f>
        <v>0</v>
      </c>
      <c r="M740" s="640">
        <f t="shared" si="297"/>
        <v>0</v>
      </c>
      <c r="N740" s="640">
        <f t="shared" si="297"/>
        <v>0</v>
      </c>
      <c r="O740" s="640">
        <f t="shared" si="294"/>
        <v>0</v>
      </c>
      <c r="P740" s="640">
        <f t="shared" si="295"/>
        <v>0</v>
      </c>
      <c r="Q740" s="597"/>
      <c r="R740" s="597"/>
      <c r="S740" s="597"/>
      <c r="T740" s="597"/>
      <c r="U740" s="597"/>
      <c r="V740" s="597"/>
      <c r="W740" s="597"/>
      <c r="X740" s="597"/>
      <c r="Y740" s="597"/>
      <c r="Z740" s="597"/>
    </row>
    <row r="741" spans="1:26" ht="18.75" hidden="1">
      <c r="A741" s="592"/>
      <c r="B741" s="600"/>
      <c r="C741" s="750"/>
      <c r="D741" s="711"/>
      <c r="E741" s="750" t="s">
        <v>184</v>
      </c>
      <c r="F741" s="750"/>
      <c r="G741" s="596"/>
      <c r="H741" s="165" t="s">
        <v>12</v>
      </c>
      <c r="I741" s="610"/>
      <c r="J741" s="610"/>
      <c r="K741" s="93"/>
      <c r="L741" s="93">
        <v>0</v>
      </c>
      <c r="M741" s="93">
        <v>0</v>
      </c>
      <c r="N741" s="93">
        <v>0</v>
      </c>
      <c r="O741" s="93">
        <f t="shared" si="294"/>
        <v>0</v>
      </c>
      <c r="P741" s="93">
        <f t="shared" si="295"/>
        <v>0</v>
      </c>
      <c r="Q741" s="597"/>
      <c r="R741" s="597"/>
      <c r="S741" s="597"/>
      <c r="T741" s="597"/>
      <c r="U741" s="597"/>
      <c r="V741" s="597"/>
      <c r="W741" s="597"/>
      <c r="X741" s="597"/>
      <c r="Y741" s="597"/>
      <c r="Z741" s="597"/>
    </row>
    <row r="742" spans="1:26" ht="18.75" hidden="1">
      <c r="A742" s="592"/>
      <c r="B742" s="600"/>
      <c r="C742" s="750"/>
      <c r="D742" s="711"/>
      <c r="E742" s="750" t="s">
        <v>185</v>
      </c>
      <c r="F742" s="750"/>
      <c r="G742" s="596"/>
      <c r="H742" s="165" t="s">
        <v>12</v>
      </c>
      <c r="I742" s="610"/>
      <c r="J742" s="610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4"/>
        <v>0</v>
      </c>
      <c r="P742" s="93">
        <f t="shared" si="295"/>
        <v>0</v>
      </c>
      <c r="Q742" s="597"/>
      <c r="R742" s="597"/>
      <c r="S742" s="597"/>
      <c r="T742" s="597"/>
      <c r="U742" s="597"/>
      <c r="V742" s="597"/>
      <c r="W742" s="597"/>
      <c r="X742" s="597"/>
      <c r="Y742" s="597"/>
      <c r="Z742" s="597"/>
    </row>
    <row r="743" spans="1:26" ht="18.75" hidden="1">
      <c r="A743" s="642"/>
      <c r="B743" s="600"/>
      <c r="C743" s="750"/>
      <c r="D743" s="750"/>
      <c r="E743" s="750"/>
      <c r="F743" s="750" t="s">
        <v>186</v>
      </c>
      <c r="G743" s="596"/>
      <c r="H743" s="165" t="s">
        <v>12</v>
      </c>
      <c r="I743" s="610"/>
      <c r="J743" s="610"/>
      <c r="K743" s="93"/>
      <c r="L743" s="93"/>
      <c r="M743" s="93"/>
      <c r="N743" s="93"/>
      <c r="O743" s="93"/>
      <c r="P743" s="93"/>
      <c r="Q743" s="597"/>
      <c r="R743" s="597"/>
      <c r="S743" s="597"/>
      <c r="T743" s="597"/>
      <c r="U743" s="597"/>
      <c r="V743" s="597"/>
      <c r="W743" s="597"/>
      <c r="X743" s="597"/>
      <c r="Y743" s="597"/>
      <c r="Z743" s="597"/>
    </row>
    <row r="744" spans="1:26" ht="18.75" hidden="1">
      <c r="A744" s="642"/>
      <c r="B744" s="600"/>
      <c r="C744" s="750"/>
      <c r="D744" s="750"/>
      <c r="E744" s="750"/>
      <c r="F744" s="750" t="s">
        <v>187</v>
      </c>
      <c r="G744" s="596"/>
      <c r="H744" s="165" t="s">
        <v>12</v>
      </c>
      <c r="I744" s="610"/>
      <c r="J744" s="610"/>
      <c r="K744" s="93"/>
      <c r="L744" s="93"/>
      <c r="M744" s="93"/>
      <c r="N744" s="93"/>
      <c r="O744" s="93"/>
      <c r="P744" s="93"/>
      <c r="Q744" s="597"/>
      <c r="R744" s="597"/>
      <c r="S744" s="597"/>
      <c r="T744" s="597"/>
      <c r="U744" s="597"/>
      <c r="V744" s="597"/>
      <c r="W744" s="597"/>
      <c r="X744" s="597"/>
      <c r="Y744" s="597"/>
      <c r="Z744" s="597"/>
    </row>
    <row r="745" spans="1:26" ht="18.75" hidden="1">
      <c r="A745" s="642"/>
      <c r="B745" s="600"/>
      <c r="C745" s="750"/>
      <c r="D745" s="750"/>
      <c r="E745" s="750"/>
      <c r="F745" s="750" t="s">
        <v>188</v>
      </c>
      <c r="G745" s="596"/>
      <c r="H745" s="165" t="s">
        <v>12</v>
      </c>
      <c r="I745" s="610"/>
      <c r="J745" s="610"/>
      <c r="K745" s="93"/>
      <c r="L745" s="93"/>
      <c r="M745" s="93"/>
      <c r="N745" s="93"/>
      <c r="O745" s="93"/>
      <c r="P745" s="93"/>
      <c r="Q745" s="597"/>
      <c r="R745" s="597"/>
      <c r="S745" s="597"/>
      <c r="T745" s="597"/>
      <c r="U745" s="597"/>
      <c r="V745" s="597"/>
      <c r="W745" s="597"/>
      <c r="X745" s="597"/>
      <c r="Y745" s="597"/>
      <c r="Z745" s="597"/>
    </row>
    <row r="746" spans="1:26" ht="18.75" hidden="1">
      <c r="A746" s="642"/>
      <c r="B746" s="600"/>
      <c r="C746" s="750"/>
      <c r="D746" s="750"/>
      <c r="E746" s="750"/>
      <c r="F746" s="750" t="s">
        <v>189</v>
      </c>
      <c r="G746" s="596"/>
      <c r="H746" s="165" t="s">
        <v>12</v>
      </c>
      <c r="I746" s="610"/>
      <c r="J746" s="610"/>
      <c r="K746" s="93"/>
      <c r="L746" s="93"/>
      <c r="M746" s="93"/>
      <c r="N746" s="93"/>
      <c r="O746" s="93"/>
      <c r="P746" s="93"/>
      <c r="Q746" s="597"/>
      <c r="R746" s="597"/>
      <c r="S746" s="597"/>
      <c r="T746" s="597"/>
      <c r="U746" s="597"/>
      <c r="V746" s="597"/>
      <c r="W746" s="597"/>
      <c r="X746" s="597"/>
      <c r="Y746" s="597"/>
      <c r="Z746" s="597"/>
    </row>
    <row r="747" spans="1:26" ht="19.5" hidden="1">
      <c r="A747" s="592"/>
      <c r="B747" s="600"/>
      <c r="C747" s="750"/>
      <c r="D747" s="638" t="s">
        <v>21</v>
      </c>
      <c r="E747" s="750"/>
      <c r="F747" s="750"/>
      <c r="G747" s="596"/>
      <c r="H747" s="774" t="s">
        <v>12</v>
      </c>
      <c r="I747" s="166"/>
      <c r="J747" s="166"/>
      <c r="K747" s="167"/>
      <c r="L747" s="640">
        <f t="shared" ref="L747:N747" si="298">L748+L749</f>
        <v>0</v>
      </c>
      <c r="M747" s="640">
        <f t="shared" si="298"/>
        <v>0</v>
      </c>
      <c r="N747" s="640">
        <f t="shared" si="298"/>
        <v>0</v>
      </c>
      <c r="O747" s="640">
        <f t="shared" ref="O747:O749" si="299">IF(L747&gt;0,N747*100/L747,0)</f>
        <v>0</v>
      </c>
      <c r="P747" s="640">
        <f t="shared" ref="P747:P749" si="300">IF(M747&gt;0,N747*100/M747,0)</f>
        <v>0</v>
      </c>
      <c r="Q747" s="597"/>
      <c r="R747" s="597"/>
      <c r="S747" s="597"/>
      <c r="T747" s="597"/>
      <c r="U747" s="597"/>
      <c r="V747" s="597"/>
      <c r="W747" s="597"/>
      <c r="X747" s="597"/>
      <c r="Y747" s="597"/>
      <c r="Z747" s="597"/>
    </row>
    <row r="748" spans="1:26" ht="18.75" hidden="1">
      <c r="A748" s="592"/>
      <c r="B748" s="600"/>
      <c r="C748" s="750"/>
      <c r="D748" s="750"/>
      <c r="E748" s="750" t="s">
        <v>18</v>
      </c>
      <c r="F748" s="750"/>
      <c r="G748" s="596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299"/>
        <v>0</v>
      </c>
      <c r="P748" s="93">
        <f t="shared" si="300"/>
        <v>0</v>
      </c>
      <c r="Q748" s="597"/>
      <c r="R748" s="597"/>
      <c r="S748" s="597"/>
      <c r="T748" s="597"/>
      <c r="U748" s="597"/>
      <c r="V748" s="597"/>
      <c r="W748" s="597"/>
      <c r="X748" s="597"/>
      <c r="Y748" s="597"/>
      <c r="Z748" s="597"/>
    </row>
    <row r="749" spans="1:26" ht="18.75" hidden="1">
      <c r="A749" s="592"/>
      <c r="B749" s="600"/>
      <c r="C749" s="750"/>
      <c r="D749" s="750"/>
      <c r="E749" s="750" t="s">
        <v>19</v>
      </c>
      <c r="F749" s="750"/>
      <c r="G749" s="596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299"/>
        <v>0</v>
      </c>
      <c r="P749" s="93">
        <f t="shared" si="300"/>
        <v>0</v>
      </c>
      <c r="Q749" s="597"/>
      <c r="R749" s="597"/>
      <c r="S749" s="597"/>
      <c r="T749" s="597"/>
      <c r="U749" s="597"/>
      <c r="V749" s="597"/>
      <c r="W749" s="597"/>
      <c r="X749" s="597"/>
      <c r="Y749" s="597"/>
      <c r="Z749" s="597"/>
    </row>
    <row r="750" spans="1:26" ht="19.5" hidden="1">
      <c r="A750" s="607"/>
      <c r="B750" s="609"/>
      <c r="C750" s="750" t="s">
        <v>16</v>
      </c>
      <c r="D750" s="841" t="s">
        <v>38</v>
      </c>
      <c r="E750" s="644"/>
      <c r="F750" s="644"/>
      <c r="G750" s="645"/>
      <c r="H750" s="365"/>
      <c r="I750" s="166"/>
      <c r="J750" s="166"/>
      <c r="K750" s="167"/>
      <c r="L750" s="167"/>
      <c r="M750" s="167"/>
      <c r="N750" s="167"/>
      <c r="O750" s="167"/>
      <c r="P750" s="167"/>
      <c r="Q750" s="597"/>
      <c r="R750" s="597"/>
      <c r="S750" s="597"/>
      <c r="T750" s="597"/>
      <c r="U750" s="597"/>
      <c r="V750" s="597"/>
      <c r="W750" s="597"/>
      <c r="X750" s="597"/>
      <c r="Y750" s="597"/>
      <c r="Z750" s="597"/>
    </row>
    <row r="751" spans="1:26" ht="18.75" hidden="1">
      <c r="A751" s="642"/>
      <c r="B751" s="600"/>
      <c r="C751" s="750"/>
      <c r="D751" s="750"/>
      <c r="E751" s="750" t="s">
        <v>313</v>
      </c>
      <c r="F751" s="750"/>
      <c r="G751" s="596"/>
      <c r="H751" s="165" t="s">
        <v>46</v>
      </c>
      <c r="I751" s="610"/>
      <c r="J751" s="610"/>
      <c r="K751" s="93"/>
      <c r="L751" s="93"/>
      <c r="M751" s="93"/>
      <c r="N751" s="93"/>
      <c r="O751" s="93"/>
      <c r="P751" s="93"/>
      <c r="Q751" s="597"/>
      <c r="R751" s="597"/>
      <c r="S751" s="597"/>
      <c r="T751" s="597"/>
      <c r="U751" s="597"/>
      <c r="V751" s="597"/>
      <c r="W751" s="597"/>
      <c r="X751" s="597"/>
      <c r="Y751" s="597"/>
      <c r="Z751" s="597"/>
    </row>
    <row r="752" spans="1:26" ht="18.75" hidden="1">
      <c r="A752" s="642"/>
      <c r="B752" s="600"/>
      <c r="C752" s="750"/>
      <c r="D752" s="750"/>
      <c r="E752" s="750"/>
      <c r="F752" s="750"/>
      <c r="G752" s="596"/>
      <c r="H752" s="165" t="s">
        <v>314</v>
      </c>
      <c r="I752" s="610"/>
      <c r="J752" s="610"/>
      <c r="K752" s="93"/>
      <c r="L752" s="93"/>
      <c r="M752" s="93"/>
      <c r="N752" s="93"/>
      <c r="O752" s="93"/>
      <c r="P752" s="93"/>
      <c r="Q752" s="597"/>
      <c r="R752" s="597"/>
      <c r="S752" s="597"/>
      <c r="T752" s="597"/>
      <c r="U752" s="597"/>
      <c r="V752" s="597"/>
      <c r="W752" s="597"/>
      <c r="X752" s="597"/>
      <c r="Y752" s="597"/>
      <c r="Z752" s="597"/>
    </row>
    <row r="753" spans="1:26" ht="19.5" hidden="1">
      <c r="A753" s="776">
        <v>10</v>
      </c>
      <c r="B753" s="777" t="s">
        <v>315</v>
      </c>
      <c r="C753" s="778"/>
      <c r="D753" s="778"/>
      <c r="E753" s="778"/>
      <c r="F753" s="778"/>
      <c r="G753" s="779"/>
      <c r="H753" s="780" t="s">
        <v>46</v>
      </c>
      <c r="I753" s="781"/>
      <c r="J753" s="781">
        <f>J768</f>
        <v>0</v>
      </c>
      <c r="K753" s="782">
        <f>IF(I753&gt;0,J753*100/I753,0)</f>
        <v>0</v>
      </c>
      <c r="L753" s="783"/>
      <c r="M753" s="783"/>
      <c r="N753" s="783"/>
      <c r="O753" s="783"/>
      <c r="P753" s="783"/>
      <c r="Q753" s="597"/>
      <c r="R753" s="597"/>
      <c r="S753" s="597"/>
      <c r="T753" s="597"/>
      <c r="U753" s="597"/>
      <c r="V753" s="597"/>
      <c r="W753" s="597"/>
      <c r="X753" s="597"/>
      <c r="Y753" s="597"/>
      <c r="Z753" s="597"/>
    </row>
    <row r="754" spans="1:26" ht="19.5" hidden="1">
      <c r="A754" s="592"/>
      <c r="B754" s="750"/>
      <c r="C754" s="750" t="s">
        <v>16</v>
      </c>
      <c r="D754" s="864" t="s">
        <v>17</v>
      </c>
      <c r="E754" s="857"/>
      <c r="F754" s="857"/>
      <c r="G754" s="596"/>
      <c r="H754" s="639" t="s">
        <v>12</v>
      </c>
      <c r="I754" s="610"/>
      <c r="J754" s="610"/>
      <c r="K754" s="93"/>
      <c r="L754" s="640">
        <f t="shared" ref="L754:N754" si="301">L755+L756</f>
        <v>0</v>
      </c>
      <c r="M754" s="640">
        <f t="shared" si="301"/>
        <v>0</v>
      </c>
      <c r="N754" s="640">
        <f t="shared" si="301"/>
        <v>0</v>
      </c>
      <c r="O754" s="640">
        <f t="shared" ref="O754:O759" si="302">IF(L754&gt;0,N754*100/L754,0)</f>
        <v>0</v>
      </c>
      <c r="P754" s="640">
        <f t="shared" ref="P754:P759" si="303">IF(M754&gt;0,N754*100/M754,0)</f>
        <v>0</v>
      </c>
      <c r="Q754" s="597"/>
      <c r="R754" s="597"/>
      <c r="S754" s="597"/>
      <c r="T754" s="597"/>
      <c r="U754" s="597"/>
      <c r="V754" s="597"/>
      <c r="W754" s="597"/>
      <c r="X754" s="597"/>
      <c r="Y754" s="597"/>
      <c r="Z754" s="597"/>
    </row>
    <row r="755" spans="1:26" ht="18.75" hidden="1">
      <c r="A755" s="592"/>
      <c r="B755" s="750"/>
      <c r="C755" s="750"/>
      <c r="D755" s="711"/>
      <c r="E755" s="750" t="s">
        <v>184</v>
      </c>
      <c r="F755" s="750"/>
      <c r="G755" s="596"/>
      <c r="H755" s="165" t="s">
        <v>12</v>
      </c>
      <c r="I755" s="610"/>
      <c r="J755" s="610"/>
      <c r="K755" s="93"/>
      <c r="L755" s="93">
        <f t="shared" ref="L755:N756" si="304">L758+L765</f>
        <v>0</v>
      </c>
      <c r="M755" s="93">
        <f t="shared" si="304"/>
        <v>0</v>
      </c>
      <c r="N755" s="93">
        <f t="shared" si="304"/>
        <v>0</v>
      </c>
      <c r="O755" s="93">
        <f t="shared" si="302"/>
        <v>0</v>
      </c>
      <c r="P755" s="93">
        <f t="shared" si="303"/>
        <v>0</v>
      </c>
      <c r="Q755" s="597"/>
      <c r="R755" s="597"/>
      <c r="S755" s="597"/>
      <c r="T755" s="597"/>
      <c r="U755" s="597"/>
      <c r="V755" s="597"/>
      <c r="W755" s="597"/>
      <c r="X755" s="597"/>
      <c r="Y755" s="597"/>
      <c r="Z755" s="597"/>
    </row>
    <row r="756" spans="1:26" ht="18.75" hidden="1">
      <c r="A756" s="592"/>
      <c r="B756" s="600"/>
      <c r="C756" s="750"/>
      <c r="D756" s="711"/>
      <c r="E756" s="750" t="s">
        <v>185</v>
      </c>
      <c r="F756" s="750"/>
      <c r="G756" s="596"/>
      <c r="H756" s="165" t="s">
        <v>12</v>
      </c>
      <c r="I756" s="610"/>
      <c r="J756" s="610"/>
      <c r="K756" s="93"/>
      <c r="L756" s="93">
        <f t="shared" si="304"/>
        <v>0</v>
      </c>
      <c r="M756" s="93">
        <f t="shared" si="304"/>
        <v>0</v>
      </c>
      <c r="N756" s="93">
        <f t="shared" si="304"/>
        <v>0</v>
      </c>
      <c r="O756" s="93">
        <f t="shared" si="302"/>
        <v>0</v>
      </c>
      <c r="P756" s="93">
        <f t="shared" si="303"/>
        <v>0</v>
      </c>
      <c r="Q756" s="597"/>
      <c r="R756" s="597"/>
      <c r="S756" s="597"/>
      <c r="T756" s="597"/>
      <c r="U756" s="597"/>
      <c r="V756" s="597"/>
      <c r="W756" s="597"/>
      <c r="X756" s="597"/>
      <c r="Y756" s="597"/>
      <c r="Z756" s="597"/>
    </row>
    <row r="757" spans="1:26" ht="19.5" hidden="1">
      <c r="A757" s="592"/>
      <c r="B757" s="600"/>
      <c r="C757" s="750"/>
      <c r="D757" s="638" t="s">
        <v>20</v>
      </c>
      <c r="E757" s="750"/>
      <c r="F757" s="750"/>
      <c r="G757" s="596"/>
      <c r="H757" s="639" t="s">
        <v>12</v>
      </c>
      <c r="I757" s="166"/>
      <c r="J757" s="166"/>
      <c r="K757" s="167"/>
      <c r="L757" s="640">
        <f t="shared" ref="L757:N757" si="305">L758+L759</f>
        <v>0</v>
      </c>
      <c r="M757" s="640">
        <f t="shared" si="305"/>
        <v>0</v>
      </c>
      <c r="N757" s="640">
        <f t="shared" si="305"/>
        <v>0</v>
      </c>
      <c r="O757" s="640">
        <f t="shared" si="302"/>
        <v>0</v>
      </c>
      <c r="P757" s="640">
        <f t="shared" si="303"/>
        <v>0</v>
      </c>
      <c r="Q757" s="597"/>
      <c r="R757" s="597"/>
      <c r="S757" s="597"/>
      <c r="T757" s="597"/>
      <c r="U757" s="597"/>
      <c r="V757" s="597"/>
      <c r="W757" s="597"/>
      <c r="X757" s="597"/>
      <c r="Y757" s="597"/>
      <c r="Z757" s="597"/>
    </row>
    <row r="758" spans="1:26" ht="18.75" hidden="1">
      <c r="A758" s="592"/>
      <c r="B758" s="600"/>
      <c r="C758" s="750"/>
      <c r="D758" s="711"/>
      <c r="E758" s="750" t="s">
        <v>184</v>
      </c>
      <c r="F758" s="750"/>
      <c r="G758" s="596"/>
      <c r="H758" s="165" t="s">
        <v>12</v>
      </c>
      <c r="I758" s="610"/>
      <c r="J758" s="610"/>
      <c r="K758" s="93"/>
      <c r="L758" s="93">
        <v>0</v>
      </c>
      <c r="M758" s="93">
        <v>0</v>
      </c>
      <c r="N758" s="93">
        <v>0</v>
      </c>
      <c r="O758" s="93">
        <f t="shared" si="302"/>
        <v>0</v>
      </c>
      <c r="P758" s="93">
        <f t="shared" si="303"/>
        <v>0</v>
      </c>
      <c r="Q758" s="597"/>
      <c r="R758" s="597"/>
      <c r="S758" s="597"/>
      <c r="T758" s="597"/>
      <c r="U758" s="597"/>
      <c r="V758" s="597"/>
      <c r="W758" s="597"/>
      <c r="X758" s="597"/>
      <c r="Y758" s="597"/>
      <c r="Z758" s="597"/>
    </row>
    <row r="759" spans="1:26" ht="18.75" hidden="1">
      <c r="A759" s="592"/>
      <c r="B759" s="600"/>
      <c r="C759" s="750"/>
      <c r="D759" s="711"/>
      <c r="E759" s="750" t="s">
        <v>185</v>
      </c>
      <c r="F759" s="750"/>
      <c r="G759" s="596"/>
      <c r="H759" s="165" t="s">
        <v>12</v>
      </c>
      <c r="I759" s="610"/>
      <c r="J759" s="610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2"/>
        <v>0</v>
      </c>
      <c r="P759" s="93">
        <f t="shared" si="303"/>
        <v>0</v>
      </c>
      <c r="Q759" s="597"/>
      <c r="R759" s="597"/>
      <c r="S759" s="597"/>
      <c r="T759" s="597"/>
      <c r="U759" s="597"/>
      <c r="V759" s="597"/>
      <c r="W759" s="597"/>
      <c r="X759" s="597"/>
      <c r="Y759" s="597"/>
      <c r="Z759" s="597"/>
    </row>
    <row r="760" spans="1:26" ht="18.75" hidden="1">
      <c r="A760" s="642"/>
      <c r="B760" s="600"/>
      <c r="C760" s="750"/>
      <c r="D760" s="750"/>
      <c r="E760" s="750"/>
      <c r="F760" s="750" t="s">
        <v>186</v>
      </c>
      <c r="G760" s="596"/>
      <c r="H760" s="165" t="s">
        <v>12</v>
      </c>
      <c r="I760" s="610"/>
      <c r="J760" s="610"/>
      <c r="K760" s="93"/>
      <c r="L760" s="93"/>
      <c r="M760" s="93"/>
      <c r="N760" s="93"/>
      <c r="O760" s="93"/>
      <c r="P760" s="93"/>
      <c r="Q760" s="597"/>
      <c r="R760" s="597"/>
      <c r="S760" s="597"/>
      <c r="T760" s="597"/>
      <c r="U760" s="597"/>
      <c r="V760" s="597"/>
      <c r="W760" s="597"/>
      <c r="X760" s="597"/>
      <c r="Y760" s="597"/>
      <c r="Z760" s="597"/>
    </row>
    <row r="761" spans="1:26" ht="18.75" hidden="1">
      <c r="A761" s="642"/>
      <c r="B761" s="600"/>
      <c r="C761" s="750"/>
      <c r="D761" s="750"/>
      <c r="E761" s="750"/>
      <c r="F761" s="750" t="s">
        <v>187</v>
      </c>
      <c r="G761" s="596"/>
      <c r="H761" s="165" t="s">
        <v>12</v>
      </c>
      <c r="I761" s="610"/>
      <c r="J761" s="610"/>
      <c r="K761" s="93"/>
      <c r="L761" s="93"/>
      <c r="M761" s="93"/>
      <c r="N761" s="93"/>
      <c r="O761" s="93"/>
      <c r="P761" s="93"/>
      <c r="Q761" s="597"/>
      <c r="R761" s="597"/>
      <c r="S761" s="597"/>
      <c r="T761" s="597"/>
      <c r="U761" s="597"/>
      <c r="V761" s="597"/>
      <c r="W761" s="597"/>
      <c r="X761" s="597"/>
      <c r="Y761" s="597"/>
      <c r="Z761" s="597"/>
    </row>
    <row r="762" spans="1:26" ht="18.75" hidden="1">
      <c r="A762" s="642"/>
      <c r="B762" s="600"/>
      <c r="C762" s="750"/>
      <c r="D762" s="750"/>
      <c r="E762" s="750"/>
      <c r="F762" s="750" t="s">
        <v>188</v>
      </c>
      <c r="G762" s="596"/>
      <c r="H762" s="165" t="s">
        <v>12</v>
      </c>
      <c r="I762" s="610"/>
      <c r="J762" s="610"/>
      <c r="K762" s="93"/>
      <c r="L762" s="93"/>
      <c r="M762" s="93"/>
      <c r="N762" s="93"/>
      <c r="O762" s="93"/>
      <c r="P762" s="93"/>
      <c r="Q762" s="597"/>
      <c r="R762" s="597"/>
      <c r="S762" s="597"/>
      <c r="T762" s="597"/>
      <c r="U762" s="597"/>
      <c r="V762" s="597"/>
      <c r="W762" s="597"/>
      <c r="X762" s="597"/>
      <c r="Y762" s="597"/>
      <c r="Z762" s="597"/>
    </row>
    <row r="763" spans="1:26" ht="18.75" hidden="1">
      <c r="A763" s="642"/>
      <c r="B763" s="600"/>
      <c r="C763" s="750"/>
      <c r="D763" s="750"/>
      <c r="E763" s="750"/>
      <c r="F763" s="750" t="s">
        <v>189</v>
      </c>
      <c r="G763" s="596"/>
      <c r="H763" s="165" t="s">
        <v>12</v>
      </c>
      <c r="I763" s="610"/>
      <c r="J763" s="610"/>
      <c r="K763" s="93"/>
      <c r="L763" s="93"/>
      <c r="M763" s="93"/>
      <c r="N763" s="93"/>
      <c r="O763" s="93"/>
      <c r="P763" s="93"/>
      <c r="Q763" s="597"/>
      <c r="R763" s="597"/>
      <c r="S763" s="597"/>
      <c r="T763" s="597"/>
      <c r="U763" s="597"/>
      <c r="V763" s="597"/>
      <c r="W763" s="597"/>
      <c r="X763" s="597"/>
      <c r="Y763" s="597"/>
      <c r="Z763" s="597"/>
    </row>
    <row r="764" spans="1:26" ht="19.5" hidden="1">
      <c r="A764" s="592"/>
      <c r="B764" s="600"/>
      <c r="C764" s="750"/>
      <c r="D764" s="638" t="s">
        <v>21</v>
      </c>
      <c r="E764" s="750"/>
      <c r="F764" s="750"/>
      <c r="G764" s="596"/>
      <c r="H764" s="774" t="s">
        <v>12</v>
      </c>
      <c r="I764" s="166"/>
      <c r="J764" s="166"/>
      <c r="K764" s="167"/>
      <c r="L764" s="640">
        <f t="shared" ref="L764:N764" si="306">L765+L766</f>
        <v>0</v>
      </c>
      <c r="M764" s="640">
        <f t="shared" si="306"/>
        <v>0</v>
      </c>
      <c r="N764" s="640">
        <f t="shared" si="306"/>
        <v>0</v>
      </c>
      <c r="O764" s="640">
        <f t="shared" ref="O764:O766" si="307">IF(L764&gt;0,N764*100/L764,0)</f>
        <v>0</v>
      </c>
      <c r="P764" s="640">
        <f t="shared" ref="P764:P766" si="308">IF(M764&gt;0,N764*100/M764,0)</f>
        <v>0</v>
      </c>
      <c r="Q764" s="597"/>
      <c r="R764" s="597"/>
      <c r="S764" s="597"/>
      <c r="T764" s="597"/>
      <c r="U764" s="597"/>
      <c r="V764" s="597"/>
      <c r="W764" s="597"/>
      <c r="X764" s="597"/>
      <c r="Y764" s="597"/>
      <c r="Z764" s="597"/>
    </row>
    <row r="765" spans="1:26" ht="18.75" hidden="1">
      <c r="A765" s="592"/>
      <c r="B765" s="600"/>
      <c r="C765" s="750"/>
      <c r="D765" s="750"/>
      <c r="E765" s="750" t="s">
        <v>18</v>
      </c>
      <c r="F765" s="750"/>
      <c r="G765" s="596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7"/>
        <v>0</v>
      </c>
      <c r="P765" s="93">
        <f t="shared" si="308"/>
        <v>0</v>
      </c>
      <c r="Q765" s="597"/>
      <c r="R765" s="597"/>
      <c r="S765" s="597"/>
      <c r="T765" s="597"/>
      <c r="U765" s="597"/>
      <c r="V765" s="597"/>
      <c r="W765" s="597"/>
      <c r="X765" s="597"/>
      <c r="Y765" s="597"/>
      <c r="Z765" s="597"/>
    </row>
    <row r="766" spans="1:26" ht="18.75" hidden="1">
      <c r="A766" s="592"/>
      <c r="B766" s="600"/>
      <c r="C766" s="750"/>
      <c r="D766" s="750"/>
      <c r="E766" s="750" t="s">
        <v>19</v>
      </c>
      <c r="F766" s="750"/>
      <c r="G766" s="596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7"/>
        <v>0</v>
      </c>
      <c r="P766" s="93">
        <f t="shared" si="308"/>
        <v>0</v>
      </c>
      <c r="Q766" s="597"/>
      <c r="R766" s="597"/>
      <c r="S766" s="597"/>
      <c r="T766" s="597"/>
      <c r="U766" s="597"/>
      <c r="V766" s="597"/>
      <c r="W766" s="597"/>
      <c r="X766" s="597"/>
      <c r="Y766" s="597"/>
      <c r="Z766" s="597"/>
    </row>
    <row r="767" spans="1:26" ht="19.5" hidden="1">
      <c r="A767" s="607"/>
      <c r="B767" s="609"/>
      <c r="C767" s="750" t="s">
        <v>16</v>
      </c>
      <c r="D767" s="841" t="s">
        <v>38</v>
      </c>
      <c r="E767" s="644"/>
      <c r="F767" s="644"/>
      <c r="G767" s="645"/>
      <c r="H767" s="365"/>
      <c r="I767" s="166"/>
      <c r="J767" s="166"/>
      <c r="K767" s="167"/>
      <c r="L767" s="167"/>
      <c r="M767" s="167"/>
      <c r="N767" s="167"/>
      <c r="O767" s="167"/>
      <c r="P767" s="167"/>
      <c r="Q767" s="597"/>
      <c r="R767" s="597"/>
      <c r="S767" s="597"/>
      <c r="T767" s="597"/>
      <c r="U767" s="597"/>
      <c r="V767" s="597"/>
      <c r="W767" s="597"/>
      <c r="X767" s="597"/>
      <c r="Y767" s="597"/>
      <c r="Z767" s="597"/>
    </row>
    <row r="768" spans="1:26" ht="18.75" hidden="1">
      <c r="A768" s="642"/>
      <c r="B768" s="600"/>
      <c r="C768" s="750"/>
      <c r="D768" s="750"/>
      <c r="E768" s="750" t="s">
        <v>316</v>
      </c>
      <c r="F768" s="750"/>
      <c r="G768" s="596"/>
      <c r="H768" s="165" t="s">
        <v>46</v>
      </c>
      <c r="I768" s="610"/>
      <c r="J768" s="610"/>
      <c r="K768" s="93"/>
      <c r="L768" s="93"/>
      <c r="M768" s="93"/>
      <c r="N768" s="93"/>
      <c r="O768" s="93"/>
      <c r="P768" s="93"/>
      <c r="Q768" s="597"/>
      <c r="R768" s="597"/>
      <c r="S768" s="597"/>
      <c r="T768" s="597"/>
      <c r="U768" s="597"/>
      <c r="V768" s="597"/>
      <c r="W768" s="597"/>
      <c r="X768" s="597"/>
      <c r="Y768" s="597"/>
      <c r="Z768" s="597"/>
    </row>
    <row r="769" spans="1:26" ht="19.5" hidden="1">
      <c r="A769" s="784">
        <v>11</v>
      </c>
      <c r="B769" s="785" t="s">
        <v>317</v>
      </c>
      <c r="C769" s="786"/>
      <c r="D769" s="786"/>
      <c r="E769" s="786"/>
      <c r="F769" s="786"/>
      <c r="G769" s="787"/>
      <c r="H769" s="788" t="s">
        <v>46</v>
      </c>
      <c r="I769" s="789"/>
      <c r="J769" s="789">
        <f>J784</f>
        <v>0</v>
      </c>
      <c r="K769" s="790">
        <f>IF(I769&gt;0,J769*100/I769,0)</f>
        <v>0</v>
      </c>
      <c r="L769" s="791"/>
      <c r="M769" s="791"/>
      <c r="N769" s="791"/>
      <c r="O769" s="791"/>
      <c r="P769" s="791"/>
      <c r="Q769" s="597"/>
      <c r="R769" s="597"/>
      <c r="S769" s="597"/>
      <c r="T769" s="597"/>
      <c r="U769" s="597"/>
      <c r="V769" s="597"/>
      <c r="W769" s="597"/>
      <c r="X769" s="597"/>
      <c r="Y769" s="597"/>
      <c r="Z769" s="597"/>
    </row>
    <row r="770" spans="1:26" ht="19.5" hidden="1">
      <c r="A770" s="592"/>
      <c r="B770" s="750"/>
      <c r="C770" s="750" t="s">
        <v>16</v>
      </c>
      <c r="D770" s="864" t="s">
        <v>17</v>
      </c>
      <c r="E770" s="857"/>
      <c r="F770" s="857"/>
      <c r="G770" s="596"/>
      <c r="H770" s="639" t="s">
        <v>12</v>
      </c>
      <c r="I770" s="610"/>
      <c r="J770" s="610"/>
      <c r="K770" s="93"/>
      <c r="L770" s="640">
        <f t="shared" ref="L770:N770" si="309">L771+L772</f>
        <v>0</v>
      </c>
      <c r="M770" s="640">
        <f t="shared" si="309"/>
        <v>0</v>
      </c>
      <c r="N770" s="640">
        <f t="shared" si="309"/>
        <v>0</v>
      </c>
      <c r="O770" s="640">
        <f t="shared" ref="O770:O775" si="310">IF(L770&gt;0,N770*100/L770,0)</f>
        <v>0</v>
      </c>
      <c r="P770" s="640">
        <f t="shared" ref="P770:P775" si="311">IF(M770&gt;0,N770*100/M770,0)</f>
        <v>0</v>
      </c>
      <c r="Q770" s="597"/>
      <c r="R770" s="597"/>
      <c r="S770" s="597"/>
      <c r="T770" s="597"/>
      <c r="U770" s="597"/>
      <c r="V770" s="597"/>
      <c r="W770" s="597"/>
      <c r="X770" s="597"/>
      <c r="Y770" s="597"/>
      <c r="Z770" s="597"/>
    </row>
    <row r="771" spans="1:26" ht="18.75" hidden="1">
      <c r="A771" s="592"/>
      <c r="B771" s="750"/>
      <c r="C771" s="750"/>
      <c r="D771" s="711"/>
      <c r="E771" s="750" t="s">
        <v>184</v>
      </c>
      <c r="F771" s="750"/>
      <c r="G771" s="596"/>
      <c r="H771" s="165" t="s">
        <v>12</v>
      </c>
      <c r="I771" s="610"/>
      <c r="J771" s="610"/>
      <c r="K771" s="93"/>
      <c r="L771" s="93">
        <f t="shared" ref="L771:N772" si="312">L774+L781</f>
        <v>0</v>
      </c>
      <c r="M771" s="93">
        <f t="shared" si="312"/>
        <v>0</v>
      </c>
      <c r="N771" s="93">
        <f t="shared" si="312"/>
        <v>0</v>
      </c>
      <c r="O771" s="93">
        <f t="shared" si="310"/>
        <v>0</v>
      </c>
      <c r="P771" s="93">
        <f t="shared" si="311"/>
        <v>0</v>
      </c>
      <c r="Q771" s="597"/>
      <c r="R771" s="597"/>
      <c r="S771" s="597"/>
      <c r="T771" s="597"/>
      <c r="U771" s="597"/>
      <c r="V771" s="597"/>
      <c r="W771" s="597"/>
      <c r="X771" s="597"/>
      <c r="Y771" s="597"/>
      <c r="Z771" s="597"/>
    </row>
    <row r="772" spans="1:26" ht="18.75" hidden="1">
      <c r="A772" s="592"/>
      <c r="B772" s="600"/>
      <c r="C772" s="750"/>
      <c r="D772" s="711"/>
      <c r="E772" s="750" t="s">
        <v>185</v>
      </c>
      <c r="F772" s="750"/>
      <c r="G772" s="596"/>
      <c r="H772" s="165" t="s">
        <v>12</v>
      </c>
      <c r="I772" s="610"/>
      <c r="J772" s="610"/>
      <c r="K772" s="93"/>
      <c r="L772" s="93">
        <f t="shared" si="312"/>
        <v>0</v>
      </c>
      <c r="M772" s="93">
        <f t="shared" si="312"/>
        <v>0</v>
      </c>
      <c r="N772" s="93">
        <f t="shared" si="312"/>
        <v>0</v>
      </c>
      <c r="O772" s="93">
        <f t="shared" si="310"/>
        <v>0</v>
      </c>
      <c r="P772" s="93">
        <f t="shared" si="311"/>
        <v>0</v>
      </c>
      <c r="Q772" s="597"/>
      <c r="R772" s="597"/>
      <c r="S772" s="597"/>
      <c r="T772" s="597"/>
      <c r="U772" s="597"/>
      <c r="V772" s="597"/>
      <c r="W772" s="597"/>
      <c r="X772" s="597"/>
      <c r="Y772" s="597"/>
      <c r="Z772" s="597"/>
    </row>
    <row r="773" spans="1:26" ht="19.5" hidden="1">
      <c r="A773" s="592"/>
      <c r="B773" s="600"/>
      <c r="C773" s="750"/>
      <c r="D773" s="638" t="s">
        <v>20</v>
      </c>
      <c r="E773" s="750"/>
      <c r="F773" s="750"/>
      <c r="G773" s="596"/>
      <c r="H773" s="639" t="s">
        <v>12</v>
      </c>
      <c r="I773" s="166"/>
      <c r="J773" s="166"/>
      <c r="K773" s="167"/>
      <c r="L773" s="640">
        <f t="shared" ref="L773:N773" si="313">L774+L775</f>
        <v>0</v>
      </c>
      <c r="M773" s="640">
        <f t="shared" si="313"/>
        <v>0</v>
      </c>
      <c r="N773" s="640">
        <f t="shared" si="313"/>
        <v>0</v>
      </c>
      <c r="O773" s="640">
        <f t="shared" si="310"/>
        <v>0</v>
      </c>
      <c r="P773" s="640">
        <f t="shared" si="311"/>
        <v>0</v>
      </c>
      <c r="Q773" s="597"/>
      <c r="R773" s="597"/>
      <c r="S773" s="597"/>
      <c r="T773" s="597"/>
      <c r="U773" s="597"/>
      <c r="V773" s="597"/>
      <c r="W773" s="597"/>
      <c r="X773" s="597"/>
      <c r="Y773" s="597"/>
      <c r="Z773" s="597"/>
    </row>
    <row r="774" spans="1:26" ht="18.75" hidden="1">
      <c r="A774" s="592"/>
      <c r="B774" s="600"/>
      <c r="C774" s="750"/>
      <c r="D774" s="711"/>
      <c r="E774" s="750" t="s">
        <v>184</v>
      </c>
      <c r="F774" s="750"/>
      <c r="G774" s="596"/>
      <c r="H774" s="165" t="s">
        <v>12</v>
      </c>
      <c r="I774" s="610"/>
      <c r="J774" s="610"/>
      <c r="K774" s="93"/>
      <c r="L774" s="93">
        <v>0</v>
      </c>
      <c r="M774" s="93">
        <v>0</v>
      </c>
      <c r="N774" s="93">
        <v>0</v>
      </c>
      <c r="O774" s="93">
        <f t="shared" si="310"/>
        <v>0</v>
      </c>
      <c r="P774" s="93">
        <f t="shared" si="311"/>
        <v>0</v>
      </c>
      <c r="Q774" s="597"/>
      <c r="R774" s="597"/>
      <c r="S774" s="597"/>
      <c r="T774" s="597"/>
      <c r="U774" s="597"/>
      <c r="V774" s="597"/>
      <c r="W774" s="597"/>
      <c r="X774" s="597"/>
      <c r="Y774" s="597"/>
      <c r="Z774" s="597"/>
    </row>
    <row r="775" spans="1:26" ht="18.75" hidden="1">
      <c r="A775" s="592"/>
      <c r="B775" s="600"/>
      <c r="C775" s="750"/>
      <c r="D775" s="711"/>
      <c r="E775" s="750" t="s">
        <v>185</v>
      </c>
      <c r="F775" s="750"/>
      <c r="G775" s="596"/>
      <c r="H775" s="165" t="s">
        <v>12</v>
      </c>
      <c r="I775" s="610"/>
      <c r="J775" s="610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0"/>
        <v>0</v>
      </c>
      <c r="P775" s="93">
        <f t="shared" si="311"/>
        <v>0</v>
      </c>
      <c r="Q775" s="597"/>
      <c r="R775" s="597"/>
      <c r="S775" s="597"/>
      <c r="T775" s="597"/>
      <c r="U775" s="597"/>
      <c r="V775" s="597"/>
      <c r="W775" s="597"/>
      <c r="X775" s="597"/>
      <c r="Y775" s="597"/>
      <c r="Z775" s="597"/>
    </row>
    <row r="776" spans="1:26" ht="18.75" hidden="1">
      <c r="A776" s="642"/>
      <c r="B776" s="600"/>
      <c r="C776" s="750"/>
      <c r="D776" s="750"/>
      <c r="E776" s="750"/>
      <c r="F776" s="750" t="s">
        <v>186</v>
      </c>
      <c r="G776" s="596"/>
      <c r="H776" s="165" t="s">
        <v>12</v>
      </c>
      <c r="I776" s="610"/>
      <c r="J776" s="610"/>
      <c r="K776" s="93"/>
      <c r="L776" s="93"/>
      <c r="M776" s="93"/>
      <c r="N776" s="93"/>
      <c r="O776" s="93"/>
      <c r="P776" s="93"/>
      <c r="Q776" s="597"/>
      <c r="R776" s="597"/>
      <c r="S776" s="597"/>
      <c r="T776" s="597"/>
      <c r="U776" s="597"/>
      <c r="V776" s="597"/>
      <c r="W776" s="597"/>
      <c r="X776" s="597"/>
      <c r="Y776" s="597"/>
      <c r="Z776" s="597"/>
    </row>
    <row r="777" spans="1:26" ht="18.75" hidden="1">
      <c r="A777" s="642"/>
      <c r="B777" s="600"/>
      <c r="C777" s="750"/>
      <c r="D777" s="750"/>
      <c r="E777" s="750"/>
      <c r="F777" s="750" t="s">
        <v>187</v>
      </c>
      <c r="G777" s="596"/>
      <c r="H777" s="165" t="s">
        <v>12</v>
      </c>
      <c r="I777" s="610"/>
      <c r="J777" s="610"/>
      <c r="K777" s="93"/>
      <c r="L777" s="93"/>
      <c r="M777" s="93"/>
      <c r="N777" s="93"/>
      <c r="O777" s="93"/>
      <c r="P777" s="93"/>
      <c r="Q777" s="597"/>
      <c r="R777" s="597"/>
      <c r="S777" s="597"/>
      <c r="T777" s="597"/>
      <c r="U777" s="597"/>
      <c r="V777" s="597"/>
      <c r="W777" s="597"/>
      <c r="X777" s="597"/>
      <c r="Y777" s="597"/>
      <c r="Z777" s="597"/>
    </row>
    <row r="778" spans="1:26" ht="18.75" hidden="1">
      <c r="A778" s="642"/>
      <c r="B778" s="600"/>
      <c r="C778" s="750"/>
      <c r="D778" s="750"/>
      <c r="E778" s="750"/>
      <c r="F778" s="750" t="s">
        <v>188</v>
      </c>
      <c r="G778" s="596"/>
      <c r="H778" s="165" t="s">
        <v>12</v>
      </c>
      <c r="I778" s="610"/>
      <c r="J778" s="610"/>
      <c r="K778" s="93"/>
      <c r="L778" s="93"/>
      <c r="M778" s="93"/>
      <c r="N778" s="93"/>
      <c r="O778" s="93"/>
      <c r="P778" s="93"/>
      <c r="Q778" s="597"/>
      <c r="R778" s="597"/>
      <c r="S778" s="597"/>
      <c r="T778" s="597"/>
      <c r="U778" s="597"/>
      <c r="V778" s="597"/>
      <c r="W778" s="597"/>
      <c r="X778" s="597"/>
      <c r="Y778" s="597"/>
      <c r="Z778" s="597"/>
    </row>
    <row r="779" spans="1:26" ht="18.75" hidden="1">
      <c r="A779" s="642"/>
      <c r="B779" s="600"/>
      <c r="C779" s="750"/>
      <c r="D779" s="750"/>
      <c r="E779" s="750"/>
      <c r="F779" s="750" t="s">
        <v>189</v>
      </c>
      <c r="G779" s="596"/>
      <c r="H779" s="165" t="s">
        <v>12</v>
      </c>
      <c r="I779" s="610"/>
      <c r="J779" s="610"/>
      <c r="K779" s="93"/>
      <c r="L779" s="93"/>
      <c r="M779" s="93"/>
      <c r="N779" s="93"/>
      <c r="O779" s="93"/>
      <c r="P779" s="93"/>
      <c r="Q779" s="597"/>
      <c r="R779" s="597"/>
      <c r="S779" s="597"/>
      <c r="T779" s="597"/>
      <c r="U779" s="597"/>
      <c r="V779" s="597"/>
      <c r="W779" s="597"/>
      <c r="X779" s="597"/>
      <c r="Y779" s="597"/>
      <c r="Z779" s="597"/>
    </row>
    <row r="780" spans="1:26" ht="19.5" hidden="1">
      <c r="A780" s="592"/>
      <c r="B780" s="600"/>
      <c r="C780" s="750"/>
      <c r="D780" s="638" t="s">
        <v>21</v>
      </c>
      <c r="E780" s="750"/>
      <c r="F780" s="750"/>
      <c r="G780" s="596"/>
      <c r="H780" s="774" t="s">
        <v>12</v>
      </c>
      <c r="I780" s="166"/>
      <c r="J780" s="166"/>
      <c r="K780" s="167"/>
      <c r="L780" s="640">
        <f t="shared" ref="L780:N780" si="314">L781+L782</f>
        <v>0</v>
      </c>
      <c r="M780" s="640">
        <f t="shared" si="314"/>
        <v>0</v>
      </c>
      <c r="N780" s="640">
        <f t="shared" si="314"/>
        <v>0</v>
      </c>
      <c r="O780" s="640">
        <f t="shared" ref="O780:O782" si="315">IF(L780&gt;0,N780*100/L780,0)</f>
        <v>0</v>
      </c>
      <c r="P780" s="640">
        <f t="shared" ref="P780:P782" si="316">IF(M780&gt;0,N780*100/M780,0)</f>
        <v>0</v>
      </c>
      <c r="Q780" s="597"/>
      <c r="R780" s="597"/>
      <c r="S780" s="597"/>
      <c r="T780" s="597"/>
      <c r="U780" s="597"/>
      <c r="V780" s="597"/>
      <c r="W780" s="597"/>
      <c r="X780" s="597"/>
      <c r="Y780" s="597"/>
      <c r="Z780" s="597"/>
    </row>
    <row r="781" spans="1:26" ht="18.75" hidden="1">
      <c r="A781" s="592"/>
      <c r="B781" s="600"/>
      <c r="C781" s="750"/>
      <c r="D781" s="750"/>
      <c r="E781" s="750" t="s">
        <v>18</v>
      </c>
      <c r="F781" s="750"/>
      <c r="G781" s="596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5"/>
        <v>0</v>
      </c>
      <c r="P781" s="93">
        <f t="shared" si="316"/>
        <v>0</v>
      </c>
      <c r="Q781" s="597"/>
      <c r="R781" s="597"/>
      <c r="S781" s="597"/>
      <c r="T781" s="597"/>
      <c r="U781" s="597"/>
      <c r="V781" s="597"/>
      <c r="W781" s="597"/>
      <c r="X781" s="597"/>
      <c r="Y781" s="597"/>
      <c r="Z781" s="597"/>
    </row>
    <row r="782" spans="1:26" ht="18.75" hidden="1">
      <c r="A782" s="592"/>
      <c r="B782" s="600"/>
      <c r="C782" s="750"/>
      <c r="D782" s="750"/>
      <c r="E782" s="750" t="s">
        <v>19</v>
      </c>
      <c r="F782" s="750"/>
      <c r="G782" s="596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5"/>
        <v>0</v>
      </c>
      <c r="P782" s="93">
        <f t="shared" si="316"/>
        <v>0</v>
      </c>
      <c r="Q782" s="597"/>
      <c r="R782" s="597"/>
      <c r="S782" s="597"/>
      <c r="T782" s="597"/>
      <c r="U782" s="597"/>
      <c r="V782" s="597"/>
      <c r="W782" s="597"/>
      <c r="X782" s="597"/>
      <c r="Y782" s="597"/>
      <c r="Z782" s="597"/>
    </row>
    <row r="783" spans="1:26" ht="19.5" hidden="1">
      <c r="A783" s="607"/>
      <c r="B783" s="609"/>
      <c r="C783" s="750" t="s">
        <v>16</v>
      </c>
      <c r="D783" s="841" t="s">
        <v>38</v>
      </c>
      <c r="E783" s="644"/>
      <c r="F783" s="644"/>
      <c r="G783" s="645"/>
      <c r="H783" s="792"/>
      <c r="I783" s="166"/>
      <c r="J783" s="166"/>
      <c r="K783" s="167"/>
      <c r="L783" s="167"/>
      <c r="M783" s="167"/>
      <c r="N783" s="167"/>
      <c r="O783" s="167"/>
      <c r="P783" s="167"/>
      <c r="Q783" s="597"/>
      <c r="R783" s="597"/>
      <c r="S783" s="597"/>
      <c r="T783" s="597"/>
      <c r="U783" s="597"/>
      <c r="V783" s="597"/>
      <c r="W783" s="597"/>
      <c r="X783" s="597"/>
      <c r="Y783" s="597"/>
      <c r="Z783" s="597"/>
    </row>
    <row r="784" spans="1:26" ht="18.75" hidden="1">
      <c r="A784" s="642"/>
      <c r="B784" s="600"/>
      <c r="C784" s="750"/>
      <c r="D784" s="750"/>
      <c r="E784" s="750" t="s">
        <v>318</v>
      </c>
      <c r="F784" s="750"/>
      <c r="G784" s="596"/>
      <c r="H784" s="165" t="s">
        <v>46</v>
      </c>
      <c r="I784" s="610"/>
      <c r="J784" s="610"/>
      <c r="K784" s="93"/>
      <c r="L784" s="93"/>
      <c r="M784" s="93"/>
      <c r="N784" s="93"/>
      <c r="O784" s="93"/>
      <c r="P784" s="93"/>
      <c r="Q784" s="597"/>
      <c r="R784" s="597"/>
      <c r="S784" s="597"/>
      <c r="T784" s="597"/>
      <c r="U784" s="597"/>
      <c r="V784" s="597"/>
      <c r="W784" s="597"/>
      <c r="X784" s="597"/>
      <c r="Y784" s="597"/>
      <c r="Z784" s="597"/>
    </row>
    <row r="785" spans="1:26" ht="19.5" hidden="1">
      <c r="A785" s="793">
        <v>12</v>
      </c>
      <c r="B785" s="794" t="s">
        <v>319</v>
      </c>
      <c r="C785" s="795"/>
      <c r="D785" s="795"/>
      <c r="E785" s="795"/>
      <c r="F785" s="795"/>
      <c r="G785" s="796"/>
      <c r="H785" s="797" t="s">
        <v>46</v>
      </c>
      <c r="I785" s="798">
        <f t="shared" ref="I785:J785" ca="1" si="317">I800</f>
        <v>0</v>
      </c>
      <c r="J785" s="799">
        <f t="shared" ca="1" si="317"/>
        <v>0</v>
      </c>
      <c r="K785" s="800">
        <f ca="1">IF(I785&gt;0,J785*100/I785,0)</f>
        <v>0</v>
      </c>
      <c r="L785" s="801"/>
      <c r="M785" s="801"/>
      <c r="N785" s="801"/>
      <c r="O785" s="801"/>
      <c r="P785" s="801"/>
      <c r="Q785" s="571"/>
      <c r="R785" s="571"/>
      <c r="S785" s="571"/>
      <c r="T785" s="571"/>
      <c r="U785" s="571"/>
      <c r="V785" s="571"/>
      <c r="W785" s="571"/>
      <c r="X785" s="571"/>
      <c r="Y785" s="571"/>
      <c r="Z785" s="571"/>
    </row>
    <row r="786" spans="1:26" ht="19.5" hidden="1">
      <c r="A786" s="590"/>
      <c r="B786" s="568"/>
      <c r="C786" s="754" t="s">
        <v>16</v>
      </c>
      <c r="D786" s="863" t="s">
        <v>17</v>
      </c>
      <c r="E786" s="857"/>
      <c r="F786" s="857"/>
      <c r="G786" s="189"/>
      <c r="H786" s="591" t="s">
        <v>12</v>
      </c>
      <c r="I786" s="269"/>
      <c r="J786" s="269"/>
      <c r="K786" s="496"/>
      <c r="L786" s="195">
        <f t="shared" ref="L786:N786" ca="1" si="318">L787+L788</f>
        <v>0</v>
      </c>
      <c r="M786" s="195">
        <f t="shared" si="318"/>
        <v>0</v>
      </c>
      <c r="N786" s="195">
        <f t="shared" si="318"/>
        <v>0</v>
      </c>
      <c r="O786" s="195">
        <f t="shared" ref="O786:O791" ca="1" si="319">IF(L786&gt;0,N786*100/L786,0)</f>
        <v>0</v>
      </c>
      <c r="P786" s="195">
        <f t="shared" ref="P786:P791" si="320">IF(M786&gt;0,N786*100/M786,0)</f>
        <v>0</v>
      </c>
      <c r="Q786" s="571"/>
      <c r="R786" s="571"/>
      <c r="S786" s="571"/>
      <c r="T786" s="571"/>
      <c r="U786" s="571"/>
      <c r="V786" s="571"/>
      <c r="W786" s="571"/>
      <c r="X786" s="571"/>
      <c r="Y786" s="571"/>
      <c r="Z786" s="571"/>
    </row>
    <row r="787" spans="1:26" ht="18.75" hidden="1">
      <c r="A787" s="592"/>
      <c r="B787" s="600"/>
      <c r="C787" s="750"/>
      <c r="D787" s="711"/>
      <c r="E787" s="750" t="s">
        <v>184</v>
      </c>
      <c r="F787" s="750"/>
      <c r="G787" s="596"/>
      <c r="H787" s="165" t="s">
        <v>12</v>
      </c>
      <c r="I787" s="610"/>
      <c r="J787" s="610"/>
      <c r="K787" s="93"/>
      <c r="L787" s="93">
        <f t="shared" ref="L787:N788" si="321">L790+L797</f>
        <v>0</v>
      </c>
      <c r="M787" s="93">
        <f t="shared" si="321"/>
        <v>0</v>
      </c>
      <c r="N787" s="93">
        <f t="shared" si="321"/>
        <v>0</v>
      </c>
      <c r="O787" s="93">
        <f t="shared" si="319"/>
        <v>0</v>
      </c>
      <c r="P787" s="93">
        <f t="shared" si="320"/>
        <v>0</v>
      </c>
      <c r="Q787" s="597"/>
      <c r="R787" s="597"/>
      <c r="S787" s="597"/>
      <c r="T787" s="597"/>
      <c r="U787" s="597"/>
      <c r="V787" s="597"/>
      <c r="W787" s="597"/>
      <c r="X787" s="597"/>
      <c r="Y787" s="597"/>
      <c r="Z787" s="597"/>
    </row>
    <row r="788" spans="1:26" ht="18.75" hidden="1">
      <c r="A788" s="592"/>
      <c r="B788" s="600"/>
      <c r="C788" s="600"/>
      <c r="D788" s="609"/>
      <c r="E788" s="750" t="s">
        <v>185</v>
      </c>
      <c r="F788" s="750"/>
      <c r="G788" s="596"/>
      <c r="H788" s="165" t="s">
        <v>12</v>
      </c>
      <c r="I788" s="610"/>
      <c r="J788" s="610"/>
      <c r="K788" s="93"/>
      <c r="L788" s="93">
        <f t="shared" ca="1" si="321"/>
        <v>0</v>
      </c>
      <c r="M788" s="93">
        <f t="shared" si="321"/>
        <v>0</v>
      </c>
      <c r="N788" s="93">
        <f t="shared" si="321"/>
        <v>0</v>
      </c>
      <c r="O788" s="93">
        <f t="shared" ca="1" si="319"/>
        <v>0</v>
      </c>
      <c r="P788" s="93">
        <f t="shared" si="320"/>
        <v>0</v>
      </c>
      <c r="Q788" s="597"/>
      <c r="R788" s="597"/>
      <c r="S788" s="597"/>
      <c r="T788" s="597"/>
      <c r="U788" s="597"/>
      <c r="V788" s="597"/>
      <c r="W788" s="597"/>
      <c r="X788" s="597"/>
      <c r="Y788" s="597"/>
      <c r="Z788" s="597"/>
    </row>
    <row r="789" spans="1:26" ht="18.75" hidden="1">
      <c r="A789" s="590"/>
      <c r="B789" s="568"/>
      <c r="C789" s="568"/>
      <c r="D789" s="599" t="s">
        <v>20</v>
      </c>
      <c r="E789" s="754"/>
      <c r="F789" s="754"/>
      <c r="G789" s="189"/>
      <c r="H789" s="161" t="s">
        <v>12</v>
      </c>
      <c r="I789" s="184"/>
      <c r="J789" s="184"/>
      <c r="K789" s="163"/>
      <c r="L789" s="496">
        <f t="shared" ref="L789:N789" ca="1" si="322">L790+L791</f>
        <v>0</v>
      </c>
      <c r="M789" s="496">
        <f t="shared" si="322"/>
        <v>0</v>
      </c>
      <c r="N789" s="496">
        <f t="shared" si="322"/>
        <v>0</v>
      </c>
      <c r="O789" s="496">
        <f t="shared" ca="1" si="319"/>
        <v>0</v>
      </c>
      <c r="P789" s="496">
        <f t="shared" si="320"/>
        <v>0</v>
      </c>
      <c r="Q789" s="571"/>
      <c r="R789" s="571"/>
      <c r="S789" s="571"/>
      <c r="T789" s="571"/>
      <c r="U789" s="571"/>
      <c r="V789" s="571"/>
      <c r="W789" s="571"/>
      <c r="X789" s="571"/>
      <c r="Y789" s="571"/>
      <c r="Z789" s="571"/>
    </row>
    <row r="790" spans="1:26" ht="18.75" hidden="1">
      <c r="A790" s="592"/>
      <c r="B790" s="600"/>
      <c r="C790" s="600"/>
      <c r="D790" s="609"/>
      <c r="E790" s="750" t="s">
        <v>184</v>
      </c>
      <c r="F790" s="750"/>
      <c r="G790" s="596"/>
      <c r="H790" s="165" t="s">
        <v>12</v>
      </c>
      <c r="I790" s="610"/>
      <c r="J790" s="610"/>
      <c r="K790" s="93"/>
      <c r="L790" s="93">
        <v>0</v>
      </c>
      <c r="M790" s="93">
        <v>0</v>
      </c>
      <c r="N790" s="93">
        <v>0</v>
      </c>
      <c r="O790" s="93">
        <f t="shared" si="319"/>
        <v>0</v>
      </c>
      <c r="P790" s="93">
        <f t="shared" si="320"/>
        <v>0</v>
      </c>
      <c r="Q790" s="597"/>
      <c r="R790" s="597"/>
      <c r="S790" s="597"/>
      <c r="T790" s="597"/>
      <c r="U790" s="597"/>
      <c r="V790" s="597"/>
      <c r="W790" s="597"/>
      <c r="X790" s="597"/>
      <c r="Y790" s="597"/>
      <c r="Z790" s="597"/>
    </row>
    <row r="791" spans="1:26" ht="18.75" hidden="1">
      <c r="A791" s="592"/>
      <c r="B791" s="600"/>
      <c r="C791" s="600"/>
      <c r="D791" s="609"/>
      <c r="E791" s="750" t="s">
        <v>185</v>
      </c>
      <c r="F791" s="750"/>
      <c r="G791" s="596"/>
      <c r="H791" s="165" t="s">
        <v>12</v>
      </c>
      <c r="I791" s="610"/>
      <c r="J791" s="610"/>
      <c r="K791" s="93"/>
      <c r="L791" s="93">
        <f ca="1">IFERROR(__xludf.DUMMYFUNCTION("IMPORTRANGE(""https://docs.google.com/spreadsheets/d/1QqKyyYR6Q21VydFLVH3TRQUabQu_ym0Zz7PgGX0-kHA/edit?usp=sharing"",""แผน!JJ60"")"),0)</f>
        <v>0</v>
      </c>
      <c r="M791" s="93">
        <v>0</v>
      </c>
      <c r="N791" s="93">
        <f>N792+N793+N794+N795</f>
        <v>0</v>
      </c>
      <c r="O791" s="93">
        <f t="shared" ca="1" si="319"/>
        <v>0</v>
      </c>
      <c r="P791" s="93">
        <f t="shared" si="320"/>
        <v>0</v>
      </c>
      <c r="Q791" s="597"/>
      <c r="R791" s="597"/>
      <c r="S791" s="597"/>
      <c r="T791" s="597"/>
      <c r="U791" s="597"/>
      <c r="V791" s="597"/>
      <c r="W791" s="597"/>
      <c r="X791" s="597"/>
      <c r="Y791" s="597"/>
      <c r="Z791" s="597"/>
    </row>
    <row r="792" spans="1:26" ht="18.75" hidden="1">
      <c r="A792" s="567"/>
      <c r="B792" s="568"/>
      <c r="C792" s="754"/>
      <c r="D792" s="754"/>
      <c r="E792" s="754"/>
      <c r="F792" s="754" t="s">
        <v>186</v>
      </c>
      <c r="G792" s="189"/>
      <c r="H792" s="161" t="s">
        <v>12</v>
      </c>
      <c r="I792" s="269"/>
      <c r="J792" s="269"/>
      <c r="K792" s="496"/>
      <c r="L792" s="496"/>
      <c r="M792" s="496"/>
      <c r="N792" s="817">
        <v>0</v>
      </c>
      <c r="O792" s="496"/>
      <c r="P792" s="496"/>
      <c r="Q792" s="571"/>
      <c r="R792" s="571"/>
      <c r="S792" s="571"/>
      <c r="T792" s="571"/>
      <c r="U792" s="571"/>
      <c r="V792" s="571"/>
      <c r="W792" s="571"/>
      <c r="X792" s="571"/>
      <c r="Y792" s="571"/>
      <c r="Z792" s="571"/>
    </row>
    <row r="793" spans="1:26" ht="18.75" hidden="1">
      <c r="A793" s="567"/>
      <c r="B793" s="568"/>
      <c r="C793" s="754"/>
      <c r="D793" s="754"/>
      <c r="E793" s="754"/>
      <c r="F793" s="754" t="s">
        <v>187</v>
      </c>
      <c r="G793" s="189"/>
      <c r="H793" s="161" t="s">
        <v>12</v>
      </c>
      <c r="I793" s="269"/>
      <c r="J793" s="269"/>
      <c r="K793" s="496"/>
      <c r="L793" s="496"/>
      <c r="M793" s="496"/>
      <c r="N793" s="817">
        <v>0</v>
      </c>
      <c r="O793" s="496"/>
      <c r="P793" s="496"/>
      <c r="Q793" s="571"/>
      <c r="R793" s="571"/>
      <c r="S793" s="571"/>
      <c r="T793" s="571"/>
      <c r="U793" s="571"/>
      <c r="V793" s="571"/>
      <c r="W793" s="571"/>
      <c r="X793" s="571"/>
      <c r="Y793" s="571"/>
      <c r="Z793" s="571"/>
    </row>
    <row r="794" spans="1:26" ht="18.75" hidden="1">
      <c r="A794" s="567"/>
      <c r="B794" s="568"/>
      <c r="C794" s="754"/>
      <c r="D794" s="754"/>
      <c r="E794" s="754"/>
      <c r="F794" s="754" t="s">
        <v>188</v>
      </c>
      <c r="G794" s="189"/>
      <c r="H794" s="161" t="s">
        <v>12</v>
      </c>
      <c r="I794" s="269"/>
      <c r="J794" s="269"/>
      <c r="K794" s="496"/>
      <c r="L794" s="496"/>
      <c r="M794" s="496"/>
      <c r="N794" s="817">
        <v>0</v>
      </c>
      <c r="O794" s="496"/>
      <c r="P794" s="496"/>
      <c r="Q794" s="571"/>
      <c r="R794" s="571"/>
      <c r="S794" s="571"/>
      <c r="T794" s="571"/>
      <c r="U794" s="571"/>
      <c r="V794" s="571"/>
      <c r="W794" s="571"/>
      <c r="X794" s="571"/>
      <c r="Y794" s="571"/>
      <c r="Z794" s="571"/>
    </row>
    <row r="795" spans="1:26" ht="18.75" hidden="1">
      <c r="A795" s="567"/>
      <c r="B795" s="568"/>
      <c r="C795" s="754"/>
      <c r="D795" s="754"/>
      <c r="E795" s="754"/>
      <c r="F795" s="754" t="s">
        <v>189</v>
      </c>
      <c r="G795" s="189"/>
      <c r="H795" s="161" t="s">
        <v>12</v>
      </c>
      <c r="I795" s="269"/>
      <c r="J795" s="269"/>
      <c r="K795" s="496"/>
      <c r="L795" s="496"/>
      <c r="M795" s="496"/>
      <c r="N795" s="817">
        <v>0</v>
      </c>
      <c r="O795" s="496"/>
      <c r="P795" s="496"/>
      <c r="Q795" s="571"/>
      <c r="R795" s="571"/>
      <c r="S795" s="571"/>
      <c r="T795" s="571"/>
      <c r="U795" s="571"/>
      <c r="V795" s="571"/>
      <c r="W795" s="571"/>
      <c r="X795" s="571"/>
      <c r="Y795" s="571"/>
      <c r="Z795" s="571"/>
    </row>
    <row r="796" spans="1:26" ht="18.75" hidden="1">
      <c r="A796" s="590"/>
      <c r="B796" s="568"/>
      <c r="C796" s="754"/>
      <c r="D796" s="599" t="s">
        <v>21</v>
      </c>
      <c r="E796" s="754"/>
      <c r="F796" s="754"/>
      <c r="G796" s="189"/>
      <c r="H796" s="168" t="s">
        <v>12</v>
      </c>
      <c r="I796" s="184"/>
      <c r="J796" s="184"/>
      <c r="K796" s="163"/>
      <c r="L796" s="496">
        <f t="shared" ref="L796:N796" si="323">L797+L798</f>
        <v>0</v>
      </c>
      <c r="M796" s="496">
        <f t="shared" si="323"/>
        <v>0</v>
      </c>
      <c r="N796" s="496">
        <f t="shared" si="323"/>
        <v>0</v>
      </c>
      <c r="O796" s="496">
        <f t="shared" ref="O796:O798" si="324">IF(L796&gt;0,N796*100/L796,0)</f>
        <v>0</v>
      </c>
      <c r="P796" s="496">
        <f t="shared" ref="P796:P798" si="325">IF(M796&gt;0,N796*100/M796,0)</f>
        <v>0</v>
      </c>
      <c r="Q796" s="571"/>
      <c r="R796" s="571"/>
      <c r="S796" s="571"/>
      <c r="T796" s="571"/>
      <c r="U796" s="571"/>
      <c r="V796" s="571"/>
      <c r="W796" s="571"/>
      <c r="X796" s="571"/>
      <c r="Y796" s="571"/>
      <c r="Z796" s="571"/>
    </row>
    <row r="797" spans="1:26" ht="18.75" hidden="1">
      <c r="A797" s="592"/>
      <c r="B797" s="600"/>
      <c r="C797" s="750"/>
      <c r="D797" s="750"/>
      <c r="E797" s="750" t="s">
        <v>18</v>
      </c>
      <c r="F797" s="750"/>
      <c r="G797" s="596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4"/>
        <v>0</v>
      </c>
      <c r="P797" s="93">
        <f t="shared" si="325"/>
        <v>0</v>
      </c>
      <c r="Q797" s="597"/>
      <c r="R797" s="597"/>
      <c r="S797" s="597"/>
      <c r="T797" s="597"/>
      <c r="U797" s="597"/>
      <c r="V797" s="597"/>
      <c r="W797" s="597"/>
      <c r="X797" s="597"/>
      <c r="Y797" s="597"/>
      <c r="Z797" s="597"/>
    </row>
    <row r="798" spans="1:26" ht="18.75" hidden="1">
      <c r="A798" s="592"/>
      <c r="B798" s="600"/>
      <c r="C798" s="750"/>
      <c r="D798" s="750"/>
      <c r="E798" s="750" t="s">
        <v>19</v>
      </c>
      <c r="F798" s="750"/>
      <c r="G798" s="596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4"/>
        <v>0</v>
      </c>
      <c r="P798" s="93">
        <f t="shared" si="325"/>
        <v>0</v>
      </c>
      <c r="Q798" s="597"/>
      <c r="R798" s="597"/>
      <c r="S798" s="597"/>
      <c r="T798" s="597"/>
      <c r="U798" s="597"/>
      <c r="V798" s="597"/>
      <c r="W798" s="597"/>
      <c r="X798" s="597"/>
      <c r="Y798" s="597"/>
      <c r="Z798" s="597"/>
    </row>
    <row r="799" spans="1:26" ht="19.5" hidden="1">
      <c r="A799" s="601"/>
      <c r="B799" s="611"/>
      <c r="C799" s="754" t="s">
        <v>16</v>
      </c>
      <c r="D799" s="840" t="s">
        <v>38</v>
      </c>
      <c r="E799" s="752"/>
      <c r="F799" s="752"/>
      <c r="G799" s="606"/>
      <c r="H799" s="802"/>
      <c r="I799" s="184"/>
      <c r="J799" s="184"/>
      <c r="K799" s="163"/>
      <c r="L799" s="163"/>
      <c r="M799" s="163"/>
      <c r="N799" s="163"/>
      <c r="O799" s="163"/>
      <c r="P799" s="163"/>
      <c r="Q799" s="571"/>
      <c r="R799" s="571"/>
      <c r="S799" s="571"/>
      <c r="T799" s="571"/>
      <c r="U799" s="571"/>
      <c r="V799" s="571"/>
      <c r="W799" s="571"/>
      <c r="X799" s="571"/>
      <c r="Y799" s="571"/>
      <c r="Z799" s="571"/>
    </row>
    <row r="800" spans="1:26" ht="18.75" hidden="1">
      <c r="A800" s="601"/>
      <c r="B800" s="611"/>
      <c r="C800" s="611"/>
      <c r="D800" s="611"/>
      <c r="E800" s="619"/>
      <c r="F800" s="619" t="s">
        <v>320</v>
      </c>
      <c r="G800" s="753"/>
      <c r="H800" s="185" t="s">
        <v>46</v>
      </c>
      <c r="I800" s="184">
        <f ca="1">IFERROR(__xludf.DUMMYFUNCTION("IMPORTRANGE(""https://docs.google.com/spreadsheets/d/1QqKyyYR6Q21VydFLVH3TRQUabQu_ym0Zz7PgGX0-kHA/edit?usp=sharing"",""แผน!JN60"")"),0)</f>
        <v>0</v>
      </c>
      <c r="J800" s="184">
        <f ca="1">IFERROR(__xludf.DUMMYFUNCTION("IMPORTRANGE(""https://docs.google.com/spreadsheets/d/1MaWodYyGHDf7siQLGxnXhG4mBNTNIuy296niS2xXulU/edit?usp=sharing"",""RTK!H60"")"),0)</f>
        <v>0</v>
      </c>
      <c r="K800" s="496">
        <f ca="1">IF(I800&gt;0,J800*100/I800,0)</f>
        <v>0</v>
      </c>
      <c r="L800" s="496"/>
      <c r="M800" s="496"/>
      <c r="N800" s="496"/>
      <c r="O800" s="163"/>
      <c r="P800" s="163"/>
      <c r="Q800" s="571"/>
      <c r="R800" s="571"/>
      <c r="S800" s="571"/>
      <c r="T800" s="571"/>
      <c r="U800" s="571"/>
      <c r="V800" s="571"/>
      <c r="W800" s="571"/>
      <c r="X800" s="571"/>
      <c r="Y800" s="571"/>
      <c r="Z800" s="571"/>
    </row>
    <row r="801" spans="1:26" ht="18.75" hidden="1">
      <c r="A801" s="601"/>
      <c r="B801" s="611"/>
      <c r="C801" s="611"/>
      <c r="D801" s="611"/>
      <c r="E801" s="619"/>
      <c r="F801" s="619"/>
      <c r="G801" s="753"/>
      <c r="H801" s="161" t="s">
        <v>34</v>
      </c>
      <c r="I801" s="184"/>
      <c r="J801" s="269">
        <f ca="1">IFERROR(__xludf.DUMMYFUNCTION("IMPORTRANGE(""https://docs.google.com/spreadsheets/d/1MaWodYyGHDf7siQLGxnXhG4mBNTNIuy296niS2xXulU/edit?usp=sharing"",""RTK!I60"")"),0)</f>
        <v>0</v>
      </c>
      <c r="K801" s="496"/>
      <c r="L801" s="496"/>
      <c r="M801" s="496"/>
      <c r="N801" s="496"/>
      <c r="O801" s="163"/>
      <c r="P801" s="163"/>
      <c r="Q801" s="571"/>
      <c r="R801" s="571"/>
      <c r="S801" s="571"/>
      <c r="T801" s="571"/>
      <c r="U801" s="571"/>
      <c r="V801" s="571"/>
      <c r="W801" s="571"/>
      <c r="X801" s="571"/>
      <c r="Y801" s="571"/>
      <c r="Z801" s="571"/>
    </row>
    <row r="802" spans="1:26" ht="18.75" hidden="1">
      <c r="A802" s="607"/>
      <c r="B802" s="609"/>
      <c r="C802" s="609"/>
      <c r="D802" s="609"/>
      <c r="E802" s="711"/>
      <c r="F802" s="711" t="s">
        <v>321</v>
      </c>
      <c r="G802" s="365"/>
      <c r="H802" s="646" t="s">
        <v>46</v>
      </c>
      <c r="I802" s="166"/>
      <c r="J802" s="610"/>
      <c r="K802" s="167">
        <f>IF(I802&gt;0,J802*100/I802,0)</f>
        <v>0</v>
      </c>
      <c r="L802" s="167"/>
      <c r="M802" s="167"/>
      <c r="N802" s="167"/>
      <c r="O802" s="167"/>
      <c r="P802" s="167"/>
      <c r="Q802" s="597"/>
      <c r="R802" s="597"/>
      <c r="S802" s="597"/>
      <c r="T802" s="597"/>
      <c r="U802" s="597"/>
      <c r="V802" s="597"/>
      <c r="W802" s="597"/>
      <c r="X802" s="597"/>
      <c r="Y802" s="597"/>
      <c r="Z802" s="597"/>
    </row>
    <row r="803" spans="1:26" ht="18.75" hidden="1">
      <c r="A803" s="607"/>
      <c r="B803" s="609"/>
      <c r="C803" s="609"/>
      <c r="D803" s="609"/>
      <c r="E803" s="711"/>
      <c r="F803" s="711"/>
      <c r="G803" s="365"/>
      <c r="H803" s="646" t="s">
        <v>34</v>
      </c>
      <c r="I803" s="166"/>
      <c r="J803" s="610"/>
      <c r="K803" s="167"/>
      <c r="L803" s="167"/>
      <c r="M803" s="167"/>
      <c r="N803" s="167"/>
      <c r="O803" s="167"/>
      <c r="P803" s="167"/>
      <c r="Q803" s="597"/>
      <c r="R803" s="597"/>
      <c r="S803" s="597"/>
      <c r="T803" s="597"/>
      <c r="U803" s="597"/>
      <c r="V803" s="597"/>
      <c r="W803" s="597"/>
      <c r="X803" s="597"/>
      <c r="Y803" s="597"/>
      <c r="Z803" s="597"/>
    </row>
    <row r="804" spans="1:26" ht="19.5" hidden="1">
      <c r="A804" s="784">
        <v>13</v>
      </c>
      <c r="B804" s="785" t="s">
        <v>322</v>
      </c>
      <c r="C804" s="786"/>
      <c r="D804" s="803"/>
      <c r="E804" s="786"/>
      <c r="F804" s="786"/>
      <c r="G804" s="787"/>
      <c r="H804" s="788" t="s">
        <v>46</v>
      </c>
      <c r="I804" s="789"/>
      <c r="J804" s="789">
        <f>J819</f>
        <v>0</v>
      </c>
      <c r="K804" s="790">
        <f>IF(I804&gt;0,J804*100/I804,0)</f>
        <v>0</v>
      </c>
      <c r="L804" s="791"/>
      <c r="M804" s="791"/>
      <c r="N804" s="791"/>
      <c r="O804" s="791"/>
      <c r="P804" s="791"/>
      <c r="Q804" s="597"/>
      <c r="R804" s="597"/>
      <c r="S804" s="597"/>
      <c r="T804" s="597"/>
      <c r="U804" s="597"/>
      <c r="V804" s="597"/>
      <c r="W804" s="597"/>
      <c r="X804" s="597"/>
      <c r="Y804" s="597"/>
      <c r="Z804" s="597"/>
    </row>
    <row r="805" spans="1:26" ht="19.5" hidden="1">
      <c r="A805" s="592"/>
      <c r="B805" s="750"/>
      <c r="C805" s="750" t="s">
        <v>16</v>
      </c>
      <c r="D805" s="864" t="s">
        <v>17</v>
      </c>
      <c r="E805" s="857"/>
      <c r="F805" s="857"/>
      <c r="G805" s="596"/>
      <c r="H805" s="639" t="s">
        <v>12</v>
      </c>
      <c r="I805" s="610"/>
      <c r="J805" s="610"/>
      <c r="K805" s="93"/>
      <c r="L805" s="640">
        <f t="shared" ref="L805:N805" si="326">L806+L807</f>
        <v>0</v>
      </c>
      <c r="M805" s="640">
        <f t="shared" si="326"/>
        <v>0</v>
      </c>
      <c r="N805" s="640">
        <f t="shared" si="326"/>
        <v>0</v>
      </c>
      <c r="O805" s="640">
        <f t="shared" ref="O805:O810" si="327">IF(L805&gt;0,N805*100/L805,0)</f>
        <v>0</v>
      </c>
      <c r="P805" s="640">
        <f t="shared" ref="P805:P810" si="328">IF(M805&gt;0,N805*100/M805,0)</f>
        <v>0</v>
      </c>
      <c r="Q805" s="597"/>
      <c r="R805" s="597"/>
      <c r="S805" s="597"/>
      <c r="T805" s="597"/>
      <c r="U805" s="597"/>
      <c r="V805" s="597"/>
      <c r="W805" s="597"/>
      <c r="X805" s="597"/>
      <c r="Y805" s="597"/>
      <c r="Z805" s="597"/>
    </row>
    <row r="806" spans="1:26" ht="18.75" hidden="1">
      <c r="A806" s="592"/>
      <c r="B806" s="750"/>
      <c r="C806" s="750"/>
      <c r="D806" s="609"/>
      <c r="E806" s="750" t="s">
        <v>184</v>
      </c>
      <c r="F806" s="750"/>
      <c r="G806" s="596"/>
      <c r="H806" s="165" t="s">
        <v>12</v>
      </c>
      <c r="I806" s="610"/>
      <c r="J806" s="610"/>
      <c r="K806" s="93"/>
      <c r="L806" s="93">
        <f t="shared" ref="L806:N807" si="329">L809+L816</f>
        <v>0</v>
      </c>
      <c r="M806" s="93">
        <f t="shared" si="329"/>
        <v>0</v>
      </c>
      <c r="N806" s="93">
        <f t="shared" si="329"/>
        <v>0</v>
      </c>
      <c r="O806" s="93">
        <f t="shared" si="327"/>
        <v>0</v>
      </c>
      <c r="P806" s="93">
        <f t="shared" si="328"/>
        <v>0</v>
      </c>
      <c r="Q806" s="597"/>
      <c r="R806" s="597"/>
      <c r="S806" s="597"/>
      <c r="T806" s="597"/>
      <c r="U806" s="597"/>
      <c r="V806" s="597"/>
      <c r="W806" s="597"/>
      <c r="X806" s="597"/>
      <c r="Y806" s="597"/>
      <c r="Z806" s="597"/>
    </row>
    <row r="807" spans="1:26" ht="18.75" hidden="1">
      <c r="A807" s="592"/>
      <c r="B807" s="750"/>
      <c r="C807" s="750"/>
      <c r="D807" s="609"/>
      <c r="E807" s="750" t="s">
        <v>185</v>
      </c>
      <c r="F807" s="750"/>
      <c r="G807" s="596"/>
      <c r="H807" s="165" t="s">
        <v>12</v>
      </c>
      <c r="I807" s="610"/>
      <c r="J807" s="610"/>
      <c r="K807" s="93"/>
      <c r="L807" s="93">
        <f t="shared" si="329"/>
        <v>0</v>
      </c>
      <c r="M807" s="93">
        <f t="shared" si="329"/>
        <v>0</v>
      </c>
      <c r="N807" s="93">
        <f t="shared" si="329"/>
        <v>0</v>
      </c>
      <c r="O807" s="93">
        <f t="shared" si="327"/>
        <v>0</v>
      </c>
      <c r="P807" s="93">
        <f t="shared" si="328"/>
        <v>0</v>
      </c>
      <c r="Q807" s="597"/>
      <c r="R807" s="597"/>
      <c r="S807" s="597"/>
      <c r="T807" s="597"/>
      <c r="U807" s="597"/>
      <c r="V807" s="597"/>
      <c r="W807" s="597"/>
      <c r="X807" s="597"/>
      <c r="Y807" s="597"/>
      <c r="Z807" s="597"/>
    </row>
    <row r="808" spans="1:26" ht="19.5" hidden="1">
      <c r="A808" s="592"/>
      <c r="B808" s="600"/>
      <c r="C808" s="750"/>
      <c r="D808" s="869" t="s">
        <v>20</v>
      </c>
      <c r="E808" s="857"/>
      <c r="F808" s="857"/>
      <c r="G808" s="596"/>
      <c r="H808" s="639" t="s">
        <v>12</v>
      </c>
      <c r="I808" s="166"/>
      <c r="J808" s="166"/>
      <c r="K808" s="167"/>
      <c r="L808" s="640">
        <f t="shared" ref="L808:N808" si="330">L809+L810</f>
        <v>0</v>
      </c>
      <c r="M808" s="640">
        <f t="shared" si="330"/>
        <v>0</v>
      </c>
      <c r="N808" s="640">
        <f t="shared" si="330"/>
        <v>0</v>
      </c>
      <c r="O808" s="640">
        <f t="shared" si="327"/>
        <v>0</v>
      </c>
      <c r="P808" s="640">
        <f t="shared" si="328"/>
        <v>0</v>
      </c>
      <c r="Q808" s="597"/>
      <c r="R808" s="597"/>
      <c r="S808" s="597"/>
      <c r="T808" s="597"/>
      <c r="U808" s="597"/>
      <c r="V808" s="597"/>
      <c r="W808" s="597"/>
      <c r="X808" s="597"/>
      <c r="Y808" s="597"/>
      <c r="Z808" s="597"/>
    </row>
    <row r="809" spans="1:26" ht="18.75" hidden="1">
      <c r="A809" s="592"/>
      <c r="B809" s="750"/>
      <c r="C809" s="750"/>
      <c r="D809" s="609"/>
      <c r="E809" s="750" t="s">
        <v>184</v>
      </c>
      <c r="F809" s="750"/>
      <c r="G809" s="596"/>
      <c r="H809" s="165" t="s">
        <v>12</v>
      </c>
      <c r="I809" s="610"/>
      <c r="J809" s="610"/>
      <c r="K809" s="93"/>
      <c r="L809" s="93">
        <v>0</v>
      </c>
      <c r="M809" s="93">
        <v>0</v>
      </c>
      <c r="N809" s="93">
        <v>0</v>
      </c>
      <c r="O809" s="93">
        <f t="shared" si="327"/>
        <v>0</v>
      </c>
      <c r="P809" s="93">
        <f t="shared" si="328"/>
        <v>0</v>
      </c>
      <c r="Q809" s="597"/>
      <c r="R809" s="597"/>
      <c r="S809" s="597"/>
      <c r="T809" s="597"/>
      <c r="U809" s="597"/>
      <c r="V809" s="597"/>
      <c r="W809" s="597"/>
      <c r="X809" s="597"/>
      <c r="Y809" s="597"/>
      <c r="Z809" s="597"/>
    </row>
    <row r="810" spans="1:26" ht="18.75" hidden="1">
      <c r="A810" s="592"/>
      <c r="B810" s="750"/>
      <c r="C810" s="750"/>
      <c r="D810" s="609"/>
      <c r="E810" s="750" t="s">
        <v>185</v>
      </c>
      <c r="F810" s="750"/>
      <c r="G810" s="596"/>
      <c r="H810" s="165" t="s">
        <v>12</v>
      </c>
      <c r="I810" s="610"/>
      <c r="J810" s="610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7"/>
        <v>0</v>
      </c>
      <c r="P810" s="93">
        <f t="shared" si="328"/>
        <v>0</v>
      </c>
      <c r="Q810" s="597"/>
      <c r="R810" s="597"/>
      <c r="S810" s="597"/>
      <c r="T810" s="597"/>
      <c r="U810" s="597"/>
      <c r="V810" s="597"/>
      <c r="W810" s="597"/>
      <c r="X810" s="597"/>
      <c r="Y810" s="597"/>
      <c r="Z810" s="597"/>
    </row>
    <row r="811" spans="1:26" ht="18.75" hidden="1">
      <c r="A811" s="642"/>
      <c r="B811" s="600"/>
      <c r="C811" s="750"/>
      <c r="D811" s="600"/>
      <c r="E811" s="750"/>
      <c r="F811" s="750" t="s">
        <v>186</v>
      </c>
      <c r="G811" s="596"/>
      <c r="H811" s="165" t="s">
        <v>12</v>
      </c>
      <c r="I811" s="610"/>
      <c r="J811" s="610"/>
      <c r="K811" s="93"/>
      <c r="L811" s="93"/>
      <c r="M811" s="93"/>
      <c r="N811" s="93"/>
      <c r="O811" s="93"/>
      <c r="P811" s="93"/>
      <c r="Q811" s="597"/>
      <c r="R811" s="597"/>
      <c r="S811" s="597"/>
      <c r="T811" s="597"/>
      <c r="U811" s="597"/>
      <c r="V811" s="597"/>
      <c r="W811" s="597"/>
      <c r="X811" s="597"/>
      <c r="Y811" s="597"/>
      <c r="Z811" s="597"/>
    </row>
    <row r="812" spans="1:26" ht="18.75" hidden="1">
      <c r="A812" s="642"/>
      <c r="B812" s="600"/>
      <c r="C812" s="750"/>
      <c r="D812" s="600"/>
      <c r="E812" s="750"/>
      <c r="F812" s="750" t="s">
        <v>187</v>
      </c>
      <c r="G812" s="596"/>
      <c r="H812" s="165" t="s">
        <v>12</v>
      </c>
      <c r="I812" s="610"/>
      <c r="J812" s="610"/>
      <c r="K812" s="93"/>
      <c r="L812" s="93"/>
      <c r="M812" s="93"/>
      <c r="N812" s="93"/>
      <c r="O812" s="93"/>
      <c r="P812" s="93"/>
      <c r="Q812" s="597"/>
      <c r="R812" s="597"/>
      <c r="S812" s="597"/>
      <c r="T812" s="597"/>
      <c r="U812" s="597"/>
      <c r="V812" s="597"/>
      <c r="W812" s="597"/>
      <c r="X812" s="597"/>
      <c r="Y812" s="597"/>
      <c r="Z812" s="597"/>
    </row>
    <row r="813" spans="1:26" ht="18.75" hidden="1">
      <c r="A813" s="642"/>
      <c r="B813" s="600"/>
      <c r="C813" s="750"/>
      <c r="D813" s="600"/>
      <c r="E813" s="750"/>
      <c r="F813" s="750" t="s">
        <v>188</v>
      </c>
      <c r="G813" s="596"/>
      <c r="H813" s="165" t="s">
        <v>12</v>
      </c>
      <c r="I813" s="610"/>
      <c r="J813" s="610"/>
      <c r="K813" s="93"/>
      <c r="L813" s="93"/>
      <c r="M813" s="93"/>
      <c r="N813" s="93"/>
      <c r="O813" s="93"/>
      <c r="P813" s="93"/>
      <c r="Q813" s="597"/>
      <c r="R813" s="597"/>
      <c r="S813" s="597"/>
      <c r="T813" s="597"/>
      <c r="U813" s="597"/>
      <c r="V813" s="597"/>
      <c r="W813" s="597"/>
      <c r="X813" s="597"/>
      <c r="Y813" s="597"/>
      <c r="Z813" s="597"/>
    </row>
    <row r="814" spans="1:26" ht="18.75" hidden="1">
      <c r="A814" s="642"/>
      <c r="B814" s="600"/>
      <c r="C814" s="750"/>
      <c r="D814" s="600"/>
      <c r="E814" s="750"/>
      <c r="F814" s="750" t="s">
        <v>189</v>
      </c>
      <c r="G814" s="596"/>
      <c r="H814" s="165" t="s">
        <v>12</v>
      </c>
      <c r="I814" s="610"/>
      <c r="J814" s="610"/>
      <c r="K814" s="93"/>
      <c r="L814" s="93"/>
      <c r="M814" s="93"/>
      <c r="N814" s="93"/>
      <c r="O814" s="93"/>
      <c r="P814" s="93"/>
      <c r="Q814" s="597"/>
      <c r="R814" s="597"/>
      <c r="S814" s="597"/>
      <c r="T814" s="597"/>
      <c r="U814" s="597"/>
      <c r="V814" s="597"/>
      <c r="W814" s="597"/>
      <c r="X814" s="597"/>
      <c r="Y814" s="597"/>
      <c r="Z814" s="597"/>
    </row>
    <row r="815" spans="1:26" ht="19.5" hidden="1">
      <c r="A815" s="592"/>
      <c r="B815" s="600"/>
      <c r="C815" s="750"/>
      <c r="D815" s="869" t="s">
        <v>21</v>
      </c>
      <c r="E815" s="857"/>
      <c r="F815" s="857"/>
      <c r="G815" s="596"/>
      <c r="H815" s="774" t="s">
        <v>12</v>
      </c>
      <c r="I815" s="166"/>
      <c r="J815" s="166"/>
      <c r="K815" s="167"/>
      <c r="L815" s="640">
        <f t="shared" ref="L815:N815" si="331">L816+L817</f>
        <v>0</v>
      </c>
      <c r="M815" s="640">
        <f t="shared" si="331"/>
        <v>0</v>
      </c>
      <c r="N815" s="640">
        <f t="shared" si="331"/>
        <v>0</v>
      </c>
      <c r="O815" s="640">
        <f t="shared" ref="O815:O817" si="332">IF(L815&gt;0,N815*100/L815,0)</f>
        <v>0</v>
      </c>
      <c r="P815" s="640">
        <f t="shared" ref="P815:P817" si="333">IF(M815&gt;0,N815*100/M815,0)</f>
        <v>0</v>
      </c>
      <c r="Q815" s="597"/>
      <c r="R815" s="597"/>
      <c r="S815" s="597"/>
      <c r="T815" s="597"/>
      <c r="U815" s="597"/>
      <c r="V815" s="597"/>
      <c r="W815" s="597"/>
      <c r="X815" s="597"/>
      <c r="Y815" s="597"/>
      <c r="Z815" s="597"/>
    </row>
    <row r="816" spans="1:26" ht="18.75" hidden="1">
      <c r="A816" s="592"/>
      <c r="B816" s="600"/>
      <c r="C816" s="750"/>
      <c r="D816" s="600"/>
      <c r="E816" s="750" t="s">
        <v>18</v>
      </c>
      <c r="F816" s="750"/>
      <c r="G816" s="596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2"/>
        <v>0</v>
      </c>
      <c r="P816" s="93">
        <f t="shared" si="333"/>
        <v>0</v>
      </c>
      <c r="Q816" s="597"/>
      <c r="R816" s="597"/>
      <c r="S816" s="597"/>
      <c r="T816" s="597"/>
      <c r="U816" s="597"/>
      <c r="V816" s="597"/>
      <c r="W816" s="597"/>
      <c r="X816" s="597"/>
      <c r="Y816" s="597"/>
      <c r="Z816" s="597"/>
    </row>
    <row r="817" spans="1:26" ht="18.75" hidden="1">
      <c r="A817" s="592"/>
      <c r="B817" s="600"/>
      <c r="C817" s="750"/>
      <c r="D817" s="600"/>
      <c r="E817" s="750" t="s">
        <v>19</v>
      </c>
      <c r="F817" s="750"/>
      <c r="G817" s="596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2"/>
        <v>0</v>
      </c>
      <c r="P817" s="93">
        <f t="shared" si="333"/>
        <v>0</v>
      </c>
      <c r="Q817" s="597"/>
      <c r="R817" s="597"/>
      <c r="S817" s="597"/>
      <c r="T817" s="597"/>
      <c r="U817" s="597"/>
      <c r="V817" s="597"/>
      <c r="W817" s="597"/>
      <c r="X817" s="597"/>
      <c r="Y817" s="597"/>
      <c r="Z817" s="597"/>
    </row>
    <row r="818" spans="1:26" ht="19.5" hidden="1">
      <c r="A818" s="607"/>
      <c r="B818" s="609"/>
      <c r="C818" s="750" t="s">
        <v>16</v>
      </c>
      <c r="D818" s="842" t="s">
        <v>38</v>
      </c>
      <c r="E818" s="644"/>
      <c r="F818" s="644"/>
      <c r="G818" s="645"/>
      <c r="H818" s="365"/>
      <c r="I818" s="166"/>
      <c r="J818" s="166"/>
      <c r="K818" s="167"/>
      <c r="L818" s="167"/>
      <c r="M818" s="167"/>
      <c r="N818" s="167"/>
      <c r="O818" s="167"/>
      <c r="P818" s="167"/>
      <c r="Q818" s="597"/>
      <c r="R818" s="597"/>
      <c r="S818" s="597"/>
      <c r="T818" s="597"/>
      <c r="U818" s="597"/>
      <c r="V818" s="597"/>
      <c r="W818" s="597"/>
      <c r="X818" s="597"/>
      <c r="Y818" s="597"/>
      <c r="Z818" s="597"/>
    </row>
    <row r="819" spans="1:26" ht="19.5" hidden="1" thickBot="1">
      <c r="A819" s="805"/>
      <c r="B819" s="806"/>
      <c r="C819" s="808"/>
      <c r="D819" s="806"/>
      <c r="E819" s="808" t="s">
        <v>323</v>
      </c>
      <c r="F819" s="808"/>
      <c r="G819" s="809"/>
      <c r="H819" s="810" t="s">
        <v>46</v>
      </c>
      <c r="I819" s="811"/>
      <c r="J819" s="811"/>
      <c r="K819" s="812"/>
      <c r="L819" s="812"/>
      <c r="M819" s="812"/>
      <c r="N819" s="812"/>
      <c r="O819" s="812"/>
      <c r="P819" s="812"/>
      <c r="Q819" s="597"/>
      <c r="R819" s="597"/>
      <c r="S819" s="597"/>
      <c r="T819" s="597"/>
      <c r="U819" s="597"/>
      <c r="V819" s="597"/>
      <c r="W819" s="597"/>
      <c r="X819" s="597"/>
      <c r="Y819" s="597"/>
      <c r="Z819" s="597"/>
    </row>
    <row r="820" spans="1:26" ht="19.5">
      <c r="A820" s="813" t="s">
        <v>331</v>
      </c>
      <c r="B820" s="814"/>
      <c r="C820" s="814"/>
      <c r="D820" s="815"/>
      <c r="E820" s="814"/>
      <c r="F820" s="814"/>
      <c r="G820" s="816"/>
      <c r="H820" s="816"/>
      <c r="I820" s="214"/>
      <c r="J820" s="214"/>
      <c r="K820" s="817"/>
      <c r="L820" s="817"/>
      <c r="M820" s="817"/>
      <c r="N820" s="817"/>
      <c r="O820" s="817"/>
      <c r="P820" s="817"/>
      <c r="Q820" s="571"/>
      <c r="R820" s="571"/>
      <c r="S820" s="571"/>
      <c r="T820" s="571"/>
      <c r="U820" s="571"/>
      <c r="V820" s="571"/>
      <c r="W820" s="571"/>
      <c r="X820" s="571"/>
      <c r="Y820" s="571"/>
      <c r="Z820" s="571"/>
    </row>
    <row r="821" spans="1:26" ht="18.75">
      <c r="A821" s="735"/>
      <c r="B821" s="754" t="s">
        <v>325</v>
      </c>
      <c r="C821" s="754"/>
      <c r="D821" s="568"/>
      <c r="E821" s="754"/>
      <c r="F821" s="754"/>
      <c r="G821" s="189"/>
      <c r="H821" s="616" t="s">
        <v>12</v>
      </c>
      <c r="I821" s="269">
        <f ca="1">IFERROR(__xludf.DUMMYFUNCTION("IMPORTRANGE(""https://docs.google.com/spreadsheets/d/19vJNZY_5yjcGF2XGBMNZRCAIB0Kwfpjp8YEOfu-bneM/edit?usp=sharing"",""งานกองทุน!D60"")"),2955345.97)</f>
        <v>2955345.97</v>
      </c>
      <c r="J821" s="269">
        <f ca="1">IFERROR(__xludf.DUMMYFUNCTION("IMPORTRANGE(""https://docs.google.com/spreadsheets/d/19vJNZY_5yjcGF2XGBMNZRCAIB0Kwfpjp8YEOfu-bneM/edit?usp=sharing"",""งานกองทุน!F60"")"),35196.57)</f>
        <v>35196.57</v>
      </c>
      <c r="K821" s="496">
        <f t="shared" ref="K821:K828" ca="1" si="334">IF(I821&gt;0,J821*100/I821,0)</f>
        <v>1.1909458438126619</v>
      </c>
      <c r="L821" s="496"/>
      <c r="M821" s="496"/>
      <c r="N821" s="496"/>
      <c r="O821" s="496"/>
      <c r="P821" s="496"/>
      <c r="Q821" s="571"/>
      <c r="R821" s="571"/>
      <c r="S821" s="571"/>
      <c r="T821" s="571"/>
      <c r="U821" s="571"/>
      <c r="V821" s="571"/>
      <c r="W821" s="571"/>
      <c r="X821" s="571"/>
      <c r="Y821" s="571"/>
      <c r="Z821" s="571"/>
    </row>
    <row r="822" spans="1:26" ht="18.75">
      <c r="A822" s="735"/>
      <c r="B822" s="754"/>
      <c r="C822" s="754"/>
      <c r="D822" s="568"/>
      <c r="E822" s="754"/>
      <c r="F822" s="754"/>
      <c r="G822" s="189"/>
      <c r="H822" s="616" t="s">
        <v>35</v>
      </c>
      <c r="I822" s="269">
        <f ca="1">IFERROR(__xludf.DUMMYFUNCTION("IMPORTRANGE(""https://docs.google.com/spreadsheets/d/19vJNZY_5yjcGF2XGBMNZRCAIB0Kwfpjp8YEOfu-bneM/edit?usp=sharing"",""งานกองทุน!C60"")"),67)</f>
        <v>67</v>
      </c>
      <c r="J822" s="269">
        <f ca="1">IFERROR(__xludf.DUMMYFUNCTION("IMPORTRANGE(""https://docs.google.com/spreadsheets/d/19vJNZY_5yjcGF2XGBMNZRCAIB0Kwfpjp8YEOfu-bneM/edit?usp=sharing"",""งานกองทุน!E60"")"),12)</f>
        <v>12</v>
      </c>
      <c r="K822" s="496">
        <f t="shared" ca="1" si="334"/>
        <v>17.910447761194028</v>
      </c>
      <c r="L822" s="496"/>
      <c r="M822" s="496"/>
      <c r="N822" s="496"/>
      <c r="O822" s="496"/>
      <c r="P822" s="496"/>
      <c r="Q822" s="571"/>
      <c r="R822" s="571"/>
      <c r="S822" s="571"/>
      <c r="T822" s="571"/>
      <c r="U822" s="571"/>
      <c r="V822" s="571"/>
      <c r="W822" s="571"/>
      <c r="X822" s="571"/>
      <c r="Y822" s="571"/>
      <c r="Z822" s="571"/>
    </row>
    <row r="823" spans="1:26" ht="18.75">
      <c r="A823" s="735"/>
      <c r="B823" s="754" t="s">
        <v>326</v>
      </c>
      <c r="C823" s="754"/>
      <c r="D823" s="568"/>
      <c r="E823" s="754"/>
      <c r="F823" s="754"/>
      <c r="G823" s="189"/>
      <c r="H823" s="616" t="s">
        <v>12</v>
      </c>
      <c r="I823" s="269">
        <f ca="1">IFERROR(__xludf.DUMMYFUNCTION("IMPORTRANGE(""https://docs.google.com/spreadsheets/d/19vJNZY_5yjcGF2XGBMNZRCAIB0Kwfpjp8YEOfu-bneM/edit?usp=sharing"",""งานกองทุน!I60"")"),509963.67)</f>
        <v>509963.67</v>
      </c>
      <c r="J823" s="269">
        <f ca="1">IFERROR(__xludf.DUMMYFUNCTION("IMPORTRANGE(""https://docs.google.com/spreadsheets/d/19vJNZY_5yjcGF2XGBMNZRCAIB0Kwfpjp8YEOfu-bneM/edit?usp=sharing"",""งานกองทุน!K60"")"),61098.4)</f>
        <v>61098.400000000001</v>
      </c>
      <c r="K823" s="496">
        <f t="shared" ca="1" si="334"/>
        <v>11.980931896580005</v>
      </c>
      <c r="L823" s="496"/>
      <c r="M823" s="496"/>
      <c r="N823" s="496"/>
      <c r="O823" s="496"/>
      <c r="P823" s="496"/>
      <c r="Q823" s="571"/>
      <c r="R823" s="571"/>
      <c r="S823" s="571"/>
      <c r="T823" s="571"/>
      <c r="U823" s="571"/>
      <c r="V823" s="571"/>
      <c r="W823" s="571"/>
      <c r="X823" s="571"/>
      <c r="Y823" s="571"/>
      <c r="Z823" s="571"/>
    </row>
    <row r="824" spans="1:26" ht="18.75">
      <c r="A824" s="735"/>
      <c r="B824" s="754"/>
      <c r="C824" s="754"/>
      <c r="D824" s="568"/>
      <c r="E824" s="754"/>
      <c r="F824" s="754"/>
      <c r="G824" s="189"/>
      <c r="H824" s="616" t="s">
        <v>35</v>
      </c>
      <c r="I824" s="269">
        <f ca="1">IFERROR(__xludf.DUMMYFUNCTION("IMPORTRANGE(""https://docs.google.com/spreadsheets/d/19vJNZY_5yjcGF2XGBMNZRCAIB0Kwfpjp8YEOfu-bneM/edit?usp=sharing"",""งานกองทุน!H60"")"),22)</f>
        <v>22</v>
      </c>
      <c r="J824" s="269">
        <f ca="1">IFERROR(__xludf.DUMMYFUNCTION("IMPORTRANGE(""https://docs.google.com/spreadsheets/d/19vJNZY_5yjcGF2XGBMNZRCAIB0Kwfpjp8YEOfu-bneM/edit?usp=sharing"",""งานกองทุน!J60"")"),20)</f>
        <v>20</v>
      </c>
      <c r="K824" s="496">
        <f t="shared" ca="1" si="334"/>
        <v>90.909090909090907</v>
      </c>
      <c r="L824" s="496"/>
      <c r="M824" s="496"/>
      <c r="N824" s="496"/>
      <c r="O824" s="496"/>
      <c r="P824" s="496"/>
      <c r="Q824" s="571"/>
      <c r="R824" s="571"/>
      <c r="S824" s="571"/>
      <c r="T824" s="571"/>
      <c r="U824" s="571"/>
      <c r="V824" s="571"/>
      <c r="W824" s="571"/>
      <c r="X824" s="571"/>
      <c r="Y824" s="571"/>
      <c r="Z824" s="571"/>
    </row>
    <row r="825" spans="1:26" ht="18.75">
      <c r="A825" s="735"/>
      <c r="B825" s="754" t="s">
        <v>327</v>
      </c>
      <c r="C825" s="754"/>
      <c r="D825" s="568"/>
      <c r="E825" s="754"/>
      <c r="F825" s="754"/>
      <c r="G825" s="189"/>
      <c r="H825" s="616" t="s">
        <v>12</v>
      </c>
      <c r="I825" s="269">
        <f ca="1">IFERROR(__xludf.DUMMYFUNCTION("IMPORTRANGE(""https://docs.google.com/spreadsheets/d/19vJNZY_5yjcGF2XGBMNZRCAIB0Kwfpjp8YEOfu-bneM/edit?usp=sharing"",""งานกองทุน!N60"")"),461906.75)</f>
        <v>461906.75</v>
      </c>
      <c r="J825" s="269">
        <f ca="1">IFERROR(__xludf.DUMMYFUNCTION("IMPORTRANGE(""https://docs.google.com/spreadsheets/d/19vJNZY_5yjcGF2XGBMNZRCAIB0Kwfpjp8YEOfu-bneM/edit?usp=sharing"",""งานกองทุน!P60"")"),0)</f>
        <v>0</v>
      </c>
      <c r="K825" s="496">
        <f t="shared" ca="1" si="334"/>
        <v>0</v>
      </c>
      <c r="L825" s="496"/>
      <c r="M825" s="496"/>
      <c r="N825" s="496"/>
      <c r="O825" s="496"/>
      <c r="P825" s="496"/>
      <c r="Q825" s="571"/>
      <c r="R825" s="571"/>
      <c r="S825" s="571"/>
      <c r="T825" s="571"/>
      <c r="U825" s="571"/>
      <c r="V825" s="571"/>
      <c r="W825" s="571"/>
      <c r="X825" s="571"/>
      <c r="Y825" s="571"/>
      <c r="Z825" s="571"/>
    </row>
    <row r="826" spans="1:26" ht="18.75">
      <c r="A826" s="735"/>
      <c r="B826" s="754"/>
      <c r="C826" s="754"/>
      <c r="D826" s="568"/>
      <c r="E826" s="754"/>
      <c r="F826" s="754"/>
      <c r="G826" s="189"/>
      <c r="H826" s="616" t="s">
        <v>35</v>
      </c>
      <c r="I826" s="269">
        <f ca="1">IFERROR(__xludf.DUMMYFUNCTION("IMPORTRANGE(""https://docs.google.com/spreadsheets/d/19vJNZY_5yjcGF2XGBMNZRCAIB0Kwfpjp8YEOfu-bneM/edit?usp=sharing"",""งานกองทุน!M60"")"),258)</f>
        <v>258</v>
      </c>
      <c r="J826" s="269">
        <f ca="1">IFERROR(__xludf.DUMMYFUNCTION("IMPORTRANGE(""https://docs.google.com/spreadsheets/d/19vJNZY_5yjcGF2XGBMNZRCAIB0Kwfpjp8YEOfu-bneM/edit?usp=sharing"",""งานกองทุน!O60"")"),0)</f>
        <v>0</v>
      </c>
      <c r="K826" s="496">
        <f t="shared" ca="1" si="334"/>
        <v>0</v>
      </c>
      <c r="L826" s="496"/>
      <c r="M826" s="496"/>
      <c r="N826" s="496"/>
      <c r="O826" s="496"/>
      <c r="P826" s="496"/>
      <c r="Q826" s="571"/>
      <c r="R826" s="571"/>
      <c r="S826" s="571"/>
      <c r="T826" s="571"/>
      <c r="U826" s="571"/>
      <c r="V826" s="571"/>
      <c r="W826" s="571"/>
      <c r="X826" s="571"/>
      <c r="Y826" s="571"/>
      <c r="Z826" s="571"/>
    </row>
    <row r="827" spans="1:26" ht="18.75">
      <c r="A827" s="735"/>
      <c r="B827" s="754" t="s">
        <v>328</v>
      </c>
      <c r="C827" s="754"/>
      <c r="D827" s="568"/>
      <c r="E827" s="754"/>
      <c r="F827" s="754"/>
      <c r="G827" s="189"/>
      <c r="H827" s="616" t="s">
        <v>12</v>
      </c>
      <c r="I827" s="269">
        <f ca="1">IFERROR(__xludf.DUMMYFUNCTION("IMPORTRANGE(""https://docs.google.com/spreadsheets/d/19vJNZY_5yjcGF2XGBMNZRCAIB0Kwfpjp8YEOfu-bneM/edit?usp=sharing"",""งานกองทุน!S60"")"),3060000)</f>
        <v>3060000</v>
      </c>
      <c r="J827" s="269">
        <f ca="1">IFERROR(__xludf.DUMMYFUNCTION("IMPORTRANGE(""https://docs.google.com/spreadsheets/d/19vJNZY_5yjcGF2XGBMNZRCAIB0Kwfpjp8YEOfu-bneM/edit?usp=sharing"",""งานกองทุน!U60"")"),0)</f>
        <v>0</v>
      </c>
      <c r="K827" s="496">
        <f t="shared" ca="1" si="334"/>
        <v>0</v>
      </c>
      <c r="L827" s="496"/>
      <c r="M827" s="496"/>
      <c r="N827" s="496"/>
      <c r="O827" s="496"/>
      <c r="P827" s="496"/>
      <c r="Q827" s="571"/>
      <c r="R827" s="571"/>
      <c r="S827" s="571"/>
      <c r="T827" s="571"/>
      <c r="U827" s="571"/>
      <c r="V827" s="571"/>
      <c r="W827" s="571"/>
      <c r="X827" s="571"/>
      <c r="Y827" s="571"/>
      <c r="Z827" s="571"/>
    </row>
    <row r="828" spans="1:26" ht="18.75">
      <c r="A828" s="738"/>
      <c r="B828" s="740"/>
      <c r="C828" s="740"/>
      <c r="D828" s="739"/>
      <c r="E828" s="740"/>
      <c r="F828" s="740"/>
      <c r="G828" s="818"/>
      <c r="H828" s="819" t="s">
        <v>35</v>
      </c>
      <c r="I828" s="499">
        <f ca="1">IFERROR(__xludf.DUMMYFUNCTION("IMPORTRANGE(""https://docs.google.com/spreadsheets/d/19vJNZY_5yjcGF2XGBMNZRCAIB0Kwfpjp8YEOfu-bneM/edit?usp=sharing"",""งานกองทุน!R60"")"),99)</f>
        <v>99</v>
      </c>
      <c r="J828" s="499">
        <f ca="1">IFERROR(__xludf.DUMMYFUNCTION("IMPORTRANGE(""https://docs.google.com/spreadsheets/d/19vJNZY_5yjcGF2XGBMNZRCAIB0Kwfpjp8YEOfu-bneM/edit?usp=sharing"",""งานกองทุน!T60"")"),0)</f>
        <v>0</v>
      </c>
      <c r="K828" s="500">
        <f t="shared" ca="1" si="334"/>
        <v>0</v>
      </c>
      <c r="L828" s="500"/>
      <c r="M828" s="500"/>
      <c r="N828" s="500"/>
      <c r="O828" s="500"/>
      <c r="P828" s="500"/>
      <c r="Q828" s="571"/>
      <c r="R828" s="571"/>
      <c r="S828" s="571"/>
      <c r="T828" s="571"/>
      <c r="U828" s="571"/>
      <c r="V828" s="571"/>
      <c r="W828" s="571"/>
      <c r="X828" s="571"/>
      <c r="Y828" s="571"/>
      <c r="Z828" s="571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544:F544"/>
    <mergeCell ref="A7:G7"/>
    <mergeCell ref="A17:G17"/>
    <mergeCell ref="A27:G27"/>
    <mergeCell ref="B40:G40"/>
    <mergeCell ref="A50:G50"/>
    <mergeCell ref="B51:G51"/>
    <mergeCell ref="D419:F419"/>
    <mergeCell ref="D444:F444"/>
    <mergeCell ref="D467:F467"/>
    <mergeCell ref="D502:F502"/>
    <mergeCell ref="D523:F523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 gridLines="1"/>
  <pageMargins left="0.23622047244094491" right="0.23622047244094491" top="0.74803149606299213" bottom="0.74803149606299213" header="0" footer="0"/>
  <pageSetup paperSize="9" scale="43" fitToHeight="0" pageOrder="overThenDown" orientation="portrait" cellComments="atEnd" r:id="rId1"/>
  <headerFooter>
    <oddFooter>&amp;Cหน้า &amp;P/&amp;N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22</vt:i4>
      </vt:variant>
      <vt:variant>
        <vt:lpstr>Named Ranges</vt:lpstr>
      </vt:variant>
      <vt:variant>
        <vt:i4>44</vt:i4>
      </vt:variant>
    </vt:vector>
  </HeadingPairs>
  <TitlesOfParts>
    <vt:vector size="66" baseType="lpstr">
      <vt:lpstr>รวมกลาง</vt:lpstr>
      <vt:lpstr>กาญจนบุรี</vt:lpstr>
      <vt:lpstr>จันทบุรี</vt:lpstr>
      <vt:lpstr>ฉะเชิงเทรา</vt:lpstr>
      <vt:lpstr>ชลบุรี</vt:lpstr>
      <vt:lpstr>ชัยนาท</vt:lpstr>
      <vt:lpstr>ตราด</vt:lpstr>
      <vt:lpstr>นครนายก</vt:lpstr>
      <vt:lpstr>นครปฐม</vt:lpstr>
      <vt:lpstr>ปทุมธานี</vt:lpstr>
      <vt:lpstr>ประจวบคีรีขันธ์</vt:lpstr>
      <vt:lpstr>ปราจีนบุรี</vt:lpstr>
      <vt:lpstr>พระนครศรีอยุธยา</vt:lpstr>
      <vt:lpstr>เพชรบุรี</vt:lpstr>
      <vt:lpstr>ระยอง</vt:lpstr>
      <vt:lpstr>ราชบุรี</vt:lpstr>
      <vt:lpstr>ลพบุรี</vt:lpstr>
      <vt:lpstr>สระแก้ว</vt:lpstr>
      <vt:lpstr>สระบุรี</vt:lpstr>
      <vt:lpstr>สิงห์บุรี</vt:lpstr>
      <vt:lpstr>สุพรรณบุรี</vt:lpstr>
      <vt:lpstr>อ่างทอง</vt:lpstr>
      <vt:lpstr>กาญจนบุรี!Print_Area</vt:lpstr>
      <vt:lpstr>จันทบุรี!Print_Area</vt:lpstr>
      <vt:lpstr>ฉะเชิงเทรา!Print_Area</vt:lpstr>
      <vt:lpstr>ชลบุรี!Print_Area</vt:lpstr>
      <vt:lpstr>ชัยนาท!Print_Area</vt:lpstr>
      <vt:lpstr>ตราด!Print_Area</vt:lpstr>
      <vt:lpstr>นครนายก!Print_Area</vt:lpstr>
      <vt:lpstr>นครปฐม!Print_Area</vt:lpstr>
      <vt:lpstr>ปทุมธานี!Print_Area</vt:lpstr>
      <vt:lpstr>ประจวบคีรีขันธ์!Print_Area</vt:lpstr>
      <vt:lpstr>ปราจีนบุรี!Print_Area</vt:lpstr>
      <vt:lpstr>พระนครศรีอยุธยา!Print_Area</vt:lpstr>
      <vt:lpstr>เพชรบุรี!Print_Area</vt:lpstr>
      <vt:lpstr>รวมกลาง!Print_Area</vt:lpstr>
      <vt:lpstr>ระยอง!Print_Area</vt:lpstr>
      <vt:lpstr>ราชบุรี!Print_Area</vt:lpstr>
      <vt:lpstr>ลพบุรี!Print_Area</vt:lpstr>
      <vt:lpstr>สระแก้ว!Print_Area</vt:lpstr>
      <vt:lpstr>สระบุรี!Print_Area</vt:lpstr>
      <vt:lpstr>สิงห์บุรี!Print_Area</vt:lpstr>
      <vt:lpstr>สุพรรณบุรี!Print_Area</vt:lpstr>
      <vt:lpstr>อ่างทอง!Print_Area</vt:lpstr>
      <vt:lpstr>กาญจนบุรี!Print_Titles</vt:lpstr>
      <vt:lpstr>จันทบุรี!Print_Titles</vt:lpstr>
      <vt:lpstr>ฉะเชิงเทรา!Print_Titles</vt:lpstr>
      <vt:lpstr>ชลบุรี!Print_Titles</vt:lpstr>
      <vt:lpstr>ชัยนาท!Print_Titles</vt:lpstr>
      <vt:lpstr>ตราด!Print_Titles</vt:lpstr>
      <vt:lpstr>นครนายก!Print_Titles</vt:lpstr>
      <vt:lpstr>นครปฐม!Print_Titles</vt:lpstr>
      <vt:lpstr>ปทุมธานี!Print_Titles</vt:lpstr>
      <vt:lpstr>ประจวบคีรีขันธ์!Print_Titles</vt:lpstr>
      <vt:lpstr>ปราจีนบุรี!Print_Titles</vt:lpstr>
      <vt:lpstr>พระนครศรีอยุธยา!Print_Titles</vt:lpstr>
      <vt:lpstr>เพชรบุรี!Print_Titles</vt:lpstr>
      <vt:lpstr>รวมกลาง!Print_Titles</vt:lpstr>
      <vt:lpstr>ระยอง!Print_Titles</vt:lpstr>
      <vt:lpstr>ราชบุรี!Print_Titles</vt:lpstr>
      <vt:lpstr>ลพบุรี!Print_Titles</vt:lpstr>
      <vt:lpstr>สระแก้ว!Print_Titles</vt:lpstr>
      <vt:lpstr>สระบุรี!Print_Titles</vt:lpstr>
      <vt:lpstr>สิงห์บุรี!Print_Titles</vt:lpstr>
      <vt:lpstr>สุพรรณบุรี!Print_Titles</vt:lpstr>
      <vt:lpstr>อ่างทอง!Print_Titles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DELL</cp:lastModifiedBy>
  <dcterms:modified xsi:type="dcterms:W3CDTF">2023-01-09T06:19:27Z</dcterms:modified>
</cp:coreProperties>
</file>